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charts/chart21.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charts/chart26.xml" ContentType="application/vnd.openxmlformats-officedocument.drawingml.chart+xml"/>
  <Override PartName="/xl/drawings/drawing68.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1.xml" ContentType="application/vnd.openxmlformats-officedocument.drawing+xml"/>
  <Override PartName="/xl/drawings/drawing7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3.xml" ContentType="application/vnd.openxmlformats-officedocument.drawing+xml"/>
  <Override PartName="/xl/drawings/drawing74.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drawings/drawing75.xml" ContentType="application/vnd.openxmlformats-officedocument.drawing+xml"/>
  <Override PartName="/xl/drawings/drawing7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7.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38.xml" ContentType="application/vnd.openxmlformats-officedocument.drawingml.chart+xml"/>
  <Override PartName="/xl/drawings/drawing93.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xml"/>
  <Override PartName="/xl/drawings/drawing107.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8.xml" ContentType="application/vnd.openxmlformats-officedocument.drawingml.chartshapes+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drawings/drawing131.xml" ContentType="application/vnd.openxmlformats-officedocument.drawing+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54.xml" ContentType="application/vnd.openxmlformats-officedocument.drawingml.chart+xml"/>
  <Override PartName="/xl/drawings/drawing135.xml" ContentType="application/vnd.openxmlformats-officedocument.drawing+xml"/>
  <Override PartName="/xl/drawings/drawing136.xml" ContentType="application/vnd.openxmlformats-officedocument.drawing+xml"/>
  <Override PartName="/xl/charts/chart55.xml" ContentType="application/vnd.openxmlformats-officedocument.drawingml.chart+xml"/>
  <Override PartName="/xl/drawings/drawing137.xml" ContentType="application/vnd.openxmlformats-officedocument.drawing+xml"/>
  <Override PartName="/xl/drawings/drawing138.xml" ContentType="application/vnd.openxmlformats-officedocument.drawing+xml"/>
  <Override PartName="/xl/comments2.xml" ContentType="application/vnd.openxmlformats-officedocument.spreadsheetml.comments+xml"/>
  <Override PartName="/xl/charts/chart56.xml" ContentType="application/vnd.openxmlformats-officedocument.drawingml.chart+xml"/>
  <Override PartName="/xl/drawings/drawing139.xml" ContentType="application/vnd.openxmlformats-officedocument.drawingml.chartshapes+xml"/>
  <Override PartName="/xl/charts/chart57.xml" ContentType="application/vnd.openxmlformats-officedocument.drawingml.chart+xml"/>
  <Override PartName="/xl/drawings/drawing140.xml" ContentType="application/vnd.openxmlformats-officedocument.drawingml.chartshapes+xml"/>
  <Override PartName="/xl/charts/chart58.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comments3.xml" ContentType="application/vnd.openxmlformats-officedocument.spreadsheetml.comments+xml"/>
  <Override PartName="/xl/charts/chart59.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charts/chart6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charts/chart61.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charts/chart62.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drawings/drawing156.xml" ContentType="application/vnd.openxmlformats-officedocument.drawing+xml"/>
  <Override PartName="/xl/charts/chart63.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drawings/drawing159.xml" ContentType="application/vnd.openxmlformats-officedocument.drawing+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drawings/drawing162.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drawings/drawing165.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6.xml" ContentType="application/vnd.openxmlformats-officedocument.drawingml.chartshapes+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harts/chart67.xml" ContentType="application/vnd.openxmlformats-officedocument.drawingml.chart+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charts/chart68.xml" ContentType="application/vnd.openxmlformats-officedocument.drawingml.chart+xml"/>
  <Override PartName="/xl/charts/style53.xml" ContentType="application/vnd.ms-office.chartstyle+xml"/>
  <Override PartName="/xl/charts/colors53.xml" ContentType="application/vnd.ms-office.chartcolorstyle+xml"/>
  <Override PartName="/xl/charts/chart6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73.xml" ContentType="application/vnd.openxmlformats-officedocument.drawing+xml"/>
  <Override PartName="/xl/drawings/drawing174.xml" ContentType="application/vnd.openxmlformats-officedocument.drawing+xml"/>
  <Override PartName="/xl/charts/chart7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75.xml" ContentType="application/vnd.openxmlformats-officedocument.drawing+xml"/>
  <Override PartName="/xl/drawings/drawing176.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7.xml" ContentType="application/vnd.openxmlformats-officedocument.drawing+xml"/>
  <Override PartName="/xl/drawings/drawing178.xml" ContentType="application/vnd.openxmlformats-officedocument.drawing+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charts/chart7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7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82.xml" ContentType="application/vnd.openxmlformats-officedocument.drawing+xml"/>
  <Override PartName="/xl/drawings/drawing183.xml" ContentType="application/vnd.openxmlformats-officedocument.drawing+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4.xml" ContentType="application/vnd.openxmlformats-officedocument.drawing+xml"/>
  <Override PartName="/xl/drawings/drawing185.xml" ContentType="application/vnd.openxmlformats-officedocument.drawing+xml"/>
  <Override PartName="/xl/charts/chart77.xml" ContentType="application/vnd.openxmlformats-officedocument.drawingml.chart+xml"/>
  <Override PartName="/xl/drawings/drawing186.xml" ContentType="application/vnd.openxmlformats-officedocument.drawing+xml"/>
  <Override PartName="/xl/drawings/drawing187.xml" ContentType="application/vnd.openxmlformats-officedocument.drawing+xml"/>
  <Override PartName="/xl/charts/chart78.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7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90.xml" ContentType="application/vnd.openxmlformats-officedocument.drawing+xml"/>
  <Override PartName="/xl/drawings/drawing191.xml" ContentType="application/vnd.openxmlformats-officedocument.drawing+xml"/>
  <Override PartName="/xl/charts/chart8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92.xml" ContentType="application/vnd.openxmlformats-officedocument.drawing+xml"/>
  <Override PartName="/xl/drawings/drawing193.xml" ContentType="application/vnd.openxmlformats-officedocument.drawing+xml"/>
  <Override PartName="/xl/charts/chart81.xml" ContentType="application/vnd.openxmlformats-officedocument.drawingml.chart+xml"/>
  <Override PartName="/xl/drawings/drawing194.xml" ContentType="application/vnd.openxmlformats-officedocument.drawing+xml"/>
  <Override PartName="/xl/charts/chart8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drawings/drawing197.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98.xml" ContentType="application/vnd.openxmlformats-officedocument.drawing+xml"/>
  <Override PartName="/xl/drawings/drawing199.xml" ContentType="application/vnd.openxmlformats-officedocument.drawing+xml"/>
  <Override PartName="/xl/charts/chart85.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charts/chart86.xml" ContentType="application/vnd.openxmlformats-officedocument.drawingml.chart+xml"/>
  <Override PartName="/xl/drawings/drawing204.xml" ContentType="application/vnd.openxmlformats-officedocument.drawing+xml"/>
  <Override PartName="/xl/drawings/drawing205.xml" ContentType="application/vnd.openxmlformats-officedocument.drawing+xml"/>
  <Override PartName="/xl/charts/chart8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charts/chart8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0.xml" ContentType="application/vnd.openxmlformats-officedocument.drawingml.chartshapes+xml"/>
  <Override PartName="/xl/drawings/drawing211.xml" ContentType="application/vnd.openxmlformats-officedocument.drawing+xml"/>
  <Override PartName="/xl/drawings/drawing212.xml" ContentType="application/vnd.openxmlformats-officedocument.drawing+xml"/>
  <Override PartName="/xl/charts/chart8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drawings/drawing215.xml" ContentType="application/vnd.openxmlformats-officedocument.drawing+xml"/>
  <Override PartName="/xl/charts/chart9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16.xml" ContentType="application/vnd.openxmlformats-officedocument.drawing+xml"/>
  <Override PartName="/xl/drawings/drawing217.xml" ContentType="application/vnd.openxmlformats-officedocument.drawing+xml"/>
  <Override PartName="/xl/charts/chart9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9.xml" ContentType="application/vnd.openxmlformats-officedocument.drawingml.chartshapes+xml"/>
  <Override PartName="/xl/drawings/drawing230.xml" ContentType="application/vnd.openxmlformats-officedocument.drawing+xml"/>
  <Override PartName="/xl/drawings/drawing231.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2.xml" ContentType="application/vnd.openxmlformats-officedocument.drawing+xml"/>
  <Override PartName="/xl/drawings/drawing233.xml" ContentType="application/vnd.openxmlformats-officedocument.drawing+xml"/>
  <Override PartName="/xl/charts/chart97.xml" ContentType="application/vnd.openxmlformats-officedocument.drawingml.chart+xml"/>
  <Override PartName="/xl/drawings/drawing234.xml" ContentType="application/vnd.openxmlformats-officedocument.drawing+xml"/>
  <Override PartName="/xl/drawings/drawing235.xml" ContentType="application/vnd.openxmlformats-officedocument.drawing+xml"/>
  <Override PartName="/xl/charts/chart9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6.xml" ContentType="application/vnd.openxmlformats-officedocument.drawingml.chartshapes+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6.xml" ContentType="application/vnd.openxmlformats-officedocument.drawing+xml"/>
  <Override PartName="/xl/drawings/drawing247.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8.xml" ContentType="application/vnd.openxmlformats-officedocument.drawing+xml"/>
  <Override PartName="/xl/drawings/drawing249.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50.xml" ContentType="application/vnd.openxmlformats-officedocument.drawing+xml"/>
  <Override PartName="/xl/drawings/drawing251.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52.xml" ContentType="application/vnd.openxmlformats-officedocument.drawing+xml"/>
  <Override PartName="/xl/drawings/drawing253.xml" ContentType="application/vnd.openxmlformats-officedocument.drawing+xml"/>
  <Override PartName="/xl/comments4.xml" ContentType="application/vnd.openxmlformats-officedocument.spreadsheetml.comments+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charts/chart105.xml" ContentType="application/vnd.openxmlformats-officedocument.drawingml.chart+xml"/>
  <Override PartName="/xl/charts/style84.xml" ContentType="application/vnd.ms-office.chartstyle+xml"/>
  <Override PartName="/xl/charts/colors84.xml" ContentType="application/vnd.ms-office.chartcolorstyle+xml"/>
  <Override PartName="/xl/charts/chart106.xml" ContentType="application/vnd.openxmlformats-officedocument.drawingml.chart+xml"/>
  <Override PartName="/xl/charts/style85.xml" ContentType="application/vnd.ms-office.chartstyle+xml"/>
  <Override PartName="/xl/charts/colors85.xml" ContentType="application/vnd.ms-office.chartcolorstyle+xml"/>
  <Override PartName="/xl/charts/chart10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264.xml" ContentType="application/vnd.openxmlformats-officedocument.drawing+xml"/>
  <Override PartName="/xl/drawings/drawing265.xml" ContentType="application/vnd.openxmlformats-officedocument.drawing+xml"/>
  <Override PartName="/xl/charts/chart10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66.xml" ContentType="application/vnd.openxmlformats-officedocument.drawing+xml"/>
  <Override PartName="/xl/charts/chart109.xml" ContentType="application/vnd.openxmlformats-officedocument.drawingml.chart+xml"/>
  <Override PartName="/xl/drawings/drawing267.xml" ContentType="application/vnd.openxmlformats-officedocument.drawing+xml"/>
  <Override PartName="/xl/drawings/drawing268.xml" ContentType="application/vnd.openxmlformats-officedocument.drawing+xml"/>
  <Override PartName="/xl/charts/chart110.xml" ContentType="application/vnd.openxmlformats-officedocument.drawingml.chart+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charts/chart111.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charts/chart112.xml" ContentType="application/vnd.openxmlformats-officedocument.drawingml.chart+xml"/>
  <Override PartName="/xl/charts/style89.xml" ContentType="application/vnd.ms-office.chartstyle+xml"/>
  <Override PartName="/xl/charts/colors89.xml" ContentType="application/vnd.ms-office.chartcolorstyle+xml"/>
  <Override PartName="/xl/charts/chart113.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charts/chart11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charts/chart11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91.xml" ContentType="application/vnd.openxmlformats-officedocument.drawingml.chartshapes+xml"/>
  <Override PartName="/xl/drawings/drawing292.xml" ContentType="application/vnd.openxmlformats-officedocument.drawing+xml"/>
  <Override PartName="/xl/drawings/drawing293.xml" ContentType="application/vnd.openxmlformats-officedocument.drawing+xml"/>
  <Override PartName="/xl/charts/chart116.xml" ContentType="application/vnd.openxmlformats-officedocument.drawingml.chart+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charts/chart117.xml" ContentType="application/vnd.openxmlformats-officedocument.drawingml.chart+xml"/>
  <Override PartName="/xl/drawings/drawing300.xml" ContentType="application/vnd.openxmlformats-officedocument.drawing+xml"/>
  <Override PartName="/xl/drawings/drawing301.xml" ContentType="application/vnd.openxmlformats-officedocument.drawing+xml"/>
  <Override PartName="/xl/charts/chart11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302.xml" ContentType="application/vnd.openxmlformats-officedocument.drawing+xml"/>
  <Override PartName="/xl/drawings/drawing303.xml" ContentType="application/vnd.openxmlformats-officedocument.drawing+xml"/>
  <Override PartName="/xl/charts/chart119.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304.xml" ContentType="application/vnd.openxmlformats-officedocument.drawing+xml"/>
  <Override PartName="/xl/drawings/drawing305.xml" ContentType="application/vnd.openxmlformats-officedocument.drawing+xml"/>
  <Override PartName="/xl/charts/chart120.xml" ContentType="application/vnd.openxmlformats-officedocument.drawingml.chart+xml"/>
  <Override PartName="/xl/drawings/drawing306.xml" ContentType="application/vnd.openxmlformats-officedocument.drawingml.chartshapes+xml"/>
  <Override PartName="/xl/charts/chart121.xml" ContentType="application/vnd.openxmlformats-officedocument.drawingml.chart+xml"/>
  <Override PartName="/xl/drawings/drawing307.xml" ContentType="application/vnd.openxmlformats-officedocument.drawingml.chartshapes+xml"/>
  <Override PartName="/xl/drawings/drawing308.xml" ContentType="application/vnd.openxmlformats-officedocument.drawing+xml"/>
  <Override PartName="/xl/drawings/drawing309.xml" ContentType="application/vnd.openxmlformats-officedocument.drawing+xml"/>
  <Override PartName="/xl/charts/chart122.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310.xml" ContentType="application/vnd.openxmlformats-officedocument.drawing+xml"/>
  <Override PartName="/xl/drawings/drawing311.xml" ContentType="application/vnd.openxmlformats-officedocument.drawing+xml"/>
  <Override PartName="/xl/charts/chart123.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12.xml" ContentType="application/vnd.openxmlformats-officedocument.drawing+xml"/>
  <Override PartName="/xl/drawings/drawing313.xml" ContentType="application/vnd.openxmlformats-officedocument.drawing+xml"/>
  <Override PartName="/xl/charts/chart124.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14.xml" ContentType="application/vnd.openxmlformats-officedocument.drawing+xml"/>
  <Override PartName="/xl/drawings/drawing315.xml" ContentType="application/vnd.openxmlformats-officedocument.drawing+xml"/>
  <Override PartName="/xl/charts/chart12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16.xml" ContentType="application/vnd.openxmlformats-officedocument.drawing+xml"/>
  <Override PartName="/xl/drawings/drawing317.xml" ContentType="application/vnd.openxmlformats-officedocument.drawing+xml"/>
  <Override PartName="/xl/charts/chart126.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charts/chart127.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charts/chart128.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25.xml" ContentType="application/vnd.openxmlformats-officedocument.drawingml.chartshapes+xml"/>
  <Override PartName="/xl/charts/chart129.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26.xml" ContentType="application/vnd.openxmlformats-officedocument.drawingml.chartshapes+xml"/>
  <Override PartName="/xl/drawings/drawing327.xml" ContentType="application/vnd.openxmlformats-officedocument.drawing+xml"/>
  <Override PartName="/xl/drawings/drawing328.xml" ContentType="application/vnd.openxmlformats-officedocument.drawing+xml"/>
  <Override PartName="/xl/charts/chart130.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charts/chart131.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33.xml" ContentType="application/vnd.openxmlformats-officedocument.drawing+xml"/>
  <Override PartName="/xl/drawings/drawing334.xml" ContentType="application/vnd.openxmlformats-officedocument.drawing+xml"/>
  <Override PartName="/xl/charts/chart132.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charts/chart133.xml" ContentType="application/vnd.openxmlformats-officedocument.drawingml.chart+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charts/chart13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charts/chart135.xml" ContentType="application/vnd.openxmlformats-officedocument.drawingml.chart+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carlos.loria\Pictures\Sitio Web\"/>
    </mc:Choice>
  </mc:AlternateContent>
  <xr:revisionPtr revIDLastSave="0" documentId="13_ncr:1_{2A16254C-6D2C-4F92-8C90-A72308A89C58}" xr6:coauthVersionLast="47" xr6:coauthVersionMax="47" xr10:uidLastSave="{00000000-0000-0000-0000-000000000000}"/>
  <bookViews>
    <workbookView xWindow="-120" yWindow="-120" windowWidth="29040" windowHeight="15720" xr2:uid="{754B99F1-E94A-44DF-8719-53AF6DA28D0A}"/>
  </bookViews>
  <sheets>
    <sheet name="Lista de Objetivos" sheetId="1" r:id="rId1"/>
    <sheet name="ODS 1." sheetId="2" r:id="rId2"/>
    <sheet name="1.1.1" sheetId="3" r:id="rId3"/>
    <sheet name="Metadato 1.1.1" sheetId="4" r:id="rId4"/>
    <sheet name="1.2.1" sheetId="5" r:id="rId5"/>
    <sheet name="Metadato 1.2.1" sheetId="6" r:id="rId6"/>
    <sheet name="1.2.2" sheetId="7" r:id="rId7"/>
    <sheet name="Metadato 1.2.2" sheetId="8" r:id="rId8"/>
    <sheet name="1.3.1" sheetId="9" r:id="rId9"/>
    <sheet name="Metadato 1.3.1" sheetId="10" r:id="rId10"/>
    <sheet name="1.4.1" sheetId="11" r:id="rId11"/>
    <sheet name="Metadato 1.4.1" sheetId="12" r:id="rId12"/>
    <sheet name="1.4.2" sheetId="13" r:id="rId13"/>
    <sheet name="Metadato 1.4.2" sheetId="14" r:id="rId14"/>
    <sheet name="1.5.1" sheetId="15" r:id="rId15"/>
    <sheet name="Metadato 1.5.1" sheetId="16" r:id="rId16"/>
    <sheet name="1.5.2" sheetId="17" r:id="rId17"/>
    <sheet name="Metadato 1.5.2" sheetId="18" r:id="rId18"/>
    <sheet name="1.5.3" sheetId="19" r:id="rId19"/>
    <sheet name="Metadato 1.5.3" sheetId="20" r:id="rId20"/>
    <sheet name="1.5.4" sheetId="21" r:id="rId21"/>
    <sheet name="Metadato 1.5.4" sheetId="22" r:id="rId22"/>
    <sheet name="1.a.1" sheetId="23" r:id="rId23"/>
    <sheet name="Metadato 1.a.1" sheetId="24" r:id="rId24"/>
    <sheet name="1.a.2" sheetId="25" r:id="rId25"/>
    <sheet name="Metadato 1.a.2" sheetId="26" r:id="rId26"/>
    <sheet name="1.b.1" sheetId="27" r:id="rId27"/>
    <sheet name="Metadato 1.b.1" sheetId="28" r:id="rId28"/>
    <sheet name="ODS 2." sheetId="29" r:id="rId29"/>
    <sheet name="2.1.1" sheetId="30" r:id="rId30"/>
    <sheet name="Metadato 2.1.1" sheetId="31" r:id="rId31"/>
    <sheet name="2.1.2" sheetId="32" r:id="rId32"/>
    <sheet name="Metadato 2.1.2" sheetId="33" r:id="rId33"/>
    <sheet name="2.2.1" sheetId="34" r:id="rId34"/>
    <sheet name="Metadato 2.2.1" sheetId="35" r:id="rId35"/>
    <sheet name="2.2.2" sheetId="36" r:id="rId36"/>
    <sheet name="Metadato 2.2.2" sheetId="37" r:id="rId37"/>
    <sheet name="2.2.3" sheetId="38" r:id="rId38"/>
    <sheet name="Metadato 2.2.3" sheetId="39" r:id="rId39"/>
    <sheet name="2.3.1" sheetId="40" r:id="rId40"/>
    <sheet name="Metadato 2.3.1" sheetId="41" r:id="rId41"/>
    <sheet name="2.3.2" sheetId="42" r:id="rId42"/>
    <sheet name="Metadato 2.3.2" sheetId="43" r:id="rId43"/>
    <sheet name="2.4.1" sheetId="44" r:id="rId44"/>
    <sheet name="Metadato 2.4.1" sheetId="45" r:id="rId45"/>
    <sheet name="2.5.1" sheetId="46" r:id="rId46"/>
    <sheet name="Metadato 2.5.1" sheetId="47" r:id="rId47"/>
    <sheet name="2.5.2" sheetId="48" r:id="rId48"/>
    <sheet name="Metadato 2.5.2" sheetId="49" r:id="rId49"/>
    <sheet name="2.a.1" sheetId="50" r:id="rId50"/>
    <sheet name="Metadato 2.a.1" sheetId="51" r:id="rId51"/>
    <sheet name="2.a.2" sheetId="52" r:id="rId52"/>
    <sheet name="Metadato 2.a.2" sheetId="53" r:id="rId53"/>
    <sheet name="2.b.1" sheetId="54" r:id="rId54"/>
    <sheet name="Metadato 2.b.1" sheetId="55" r:id="rId55"/>
    <sheet name="2.c.1" sheetId="56" r:id="rId56"/>
    <sheet name="Metadato 2.c.1" sheetId="57" r:id="rId57"/>
    <sheet name="ODS 3." sheetId="58" r:id="rId58"/>
    <sheet name="3.1.1" sheetId="59" r:id="rId59"/>
    <sheet name="Metadato 3.1.1" sheetId="60" r:id="rId60"/>
    <sheet name="3.1.2" sheetId="61" r:id="rId61"/>
    <sheet name="Metadato 3.1.2" sheetId="62" r:id="rId62"/>
    <sheet name="3.2.1" sheetId="63" r:id="rId63"/>
    <sheet name="Metadato 3.2.1" sheetId="64" r:id="rId64"/>
    <sheet name="3.2.2" sheetId="65" r:id="rId65"/>
    <sheet name="Metadato 3.2.2" sheetId="66" r:id="rId66"/>
    <sheet name="3.3.1" sheetId="67" r:id="rId67"/>
    <sheet name="Metadato 3.3.1" sheetId="68" r:id="rId68"/>
    <sheet name="3.3.2" sheetId="69" r:id="rId69"/>
    <sheet name="Metadato 3.3.2" sheetId="70" r:id="rId70"/>
    <sheet name="3.3.3" sheetId="71" r:id="rId71"/>
    <sheet name="Metadato 3.3.3" sheetId="72" r:id="rId72"/>
    <sheet name="3.3.4" sheetId="73" r:id="rId73"/>
    <sheet name="Metadato 3.3.4" sheetId="74" r:id="rId74"/>
    <sheet name="3.3.5" sheetId="75" r:id="rId75"/>
    <sheet name="Metadato 3.3.5" sheetId="76" r:id="rId76"/>
    <sheet name="3.4.1" sheetId="77" r:id="rId77"/>
    <sheet name="Metadato 3.4.1" sheetId="78" r:id="rId78"/>
    <sheet name="3.4.2" sheetId="79" r:id="rId79"/>
    <sheet name="Metadato 3.4.2" sheetId="80" r:id="rId80"/>
    <sheet name="3.5.1" sheetId="81" r:id="rId81"/>
    <sheet name="Metadato 3.5.1" sheetId="82" r:id="rId82"/>
    <sheet name="3.5.2.a " sheetId="83" r:id="rId83"/>
    <sheet name="Metadato 3.5.2.a" sheetId="84" r:id="rId84"/>
    <sheet name="3.5.2.b " sheetId="85" r:id="rId85"/>
    <sheet name="Metadato 3.5.2.b" sheetId="86" r:id="rId86"/>
    <sheet name="3.6.1" sheetId="87" r:id="rId87"/>
    <sheet name="Metadato 3.6.1" sheetId="88" r:id="rId88"/>
    <sheet name="3.7.1" sheetId="89" r:id="rId89"/>
    <sheet name="Metadato 3.7.1" sheetId="90" r:id="rId90"/>
    <sheet name="3.7.1 EMNA" sheetId="91" r:id="rId91"/>
    <sheet name="Metadato 3.7.1 EMNA" sheetId="92" r:id="rId92"/>
    <sheet name="3.7.2" sheetId="93" r:id="rId93"/>
    <sheet name="Metadato 3.7.2" sheetId="94" r:id="rId94"/>
    <sheet name="3.8.1" sheetId="95" r:id="rId95"/>
    <sheet name="Metadato 3.8.1" sheetId="96" r:id="rId96"/>
    <sheet name="3.8.2" sheetId="97" r:id="rId97"/>
    <sheet name="Metadato 3.8.2" sheetId="98" r:id="rId98"/>
    <sheet name="3.9.1" sheetId="99" r:id="rId99"/>
    <sheet name="Metadato 3.9.1" sheetId="100" r:id="rId100"/>
    <sheet name="3.9.2" sheetId="101" r:id="rId101"/>
    <sheet name="Metadato 3.9.2" sheetId="102" r:id="rId102"/>
    <sheet name="3.9.3" sheetId="103" r:id="rId103"/>
    <sheet name="Metadato 3.9.3" sheetId="104" r:id="rId104"/>
    <sheet name="3.a.1" sheetId="105" r:id="rId105"/>
    <sheet name="Metadato 3.a.1" sheetId="106" r:id="rId106"/>
    <sheet name="3.b.1" sheetId="107" r:id="rId107"/>
    <sheet name="Metadato 3.b.1" sheetId="108" r:id="rId108"/>
    <sheet name="3.b.2" sheetId="109" r:id="rId109"/>
    <sheet name="Metadato 3.b.2" sheetId="110" r:id="rId110"/>
    <sheet name="3.b.3" sheetId="111" r:id="rId111"/>
    <sheet name="Metadato 3.b.3" sheetId="112" r:id="rId112"/>
    <sheet name="3.c.1" sheetId="113" r:id="rId113"/>
    <sheet name="Metadato 3.c.1" sheetId="114" r:id="rId114"/>
    <sheet name="3.d.1" sheetId="115" r:id="rId115"/>
    <sheet name="Metadato 3.d.1" sheetId="116" r:id="rId116"/>
    <sheet name="3.d.2" sheetId="117" r:id="rId117"/>
    <sheet name="Metadato 3.d.2" sheetId="118" r:id="rId118"/>
    <sheet name="ODS 4." sheetId="119" r:id="rId119"/>
    <sheet name="4.1.1" sheetId="120" r:id="rId120"/>
    <sheet name="Metadato 4.1.1" sheetId="121" r:id="rId121"/>
    <sheet name="4.1.2" sheetId="122" r:id="rId122"/>
    <sheet name="Metadato 4.1.2" sheetId="123" r:id="rId123"/>
    <sheet name="4.2.1" sheetId="124" r:id="rId124"/>
    <sheet name="Metadato 4.2.1" sheetId="125" r:id="rId125"/>
    <sheet name="4.2.2" sheetId="126" r:id="rId126"/>
    <sheet name="Metadato 4.2.2" sheetId="127" r:id="rId127"/>
    <sheet name="4.3.1" sheetId="128" r:id="rId128"/>
    <sheet name="Metadato 4.3.1" sheetId="129" r:id="rId129"/>
    <sheet name="4.4.1" sheetId="130" r:id="rId130"/>
    <sheet name="Metadato 4.4.1" sheetId="131" r:id="rId131"/>
    <sheet name="4.5.1" sheetId="132" r:id="rId132"/>
    <sheet name="Metadato 4.5.1" sheetId="133" r:id="rId133"/>
    <sheet name="4.6.1" sheetId="134" r:id="rId134"/>
    <sheet name="Metadato 4.6.1" sheetId="135" r:id="rId135"/>
    <sheet name="4.7.1" sheetId="136" r:id="rId136"/>
    <sheet name="Metadato 4.7.1" sheetId="137" r:id="rId137"/>
    <sheet name="4.a.1" sheetId="138" r:id="rId138"/>
    <sheet name="Metadato 4.a.1" sheetId="139" r:id="rId139"/>
    <sheet name="4.b.1" sheetId="140" r:id="rId140"/>
    <sheet name="Metadato 4.b.1" sheetId="141" r:id="rId141"/>
    <sheet name="4.c.1" sheetId="142" r:id="rId142"/>
    <sheet name="Metadato 4.c.1" sheetId="143" r:id="rId143"/>
    <sheet name="ODS 5." sheetId="144" r:id="rId144"/>
    <sheet name="5.1.1" sheetId="145" r:id="rId145"/>
    <sheet name="Metadato 5.1.1" sheetId="146" r:id="rId146"/>
    <sheet name="5.2.1" sheetId="147" r:id="rId147"/>
    <sheet name="Metadato 5.2.1" sheetId="148" r:id="rId148"/>
    <sheet name="5.2.2" sheetId="149" r:id="rId149"/>
    <sheet name="Metadato 5.2.2" sheetId="150" r:id="rId150"/>
    <sheet name="5.3.1" sheetId="151" r:id="rId151"/>
    <sheet name="Metadato 5.3.1" sheetId="152" r:id="rId152"/>
    <sheet name="5.3.1-ENAHO" sheetId="153" r:id="rId153"/>
    <sheet name="Metadato 5.3.1-ENAHO" sheetId="154" r:id="rId154"/>
    <sheet name="5.3.2" sheetId="155" r:id="rId155"/>
    <sheet name="Metadato 5.3.2" sheetId="156" r:id="rId156"/>
    <sheet name="5.4.1" sheetId="157" r:id="rId157"/>
    <sheet name="Metadato 5.4.1" sheetId="158" r:id="rId158"/>
    <sheet name="5.5.1" sheetId="159" r:id="rId159"/>
    <sheet name="Metadato 5.5.1" sheetId="160" r:id="rId160"/>
    <sheet name="5.5.2" sheetId="161" r:id="rId161"/>
    <sheet name="Metadato 5.5.2" sheetId="162" r:id="rId162"/>
    <sheet name="5.6.1" sheetId="163" r:id="rId163"/>
    <sheet name="Metadato 5.6.1" sheetId="164" r:id="rId164"/>
    <sheet name="5.6.2" sheetId="165" r:id="rId165"/>
    <sheet name="Metadato 5.6.2" sheetId="166" r:id="rId166"/>
    <sheet name="5.a.1" sheetId="167" r:id="rId167"/>
    <sheet name="Metadato 5.a.1" sheetId="168" r:id="rId168"/>
    <sheet name="5.a.2" sheetId="169" r:id="rId169"/>
    <sheet name="Metadato 5.a.2" sheetId="170" r:id="rId170"/>
    <sheet name="5.b.1" sheetId="171" r:id="rId171"/>
    <sheet name="Metadato 5.b.1" sheetId="172" r:id="rId172"/>
    <sheet name="5.c.1" sheetId="173" r:id="rId173"/>
    <sheet name="Metadato 5.c.1" sheetId="174" r:id="rId174"/>
    <sheet name="ODS 6." sheetId="175" r:id="rId175"/>
    <sheet name="6.1.1" sheetId="176" r:id="rId176"/>
    <sheet name="Metadato 6.1.1" sheetId="177" r:id="rId177"/>
    <sheet name="6.2.1.a" sheetId="178" r:id="rId178"/>
    <sheet name="Metadato 6.2.1.a" sheetId="179" r:id="rId179"/>
    <sheet name="6.2.1.b" sheetId="180" r:id="rId180"/>
    <sheet name="Metadato 6.2.1.b" sheetId="181" r:id="rId181"/>
    <sheet name="6.3.1" sheetId="182" r:id="rId182"/>
    <sheet name="Metadato 6.3.1" sheetId="183" r:id="rId183"/>
    <sheet name="6.3.2" sheetId="184" r:id="rId184"/>
    <sheet name="Metadato 6.3.2" sheetId="185" r:id="rId185"/>
    <sheet name="6.4.1" sheetId="186" r:id="rId186"/>
    <sheet name="Metadato 6.4.1" sheetId="187" r:id="rId187"/>
    <sheet name="6.4.2" sheetId="188" r:id="rId188"/>
    <sheet name="Metadato 6.4.2" sheetId="189" r:id="rId189"/>
    <sheet name="6.5.1" sheetId="190" r:id="rId190"/>
    <sheet name="Metadato 6.5.1" sheetId="191" r:id="rId191"/>
    <sheet name="6.5.2" sheetId="192" r:id="rId192"/>
    <sheet name="Metadato 6.5.2" sheetId="193" r:id="rId193"/>
    <sheet name="6.6.1" sheetId="194" r:id="rId194"/>
    <sheet name="Metadato 6.6.1" sheetId="195" r:id="rId195"/>
    <sheet name="6.a.1" sheetId="196" r:id="rId196"/>
    <sheet name="Metadato 6.a.1" sheetId="197" r:id="rId197"/>
    <sheet name="6.b.1" sheetId="198" r:id="rId198"/>
    <sheet name="Metadato 6.b.1" sheetId="199" r:id="rId199"/>
    <sheet name="ODS 7." sheetId="200" r:id="rId200"/>
    <sheet name="7.1.1" sheetId="201" r:id="rId201"/>
    <sheet name="Metadato 7.1.1" sheetId="202" r:id="rId202"/>
    <sheet name="7.1.2" sheetId="203" r:id="rId203"/>
    <sheet name="Metadato 7.1.2" sheetId="204" r:id="rId204"/>
    <sheet name="7.2.1" sheetId="205" r:id="rId205"/>
    <sheet name="Metadato 7.2.1" sheetId="206" r:id="rId206"/>
    <sheet name="7.2.1 BCCR" sheetId="207" r:id="rId207"/>
    <sheet name="Metadato 7.2.1 BCCR" sheetId="208" r:id="rId208"/>
    <sheet name="7.3.1" sheetId="209" r:id="rId209"/>
    <sheet name="Metadato 7.3.1" sheetId="210" r:id="rId210"/>
    <sheet name="7.3.1 BCCR" sheetId="211" r:id="rId211"/>
    <sheet name="Metadato 7.3.1 BCCR" sheetId="212" r:id="rId212"/>
    <sheet name="7.3.1 BCCR ae" sheetId="213" r:id="rId213"/>
    <sheet name="Metadato 7.3.1 BCCR ae" sheetId="214" r:id="rId214"/>
    <sheet name="7.a.1" sheetId="215" r:id="rId215"/>
    <sheet name="Metadato 7.a.1" sheetId="216" r:id="rId216"/>
    <sheet name="7.b.1" sheetId="217" r:id="rId217"/>
    <sheet name="Metadato 7.b.1" sheetId="218" r:id="rId218"/>
    <sheet name="ODS 8." sheetId="219" r:id="rId219"/>
    <sheet name="8.1.1" sheetId="220" r:id="rId220"/>
    <sheet name="Metadato 8.1.1" sheetId="221" r:id="rId221"/>
    <sheet name="8.2.1" sheetId="222" r:id="rId222"/>
    <sheet name="Metadato 8.2.1" sheetId="223" r:id="rId223"/>
    <sheet name="8.3.1" sheetId="224" r:id="rId224"/>
    <sheet name="Metadato 8.3.1" sheetId="225" r:id="rId225"/>
    <sheet name="8.4.1" sheetId="226" r:id="rId226"/>
    <sheet name="Metadato 8.4.1" sheetId="227" r:id="rId227"/>
    <sheet name="8.4.2" sheetId="228" r:id="rId228"/>
    <sheet name="Metadato 8.4.2" sheetId="229" r:id="rId229"/>
    <sheet name="8.5.1.a" sheetId="230" r:id="rId230"/>
    <sheet name="Metadato 8.5.1.a" sheetId="231" r:id="rId231"/>
    <sheet name="8.5.1.b" sheetId="232" r:id="rId232"/>
    <sheet name="Metadato 8.5.1.b" sheetId="233" r:id="rId233"/>
    <sheet name="8.5.2" sheetId="234" r:id="rId234"/>
    <sheet name="Metadato 8.5.2" sheetId="235" r:id="rId235"/>
    <sheet name="8.6.1" sheetId="236" r:id="rId236"/>
    <sheet name="Metadato 8.6.1" sheetId="237" r:id="rId237"/>
    <sheet name="8.7.1" sheetId="238" r:id="rId238"/>
    <sheet name="Metadato 8.7.1" sheetId="239" r:id="rId239"/>
    <sheet name="8.8.1" sheetId="240" r:id="rId240"/>
    <sheet name="Metadato 8.8.1" sheetId="241" r:id="rId241"/>
    <sheet name="8.8.2.a" sheetId="242" r:id="rId242"/>
    <sheet name="Metadato 8.8.2.a" sheetId="243" r:id="rId243"/>
    <sheet name="8.8.2.b" sheetId="244" r:id="rId244"/>
    <sheet name="Metadato 8.8.2.b" sheetId="245" r:id="rId245"/>
    <sheet name="8.9.1" sheetId="246" r:id="rId246"/>
    <sheet name="Metadato 8.9.1" sheetId="247" r:id="rId247"/>
    <sheet name="8.10.1.a" sheetId="248" r:id="rId248"/>
    <sheet name="Metadato 8.10.1.a" sheetId="249" r:id="rId249"/>
    <sheet name="8.10.1.b" sheetId="250" r:id="rId250"/>
    <sheet name="Metadato 8.10.1.b" sheetId="251" r:id="rId251"/>
    <sheet name="8.10.2" sheetId="252" r:id="rId252"/>
    <sheet name="Metadato 8.10.2" sheetId="253" r:id="rId253"/>
    <sheet name="8.a.1" sheetId="254" r:id="rId254"/>
    <sheet name="Metadato 8.a.1" sheetId="255" r:id="rId255"/>
    <sheet name="8.b.1" sheetId="256" r:id="rId256"/>
    <sheet name="Metadato 8.b.1" sheetId="257" r:id="rId257"/>
    <sheet name="ODS 9." sheetId="258" r:id="rId258"/>
    <sheet name="9.1.1" sheetId="259" r:id="rId259"/>
    <sheet name="Metadato 9.1.1" sheetId="260" r:id="rId260"/>
    <sheet name="9.1.2" sheetId="261" r:id="rId261"/>
    <sheet name="Metadato 9.1.2" sheetId="262" r:id="rId262"/>
    <sheet name="9.2.1" sheetId="263" r:id="rId263"/>
    <sheet name="Metadato 9.2.1" sheetId="264" r:id="rId264"/>
    <sheet name="9.2.2" sheetId="265" r:id="rId265"/>
    <sheet name="Metadato 9.2.2" sheetId="266" r:id="rId266"/>
    <sheet name="9.3.1" sheetId="267" r:id="rId267"/>
    <sheet name="Metadato 9.3.1" sheetId="268" r:id="rId268"/>
    <sheet name="9.3.2" sheetId="269" r:id="rId269"/>
    <sheet name="Metadato 9.3.2" sheetId="270" r:id="rId270"/>
    <sheet name="9.4.1" sheetId="271" r:id="rId271"/>
    <sheet name="Metadato 9.4.1" sheetId="272" r:id="rId272"/>
    <sheet name="9.4.1. ae" sheetId="273" r:id="rId273"/>
    <sheet name="Metadato 9.4.1. ae" sheetId="274" r:id="rId274"/>
    <sheet name="9.5.1" sheetId="275" r:id="rId275"/>
    <sheet name="Metadato 9.5.1" sheetId="276" r:id="rId276"/>
    <sheet name="9.5.2" sheetId="277" r:id="rId277"/>
    <sheet name="Metadato 9.5.2" sheetId="278" r:id="rId278"/>
    <sheet name="9.a.1" sheetId="279" r:id="rId279"/>
    <sheet name="Metadato 9.a.1" sheetId="280" r:id="rId280"/>
    <sheet name="9.b.1" sheetId="281" r:id="rId281"/>
    <sheet name="Metadato 9.b.1" sheetId="282" r:id="rId282"/>
    <sheet name="9.c.1" sheetId="283" r:id="rId283"/>
    <sheet name="Metadato 9.c.1" sheetId="284" r:id="rId284"/>
    <sheet name="ODS 10." sheetId="285" r:id="rId285"/>
    <sheet name="10.1.1" sheetId="286" r:id="rId286"/>
    <sheet name="Metadato 10.1.1" sheetId="287" r:id="rId287"/>
    <sheet name="10.2.1.a" sheetId="288" r:id="rId288"/>
    <sheet name="Metadato 10.2.1.a" sheetId="289" r:id="rId289"/>
    <sheet name="10.2.1.b" sheetId="290" r:id="rId290"/>
    <sheet name="Metadato 10.2.1.b" sheetId="291" r:id="rId291"/>
    <sheet name="10.3.1" sheetId="292" r:id="rId292"/>
    <sheet name="Metadato 10.3.1" sheetId="293" r:id="rId293"/>
    <sheet name="10.3.1 EMNA" sheetId="294" r:id="rId294"/>
    <sheet name="Metadato 10.3.1 EMNA" sheetId="295" r:id="rId295"/>
    <sheet name="10.4.1" sheetId="296" r:id="rId296"/>
    <sheet name="Metadato 10.4.1" sheetId="297" r:id="rId297"/>
    <sheet name="10.4.2" sheetId="298" r:id="rId298"/>
    <sheet name="Metadato 10.4.2" sheetId="299" r:id="rId299"/>
    <sheet name="10.5.1" sheetId="300" r:id="rId300"/>
    <sheet name="Metadato 10.5.1" sheetId="301" r:id="rId301"/>
    <sheet name="10.6.1" sheetId="302" r:id="rId302"/>
    <sheet name="Metadato 10.6.1" sheetId="303" r:id="rId303"/>
    <sheet name="10.7.1" sheetId="304" r:id="rId304"/>
    <sheet name="Metadato 10.7.1" sheetId="305" r:id="rId305"/>
    <sheet name="10.7.2" sheetId="306" r:id="rId306"/>
    <sheet name="Metadato 10.7.2" sheetId="307" r:id="rId307"/>
    <sheet name="10.7.3" sheetId="308" r:id="rId308"/>
    <sheet name="Metadato 10.7.3" sheetId="309" r:id="rId309"/>
    <sheet name="10.7.4" sheetId="310" r:id="rId310"/>
    <sheet name="Metadato 10.7.4" sheetId="311" r:id="rId311"/>
    <sheet name="10.a.1" sheetId="312" r:id="rId312"/>
    <sheet name="Metadato 10.a.1" sheetId="313" r:id="rId313"/>
    <sheet name="10.b.1" sheetId="314" r:id="rId314"/>
    <sheet name="Metadato 10.b.1" sheetId="315" r:id="rId315"/>
    <sheet name="10.c.1" sheetId="316" r:id="rId316"/>
    <sheet name="Metadato 10.c.1" sheetId="317" r:id="rId317"/>
    <sheet name="ODS 11." sheetId="318" r:id="rId318"/>
    <sheet name="11.1.1.a" sheetId="319" r:id="rId319"/>
    <sheet name="Metadato 11.1.1.a" sheetId="320" r:id="rId320"/>
    <sheet name="11.1.1.b" sheetId="321" r:id="rId321"/>
    <sheet name="Metadato 11.1.1.b" sheetId="322" r:id="rId322"/>
    <sheet name="11.1.1.c" sheetId="323" r:id="rId323"/>
    <sheet name="Metadato 11.1.1.c" sheetId="324" r:id="rId324"/>
    <sheet name="11.2.1" sheetId="325" r:id="rId325"/>
    <sheet name="Metadato 11.2.1" sheetId="326" r:id="rId326"/>
    <sheet name="11.3.1" sheetId="327" r:id="rId327"/>
    <sheet name="Metadato 11.3.1" sheetId="328" r:id="rId328"/>
    <sheet name="11.3.2" sheetId="329" r:id="rId329"/>
    <sheet name="Metadato 11.3.2" sheetId="330" r:id="rId330"/>
    <sheet name="11.4.1" sheetId="331" r:id="rId331"/>
    <sheet name="Metadato 11.4.1" sheetId="332" r:id="rId332"/>
    <sheet name="11.5.1" sheetId="333" r:id="rId333"/>
    <sheet name="Metadato 11.5.1" sheetId="334" r:id="rId334"/>
    <sheet name="11.5.2" sheetId="335" r:id="rId335"/>
    <sheet name="Metadato 11.5.2" sheetId="336" r:id="rId336"/>
    <sheet name="11.5.3" sheetId="337" r:id="rId337"/>
    <sheet name="Metadato 11.5.3" sheetId="338" r:id="rId338"/>
    <sheet name="11.6.1" sheetId="546" r:id="rId339"/>
    <sheet name="Metadato 11.6.1" sheetId="340" r:id="rId340"/>
    <sheet name="11.6.2" sheetId="341" r:id="rId341"/>
    <sheet name="Metadato 11.6.2" sheetId="342" r:id="rId342"/>
    <sheet name="11.7.1" sheetId="343" r:id="rId343"/>
    <sheet name="Metadato 11.7.1" sheetId="344" r:id="rId344"/>
    <sheet name="11.7.2" sheetId="345" r:id="rId345"/>
    <sheet name="Metadato 11.7.2" sheetId="346" r:id="rId346"/>
    <sheet name="11.a.1" sheetId="347" r:id="rId347"/>
    <sheet name="Metadato 11.a.1" sheetId="348" r:id="rId348"/>
    <sheet name="11.b.1" sheetId="349" r:id="rId349"/>
    <sheet name="Metadato 11.b.1" sheetId="350" r:id="rId350"/>
    <sheet name="11.b.2" sheetId="351" r:id="rId351"/>
    <sheet name="Metadato 11.b.2" sheetId="352" r:id="rId352"/>
    <sheet name="ODS 12." sheetId="353" r:id="rId353"/>
    <sheet name="12.1.1" sheetId="354" r:id="rId354"/>
    <sheet name="Metadato 12.1.1" sheetId="355" r:id="rId355"/>
    <sheet name="12.2.1" sheetId="356" r:id="rId356"/>
    <sheet name="Metadato 12.2.1" sheetId="357" r:id="rId357"/>
    <sheet name="12.2.2" sheetId="358" r:id="rId358"/>
    <sheet name="Metadato 12.2.2" sheetId="359" r:id="rId359"/>
    <sheet name="12.3.1" sheetId="360" r:id="rId360"/>
    <sheet name="Metadato 12.3.1" sheetId="361" r:id="rId361"/>
    <sheet name="12.4.1" sheetId="362" r:id="rId362"/>
    <sheet name="Metadato 12.4.1" sheetId="363" r:id="rId363"/>
    <sheet name="12.4.2" sheetId="364" r:id="rId364"/>
    <sheet name="Metadato 12.4.2" sheetId="365" r:id="rId365"/>
    <sheet name="12.5.1" sheetId="366" r:id="rId366"/>
    <sheet name="Metadato 12.5.1" sheetId="367" r:id="rId367"/>
    <sheet name="12.6.1" sheetId="368" r:id="rId368"/>
    <sheet name="Metadato 12.6.1" sheetId="369" r:id="rId369"/>
    <sheet name="12.7.1" sheetId="370" r:id="rId370"/>
    <sheet name="Metadato 12.7.1" sheetId="371" r:id="rId371"/>
    <sheet name="12.8.1" sheetId="372" r:id="rId372"/>
    <sheet name="Metadato 12.8.1" sheetId="373" r:id="rId373"/>
    <sheet name="12.a.1" sheetId="374" r:id="rId374"/>
    <sheet name="Metadato 12.a.1" sheetId="375" r:id="rId375"/>
    <sheet name="12.b.1" sheetId="376" r:id="rId376"/>
    <sheet name="Metadato 12.b.1" sheetId="377" r:id="rId377"/>
    <sheet name="12.c.1" sheetId="378" r:id="rId378"/>
    <sheet name="Metadato 12.c.1" sheetId="379" r:id="rId379"/>
    <sheet name="ODS 13." sheetId="380" r:id="rId380"/>
    <sheet name="13.1.1" sheetId="381" r:id="rId381"/>
    <sheet name="Metadato 13.1.1" sheetId="382" r:id="rId382"/>
    <sheet name="13.1.2" sheetId="383" r:id="rId383"/>
    <sheet name="Metadato 13.1.2" sheetId="384" r:id="rId384"/>
    <sheet name="13.1.3" sheetId="385" r:id="rId385"/>
    <sheet name="Metadato 13.1.3" sheetId="386" r:id="rId386"/>
    <sheet name="13.2.1" sheetId="387" r:id="rId387"/>
    <sheet name="Metadato 13.2.1" sheetId="388" r:id="rId388"/>
    <sheet name="13.2.2" sheetId="389" r:id="rId389"/>
    <sheet name="Metadato 13.2.2" sheetId="390" r:id="rId390"/>
    <sheet name="13.3.1" sheetId="391" r:id="rId391"/>
    <sheet name="Metadatos 13.3.1" sheetId="392" r:id="rId392"/>
    <sheet name="13.a.1" sheetId="393" r:id="rId393"/>
    <sheet name="Metadato 13.a.1" sheetId="394" r:id="rId394"/>
    <sheet name="13.b.1" sheetId="395" r:id="rId395"/>
    <sheet name="Metadato 13.b.1" sheetId="396" r:id="rId396"/>
    <sheet name="ODS 14." sheetId="397" r:id="rId397"/>
    <sheet name="14.1.1" sheetId="398" r:id="rId398"/>
    <sheet name="Metadato 14.1.1" sheetId="399" r:id="rId399"/>
    <sheet name="14.2.1" sheetId="400" r:id="rId400"/>
    <sheet name="Metadato 14.2.1" sheetId="401" r:id="rId401"/>
    <sheet name="14.3.1" sheetId="402" r:id="rId402"/>
    <sheet name="Metadato 14.3.1" sheetId="403" r:id="rId403"/>
    <sheet name="14.4.1" sheetId="404" r:id="rId404"/>
    <sheet name="Metadato 14.4.1" sheetId="405" r:id="rId405"/>
    <sheet name="14.5.1" sheetId="406" r:id="rId406"/>
    <sheet name="Metadato 14.5.1" sheetId="407" r:id="rId407"/>
    <sheet name="14.6.1" sheetId="408" r:id="rId408"/>
    <sheet name="14.7.1" sheetId="409" r:id="rId409"/>
    <sheet name="Metadato 14.7.1" sheetId="410" r:id="rId410"/>
    <sheet name="14.a.1" sheetId="411" r:id="rId411"/>
    <sheet name="Metadato 14.a.1" sheetId="412" r:id="rId412"/>
    <sheet name="14.b.1" sheetId="413" r:id="rId413"/>
    <sheet name="Metadato 14.b.1" sheetId="414" r:id="rId414"/>
    <sheet name="14.c.1" sheetId="415" r:id="rId415"/>
    <sheet name="Metadato 14.c.1" sheetId="416" r:id="rId416"/>
    <sheet name="ODS 15." sheetId="417" r:id="rId417"/>
    <sheet name="15.1.1" sheetId="418" r:id="rId418"/>
    <sheet name="Metadato 15.1.1" sheetId="419" r:id="rId419"/>
    <sheet name="15.1.2" sheetId="420" r:id="rId420"/>
    <sheet name="Metadato 15.1.2" sheetId="421" r:id="rId421"/>
    <sheet name="15.2.1" sheetId="422" r:id="rId422"/>
    <sheet name="Metadato 15.2.1" sheetId="423" r:id="rId423"/>
    <sheet name="15.3.1" sheetId="424" r:id="rId424"/>
    <sheet name="Metadato 15.3.1" sheetId="425" r:id="rId425"/>
    <sheet name="15.4.1" sheetId="426" r:id="rId426"/>
    <sheet name="Metadato 15.4.1" sheetId="427" r:id="rId427"/>
    <sheet name="15.4.2" sheetId="428" r:id="rId428"/>
    <sheet name="Metadato 15.4.2" sheetId="429" r:id="rId429"/>
    <sheet name="15.5.1" sheetId="430" r:id="rId430"/>
    <sheet name="Metadato 15.5.1" sheetId="431" r:id="rId431"/>
    <sheet name="15.6.1" sheetId="432" r:id="rId432"/>
    <sheet name="Metadato 15.6.1" sheetId="433" r:id="rId433"/>
    <sheet name="15.7.1" sheetId="434" r:id="rId434"/>
    <sheet name="Metadato 15.7.1" sheetId="435" r:id="rId435"/>
    <sheet name="15.8.1" sheetId="436" r:id="rId436"/>
    <sheet name="Metadato 15.8.1" sheetId="437" r:id="rId437"/>
    <sheet name="15.9.1" sheetId="438" r:id="rId438"/>
    <sheet name="Metadato 15.9.1" sheetId="439" r:id="rId439"/>
    <sheet name="15.a.1" sheetId="440" r:id="rId440"/>
    <sheet name="Metadato 15.a.1" sheetId="441" r:id="rId441"/>
    <sheet name="15.b.1" sheetId="442" r:id="rId442"/>
    <sheet name="Metadato 15.b.1" sheetId="443" r:id="rId443"/>
    <sheet name="15.c.1" sheetId="444" r:id="rId444"/>
    <sheet name="Metadato 15.c.1" sheetId="445" r:id="rId445"/>
    <sheet name="ODS 16." sheetId="446" r:id="rId446"/>
    <sheet name="16.1.1" sheetId="447" r:id="rId447"/>
    <sheet name="Metadato 16.1.1" sheetId="448" r:id="rId448"/>
    <sheet name="16.1.2" sheetId="449" r:id="rId449"/>
    <sheet name="Metadato 16.1.2" sheetId="450" r:id="rId450"/>
    <sheet name="16.1.3" sheetId="451" r:id="rId451"/>
    <sheet name="Metadato 16.1.3" sheetId="452" r:id="rId452"/>
    <sheet name="16.1.4" sheetId="453" r:id="rId453"/>
    <sheet name="Metadato 16.1.4" sheetId="454" r:id="rId454"/>
    <sheet name="16.2.1" sheetId="455" r:id="rId455"/>
    <sheet name="Metadato 16.2.1" sheetId="456" r:id="rId456"/>
    <sheet name="16.2.2" sheetId="457" r:id="rId457"/>
    <sheet name="Metadato 16.2.2" sheetId="458" r:id="rId458"/>
    <sheet name="16.2.3" sheetId="459" r:id="rId459"/>
    <sheet name="Metadato 16.2.3" sheetId="460" r:id="rId460"/>
    <sheet name="16.3.1" sheetId="461" r:id="rId461"/>
    <sheet name="Metadato 16.3.1" sheetId="462" r:id="rId462"/>
    <sheet name="16.3.2" sheetId="463" r:id="rId463"/>
    <sheet name="Metadato 16.3.2" sheetId="464" r:id="rId464"/>
    <sheet name="16.3.3" sheetId="465" r:id="rId465"/>
    <sheet name="Metadato 16.3.3" sheetId="466" r:id="rId466"/>
    <sheet name="16.4.1" sheetId="467" r:id="rId467"/>
    <sheet name="Metadato 16.4.1" sheetId="468" r:id="rId468"/>
    <sheet name="16.4.2" sheetId="469" r:id="rId469"/>
    <sheet name="Metadato 16.4.2" sheetId="470" r:id="rId470"/>
    <sheet name="16.5.1" sheetId="471" r:id="rId471"/>
    <sheet name="Metadato 16.5.1" sheetId="472" r:id="rId472"/>
    <sheet name="16.5.2" sheetId="473" r:id="rId473"/>
    <sheet name="Metadato 16.5.2" sheetId="474" r:id="rId474"/>
    <sheet name="16.6.1" sheetId="475" r:id="rId475"/>
    <sheet name="Metadato 16.6.1" sheetId="476" r:id="rId476"/>
    <sheet name="16.6.2" sheetId="477" r:id="rId477"/>
    <sheet name="Metadato 16.6.2" sheetId="478" r:id="rId478"/>
    <sheet name="16.7.1" sheetId="479" r:id="rId479"/>
    <sheet name="Metadato 16.7.1" sheetId="480" r:id="rId480"/>
    <sheet name="16.7.2" sheetId="481" r:id="rId481"/>
    <sheet name="Metadato 16.7.2" sheetId="482" r:id="rId482"/>
    <sheet name="16.8.1" sheetId="483" r:id="rId483"/>
    <sheet name="Metadato 16.8.1" sheetId="484" r:id="rId484"/>
    <sheet name="16.9.1" sheetId="485" r:id="rId485"/>
    <sheet name="Metadato 16.9.1" sheetId="486" r:id="rId486"/>
    <sheet name="16.10.1" sheetId="487" r:id="rId487"/>
    <sheet name="Metadato 16.10.1" sheetId="488" r:id="rId488"/>
    <sheet name="16.10.2" sheetId="489" r:id="rId489"/>
    <sheet name="Metadato 16.10.2" sheetId="490" r:id="rId490"/>
    <sheet name="16.a.1" sheetId="491" r:id="rId491"/>
    <sheet name="Metadato 16.a.1" sheetId="492" r:id="rId492"/>
    <sheet name="16.b.1" sheetId="493" r:id="rId493"/>
    <sheet name="Metadato 16.b.1" sheetId="494" r:id="rId494"/>
    <sheet name="16.b.1 EMNA" sheetId="495" r:id="rId495"/>
    <sheet name="Metadato 16.b.1 EMNA" sheetId="496" r:id="rId496"/>
    <sheet name="ODS 17." sheetId="497" r:id="rId497"/>
    <sheet name="17.1.1" sheetId="498" r:id="rId498"/>
    <sheet name="Metadato 17.1.1" sheetId="499" r:id="rId499"/>
    <sheet name="17.1.2" sheetId="500" r:id="rId500"/>
    <sheet name="Metadato 17.1.2" sheetId="501" r:id="rId501"/>
    <sheet name="17.2.1" sheetId="502" r:id="rId502"/>
    <sheet name="Metadato 17.2.1" sheetId="503" r:id="rId503"/>
    <sheet name="17.3.1" sheetId="504" r:id="rId504"/>
    <sheet name="Metadato 17.3.1" sheetId="505" r:id="rId505"/>
    <sheet name="17.3.2" sheetId="506" r:id="rId506"/>
    <sheet name="Metadato 17.3.2" sheetId="507" r:id="rId507"/>
    <sheet name="17.4.1" sheetId="508" r:id="rId508"/>
    <sheet name="Metadato 17.4.1" sheetId="509" r:id="rId509"/>
    <sheet name="17.5.1" sheetId="510" r:id="rId510"/>
    <sheet name="Metadato 17.5.1" sheetId="511" r:id="rId511"/>
    <sheet name="17.6.1" sheetId="512" r:id="rId512"/>
    <sheet name="Metadato 17.6.1" sheetId="513" r:id="rId513"/>
    <sheet name="17.7.1" sheetId="514" r:id="rId514"/>
    <sheet name="Metadato 17.7.1" sheetId="515" r:id="rId515"/>
    <sheet name="17.8.1" sheetId="516" r:id="rId516"/>
    <sheet name="Metadato 17.8.1" sheetId="517" r:id="rId517"/>
    <sheet name="17.9.1" sheetId="518" r:id="rId518"/>
    <sheet name="Metadato 17.9.1" sheetId="519" r:id="rId519"/>
    <sheet name="17.10.1" sheetId="520" r:id="rId520"/>
    <sheet name="Metadato 17.10.1" sheetId="521" r:id="rId521"/>
    <sheet name="17.11.1" sheetId="522" r:id="rId522"/>
    <sheet name="Metadato 17.11.1" sheetId="523" r:id="rId523"/>
    <sheet name="17.12.1" sheetId="524" r:id="rId524"/>
    <sheet name="Metadato 17.12.1" sheetId="525" r:id="rId525"/>
    <sheet name="17.13.1" sheetId="526" r:id="rId526"/>
    <sheet name="Metadata 17.13.1" sheetId="527" r:id="rId527"/>
    <sheet name="17.14.1" sheetId="528" r:id="rId528"/>
    <sheet name="Metadato 17.14.1" sheetId="529" r:id="rId529"/>
    <sheet name="17.15.1" sheetId="530" r:id="rId530"/>
    <sheet name="Metadato 17.15.1" sheetId="531" r:id="rId531"/>
    <sheet name="17.16.1" sheetId="532" r:id="rId532"/>
    <sheet name="Metadato 17.16.1" sheetId="533" r:id="rId533"/>
    <sheet name="17.17.1" sheetId="534" r:id="rId534"/>
    <sheet name="Metadato 17.17.1" sheetId="535" r:id="rId535"/>
    <sheet name="17.18.1" sheetId="536" r:id="rId536"/>
    <sheet name="Metadato 17.18.1" sheetId="537" r:id="rId537"/>
    <sheet name="17.18.2" sheetId="538" r:id="rId538"/>
    <sheet name="Metadato 17.18.2" sheetId="539" r:id="rId539"/>
    <sheet name="17.18.3" sheetId="540" r:id="rId540"/>
    <sheet name="Metadato 17.18.3" sheetId="541" r:id="rId541"/>
    <sheet name="17.19.1" sheetId="542" r:id="rId542"/>
    <sheet name="Metadato 17.19.1" sheetId="543" r:id="rId543"/>
    <sheet name="17.19.2" sheetId="544" r:id="rId544"/>
    <sheet name="Metadato 17.19.2" sheetId="545" r:id="rId54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52" i="546" l="1"/>
  <c r="AQ46" i="546" s="1"/>
  <c r="AQ51" i="546"/>
  <c r="AQ45" i="546"/>
  <c r="AN52" i="546"/>
  <c r="AO50" i="546"/>
  <c r="AL52" i="546"/>
  <c r="AM46" i="546" s="1"/>
  <c r="AM49" i="546"/>
  <c r="AM50" i="546"/>
  <c r="AM51" i="546"/>
  <c r="AJ52" i="546"/>
  <c r="AK46" i="546" s="1"/>
  <c r="AK49" i="546"/>
  <c r="AK51" i="546"/>
  <c r="AA46" i="546"/>
  <c r="AA47" i="546"/>
  <c r="AA48" i="546"/>
  <c r="AA49" i="546"/>
  <c r="AA50" i="546"/>
  <c r="AA51" i="546"/>
  <c r="AA52" i="546"/>
  <c r="AA45" i="546"/>
  <c r="R68" i="546"/>
  <c r="R52" i="546"/>
  <c r="S52" i="546" s="1"/>
  <c r="R51" i="546"/>
  <c r="R50" i="546"/>
  <c r="R49" i="546"/>
  <c r="R48" i="546"/>
  <c r="R47" i="546"/>
  <c r="R46" i="546"/>
  <c r="R45" i="546"/>
  <c r="Y37" i="546"/>
  <c r="X37" i="546"/>
  <c r="V37" i="546"/>
  <c r="Y36" i="546"/>
  <c r="Y35" i="546"/>
  <c r="Y34" i="546"/>
  <c r="Y33" i="546"/>
  <c r="Y32" i="546"/>
  <c r="Y31" i="546"/>
  <c r="Y30" i="546"/>
  <c r="Z68" i="546"/>
  <c r="Y68" i="546"/>
  <c r="V68" i="546"/>
  <c r="X68" i="546" s="1"/>
  <c r="W68" i="546"/>
  <c r="AH37" i="546"/>
  <c r="AI32" i="546" s="1"/>
  <c r="AI36" i="546"/>
  <c r="AF37" i="546"/>
  <c r="AG31" i="546" s="1"/>
  <c r="AG30" i="546"/>
  <c r="AD37" i="546"/>
  <c r="AE31" i="546" s="1"/>
  <c r="AE30" i="546"/>
  <c r="AE36" i="546"/>
  <c r="AB37" i="546"/>
  <c r="AC30" i="546" s="1"/>
  <c r="Z37" i="546"/>
  <c r="AA30" i="546" s="1"/>
  <c r="AA34" i="546"/>
  <c r="AA35" i="546"/>
  <c r="AA36" i="546"/>
  <c r="AJ68" i="546"/>
  <c r="AH68" i="546"/>
  <c r="AI68" i="546" s="1"/>
  <c r="AI67" i="546"/>
  <c r="AI66" i="546"/>
  <c r="AI65" i="546"/>
  <c r="AI64" i="546"/>
  <c r="AI63" i="546"/>
  <c r="AI62" i="546"/>
  <c r="AI61" i="546"/>
  <c r="AH52" i="546"/>
  <c r="AI52" i="546" s="1"/>
  <c r="AH51" i="546"/>
  <c r="AI51" i="546" s="1"/>
  <c r="AH50" i="546"/>
  <c r="AI50" i="546" s="1"/>
  <c r="AH49" i="546"/>
  <c r="AH48" i="546"/>
  <c r="AI48" i="546" s="1"/>
  <c r="AH47" i="546"/>
  <c r="AH46" i="546"/>
  <c r="AI46" i="546" s="1"/>
  <c r="AH45" i="546"/>
  <c r="AO37" i="546"/>
  <c r="AS37" i="546"/>
  <c r="AO36" i="546"/>
  <c r="AO35" i="546"/>
  <c r="AU35" i="546" s="1"/>
  <c r="AS35" i="546"/>
  <c r="AO34" i="546"/>
  <c r="AS34" i="546"/>
  <c r="AU34" i="546" s="1"/>
  <c r="AP34" i="546"/>
  <c r="AO33" i="546"/>
  <c r="AS33" i="546" s="1"/>
  <c r="AO32" i="546"/>
  <c r="AU32" i="546" s="1"/>
  <c r="AS32" i="546"/>
  <c r="AO31" i="546"/>
  <c r="AO30" i="546"/>
  <c r="BD37" i="546"/>
  <c r="BE35" i="546" s="1"/>
  <c r="BB37" i="546"/>
  <c r="BC34" i="546" s="1"/>
  <c r="AZ37" i="546"/>
  <c r="BA37" i="546" s="1"/>
  <c r="AX37" i="546"/>
  <c r="AV37" i="546"/>
  <c r="AW33" i="546" s="1"/>
  <c r="BE36" i="546"/>
  <c r="BA36" i="546"/>
  <c r="BC35" i="546"/>
  <c r="AW35" i="546"/>
  <c r="BE34" i="546"/>
  <c r="AW34" i="546"/>
  <c r="BE33" i="546"/>
  <c r="BE32" i="546"/>
  <c r="AY32" i="546"/>
  <c r="AW32" i="546"/>
  <c r="BE31" i="546"/>
  <c r="AW31" i="546"/>
  <c r="BE30" i="546"/>
  <c r="AY30" i="546"/>
  <c r="AW30" i="546"/>
  <c r="H22" i="546"/>
  <c r="F22" i="546"/>
  <c r="G22" i="546" s="1"/>
  <c r="D22" i="546"/>
  <c r="E21" i="546" s="1"/>
  <c r="G20" i="546"/>
  <c r="G19" i="546"/>
  <c r="G18" i="546"/>
  <c r="G17" i="546"/>
  <c r="E17" i="546"/>
  <c r="G16" i="546"/>
  <c r="G15" i="546"/>
  <c r="O22" i="546"/>
  <c r="P21" i="546" s="1"/>
  <c r="P22" i="546"/>
  <c r="M22" i="546"/>
  <c r="N19" i="546" s="1"/>
  <c r="N22" i="546"/>
  <c r="K22" i="546"/>
  <c r="L22" i="546" s="1"/>
  <c r="P20" i="546"/>
  <c r="N20" i="546"/>
  <c r="P19" i="546"/>
  <c r="P18" i="546"/>
  <c r="P17" i="546"/>
  <c r="N17" i="546"/>
  <c r="L17" i="546"/>
  <c r="P16" i="546"/>
  <c r="P15" i="546"/>
  <c r="N15" i="546"/>
  <c r="V22" i="546"/>
  <c r="W17" i="546" s="1"/>
  <c r="W22" i="546"/>
  <c r="T22" i="546"/>
  <c r="U21" i="546" s="1"/>
  <c r="R22" i="546"/>
  <c r="S20" i="546" s="1"/>
  <c r="S21" i="546"/>
  <c r="W20" i="546"/>
  <c r="S19" i="546"/>
  <c r="W18" i="546"/>
  <c r="S18" i="546"/>
  <c r="S17" i="546"/>
  <c r="S16" i="546"/>
  <c r="W15" i="546"/>
  <c r="S15" i="546"/>
  <c r="AC22" i="546"/>
  <c r="AD16" i="546" s="1"/>
  <c r="AA22" i="546"/>
  <c r="AB20" i="546" s="1"/>
  <c r="AB22" i="546"/>
  <c r="Y22" i="546"/>
  <c r="Z17" i="546" s="1"/>
  <c r="Z16" i="546"/>
  <c r="AB21" i="546"/>
  <c r="AB19" i="546"/>
  <c r="AB18" i="546"/>
  <c r="AD17" i="546"/>
  <c r="AB17" i="546"/>
  <c r="AB16" i="546"/>
  <c r="AB15" i="546"/>
  <c r="F30" i="508"/>
  <c r="F29" i="508"/>
  <c r="F28" i="508"/>
  <c r="Q372" i="504"/>
  <c r="Q373" i="504"/>
  <c r="Q374" i="504"/>
  <c r="I372" i="504"/>
  <c r="I373" i="504"/>
  <c r="I374" i="504"/>
  <c r="R374" i="504"/>
  <c r="P374" i="504"/>
  <c r="O374" i="504"/>
  <c r="N374" i="504"/>
  <c r="M374" i="504"/>
  <c r="L374" i="504"/>
  <c r="K374" i="504"/>
  <c r="J374" i="504"/>
  <c r="H374" i="504"/>
  <c r="G374" i="504"/>
  <c r="F374" i="504"/>
  <c r="E374" i="504"/>
  <c r="P373" i="504"/>
  <c r="O373" i="504"/>
  <c r="N373" i="504"/>
  <c r="M373" i="504"/>
  <c r="L373" i="504"/>
  <c r="L375" i="504" s="1"/>
  <c r="K373" i="504"/>
  <c r="J373" i="504"/>
  <c r="H373" i="504"/>
  <c r="G373" i="504"/>
  <c r="F373" i="504"/>
  <c r="E373" i="504"/>
  <c r="R372" i="504"/>
  <c r="P372" i="504"/>
  <c r="O372" i="504"/>
  <c r="O375" i="504" s="1"/>
  <c r="N372" i="504"/>
  <c r="N375" i="504"/>
  <c r="M372" i="504"/>
  <c r="L372" i="504"/>
  <c r="K372" i="504"/>
  <c r="J372" i="504"/>
  <c r="J375" i="504" s="1"/>
  <c r="H372" i="504"/>
  <c r="G372" i="504"/>
  <c r="G375" i="504" s="1"/>
  <c r="F372" i="504"/>
  <c r="F375" i="504" s="1"/>
  <c r="E372" i="504"/>
  <c r="Q368" i="504"/>
  <c r="Q369" i="504"/>
  <c r="Q370" i="504"/>
  <c r="L368" i="504"/>
  <c r="L369" i="504"/>
  <c r="L370" i="504"/>
  <c r="I368" i="504"/>
  <c r="I369" i="504"/>
  <c r="I371" i="504" s="1"/>
  <c r="I370" i="504"/>
  <c r="R370" i="504"/>
  <c r="P370" i="504"/>
  <c r="O370" i="504"/>
  <c r="N370" i="504"/>
  <c r="M370" i="504"/>
  <c r="K370" i="504"/>
  <c r="J370" i="504"/>
  <c r="H370" i="504"/>
  <c r="G370" i="504"/>
  <c r="F370" i="504"/>
  <c r="E370" i="504"/>
  <c r="R369" i="504"/>
  <c r="P369" i="504"/>
  <c r="O369" i="504"/>
  <c r="N369" i="504"/>
  <c r="M369" i="504"/>
  <c r="K369" i="504"/>
  <c r="J369" i="504"/>
  <c r="H369" i="504"/>
  <c r="G369" i="504"/>
  <c r="F369" i="504"/>
  <c r="E369" i="504"/>
  <c r="R368" i="504"/>
  <c r="P368" i="504"/>
  <c r="O368" i="504"/>
  <c r="N368" i="504"/>
  <c r="N371" i="504"/>
  <c r="M368" i="504"/>
  <c r="K368" i="504"/>
  <c r="K371" i="504" s="1"/>
  <c r="J368" i="504"/>
  <c r="H368" i="504"/>
  <c r="G368" i="504"/>
  <c r="F368" i="504"/>
  <c r="F371" i="504" s="1"/>
  <c r="E368" i="504"/>
  <c r="E371" i="504" s="1"/>
  <c r="E376" i="504" s="1"/>
  <c r="R367" i="504"/>
  <c r="Q367" i="504"/>
  <c r="P367" i="504"/>
  <c r="O367" i="504"/>
  <c r="N367" i="504"/>
  <c r="M367" i="504"/>
  <c r="L367" i="504"/>
  <c r="K367" i="504"/>
  <c r="J367" i="504"/>
  <c r="I367" i="504"/>
  <c r="H367" i="504"/>
  <c r="G367" i="504"/>
  <c r="F367" i="504"/>
  <c r="E367" i="504"/>
  <c r="R366" i="504"/>
  <c r="Q366" i="504"/>
  <c r="P366" i="504"/>
  <c r="O366" i="504"/>
  <c r="N366" i="504"/>
  <c r="M366" i="504"/>
  <c r="L366" i="504"/>
  <c r="K366" i="504"/>
  <c r="J366" i="504"/>
  <c r="I366" i="504"/>
  <c r="H366" i="504"/>
  <c r="G366" i="504"/>
  <c r="F366" i="504"/>
  <c r="E366" i="504"/>
  <c r="R360" i="504"/>
  <c r="Q362" i="504"/>
  <c r="P362" i="504"/>
  <c r="O362" i="504"/>
  <c r="N362" i="504"/>
  <c r="M362" i="504"/>
  <c r="L362" i="504"/>
  <c r="K362" i="504"/>
  <c r="J362" i="504"/>
  <c r="I362" i="504"/>
  <c r="H362" i="504"/>
  <c r="G362" i="504"/>
  <c r="F362" i="504"/>
  <c r="E362" i="504"/>
  <c r="R358" i="504"/>
  <c r="Q358" i="504"/>
  <c r="P358" i="504"/>
  <c r="O358" i="504"/>
  <c r="N358" i="504"/>
  <c r="M358" i="504"/>
  <c r="L358" i="504"/>
  <c r="K358" i="504"/>
  <c r="J358" i="504"/>
  <c r="I358" i="504"/>
  <c r="H358" i="504"/>
  <c r="G358" i="504"/>
  <c r="F358" i="504"/>
  <c r="E358" i="504"/>
  <c r="R354" i="504"/>
  <c r="Q354" i="504"/>
  <c r="P354" i="504"/>
  <c r="O354" i="504"/>
  <c r="N354" i="504"/>
  <c r="M354" i="504"/>
  <c r="L354" i="504"/>
  <c r="K354" i="504"/>
  <c r="J354" i="504"/>
  <c r="I354" i="504"/>
  <c r="H354" i="504"/>
  <c r="G354" i="504"/>
  <c r="F354" i="504"/>
  <c r="E354" i="504"/>
  <c r="R350" i="504"/>
  <c r="Q350" i="504"/>
  <c r="P350" i="504"/>
  <c r="O350" i="504"/>
  <c r="N350" i="504"/>
  <c r="M350" i="504"/>
  <c r="L350" i="504"/>
  <c r="K350" i="504"/>
  <c r="J350" i="504"/>
  <c r="I350" i="504"/>
  <c r="H350" i="504"/>
  <c r="G350" i="504"/>
  <c r="F350" i="504"/>
  <c r="E350" i="504"/>
  <c r="R346" i="504"/>
  <c r="Q346" i="504"/>
  <c r="P346" i="504"/>
  <c r="O346" i="504"/>
  <c r="N346" i="504"/>
  <c r="M346" i="504"/>
  <c r="L346" i="504"/>
  <c r="K346" i="504"/>
  <c r="J346" i="504"/>
  <c r="I346" i="504"/>
  <c r="H346" i="504"/>
  <c r="G346" i="504"/>
  <c r="F346" i="504"/>
  <c r="E346" i="504"/>
  <c r="R342" i="504"/>
  <c r="Q342" i="504"/>
  <c r="P342" i="504"/>
  <c r="O342" i="504"/>
  <c r="N342" i="504"/>
  <c r="M342" i="504"/>
  <c r="L342" i="504"/>
  <c r="K342" i="504"/>
  <c r="J342" i="504"/>
  <c r="I342" i="504"/>
  <c r="H342" i="504"/>
  <c r="G342" i="504"/>
  <c r="F342" i="504"/>
  <c r="E342" i="504"/>
  <c r="R338" i="504"/>
  <c r="Q338" i="504"/>
  <c r="P338" i="504"/>
  <c r="O338" i="504"/>
  <c r="N338" i="504"/>
  <c r="M338" i="504"/>
  <c r="L338" i="504"/>
  <c r="K338" i="504"/>
  <c r="J338" i="504"/>
  <c r="I338" i="504"/>
  <c r="H338" i="504"/>
  <c r="G338" i="504"/>
  <c r="F338" i="504"/>
  <c r="E338" i="504"/>
  <c r="R334" i="504"/>
  <c r="Q334" i="504"/>
  <c r="P334" i="504"/>
  <c r="O334" i="504"/>
  <c r="N334" i="504"/>
  <c r="M334" i="504"/>
  <c r="L334" i="504"/>
  <c r="K334" i="504"/>
  <c r="J334" i="504"/>
  <c r="I334" i="504"/>
  <c r="H334" i="504"/>
  <c r="G334" i="504"/>
  <c r="F334" i="504"/>
  <c r="E334" i="504"/>
  <c r="R330" i="504"/>
  <c r="Q330" i="504"/>
  <c r="P330" i="504"/>
  <c r="O330" i="504"/>
  <c r="N330" i="504"/>
  <c r="M330" i="504"/>
  <c r="L330" i="504"/>
  <c r="K330" i="504"/>
  <c r="J330" i="504"/>
  <c r="I330" i="504"/>
  <c r="H330" i="504"/>
  <c r="G330" i="504"/>
  <c r="F330" i="504"/>
  <c r="E330" i="504"/>
  <c r="R326" i="504"/>
  <c r="Q326" i="504"/>
  <c r="P326" i="504"/>
  <c r="O326" i="504"/>
  <c r="N326" i="504"/>
  <c r="M326" i="504"/>
  <c r="L326" i="504"/>
  <c r="K326" i="504"/>
  <c r="J326" i="504"/>
  <c r="I326" i="504"/>
  <c r="H326" i="504"/>
  <c r="G326" i="504"/>
  <c r="F326" i="504"/>
  <c r="E326" i="504"/>
  <c r="R322" i="504"/>
  <c r="Q322" i="504"/>
  <c r="P322" i="504"/>
  <c r="O322" i="504"/>
  <c r="N322" i="504"/>
  <c r="M322" i="504"/>
  <c r="L322" i="504"/>
  <c r="K322" i="504"/>
  <c r="J322" i="504"/>
  <c r="I322" i="504"/>
  <c r="H322" i="504"/>
  <c r="G322" i="504"/>
  <c r="F322" i="504"/>
  <c r="E322" i="504"/>
  <c r="R318" i="504"/>
  <c r="Q318" i="504"/>
  <c r="P318" i="504"/>
  <c r="O318" i="504"/>
  <c r="N318" i="504"/>
  <c r="M318" i="504"/>
  <c r="L318" i="504"/>
  <c r="K318" i="504"/>
  <c r="J318" i="504"/>
  <c r="I318" i="504"/>
  <c r="H318" i="504"/>
  <c r="G318" i="504"/>
  <c r="F318" i="504"/>
  <c r="E318" i="504"/>
  <c r="R314" i="504"/>
  <c r="Q314" i="504"/>
  <c r="P314" i="504"/>
  <c r="O314" i="504"/>
  <c r="N314" i="504"/>
  <c r="M314" i="504"/>
  <c r="L314" i="504"/>
  <c r="K314" i="504"/>
  <c r="J314" i="504"/>
  <c r="I314" i="504"/>
  <c r="H314" i="504"/>
  <c r="G314" i="504"/>
  <c r="F314" i="504"/>
  <c r="E314" i="504"/>
  <c r="R310" i="504"/>
  <c r="Q310" i="504"/>
  <c r="P310" i="504"/>
  <c r="O310" i="504"/>
  <c r="N310" i="504"/>
  <c r="M310" i="504"/>
  <c r="L310" i="504"/>
  <c r="K310" i="504"/>
  <c r="J310" i="504"/>
  <c r="I310" i="504"/>
  <c r="H310" i="504"/>
  <c r="G310" i="504"/>
  <c r="F310" i="504"/>
  <c r="E310" i="504"/>
  <c r="R306" i="504"/>
  <c r="Q306" i="504"/>
  <c r="P306" i="504"/>
  <c r="O306" i="504"/>
  <c r="N306" i="504"/>
  <c r="M306" i="504"/>
  <c r="L306" i="504"/>
  <c r="K306" i="504"/>
  <c r="J306" i="504"/>
  <c r="I306" i="504"/>
  <c r="H306" i="504"/>
  <c r="G306" i="504"/>
  <c r="F306" i="504"/>
  <c r="E306" i="504"/>
  <c r="R302" i="504"/>
  <c r="Q302" i="504"/>
  <c r="P302" i="504"/>
  <c r="O302" i="504"/>
  <c r="N302" i="504"/>
  <c r="M302" i="504"/>
  <c r="L302" i="504"/>
  <c r="K302" i="504"/>
  <c r="J302" i="504"/>
  <c r="I302" i="504"/>
  <c r="H302" i="504"/>
  <c r="G302" i="504"/>
  <c r="F302" i="504"/>
  <c r="E302" i="504"/>
  <c r="R298" i="504"/>
  <c r="Q298" i="504"/>
  <c r="P298" i="504"/>
  <c r="O298" i="504"/>
  <c r="N298" i="504"/>
  <c r="M298" i="504"/>
  <c r="L298" i="504"/>
  <c r="K298" i="504"/>
  <c r="J298" i="504"/>
  <c r="I298" i="504"/>
  <c r="H298" i="504"/>
  <c r="G298" i="504"/>
  <c r="F298" i="504"/>
  <c r="E298" i="504"/>
  <c r="R294" i="504"/>
  <c r="Q294" i="504"/>
  <c r="P294" i="504"/>
  <c r="O294" i="504"/>
  <c r="N294" i="504"/>
  <c r="M294" i="504"/>
  <c r="L294" i="504"/>
  <c r="K294" i="504"/>
  <c r="J294" i="504"/>
  <c r="I294" i="504"/>
  <c r="H294" i="504"/>
  <c r="G294" i="504"/>
  <c r="F294" i="504"/>
  <c r="E294" i="504"/>
  <c r="R290" i="504"/>
  <c r="Q290" i="504"/>
  <c r="P290" i="504"/>
  <c r="O290" i="504"/>
  <c r="N290" i="504"/>
  <c r="M290" i="504"/>
  <c r="L290" i="504"/>
  <c r="K290" i="504"/>
  <c r="J290" i="504"/>
  <c r="I290" i="504"/>
  <c r="H290" i="504"/>
  <c r="G290" i="504"/>
  <c r="F290" i="504"/>
  <c r="E290" i="504"/>
  <c r="R286" i="504"/>
  <c r="P286" i="504"/>
  <c r="O286" i="504"/>
  <c r="N286" i="504"/>
  <c r="M286" i="504"/>
  <c r="L286" i="504"/>
  <c r="K286" i="504"/>
  <c r="J286" i="504"/>
  <c r="I286" i="504"/>
  <c r="H286" i="504"/>
  <c r="G286" i="504"/>
  <c r="F286" i="504"/>
  <c r="E286" i="504"/>
  <c r="R282" i="504"/>
  <c r="Q282" i="504"/>
  <c r="P282" i="504"/>
  <c r="O282" i="504"/>
  <c r="N282" i="504"/>
  <c r="M282" i="504"/>
  <c r="L282" i="504"/>
  <c r="K282" i="504"/>
  <c r="J282" i="504"/>
  <c r="I282" i="504"/>
  <c r="H282" i="504"/>
  <c r="G282" i="504"/>
  <c r="F282" i="504"/>
  <c r="E282" i="504"/>
  <c r="R278" i="504"/>
  <c r="Q278" i="504"/>
  <c r="P278" i="504"/>
  <c r="O278" i="504"/>
  <c r="N278" i="504"/>
  <c r="M278" i="504"/>
  <c r="L278" i="504"/>
  <c r="K278" i="504"/>
  <c r="J278" i="504"/>
  <c r="I278" i="504"/>
  <c r="H278" i="504"/>
  <c r="G278" i="504"/>
  <c r="F278" i="504"/>
  <c r="E278" i="504"/>
  <c r="R274" i="504"/>
  <c r="Q274" i="504"/>
  <c r="P274" i="504"/>
  <c r="O274" i="504"/>
  <c r="N274" i="504"/>
  <c r="M274" i="504"/>
  <c r="L274" i="504"/>
  <c r="K274" i="504"/>
  <c r="J274" i="504"/>
  <c r="I274" i="504"/>
  <c r="H274" i="504"/>
  <c r="G274" i="504"/>
  <c r="F274" i="504"/>
  <c r="E274" i="504"/>
  <c r="R270" i="504"/>
  <c r="Q270" i="504"/>
  <c r="P270" i="504"/>
  <c r="O270" i="504"/>
  <c r="N270" i="504"/>
  <c r="M270" i="504"/>
  <c r="L270" i="504"/>
  <c r="K270" i="504"/>
  <c r="J270" i="504"/>
  <c r="I270" i="504"/>
  <c r="H270" i="504"/>
  <c r="G270" i="504"/>
  <c r="F270" i="504"/>
  <c r="E270" i="504"/>
  <c r="R266" i="504"/>
  <c r="Q266" i="504"/>
  <c r="P266" i="504"/>
  <c r="O266" i="504"/>
  <c r="N266" i="504"/>
  <c r="M266" i="504"/>
  <c r="L266" i="504"/>
  <c r="K266" i="504"/>
  <c r="J266" i="504"/>
  <c r="I266" i="504"/>
  <c r="H266" i="504"/>
  <c r="G266" i="504"/>
  <c r="F266" i="504"/>
  <c r="E266" i="504"/>
  <c r="R262" i="504"/>
  <c r="Q262" i="504"/>
  <c r="P262" i="504"/>
  <c r="O262" i="504"/>
  <c r="N262" i="504"/>
  <c r="M262" i="504"/>
  <c r="L262" i="504"/>
  <c r="K262" i="504"/>
  <c r="J262" i="504"/>
  <c r="I262" i="504"/>
  <c r="H262" i="504"/>
  <c r="G262" i="504"/>
  <c r="F262" i="504"/>
  <c r="E262" i="504"/>
  <c r="Q257" i="504"/>
  <c r="Q258" i="504" s="1"/>
  <c r="P257" i="504"/>
  <c r="P258" i="504" s="1"/>
  <c r="L257" i="504"/>
  <c r="L258" i="504" s="1"/>
  <c r="I257" i="504"/>
  <c r="I258" i="504" s="1"/>
  <c r="F257" i="504"/>
  <c r="F258" i="504" s="1"/>
  <c r="R257" i="504"/>
  <c r="R258" i="504" s="1"/>
  <c r="O257" i="504"/>
  <c r="O258" i="504" s="1"/>
  <c r="N257" i="504"/>
  <c r="N258" i="504" s="1"/>
  <c r="M257" i="504"/>
  <c r="M258" i="504" s="1"/>
  <c r="K257" i="504"/>
  <c r="K258" i="504" s="1"/>
  <c r="J257" i="504"/>
  <c r="J258" i="504" s="1"/>
  <c r="H257" i="504"/>
  <c r="H258" i="504" s="1"/>
  <c r="G257" i="504"/>
  <c r="G258" i="504" s="1"/>
  <c r="E257" i="504"/>
  <c r="E258" i="504" s="1"/>
  <c r="M251" i="504"/>
  <c r="M252" i="504" s="1"/>
  <c r="J251" i="504"/>
  <c r="J252" i="504" s="1"/>
  <c r="F251" i="504"/>
  <c r="F252" i="504" s="1"/>
  <c r="E251" i="504"/>
  <c r="E252" i="504" s="1"/>
  <c r="R251" i="504"/>
  <c r="R252" i="504"/>
  <c r="Q251" i="504"/>
  <c r="Q252" i="504"/>
  <c r="P251" i="504"/>
  <c r="P252" i="504"/>
  <c r="O251" i="504"/>
  <c r="O252" i="504" s="1"/>
  <c r="N251" i="504"/>
  <c r="N252" i="504" s="1"/>
  <c r="L251" i="504"/>
  <c r="L252" i="504" s="1"/>
  <c r="K251" i="504"/>
  <c r="K252" i="504" s="1"/>
  <c r="I251" i="504"/>
  <c r="I252" i="504" s="1"/>
  <c r="H251" i="504"/>
  <c r="H252" i="504"/>
  <c r="G251" i="504"/>
  <c r="G252" i="504"/>
  <c r="R245" i="504"/>
  <c r="R246" i="504"/>
  <c r="Q245" i="504"/>
  <c r="Q246" i="504" s="1"/>
  <c r="N245" i="504"/>
  <c r="N246" i="504" s="1"/>
  <c r="L245" i="504"/>
  <c r="L246" i="504" s="1"/>
  <c r="I245" i="504"/>
  <c r="I246" i="504" s="1"/>
  <c r="F245" i="504"/>
  <c r="F246" i="504" s="1"/>
  <c r="P245" i="504"/>
  <c r="P246" i="504"/>
  <c r="O245" i="504"/>
  <c r="O246" i="504"/>
  <c r="M245" i="504"/>
  <c r="M246" i="504"/>
  <c r="K245" i="504"/>
  <c r="K246" i="504" s="1"/>
  <c r="J245" i="504"/>
  <c r="J246" i="504" s="1"/>
  <c r="H245" i="504"/>
  <c r="H246" i="504" s="1"/>
  <c r="G245" i="504"/>
  <c r="G246" i="504" s="1"/>
  <c r="E245" i="504"/>
  <c r="E246" i="504" s="1"/>
  <c r="P239" i="504"/>
  <c r="P240" i="504"/>
  <c r="M239" i="504"/>
  <c r="M240" i="504"/>
  <c r="E239" i="504"/>
  <c r="E240" i="504"/>
  <c r="R239" i="504"/>
  <c r="R240" i="504" s="1"/>
  <c r="Q239" i="504"/>
  <c r="Q240" i="504" s="1"/>
  <c r="O239" i="504"/>
  <c r="O240" i="504" s="1"/>
  <c r="N239" i="504"/>
  <c r="N240" i="504" s="1"/>
  <c r="L239" i="504"/>
  <c r="L240" i="504" s="1"/>
  <c r="K239" i="504"/>
  <c r="K240" i="504"/>
  <c r="J239" i="504"/>
  <c r="J240" i="504"/>
  <c r="I239" i="504"/>
  <c r="I240" i="504"/>
  <c r="H239" i="504"/>
  <c r="H240" i="504" s="1"/>
  <c r="G239" i="504"/>
  <c r="G240" i="504" s="1"/>
  <c r="F239" i="504"/>
  <c r="F240" i="504" s="1"/>
  <c r="R233" i="504"/>
  <c r="R234" i="504"/>
  <c r="Q233" i="504"/>
  <c r="Q234" i="504" s="1"/>
  <c r="P233" i="504"/>
  <c r="P234" i="504" s="1"/>
  <c r="L233" i="504"/>
  <c r="L234" i="504" s="1"/>
  <c r="J233" i="504"/>
  <c r="J234" i="504"/>
  <c r="I233" i="504"/>
  <c r="I234" i="504" s="1"/>
  <c r="F233" i="504"/>
  <c r="F234" i="504" s="1"/>
  <c r="O233" i="504"/>
  <c r="O234" i="504" s="1"/>
  <c r="N233" i="504"/>
  <c r="N234" i="504"/>
  <c r="M233" i="504"/>
  <c r="M234" i="504" s="1"/>
  <c r="K233" i="504"/>
  <c r="K234" i="504" s="1"/>
  <c r="H233" i="504"/>
  <c r="H234" i="504" s="1"/>
  <c r="G233" i="504"/>
  <c r="G234" i="504"/>
  <c r="E233" i="504"/>
  <c r="E234" i="504" s="1"/>
  <c r="M227" i="504"/>
  <c r="M228" i="504" s="1"/>
  <c r="F227" i="504"/>
  <c r="F228" i="504" s="1"/>
  <c r="E227" i="504"/>
  <c r="E228" i="504"/>
  <c r="R227" i="504"/>
  <c r="R228" i="504" s="1"/>
  <c r="Q227" i="504"/>
  <c r="Q228" i="504" s="1"/>
  <c r="P227" i="504"/>
  <c r="P228" i="504" s="1"/>
  <c r="O227" i="504"/>
  <c r="O228" i="504"/>
  <c r="N227" i="504"/>
  <c r="N228" i="504" s="1"/>
  <c r="L227" i="504"/>
  <c r="L228" i="504" s="1"/>
  <c r="K227" i="504"/>
  <c r="K228" i="504" s="1"/>
  <c r="J227" i="504"/>
  <c r="J228" i="504"/>
  <c r="I227" i="504"/>
  <c r="I228" i="504" s="1"/>
  <c r="H227" i="504"/>
  <c r="H228" i="504" s="1"/>
  <c r="G227" i="504"/>
  <c r="G228" i="504" s="1"/>
  <c r="R221" i="504"/>
  <c r="R222" i="504"/>
  <c r="Q221" i="504"/>
  <c r="Q222" i="504" s="1"/>
  <c r="P221" i="504"/>
  <c r="P222" i="504" s="1"/>
  <c r="N221" i="504"/>
  <c r="N222" i="504" s="1"/>
  <c r="L221" i="504"/>
  <c r="L222" i="504"/>
  <c r="I221" i="504"/>
  <c r="I222" i="504" s="1"/>
  <c r="H221" i="504"/>
  <c r="H222" i="504" s="1"/>
  <c r="F221" i="504"/>
  <c r="F222" i="504" s="1"/>
  <c r="O221" i="504"/>
  <c r="O222" i="504"/>
  <c r="M221" i="504"/>
  <c r="M222" i="504" s="1"/>
  <c r="K221" i="504"/>
  <c r="K222" i="504" s="1"/>
  <c r="J221" i="504"/>
  <c r="J222" i="504" s="1"/>
  <c r="G221" i="504"/>
  <c r="G222" i="504"/>
  <c r="E221" i="504"/>
  <c r="E222" i="504" s="1"/>
  <c r="P215" i="504"/>
  <c r="P216" i="504" s="1"/>
  <c r="M215" i="504"/>
  <c r="M216" i="504" s="1"/>
  <c r="J215" i="504"/>
  <c r="J216" i="504"/>
  <c r="E215" i="504"/>
  <c r="E216" i="504" s="1"/>
  <c r="R215" i="504"/>
  <c r="R216" i="504" s="1"/>
  <c r="Q215" i="504"/>
  <c r="Q216" i="504" s="1"/>
  <c r="O215" i="504"/>
  <c r="O216" i="504"/>
  <c r="N215" i="504"/>
  <c r="N216" i="504" s="1"/>
  <c r="L215" i="504"/>
  <c r="L216" i="504" s="1"/>
  <c r="K215" i="504"/>
  <c r="K216" i="504" s="1"/>
  <c r="I215" i="504"/>
  <c r="I216" i="504"/>
  <c r="H215" i="504"/>
  <c r="H216" i="504" s="1"/>
  <c r="G215" i="504"/>
  <c r="G216" i="504" s="1"/>
  <c r="F215" i="504"/>
  <c r="F216" i="504" s="1"/>
  <c r="Q209" i="504"/>
  <c r="Q210" i="504"/>
  <c r="P209" i="504"/>
  <c r="P210" i="504" s="1"/>
  <c r="L209" i="504"/>
  <c r="L210" i="504" s="1"/>
  <c r="I209" i="504"/>
  <c r="I210" i="504" s="1"/>
  <c r="F209" i="504"/>
  <c r="F210" i="504"/>
  <c r="R209" i="504"/>
  <c r="R210" i="504" s="1"/>
  <c r="O209" i="504"/>
  <c r="O210" i="504" s="1"/>
  <c r="N209" i="504"/>
  <c r="N210" i="504" s="1"/>
  <c r="M209" i="504"/>
  <c r="M210" i="504"/>
  <c r="K209" i="504"/>
  <c r="K210" i="504" s="1"/>
  <c r="J209" i="504"/>
  <c r="J210" i="504" s="1"/>
  <c r="H209" i="504"/>
  <c r="H210" i="504" s="1"/>
  <c r="G209" i="504"/>
  <c r="G210" i="504"/>
  <c r="E209" i="504"/>
  <c r="E210" i="504" s="1"/>
  <c r="Q204" i="504"/>
  <c r="P204" i="504"/>
  <c r="N203" i="504"/>
  <c r="N204" i="504" s="1"/>
  <c r="M203" i="504"/>
  <c r="M204" i="504"/>
  <c r="L203" i="504"/>
  <c r="L204" i="504" s="1"/>
  <c r="J203" i="504"/>
  <c r="J204" i="504" s="1"/>
  <c r="H203" i="504"/>
  <c r="H204" i="504" s="1"/>
  <c r="E203" i="504"/>
  <c r="E204" i="504"/>
  <c r="R203" i="504"/>
  <c r="R204" i="504" s="1"/>
  <c r="O203" i="504"/>
  <c r="O204" i="504" s="1"/>
  <c r="K203" i="504"/>
  <c r="K204" i="504" s="1"/>
  <c r="I203" i="504"/>
  <c r="I204" i="504"/>
  <c r="G203" i="504"/>
  <c r="G204" i="504" s="1"/>
  <c r="F203" i="504"/>
  <c r="F204" i="504" s="1"/>
  <c r="Q198" i="504"/>
  <c r="P198" i="504"/>
  <c r="O198" i="504"/>
  <c r="N198" i="504"/>
  <c r="M198" i="504"/>
  <c r="L197" i="504"/>
  <c r="L198" i="504" s="1"/>
  <c r="J197" i="504"/>
  <c r="J198" i="504" s="1"/>
  <c r="F197" i="504"/>
  <c r="F198" i="504" s="1"/>
  <c r="R197" i="504"/>
  <c r="R198" i="504"/>
  <c r="K197" i="504"/>
  <c r="K198" i="504" s="1"/>
  <c r="I197" i="504"/>
  <c r="I198" i="504" s="1"/>
  <c r="H197" i="504"/>
  <c r="H198" i="504" s="1"/>
  <c r="G197" i="504"/>
  <c r="G198" i="504"/>
  <c r="E197" i="504"/>
  <c r="E198" i="504" s="1"/>
  <c r="Q191" i="504"/>
  <c r="Q192" i="504" s="1"/>
  <c r="O191" i="504"/>
  <c r="O192" i="504" s="1"/>
  <c r="N191" i="504"/>
  <c r="N192" i="504" s="1"/>
  <c r="M191" i="504"/>
  <c r="M192" i="504" s="1"/>
  <c r="I191" i="504"/>
  <c r="I192" i="504" s="1"/>
  <c r="F191" i="504"/>
  <c r="F192" i="504" s="1"/>
  <c r="E191" i="504"/>
  <c r="E192" i="504" s="1"/>
  <c r="R191" i="504"/>
  <c r="R192" i="504" s="1"/>
  <c r="P191" i="504"/>
  <c r="P192" i="504"/>
  <c r="L191" i="504"/>
  <c r="L192" i="504" s="1"/>
  <c r="K191" i="504"/>
  <c r="K192" i="504" s="1"/>
  <c r="J191" i="504"/>
  <c r="J192" i="504" s="1"/>
  <c r="H191" i="504"/>
  <c r="H192" i="504"/>
  <c r="G191" i="504"/>
  <c r="G192" i="504" s="1"/>
  <c r="R185" i="504"/>
  <c r="R186" i="504" s="1"/>
  <c r="O185" i="504"/>
  <c r="O186" i="504" s="1"/>
  <c r="K185" i="504"/>
  <c r="K186" i="504" s="1"/>
  <c r="J185" i="504"/>
  <c r="J186" i="504" s="1"/>
  <c r="I185" i="504"/>
  <c r="I186" i="504" s="1"/>
  <c r="Q185" i="504"/>
  <c r="Q186" i="504" s="1"/>
  <c r="P185" i="504"/>
  <c r="P186" i="504" s="1"/>
  <c r="N185" i="504"/>
  <c r="N186" i="504" s="1"/>
  <c r="M185" i="504"/>
  <c r="M186" i="504" s="1"/>
  <c r="L185" i="504"/>
  <c r="L186" i="504" s="1"/>
  <c r="H185" i="504"/>
  <c r="H186" i="504" s="1"/>
  <c r="G185" i="504"/>
  <c r="G186" i="504" s="1"/>
  <c r="F185" i="504"/>
  <c r="F186" i="504"/>
  <c r="E185" i="504"/>
  <c r="E186" i="504" s="1"/>
  <c r="O179" i="504"/>
  <c r="O180" i="504" s="1"/>
  <c r="N179" i="504"/>
  <c r="N180" i="504" s="1"/>
  <c r="M179" i="504"/>
  <c r="M180" i="504"/>
  <c r="I179" i="504"/>
  <c r="I180" i="504" s="1"/>
  <c r="G179" i="504"/>
  <c r="G180" i="504" s="1"/>
  <c r="F179" i="504"/>
  <c r="F180" i="504" s="1"/>
  <c r="R179" i="504"/>
  <c r="R180" i="504" s="1"/>
  <c r="Q179" i="504"/>
  <c r="Q180" i="504" s="1"/>
  <c r="P179" i="504"/>
  <c r="P180" i="504" s="1"/>
  <c r="L179" i="504"/>
  <c r="L180" i="504" s="1"/>
  <c r="K179" i="504"/>
  <c r="K180" i="504" s="1"/>
  <c r="J179" i="504"/>
  <c r="J180" i="504" s="1"/>
  <c r="H179" i="504"/>
  <c r="H180" i="504"/>
  <c r="E179" i="504"/>
  <c r="E180" i="504" s="1"/>
  <c r="R173" i="504"/>
  <c r="R174" i="504" s="1"/>
  <c r="J173" i="504"/>
  <c r="J174" i="504" s="1"/>
  <c r="I173" i="504"/>
  <c r="I174" i="504"/>
  <c r="E173" i="504"/>
  <c r="E174" i="504" s="1"/>
  <c r="Q173" i="504"/>
  <c r="Q174" i="504" s="1"/>
  <c r="P173" i="504"/>
  <c r="P174" i="504" s="1"/>
  <c r="O173" i="504"/>
  <c r="O174" i="504" s="1"/>
  <c r="N173" i="504"/>
  <c r="N174" i="504" s="1"/>
  <c r="M173" i="504"/>
  <c r="M174" i="504" s="1"/>
  <c r="L173" i="504"/>
  <c r="L174" i="504" s="1"/>
  <c r="K173" i="504"/>
  <c r="K174" i="504" s="1"/>
  <c r="H173" i="504"/>
  <c r="H174" i="504" s="1"/>
  <c r="G173" i="504"/>
  <c r="G174" i="504" s="1"/>
  <c r="F173" i="504"/>
  <c r="F174" i="504" s="1"/>
  <c r="Q167" i="504"/>
  <c r="Q168" i="504" s="1"/>
  <c r="O167" i="504"/>
  <c r="O168" i="504" s="1"/>
  <c r="N167" i="504"/>
  <c r="N168" i="504"/>
  <c r="M167" i="504"/>
  <c r="M168" i="504" s="1"/>
  <c r="K167" i="504"/>
  <c r="K168" i="504" s="1"/>
  <c r="I167" i="504"/>
  <c r="I168" i="504" s="1"/>
  <c r="F167" i="504"/>
  <c r="F168" i="504"/>
  <c r="E167" i="504"/>
  <c r="E168" i="504" s="1"/>
  <c r="R167" i="504"/>
  <c r="R168" i="504" s="1"/>
  <c r="P167" i="504"/>
  <c r="P168" i="504" s="1"/>
  <c r="L167" i="504"/>
  <c r="L168" i="504" s="1"/>
  <c r="J167" i="504"/>
  <c r="J168" i="504" s="1"/>
  <c r="H167" i="504"/>
  <c r="H168" i="504" s="1"/>
  <c r="G167" i="504"/>
  <c r="G168" i="504" s="1"/>
  <c r="R161" i="504"/>
  <c r="R162" i="504" s="1"/>
  <c r="O161" i="504"/>
  <c r="O162" i="504" s="1"/>
  <c r="J161" i="504"/>
  <c r="J162" i="504"/>
  <c r="Q161" i="504"/>
  <c r="Q162" i="504" s="1"/>
  <c r="P161" i="504"/>
  <c r="P162" i="504" s="1"/>
  <c r="N161" i="504"/>
  <c r="N162" i="504" s="1"/>
  <c r="M161" i="504"/>
  <c r="M162" i="504"/>
  <c r="L161" i="504"/>
  <c r="L162" i="504" s="1"/>
  <c r="K161" i="504"/>
  <c r="K162" i="504" s="1"/>
  <c r="I161" i="504"/>
  <c r="I162" i="504" s="1"/>
  <c r="H161" i="504"/>
  <c r="H162" i="504" s="1"/>
  <c r="G161" i="504"/>
  <c r="G162" i="504" s="1"/>
  <c r="F161" i="504"/>
  <c r="F162" i="504" s="1"/>
  <c r="E161" i="504"/>
  <c r="E162" i="504" s="1"/>
  <c r="O155" i="504"/>
  <c r="O156" i="504" s="1"/>
  <c r="N155" i="504"/>
  <c r="N156" i="504" s="1"/>
  <c r="M155" i="504"/>
  <c r="M156" i="504" s="1"/>
  <c r="I155" i="504"/>
  <c r="I156" i="504" s="1"/>
  <c r="G155" i="504"/>
  <c r="G156" i="504" s="1"/>
  <c r="F155" i="504"/>
  <c r="F156" i="504" s="1"/>
  <c r="R155" i="504"/>
  <c r="R156" i="504"/>
  <c r="Q155" i="504"/>
  <c r="Q156" i="504" s="1"/>
  <c r="P155" i="504"/>
  <c r="P156" i="504" s="1"/>
  <c r="L155" i="504"/>
  <c r="L156" i="504" s="1"/>
  <c r="K155" i="504"/>
  <c r="K156" i="504"/>
  <c r="J155" i="504"/>
  <c r="J156" i="504" s="1"/>
  <c r="H155" i="504"/>
  <c r="H156" i="504" s="1"/>
  <c r="E155" i="504"/>
  <c r="E156" i="504" s="1"/>
  <c r="R149" i="504"/>
  <c r="R150" i="504" s="1"/>
  <c r="K149" i="504"/>
  <c r="K150" i="504" s="1"/>
  <c r="J149" i="504"/>
  <c r="J150" i="504" s="1"/>
  <c r="E149" i="504"/>
  <c r="E150" i="504" s="1"/>
  <c r="Q149" i="504"/>
  <c r="Q150" i="504" s="1"/>
  <c r="P149" i="504"/>
  <c r="P150" i="504" s="1"/>
  <c r="O149" i="504"/>
  <c r="O150" i="504"/>
  <c r="N149" i="504"/>
  <c r="N150" i="504" s="1"/>
  <c r="M149" i="504"/>
  <c r="M150" i="504" s="1"/>
  <c r="L149" i="504"/>
  <c r="L150" i="504" s="1"/>
  <c r="I149" i="504"/>
  <c r="I150" i="504"/>
  <c r="H149" i="504"/>
  <c r="H150" i="504" s="1"/>
  <c r="G149" i="504"/>
  <c r="G150" i="504" s="1"/>
  <c r="F149" i="504"/>
  <c r="F150" i="504" s="1"/>
  <c r="Q144" i="504"/>
  <c r="P144" i="504"/>
  <c r="N143" i="504"/>
  <c r="N144" i="504" s="1"/>
  <c r="K143" i="504"/>
  <c r="K144" i="504" s="1"/>
  <c r="F143" i="504"/>
  <c r="F144" i="504" s="1"/>
  <c r="R143" i="504"/>
  <c r="R144" i="504" s="1"/>
  <c r="O143" i="504"/>
  <c r="O144" i="504" s="1"/>
  <c r="M143" i="504"/>
  <c r="M144" i="504" s="1"/>
  <c r="L143" i="504"/>
  <c r="L144" i="504" s="1"/>
  <c r="J143" i="504"/>
  <c r="J144" i="504" s="1"/>
  <c r="I143" i="504"/>
  <c r="I144" i="504" s="1"/>
  <c r="H143" i="504"/>
  <c r="H144" i="504"/>
  <c r="G143" i="504"/>
  <c r="G144" i="504" s="1"/>
  <c r="E143" i="504"/>
  <c r="E144" i="504" s="1"/>
  <c r="P137" i="504"/>
  <c r="P138" i="504" s="1"/>
  <c r="O137" i="504"/>
  <c r="O138" i="504"/>
  <c r="M137" i="504"/>
  <c r="M138" i="504" s="1"/>
  <c r="I137" i="504"/>
  <c r="I138" i="504" s="1"/>
  <c r="H137" i="504"/>
  <c r="H138" i="504" s="1"/>
  <c r="G137" i="504"/>
  <c r="G138" i="504" s="1"/>
  <c r="R137" i="504"/>
  <c r="R138" i="504" s="1"/>
  <c r="Q137" i="504"/>
  <c r="Q138" i="504" s="1"/>
  <c r="N137" i="504"/>
  <c r="N138" i="504" s="1"/>
  <c r="L137" i="504"/>
  <c r="L138" i="504" s="1"/>
  <c r="K137" i="504"/>
  <c r="K138" i="504" s="1"/>
  <c r="J137" i="504"/>
  <c r="J138" i="504"/>
  <c r="F137" i="504"/>
  <c r="F138" i="504"/>
  <c r="E137" i="504"/>
  <c r="E138" i="504"/>
  <c r="Q131" i="504"/>
  <c r="Q132" i="504" s="1"/>
  <c r="P131" i="504"/>
  <c r="P132" i="504" s="1"/>
  <c r="O131" i="504"/>
  <c r="O132" i="504" s="1"/>
  <c r="M131" i="504"/>
  <c r="M132" i="504" s="1"/>
  <c r="L131" i="504"/>
  <c r="L132" i="504" s="1"/>
  <c r="I131" i="504"/>
  <c r="I132" i="504"/>
  <c r="H131" i="504"/>
  <c r="H132" i="504"/>
  <c r="G131" i="504"/>
  <c r="G132" i="504"/>
  <c r="R131" i="504"/>
  <c r="R132" i="504" s="1"/>
  <c r="N131" i="504"/>
  <c r="N132" i="504" s="1"/>
  <c r="K131" i="504"/>
  <c r="K132" i="504" s="1"/>
  <c r="J131" i="504"/>
  <c r="J132" i="504" s="1"/>
  <c r="F131" i="504"/>
  <c r="F132" i="504" s="1"/>
  <c r="E131" i="504"/>
  <c r="E132" i="504" s="1"/>
  <c r="Q125" i="504"/>
  <c r="Q126" i="504" s="1"/>
  <c r="P125" i="504"/>
  <c r="P126" i="504"/>
  <c r="O125" i="504"/>
  <c r="O126" i="504" s="1"/>
  <c r="M125" i="504"/>
  <c r="M126" i="504" s="1"/>
  <c r="L125" i="504"/>
  <c r="L126" i="504" s="1"/>
  <c r="I125" i="504"/>
  <c r="I126" i="504"/>
  <c r="H125" i="504"/>
  <c r="H126" i="504" s="1"/>
  <c r="G125" i="504"/>
  <c r="G126" i="504" s="1"/>
  <c r="R125" i="504"/>
  <c r="R126" i="504" s="1"/>
  <c r="N125" i="504"/>
  <c r="N126" i="504" s="1"/>
  <c r="K125" i="504"/>
  <c r="K126" i="504" s="1"/>
  <c r="J125" i="504"/>
  <c r="J126" i="504" s="1"/>
  <c r="F125" i="504"/>
  <c r="F126" i="504" s="1"/>
  <c r="E125" i="504"/>
  <c r="E126" i="504" s="1"/>
  <c r="Q119" i="504"/>
  <c r="Q120" i="504" s="1"/>
  <c r="P119" i="504"/>
  <c r="P120" i="504"/>
  <c r="O119" i="504"/>
  <c r="O120" i="504"/>
  <c r="M119" i="504"/>
  <c r="M120" i="504"/>
  <c r="L119" i="504"/>
  <c r="L120" i="504" s="1"/>
  <c r="I119" i="504"/>
  <c r="I120" i="504" s="1"/>
  <c r="H119" i="504"/>
  <c r="H120" i="504" s="1"/>
  <c r="G119" i="504"/>
  <c r="G120" i="504" s="1"/>
  <c r="R119" i="504"/>
  <c r="R120" i="504" s="1"/>
  <c r="N119" i="504"/>
  <c r="N120" i="504"/>
  <c r="K119" i="504"/>
  <c r="K120" i="504"/>
  <c r="J119" i="504"/>
  <c r="J120" i="504"/>
  <c r="F119" i="504"/>
  <c r="F120" i="504" s="1"/>
  <c r="E119" i="504"/>
  <c r="E120" i="504" s="1"/>
  <c r="Q113" i="504"/>
  <c r="Q114" i="504" s="1"/>
  <c r="P113" i="504"/>
  <c r="P114" i="504" s="1"/>
  <c r="O113" i="504"/>
  <c r="O114" i="504" s="1"/>
  <c r="M113" i="504"/>
  <c r="M114" i="504" s="1"/>
  <c r="L113" i="504"/>
  <c r="L114" i="504" s="1"/>
  <c r="I113" i="504"/>
  <c r="I114" i="504"/>
  <c r="H113" i="504"/>
  <c r="H114" i="504" s="1"/>
  <c r="G113" i="504"/>
  <c r="G114" i="504" s="1"/>
  <c r="R113" i="504"/>
  <c r="R114" i="504" s="1"/>
  <c r="N113" i="504"/>
  <c r="N114" i="504"/>
  <c r="K113" i="504"/>
  <c r="K114" i="504" s="1"/>
  <c r="J113" i="504"/>
  <c r="J114" i="504" s="1"/>
  <c r="F113" i="504"/>
  <c r="F114" i="504" s="1"/>
  <c r="E113" i="504"/>
  <c r="E114" i="504" s="1"/>
  <c r="Q107" i="504"/>
  <c r="Q108" i="504" s="1"/>
  <c r="P107" i="504"/>
  <c r="P108" i="504" s="1"/>
  <c r="O107" i="504"/>
  <c r="O108" i="504" s="1"/>
  <c r="M107" i="504"/>
  <c r="M108" i="504" s="1"/>
  <c r="L107" i="504"/>
  <c r="L108" i="504" s="1"/>
  <c r="I107" i="504"/>
  <c r="I108" i="504"/>
  <c r="H107" i="504"/>
  <c r="H108" i="504"/>
  <c r="G107" i="504"/>
  <c r="G108" i="504"/>
  <c r="R107" i="504"/>
  <c r="R108" i="504" s="1"/>
  <c r="N107" i="504"/>
  <c r="N108" i="504" s="1"/>
  <c r="K107" i="504"/>
  <c r="K108" i="504" s="1"/>
  <c r="J107" i="504"/>
  <c r="J108" i="504" s="1"/>
  <c r="F107" i="504"/>
  <c r="F108" i="504" s="1"/>
  <c r="E107" i="504"/>
  <c r="E108" i="504"/>
  <c r="Q101" i="504"/>
  <c r="Q102" i="504"/>
  <c r="P101" i="504"/>
  <c r="P102" i="504"/>
  <c r="O101" i="504"/>
  <c r="O102" i="504" s="1"/>
  <c r="M101" i="504"/>
  <c r="M102" i="504" s="1"/>
  <c r="L101" i="504"/>
  <c r="L102" i="504"/>
  <c r="I101" i="504"/>
  <c r="I102" i="504" s="1"/>
  <c r="H101" i="504"/>
  <c r="H102" i="504" s="1"/>
  <c r="G101" i="504"/>
  <c r="G102" i="504"/>
  <c r="R101" i="504"/>
  <c r="R102" i="504" s="1"/>
  <c r="N101" i="504"/>
  <c r="N102" i="504" s="1"/>
  <c r="K101" i="504"/>
  <c r="K102" i="504" s="1"/>
  <c r="J101" i="504"/>
  <c r="J102" i="504" s="1"/>
  <c r="F101" i="504"/>
  <c r="F102" i="504" s="1"/>
  <c r="E101" i="504"/>
  <c r="E102" i="504"/>
  <c r="Q95" i="504"/>
  <c r="Q96" i="504" s="1"/>
  <c r="P95" i="504"/>
  <c r="P96" i="504" s="1"/>
  <c r="O95" i="504"/>
  <c r="O96" i="504" s="1"/>
  <c r="M95" i="504"/>
  <c r="M96" i="504" s="1"/>
  <c r="L95" i="504"/>
  <c r="L96" i="504" s="1"/>
  <c r="I95" i="504"/>
  <c r="I96" i="504" s="1"/>
  <c r="H95" i="504"/>
  <c r="H96" i="504" s="1"/>
  <c r="G95" i="504"/>
  <c r="G96" i="504" s="1"/>
  <c r="R95" i="504"/>
  <c r="R96" i="504" s="1"/>
  <c r="N95" i="504"/>
  <c r="N96" i="504" s="1"/>
  <c r="K95" i="504"/>
  <c r="K96" i="504" s="1"/>
  <c r="J95" i="504"/>
  <c r="J96" i="504" s="1"/>
  <c r="F95" i="504"/>
  <c r="F96" i="504" s="1"/>
  <c r="E95" i="504"/>
  <c r="E96" i="504"/>
  <c r="Q89" i="504"/>
  <c r="Q90" i="504" s="1"/>
  <c r="P89" i="504"/>
  <c r="P90" i="504" s="1"/>
  <c r="O89" i="504"/>
  <c r="O90" i="504" s="1"/>
  <c r="M89" i="504"/>
  <c r="M90" i="504" s="1"/>
  <c r="L89" i="504"/>
  <c r="L90" i="504"/>
  <c r="I89" i="504"/>
  <c r="I90" i="504"/>
  <c r="H89" i="504"/>
  <c r="H90" i="504"/>
  <c r="G89" i="504"/>
  <c r="G90" i="504" s="1"/>
  <c r="R89" i="504"/>
  <c r="R90" i="504" s="1"/>
  <c r="N89" i="504"/>
  <c r="N90" i="504" s="1"/>
  <c r="K89" i="504"/>
  <c r="K90" i="504" s="1"/>
  <c r="J89" i="504"/>
  <c r="J90" i="504" s="1"/>
  <c r="F89" i="504"/>
  <c r="F90" i="504"/>
  <c r="E89" i="504"/>
  <c r="E90" i="504"/>
  <c r="Q83" i="504"/>
  <c r="Q84" i="504"/>
  <c r="P83" i="504"/>
  <c r="P84" i="504" s="1"/>
  <c r="O83" i="504"/>
  <c r="O84" i="504" s="1"/>
  <c r="M83" i="504"/>
  <c r="M84" i="504" s="1"/>
  <c r="L83" i="504"/>
  <c r="L84" i="504" s="1"/>
  <c r="I83" i="504"/>
  <c r="I84" i="504" s="1"/>
  <c r="H83" i="504"/>
  <c r="H84" i="504"/>
  <c r="G83" i="504"/>
  <c r="G84" i="504"/>
  <c r="R83" i="504"/>
  <c r="R84" i="504"/>
  <c r="N83" i="504"/>
  <c r="N84" i="504" s="1"/>
  <c r="K83" i="504"/>
  <c r="K84" i="504" s="1"/>
  <c r="J83" i="504"/>
  <c r="J84" i="504" s="1"/>
  <c r="F83" i="504"/>
  <c r="F84" i="504" s="1"/>
  <c r="E83" i="504"/>
  <c r="E84" i="504" s="1"/>
  <c r="Q77" i="504"/>
  <c r="Q78" i="504"/>
  <c r="P77" i="504"/>
  <c r="P78" i="504"/>
  <c r="O77" i="504"/>
  <c r="O78" i="504"/>
  <c r="M77" i="504"/>
  <c r="M78" i="504" s="1"/>
  <c r="L77" i="504"/>
  <c r="L78" i="504" s="1"/>
  <c r="I77" i="504"/>
  <c r="I78" i="504" s="1"/>
  <c r="H77" i="504"/>
  <c r="H78" i="504" s="1"/>
  <c r="G77" i="504"/>
  <c r="G78" i="504" s="1"/>
  <c r="R77" i="504"/>
  <c r="R78" i="504"/>
  <c r="N77" i="504"/>
  <c r="N78" i="504"/>
  <c r="K77" i="504"/>
  <c r="K78" i="504"/>
  <c r="J77" i="504"/>
  <c r="J78" i="504" s="1"/>
  <c r="F77" i="504"/>
  <c r="F78" i="504" s="1"/>
  <c r="E77" i="504"/>
  <c r="E78" i="504" s="1"/>
  <c r="Q71" i="504"/>
  <c r="Q72" i="504" s="1"/>
  <c r="P71" i="504"/>
  <c r="P72" i="504" s="1"/>
  <c r="O71" i="504"/>
  <c r="O72" i="504"/>
  <c r="M71" i="504"/>
  <c r="M72" i="504"/>
  <c r="L71" i="504"/>
  <c r="L72" i="504"/>
  <c r="I71" i="504"/>
  <c r="I72" i="504" s="1"/>
  <c r="H71" i="504"/>
  <c r="H72" i="504" s="1"/>
  <c r="G71" i="504"/>
  <c r="G72" i="504" s="1"/>
  <c r="R71" i="504"/>
  <c r="R72" i="504" s="1"/>
  <c r="N71" i="504"/>
  <c r="N72" i="504" s="1"/>
  <c r="K71" i="504"/>
  <c r="K72" i="504"/>
  <c r="J71" i="504"/>
  <c r="J72" i="504"/>
  <c r="F71" i="504"/>
  <c r="F72" i="504"/>
  <c r="E71" i="504"/>
  <c r="E72" i="504" s="1"/>
  <c r="Q65" i="504"/>
  <c r="Q66" i="504" s="1"/>
  <c r="P65" i="504"/>
  <c r="P66" i="504" s="1"/>
  <c r="O65" i="504"/>
  <c r="O66" i="504" s="1"/>
  <c r="M65" i="504"/>
  <c r="M66" i="504" s="1"/>
  <c r="L65" i="504"/>
  <c r="L66" i="504"/>
  <c r="I65" i="504"/>
  <c r="I66" i="504"/>
  <c r="H65" i="504"/>
  <c r="H66" i="504"/>
  <c r="G65" i="504"/>
  <c r="G66" i="504" s="1"/>
  <c r="R65" i="504"/>
  <c r="R66" i="504" s="1"/>
  <c r="N65" i="504"/>
  <c r="N66" i="504" s="1"/>
  <c r="K65" i="504"/>
  <c r="K66" i="504" s="1"/>
  <c r="J65" i="504"/>
  <c r="J66" i="504" s="1"/>
  <c r="F65" i="504"/>
  <c r="F66" i="504"/>
  <c r="E65" i="504"/>
  <c r="E66" i="504"/>
  <c r="Q59" i="504"/>
  <c r="Q60" i="504"/>
  <c r="P59" i="504"/>
  <c r="P60" i="504" s="1"/>
  <c r="O59" i="504"/>
  <c r="O60" i="504" s="1"/>
  <c r="M59" i="504"/>
  <c r="M60" i="504" s="1"/>
  <c r="L59" i="504"/>
  <c r="L60" i="504" s="1"/>
  <c r="I59" i="504"/>
  <c r="I60" i="504" s="1"/>
  <c r="H59" i="504"/>
  <c r="H60" i="504"/>
  <c r="G59" i="504"/>
  <c r="G60" i="504"/>
  <c r="R59" i="504"/>
  <c r="R60" i="504"/>
  <c r="N59" i="504"/>
  <c r="N60" i="504" s="1"/>
  <c r="K59" i="504"/>
  <c r="K60" i="504" s="1"/>
  <c r="J59" i="504"/>
  <c r="J60" i="504" s="1"/>
  <c r="F59" i="504"/>
  <c r="F60" i="504" s="1"/>
  <c r="E59" i="504"/>
  <c r="E60" i="504" s="1"/>
  <c r="Q53" i="504"/>
  <c r="Q54" i="504"/>
  <c r="P53" i="504"/>
  <c r="P54" i="504"/>
  <c r="O53" i="504"/>
  <c r="O54" i="504"/>
  <c r="M53" i="504"/>
  <c r="M54" i="504" s="1"/>
  <c r="L53" i="504"/>
  <c r="L54" i="504" s="1"/>
  <c r="I53" i="504"/>
  <c r="I54" i="504" s="1"/>
  <c r="H53" i="504"/>
  <c r="H54" i="504" s="1"/>
  <c r="G53" i="504"/>
  <c r="G54" i="504" s="1"/>
  <c r="R53" i="504"/>
  <c r="R54" i="504"/>
  <c r="N53" i="504"/>
  <c r="N54" i="504"/>
  <c r="K53" i="504"/>
  <c r="K54" i="504"/>
  <c r="J53" i="504"/>
  <c r="J54" i="504" s="1"/>
  <c r="F53" i="504"/>
  <c r="F54" i="504" s="1"/>
  <c r="E53" i="504"/>
  <c r="E54" i="504" s="1"/>
  <c r="Q47" i="504"/>
  <c r="Q48" i="504" s="1"/>
  <c r="P47" i="504"/>
  <c r="P48" i="504" s="1"/>
  <c r="O47" i="504"/>
  <c r="O48" i="504"/>
  <c r="M47" i="504"/>
  <c r="M48" i="504"/>
  <c r="L47" i="504"/>
  <c r="L48" i="504"/>
  <c r="I47" i="504"/>
  <c r="I48" i="504" s="1"/>
  <c r="H47" i="504"/>
  <c r="H48" i="504" s="1"/>
  <c r="G47" i="504"/>
  <c r="G48" i="504" s="1"/>
  <c r="R47" i="504"/>
  <c r="R48" i="504" s="1"/>
  <c r="N47" i="504"/>
  <c r="N48" i="504" s="1"/>
  <c r="K47" i="504"/>
  <c r="K48" i="504"/>
  <c r="J47" i="504"/>
  <c r="J48" i="504"/>
  <c r="F47" i="504"/>
  <c r="F48" i="504"/>
  <c r="E47" i="504"/>
  <c r="E48" i="504" s="1"/>
  <c r="Q41" i="504"/>
  <c r="Q42" i="504" s="1"/>
  <c r="P41" i="504"/>
  <c r="P42" i="504" s="1"/>
  <c r="O41" i="504"/>
  <c r="O42" i="504" s="1"/>
  <c r="M41" i="504"/>
  <c r="M42" i="504" s="1"/>
  <c r="L41" i="504"/>
  <c r="L42" i="504"/>
  <c r="I41" i="504"/>
  <c r="I42" i="504"/>
  <c r="H41" i="504"/>
  <c r="H42" i="504"/>
  <c r="G41" i="504"/>
  <c r="G42" i="504" s="1"/>
  <c r="R41" i="504"/>
  <c r="R42" i="504" s="1"/>
  <c r="N41" i="504"/>
  <c r="N42" i="504" s="1"/>
  <c r="K41" i="504"/>
  <c r="K42" i="504" s="1"/>
  <c r="J41" i="504"/>
  <c r="J42" i="504" s="1"/>
  <c r="F41" i="504"/>
  <c r="F42" i="504" s="1"/>
  <c r="E41" i="504"/>
  <c r="E42" i="504" s="1"/>
  <c r="Q35" i="504"/>
  <c r="Q36" i="504" s="1"/>
  <c r="P35" i="504"/>
  <c r="P36" i="504" s="1"/>
  <c r="O35" i="504"/>
  <c r="O36" i="504" s="1"/>
  <c r="M35" i="504"/>
  <c r="M36" i="504" s="1"/>
  <c r="L35" i="504"/>
  <c r="L36" i="504" s="1"/>
  <c r="I35" i="504"/>
  <c r="I36" i="504" s="1"/>
  <c r="H35" i="504"/>
  <c r="H36" i="504" s="1"/>
  <c r="G35" i="504"/>
  <c r="G36" i="504" s="1"/>
  <c r="R35" i="504"/>
  <c r="R36" i="504" s="1"/>
  <c r="N35" i="504"/>
  <c r="N36" i="504" s="1"/>
  <c r="K35" i="504"/>
  <c r="K36" i="504"/>
  <c r="J35" i="504"/>
  <c r="J36" i="504"/>
  <c r="F35" i="504"/>
  <c r="F36" i="504"/>
  <c r="E35" i="504"/>
  <c r="E36" i="504" s="1"/>
  <c r="Q29" i="504"/>
  <c r="Q30" i="504" s="1"/>
  <c r="P29" i="504"/>
  <c r="P30" i="504" s="1"/>
  <c r="O29" i="504"/>
  <c r="O30" i="504" s="1"/>
  <c r="M29" i="504"/>
  <c r="M30" i="504" s="1"/>
  <c r="L29" i="504"/>
  <c r="L30" i="504" s="1"/>
  <c r="I29" i="504"/>
  <c r="I30" i="504" s="1"/>
  <c r="H29" i="504"/>
  <c r="H30" i="504" s="1"/>
  <c r="G29" i="504"/>
  <c r="G30" i="504" s="1"/>
  <c r="R29" i="504"/>
  <c r="R30" i="504"/>
  <c r="N29" i="504"/>
  <c r="N30" i="504"/>
  <c r="K29" i="504"/>
  <c r="K30" i="504"/>
  <c r="J29" i="504"/>
  <c r="J30" i="504" s="1"/>
  <c r="F29" i="504"/>
  <c r="F30" i="504" s="1"/>
  <c r="E29" i="504"/>
  <c r="E30" i="504" s="1"/>
  <c r="Q23" i="504"/>
  <c r="Q24" i="504" s="1"/>
  <c r="P23" i="504"/>
  <c r="P24" i="504" s="1"/>
  <c r="O23" i="504"/>
  <c r="O24" i="504" s="1"/>
  <c r="M23" i="504"/>
  <c r="M24" i="504" s="1"/>
  <c r="L23" i="504"/>
  <c r="L24" i="504" s="1"/>
  <c r="I23" i="504"/>
  <c r="I24" i="504" s="1"/>
  <c r="H23" i="504"/>
  <c r="H24" i="504" s="1"/>
  <c r="G23" i="504"/>
  <c r="G24" i="504" s="1"/>
  <c r="R23" i="504"/>
  <c r="R24" i="504" s="1"/>
  <c r="N23" i="504"/>
  <c r="N24" i="504" s="1"/>
  <c r="K23" i="504"/>
  <c r="K24" i="504" s="1"/>
  <c r="J23" i="504"/>
  <c r="J24" i="504" s="1"/>
  <c r="F23" i="504"/>
  <c r="F24" i="504" s="1"/>
  <c r="E23" i="504"/>
  <c r="E24" i="504" s="1"/>
  <c r="Q17" i="504"/>
  <c r="Q18" i="504"/>
  <c r="P17" i="504"/>
  <c r="P18" i="504"/>
  <c r="O17" i="504"/>
  <c r="O18" i="504"/>
  <c r="M17" i="504"/>
  <c r="M18" i="504" s="1"/>
  <c r="L17" i="504"/>
  <c r="L18" i="504" s="1"/>
  <c r="I17" i="504"/>
  <c r="I18" i="504" s="1"/>
  <c r="H17" i="504"/>
  <c r="H18" i="504" s="1"/>
  <c r="G17" i="504"/>
  <c r="G18" i="504" s="1"/>
  <c r="R17" i="504"/>
  <c r="R18" i="504" s="1"/>
  <c r="N17" i="504"/>
  <c r="N18" i="504" s="1"/>
  <c r="K17" i="504"/>
  <c r="K18" i="504" s="1"/>
  <c r="J17" i="504"/>
  <c r="J18" i="504" s="1"/>
  <c r="F17" i="504"/>
  <c r="F18" i="504"/>
  <c r="E17" i="504"/>
  <c r="E18" i="504"/>
  <c r="G100" i="477"/>
  <c r="F100" i="477"/>
  <c r="E100" i="477"/>
  <c r="O100" i="477" s="1"/>
  <c r="D100" i="477"/>
  <c r="N100" i="477" s="1"/>
  <c r="O99" i="477"/>
  <c r="N99" i="477"/>
  <c r="O98" i="477"/>
  <c r="P98" i="477" s="1"/>
  <c r="N98" i="477"/>
  <c r="O97" i="477"/>
  <c r="P97" i="477" s="1"/>
  <c r="N97" i="477"/>
  <c r="O96" i="477"/>
  <c r="P96" i="477" s="1"/>
  <c r="N96" i="477"/>
  <c r="O95" i="477"/>
  <c r="N95" i="477"/>
  <c r="O94" i="477"/>
  <c r="P94" i="477" s="1"/>
  <c r="N94" i="477"/>
  <c r="O93" i="477"/>
  <c r="N93" i="477"/>
  <c r="O92" i="477"/>
  <c r="N92" i="477"/>
  <c r="P92" i="477" s="1"/>
  <c r="O91" i="477"/>
  <c r="P91" i="477" s="1"/>
  <c r="N91" i="477"/>
  <c r="O90" i="477"/>
  <c r="P90" i="477" s="1"/>
  <c r="N90" i="477"/>
  <c r="O89" i="477"/>
  <c r="N89" i="477"/>
  <c r="G81" i="477"/>
  <c r="F81" i="477"/>
  <c r="E81" i="477"/>
  <c r="O81" i="477" s="1"/>
  <c r="D81" i="477"/>
  <c r="N81" i="477" s="1"/>
  <c r="O80" i="477"/>
  <c r="N80" i="477"/>
  <c r="O79" i="477"/>
  <c r="N79" i="477"/>
  <c r="O78" i="477"/>
  <c r="N78" i="477"/>
  <c r="P78" i="477" s="1"/>
  <c r="O77" i="477"/>
  <c r="N77" i="477"/>
  <c r="O76" i="477"/>
  <c r="N76" i="477"/>
  <c r="O75" i="477"/>
  <c r="N75" i="477"/>
  <c r="P75" i="477" s="1"/>
  <c r="O74" i="477"/>
  <c r="N74" i="477"/>
  <c r="O73" i="477"/>
  <c r="N73" i="477"/>
  <c r="O72" i="477"/>
  <c r="N72" i="477"/>
  <c r="O71" i="477"/>
  <c r="N71" i="477"/>
  <c r="P71" i="477" s="1"/>
  <c r="O70" i="477"/>
  <c r="P70" i="477" s="1"/>
  <c r="N70" i="477"/>
  <c r="G62" i="477"/>
  <c r="F62" i="477"/>
  <c r="E62" i="477"/>
  <c r="O62" i="477" s="1"/>
  <c r="D62" i="477"/>
  <c r="N62" i="477"/>
  <c r="O61" i="477"/>
  <c r="N61" i="477"/>
  <c r="O60" i="477"/>
  <c r="N60" i="477"/>
  <c r="O59" i="477"/>
  <c r="N59" i="477"/>
  <c r="O58" i="477"/>
  <c r="N58" i="477"/>
  <c r="O57" i="477"/>
  <c r="N57" i="477"/>
  <c r="O56" i="477"/>
  <c r="N56" i="477"/>
  <c r="O55" i="477"/>
  <c r="N55" i="477"/>
  <c r="O54" i="477"/>
  <c r="N54" i="477"/>
  <c r="O53" i="477"/>
  <c r="N53" i="477"/>
  <c r="O52" i="477"/>
  <c r="P52" i="477" s="1"/>
  <c r="N52" i="477"/>
  <c r="O51" i="477"/>
  <c r="N51" i="477"/>
  <c r="E43" i="477"/>
  <c r="O43" i="477" s="1"/>
  <c r="D43" i="477"/>
  <c r="N43" i="477"/>
  <c r="G43" i="477"/>
  <c r="F43" i="477"/>
  <c r="O42" i="477"/>
  <c r="N42" i="477"/>
  <c r="P42" i="477" s="1"/>
  <c r="O41" i="477"/>
  <c r="N41" i="477"/>
  <c r="O40" i="477"/>
  <c r="N40" i="477"/>
  <c r="P40" i="477" s="1"/>
  <c r="O39" i="477"/>
  <c r="N39" i="477"/>
  <c r="P39" i="477" s="1"/>
  <c r="O38" i="477"/>
  <c r="N38" i="477"/>
  <c r="O37" i="477"/>
  <c r="N37" i="477"/>
  <c r="O36" i="477"/>
  <c r="N36" i="477"/>
  <c r="P36" i="477" s="1"/>
  <c r="O35" i="477"/>
  <c r="P35" i="477" s="1"/>
  <c r="N35" i="477"/>
  <c r="O34" i="477"/>
  <c r="N34" i="477"/>
  <c r="O33" i="477"/>
  <c r="P33" i="477" s="1"/>
  <c r="N33" i="477"/>
  <c r="O32" i="477"/>
  <c r="P32" i="477" s="1"/>
  <c r="N32" i="477"/>
  <c r="D24" i="477"/>
  <c r="N24" i="477" s="1"/>
  <c r="G24" i="477"/>
  <c r="F24" i="477"/>
  <c r="E24" i="477"/>
  <c r="O24" i="477" s="1"/>
  <c r="O23" i="477"/>
  <c r="N23" i="477"/>
  <c r="P23" i="477" s="1"/>
  <c r="O22" i="477"/>
  <c r="P22" i="477" s="1"/>
  <c r="N22" i="477"/>
  <c r="O21" i="477"/>
  <c r="N21" i="477"/>
  <c r="O20" i="477"/>
  <c r="P20" i="477" s="1"/>
  <c r="N20" i="477"/>
  <c r="O19" i="477"/>
  <c r="P19" i="477" s="1"/>
  <c r="N19" i="477"/>
  <c r="O18" i="477"/>
  <c r="N18" i="477"/>
  <c r="O17" i="477"/>
  <c r="P17" i="477" s="1"/>
  <c r="N17" i="477"/>
  <c r="O16" i="477"/>
  <c r="P16" i="477" s="1"/>
  <c r="N16" i="477"/>
  <c r="O15" i="477"/>
  <c r="P15" i="477" s="1"/>
  <c r="N15" i="477"/>
  <c r="O14" i="477"/>
  <c r="P14" i="477" s="1"/>
  <c r="N14" i="477"/>
  <c r="O13" i="477"/>
  <c r="P13" i="477" s="1"/>
  <c r="N13" i="477"/>
  <c r="D25" i="469"/>
  <c r="D24" i="469"/>
  <c r="D23" i="469"/>
  <c r="D22" i="469"/>
  <c r="D21" i="469"/>
  <c r="D20" i="469"/>
  <c r="D19" i="469"/>
  <c r="D25" i="463"/>
  <c r="D24" i="463"/>
  <c r="R14" i="459"/>
  <c r="O14" i="459"/>
  <c r="L14" i="459"/>
  <c r="I14" i="459"/>
  <c r="F14" i="459"/>
  <c r="R13" i="459"/>
  <c r="O13" i="459"/>
  <c r="L13" i="459"/>
  <c r="I13" i="459"/>
  <c r="F13" i="459"/>
  <c r="BM68" i="457"/>
  <c r="BI68" i="457"/>
  <c r="AR68" i="457"/>
  <c r="AJ68" i="457"/>
  <c r="AF68" i="457"/>
  <c r="P68" i="457"/>
  <c r="F68" i="457"/>
  <c r="E68" i="457"/>
  <c r="AR67" i="457"/>
  <c r="P67" i="457"/>
  <c r="L67" i="457"/>
  <c r="F67" i="457"/>
  <c r="D67" i="457" s="1"/>
  <c r="F66" i="457"/>
  <c r="E66" i="457"/>
  <c r="D66" i="457"/>
  <c r="F65" i="457"/>
  <c r="E65" i="457"/>
  <c r="D65" i="457"/>
  <c r="DU24" i="457"/>
  <c r="DR24" i="457"/>
  <c r="DO24" i="457"/>
  <c r="DL24" i="457"/>
  <c r="DI24" i="457"/>
  <c r="DF24" i="457"/>
  <c r="DC24" i="457"/>
  <c r="CZ24" i="457"/>
  <c r="CW24" i="457"/>
  <c r="CN24" i="457"/>
  <c r="BY24" i="457"/>
  <c r="BM24" i="457"/>
  <c r="AR24" i="457"/>
  <c r="AO24" i="457"/>
  <c r="AC24" i="457"/>
  <c r="T24" i="457"/>
  <c r="L24" i="457"/>
  <c r="F24" i="457"/>
  <c r="D24" i="457" s="1"/>
  <c r="E24" i="457"/>
  <c r="DC23" i="457"/>
  <c r="CZ23" i="457"/>
  <c r="CW23" i="457"/>
  <c r="CT23" i="457"/>
  <c r="CQ23" i="457"/>
  <c r="CN23" i="457"/>
  <c r="CK23" i="457"/>
  <c r="CH23" i="457"/>
  <c r="CE23" i="457"/>
  <c r="BY23" i="457"/>
  <c r="BM23" i="457"/>
  <c r="BD23" i="457"/>
  <c r="AO23" i="457"/>
  <c r="AC23" i="457"/>
  <c r="T23" i="457"/>
  <c r="L23" i="457"/>
  <c r="F23" i="457"/>
  <c r="E23" i="457"/>
  <c r="F22" i="457"/>
  <c r="E22" i="457"/>
  <c r="F21" i="457"/>
  <c r="E21" i="457"/>
  <c r="BW22" i="451"/>
  <c r="BT22" i="451"/>
  <c r="BO22" i="451"/>
  <c r="BK22" i="451"/>
  <c r="BH22" i="451"/>
  <c r="BC22" i="451"/>
  <c r="AY22" i="451"/>
  <c r="BT18" i="451"/>
  <c r="BH18" i="451"/>
  <c r="BT17" i="451"/>
  <c r="BH17" i="451"/>
  <c r="BT16" i="451"/>
  <c r="BH16" i="451"/>
  <c r="BT15" i="451"/>
  <c r="BH15" i="451"/>
  <c r="J26" i="447"/>
  <c r="G26" i="447"/>
  <c r="D26" i="447"/>
  <c r="E26" i="447"/>
  <c r="AH25" i="447"/>
  <c r="D25" i="447"/>
  <c r="E26" i="418"/>
  <c r="E25" i="418"/>
  <c r="E24" i="418" s="1"/>
  <c r="K88" i="406"/>
  <c r="J88" i="406"/>
  <c r="H88" i="406"/>
  <c r="G88" i="406"/>
  <c r="D88" i="406"/>
  <c r="K65" i="406"/>
  <c r="H65" i="406"/>
  <c r="K64" i="406"/>
  <c r="H64" i="406"/>
  <c r="K63" i="406"/>
  <c r="H63" i="406"/>
  <c r="K62" i="406"/>
  <c r="H62" i="406"/>
  <c r="K61" i="406"/>
  <c r="H61" i="406"/>
  <c r="K60" i="406"/>
  <c r="H60" i="406"/>
  <c r="K59" i="406"/>
  <c r="H59" i="406"/>
  <c r="K58" i="406"/>
  <c r="H58" i="406"/>
  <c r="K57" i="406"/>
  <c r="H57" i="406"/>
  <c r="J56" i="406"/>
  <c r="K56" i="406" s="1"/>
  <c r="G56" i="406"/>
  <c r="H56" i="406" s="1"/>
  <c r="E56" i="406"/>
  <c r="D56" i="406"/>
  <c r="K46" i="406"/>
  <c r="H46" i="406"/>
  <c r="K45" i="406"/>
  <c r="G45" i="406"/>
  <c r="H45" i="406"/>
  <c r="K44" i="406"/>
  <c r="G44" i="406"/>
  <c r="H44" i="406" s="1"/>
  <c r="K43" i="406"/>
  <c r="G43" i="406"/>
  <c r="H43" i="406" s="1"/>
  <c r="K42" i="406"/>
  <c r="G42" i="406"/>
  <c r="H42" i="406"/>
  <c r="K41" i="406"/>
  <c r="G41" i="406"/>
  <c r="H41" i="406" s="1"/>
  <c r="K40" i="406"/>
  <c r="H40" i="406"/>
  <c r="K39" i="406"/>
  <c r="G39" i="406"/>
  <c r="K38" i="406"/>
  <c r="H38" i="406"/>
  <c r="J37" i="406"/>
  <c r="K37" i="406" s="1"/>
  <c r="E37" i="406"/>
  <c r="D37" i="406"/>
  <c r="H23" i="406"/>
  <c r="K22" i="406"/>
  <c r="H22" i="406"/>
  <c r="H21" i="406"/>
  <c r="K20" i="406"/>
  <c r="H20" i="406"/>
  <c r="K19" i="406"/>
  <c r="H19" i="406"/>
  <c r="K18" i="406"/>
  <c r="H18" i="406"/>
  <c r="H17" i="406"/>
  <c r="K16" i="406"/>
  <c r="H16" i="406"/>
  <c r="K15" i="406"/>
  <c r="J14" i="406"/>
  <c r="K14" i="406" s="1"/>
  <c r="G14" i="406"/>
  <c r="H14" i="406" s="1"/>
  <c r="E14" i="406"/>
  <c r="D14" i="406"/>
  <c r="M20" i="385"/>
  <c r="K20" i="385"/>
  <c r="J20" i="385"/>
  <c r="I20" i="385"/>
  <c r="H20" i="385"/>
  <c r="G20" i="385"/>
  <c r="F20" i="385"/>
  <c r="E20" i="385"/>
  <c r="D20" i="385"/>
  <c r="O31" i="385" s="1"/>
  <c r="O32" i="385" s="1"/>
  <c r="M19" i="385"/>
  <c r="D19" i="385" s="1"/>
  <c r="K19" i="385"/>
  <c r="J19" i="385"/>
  <c r="I19" i="385"/>
  <c r="H19" i="385"/>
  <c r="G19" i="385"/>
  <c r="F19" i="385"/>
  <c r="E19" i="385"/>
  <c r="M18" i="385"/>
  <c r="D18" i="385" s="1"/>
  <c r="K18" i="385"/>
  <c r="J18" i="385"/>
  <c r="I18" i="385"/>
  <c r="H18" i="385"/>
  <c r="G18" i="385"/>
  <c r="F18" i="385"/>
  <c r="E18" i="385"/>
  <c r="D17" i="385"/>
  <c r="V16" i="385"/>
  <c r="D16" i="385" s="1"/>
  <c r="M16" i="385"/>
  <c r="V15" i="385"/>
  <c r="D15" i="385" s="1"/>
  <c r="M15" i="385"/>
  <c r="M14" i="385"/>
  <c r="D14" i="385" s="1"/>
  <c r="K14" i="385"/>
  <c r="J14" i="385"/>
  <c r="I14" i="385"/>
  <c r="H14" i="385"/>
  <c r="G14" i="385"/>
  <c r="F14" i="385"/>
  <c r="E14" i="385"/>
  <c r="AH46" i="381"/>
  <c r="AC46" i="381"/>
  <c r="Y46" i="381"/>
  <c r="T46" i="381"/>
  <c r="O46" i="381"/>
  <c r="K46" i="381"/>
  <c r="H46" i="381"/>
  <c r="AH45" i="381"/>
  <c r="Y45" i="381"/>
  <c r="T45" i="381"/>
  <c r="O45" i="381"/>
  <c r="K45" i="381"/>
  <c r="H45" i="381"/>
  <c r="AH44" i="381"/>
  <c r="Y44" i="381"/>
  <c r="T44" i="381"/>
  <c r="O44" i="381"/>
  <c r="K44" i="381"/>
  <c r="H44" i="381"/>
  <c r="AH43" i="381"/>
  <c r="Y43" i="381"/>
  <c r="T43" i="381"/>
  <c r="O43" i="381"/>
  <c r="K43" i="381"/>
  <c r="H43" i="381"/>
  <c r="AH42" i="381"/>
  <c r="Y42" i="381"/>
  <c r="T42" i="381"/>
  <c r="O42" i="381"/>
  <c r="K42" i="381"/>
  <c r="H42" i="381"/>
  <c r="AH41" i="381"/>
  <c r="Y41" i="381"/>
  <c r="T41" i="381"/>
  <c r="O41" i="381"/>
  <c r="K41" i="381"/>
  <c r="H41" i="381"/>
  <c r="AH40" i="381"/>
  <c r="Y40" i="381"/>
  <c r="T40" i="381"/>
  <c r="O40" i="381"/>
  <c r="K40" i="381"/>
  <c r="H40" i="381"/>
  <c r="AH39" i="381"/>
  <c r="AC39" i="381"/>
  <c r="Y39" i="381"/>
  <c r="T39" i="381"/>
  <c r="O39" i="381"/>
  <c r="K39" i="381"/>
  <c r="H39" i="381"/>
  <c r="AH38" i="381"/>
  <c r="AC38" i="381"/>
  <c r="Y38" i="381"/>
  <c r="T38" i="381"/>
  <c r="O38" i="381"/>
  <c r="K38" i="381"/>
  <c r="H38" i="381"/>
  <c r="AH37" i="381"/>
  <c r="AC37" i="381"/>
  <c r="Y37" i="381"/>
  <c r="T37" i="381"/>
  <c r="O37" i="381"/>
  <c r="K37" i="381"/>
  <c r="H37" i="381"/>
  <c r="AH36" i="381"/>
  <c r="AC36" i="381"/>
  <c r="Y36" i="381"/>
  <c r="T36" i="381"/>
  <c r="O36" i="381"/>
  <c r="K36" i="381"/>
  <c r="H36" i="381"/>
  <c r="AH35" i="381"/>
  <c r="AC35" i="381"/>
  <c r="Y35" i="381"/>
  <c r="T35" i="381"/>
  <c r="O35" i="381"/>
  <c r="K35" i="381"/>
  <c r="H35" i="381"/>
  <c r="AH34" i="381"/>
  <c r="AC34" i="381"/>
  <c r="Y34" i="381"/>
  <c r="T34" i="381"/>
  <c r="O34" i="381"/>
  <c r="K34" i="381"/>
  <c r="H34" i="381"/>
  <c r="AH33" i="381"/>
  <c r="AC33" i="381"/>
  <c r="Y33" i="381"/>
  <c r="T33" i="381"/>
  <c r="O33" i="381"/>
  <c r="K33" i="381"/>
  <c r="H33" i="381"/>
  <c r="AH32" i="381"/>
  <c r="AC32" i="381"/>
  <c r="Y32" i="381"/>
  <c r="T32" i="381"/>
  <c r="O32" i="381"/>
  <c r="K32" i="381"/>
  <c r="H32" i="381"/>
  <c r="AH31" i="381"/>
  <c r="AC31" i="381"/>
  <c r="Y31" i="381"/>
  <c r="T31" i="381"/>
  <c r="O31" i="381"/>
  <c r="K31" i="381"/>
  <c r="H31" i="381"/>
  <c r="AH30" i="381"/>
  <c r="AC30" i="381"/>
  <c r="Y30" i="381"/>
  <c r="T30" i="381"/>
  <c r="O30" i="381"/>
  <c r="K30" i="381"/>
  <c r="H30" i="381"/>
  <c r="AH29" i="381"/>
  <c r="AC29" i="381"/>
  <c r="Y29" i="381"/>
  <c r="T29" i="381"/>
  <c r="O29" i="381"/>
  <c r="K29" i="381"/>
  <c r="H29" i="381"/>
  <c r="AH28" i="381"/>
  <c r="AC28" i="381"/>
  <c r="Y28" i="381"/>
  <c r="T28" i="381"/>
  <c r="O28" i="381"/>
  <c r="K28" i="381"/>
  <c r="H28" i="381"/>
  <c r="AH27" i="381"/>
  <c r="AC27" i="381"/>
  <c r="Y27" i="381"/>
  <c r="T27" i="381"/>
  <c r="O27" i="381"/>
  <c r="K27" i="381"/>
  <c r="H27" i="381"/>
  <c r="AH26" i="381"/>
  <c r="AC26" i="381"/>
  <c r="Y26" i="381"/>
  <c r="T26" i="381"/>
  <c r="O26" i="381"/>
  <c r="K26" i="381"/>
  <c r="H26" i="381"/>
  <c r="AH25" i="381"/>
  <c r="AC25" i="381"/>
  <c r="Y25" i="381"/>
  <c r="T25" i="381"/>
  <c r="O25" i="381"/>
  <c r="K25" i="381"/>
  <c r="H25" i="381"/>
  <c r="AH24" i="381"/>
  <c r="AC24" i="381"/>
  <c r="Y24" i="381"/>
  <c r="T24" i="381"/>
  <c r="O24" i="381"/>
  <c r="K24" i="381"/>
  <c r="H24" i="381"/>
  <c r="AH23" i="381"/>
  <c r="AC23" i="381"/>
  <c r="Y23" i="381"/>
  <c r="T23" i="381"/>
  <c r="O23" i="381"/>
  <c r="K23" i="381"/>
  <c r="H23" i="381"/>
  <c r="AH22" i="381"/>
  <c r="AC22" i="381"/>
  <c r="Y22" i="381"/>
  <c r="T22" i="381"/>
  <c r="O22" i="381"/>
  <c r="K22" i="381"/>
  <c r="H22" i="381"/>
  <c r="AH21" i="381"/>
  <c r="AC21" i="381"/>
  <c r="Y21" i="381"/>
  <c r="T21" i="381"/>
  <c r="O21" i="381"/>
  <c r="K21" i="381"/>
  <c r="H21" i="381"/>
  <c r="AH20" i="381"/>
  <c r="AC20" i="381"/>
  <c r="Y20" i="381"/>
  <c r="T20" i="381"/>
  <c r="O20" i="381"/>
  <c r="K20" i="381"/>
  <c r="H20" i="381"/>
  <c r="AH19" i="381"/>
  <c r="AC19" i="381"/>
  <c r="Y19" i="381"/>
  <c r="T19" i="381"/>
  <c r="O19" i="381"/>
  <c r="K19" i="381"/>
  <c r="H19" i="381"/>
  <c r="AH18" i="381"/>
  <c r="AC18" i="381"/>
  <c r="Y18" i="381"/>
  <c r="T18" i="381"/>
  <c r="O18" i="381"/>
  <c r="K18" i="381"/>
  <c r="H18" i="381"/>
  <c r="AH17" i="381"/>
  <c r="AC17" i="381"/>
  <c r="Y17" i="381"/>
  <c r="T17" i="381"/>
  <c r="O17" i="381"/>
  <c r="K17" i="381"/>
  <c r="H17" i="381"/>
  <c r="AH16" i="381"/>
  <c r="AC16" i="381"/>
  <c r="Y16" i="381"/>
  <c r="T16" i="381"/>
  <c r="O16" i="381"/>
  <c r="K16" i="381"/>
  <c r="H16" i="381"/>
  <c r="AH15" i="381"/>
  <c r="AC15" i="381"/>
  <c r="Y15" i="381"/>
  <c r="T15" i="381"/>
  <c r="O15" i="381"/>
  <c r="K15" i="381"/>
  <c r="H15" i="381"/>
  <c r="AH14" i="381"/>
  <c r="AC14" i="381"/>
  <c r="Y14" i="381"/>
  <c r="T14" i="381"/>
  <c r="O14" i="381"/>
  <c r="K14" i="381"/>
  <c r="H14" i="381"/>
  <c r="AH13" i="381"/>
  <c r="AC13" i="381"/>
  <c r="Y13" i="381"/>
  <c r="T13" i="381"/>
  <c r="O13" i="381"/>
  <c r="K13" i="381"/>
  <c r="H13" i="381"/>
  <c r="J16" i="378"/>
  <c r="I16" i="378"/>
  <c r="H16" i="378"/>
  <c r="G16" i="378"/>
  <c r="F16" i="378"/>
  <c r="E16" i="378"/>
  <c r="F24" i="374"/>
  <c r="F22" i="374"/>
  <c r="F21" i="374"/>
  <c r="F20" i="374"/>
  <c r="F19" i="374"/>
  <c r="F18" i="374"/>
  <c r="F17" i="374"/>
  <c r="F16" i="374"/>
  <c r="F15" i="374"/>
  <c r="F14" i="374"/>
  <c r="F13" i="374"/>
  <c r="E116" i="370"/>
  <c r="D118" i="370" s="1"/>
  <c r="I115" i="370"/>
  <c r="I114" i="370"/>
  <c r="I113" i="370"/>
  <c r="I112" i="370"/>
  <c r="I111" i="370"/>
  <c r="I110" i="370"/>
  <c r="I109" i="370"/>
  <c r="I108" i="370"/>
  <c r="I107" i="370"/>
  <c r="I106" i="370"/>
  <c r="E89" i="370"/>
  <c r="E75" i="370"/>
  <c r="D93" i="370"/>
  <c r="D58" i="370"/>
  <c r="E32" i="370"/>
  <c r="O56" i="366"/>
  <c r="N56" i="366"/>
  <c r="M56" i="366"/>
  <c r="L56" i="366"/>
  <c r="O55" i="366"/>
  <c r="N55" i="366"/>
  <c r="M55" i="366"/>
  <c r="L55" i="366"/>
  <c r="O54" i="366"/>
  <c r="N54" i="366"/>
  <c r="M54" i="366"/>
  <c r="L54" i="366"/>
  <c r="O35" i="366"/>
  <c r="M35" i="366"/>
  <c r="O34" i="366"/>
  <c r="M34" i="366"/>
  <c r="O33" i="366"/>
  <c r="M33" i="366"/>
  <c r="O32" i="366"/>
  <c r="M32" i="366"/>
  <c r="M22" i="366"/>
  <c r="H116" i="364"/>
  <c r="G116" i="364"/>
  <c r="F116" i="364"/>
  <c r="H98" i="364"/>
  <c r="G98" i="364"/>
  <c r="F98" i="364"/>
  <c r="E98" i="364"/>
  <c r="G54" i="364"/>
  <c r="F51" i="364"/>
  <c r="F48" i="364"/>
  <c r="F47" i="364"/>
  <c r="F46" i="364"/>
  <c r="F45" i="364"/>
  <c r="F42" i="364"/>
  <c r="F41" i="364"/>
  <c r="F40" i="364"/>
  <c r="F39" i="364"/>
  <c r="I33" i="364"/>
  <c r="H33" i="364"/>
  <c r="G33" i="364"/>
  <c r="M20" i="351"/>
  <c r="D20" i="351" s="1"/>
  <c r="K20" i="351"/>
  <c r="J20" i="351"/>
  <c r="I20" i="351"/>
  <c r="H20" i="351"/>
  <c r="G20" i="351"/>
  <c r="F20" i="351"/>
  <c r="E20" i="351"/>
  <c r="M19" i="351"/>
  <c r="K19" i="351"/>
  <c r="J19" i="351"/>
  <c r="I19" i="351"/>
  <c r="H19" i="351"/>
  <c r="G19" i="351"/>
  <c r="F19" i="351"/>
  <c r="E19" i="351"/>
  <c r="D19" i="351"/>
  <c r="M18" i="351"/>
  <c r="K18" i="351"/>
  <c r="J18" i="351"/>
  <c r="I18" i="351"/>
  <c r="H18" i="351"/>
  <c r="G18" i="351"/>
  <c r="F18" i="351"/>
  <c r="E18" i="351"/>
  <c r="D18" i="351"/>
  <c r="D17" i="351"/>
  <c r="V16" i="351"/>
  <c r="M16" i="351"/>
  <c r="V15" i="351"/>
  <c r="M15" i="351"/>
  <c r="M14" i="351"/>
  <c r="D14" i="351" s="1"/>
  <c r="K14" i="351"/>
  <c r="J14" i="351"/>
  <c r="I14" i="351"/>
  <c r="H14" i="351"/>
  <c r="G14" i="351"/>
  <c r="F14" i="351"/>
  <c r="E14" i="351"/>
  <c r="BW22" i="345"/>
  <c r="BT22" i="345"/>
  <c r="BO22" i="345"/>
  <c r="BK22" i="345"/>
  <c r="BH22" i="345"/>
  <c r="BC22" i="345"/>
  <c r="AY22" i="345"/>
  <c r="BT18" i="345"/>
  <c r="BH18" i="345"/>
  <c r="BT17" i="345"/>
  <c r="BH17" i="345"/>
  <c r="BT16" i="345"/>
  <c r="BH16" i="345"/>
  <c r="BT15" i="345"/>
  <c r="BH15" i="345"/>
  <c r="AH46" i="333"/>
  <c r="AC46" i="333"/>
  <c r="Y46" i="333"/>
  <c r="T46" i="333"/>
  <c r="O46" i="333"/>
  <c r="K46" i="333"/>
  <c r="H46" i="333"/>
  <c r="AH45" i="333"/>
  <c r="Y45" i="333"/>
  <c r="T45" i="333"/>
  <c r="O45" i="333"/>
  <c r="K45" i="333"/>
  <c r="H45" i="333"/>
  <c r="AH44" i="333"/>
  <c r="Y44" i="333"/>
  <c r="T44" i="333"/>
  <c r="O44" i="333"/>
  <c r="K44" i="333"/>
  <c r="H44" i="333"/>
  <c r="AH43" i="333"/>
  <c r="Y43" i="333"/>
  <c r="T43" i="333"/>
  <c r="O43" i="333"/>
  <c r="K43" i="333"/>
  <c r="H43" i="333"/>
  <c r="AH42" i="333"/>
  <c r="Y42" i="333"/>
  <c r="T42" i="333"/>
  <c r="O42" i="333"/>
  <c r="K42" i="333"/>
  <c r="H42" i="333"/>
  <c r="AH41" i="333"/>
  <c r="Y41" i="333"/>
  <c r="T41" i="333"/>
  <c r="O41" i="333"/>
  <c r="K41" i="333"/>
  <c r="H41" i="333"/>
  <c r="AH40" i="333"/>
  <c r="Y40" i="333"/>
  <c r="T40" i="333"/>
  <c r="O40" i="333"/>
  <c r="K40" i="333"/>
  <c r="H40" i="333"/>
  <c r="AH39" i="333"/>
  <c r="AC39" i="333"/>
  <c r="Y39" i="333"/>
  <c r="T39" i="333"/>
  <c r="O39" i="333"/>
  <c r="K39" i="333"/>
  <c r="H39" i="333"/>
  <c r="AH38" i="333"/>
  <c r="AC38" i="333"/>
  <c r="Y38" i="333"/>
  <c r="T38" i="333"/>
  <c r="O38" i="333"/>
  <c r="K38" i="333"/>
  <c r="H38" i="333"/>
  <c r="AH37" i="333"/>
  <c r="AC37" i="333"/>
  <c r="Y37" i="333"/>
  <c r="T37" i="333"/>
  <c r="O37" i="333"/>
  <c r="K37" i="333"/>
  <c r="H37" i="333"/>
  <c r="AH36" i="333"/>
  <c r="AC36" i="333"/>
  <c r="Y36" i="333"/>
  <c r="T36" i="333"/>
  <c r="O36" i="333"/>
  <c r="K36" i="333"/>
  <c r="H36" i="333"/>
  <c r="AH35" i="333"/>
  <c r="AC35" i="333"/>
  <c r="Y35" i="333"/>
  <c r="T35" i="333"/>
  <c r="O35" i="333"/>
  <c r="K35" i="333"/>
  <c r="H35" i="333"/>
  <c r="AH34" i="333"/>
  <c r="AC34" i="333"/>
  <c r="Y34" i="333"/>
  <c r="T34" i="333"/>
  <c r="O34" i="333"/>
  <c r="K34" i="333"/>
  <c r="H34" i="333"/>
  <c r="AH33" i="333"/>
  <c r="AC33" i="333"/>
  <c r="Y33" i="333"/>
  <c r="T33" i="333"/>
  <c r="O33" i="333"/>
  <c r="K33" i="333"/>
  <c r="H33" i="333"/>
  <c r="AH32" i="333"/>
  <c r="AC32" i="333"/>
  <c r="Y32" i="333"/>
  <c r="T32" i="333"/>
  <c r="O32" i="333"/>
  <c r="K32" i="333"/>
  <c r="H32" i="333"/>
  <c r="AH31" i="333"/>
  <c r="AC31" i="333"/>
  <c r="Y31" i="333"/>
  <c r="T31" i="333"/>
  <c r="O31" i="333"/>
  <c r="K31" i="333"/>
  <c r="H31" i="333"/>
  <c r="AH30" i="333"/>
  <c r="AC30" i="333"/>
  <c r="Y30" i="333"/>
  <c r="T30" i="333"/>
  <c r="O30" i="333"/>
  <c r="K30" i="333"/>
  <c r="H30" i="333"/>
  <c r="AH29" i="333"/>
  <c r="AC29" i="333"/>
  <c r="Y29" i="333"/>
  <c r="T29" i="333"/>
  <c r="O29" i="333"/>
  <c r="K29" i="333"/>
  <c r="H29" i="333"/>
  <c r="AH28" i="333"/>
  <c r="AC28" i="333"/>
  <c r="Y28" i="333"/>
  <c r="T28" i="333"/>
  <c r="O28" i="333"/>
  <c r="K28" i="333"/>
  <c r="H28" i="333"/>
  <c r="AH27" i="333"/>
  <c r="AC27" i="333"/>
  <c r="Y27" i="333"/>
  <c r="T27" i="333"/>
  <c r="O27" i="333"/>
  <c r="K27" i="333"/>
  <c r="H27" i="333"/>
  <c r="AH26" i="333"/>
  <c r="AC26" i="333"/>
  <c r="Y26" i="333"/>
  <c r="T26" i="333"/>
  <c r="O26" i="333"/>
  <c r="K26" i="333"/>
  <c r="H26" i="333"/>
  <c r="AH25" i="333"/>
  <c r="AC25" i="333"/>
  <c r="Y25" i="333"/>
  <c r="T25" i="333"/>
  <c r="O25" i="333"/>
  <c r="K25" i="333"/>
  <c r="H25" i="333"/>
  <c r="AH24" i="333"/>
  <c r="AC24" i="333"/>
  <c r="Y24" i="333"/>
  <c r="T24" i="333"/>
  <c r="O24" i="333"/>
  <c r="K24" i="333"/>
  <c r="H24" i="333"/>
  <c r="AH23" i="333"/>
  <c r="AC23" i="333"/>
  <c r="Y23" i="333"/>
  <c r="T23" i="333"/>
  <c r="O23" i="333"/>
  <c r="K23" i="333"/>
  <c r="H23" i="333"/>
  <c r="AH22" i="333"/>
  <c r="AC22" i="333"/>
  <c r="Y22" i="333"/>
  <c r="T22" i="333"/>
  <c r="O22" i="333"/>
  <c r="K22" i="333"/>
  <c r="H22" i="333"/>
  <c r="AH21" i="333"/>
  <c r="AC21" i="333"/>
  <c r="Y21" i="333"/>
  <c r="T21" i="333"/>
  <c r="O21" i="333"/>
  <c r="K21" i="333"/>
  <c r="H21" i="333"/>
  <c r="AH20" i="333"/>
  <c r="AC20" i="333"/>
  <c r="Y20" i="333"/>
  <c r="T20" i="333"/>
  <c r="O20" i="333"/>
  <c r="K20" i="333"/>
  <c r="H20" i="333"/>
  <c r="AH19" i="333"/>
  <c r="AC19" i="333"/>
  <c r="Y19" i="333"/>
  <c r="T19" i="333"/>
  <c r="O19" i="333"/>
  <c r="K19" i="333"/>
  <c r="H19" i="333"/>
  <c r="AH18" i="333"/>
  <c r="AC18" i="333"/>
  <c r="Y18" i="333"/>
  <c r="T18" i="333"/>
  <c r="O18" i="333"/>
  <c r="K18" i="333"/>
  <c r="H18" i="333"/>
  <c r="AH17" i="333"/>
  <c r="AC17" i="333"/>
  <c r="Y17" i="333"/>
  <c r="T17" i="333"/>
  <c r="O17" i="333"/>
  <c r="K17" i="333"/>
  <c r="H17" i="333"/>
  <c r="AH16" i="333"/>
  <c r="AC16" i="333"/>
  <c r="Y16" i="333"/>
  <c r="T16" i="333"/>
  <c r="O16" i="333"/>
  <c r="K16" i="333"/>
  <c r="H16" i="333"/>
  <c r="AH15" i="333"/>
  <c r="AC15" i="333"/>
  <c r="Y15" i="333"/>
  <c r="T15" i="333"/>
  <c r="O15" i="333"/>
  <c r="K15" i="333"/>
  <c r="H15" i="333"/>
  <c r="AH14" i="333"/>
  <c r="AC14" i="333"/>
  <c r="Y14" i="333"/>
  <c r="T14" i="333"/>
  <c r="O14" i="333"/>
  <c r="K14" i="333"/>
  <c r="H14" i="333"/>
  <c r="AH13" i="333"/>
  <c r="AC13" i="333"/>
  <c r="Y13" i="333"/>
  <c r="T13" i="333"/>
  <c r="O13" i="333"/>
  <c r="K13" i="333"/>
  <c r="H13" i="333"/>
  <c r="AL79" i="310"/>
  <c r="AK79" i="310"/>
  <c r="AM78" i="310"/>
  <c r="AW78" i="310" s="1"/>
  <c r="AM77" i="310"/>
  <c r="AW77" i="310" s="1"/>
  <c r="AM76" i="310"/>
  <c r="AN76" i="310" s="1"/>
  <c r="AP75" i="310"/>
  <c r="AM75" i="310"/>
  <c r="AW75" i="310" s="1"/>
  <c r="AM74" i="310"/>
  <c r="AN74" i="310"/>
  <c r="AO74" i="310" s="1"/>
  <c r="AM73" i="310"/>
  <c r="AM72" i="310"/>
  <c r="AW72" i="310" s="1"/>
  <c r="AM71" i="310"/>
  <c r="AN71" i="310" s="1"/>
  <c r="AM70" i="310"/>
  <c r="AM69" i="310"/>
  <c r="AM68" i="310"/>
  <c r="AN68" i="310" s="1"/>
  <c r="AM67" i="310"/>
  <c r="AN67" i="310" s="1"/>
  <c r="AM66" i="310"/>
  <c r="AW66" i="310"/>
  <c r="AM65" i="310"/>
  <c r="AM64" i="310"/>
  <c r="AN64" i="310" s="1"/>
  <c r="AM63" i="310"/>
  <c r="AW63" i="310" s="1"/>
  <c r="AM62" i="310"/>
  <c r="AW62" i="310" s="1"/>
  <c r="AM61" i="310"/>
  <c r="AW61" i="310" s="1"/>
  <c r="AM60" i="310"/>
  <c r="AW60" i="310"/>
  <c r="AM59" i="310"/>
  <c r="AW59" i="310" s="1"/>
  <c r="AM58" i="310"/>
  <c r="AW58" i="310"/>
  <c r="AM57" i="310"/>
  <c r="AW57" i="310" s="1"/>
  <c r="AM56" i="310"/>
  <c r="AW56" i="310"/>
  <c r="AM55" i="310"/>
  <c r="AW55" i="310" s="1"/>
  <c r="AM54" i="310"/>
  <c r="AW54" i="310" s="1"/>
  <c r="AM53" i="310"/>
  <c r="AW53" i="310" s="1"/>
  <c r="AM52" i="310"/>
  <c r="AW52" i="310"/>
  <c r="AW51" i="310"/>
  <c r="AW50" i="310"/>
  <c r="AM49" i="310"/>
  <c r="AW49" i="310"/>
  <c r="AM48" i="310"/>
  <c r="AW48" i="310" s="1"/>
  <c r="AM47" i="310"/>
  <c r="AW47" i="310"/>
  <c r="AW46" i="310"/>
  <c r="AW45" i="310"/>
  <c r="AM44" i="310"/>
  <c r="AW44" i="310"/>
  <c r="AM43" i="310"/>
  <c r="AW43" i="310" s="1"/>
  <c r="AM42" i="310"/>
  <c r="AW42" i="310"/>
  <c r="AM41" i="310"/>
  <c r="AV29" i="310"/>
  <c r="AU29" i="310"/>
  <c r="AT29" i="310"/>
  <c r="AS29" i="310"/>
  <c r="AR29" i="310"/>
  <c r="AQ29" i="310"/>
  <c r="AW27" i="310"/>
  <c r="AW26" i="310"/>
  <c r="AW25" i="310"/>
  <c r="AW24" i="310"/>
  <c r="AW23" i="310"/>
  <c r="AW22" i="310"/>
  <c r="AW21" i="310"/>
  <c r="AW20" i="310"/>
  <c r="AW19" i="310"/>
  <c r="AW18" i="310"/>
  <c r="AW17" i="310"/>
  <c r="AW16" i="310"/>
  <c r="AW15" i="310"/>
  <c r="AW14" i="310"/>
  <c r="D26" i="277"/>
  <c r="D25" i="277"/>
  <c r="D24" i="277"/>
  <c r="F21" i="271"/>
  <c r="F20" i="271"/>
  <c r="F19" i="271"/>
  <c r="F18" i="271"/>
  <c r="F17" i="271"/>
  <c r="F16" i="271"/>
  <c r="F15" i="271"/>
  <c r="F14" i="271"/>
  <c r="F13" i="271"/>
  <c r="F12" i="271"/>
  <c r="F11" i="271"/>
  <c r="F21" i="252"/>
  <c r="E21" i="252"/>
  <c r="D21" i="252"/>
  <c r="F20" i="252"/>
  <c r="E20" i="252"/>
  <c r="D20" i="252"/>
  <c r="F19" i="252"/>
  <c r="E19" i="252"/>
  <c r="D19" i="252"/>
  <c r="F18" i="252"/>
  <c r="E18" i="252"/>
  <c r="D18" i="252"/>
  <c r="F17" i="252"/>
  <c r="E17" i="252"/>
  <c r="D17" i="252"/>
  <c r="D15" i="252"/>
  <c r="D14" i="252"/>
  <c r="G24" i="250"/>
  <c r="D24" i="250"/>
  <c r="G23" i="250"/>
  <c r="D23" i="250"/>
  <c r="G22" i="250"/>
  <c r="D22" i="250"/>
  <c r="G21" i="250"/>
  <c r="D21" i="250"/>
  <c r="G20" i="250"/>
  <c r="D20" i="250"/>
  <c r="G19" i="250"/>
  <c r="D19" i="250"/>
  <c r="G18" i="250"/>
  <c r="D18" i="250"/>
  <c r="G17" i="250"/>
  <c r="D17" i="250"/>
  <c r="G16" i="250"/>
  <c r="D16" i="250"/>
  <c r="G15" i="250"/>
  <c r="D15" i="250"/>
  <c r="G14" i="250"/>
  <c r="D14" i="250"/>
  <c r="G13" i="250"/>
  <c r="D13" i="250"/>
  <c r="G12" i="250"/>
  <c r="D12" i="250"/>
  <c r="D21" i="248"/>
  <c r="D20" i="248"/>
  <c r="D19" i="248"/>
  <c r="D18" i="248"/>
  <c r="D17" i="248"/>
  <c r="D16" i="248"/>
  <c r="D15" i="248"/>
  <c r="D14" i="248"/>
  <c r="D13" i="248"/>
  <c r="D12" i="248"/>
  <c r="D11" i="248"/>
  <c r="D13" i="247"/>
  <c r="O74" i="240"/>
  <c r="N74" i="240"/>
  <c r="M74" i="240"/>
  <c r="L74" i="240"/>
  <c r="O73" i="240"/>
  <c r="N73" i="240"/>
  <c r="M73" i="240"/>
  <c r="L73" i="240"/>
  <c r="O72" i="240"/>
  <c r="N72" i="240"/>
  <c r="M72" i="240"/>
  <c r="L72" i="240"/>
  <c r="P52" i="240"/>
  <c r="O52" i="240"/>
  <c r="N52" i="240"/>
  <c r="M52" i="240"/>
  <c r="L52" i="240"/>
  <c r="P51" i="240"/>
  <c r="O51" i="240"/>
  <c r="N51" i="240"/>
  <c r="M51" i="240"/>
  <c r="L51" i="240"/>
  <c r="P50" i="240"/>
  <c r="O50" i="240"/>
  <c r="N50" i="240"/>
  <c r="M50" i="240"/>
  <c r="L50" i="240"/>
  <c r="P23" i="240"/>
  <c r="O23" i="240"/>
  <c r="N23" i="240"/>
  <c r="M23" i="240"/>
  <c r="L23" i="240"/>
  <c r="M22" i="240"/>
  <c r="F44" i="220"/>
  <c r="G44" i="220" s="1"/>
  <c r="F43" i="220"/>
  <c r="G43" i="220" s="1"/>
  <c r="F42" i="220"/>
  <c r="F41" i="220"/>
  <c r="F40" i="220"/>
  <c r="G40" i="220" s="1"/>
  <c r="F39" i="220"/>
  <c r="F38" i="220"/>
  <c r="F37" i="220"/>
  <c r="F36" i="220"/>
  <c r="G36" i="220" s="1"/>
  <c r="F35" i="220"/>
  <c r="F34" i="220"/>
  <c r="F33" i="220"/>
  <c r="F32" i="220"/>
  <c r="G33" i="220" s="1"/>
  <c r="F31" i="220"/>
  <c r="F30" i="220"/>
  <c r="G30" i="220" s="1"/>
  <c r="F29" i="220"/>
  <c r="F28" i="220"/>
  <c r="G28" i="220" s="1"/>
  <c r="F27" i="220"/>
  <c r="F26" i="220"/>
  <c r="F25" i="220"/>
  <c r="F24" i="220"/>
  <c r="G24" i="220" s="1"/>
  <c r="F23" i="220"/>
  <c r="F22" i="220"/>
  <c r="G22" i="220" s="1"/>
  <c r="F21" i="220"/>
  <c r="F20" i="220"/>
  <c r="G20" i="220" s="1"/>
  <c r="F19" i="220"/>
  <c r="F18" i="220"/>
  <c r="F17" i="220"/>
  <c r="F16" i="220"/>
  <c r="G16" i="220" s="1"/>
  <c r="F15" i="220"/>
  <c r="F14" i="220"/>
  <c r="G15" i="220" s="1"/>
  <c r="F13" i="220"/>
  <c r="F12" i="220"/>
  <c r="F22" i="217"/>
  <c r="F20" i="217"/>
  <c r="F19" i="217"/>
  <c r="F18" i="217"/>
  <c r="F17" i="217"/>
  <c r="F16" i="217"/>
  <c r="F15" i="217"/>
  <c r="F14" i="217"/>
  <c r="F13" i="217"/>
  <c r="F12" i="217"/>
  <c r="F11" i="217"/>
  <c r="R26" i="186"/>
  <c r="Q26" i="186"/>
  <c r="M26" i="186"/>
  <c r="L26" i="186"/>
  <c r="H26" i="186"/>
  <c r="E46" i="186" s="1"/>
  <c r="G26" i="186"/>
  <c r="R25" i="186"/>
  <c r="Q25" i="186"/>
  <c r="M25" i="186"/>
  <c r="L25" i="186"/>
  <c r="H25" i="186"/>
  <c r="G25" i="186"/>
  <c r="R24" i="186"/>
  <c r="Q24" i="186"/>
  <c r="M24" i="186"/>
  <c r="L24" i="186"/>
  <c r="H24" i="186"/>
  <c r="G24" i="186"/>
  <c r="R23" i="186"/>
  <c r="Q23" i="186"/>
  <c r="M23" i="186"/>
  <c r="L23" i="186"/>
  <c r="H23" i="186"/>
  <c r="G23" i="186"/>
  <c r="R22" i="186"/>
  <c r="Q22" i="186"/>
  <c r="M22" i="186"/>
  <c r="L22" i="186"/>
  <c r="H22" i="186"/>
  <c r="G22" i="186"/>
  <c r="R21" i="186"/>
  <c r="Q21" i="186"/>
  <c r="M21" i="186"/>
  <c r="L21" i="186"/>
  <c r="H21" i="186"/>
  <c r="G21" i="186"/>
  <c r="R20" i="186"/>
  <c r="Q20" i="186"/>
  <c r="M20" i="186"/>
  <c r="L20" i="186"/>
  <c r="H20" i="186"/>
  <c r="G20" i="186"/>
  <c r="R19" i="186"/>
  <c r="Q19" i="186"/>
  <c r="M19" i="186"/>
  <c r="L19" i="186"/>
  <c r="H19" i="186"/>
  <c r="G19" i="186"/>
  <c r="R18" i="186"/>
  <c r="Q18" i="186"/>
  <c r="M18" i="186"/>
  <c r="L18" i="186"/>
  <c r="H18" i="186"/>
  <c r="E38" i="186" s="1"/>
  <c r="E56" i="186" s="1"/>
  <c r="G18" i="186"/>
  <c r="R17" i="186"/>
  <c r="Q17" i="186"/>
  <c r="M17" i="186"/>
  <c r="L17" i="186"/>
  <c r="G17" i="186"/>
  <c r="E37" i="186" s="1"/>
  <c r="R16" i="186"/>
  <c r="M16" i="186"/>
  <c r="G16" i="186"/>
  <c r="G15" i="186"/>
  <c r="I14" i="184"/>
  <c r="G14" i="184"/>
  <c r="E14" i="184"/>
  <c r="I13" i="184"/>
  <c r="G13" i="184"/>
  <c r="E13" i="184"/>
  <c r="I12" i="184"/>
  <c r="G12" i="184"/>
  <c r="E12" i="184"/>
  <c r="F57" i="182"/>
  <c r="E57" i="182"/>
  <c r="D57" i="182"/>
  <c r="C57" i="182"/>
  <c r="B57" i="182"/>
  <c r="F56" i="182"/>
  <c r="E56" i="182"/>
  <c r="D56" i="182"/>
  <c r="C56" i="182"/>
  <c r="B56" i="182"/>
  <c r="F55" i="182"/>
  <c r="E55" i="182"/>
  <c r="D55" i="182"/>
  <c r="C55" i="182"/>
  <c r="B55" i="182"/>
  <c r="F54" i="182"/>
  <c r="E54" i="182"/>
  <c r="D54" i="182"/>
  <c r="C54" i="182"/>
  <c r="B54" i="182"/>
  <c r="F53" i="182"/>
  <c r="E53" i="182"/>
  <c r="D53" i="182"/>
  <c r="C53" i="182"/>
  <c r="B53" i="182"/>
  <c r="F52" i="182"/>
  <c r="E52" i="182"/>
  <c r="D52" i="182"/>
  <c r="C52" i="182"/>
  <c r="B52" i="182"/>
  <c r="F51" i="182"/>
  <c r="E51" i="182"/>
  <c r="D51" i="182"/>
  <c r="C51" i="182"/>
  <c r="B51" i="182"/>
  <c r="AQ19" i="176"/>
  <c r="AO19" i="176"/>
  <c r="AM19" i="176"/>
  <c r="AK19" i="176"/>
  <c r="AI19" i="176"/>
  <c r="AG19" i="176"/>
  <c r="AE19" i="176"/>
  <c r="AB19" i="176"/>
  <c r="Z19" i="176"/>
  <c r="X19" i="176"/>
  <c r="V19" i="176"/>
  <c r="T19" i="176"/>
  <c r="R19" i="176"/>
  <c r="O19" i="176"/>
  <c r="M19" i="176"/>
  <c r="J19" i="176"/>
  <c r="H19" i="176"/>
  <c r="E19" i="176"/>
  <c r="AQ18" i="176"/>
  <c r="AO18" i="176"/>
  <c r="AM18" i="176"/>
  <c r="AK18" i="176"/>
  <c r="AI18" i="176"/>
  <c r="AG18" i="176"/>
  <c r="AE18" i="176"/>
  <c r="AB18" i="176"/>
  <c r="Z18" i="176"/>
  <c r="X18" i="176"/>
  <c r="V18" i="176"/>
  <c r="T18" i="176"/>
  <c r="R18" i="176"/>
  <c r="O18" i="176"/>
  <c r="M18" i="176"/>
  <c r="J18" i="176"/>
  <c r="H18" i="176"/>
  <c r="E18" i="176"/>
  <c r="AQ17" i="176"/>
  <c r="AO17" i="176"/>
  <c r="AM17" i="176"/>
  <c r="AK17" i="176"/>
  <c r="AI17" i="176"/>
  <c r="AG17" i="176"/>
  <c r="AE17" i="176"/>
  <c r="AB17" i="176"/>
  <c r="Z17" i="176"/>
  <c r="X17" i="176"/>
  <c r="V17" i="176"/>
  <c r="T17" i="176"/>
  <c r="R17" i="176"/>
  <c r="O17" i="176"/>
  <c r="M17" i="176"/>
  <c r="J17" i="176"/>
  <c r="H17" i="176"/>
  <c r="E17" i="176"/>
  <c r="AQ16" i="176"/>
  <c r="AO16" i="176"/>
  <c r="AM16" i="176"/>
  <c r="AK16" i="176"/>
  <c r="AI16" i="176"/>
  <c r="AG16" i="176"/>
  <c r="AE16" i="176"/>
  <c r="AB16" i="176"/>
  <c r="Z16" i="176"/>
  <c r="X16" i="176"/>
  <c r="V16" i="176"/>
  <c r="T16" i="176"/>
  <c r="R16" i="176"/>
  <c r="O16" i="176"/>
  <c r="M16" i="176"/>
  <c r="J16" i="176"/>
  <c r="H16" i="176"/>
  <c r="E16" i="176"/>
  <c r="AQ15" i="176"/>
  <c r="AO15" i="176"/>
  <c r="AM15" i="176"/>
  <c r="AK15" i="176"/>
  <c r="AI15" i="176"/>
  <c r="AG15" i="176"/>
  <c r="AE15" i="176"/>
  <c r="AB15" i="176"/>
  <c r="Z15" i="176"/>
  <c r="X15" i="176"/>
  <c r="V15" i="176"/>
  <c r="T15" i="176"/>
  <c r="R15" i="176"/>
  <c r="O15" i="176"/>
  <c r="M15" i="176"/>
  <c r="J15" i="176"/>
  <c r="H15" i="176"/>
  <c r="E15" i="176"/>
  <c r="AQ14" i="176"/>
  <c r="AO14" i="176"/>
  <c r="AM14" i="176"/>
  <c r="AK14" i="176"/>
  <c r="AI14" i="176"/>
  <c r="AG14" i="176"/>
  <c r="AE14" i="176"/>
  <c r="AB14" i="176"/>
  <c r="Z14" i="176"/>
  <c r="X14" i="176"/>
  <c r="V14" i="176"/>
  <c r="T14" i="176"/>
  <c r="R14" i="176"/>
  <c r="O14" i="176"/>
  <c r="M14" i="176"/>
  <c r="J14" i="176"/>
  <c r="H14" i="176"/>
  <c r="E14" i="176"/>
  <c r="C14" i="161"/>
  <c r="C15" i="161" s="1"/>
  <c r="C16" i="161" s="1"/>
  <c r="C17" i="161" s="1"/>
  <c r="C18" i="161" s="1"/>
  <c r="C19" i="161" s="1"/>
  <c r="C20" i="161" s="1"/>
  <c r="C21" i="161" s="1"/>
  <c r="C22" i="161" s="1"/>
  <c r="C23" i="161" s="1"/>
  <c r="C24" i="161" s="1"/>
  <c r="C25" i="161" s="1"/>
  <c r="C26" i="161" s="1"/>
  <c r="C27" i="161" s="1"/>
  <c r="C28" i="161" s="1"/>
  <c r="C29" i="161" s="1"/>
  <c r="C30" i="161" s="1"/>
  <c r="C31" i="161" s="1"/>
  <c r="C32" i="161" s="1"/>
  <c r="C33" i="161" s="1"/>
  <c r="C34" i="161" s="1"/>
  <c r="C35" i="161" s="1"/>
  <c r="C36" i="161" s="1"/>
  <c r="C37" i="161" s="1"/>
  <c r="M66" i="138"/>
  <c r="K66" i="138"/>
  <c r="J66" i="138"/>
  <c r="H66" i="138"/>
  <c r="F66" i="138"/>
  <c r="E66" i="138"/>
  <c r="D66" i="138"/>
  <c r="M65" i="138"/>
  <c r="K65" i="138"/>
  <c r="J65" i="138"/>
  <c r="H65" i="138"/>
  <c r="F65" i="138"/>
  <c r="E65" i="138"/>
  <c r="D65" i="138"/>
  <c r="M26" i="113"/>
  <c r="J26" i="113"/>
  <c r="G26" i="113"/>
  <c r="G26" i="85"/>
  <c r="K52" i="71"/>
  <c r="J52" i="71"/>
  <c r="K51" i="71"/>
  <c r="J51" i="71"/>
  <c r="K50" i="71"/>
  <c r="J50" i="71"/>
  <c r="K49" i="71"/>
  <c r="J49" i="71"/>
  <c r="K48" i="71"/>
  <c r="J48" i="71"/>
  <c r="K47" i="71"/>
  <c r="J47" i="71"/>
  <c r="K35" i="67"/>
  <c r="K34" i="67"/>
  <c r="K33" i="67"/>
  <c r="K32" i="67"/>
  <c r="K31" i="67"/>
  <c r="K30" i="67"/>
  <c r="K29" i="67"/>
  <c r="K28" i="67"/>
  <c r="K27" i="67"/>
  <c r="K26" i="67"/>
  <c r="K25" i="67"/>
  <c r="K24" i="67"/>
  <c r="K23" i="67"/>
  <c r="K22" i="67"/>
  <c r="K21" i="67"/>
  <c r="K20" i="67"/>
  <c r="K19" i="67"/>
  <c r="K18" i="67"/>
  <c r="K17" i="67"/>
  <c r="K16" i="67"/>
  <c r="K15" i="67"/>
  <c r="K14" i="67"/>
  <c r="F25" i="50"/>
  <c r="F24" i="50"/>
  <c r="F23" i="50"/>
  <c r="F22" i="50"/>
  <c r="F21" i="50"/>
  <c r="F20" i="50"/>
  <c r="F19" i="50"/>
  <c r="F18" i="50"/>
  <c r="F17" i="50"/>
  <c r="F16" i="50"/>
  <c r="F15" i="50"/>
  <c r="F14" i="50"/>
  <c r="M20" i="21"/>
  <c r="D20" i="21" s="1"/>
  <c r="K20" i="21"/>
  <c r="J20" i="21"/>
  <c r="I20" i="21"/>
  <c r="H20" i="21"/>
  <c r="G20" i="21"/>
  <c r="F20" i="21"/>
  <c r="E20" i="21"/>
  <c r="M19" i="21"/>
  <c r="D19" i="21" s="1"/>
  <c r="K19" i="21"/>
  <c r="J19" i="21"/>
  <c r="I19" i="21"/>
  <c r="H19" i="21"/>
  <c r="G19" i="21"/>
  <c r="F19" i="21"/>
  <c r="E19" i="21"/>
  <c r="M18" i="21"/>
  <c r="D18" i="21" s="1"/>
  <c r="K18" i="21"/>
  <c r="J18" i="21"/>
  <c r="I18" i="21"/>
  <c r="H18" i="21"/>
  <c r="G18" i="21"/>
  <c r="F18" i="21"/>
  <c r="E18" i="21"/>
  <c r="D17" i="21"/>
  <c r="V16" i="21"/>
  <c r="M16" i="21"/>
  <c r="D16" i="21" s="1"/>
  <c r="V15" i="21"/>
  <c r="M15" i="21"/>
  <c r="M14" i="21"/>
  <c r="D14" i="21" s="1"/>
  <c r="K14" i="21"/>
  <c r="J14" i="21"/>
  <c r="I14" i="21"/>
  <c r="H14" i="21"/>
  <c r="G14" i="21"/>
  <c r="F14" i="21"/>
  <c r="E14" i="21"/>
  <c r="AH46" i="15"/>
  <c r="AC46" i="15"/>
  <c r="Y46" i="15"/>
  <c r="T46" i="15"/>
  <c r="O46" i="15"/>
  <c r="K46" i="15"/>
  <c r="H46" i="15"/>
  <c r="AH45" i="15"/>
  <c r="Y45" i="15"/>
  <c r="T45" i="15"/>
  <c r="O45" i="15"/>
  <c r="K45" i="15"/>
  <c r="H45" i="15"/>
  <c r="AH44" i="15"/>
  <c r="Y44" i="15"/>
  <c r="T44" i="15"/>
  <c r="O44" i="15"/>
  <c r="K44" i="15"/>
  <c r="H44" i="15"/>
  <c r="AH43" i="15"/>
  <c r="Y43" i="15"/>
  <c r="T43" i="15"/>
  <c r="O43" i="15"/>
  <c r="K43" i="15"/>
  <c r="H43" i="15"/>
  <c r="AH42" i="15"/>
  <c r="Y42" i="15"/>
  <c r="T42" i="15"/>
  <c r="O42" i="15"/>
  <c r="K42" i="15"/>
  <c r="H42" i="15"/>
  <c r="AH41" i="15"/>
  <c r="Y41" i="15"/>
  <c r="T41" i="15"/>
  <c r="O41" i="15"/>
  <c r="K41" i="15"/>
  <c r="H41" i="15"/>
  <c r="AH40" i="15"/>
  <c r="Y40" i="15"/>
  <c r="T40" i="15"/>
  <c r="O40" i="15"/>
  <c r="K40" i="15"/>
  <c r="H40" i="15"/>
  <c r="AH39" i="15"/>
  <c r="AC39" i="15"/>
  <c r="Y39" i="15"/>
  <c r="T39" i="15"/>
  <c r="O39" i="15"/>
  <c r="K39" i="15"/>
  <c r="H39" i="15"/>
  <c r="AH38" i="15"/>
  <c r="AC38" i="15"/>
  <c r="Y38" i="15"/>
  <c r="T38" i="15"/>
  <c r="O38" i="15"/>
  <c r="K38" i="15"/>
  <c r="H38" i="15"/>
  <c r="AH37" i="15"/>
  <c r="AC37" i="15"/>
  <c r="Y37" i="15"/>
  <c r="T37" i="15"/>
  <c r="O37" i="15"/>
  <c r="K37" i="15"/>
  <c r="H37" i="15"/>
  <c r="AH36" i="15"/>
  <c r="AC36" i="15"/>
  <c r="Y36" i="15"/>
  <c r="T36" i="15"/>
  <c r="O36" i="15"/>
  <c r="K36" i="15"/>
  <c r="H36" i="15"/>
  <c r="AH35" i="15"/>
  <c r="AC35" i="15"/>
  <c r="Y35" i="15"/>
  <c r="T35" i="15"/>
  <c r="O35" i="15"/>
  <c r="K35" i="15"/>
  <c r="H35" i="15"/>
  <c r="AH34" i="15"/>
  <c r="AC34" i="15"/>
  <c r="Y34" i="15"/>
  <c r="T34" i="15"/>
  <c r="O34" i="15"/>
  <c r="K34" i="15"/>
  <c r="H34" i="15"/>
  <c r="AH33" i="15"/>
  <c r="AC33" i="15"/>
  <c r="Y33" i="15"/>
  <c r="T33" i="15"/>
  <c r="O33" i="15"/>
  <c r="K33" i="15"/>
  <c r="H33" i="15"/>
  <c r="AH32" i="15"/>
  <c r="AC32" i="15"/>
  <c r="Y32" i="15"/>
  <c r="T32" i="15"/>
  <c r="O32" i="15"/>
  <c r="K32" i="15"/>
  <c r="H32" i="15"/>
  <c r="AH31" i="15"/>
  <c r="AC31" i="15"/>
  <c r="Y31" i="15"/>
  <c r="T31" i="15"/>
  <c r="O31" i="15"/>
  <c r="K31" i="15"/>
  <c r="H31" i="15"/>
  <c r="AH30" i="15"/>
  <c r="AC30" i="15"/>
  <c r="Y30" i="15"/>
  <c r="T30" i="15"/>
  <c r="O30" i="15"/>
  <c r="K30" i="15"/>
  <c r="H30" i="15"/>
  <c r="AH29" i="15"/>
  <c r="AC29" i="15"/>
  <c r="Y29" i="15"/>
  <c r="T29" i="15"/>
  <c r="O29" i="15"/>
  <c r="K29" i="15"/>
  <c r="H29" i="15"/>
  <c r="AH28" i="15"/>
  <c r="AC28" i="15"/>
  <c r="Y28" i="15"/>
  <c r="T28" i="15"/>
  <c r="O28" i="15"/>
  <c r="K28" i="15"/>
  <c r="H28" i="15"/>
  <c r="AH27" i="15"/>
  <c r="AC27" i="15"/>
  <c r="Y27" i="15"/>
  <c r="T27" i="15"/>
  <c r="O27" i="15"/>
  <c r="K27" i="15"/>
  <c r="H27" i="15"/>
  <c r="AH26" i="15"/>
  <c r="AC26" i="15"/>
  <c r="Y26" i="15"/>
  <c r="T26" i="15"/>
  <c r="O26" i="15"/>
  <c r="K26" i="15"/>
  <c r="H26" i="15"/>
  <c r="AH25" i="15"/>
  <c r="AC25" i="15"/>
  <c r="Y25" i="15"/>
  <c r="T25" i="15"/>
  <c r="O25" i="15"/>
  <c r="K25" i="15"/>
  <c r="H25" i="15"/>
  <c r="AH24" i="15"/>
  <c r="AC24" i="15"/>
  <c r="Y24" i="15"/>
  <c r="T24" i="15"/>
  <c r="O24" i="15"/>
  <c r="K24" i="15"/>
  <c r="H24" i="15"/>
  <c r="AH23" i="15"/>
  <c r="AC23" i="15"/>
  <c r="Y23" i="15"/>
  <c r="T23" i="15"/>
  <c r="O23" i="15"/>
  <c r="K23" i="15"/>
  <c r="H23" i="15"/>
  <c r="AH22" i="15"/>
  <c r="AC22" i="15"/>
  <c r="Y22" i="15"/>
  <c r="T22" i="15"/>
  <c r="O22" i="15"/>
  <c r="K22" i="15"/>
  <c r="H22" i="15"/>
  <c r="AH21" i="15"/>
  <c r="AC21" i="15"/>
  <c r="Y21" i="15"/>
  <c r="T21" i="15"/>
  <c r="O21" i="15"/>
  <c r="K21" i="15"/>
  <c r="H21" i="15"/>
  <c r="AH20" i="15"/>
  <c r="AC20" i="15"/>
  <c r="Y20" i="15"/>
  <c r="T20" i="15"/>
  <c r="O20" i="15"/>
  <c r="K20" i="15"/>
  <c r="H20" i="15"/>
  <c r="AH19" i="15"/>
  <c r="AC19" i="15"/>
  <c r="Y19" i="15"/>
  <c r="T19" i="15"/>
  <c r="O19" i="15"/>
  <c r="K19" i="15"/>
  <c r="H19" i="15"/>
  <c r="AH18" i="15"/>
  <c r="AC18" i="15"/>
  <c r="Y18" i="15"/>
  <c r="T18" i="15"/>
  <c r="O18" i="15"/>
  <c r="K18" i="15"/>
  <c r="H18" i="15"/>
  <c r="AH17" i="15"/>
  <c r="AC17" i="15"/>
  <c r="Y17" i="15"/>
  <c r="T17" i="15"/>
  <c r="O17" i="15"/>
  <c r="K17" i="15"/>
  <c r="H17" i="15"/>
  <c r="AH16" i="15"/>
  <c r="AC16" i="15"/>
  <c r="Y16" i="15"/>
  <c r="T16" i="15"/>
  <c r="O16" i="15"/>
  <c r="K16" i="15"/>
  <c r="H16" i="15"/>
  <c r="AH15" i="15"/>
  <c r="AC15" i="15"/>
  <c r="Y15" i="15"/>
  <c r="T15" i="15"/>
  <c r="O15" i="15"/>
  <c r="K15" i="15"/>
  <c r="H15" i="15"/>
  <c r="AH14" i="15"/>
  <c r="AC14" i="15"/>
  <c r="Y14" i="15"/>
  <c r="T14" i="15"/>
  <c r="O14" i="15"/>
  <c r="K14" i="15"/>
  <c r="H14" i="15"/>
  <c r="AH13" i="15"/>
  <c r="AC13" i="15"/>
  <c r="Y13" i="15"/>
  <c r="T13" i="15"/>
  <c r="O13" i="15"/>
  <c r="K13" i="15"/>
  <c r="H13" i="15"/>
  <c r="D19" i="9"/>
  <c r="D18" i="9"/>
  <c r="D17" i="9"/>
  <c r="D16" i="9"/>
  <c r="D15" i="9"/>
  <c r="D14" i="9"/>
  <c r="D13" i="9"/>
  <c r="G21" i="220"/>
  <c r="D23" i="457"/>
  <c r="D68" i="457"/>
  <c r="P34" i="477"/>
  <c r="M371" i="504"/>
  <c r="D15" i="351"/>
  <c r="P54" i="477"/>
  <c r="H371" i="504"/>
  <c r="P371" i="504"/>
  <c r="P51" i="477"/>
  <c r="J371" i="504"/>
  <c r="J376" i="504" s="1"/>
  <c r="J377" i="504" s="1"/>
  <c r="J379" i="504" s="1"/>
  <c r="E375" i="504"/>
  <c r="M375" i="504"/>
  <c r="P37" i="477"/>
  <c r="P89" i="477"/>
  <c r="P18" i="477"/>
  <c r="P21" i="477"/>
  <c r="P56" i="477"/>
  <c r="P59" i="477"/>
  <c r="P72" i="477"/>
  <c r="P76" i="477"/>
  <c r="P73" i="477"/>
  <c r="P100" i="477"/>
  <c r="AW29" i="310"/>
  <c r="G25" i="220"/>
  <c r="G19" i="220"/>
  <c r="G26" i="220"/>
  <c r="G34" i="220"/>
  <c r="AN70" i="310"/>
  <c r="AO70" i="310"/>
  <c r="G42" i="220"/>
  <c r="G38" i="220"/>
  <c r="I116" i="370"/>
  <c r="G35" i="220"/>
  <c r="G14" i="220"/>
  <c r="G27" i="220"/>
  <c r="AN65" i="310"/>
  <c r="AO65" i="310" s="1"/>
  <c r="AN69" i="310"/>
  <c r="AO69" i="310"/>
  <c r="AP69" i="310" s="1"/>
  <c r="AW69" i="310" s="1"/>
  <c r="AN73" i="310"/>
  <c r="AO73" i="310" s="1"/>
  <c r="U15" i="546" l="1"/>
  <c r="N376" i="504"/>
  <c r="N377" i="504" s="1"/>
  <c r="N379" i="504" s="1"/>
  <c r="D15" i="21"/>
  <c r="G37" i="220"/>
  <c r="U22" i="546"/>
  <c r="U17" i="546"/>
  <c r="U20" i="546"/>
  <c r="U16" i="546"/>
  <c r="U19" i="546"/>
  <c r="U18" i="546"/>
  <c r="AU30" i="546"/>
  <c r="AS30" i="546"/>
  <c r="E55" i="186"/>
  <c r="E377" i="504"/>
  <c r="E379" i="504" s="1"/>
  <c r="AS31" i="546"/>
  <c r="AP31" i="546"/>
  <c r="AO46" i="546"/>
  <c r="AO51" i="546"/>
  <c r="AO52" i="546"/>
  <c r="AO45" i="546"/>
  <c r="AO49" i="546"/>
  <c r="AP70" i="310"/>
  <c r="AW70" i="310" s="1"/>
  <c r="G29" i="220"/>
  <c r="P53" i="477"/>
  <c r="H39" i="406"/>
  <c r="G37" i="406"/>
  <c r="H37" i="406" s="1"/>
  <c r="P43" i="477"/>
  <c r="AT32" i="546"/>
  <c r="AP37" i="546"/>
  <c r="AS36" i="546"/>
  <c r="AT36" i="546" s="1"/>
  <c r="M376" i="504"/>
  <c r="M377" i="504" s="1"/>
  <c r="M379" i="504" s="1"/>
  <c r="AD22" i="546"/>
  <c r="AD20" i="546"/>
  <c r="AD19" i="546"/>
  <c r="AD15" i="546"/>
  <c r="AD18" i="546"/>
  <c r="AD21" i="546"/>
  <c r="I22" i="546"/>
  <c r="I18" i="546"/>
  <c r="I15" i="546"/>
  <c r="I21" i="546"/>
  <c r="I17" i="546"/>
  <c r="I19" i="546"/>
  <c r="I16" i="546"/>
  <c r="AU37" i="546"/>
  <c r="K376" i="504"/>
  <c r="K377" i="504" s="1"/>
  <c r="K379" i="504" s="1"/>
  <c r="AY36" i="546"/>
  <c r="AY31" i="546"/>
  <c r="AY33" i="546"/>
  <c r="AY35" i="546"/>
  <c r="AY34" i="546"/>
  <c r="G13" i="220"/>
  <c r="D21" i="457"/>
  <c r="P57" i="477"/>
  <c r="P74" i="477"/>
  <c r="P95" i="477"/>
  <c r="F376" i="504"/>
  <c r="F377" i="504" s="1"/>
  <c r="F379" i="504" s="1"/>
  <c r="Q375" i="504"/>
  <c r="AI49" i="546"/>
  <c r="AK50" i="546"/>
  <c r="G23" i="220"/>
  <c r="G31" i="220"/>
  <c r="G39" i="220"/>
  <c r="AM79" i="310"/>
  <c r="D22" i="457"/>
  <c r="P41" i="477"/>
  <c r="P58" i="477"/>
  <c r="P79" i="477"/>
  <c r="P375" i="504"/>
  <c r="P376" i="504" s="1"/>
  <c r="P377" i="504" s="1"/>
  <c r="P379" i="504" s="1"/>
  <c r="Z15" i="546"/>
  <c r="G21" i="546"/>
  <c r="BC30" i="546"/>
  <c r="BC32" i="546"/>
  <c r="AI35" i="546"/>
  <c r="AK48" i="546"/>
  <c r="AM48" i="546"/>
  <c r="P62" i="477"/>
  <c r="O371" i="504"/>
  <c r="O376" i="504" s="1"/>
  <c r="O377" i="504" s="1"/>
  <c r="O379" i="504" s="1"/>
  <c r="L371" i="504"/>
  <c r="E15" i="546"/>
  <c r="BC37" i="546"/>
  <c r="AI45" i="546"/>
  <c r="AI31" i="546"/>
  <c r="AK47" i="546"/>
  <c r="AQ52" i="546"/>
  <c r="G17" i="220"/>
  <c r="D16" i="351"/>
  <c r="P38" i="477"/>
  <c r="P55" i="477"/>
  <c r="P93" i="477"/>
  <c r="K375" i="504"/>
  <c r="AT35" i="546"/>
  <c r="E39" i="186"/>
  <c r="E57" i="186" s="1"/>
  <c r="E40" i="186"/>
  <c r="E58" i="186" s="1"/>
  <c r="E41" i="186"/>
  <c r="E59" i="186" s="1"/>
  <c r="E43" i="186"/>
  <c r="E61" i="186" s="1"/>
  <c r="E44" i="186"/>
  <c r="E45" i="186"/>
  <c r="E64" i="186" s="1"/>
  <c r="P81" i="477"/>
  <c r="I375" i="504"/>
  <c r="I376" i="504" s="1"/>
  <c r="I377" i="504" s="1"/>
  <c r="I379" i="504" s="1"/>
  <c r="BC33" i="546"/>
  <c r="AP32" i="546"/>
  <c r="AP35" i="546"/>
  <c r="AI47" i="546"/>
  <c r="AK45" i="546"/>
  <c r="AM45" i="546"/>
  <c r="AQ50" i="546"/>
  <c r="AP65" i="310"/>
  <c r="AW65" i="310" s="1"/>
  <c r="E36" i="186"/>
  <c r="E54" i="186" s="1"/>
  <c r="E42" i="186"/>
  <c r="P60" i="477"/>
  <c r="Q371" i="504"/>
  <c r="Q376" i="504" s="1"/>
  <c r="Q377" i="504" s="1"/>
  <c r="Q379" i="504" s="1"/>
  <c r="E16" i="546"/>
  <c r="E19" i="546"/>
  <c r="BC31" i="546"/>
  <c r="BC36" i="546"/>
  <c r="AT33" i="546"/>
  <c r="AK52" i="546"/>
  <c r="AM52" i="546"/>
  <c r="AO67" i="310"/>
  <c r="AP67" i="310" s="1"/>
  <c r="AW67" i="310" s="1"/>
  <c r="P24" i="477"/>
  <c r="E63" i="186"/>
  <c r="AO64" i="310"/>
  <c r="AN79" i="310"/>
  <c r="AO71" i="310"/>
  <c r="AP71" i="310" s="1"/>
  <c r="AW71" i="310" s="1"/>
  <c r="AO76" i="310"/>
  <c r="AP76" i="310"/>
  <c r="AW76" i="310" s="1"/>
  <c r="R373" i="504"/>
  <c r="R375" i="504" s="1"/>
  <c r="R362" i="504"/>
  <c r="AP74" i="310"/>
  <c r="AW74" i="310" s="1"/>
  <c r="AP73" i="310"/>
  <c r="AW73" i="310" s="1"/>
  <c r="AO68" i="310"/>
  <c r="AP68" i="310" s="1"/>
  <c r="AW68" i="310" s="1"/>
  <c r="G32" i="220"/>
  <c r="AW41" i="310"/>
  <c r="G41" i="220"/>
  <c r="G18" i="220"/>
  <c r="R371" i="504"/>
  <c r="R376" i="504" s="1"/>
  <c r="R377" i="504" s="1"/>
  <c r="R379" i="504" s="1"/>
  <c r="G371" i="504"/>
  <c r="G376" i="504" s="1"/>
  <c r="G377" i="504" s="1"/>
  <c r="G379" i="504" s="1"/>
  <c r="L376" i="504"/>
  <c r="L377" i="504" s="1"/>
  <c r="L379" i="504" s="1"/>
  <c r="H375" i="504"/>
  <c r="H376" i="504" s="1"/>
  <c r="H377" i="504" s="1"/>
  <c r="H379" i="504" s="1"/>
  <c r="AU31" i="546"/>
  <c r="AT31" i="546"/>
  <c r="L20" i="546"/>
  <c r="BA33" i="546"/>
  <c r="AC36" i="546"/>
  <c r="AI30" i="546"/>
  <c r="L15" i="546"/>
  <c r="E22" i="546"/>
  <c r="BA30" i="546"/>
  <c r="AT34" i="546"/>
  <c r="AC35" i="546"/>
  <c r="Z21" i="546"/>
  <c r="W21" i="546"/>
  <c r="L18" i="546"/>
  <c r="BA35" i="546"/>
  <c r="AW37" i="546"/>
  <c r="BE37" i="546"/>
  <c r="AP36" i="546"/>
  <c r="AA33" i="546"/>
  <c r="AC34" i="546"/>
  <c r="AE35" i="546"/>
  <c r="AG35" i="546"/>
  <c r="AM47" i="546"/>
  <c r="AO48" i="546"/>
  <c r="AQ49" i="546"/>
  <c r="Z20" i="546"/>
  <c r="W16" i="546"/>
  <c r="S22" i="546"/>
  <c r="N18" i="546"/>
  <c r="L21" i="546"/>
  <c r="E20" i="546"/>
  <c r="BA32" i="546"/>
  <c r="AP33" i="546"/>
  <c r="AA32" i="546"/>
  <c r="AC33" i="546"/>
  <c r="AE34" i="546"/>
  <c r="AG34" i="546"/>
  <c r="AO47" i="546"/>
  <c r="AQ48" i="546"/>
  <c r="Z19" i="546"/>
  <c r="Z22" i="546" s="1"/>
  <c r="W19" i="546"/>
  <c r="L16" i="546"/>
  <c r="N21" i="546"/>
  <c r="AY37" i="546"/>
  <c r="AP30" i="546"/>
  <c r="AU36" i="546"/>
  <c r="AA31" i="546"/>
  <c r="AA37" i="546" s="1"/>
  <c r="AC32" i="546"/>
  <c r="AC37" i="546" s="1"/>
  <c r="AE33" i="546"/>
  <c r="AG33" i="546"/>
  <c r="AI34" i="546"/>
  <c r="AQ47" i="546"/>
  <c r="Z18" i="546"/>
  <c r="N16" i="546"/>
  <c r="L19" i="546"/>
  <c r="E18" i="546"/>
  <c r="I20" i="546"/>
  <c r="BA34" i="546"/>
  <c r="AW36" i="546"/>
  <c r="AU33" i="546"/>
  <c r="AC31" i="546"/>
  <c r="AE32" i="546"/>
  <c r="AE37" i="546" s="1"/>
  <c r="AG32" i="546"/>
  <c r="AI33" i="546"/>
  <c r="BA31" i="546"/>
  <c r="AG37" i="546" l="1"/>
  <c r="AT30" i="546"/>
  <c r="E62" i="186"/>
  <c r="E60" i="186"/>
  <c r="AT37" i="546"/>
  <c r="AO79" i="310"/>
  <c r="AP64" i="310"/>
  <c r="AI37" i="546"/>
  <c r="AW64" i="310" l="1"/>
  <c r="AP79" i="310"/>
  <c r="AW79" i="310" s="1"/>
  <c r="H21" i="457"/>
  <c r="A116" i="188"/>
  <c r="A116" i="188"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52FD7754-547E-41F8-9B9D-32CA09C909EC}">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SALAZAR VILLALOBOS LUCRECIA</author>
  </authors>
  <commentList>
    <comment ref="D14" authorId="0" shapeId="0" xr:uid="{855BEB2B-AD90-4361-AD33-1D46AF10A120}">
      <text>
        <r>
          <rPr>
            <b/>
            <sz val="9"/>
            <color indexed="81"/>
            <rFont val="Tahoma"/>
            <family val="2"/>
          </rPr>
          <t>SALAZAR VILLALOBOS LUCRECIA:</t>
        </r>
        <r>
          <rPr>
            <sz val="9"/>
            <color indexed="81"/>
            <rFont val="Tahoma"/>
            <family val="2"/>
          </rPr>
          <t xml:space="preserve">
En el 2014 se hizo una corrección de la serie a partir del 2016. 
Archivo fuente: 
Cuenta de agua/ODS/BD CTIE a 2023_Base_VGJ_19.07.2024
Hoja: Uso de agua para ODS</t>
        </r>
      </text>
    </comment>
    <comment ref="O14" authorId="0" shapeId="0" xr:uid="{95507264-60F6-4043-A943-1EB5F60E9B84}">
      <text>
        <r>
          <rPr>
            <b/>
            <sz val="9"/>
            <color indexed="81"/>
            <rFont val="Tahoma"/>
            <family val="2"/>
          </rPr>
          <t>SALAZAR VILLALOBOS LUCRECIA:</t>
        </r>
        <r>
          <rPr>
            <sz val="9"/>
            <color indexed="81"/>
            <rFont val="Tahoma"/>
            <family val="2"/>
          </rPr>
          <t xml:space="preserve">
En 2024 se hizo una corrección de la serie a partir del 2016. Faltaba incluir unos datos de uso de agua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9CEB4EB5-7877-4AD3-8624-473FABD13BB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Catalina Artavia Pereira</author>
  </authors>
  <commentList>
    <comment ref="E11" authorId="0" shapeId="0" xr:uid="{3695DBB5-9968-4D9E-83EC-9BF0E72BA124}">
      <text>
        <r>
          <rPr>
            <b/>
            <sz val="9"/>
            <color indexed="81"/>
            <rFont val="Tahoma"/>
            <family val="2"/>
          </rPr>
          <t xml:space="preserve">Servicios: Electricidad
Servicio de alcantarillado
Servicio de basura y desperdicios sólidos
Servicios de transporte
Servicios de administración pública
Servicios de socorro y emergencia
Sist. De Tecnología de información y comunicación
Suministro de agua potable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<sst xmlns="http://schemas.openxmlformats.org/spreadsheetml/2006/main" count="40140" uniqueCount="8194">
  <si>
    <t>Sistema de indicadores de seguimiento a los Objetivos de Desarrollo Sostenible</t>
  </si>
  <si>
    <t>REGRESAR A INICIO</t>
  </si>
  <si>
    <t xml:space="preserve">Objetivo 1. Poner fin a la pobreza en todas sus formas y en todo el mundo </t>
  </si>
  <si>
    <t>Meta</t>
  </si>
  <si>
    <t># de indicador</t>
  </si>
  <si>
    <t>Indicador</t>
  </si>
  <si>
    <t>1.1 De aquí a 2030, erradicar para todas las personas y en todo el mundo la pobreza extrema (actualmente se considera que sufren pobreza extrema las personas que viven con menos de 1,25 dólares de los Estados Unidos al día)</t>
  </si>
  <si>
    <t>1.1.1</t>
  </si>
  <si>
    <t>1.1.1 Proporción de la población que vive por debajo del umbral internacional de pobreza, desglosada por sexo, edad, situación laboral y ubicación geográfica (urbana o rural)</t>
  </si>
  <si>
    <t>1.2 De aquí a 2030, reducir al menos a la mitad la proporción de hombres, mujeres y niños de todas las edades que viven en la pobreza en todas sus dimensiones con arreglo a las definiciones nacionales</t>
  </si>
  <si>
    <t>1.2.1</t>
  </si>
  <si>
    <t>1.2.1 Proporción de la población que vive por debajo del umbral nacional de pobreza, desglosada por sexo y edad</t>
  </si>
  <si>
    <t>1.2.2</t>
  </si>
  <si>
    <t>1.2.2 Proporción de hombres, mujeres y niños de todas las edades que viven en la pobreza, en todas sus dimensiones, con arreglo a las definiciones nacionales</t>
  </si>
  <si>
    <t>1.3 Implementar a nivel nacional sistemas y medidas apropiados de protección social para todos, incluidos niveles mínimos, y, de aquí a 2030, lograr una amplia cobertura de las personas pobres y vulnerables</t>
  </si>
  <si>
    <t>1.3.1</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</si>
  <si>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</si>
  <si>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</si>
  <si>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1.4.1</t>
  </si>
  <si>
    <t>1.4.1 Proporción de la población que vive en hogares con acceso a los servicios básicos</t>
  </si>
  <si>
    <t xml:space="preserve">1.4.2 </t>
  </si>
  <si>
    <t>1.4.2 Proporción del total de la población adulta con derechos seguros de tenencia de la tierra: a) que posee documentación reconocida legalmente al respecto y b) considera seguros sus derechos, desglosada por sexo y tipo de tenencia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</si>
  <si>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</si>
  <si>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1.5.1</t>
  </si>
  <si>
    <t>1.5.1 Número de personas muertas, desaparecidas y afectadas directamente atribuido a desastres por cada 100.000 habitantes</t>
  </si>
  <si>
    <t>1.5.2</t>
  </si>
  <si>
    <t>1.5.2 Pérdidas económicas directas atribuidas a los desastres en relación con el producto interno bruto (PIB) mundial</t>
  </si>
  <si>
    <t>1.5.3</t>
  </si>
  <si>
    <t>1.5.3 Número de países que adoptan y aplican estrategias nacionales de reducción del riesgo de desastres en consonancia con el Marco de Sendái para la Reducción del Riesgo de Desastres 2015‑2030</t>
  </si>
  <si>
    <t>1.5.4</t>
  </si>
  <si>
    <t>1.5.4 Proporción de gobiernos locales que adoptan y aplican estrategias locales de reducción del riesgo de desastres en consonancia con las estrategias nacionales de reducción del riesgo de desastres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</si>
  <si>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</si>
  <si>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1.a.1</t>
  </si>
  <si>
    <t>1.a.1 Total de las subvenciones de asistencia oficial para el desarrollo de todos los donantes que se centran en la reducción de la pobreza como porcentaje del ingreso nacional bruto del país receptor</t>
  </si>
  <si>
    <t>1.a.2</t>
  </si>
  <si>
    <t>1.a.2 Proporción del gasto público total que se dedica a servicios esenciales (educación, salud y protección social)</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</si>
  <si>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</si>
  <si>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1.b.1</t>
  </si>
  <si>
    <t>1.b.1 Gasto público social en favor de los pobres</t>
  </si>
  <si>
    <t>REGRESAR</t>
  </si>
  <si>
    <t xml:space="preserve">VER METADATO </t>
  </si>
  <si>
    <t>Objetivo</t>
  </si>
  <si>
    <t xml:space="preserve">Meta </t>
  </si>
  <si>
    <t>Nombre del indicador o de la variable</t>
  </si>
  <si>
    <t>Propuesta de indicador para Costa Rica</t>
  </si>
  <si>
    <t xml:space="preserve">Costa Rica: Porcentaje de la población que vive con menos de US$1.90 (Paridad de Poder Adquisitivo (PPA)) al día, por sexo, zona, región de planificación, condición de actividad y rangos de edad </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</si>
  <si>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</si>
  <si>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</si>
  <si>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</si>
  <si>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</si>
  <si>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</si>
  <si>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</si>
  <si>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</si>
  <si>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</si>
  <si>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</si>
  <si>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</si>
  <si>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</si>
  <si>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</si>
  <si>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</si>
  <si>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</si>
  <si>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</si>
  <si>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</si>
  <si>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</si>
  <si>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</si>
  <si>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</si>
  <si>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</si>
  <si>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</si>
  <si>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</si>
  <si>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</si>
  <si>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</si>
  <si>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</si>
  <si>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</si>
  <si>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</si>
  <si>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a/PPA proporciona una medida de las diferencias de nivel de precios entre países. Un PPA también podría ser pensado como un tipo de cambio alternativo, pero basado en los precios reales.</t>
  </si>
  <si>
    <t>Fuente: Instituto Nacional de Estadística y Censos, Encuesta Nacional de Hogares 2010-2023.</t>
  </si>
  <si>
    <t>I. Información Marco Global del Indicador</t>
  </si>
  <si>
    <t>A</t>
  </si>
  <si>
    <t>Objetivo de Desarrollo Sostenible</t>
  </si>
  <si>
    <t>Objetivo 1. Poner fin a la pobreza en todas sus formas en todo el mundo</t>
  </si>
  <si>
    <t xml:space="preserve">Meta ODS Naciones Unidades </t>
  </si>
  <si>
    <t>Número del indicador</t>
  </si>
  <si>
    <t>Indicador propuesto por Naciones Unidas</t>
  </si>
  <si>
    <t>Enlace metadato UN:</t>
  </si>
  <si>
    <t>https://unstats.un.org/sdgs/metadata/files/Metadata-01-01-01a.pdf</t>
  </si>
  <si>
    <t>https://unstats.un.org/sdgs/metadata/files/Metadata-01-01-01b.pdf</t>
  </si>
  <si>
    <t>II. Información Indicador para Costa Rica</t>
  </si>
  <si>
    <t>Meta país</t>
  </si>
  <si>
    <t xml:space="preserve">Metas nacional no identificada. </t>
  </si>
  <si>
    <t>Indicador propuesto por Costa Rica</t>
  </si>
  <si>
    <t xml:space="preserve">Porcentaje de la población que vive con menos de US $1,90 (PPA) al día, por sexo, zona, región de planificación, condición de actividad y rangos de edad </t>
  </si>
  <si>
    <t xml:space="preserve">Número </t>
  </si>
  <si>
    <t xml:space="preserve">Tipo </t>
  </si>
  <si>
    <t>Indicador propuesto por Naciones Unidas.</t>
  </si>
  <si>
    <t>Definición conceptual</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</si>
  <si>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</si>
  <si>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Fórmula de cálculo</t>
  </si>
  <si>
    <r>
      <rPr>
        <b/>
        <sz val="11"/>
        <color indexed="8"/>
        <rFont val="Open Sans Condensed"/>
      </rPr>
      <t>Primer paso</t>
    </r>
    <r>
      <rPr>
        <sz val="11"/>
        <color theme="1"/>
        <rFont val="Open Sans Condensed"/>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2020 es igual a 584,90</t>
    </r>
    <r>
      <rPr>
        <sz val="11"/>
        <color indexed="10"/>
        <rFont val="Open Sans Condensed"/>
      </rPr>
      <t xml:space="preserve"> </t>
    </r>
    <r>
      <rPr>
        <sz val="11"/>
        <color theme="1"/>
        <rFont val="Open Sans Condensed"/>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Open Sans Condensed"/>
      </rPr>
      <t>Segundo paso</t>
    </r>
    <r>
      <rPr>
        <sz val="11"/>
        <color theme="1"/>
        <rFont val="Open Sans Condensed"/>
      </rPr>
      <t xml:space="preserve">: Después de obtener las personas pobres se calcula el porcentaje de personas pobres con relación al total de personas.
</t>
    </r>
  </si>
  <si>
    <t>Unidad de medida</t>
  </si>
  <si>
    <t>Porcentaje</t>
  </si>
  <si>
    <t>Interpretación</t>
  </si>
  <si>
    <t xml:space="preserve">Componentes involucrados en la fórmula del cálculo </t>
  </si>
  <si>
    <t>• Total de personas en hogares (no se considera servicio doméstico ni pensionistas).
• Personas con ingreso per cápita diario inferior a $1,90 PPA.   
• Ingreso per cápita neto diario = (ipcn /30).
• Valor del tipo de cambio PPA.</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</si>
  <si>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</si>
  <si>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</si>
  <si>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</si>
  <si>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</si>
  <si>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</si>
  <si>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</si>
  <si>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</si>
  <si>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</si>
  <si>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</si>
  <si>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</si>
  <si>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</si>
  <si>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</si>
  <si>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</si>
  <si>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</si>
  <si>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</si>
  <si>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</si>
  <si>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</si>
  <si>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De acuerdo a las Naciones Unidas, este indicador se requiere con las siguientes desagregaciones: sexo y edad</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</si>
  <si>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</si>
  <si>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</si>
  <si>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</si>
  <si>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</si>
  <si>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</si>
  <si>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</si>
  <si>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</si>
  <si>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</si>
  <si>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</si>
  <si>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 /Tel IP.: (506) 2527-1076</t>
  </si>
  <si>
    <t>Correo electrónico</t>
  </si>
  <si>
    <t>eddy.madrigal@inec.go.cr</t>
  </si>
  <si>
    <t>Indicador propuesto para Costa Rica</t>
  </si>
  <si>
    <t>Costa Rica: Porcentaje de población en situación de pobreza determinado por el método de la línea de pobreza, por sexo, zona, región de planificación, condición de actividad  y rangos de edad</t>
  </si>
  <si>
    <t>https://unstats.un.org/sdgs/metadata/files/Metadata-01-02-01.pdf</t>
  </si>
  <si>
    <t>Metas país no identificada.</t>
  </si>
  <si>
    <t>Porcentaje de población en situación de pobreza determinado por el método de la línea de pobreza, por sexo, zona, región de planificación, condición de actividad  y rangos de edad</t>
  </si>
  <si>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Open Sans Condensed"/>
      </rPr>
      <t>Hogares con pobreza extrema</t>
    </r>
    <r>
      <rPr>
        <sz val="11"/>
        <rFont val="Open Sans Condensed"/>
      </rPr>
      <t xml:space="preserve">: son aquellos hogares con un ingreso per cápita igual o inferior al costo per cápita de la Canasta Básica Alimentaria (CBA) o línea de extrema pobreza.
</t>
    </r>
    <r>
      <rPr>
        <b/>
        <sz val="11"/>
        <rFont val="Open Sans Condensed"/>
      </rPr>
      <t xml:space="preserve">Hogares en pobreza no extrema: </t>
    </r>
    <r>
      <rPr>
        <sz val="11"/>
        <rFont val="Open Sans Condensed"/>
      </rPr>
      <t xml:space="preserve">son aquellos hogares que tienen un ingreso per cápita igual o inferior a la línea de pobreza pero superior al costo per cápita de la Canasta Básica Alimentaria (CBA) o línea de extrema pobreza.
</t>
    </r>
    <r>
      <rPr>
        <b/>
        <sz val="11"/>
        <rFont val="Open Sans Condensed"/>
      </rPr>
      <t>Hogares no pobres:</t>
    </r>
    <r>
      <rPr>
        <sz val="11"/>
        <rFont val="Open Sans Condensed"/>
      </rPr>
      <t xml:space="preserve"> son aquellos hogares con un ingreso per cápita que les permite cubrir sus necesidades básicas alimentarias y no alimentarias; esto es, su ingreso per cápita es superior al valor de la línea de pobreza.
</t>
    </r>
  </si>
  <si>
    <t xml:space="preserve">
</t>
  </si>
  <si>
    <t>• Total de personas en hogares en condición de pobreza extrema más pobreza no extrema.
• Total de personas.</t>
  </si>
  <si>
    <t>Nacional</t>
  </si>
  <si>
    <t>Zona, región de planificación</t>
  </si>
  <si>
    <t>Sexo, condición de actividad, rango de edad.</t>
  </si>
  <si>
    <t>Anual</t>
  </si>
  <si>
    <t xml:space="preserve">Encuesta </t>
  </si>
  <si>
    <t>Encuesta Nacional de Hogares (ENAHO)</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</si>
  <si>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</si>
  <si>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</si>
  <si>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(506) 22809280  Ext: 317</t>
  </si>
  <si>
    <t>VER METADATO</t>
  </si>
  <si>
    <t>Costa Rica: Porcentaje de personas que viven en hogares pobres determinado por método de pobreza multidimensional, por sexo, zona, región de planificación y rangos de edad</t>
  </si>
  <si>
    <t>Brenca</t>
  </si>
  <si>
    <t>Costa Rica: Contribución relativa al IPM según dimensión por región de planificación, año 2021</t>
  </si>
  <si>
    <t xml:space="preserve">Dimensiones </t>
  </si>
  <si>
    <t xml:space="preserve">Total </t>
  </si>
  <si>
    <t>Educación</t>
  </si>
  <si>
    <t>Vivienda y uso de internet</t>
  </si>
  <si>
    <t>Salud</t>
  </si>
  <si>
    <t>Trabajo</t>
  </si>
  <si>
    <t>Protección Social</t>
  </si>
  <si>
    <t xml:space="preserve">Fuente: Instituto Nacional de Estadística y Censos, Encuesta Nacional de Hogares, 2010-2021. </t>
  </si>
  <si>
    <t>Contribución relativa al IPM según dimensión por región de planificación, año 2022</t>
  </si>
  <si>
    <t xml:space="preserve">Fuente: Instituto Nacional de Estadística y Censos, Encuesta Nacional de Hogares, 2022. </t>
  </si>
  <si>
    <t>Contribución relativa al IPM según dimensión por región de planificación, año 2023</t>
  </si>
  <si>
    <t xml:space="preserve">Fuente: INEC, Encuesta Nacional de Hogares, 2023. </t>
  </si>
  <si>
    <t>Enlace metadatos UN:</t>
  </si>
  <si>
    <t>https://unstats.un.org/sdgs/metadata/files/Metadata-01-02-02.pdf</t>
  </si>
  <si>
    <t>Meta país no identificada.</t>
  </si>
  <si>
    <t>Porcentaje de personas que viven en hogares pobres determinado por método de pobreza multidimensional, por sexo, zona, región de planificación y rangos de edad.</t>
  </si>
  <si>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Open Sans Condensed"/>
      </rPr>
      <t xml:space="preserve">1) Educación  compuesto por: </t>
    </r>
    <r>
      <rPr>
        <sz val="11"/>
        <rFont val="Open Sans Condensed"/>
      </rPr>
      <t xml:space="preserve">
           </t>
    </r>
    <r>
      <rPr>
        <b/>
        <sz val="11"/>
        <rFont val="Open Sans Condensed"/>
      </rPr>
      <t xml:space="preserve"> No asistencia a educación formal:</t>
    </r>
    <r>
      <rPr>
        <sz val="11"/>
        <rFont val="Open Sans Condensed"/>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Open Sans Condensed"/>
      </rPr>
      <t xml:space="preserve"> Rezago educativo: </t>
    </r>
    <r>
      <rPr>
        <sz val="11"/>
        <rFont val="Open Sans Condensed"/>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Open Sans Condensed"/>
      </rPr>
      <t xml:space="preserve">  Sin logro de bachillerato</t>
    </r>
    <r>
      <rPr>
        <sz val="11"/>
        <rFont val="Open Sans Condensed"/>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Open Sans Condensed"/>
      </rPr>
      <t>Bajo desarrollo de capital humano</t>
    </r>
    <r>
      <rPr>
        <sz val="11"/>
        <rFont val="Open Sans Condensed"/>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Open Sans Condensed"/>
      </rPr>
      <t>2) Salud compuesto por:</t>
    </r>
    <r>
      <rPr>
        <sz val="11"/>
        <rFont val="Open Sans Condensed"/>
      </rPr>
      <t xml:space="preserve">
            </t>
    </r>
    <r>
      <rPr>
        <b/>
        <sz val="11"/>
        <rFont val="Open Sans Condensed"/>
      </rPr>
      <t>Sin seguro de salud:</t>
    </r>
    <r>
      <rPr>
        <sz val="11"/>
        <rFont val="Open Sans Condensed"/>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Open Sans Condensed"/>
      </rPr>
      <t>Sin servicio de agua:</t>
    </r>
    <r>
      <rPr>
        <sz val="11"/>
        <rFont val="Open Sans Condensed"/>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Open Sans Condensed"/>
      </rPr>
      <t xml:space="preserve"> Sin eliminación de excretas: </t>
    </r>
    <r>
      <rPr>
        <sz val="11"/>
        <rFont val="Open Sans Condensed"/>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Open Sans Condensed"/>
      </rPr>
      <t xml:space="preserve"> Sin eliminación de basura:</t>
    </r>
    <r>
      <rPr>
        <sz val="11"/>
        <rFont val="Open Sans Condensed"/>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Open Sans Condensed"/>
      </rPr>
      <t>3) Vivienda y uso de internet compuesto por:.</t>
    </r>
    <r>
      <rPr>
        <sz val="11"/>
        <rFont val="Open Sans Condensed"/>
      </rPr>
      <t xml:space="preserve">
         </t>
    </r>
    <r>
      <rPr>
        <b/>
        <sz val="11"/>
        <rFont val="Open Sans Condensed"/>
      </rPr>
      <t>Mal estado del techo o el piso:</t>
    </r>
    <r>
      <rPr>
        <sz val="11"/>
        <rFont val="Open Sans Condensed"/>
      </rPr>
      <t xml:space="preserve"> se consideran con privación aquellos hogares que residen en viviendas con techo o piso en mal estado.  (Peso en el índice 5%)
        </t>
    </r>
    <r>
      <rPr>
        <b/>
        <sz val="11"/>
        <rFont val="Open Sans Condensed"/>
      </rPr>
      <t xml:space="preserve"> Mal estado de las paredes exteriores: </t>
    </r>
    <r>
      <rPr>
        <sz val="11"/>
        <rFont val="Open Sans Condensed"/>
      </rPr>
      <t xml:space="preserve">se consideran con privación aquellos hogares que residen en viviendas con paredes exteriores en mal estado.  (Peso en el índice 5%)
        </t>
    </r>
    <r>
      <rPr>
        <b/>
        <sz val="11"/>
        <rFont val="Open Sans Condensed"/>
      </rPr>
      <t xml:space="preserve"> Hacinamiento:</t>
    </r>
    <r>
      <rPr>
        <sz val="11"/>
        <rFont val="Open Sans Condensed"/>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Open Sans Condensed"/>
      </rPr>
      <t xml:space="preserve"> Sin uso de internet: </t>
    </r>
    <r>
      <rPr>
        <sz val="11"/>
        <rFont val="Open Sans Condensed"/>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Open Sans Condensed"/>
      </rPr>
      <t>4) Trabajo  compuesto por</t>
    </r>
    <r>
      <rPr>
        <sz val="11"/>
        <rFont val="Open Sans Condensed"/>
      </rPr>
      <t xml:space="preserve">: 
               </t>
    </r>
    <r>
      <rPr>
        <b/>
        <sz val="11"/>
        <rFont val="Open Sans Condensed"/>
      </rPr>
      <t xml:space="preserve"> Desempleo de larga duración o personas desalentadas:</t>
    </r>
    <r>
      <rPr>
        <sz val="11"/>
        <rFont val="Open Sans Condensed"/>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Open Sans Condensed"/>
      </rPr>
      <t xml:space="preserve"> Incumplimiento de salario mínimo: </t>
    </r>
    <r>
      <rPr>
        <sz val="11"/>
        <rFont val="Open Sans Condensed"/>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Open Sans Condensed"/>
      </rPr>
      <t xml:space="preserve">  Incumplimiento de otros derechos laborales:</t>
    </r>
    <r>
      <rPr>
        <sz val="11"/>
        <rFont val="Open Sans Condensed"/>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Open Sans Condensed"/>
      </rPr>
      <t xml:space="preserve">  Empleo independiente informal: s</t>
    </r>
    <r>
      <rPr>
        <sz val="11"/>
        <rFont val="Open Sans Condensed"/>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Open Sans Condensed"/>
      </rPr>
      <t xml:space="preserve">5) Protección social  compuesto por: </t>
    </r>
    <r>
      <rPr>
        <sz val="11"/>
        <rFont val="Open Sans Condensed"/>
      </rPr>
      <t xml:space="preserve">
        </t>
    </r>
    <r>
      <rPr>
        <b/>
        <sz val="11"/>
        <rFont val="Open Sans Condensed"/>
      </rPr>
      <t xml:space="preserve"> Primera infancia sin cuido:</t>
    </r>
    <r>
      <rPr>
        <sz val="11"/>
        <rFont val="Open Sans Condensed"/>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Open Sans Condensed"/>
      </rPr>
      <t xml:space="preserve"> Personas adultas mayores sin pensión:</t>
    </r>
    <r>
      <rPr>
        <sz val="11"/>
        <rFont val="Open Sans Condensed"/>
      </rPr>
      <t xml:space="preserve"> se consideran con privación aquellos hogares donde ninguna persona adulta mayor reciba pensión (contributiva nacional, extranjera, del régimen no contributivo o alimenticia). (Peso en el índice 5%)
      </t>
    </r>
    <r>
      <rPr>
        <b/>
        <sz val="11"/>
        <rFont val="Open Sans Condensed"/>
      </rPr>
      <t xml:space="preserve"> Personas con discapacidad sin transferencias:</t>
    </r>
    <r>
      <rPr>
        <sz val="11"/>
        <rFont val="Open Sans Condensed"/>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Open Sans Condensed"/>
      </rPr>
      <t xml:space="preserve">Fuera de la fuerza de trabajo por obligaciones familiares: </t>
    </r>
    <r>
      <rPr>
        <sz val="11"/>
        <rFont val="Open Sans Condensed"/>
      </rPr>
      <t xml:space="preserve">se consideran con privación aquellos hogares con al menos una persona fuera de la fuerza de trabajo debido a obligaciones familiares y donde haya más de dos personas dependientes por cada persona en la fuerza de trabajo. (Peso en el índice 5%) </t>
    </r>
  </si>
  <si>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</si>
  <si>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</si>
  <si>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</si>
  <si>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</si>
  <si>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Costa Rica: Porcentaje de la población cubierta por algún programa social</t>
  </si>
  <si>
    <t>Costa Rica: Porcentaje de la población cubierta por algún programa de social</t>
  </si>
  <si>
    <t>Proporción de la población cubierta por programas sociales</t>
  </si>
  <si>
    <t>Población total</t>
  </si>
  <si>
    <t>Total de beneficiarios /2</t>
  </si>
  <si>
    <t>Institución administradodora de proyectos</t>
  </si>
  <si>
    <t>Banco Hipotecario de la Vivienda (BANHVI)/3</t>
  </si>
  <si>
    <t>Caja Costarricense de Seguro Social (CCSS)/4</t>
  </si>
  <si>
    <t>Consejo Nacional de la Persona del Adulta Mayor (CONAPAM)</t>
  </si>
  <si>
    <t>Consejo Nacional de Personas con Discapacidad (Conapdis)/5</t>
  </si>
  <si>
    <t>Fondo Nacional de Becas (FONABE)/6</t>
  </si>
  <si>
    <t>Instituto sobre Alcoholismo y Farmacodependencia (IAFA)</t>
  </si>
  <si>
    <t>Instituto Mixto de Ayuda Social (IMAS)</t>
  </si>
  <si>
    <t>Ministerio de Salud (MS-OCIS)/7</t>
  </si>
  <si>
    <t>Ministerio de Trabajo y Seguridad Social (MTSS)/8</t>
  </si>
  <si>
    <t>Ciudad de los Niños (CDN)</t>
  </si>
  <si>
    <t>ACUEDUCTOS Y ALCANTARILLADOS (AYA)</t>
  </si>
  <si>
    <t>Instituto Costarricense del Deporte y la Recreación (ICODER)/9</t>
  </si>
  <si>
    <t>Instituto Nacional de las Mujeres (INAMU)/10</t>
  </si>
  <si>
    <t>Ministerio de Educación /Programa de Alimentación y Nutrición (PANEA)</t>
  </si>
  <si>
    <t>Patronato Nacional de la Infancia (PANI)</t>
  </si>
  <si>
    <t>Notas:</t>
  </si>
  <si>
    <r>
      <rPr>
        <b/>
        <sz val="11"/>
        <color theme="1"/>
        <rFont val="Open Sans Condensed"/>
      </rPr>
      <t>1.</t>
    </r>
    <r>
      <rPr>
        <sz val="11"/>
        <color theme="1"/>
        <rFont val="Open Sans Condensed"/>
      </rPr>
      <t xml:space="preserve"> A partir del año 2018, la metodología y sistema de cuantificación de los beneficiarios pasó a realizarse de otra forma, lo que puede ocasionar en algunos programas diferencias significativas con respecto al año anterior. </t>
    </r>
  </si>
  <si>
    <r>
      <rPr>
        <b/>
        <sz val="11"/>
        <color theme="1"/>
        <rFont val="Open Sans Condensed"/>
      </rPr>
      <t xml:space="preserve">2. Total de beneficiarios = </t>
    </r>
    <r>
      <rPr>
        <sz val="11"/>
        <color theme="1"/>
        <rFont val="Open Sans Condensed"/>
      </rPr>
      <t xml:space="preserve">Se actualiza el dato del año 2019 y queda pendiente la incorporación del dato del año 2020 en la próxima actualización. </t>
    </r>
  </si>
  <si>
    <r>
      <rPr>
        <b/>
        <sz val="11"/>
        <color theme="1"/>
        <rFont val="Open Sans Condensed"/>
      </rPr>
      <t xml:space="preserve">3. BANHVI= </t>
    </r>
    <r>
      <rPr>
        <sz val="11"/>
        <color theme="1"/>
        <rFont val="Open Sans Condensed"/>
      </rPr>
      <t>Los datos corresponden a los bonos entregados.</t>
    </r>
  </si>
  <si>
    <r>
      <rPr>
        <b/>
        <sz val="11"/>
        <color theme="1"/>
        <rFont val="Open Sans Condensed"/>
      </rPr>
      <t>4. CCSS =</t>
    </r>
    <r>
      <rPr>
        <sz val="11"/>
        <color theme="1"/>
        <rFont val="Open Sans Condensed"/>
      </rPr>
      <t xml:space="preserve"> El dato incluye los beneficiarios de los siguientes programas: Asegurados por el Estado, Régimen No Contributivo y Pacientes en Fase Terminal. A partir del año 2022 no se incluye el dato de ACE. </t>
    </r>
  </si>
  <si>
    <r>
      <t>5. CONAPDIS =</t>
    </r>
    <r>
      <rPr>
        <sz val="11"/>
        <color theme="1"/>
        <rFont val="Open Sans Condensed"/>
      </rPr>
      <t xml:space="preserve"> A partir del año 2020 el dato incorpora los beneficiarios de los siguientes programas: Pobreza y Discapacidad / Autonomía Personal.</t>
    </r>
  </si>
  <si>
    <r>
      <t xml:space="preserve">6. FONABE = </t>
    </r>
    <r>
      <rPr>
        <sz val="11"/>
        <color theme="1"/>
        <rFont val="Open Sans Condensed"/>
      </rPr>
      <t xml:space="preserve">A partir del año 2020, el programa únicamente tiene el siguiente producto " Post-secundaria regular". </t>
    </r>
  </si>
  <si>
    <t>A partir del año 2021, se trasladó la administración de las becas de postsecundaria, del FONABE a la Dirección de Programas de Equidad del Ministerio de Educación Pública. Por lo cual, a partir del año 2022 los beneficiarios hacen referencia al programa Becas Postsecundaria que administra el MEP.</t>
  </si>
  <si>
    <r>
      <rPr>
        <b/>
        <sz val="11"/>
        <color theme="1"/>
        <rFont val="Open Sans Condensed"/>
      </rPr>
      <t>7. Ministerio de Salud=</t>
    </r>
    <r>
      <rPr>
        <sz val="11"/>
        <color theme="1"/>
        <rFont val="Open Sans Condensed"/>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</si>
  <si>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11"/>
        <color theme="1"/>
        <rFont val="Open Sans Condensed"/>
      </rPr>
      <t xml:space="preserve">8. MTSS = </t>
    </r>
    <r>
      <rPr>
        <sz val="11"/>
        <color theme="1"/>
        <rFont val="Open Sans Condensed"/>
      </rPr>
      <t xml:space="preserve">El dato incluye los beneficiarios de los siguientes programas: PRONAE y PRONAMYPE. </t>
    </r>
  </si>
  <si>
    <r>
      <rPr>
        <b/>
        <sz val="11"/>
        <color theme="1"/>
        <rFont val="Open Sans Condensed"/>
      </rPr>
      <t>9. ICODER e INAMU =</t>
    </r>
    <r>
      <rPr>
        <sz val="11"/>
        <color theme="1"/>
        <rFont val="Open Sans Condensed"/>
      </rPr>
      <t xml:space="preserve"> La Desaf  está en el proceso de recopilación de los datos de estas dos instituciones / Se están incorporando al Sistema de Indicadores de la institución. </t>
    </r>
  </si>
  <si>
    <r>
      <rPr>
        <b/>
        <sz val="11"/>
        <color theme="1"/>
        <rFont val="Open Sans Condensed"/>
      </rPr>
      <t xml:space="preserve">10. </t>
    </r>
    <r>
      <rPr>
        <sz val="11"/>
        <color theme="1"/>
        <rFont val="Open Sans Condensed"/>
      </rPr>
      <t>El dato de la población total se extrae del INEC. Proyecciones Nacionales 2011 - 2050.</t>
    </r>
  </si>
  <si>
    <t>Fuente: Fondo de Desarrollo Social y Asignaciones Familiares, Sistema de Indicadores de la Unidad de Control y Seguimiento (Reportes de ejcución trimestral remitidos por las Unidades Ejecutoras), 2016-2022</t>
  </si>
  <si>
    <t>Costa Rica: Porcentaje de la población cubierta por algún programa social, 2016-2022</t>
  </si>
  <si>
    <t>Fuente: Fondo de Desarrollo Social y Asignaciones Familiares, Registro de beneficiarios y Beneficiarios efectivos reportados por las unidades ejecutoras , 2016-2022</t>
  </si>
  <si>
    <t xml:space="preserve">Enlace metadato UN: </t>
  </si>
  <si>
    <t xml:space="preserve">https://unstats.un.org/sdgs/metadata/files/Metadata-01-03-01a.pdf </t>
  </si>
  <si>
    <t xml:space="preserve">https://unstats.un.org/sdgs/metadata/files/Metadata-01-03-01b.pdf </t>
  </si>
  <si>
    <t>Porcentaje de la población cubierta por algún programa social</t>
  </si>
  <si>
    <t>Indicador proxi.</t>
  </si>
  <si>
    <r>
      <rPr>
        <sz val="11"/>
        <rFont val="Open Sans Condensed"/>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Open Sans Condensed"/>
      </rPr>
      <t xml:space="preserve">
</t>
    </r>
    <r>
      <rPr>
        <sz val="11"/>
        <color theme="1"/>
        <rFont val="Open Sans Condensed"/>
      </rPr>
      <t>Programa Social: es un conjunto de proyectos que persiguen los mismos objetivos, que pueden diferenciarse por trabajar con poblaciones diferentes y/o utilizar distintas estrategias de intervención. Ernesto Cohen y Rodrigo Martínez (1998) de la CEPAL .</t>
    </r>
  </si>
  <si>
    <t xml:space="preserve">
</t>
  </si>
  <si>
    <t>• Número de beneficiarios.
• Total de población.</t>
  </si>
  <si>
    <t>Institución administradora de proyecto.</t>
  </si>
  <si>
    <t>Fondo de Desarrollo Social y Asignaciones Familiares (FODESAF).</t>
  </si>
  <si>
    <t>Registro administrativo</t>
  </si>
  <si>
    <t>Registro de beneficiarios, FODESAF</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</si>
  <si>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</si>
  <si>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</si>
  <si>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Luis Alberto Ávalos Rodríguez</t>
  </si>
  <si>
    <t>Director</t>
  </si>
  <si>
    <t>Desarrollo Social y Asignaciones Familiares (DESAF).</t>
  </si>
  <si>
    <t>(506) 2547-3601</t>
  </si>
  <si>
    <t>luis.avalos@mtss.go.cr</t>
  </si>
  <si>
    <t>Andrea Pérez Noguera / Stephanie Salas</t>
  </si>
  <si>
    <t>Analistas del Departamento de Evaluación, Control y Seguimiento</t>
  </si>
  <si>
    <t>adrea.perez@mtss.go.cr / stephanie.salas@mtss.go.cr</t>
  </si>
  <si>
    <t>Costa Rica: Porcentaje de la población que habita en viviendas con servicios básicos óptimos, por sexo, zona, región de planificación</t>
  </si>
  <si>
    <t>Costa Rica: Porcentaje de la población que habita en viviendas con servicios básicos óptimos, por sexo, zona y región de planificación</t>
  </si>
  <si>
    <t>Objetivo de Desarrallo Sostenible</t>
  </si>
  <si>
    <t>https://unstats.un.org/sdgs/metadata/files/Metadata-01-04-01.pdf</t>
  </si>
  <si>
    <t>Porcentaje de la población que habita en viviendas con servicios básicos óptimos, por sexo, zona y región de planificación.</t>
  </si>
  <si>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Open Sans Condensed"/>
      </rPr>
      <t>Vivienda</t>
    </r>
    <r>
      <rPr>
        <sz val="11"/>
        <color theme="1"/>
        <rFont val="Open Sans Condensed"/>
      </rPr>
      <t xml:space="preserve">: es la estructura física que utilizan los seres humanos para dormir, preparar y consumir los alimentos; así como para protegerse de las inclemencias del tiempo.
</t>
    </r>
    <r>
      <rPr>
        <b/>
        <sz val="11"/>
        <color indexed="8"/>
        <rFont val="Open Sans Condensed"/>
      </rPr>
      <t>Tubería dentro de la vivienda</t>
    </r>
    <r>
      <rPr>
        <sz val="11"/>
        <color theme="1"/>
        <rFont val="Open Sans Condensed"/>
      </rPr>
      <t xml:space="preserve">: el agua llega dentro de la vivienda por medio de un tubo o una llave, por lo que no es necesario salir de ésta para abastecerse de agua.  
</t>
    </r>
    <r>
      <rPr>
        <b/>
        <sz val="11"/>
        <color indexed="8"/>
        <rFont val="Open Sans Condensed"/>
      </rPr>
      <t>Acueducto del A y A</t>
    </r>
    <r>
      <rPr>
        <sz val="11"/>
        <color theme="1"/>
        <rFont val="Open Sans Condensed"/>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Open Sans Condensed"/>
      </rPr>
      <t>Acueducto rural</t>
    </r>
    <r>
      <rPr>
        <sz val="11"/>
        <color theme="1"/>
        <rFont val="Open Sans Condensed"/>
      </rPr>
      <t xml:space="preserve">: el servicio de agua proviene de una red pública administrada por un Comité Administrador de Acueductos Rural (CAAR) y las Asociaciones Administradoras de Acueductos y Alcantarillados Rurales (ASADAS).
</t>
    </r>
    <r>
      <rPr>
        <b/>
        <sz val="11"/>
        <color indexed="8"/>
        <rFont val="Open Sans Condensed"/>
      </rPr>
      <t>Acueducto municipal</t>
    </r>
    <r>
      <rPr>
        <sz val="11"/>
        <color theme="1"/>
        <rFont val="Open Sans Condensed"/>
      </rPr>
      <t xml:space="preserve">: el servicio es suministrado por la Municipalidad.
</t>
    </r>
    <r>
      <rPr>
        <b/>
        <sz val="11"/>
        <color indexed="8"/>
        <rFont val="Open Sans Condensed"/>
      </rPr>
      <t>Una empresa o cooperativa</t>
    </r>
    <r>
      <rPr>
        <sz val="11"/>
        <color theme="1"/>
        <rFont val="Open Sans Condensed"/>
      </rPr>
      <t xml:space="preserve">: el servicio de agua es suministrado por una empresa como Empresa de Servicios Públicos de Heredia (ESPH), o una cooperativa.
</t>
    </r>
    <r>
      <rPr>
        <b/>
        <sz val="11"/>
        <color indexed="8"/>
        <rFont val="Open Sans Condensed"/>
      </rPr>
      <t>Conectado a alcantarilla o cloaca</t>
    </r>
    <r>
      <rPr>
        <sz val="11"/>
        <color theme="1"/>
        <rFont val="Open Sans Condensed"/>
      </rPr>
      <t xml:space="preserve">: el servicio sanitario está conectado a una red pública de alcantarillado o cloaca por donde desagua.
</t>
    </r>
    <r>
      <rPr>
        <b/>
        <sz val="11"/>
        <color indexed="8"/>
        <rFont val="Open Sans Condensed"/>
      </rPr>
      <t>Conectado a tanque séptico común</t>
    </r>
    <r>
      <rPr>
        <sz val="11"/>
        <color theme="1"/>
        <rFont val="Open Sans Condensed"/>
      </rPr>
      <t xml:space="preserve">: es una solución individual en la que el servicio sanitario se comunica con un tanque de concreto o cemento armado, conectado a vías de drenaje. Por lo general, está construido en el patio de la casa.
</t>
    </r>
    <r>
      <rPr>
        <b/>
        <sz val="11"/>
        <color indexed="8"/>
        <rFont val="Open Sans Condensed"/>
      </rPr>
      <t xml:space="preserve">Conectado a tanque con tratamiento </t>
    </r>
    <r>
      <rPr>
        <sz val="11"/>
        <color theme="1"/>
        <rFont val="Open Sans Condensed"/>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</si>
  <si>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</si>
  <si>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</si>
  <si>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</si>
  <si>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</si>
  <si>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</si>
  <si>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</si>
  <si>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</si>
  <si>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https://unstats.un.org/sdgs/metadata/files/Metadata-01-04-02.pdf</t>
  </si>
  <si>
    <t xml:space="preserve">Costa Rica: 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</si>
  <si>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</si>
  <si>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</si>
  <si>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</si>
  <si>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</si>
  <si>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</si>
  <si>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</si>
  <si>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</si>
  <si>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</si>
  <si>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</si>
  <si>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</si>
  <si>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</si>
  <si>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</si>
  <si>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</si>
  <si>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</si>
  <si>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</si>
  <si>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En el 2021 se incluye la información de la emergencia ocasionada por el Temporal en la Vertiente del Caribe, así como la afectación de personas por el Covid 19.</t>
  </si>
  <si>
    <t>En el 2023 el único evento que tuvo afectación de la población que habita en el país fue el la contamiación de agua con mercurio, se contabilizó 1090 personas enfermas en la zona.</t>
  </si>
  <si>
    <t>Fuente: Comisión Nacional de Prevención y Atención de Emergencias, 1990-2023</t>
  </si>
  <si>
    <t>B</t>
  </si>
  <si>
    <t>https://unstats.un.org/sdgs/metadata/files/Metadata-01-05-01.pdf</t>
  </si>
  <si>
    <t xml:space="preserve">Número de muertes, personas desaparecidas y afectados directamente a consecuencia de desastres por cada 100 000 habitantes, desglosada por afectación </t>
  </si>
  <si>
    <r>
      <t xml:space="preserve">Total de personas que mueren, desaparecen o son afectadas (indirectas o directas) debido a desastre ocurrido.
</t>
    </r>
    <r>
      <rPr>
        <b/>
        <sz val="11"/>
        <color theme="1"/>
        <rFont val="Open Sans Condensed"/>
      </rPr>
      <t>Tipo de afectación:</t>
    </r>
    <r>
      <rPr>
        <sz val="11"/>
        <color theme="1"/>
        <rFont val="Open Sans Condensed"/>
      </rPr>
      <t xml:space="preserve"> Muertos, Desaparecidos, Heridos y enfermos, Afectados, Reubicados, Viviendas afectadas, Evacuados, Damnificados, Viviendas destruidas, Accidente,
</t>
    </r>
    <r>
      <rPr>
        <b/>
        <sz val="11"/>
        <color theme="1"/>
        <rFont val="Open Sans Condensed"/>
      </rPr>
      <t>Muerte:</t>
    </r>
    <r>
      <rPr>
        <sz val="11"/>
        <color theme="1"/>
        <rFont val="Open Sans Condensed"/>
      </rPr>
      <t xml:space="preserve"> Número de personas que murieron durante el desastre, o directamente después, como resultado directo de la evento
</t>
    </r>
    <r>
      <rPr>
        <b/>
        <sz val="11"/>
        <color theme="1"/>
        <rFont val="Open Sans Condensed"/>
      </rPr>
      <t>Desaparecidos:</t>
    </r>
    <r>
      <rPr>
        <sz val="11"/>
        <color theme="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Open Sans Condensed"/>
      </rPr>
      <t>Personas afectadas:</t>
    </r>
    <r>
      <rPr>
        <sz val="11"/>
        <color theme="1"/>
        <rFont val="Open Sans Condensed"/>
      </rPr>
      <t xml:space="preserve"> Personas afectadas por un evento peligroso.
</t>
    </r>
    <r>
      <rPr>
        <b/>
        <sz val="11"/>
        <color theme="1"/>
        <rFont val="Open Sans Condensed"/>
      </rPr>
      <t>Directamente afectados:</t>
    </r>
    <r>
      <rPr>
        <sz val="11"/>
        <color theme="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Open Sans Condensed"/>
      </rPr>
      <t>Indirectamente afectados:</t>
    </r>
    <r>
      <rPr>
        <sz val="11"/>
        <color theme="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Open Sans Condensed"/>
      </rPr>
      <t xml:space="preserve">Lesionado o enfermo: </t>
    </r>
    <r>
      <rPr>
        <sz val="11"/>
        <color theme="1"/>
        <rFont val="Open Sans Condensed"/>
      </rPr>
      <t xml:space="preserve">El número de personas que sufren lesiones físicas, trauma o casos de enfermedad que requieren asistencia médica inmediata como resultado directo de un evento peligroso.
</t>
    </r>
    <r>
      <rPr>
        <b/>
        <sz val="11"/>
        <color theme="1"/>
        <rFont val="Open Sans Condensed"/>
      </rPr>
      <t>Evacuado:</t>
    </r>
    <r>
      <rPr>
        <sz val="11"/>
        <color theme="1"/>
        <rFont val="Open Sans Condensed"/>
      </rPr>
      <t xml:space="preserve"> El número de personas que se trasladaron temporalmente de donde estaban (incluyendo su lugar de residencia, lugares de trabajo, escuelas y hospitales) a lugares más seguros para garantizar su seguridad.
</t>
    </r>
    <r>
      <rPr>
        <b/>
        <sz val="11"/>
        <color theme="1"/>
        <rFont val="Open Sans Condensed"/>
      </rPr>
      <t>Reubicado:</t>
    </r>
    <r>
      <rPr>
        <sz val="11"/>
        <color theme="1"/>
        <rFont val="Open Sans Condensed"/>
      </rPr>
      <t xml:space="preserve"> El número de personas que se mudaron permanentemente de sus hogares a nuevos sitios debido a peligrosos evento. 
</t>
    </r>
    <r>
      <rPr>
        <b/>
        <sz val="11"/>
        <color theme="1"/>
        <rFont val="Open Sans Condensed"/>
      </rPr>
      <t xml:space="preserve">Tipo de desastre: </t>
    </r>
    <r>
      <rPr>
        <sz val="11"/>
        <color theme="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</si>
  <si>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color theme="1"/>
        <rFont val="Open Sans Condensed"/>
      </rPr>
      <t>i</t>
    </r>
    <r>
      <rPr>
        <sz val="11"/>
        <color theme="1"/>
        <rFont val="Open Sans Condensed"/>
      </rPr>
      <t xml:space="preserve">= tipos de afectación: Muertes, desaparecidos, evacuados, heridos, refugiados, etc.
</t>
    </r>
    <r>
      <rPr>
        <b/>
        <sz val="11"/>
        <color theme="1"/>
        <rFont val="Calibri"/>
        <family val="2"/>
        <scheme val="minor"/>
      </rPr>
      <t/>
    </r>
  </si>
  <si>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</si>
  <si>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</si>
  <si>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</si>
  <si>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</si>
  <si>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</si>
  <si>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</si>
  <si>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</si>
  <si>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</si>
  <si>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2210-2861</t>
  </si>
  <si>
    <t>cpicado@cne.go.cr</t>
  </si>
  <si>
    <t>1.5.2 Pérdidas económicas directas atribuidas a los desastres en relación con el producto interno bruto (PIB) mundia</t>
  </si>
  <si>
    <t>Costa Rica: Pérdidas económicas por desastres</t>
  </si>
  <si>
    <t>Evento</t>
  </si>
  <si>
    <t>Pérdidas</t>
  </si>
  <si>
    <t>Nominales (miles de colones)</t>
  </si>
  <si>
    <t>Valor Presente</t>
  </si>
  <si>
    <t>Inundaciones</t>
  </si>
  <si>
    <t>Tormenta Thomas</t>
  </si>
  <si>
    <t>Terremoto de Sámara</t>
  </si>
  <si>
    <t>Sequía</t>
  </si>
  <si>
    <t>Inundaciones Caribe, Sarapiquí y Turrialba</t>
  </si>
  <si>
    <t>Huracán Otto</t>
  </si>
  <si>
    <t>Tormenta Tropical Nate</t>
  </si>
  <si>
    <t>Lluvias intensas</t>
  </si>
  <si>
    <t>Déficit Hídrico</t>
  </si>
  <si>
    <r>
      <t xml:space="preserve">Huracán Eta </t>
    </r>
    <r>
      <rPr>
        <vertAlign val="superscript"/>
        <sz val="11"/>
        <color theme="1"/>
        <rFont val="Open Sans Condensed"/>
      </rPr>
      <t>1/ 2/</t>
    </r>
  </si>
  <si>
    <t>Coronavirus</t>
  </si>
  <si>
    <t>Temporal en la Vertiente del Caribe</t>
  </si>
  <si>
    <t>Tormenta Tropical Bonnie</t>
  </si>
  <si>
    <t>Zona de Convergencia Intertropical</t>
  </si>
  <si>
    <t>Huracán Julia</t>
  </si>
  <si>
    <t>Ciberataques</t>
  </si>
  <si>
    <t>Contaminación de agua por mercurio</t>
  </si>
  <si>
    <t xml:space="preserve">Flujos migratorios mixtos </t>
  </si>
  <si>
    <t>Notas: No se especifica las pérdidas por desastres en el 2011 y 2013.</t>
  </si>
  <si>
    <r>
      <rPr>
        <vertAlign val="superscript"/>
        <sz val="11"/>
        <color theme="1"/>
        <rFont val="Open Sans Condensed"/>
      </rPr>
      <t xml:space="preserve">a/ </t>
    </r>
    <r>
      <rPr>
        <sz val="11"/>
        <color theme="1"/>
        <rFont val="Open Sans Condensed"/>
      </rPr>
      <t>Se refiere a los efectos indirectos del Huracan Eta</t>
    </r>
  </si>
  <si>
    <t>https://unstats.un.org/sdgs/metadata/files/Metadata-01-05-02.pdf</t>
  </si>
  <si>
    <t>Meta país no identificada</t>
  </si>
  <si>
    <t>Pérdidas económicas por desastres</t>
  </si>
  <si>
    <r>
      <rPr>
        <b/>
        <sz val="11"/>
        <color theme="1"/>
        <rFont val="Open Sans Condensed"/>
      </rPr>
      <t>Pérdida económica directa</t>
    </r>
    <r>
      <rPr>
        <sz val="11"/>
        <color theme="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</si>
  <si>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t>Valor presente</t>
  </si>
  <si>
    <t>El valor de pérdidas pertenecientes a períodos distintos, son corregidos el uno con respecto al otro mediante el factor de la inflación.</t>
  </si>
  <si>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</si>
  <si>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</si>
  <si>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</si>
  <si>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El indicador se reporta directamente a la Oficina de Las Naciones Unidades de Reducción de Riesgo de Desastres, por medio del Monitor Sendai. La Comisión Nacional de Antención y Prevención de Emergencias (CNE) figura como enlace nacional.</t>
  </si>
  <si>
    <t xml:space="preserve">Para consultar la información sobre el indicador haga click en el hipevínculo para acceder a la página web de las Naciones Unidas, que contiene la base de datos de los indicadores de los ODS </t>
  </si>
  <si>
    <t>NA</t>
  </si>
  <si>
    <t xml:space="preserve">1.5.3 </t>
  </si>
  <si>
    <t>Número de países que adoptan y aplican estrategias de reducción del riesgo de desastres a nivel local en consonancia con el Marco de Sendái para la Reducción del Riesgo de Desastres 2015-2030 (11.b.1. y 13.1.2)</t>
  </si>
  <si>
    <t xml:space="preserve">https://unstats.un.org/sdgs/metadata/files/Metadata-01-05-03.pdf </t>
  </si>
  <si>
    <t>No aplica para Costa Rica por naturaleza del indicador</t>
  </si>
  <si>
    <t>Indicador es igual a 11.b.1 y 13.1.2</t>
  </si>
  <si>
    <t>Costa Rica: 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</si>
  <si>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</si>
  <si>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</si>
  <si>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</si>
  <si>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</si>
  <si>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</si>
  <si>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</si>
  <si>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</si>
  <si>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</si>
  <si>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</si>
  <si>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</si>
  <si>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</si>
  <si>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Nota: en el año 2020 se definió un nuevo cantón en la provincia de Alajuela pero aún no cuenta con Estrategia de Reducción de Riesgos de Desastres</t>
  </si>
  <si>
    <t>Nota: en el año 2021 se crea el cantón de Monteverde y en el año 2022 el cantón de Puerto Jiménez, por lo que no es posible obtener el dato ya que las mismas serán iniciarán labores en el año 2024.</t>
  </si>
  <si>
    <t>Nota: en el año 2022 y 2023 se mantienen los cantones de Monteverde y Puerto Jiménez, para los cuales se espera en el año 2024 contar con el dato al iniciar los labores.</t>
  </si>
  <si>
    <t>Fuente: Comisión Nacional de Prevención y Atención de Emergencias, 1990-2023.</t>
  </si>
  <si>
    <t>https://unstats.un.org/sdgs/metadata/files/Metadata-01-05-04.pdf</t>
  </si>
  <si>
    <t>Porcentaje de gobiernos locales que adoptan y aplican estrategias de reducción del riesgo de desastres a nivel local</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</si>
  <si>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</si>
  <si>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</si>
  <si>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</si>
  <si>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(506) 2210-2828</t>
  </si>
  <si>
    <t xml:space="preserve">Costa Rica: Relación total de recursos en proyectos de Cooperación Técnica (CT) y Cooperación No Reembolsable (CNR) ejecutados y dirigidos al ODS 1 entre el PIB, en millones de dólares </t>
  </si>
  <si>
    <t>Costa Rica: Relación total de recursos en proyectos de Cooperación Técnica (CT)</t>
  </si>
  <si>
    <t xml:space="preserve"> y Cooperación No Reembolsable (CNR) ejecutados y dirigidos al ODS 1 entre el PIB, en millones de dólares </t>
  </si>
  <si>
    <t>Recursos CT + CNR</t>
  </si>
  <si>
    <t>PIB (millones $)</t>
  </si>
  <si>
    <t>Relación (CT+CNR / PIB)</t>
  </si>
  <si>
    <t>CT= Cooperación Técnica, CNR= Cooperación No Reembolsable.</t>
  </si>
  <si>
    <t>Fuente: MIDEPLAN - SIGECI - ACI</t>
  </si>
  <si>
    <t>https://unstats.un.org/sdgs/tierIII-indicators/</t>
  </si>
  <si>
    <t xml:space="preserve">1.a.1 Relación total de recursos en proyectos de Cooperación Técnica (CT) y Cooperación No Reembolsable (CNR) ejecutados y dirigidos al ODS 1 entre el PIB, en millones de dólares </t>
  </si>
  <si>
    <t>Indicador proxy</t>
  </si>
  <si>
    <t xml:space="preserve">El indicador describe la relación existente entre los recursos económicos recibidos en proyectos de Cooperación Técnica (CT) y Cooperación No Reembolsable (CNR). Proyectos que son ejecutados y dirigidos al ODS 1. Ese recurso económico se relaciona entre el Producto Interno Bruto (en millones de dólares). </t>
  </si>
  <si>
    <t>Total de CT + CNR vinculada al ODS 1, entre el PIB (millones de dólares)</t>
  </si>
  <si>
    <t>Relación (razón)</t>
  </si>
  <si>
    <t xml:space="preserve">Representa la relación entre los recursos económicos recibidos en proyectos de Cooperación Técnica (CT) y Cooperación No Reembolsable (CNR) (ejecutados y dirigidos al ODS 1), entre el Producto Interno Bruto (en millones de dólares). </t>
  </si>
  <si>
    <t>CT + CNR / PIB</t>
  </si>
  <si>
    <t>Ministerio de Planificación Nacional y Política Económica, Sistema de Gestión de Proyectos de Cooperación Internacional (SIGECI) - Área de Cooperación Internacional</t>
  </si>
  <si>
    <t>Sistema de Gestión de Proyectos de Cooperación Internacional (SIGECI)</t>
  </si>
  <si>
    <t>La serie de datos inicia a partir del año 2015, al ser el año de entrada en vigencia de los ODS – Agenda 2030. Los proyectos de cooperación incluyen recursos externos y contrapartidas nacionales. Se incluyen solamente proyectos de cooperación internacional ejecutados; y debidamente registrados en el SIGECI. Estos datos corresponden a todas las fuentes de cooperación, tanto bilaterales como multilaterales juntas, pues hacerlo por separado, es poco representativo.</t>
  </si>
  <si>
    <t>El denominador del indicador se obtiene de los registros administrativos de COMEX, PIB en millones de dólares. Datos vinculados al ODS 17.3.1</t>
  </si>
  <si>
    <t>https://www.mideplan.go.cr/SIGECI</t>
  </si>
  <si>
    <t>Carlos von Marschall Murillo</t>
  </si>
  <si>
    <t>Jefe Unidad de Análisis Prospectivo y Política Pública</t>
  </si>
  <si>
    <t>Ministerio de Planificación Nacional y Política Económica</t>
  </si>
  <si>
    <t>2202-8525</t>
  </si>
  <si>
    <t>carlos.marschall@mideplan.go.cr</t>
  </si>
  <si>
    <t>Oscar Méndez Chavarría</t>
  </si>
  <si>
    <t>Jefe Unidad de Cooperación Bilateral del Área de Cooperación Internacional (ACI)</t>
  </si>
  <si>
    <t>Ministerio de Panificación Nacional y Política Económica</t>
  </si>
  <si>
    <t>2202-8578</t>
  </si>
  <si>
    <t>omendez@mideplan.go.cr</t>
  </si>
  <si>
    <t>Costa Rica: Porcentaje del Gasto público destinado a servicios esenciales, por tipo de servicio</t>
  </si>
  <si>
    <t>Costa Rica: Porcentaje del Gasto público destinados a servicios esenciales, por tipo de servicio</t>
  </si>
  <si>
    <t xml:space="preserve">Servicios esenciales </t>
  </si>
  <si>
    <t xml:space="preserve">Protección social </t>
  </si>
  <si>
    <t>Fuente: Ministerio de Hacienda, 2006-2023</t>
  </si>
  <si>
    <t>Costa Rica: Porcentaje del gasto público en servicios esenciales por tipo de servicio, 2010-2023</t>
  </si>
  <si>
    <t>Fuente: Ministerio de Hacienda, 2010-2023</t>
  </si>
  <si>
    <t>https://unstats.un.org/sdgs/metadata/files/Metadata-01-0a-02.pdf</t>
  </si>
  <si>
    <t>Porcentaje del Gasto público en servicios esenciales, por tipo de servicio</t>
  </si>
  <si>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Open Sans Condensed"/>
      </rPr>
      <t>Función Educación (EDU)</t>
    </r>
    <r>
      <rPr>
        <sz val="11"/>
        <color theme="1"/>
        <rFont val="Open Sans Condensed"/>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Open Sans Condensed"/>
      </rPr>
      <t>Función Protección Social (PTS)</t>
    </r>
    <r>
      <rPr>
        <sz val="11"/>
        <color theme="1"/>
        <rFont val="Open Sans Condensed"/>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Open Sans Condensed"/>
      </rPr>
      <t>Función Salud (SLD):</t>
    </r>
    <r>
      <rPr>
        <sz val="11"/>
        <color theme="1"/>
        <rFont val="Open Sans Condensed"/>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Open Sans Condensed"/>
      </rPr>
      <t>i</t>
    </r>
    <r>
      <rPr>
        <sz val="11"/>
        <color theme="1"/>
        <rFont val="Open Sans Condensed"/>
      </rPr>
      <t>= educación, salud y protección social</t>
    </r>
  </si>
  <si>
    <r>
      <t xml:space="preserve">
Donde:
</t>
    </r>
    <r>
      <rPr>
        <b/>
        <sz val="11"/>
        <rFont val="Open Sans Condensed"/>
      </rPr>
      <t>i</t>
    </r>
    <r>
      <rPr>
        <sz val="11"/>
        <rFont val="Open Sans Condensed"/>
      </rPr>
      <t>= educación, salud y protección social.</t>
    </r>
    <r>
      <rPr>
        <b/>
        <sz val="11"/>
        <rFont val="Calibri"/>
        <family val="2"/>
        <scheme val="minor"/>
      </rPr>
      <t/>
    </r>
  </si>
  <si>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</si>
  <si>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</si>
  <si>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</si>
  <si>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</si>
  <si>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</si>
  <si>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</si>
  <si>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</si>
  <si>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</si>
  <si>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</si>
  <si>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Objetivo 2. Poner fin al hambre, lograr la seguridad alimentaria y la mejora de la nutrición y promover la agricultura sostenible</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</si>
  <si>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</si>
  <si>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2.1.1</t>
  </si>
  <si>
    <t>2.1.1 Prevalencia de la subalimentación</t>
  </si>
  <si>
    <t>2.1.2</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</si>
  <si>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</si>
  <si>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</si>
  <si>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t>
  </si>
  <si>
    <t>2.2.1 Prevalencia del retraso del crecimiento (estatura para la edad, desviación típica &lt; -2 de la mediana de los patrones de crecimiento infantil de la Organización Mundial de la Salud (OMS)) entre los niños menores de 5 años</t>
  </si>
  <si>
    <t>2.2.2</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</si>
  <si>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</si>
  <si>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</si>
  <si>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</si>
  <si>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</si>
  <si>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2.3.1</t>
  </si>
  <si>
    <t>2.3.1 Volumen de producción por unidad de trabajo desglosado por tamaño y tipo de explotación (agropecuaria/ganadera/forestal)</t>
  </si>
  <si>
    <t>2.3.2</t>
  </si>
  <si>
    <t>2.3.2 Media de ingresos de los productores de alimentos en pequeña escala, desglosada por sexo y condición indígena</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</si>
  <si>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</si>
  <si>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2.4.1</t>
  </si>
  <si>
    <t>2.4.1 Proporción de la superficie agrícola en que se practica una agricultura productiva y sostenible</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</si>
  <si>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</si>
  <si>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2.5.1</t>
  </si>
  <si>
    <t>2.5.1 Número de recursos genéticos vegetales y animales para la alimentación y la agricultura preservados en instalaciones de conservación a medio y largo plazo</t>
  </si>
  <si>
    <t>2.5.2</t>
  </si>
  <si>
    <t>2.5.2 Proporción de razas y variedades locales consideradas en riesgo de extinción</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</si>
  <si>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</si>
  <si>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2.a.1</t>
  </si>
  <si>
    <t>2.a.1 Índice de orientación agrícola para el gasto público</t>
  </si>
  <si>
    <t>2.a.2</t>
  </si>
  <si>
    <t>2.a.2 Total de corrientes oficiales de recursos (asistencia oficial para el desarrollo más otras corrientes oficiales) destinado al sector agrícola</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</si>
  <si>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</si>
  <si>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2.b.1</t>
  </si>
  <si>
    <t>2.b.1 Subsidios a la exportación de productos agropecuarios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</si>
  <si>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</si>
  <si>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2.c.1</t>
  </si>
  <si>
    <t>2.c.1 Indicador de anomalías en los precios de los alimentos</t>
  </si>
  <si>
    <t>Costa Rica: Prevalencia de la subalimentación (%) (promedio de 3 años)</t>
  </si>
  <si>
    <t>Costa Rica: Prevalencia de la subalimentación</t>
  </si>
  <si>
    <t>Costa Rica: Prevalencia de la subalimentación (%) (promedio de 3 años), 2000 al 2022</t>
  </si>
  <si>
    <t xml:space="preserve"> (%) (promedio de 3 años)</t>
  </si>
  <si>
    <t>Porcentaje de la población total en subalimentación</t>
  </si>
  <si>
    <t>2000-2002</t>
  </si>
  <si>
    <t>2001-2003</t>
  </si>
  <si>
    <t>2002-2004</t>
  </si>
  <si>
    <t>2003-2005</t>
  </si>
  <si>
    <t>2004-2006</t>
  </si>
  <si>
    <t>2005-2007</t>
  </si>
  <si>
    <t>2006-2008</t>
  </si>
  <si>
    <t>2007-2009</t>
  </si>
  <si>
    <t>2008-2010</t>
  </si>
  <si>
    <t>2009-2011</t>
  </si>
  <si>
    <t>2010-2012</t>
  </si>
  <si>
    <t>2011-2013</t>
  </si>
  <si>
    <t>2012-2014</t>
  </si>
  <si>
    <t>2013-2015</t>
  </si>
  <si>
    <t>2014-2016</t>
  </si>
  <si>
    <t>2015-2017</t>
  </si>
  <si>
    <t>2016-2018</t>
  </si>
  <si>
    <t>Fuente: Organización de las Naciones Unidas para la Agricultura y la Alimentación, 2000-2022</t>
  </si>
  <si>
    <t>2017-2019</t>
  </si>
  <si>
    <t>2018-2020</t>
  </si>
  <si>
    <t>2019-2021</t>
  </si>
  <si>
    <t>2020-2022</t>
  </si>
  <si>
    <t>Estimaciones de la FAO</t>
  </si>
  <si>
    <t>https://unstats.un.org/sdgs/metadata/files/Metadata-02-01-01.pdf</t>
  </si>
  <si>
    <t xml:space="preserve">Prevalencia de la subalimentación </t>
  </si>
  <si>
    <r>
      <rPr>
        <b/>
        <sz val="11"/>
        <rFont val="Open Sans Condensed"/>
      </rPr>
      <t>Subalimentación</t>
    </r>
    <r>
      <rPr>
        <sz val="11"/>
        <rFont val="Open Sans Condensed"/>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</si>
  <si>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</si>
  <si>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</si>
  <si>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</si>
  <si>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</si>
  <si>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</si>
  <si>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</si>
  <si>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</si>
  <si>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</si>
  <si>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</si>
  <si>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</si>
  <si>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</si>
  <si>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Prevalencias inseguridad alimentaria en hogares y personas, 2020</t>
  </si>
  <si>
    <t>Inseguridad Alimentaria</t>
  </si>
  <si>
    <t>Prevalencia inseguridad alimentaria moderada a severa (%)</t>
  </si>
  <si>
    <t>Prevalencia inseguridad alimentaria severa (%)</t>
  </si>
  <si>
    <t xml:space="preserve">Hogares   </t>
  </si>
  <si>
    <t>Personas</t>
  </si>
  <si>
    <t xml:space="preserve">Fuente: Instituto Nacional de Estadística y Censos, Encuesta Nacional de Hogares 2020, Modulo de la Escala de Inseguridad Alimentaria Nutricional, 2020 </t>
  </si>
  <si>
    <t>Costa Rica: Prevalencias inseguridad alimentaria por regiones de planificación (MIDEPLAN),  2020</t>
  </si>
  <si>
    <t>Región planificación</t>
  </si>
  <si>
    <t>Moderada a severa (%)</t>
  </si>
  <si>
    <t>Severa (%)</t>
  </si>
  <si>
    <t xml:space="preserve">Nacional (Hogares) </t>
  </si>
  <si>
    <t xml:space="preserve">2,.3 % </t>
  </si>
  <si>
    <t>Costa Rica: Prevalencias inseguridad alimentaria en hogares según zona urbana, rural, 2020</t>
  </si>
  <si>
    <t>Costa Rica: Prevalencias inseguridad alimentaria en hogares según sexo jefe del hogar, 2020</t>
  </si>
  <si>
    <t>Sexo jefe hogar</t>
  </si>
  <si>
    <t>Moderada-severa (%)</t>
  </si>
  <si>
    <t>Costa Rica: Prevalencias inseguridad alimentaria en hogares según quintiles de ingreso, 2020</t>
  </si>
  <si>
    <t>Quintil de ingreso</t>
  </si>
  <si>
    <t>Quintil 1</t>
  </si>
  <si>
    <t>Quintil 2</t>
  </si>
  <si>
    <t>Quintil 3</t>
  </si>
  <si>
    <t>Quintil 4</t>
  </si>
  <si>
    <t>Quintil 5</t>
  </si>
  <si>
    <t>Costa Rica: Prevalencias inseguridad alimentaria en hogares con niños de 5 años y menos, 2020</t>
  </si>
  <si>
    <t>Hogares</t>
  </si>
  <si>
    <t>Sin niños de 5 años y menos</t>
  </si>
  <si>
    <t>Con niños de 5 años y menos</t>
  </si>
  <si>
    <t>Costa Rica: Prevalencias inseguridad alimentaria en hogares con niños entre 6 y 12 años, 2020</t>
  </si>
  <si>
    <t>Sin niños entre 6 y 12 años</t>
  </si>
  <si>
    <t>Con niños entre 6 y 12 años</t>
  </si>
  <si>
    <t>De aquí a 2030, poner fin al hambre y asegurar el acceso de todas las personas, en particular los pobres y las personas en situaciones de vulnerabilidad, incluidos los niños menores de 1 año, a una alimentación sana, nutritiva y suficiente durante todo el año</t>
  </si>
  <si>
    <t>Prevalencia de la inseguridad alimentaria moderada o grave en la población, según la Escala de Experiencia de Inseguridad Alimentaria</t>
  </si>
  <si>
    <t>https://www.ministeriodesalud.go.cr/index.php/vigilancia-de-la-salud/vigilancia-nutricional</t>
  </si>
  <si>
    <r>
      <rPr>
        <b/>
        <sz val="11"/>
        <color theme="1"/>
        <rFont val="Open Sans Condensed"/>
      </rPr>
      <t>Inseguridad alimentaria moderada a severa:</t>
    </r>
    <r>
      <rPr>
        <sz val="11"/>
        <color theme="1"/>
        <rFont val="Open Sans Condensed"/>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Open Sans Condensed"/>
      </rPr>
      <t xml:space="preserve">Inseguridad alimentaria severa: </t>
    </r>
    <r>
      <rPr>
        <sz val="11"/>
        <color theme="1"/>
        <rFont val="Open Sans Condensed"/>
      </rPr>
      <t>personas que se han quedado sin alimentos, experimentado hambre y han  pasado días sin comer, poniendo en grave riesgo su salud y bienestar.</t>
    </r>
  </si>
  <si>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</si>
  <si>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</si>
  <si>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</si>
  <si>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</si>
  <si>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</si>
  <si>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No definida</t>
  </si>
  <si>
    <t>Encuesta Nacional de Hogares, Modulo de la Escala de Experiencia de Inseguirdad Alimentaria</t>
  </si>
  <si>
    <t xml:space="preserve">No cuantifican el consumo de alimentos ni tampoco proporciona una evaluación cuantitativa de la calidad de las dietas. No mide la malnutrición y no se puede utilizar para detectar deficiencias nutricionales u obesidad. </t>
  </si>
  <si>
    <t xml:space="preserve">Las prevalencias de pais reportadas en este indicador no coinciden con las reportadas por FAO ya que ellos elaboran una esimacion adicional a 5 años.
</t>
  </si>
  <si>
    <t>https://www.fao.org/3/bl354s/bl354s.pdf</t>
  </si>
  <si>
    <t>Ivannia Caravaca Rodríguez</t>
  </si>
  <si>
    <t>Nutricionista Epidemiologa</t>
  </si>
  <si>
    <t>Ministerio de Salud</t>
  </si>
  <si>
    <t>ivannia.caravaca@misalud.go.cr</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</si>
  <si>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</si>
  <si>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</si>
  <si>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Variables</t>
  </si>
  <si>
    <t>Patrones de crecimiento</t>
  </si>
  <si>
    <t>-2 DE</t>
  </si>
  <si>
    <t>-3 DE</t>
  </si>
  <si>
    <t>Moderada y Severa</t>
  </si>
  <si>
    <t>Severa</t>
  </si>
  <si>
    <t xml:space="preserve">Urbana </t>
  </si>
  <si>
    <t>Puntarenas</t>
  </si>
  <si>
    <t>Edad (en meses)</t>
  </si>
  <si>
    <t>0-5</t>
  </si>
  <si>
    <t>6-11</t>
  </si>
  <si>
    <t>12-17</t>
  </si>
  <si>
    <t>18-23</t>
  </si>
  <si>
    <t>24-35</t>
  </si>
  <si>
    <t>36-47</t>
  </si>
  <si>
    <t>48-59</t>
  </si>
  <si>
    <t>Educación de la madre</t>
  </si>
  <si>
    <t>Ninguna educación/Interactivo/ transición o preparatoria</t>
  </si>
  <si>
    <t>Primaria</t>
  </si>
  <si>
    <t>Secundaria</t>
  </si>
  <si>
    <t>Superior</t>
  </si>
  <si>
    <t>No sabe/no responde</t>
  </si>
  <si>
    <t>(*)</t>
  </si>
  <si>
    <t>Edad de la madre al nacimiento</t>
  </si>
  <si>
    <t>Menos de 20</t>
  </si>
  <si>
    <t>20-34</t>
  </si>
  <si>
    <t>35-49</t>
  </si>
  <si>
    <t>Sin información sobre la madre biológica</t>
  </si>
  <si>
    <t>Dificultades funcionales de la madre (18-49 años)</t>
  </si>
  <si>
    <t>Tiene dificultad funcional</t>
  </si>
  <si>
    <t>No tiene dificultad funcional</t>
  </si>
  <si>
    <t>No hay información</t>
  </si>
  <si>
    <t>Quintiles de Índice de riqueza</t>
  </si>
  <si>
    <t>Menor riqueza</t>
  </si>
  <si>
    <t>Segundo</t>
  </si>
  <si>
    <t>Tercero (intermedio)</t>
  </si>
  <si>
    <t>Cuarto</t>
  </si>
  <si>
    <t>Mayor riqueza</t>
  </si>
  <si>
    <t>Fuente : Instituto Nacional de Estadística y Censos, Encuesta de Mujer, Niñez y Adolescente, 2018</t>
  </si>
  <si>
    <t>https://unstats.un.org/sdgs/metadata/files/Metadata-02-02-01.pdf</t>
  </si>
  <si>
    <t>Prevalencia del retraso en el crecimiento (estatura para la edad, desviación típica &lt; -2 de la mediana de los patrones de crecimiento infantil de la Organización Mundial de la Salud (OMS)) entre los niños menores de 5 años</t>
  </si>
  <si>
    <t>Indicador proxi</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</si>
  <si>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</si>
  <si>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</si>
  <si>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</si>
  <si>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</si>
  <si>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</si>
  <si>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</si>
  <si>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Quinquenal</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</si>
  <si>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</si>
  <si>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</si>
  <si>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</si>
  <si>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</si>
  <si>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Costa Rica: Prevalencia de la malnutrición (peso para la estatura, desviación típica &gt; +2 o &lt; -2 de la mediana de los patrones de crecimiento infantil de la OMS) entre los niños menores de 5 años, desglosada por tipo (emaciación y sobrepeso), 2018</t>
  </si>
  <si>
    <t>Costa Rica: Prevalencia de la malnutrición (peso para la estatura, desviación típica &gt; +2 o &lt; -2 de</t>
  </si>
  <si>
    <t xml:space="preserve"> la mediana de los patrones de crecimiento infantil de la OMS) entre los niños menores de 5 años, </t>
  </si>
  <si>
    <t>desglosada por tipo (emaciación y sobrepeso), 2018</t>
  </si>
  <si>
    <t>Desagregaciones</t>
  </si>
  <si>
    <t>Bajo peso para la talla</t>
  </si>
  <si>
    <t>Sobrepeso peso la talla</t>
  </si>
  <si>
    <t>Moderada y Severa -2DS</t>
  </si>
  <si>
    <t>https://unstats.un.org/sdgs/metadata/files/Metadata-02-02-02a.pdf</t>
  </si>
  <si>
    <t>https://unstats.un.org/sdgs/metadata/files/Metadata-02-02-02b.pdf</t>
  </si>
  <si>
    <t>2.2.3  Prevalencia de la anemia en las mujeres de entre 15 y 49 años, desglosada por embarazo (porcentaje)</t>
  </si>
  <si>
    <t xml:space="preserve">Nutricionista, Unidad de Análisis Permanente de la Situación en Salud. </t>
  </si>
  <si>
    <t>Ministerio de Salud, Dirección de Vigilancia de la Salud.</t>
  </si>
  <si>
    <t xml:space="preserve">(506) 2221-0183 ext. 246 </t>
  </si>
  <si>
    <t>ivanniacr@gmail.com</t>
  </si>
  <si>
    <t>https://unstats.un.org/sdgs/metadata/files/Metadata-02-03-01.pdf</t>
  </si>
  <si>
    <t>De acuerdo a las Naciones Unidas, este indicador se requiere con las siguientes desagregaciones: Tamaño de explotación, sexo y edad del encargado de la empresa.</t>
  </si>
  <si>
    <t>Costa Rica: Ingreso medio por hora en el empleo principal de los independientes por tamaño de establecimiento, posicion en el empleo según sector agropecuario</t>
  </si>
  <si>
    <t>Trabajo independiente</t>
  </si>
  <si>
    <t>Sector Agropecuario</t>
  </si>
  <si>
    <t>Cuenta Propia</t>
  </si>
  <si>
    <t xml:space="preserve">Empleador </t>
  </si>
  <si>
    <t>De 2 a 5 empleados</t>
  </si>
  <si>
    <t xml:space="preserve">De 6 a 9 empleados </t>
  </si>
  <si>
    <t xml:space="preserve"> De 6 a 9 empleados</t>
  </si>
  <si>
    <r>
      <t>20491</t>
    </r>
    <r>
      <rPr>
        <vertAlign val="superscript"/>
        <sz val="11"/>
        <color theme="1"/>
        <rFont val="Open Sans Condensed"/>
      </rPr>
      <t>1/</t>
    </r>
  </si>
  <si>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</si>
  <si>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https://unstats.un.org/sdgs/metadata/files/Metadata-02-03-02.pdf</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</si>
  <si>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</si>
  <si>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</si>
  <si>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Colones</t>
  </si>
  <si>
    <t>• Cantidad de trabajadores independientes.
• Número de empleados en el sector agropecuario.
• Ingreso promedio de los trabajadores independientes.</t>
  </si>
  <si>
    <t>Por sector agropecuario , Posición en el empleo (Patrono y Cuenta Propia)  y Tamaño de la empresa (2 a 5 empleados y 6 a 9 empleados)</t>
  </si>
  <si>
    <t>Continua (Trimestral y Promedio anual de los trimestres)</t>
  </si>
  <si>
    <t xml:space="preserve">Encuesta de los hoagres </t>
  </si>
  <si>
    <t>Encuesta Continua de Empleo (ECE)</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</si>
  <si>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</si>
  <si>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Encuesta Continua de Empleo</t>
  </si>
  <si>
    <t>https://unstats.un.org/sdgs/metadata/files/Metadata-02-04-01.pdf</t>
  </si>
  <si>
    <t>De acuerdo a las Naciones Unidas, este indicador se requiere con las siguientes desagregaciones: Zona geografica, tamaño de la granja,  sexo, edad del encargado de la empresa.</t>
  </si>
  <si>
    <t xml:space="preserve">2.5.1 Número de recursos genéticos vegetales y animales para la alimentación y la agricultura preservados en instalaciones de conservación a medio y largo plazo </t>
  </si>
  <si>
    <t>https://unstats.un.org/sdgs/metadata/files/Metadata-02-05-01.pdf</t>
  </si>
  <si>
    <t>Argerie Cruz Méndez</t>
  </si>
  <si>
    <t>Coordinadora Nacional</t>
  </si>
  <si>
    <t>Instituto Nacional de Innovación y Transferencia Técnologica Agropecuaria</t>
  </si>
  <si>
    <t>(506) 7010-6113</t>
  </si>
  <si>
    <t>acruz@inta.go.cr</t>
  </si>
  <si>
    <t xml:space="preserve"> </t>
  </si>
  <si>
    <t>https://unstats.un.org/sdgs/metadata/files/Metadata-02-05-02.pdf</t>
  </si>
  <si>
    <t>Costa Rica: Porcentaje del gasto público consolidado del  sector agropecuario respecto al gasto total consolidado del Sector Público</t>
  </si>
  <si>
    <t>Costa Rica: Porcentaje del gasto público consolidado del  sector</t>
  </si>
  <si>
    <t>Costa Rica: Porcentaje del gasto en sector agropecuario, 2012-2023</t>
  </si>
  <si>
    <t xml:space="preserve"> agropecuario respecto al gasto total consolidado del Sector Público</t>
  </si>
  <si>
    <t>Gasto consolidado del sector público</t>
  </si>
  <si>
    <t>En sector agropecuario
(Millones de colones corrientes)</t>
  </si>
  <si>
    <t xml:space="preserve">Total
(Millones de colones) </t>
  </si>
  <si>
    <t xml:space="preserve">Porcentaje del gasto en sector agropecuario </t>
  </si>
  <si>
    <t>Fuente: Ministerio de Hacienda, Secretaría Técnica de la Autoridad Presupuestaria, 2012-2023</t>
  </si>
  <si>
    <t>Porcentaje del gasto público consolidado en el Sector Agropecuario respecto al gasto total consolidado del Sector Público.</t>
  </si>
  <si>
    <r>
      <rPr>
        <b/>
        <sz val="11"/>
        <color theme="1"/>
        <rFont val="Open Sans Condensed"/>
      </rPr>
      <t xml:space="preserve">Agricultura: </t>
    </r>
    <r>
      <rPr>
        <sz val="11"/>
        <color theme="1"/>
        <rFont val="Open Sans Condensed"/>
      </rPr>
      <t xml:space="preserve"> se refiere a la agricola y pecuario
</t>
    </r>
    <r>
      <rPr>
        <b/>
        <sz val="11"/>
        <color theme="1"/>
        <rFont val="Open Sans Condensed"/>
      </rPr>
      <t>El gasto consolidado en  Agricultura :</t>
    </r>
    <r>
      <rPr>
        <sz val="11"/>
        <color theme="1"/>
        <rFont val="Open Sans Condensed"/>
      </rPr>
      <t xml:space="preserve">Se refiere al gasto realizado por la institucionalidad pública agropecuaria que brinda productos y servicios a los productores nacionales.   
</t>
    </r>
    <r>
      <rPr>
        <b/>
        <sz val="11"/>
        <color theme="1"/>
        <rFont val="Open Sans Condensed"/>
      </rPr>
      <t xml:space="preserve">Institucionalidad pública agropecuaria: </t>
    </r>
    <r>
      <rPr>
        <sz val="11"/>
        <color theme="1"/>
        <rFont val="Open Sans Condensed"/>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Open Sans Condensed"/>
      </rPr>
      <t xml:space="preserve">Consolidación: </t>
    </r>
    <r>
      <rPr>
        <sz val="11"/>
        <color theme="1"/>
        <rFont val="Open Sans Condensed"/>
      </rPr>
      <t>es un proceso en el que los datos de un conjunto entidades se presentan como si constituyeran una sola unidad, se eliminan las transacciones entre las unidades en el ámbito del gobierno que se trata de medir y de esa forma se  elimina la doble contabilización.</t>
    </r>
  </si>
  <si>
    <t>Millones de colones y porcentaje</t>
  </si>
  <si>
    <t>Porcentaje del gasto público consolidado en Agricultura; Ganadería, Silvicultura Pesca y Caza,  respecto al gasto total consolidado del Sector Público</t>
  </si>
  <si>
    <t>• Gasto público consolidado en Agricultura, Ganaderia, Silvicultura, Pesca y Caza
• Gasto total funcional  consolidado del Sector Público</t>
  </si>
  <si>
    <t>N/A</t>
  </si>
  <si>
    <t>Anual, con 6 meses de rezago.</t>
  </si>
  <si>
    <t>• Ministerio de Hacienda</t>
  </si>
  <si>
    <t>• Consolidación Funcional del gasto público.</t>
  </si>
  <si>
    <t>El indicador no permite dar seguimiento a  la meta propuesta, según ha sido definida.</t>
  </si>
  <si>
    <t>Ministerio Hacienda</t>
  </si>
  <si>
    <t>(506) 2539-6328</t>
  </si>
  <si>
    <t xml:space="preserve">2.a.2 Total de corrientes oficiales de recursos (asistencia oficial para el desarrollo más otras corrientes oficiales) destinado al sector agrícola </t>
  </si>
  <si>
    <t xml:space="preserve">No aplica para Costa Rica por naturaleza del indicador  </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</si>
  <si>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registro de Flujos oficiales totales (asistencia oficial para el desarrollo más otros flujos oficiales) hacia el sector agrícola.</t>
  </si>
  <si>
    <t>Para consultar la información sobre el indicador haga click en el hipevínculo para acceder a la página web de las Naciones Unidas</t>
  </si>
  <si>
    <t>https://unstats.un.org/sdgs/metadata/files/Metadata-02-0A-02.pdf</t>
  </si>
  <si>
    <t>No aplica para Costa Rica</t>
  </si>
  <si>
    <t>De acuerdo a las Naciones Unidas, este indicador se requiere con las siguientes desagregaciones: Según el proveedor y receptor COUNTR; por tipo de financiación y de recursos previsto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</si>
  <si>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</si>
  <si>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t xml:space="preserve">https://unstats.un.org/sdgs/metadata/files/Metadata-02-0B-01.pdf </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</si>
  <si>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</si>
  <si>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https://unstats.un.org/sdgs/metadata/files/Metadata-02-0C-01.pdf</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</si>
  <si>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</si>
  <si>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</si>
  <si>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 De aquí a 2030, reducir la tasa mundial de mortalidad materna a menos de 70 por cada 100.000 nacidos vivos</t>
  </si>
  <si>
    <t>3.1.1</t>
  </si>
  <si>
    <t>3.1.1 Tasa de mortalidad materna</t>
  </si>
  <si>
    <t>3.1.2</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</si>
  <si>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</si>
  <si>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</si>
  <si>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t>
  </si>
  <si>
    <t>3.2.1 Tasa de mortalidad de niños menores de 5 años</t>
  </si>
  <si>
    <t>3.2.2</t>
  </si>
  <si>
    <t>3.2.2 Tasa de mortalidad neonatal</t>
  </si>
  <si>
    <t>3.3 De aquí a 2030, poner fin a las epidemias del SIDA, la tuberculosis, la malaria y las enfermedades tropicales desatendidas y combatir la hepatitis, las enfermedades transmitidas por el agua y otras enfermedades transmisibles</t>
  </si>
  <si>
    <t>3.3.1</t>
  </si>
  <si>
    <t>3.3.1 Número de nuevas infecciones por el VIH por cada 1.000 habitantes no infectados, desglosado por sexo, edad y poblaciones clave</t>
  </si>
  <si>
    <t>3.3.2</t>
  </si>
  <si>
    <t>3.3.2 Incidencia de la tuberculosis por cada 100.000 habitantes</t>
  </si>
  <si>
    <t>3.3.3</t>
  </si>
  <si>
    <t>3.3.3 Incidencia de la malaria por cada 1.000 habitantes</t>
  </si>
  <si>
    <t>3.3.4</t>
  </si>
  <si>
    <t>3.3.4 Incidencia de la hepatitis B por cada 100.000 habitantes</t>
  </si>
  <si>
    <t>3.3.5</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</si>
  <si>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</si>
  <si>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</si>
  <si>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t>
  </si>
  <si>
    <t>3.4.1 Tasa de mortalidad atribuida a las enfermedades cardiovasculares, el cáncer, la diabetes o las enfermedades respiratorias crónicas</t>
  </si>
  <si>
    <t>3.4.2</t>
  </si>
  <si>
    <t>3.4.2 Tasa de mortalidad por suicidio</t>
  </si>
  <si>
    <t>3.5 Fortalecer la prevención y el tratamiento del abuso de sustancias adictivas, incluido el uso indebido de estupefacientes y el consumo nocivo de alcohol</t>
  </si>
  <si>
    <t>3.5.1</t>
  </si>
  <si>
    <t>3.5.1 Cobertura de los tratamientos(farmacológicos y psicosociales y servicios de rehabilitación y postratamiento) de trastornos por abuso de sustancias adictivas</t>
  </si>
  <si>
    <t>3.5.2.a</t>
  </si>
  <si>
    <t>3.5.2.a Consumo de alcohol per cápita (a partir de los 15 años de edad) durante un año civil en litros de alcohol puro</t>
  </si>
  <si>
    <t>3.5.2.b</t>
  </si>
  <si>
    <t>3.5.2.b Consumo de alcohol per cápita (a partir de los 15 años de edad) durante un año civil en litros de alcohol puro</t>
  </si>
  <si>
    <t>3.6 De aquí a 2020, reducir a la mitad el número de muertes y lesiones causadas por accidentes de tráfico en el mundo</t>
  </si>
  <si>
    <t>3.6.1</t>
  </si>
  <si>
    <t>3.6.1 Tasa de mortalidad por lesiones debidas a accidentes de tráfico</t>
  </si>
  <si>
    <t>3.7 De aquí a 2030, garantizar el acceso universal a los servicios de salud sexual y reproductiva, incluidos los de planificación familiar, información y educación, y la integración de la salud reproductiva en las estrategias y los programas nacionales</t>
  </si>
  <si>
    <t>3.7.1</t>
  </si>
  <si>
    <t>3.7.1 Proporción de mujeres en edad de procrear (entre 15 y 49 años) que cubren sus necesidades de planificación familiar con métodos modernos</t>
  </si>
  <si>
    <t>3.7.2</t>
  </si>
  <si>
    <t>3.7.2 Tasa de fecundidad de las adolescentes (entre 10 y 14 años y entre 15 y 19 años) por cada 1.000 mujeres de ese grupo de edad</t>
  </si>
  <si>
    <t>3.8 Lograr la cobertura sanitaria universal, incluida la protección contra los riesgos financieros, el acceso a servicios de salud esenciales de calidad y el acceso a medicamentos y vacunas inocuos, eficaces, asequibles y de calidad para todos</t>
  </si>
  <si>
    <t>3.8.1</t>
  </si>
  <si>
    <t>3.8.1 Cobertura de los servicios de salud esenciales</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</si>
  <si>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</si>
  <si>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</si>
  <si>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</si>
  <si>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</si>
  <si>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3.9.1 Tasa de mortalidad atribuida a la contaminación de los hogares y del aire ambiente</t>
  </si>
  <si>
    <t>3.9.2</t>
  </si>
  <si>
    <t>3.9.2 Tasa de mortalidad atribuida al agua insalubre, el saneamiento deficiente y la falta de higiene (exposición a servicios insalubres de agua, saneamiento e higiene para todos (WASH))</t>
  </si>
  <si>
    <t>3.9.3</t>
  </si>
  <si>
    <t>3.9.3 Tasa de mortalidad atribuida a intoxicaciones involuntarias</t>
  </si>
  <si>
    <t>3.a Fortalecer la aplicación del Convenio Marco de la Organización Mundial de la Salud para el Control del Tabaco en todos los países, según proceda</t>
  </si>
  <si>
    <t>3.a.1</t>
  </si>
  <si>
    <t>3.a.1 Prevalencia del consumo actual de tabaco a partir de los 15 años de edad (edades ajustadas)</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</si>
  <si>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</si>
  <si>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</si>
  <si>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3.b.1 Proporción de la población inmunizada con todas las vacunas incluidas en cada programa nacional</t>
  </si>
  <si>
    <t>3.b.2</t>
  </si>
  <si>
    <t>3.b.2 Total neto de asistencia oficial para el desarrollo destinado a los sectores de la investigación médica y la atención sanitaria básica</t>
  </si>
  <si>
    <t>3.b.3</t>
  </si>
  <si>
    <t>3.b.3 Proporción de centros de salud que disponen de un conjunto básico de medicamentos esenciales asequibles de manera sostenible</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</si>
  <si>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</si>
  <si>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3.c.1</t>
  </si>
  <si>
    <t>3.c.1 Densidad y distribución del personal sanitario</t>
  </si>
  <si>
    <t>3.d Reforzar la capacidad de todos los países, en particular los países en desarrollo, en materia de alerta temprana, reducción de riesgos y gestión de los riesgos para la salud nacional y mundial</t>
  </si>
  <si>
    <t>3.d.1</t>
  </si>
  <si>
    <t>3.d.1 Capacidad prevista en el Reglamento Sanitario Internacional (RSI) y preparación para emergencias de salud</t>
  </si>
  <si>
    <t>3.d.2</t>
  </si>
  <si>
    <t>3.d.2 Porcentaje de infecciones del torrente sanguíneo debidas a determinados organismos resistentes a los antimicrobianos seleccionadosi</t>
  </si>
  <si>
    <t xml:space="preserve">Objetivo 3: Garantizar una vida sana y promover el bienestar de todos a todas las edades </t>
  </si>
  <si>
    <t>Costa Rica: Razón de mortalidad materna por cada 100 000 nacidos vivos
Costa Rica: Razón de mortalidad materna por 100 000 nacidos vivos, por cantón</t>
  </si>
  <si>
    <t>Costa Rica: Razón de mortalidad materna por 100 000 nacidos vivos</t>
  </si>
  <si>
    <t>RMM</t>
  </si>
  <si>
    <t>Grupos de edades</t>
  </si>
  <si>
    <t>Causa de muerte</t>
  </si>
  <si>
    <t>Menos de 20 años</t>
  </si>
  <si>
    <t>20-29</t>
  </si>
  <si>
    <t xml:space="preserve">30-39 </t>
  </si>
  <si>
    <t>40 años y más</t>
  </si>
  <si>
    <t>Obstétricas directas</t>
  </si>
  <si>
    <t>Obstétricas indirectas</t>
  </si>
  <si>
    <t>No determinada</t>
  </si>
  <si>
    <t>a/ Datos preliminares.</t>
  </si>
  <si>
    <t>(Por cien mil nacimientos)</t>
  </si>
  <si>
    <t>Costa Rica: Razón de mortalidad materna por 100 000 nacidos vivos, por cantón</t>
  </si>
  <si>
    <t xml:space="preserve">Provincia </t>
  </si>
  <si>
    <t>Cantón</t>
  </si>
  <si>
    <t>-</t>
  </si>
  <si>
    <t>Escazú</t>
  </si>
  <si>
    <t>Desamparados</t>
  </si>
  <si>
    <t>Puriscal</t>
  </si>
  <si>
    <t>Tarrazú</t>
  </si>
  <si>
    <t>Aserrí</t>
  </si>
  <si>
    <t>Mora</t>
  </si>
  <si>
    <t>Goicoechea</t>
  </si>
  <si>
    <t>Santa Ana</t>
  </si>
  <si>
    <t>Alajuelita</t>
  </si>
  <si>
    <t>Vásquez de Coronado</t>
  </si>
  <si>
    <t>Acosta</t>
  </si>
  <si>
    <t>Tibás</t>
  </si>
  <si>
    <t>Moravia</t>
  </si>
  <si>
    <t>Montes de Oca</t>
  </si>
  <si>
    <t>Turrubares</t>
  </si>
  <si>
    <t>Dota</t>
  </si>
  <si>
    <t>Curridabat</t>
  </si>
  <si>
    <t>Pérez Zeledón</t>
  </si>
  <si>
    <t>León Cortés</t>
  </si>
  <si>
    <t>San Ramón</t>
  </si>
  <si>
    <t>Grecia</t>
  </si>
  <si>
    <t>San Mateo</t>
  </si>
  <si>
    <t>Atenas</t>
  </si>
  <si>
    <t>Naranjo</t>
  </si>
  <si>
    <t>Palmares</t>
  </si>
  <si>
    <t>Poás</t>
  </si>
  <si>
    <t>Orotina</t>
  </si>
  <si>
    <t>San Carlos</t>
  </si>
  <si>
    <t>Alfaro Ruiz</t>
  </si>
  <si>
    <t>Valverde Vega</t>
  </si>
  <si>
    <t>Upala</t>
  </si>
  <si>
    <t>Los Chiles</t>
  </si>
  <si>
    <t>Guatuso</t>
  </si>
  <si>
    <t>Río Cuarto</t>
  </si>
  <si>
    <t>N.A.</t>
  </si>
  <si>
    <t>Paraíso</t>
  </si>
  <si>
    <t>La Unión</t>
  </si>
  <si>
    <t>Jiménez</t>
  </si>
  <si>
    <t>Turrialba</t>
  </si>
  <si>
    <t>Alvarado</t>
  </si>
  <si>
    <t>Oreamuno</t>
  </si>
  <si>
    <t>El Guarco</t>
  </si>
  <si>
    <t>Barva</t>
  </si>
  <si>
    <t>Santo Domingo</t>
  </si>
  <si>
    <t>Santa Bárbara</t>
  </si>
  <si>
    <t>San Rafael</t>
  </si>
  <si>
    <t>San Isidro</t>
  </si>
  <si>
    <t>Belén</t>
  </si>
  <si>
    <t>Flores</t>
  </si>
  <si>
    <t>San Pablo</t>
  </si>
  <si>
    <t>Sarapiquí</t>
  </si>
  <si>
    <t>Liberia</t>
  </si>
  <si>
    <t>Nicoya</t>
  </si>
  <si>
    <t>Santa Cruz</t>
  </si>
  <si>
    <t>Bagaces</t>
  </si>
  <si>
    <t>Carrillo</t>
  </si>
  <si>
    <t>Cañas</t>
  </si>
  <si>
    <t>Abangares</t>
  </si>
  <si>
    <t>Tilarán</t>
  </si>
  <si>
    <t>Nandayure</t>
  </si>
  <si>
    <t>La Cruz</t>
  </si>
  <si>
    <t>Hojancha</t>
  </si>
  <si>
    <t>Esparza</t>
  </si>
  <si>
    <t>Buenos Aires</t>
  </si>
  <si>
    <t>Montes de Oro</t>
  </si>
  <si>
    <t>Osa</t>
  </si>
  <si>
    <t>Aguirre</t>
  </si>
  <si>
    <t>Golfito</t>
  </si>
  <si>
    <t>Coto Brus</t>
  </si>
  <si>
    <t>Parrita</t>
  </si>
  <si>
    <t>Corredores</t>
  </si>
  <si>
    <t>Garabito</t>
  </si>
  <si>
    <t>Monteverde</t>
  </si>
  <si>
    <t>Puerto Jiménez</t>
  </si>
  <si>
    <t>Pococí</t>
  </si>
  <si>
    <t>Siquirres</t>
  </si>
  <si>
    <t>Talamanca</t>
  </si>
  <si>
    <t>Matina</t>
  </si>
  <si>
    <t>Guácimo</t>
  </si>
  <si>
    <t>Fuente: INEC-Costa Rica. Estadísticas vitales, 2010 - 2022.</t>
  </si>
  <si>
    <t>Objetivo 3. Garantizar una vida sana y promover el bienestar de todos a todas las edades</t>
  </si>
  <si>
    <t>https://unstats.un.org/sdgs/metadata/files/Metadata-03-01-01.pdf</t>
  </si>
  <si>
    <t>Razón de mortalidad materna por cada 100 000 nacidos vivos</t>
  </si>
  <si>
    <r>
      <rPr>
        <sz val="11"/>
        <color indexed="8"/>
        <rFont val="Open Sans Condensed"/>
      </rPr>
      <t>Mortalidad materna:</t>
    </r>
    <r>
      <rPr>
        <sz val="11"/>
        <color theme="1"/>
        <rFont val="Open Sans Condensed"/>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
</t>
    </r>
  </si>
  <si>
    <t>Razón por 100 000 nacidos vivos</t>
  </si>
  <si>
    <t>Número de muertes maternas por cada 100 mil nacidos vivos.</t>
  </si>
  <si>
    <t>● Total de muertes maternas.
● Total de nacidos vivos.</t>
  </si>
  <si>
    <t>Nacional y provincia y canton de residencia</t>
  </si>
  <si>
    <t>Grupos especiales de edades y grupos especiales de causa de muerte</t>
  </si>
  <si>
    <t>Semestral y anual</t>
  </si>
  <si>
    <t>Instituto Nacional de Estadística y Censos, Estadísticas Demográficas</t>
  </si>
  <si>
    <t>Estadísticas Vitales</t>
  </si>
  <si>
    <t>Costa Rica regularmente estima este indicador de mortalidad materna por cada 10 000 nacimientos.</t>
  </si>
  <si>
    <t>De acuerdo a las Naciones Unidas, este indicador se requiere con las siguientes desagregaciones: Edad / Lugar de residencia</t>
  </si>
  <si>
    <t>Olga Martha Araya Umaña</t>
  </si>
  <si>
    <t>Coordinadora de la Unidad de Estadísticas Demográficas</t>
  </si>
  <si>
    <t>(506)2280-9280  Ext. 369</t>
  </si>
  <si>
    <t>olga.araya@inec.go.cr</t>
  </si>
  <si>
    <t>Costa Rica: Porcentaje de nacimientos atendidos por personal de salud calificado 
Costa Rica: Porcentaje de nacimientos atendidos por personal calificado, por cantón</t>
  </si>
  <si>
    <t>Costa Rica: Porcentaje de nacimientos atendidos por personal calificado</t>
  </si>
  <si>
    <t>Edad de la madre</t>
  </si>
  <si>
    <t>Paridez</t>
  </si>
  <si>
    <t>Ocupación de la madre</t>
  </si>
  <si>
    <t>Población fuera de la fuerza de trabajo</t>
  </si>
  <si>
    <t>Tipo de institución</t>
  </si>
  <si>
    <t>10 - 14</t>
  </si>
  <si>
    <t>15 - 19</t>
  </si>
  <si>
    <t>20 - 24</t>
  </si>
  <si>
    <t>25 - 29</t>
  </si>
  <si>
    <t>30 - 34</t>
  </si>
  <si>
    <t>35 - 39</t>
  </si>
  <si>
    <t>Sexo (H/M)</t>
  </si>
  <si>
    <t>Directoras y gerentes</t>
  </si>
  <si>
    <t>Profesionales científicos e intelectuales</t>
  </si>
  <si>
    <t>Técnicos y profesionales de nivel medio</t>
  </si>
  <si>
    <t>Personal de apoyo administrativo</t>
  </si>
  <si>
    <t>Trabajadoras de los servicios y vendedoras de comercios y mercados</t>
  </si>
  <si>
    <t>Agricultores y trabajadores calificados agropecuarios, forestales y pesqueros</t>
  </si>
  <si>
    <t>Oficiales, operarias y artesanas de artes mecánicas y de otros oficios</t>
  </si>
  <si>
    <t>Operadoras de instalaciones y máquinas y ensambladores</t>
  </si>
  <si>
    <t>Ocupaciones elementales</t>
  </si>
  <si>
    <t>Ocupaciones mal especificadas</t>
  </si>
  <si>
    <t>Ocupaciones ignoradas</t>
  </si>
  <si>
    <t>Institución de salud pública</t>
  </si>
  <si>
    <t>Institución de salud privada</t>
  </si>
  <si>
    <t>Fuera de una institución de salud</t>
  </si>
  <si>
    <t>Ignorado</t>
  </si>
  <si>
    <t>Costa Rica: Porcentaje de nacimientos atendidos por personal calificado, por cantón</t>
  </si>
  <si>
    <t>https://unstats.un.org/sdgs/metadata/files/Metadata-03-01-02.pdf</t>
  </si>
  <si>
    <t>Porcentaje de nacimientos atendidos por personal de salud calificado</t>
  </si>
  <si>
    <r>
      <rPr>
        <b/>
        <sz val="11"/>
        <color indexed="8"/>
        <rFont val="Open Sans Condensed"/>
      </rPr>
      <t>Nacimientos atendidos por personal de salud calificado:</t>
    </r>
    <r>
      <rPr>
        <sz val="11"/>
        <color theme="1"/>
        <rFont val="Open Sans Condensed"/>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</si>
  <si>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t>Por cada 100 nacimientos, cuántos fueron atendidos por personal calificado.</t>
  </si>
  <si>
    <t>● Número de nacimientos atendidos por personal de salud calificado (médicos y enfermeras) .
● Total de nacidos vivos.</t>
  </si>
  <si>
    <t>Grupos de edades de la madre, ocupación de la madre y tipo de institución</t>
  </si>
  <si>
    <t>Las autoridades de salud, decidieron que en el numerador no se debían incluir a los estudiantes.</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</si>
  <si>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</si>
  <si>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(506) 2280-9280  Ext. 369</t>
  </si>
  <si>
    <t xml:space="preserve">Costa Rica: Tasa de mortalidad en la niñez 
Costa Rica: Tasa de mortalidad en la niñez, por cantón </t>
  </si>
  <si>
    <t>Costa Rica: Tasa de mortalidad en la niñez</t>
  </si>
  <si>
    <t>Grupos de causa de muerte (tasa por cien mil nacimientos)</t>
  </si>
  <si>
    <t xml:space="preserve">San José </t>
  </si>
  <si>
    <t xml:space="preserve">Cartago </t>
  </si>
  <si>
    <t>Hombres</t>
  </si>
  <si>
    <t>Mujeres</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</si>
  <si>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</si>
  <si>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</si>
  <si>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</si>
  <si>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</si>
  <si>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</si>
  <si>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</si>
  <si>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</si>
  <si>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</si>
  <si>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</si>
  <si>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</si>
  <si>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</si>
  <si>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</si>
  <si>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</si>
  <si>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</si>
  <si>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</si>
  <si>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 xml:space="preserve">Costa Rica: Tasa de mortalidad en la niñez, por cantón </t>
  </si>
  <si>
    <t>https://unstats.un.org/sdgs/metadata/files/Metadata-03-02-01.pdf</t>
  </si>
  <si>
    <t>Tasa de mortalidad de niños y niñas menores de 5 años  por 1 000 nacidos vivos</t>
  </si>
  <si>
    <r>
      <rPr>
        <b/>
        <sz val="11"/>
        <color indexed="8"/>
        <rFont val="Open Sans Condensed"/>
      </rPr>
      <t>Mortalidad de niños y niñas</t>
    </r>
    <r>
      <rPr>
        <sz val="11"/>
        <color theme="1"/>
        <rFont val="Open Sans Condensed"/>
      </rPr>
      <t xml:space="preserve">:  niños y niñas nacidos que han muerto antes de cumplir la edad exacta de 5 años, expresada por 1 000 nacidos vivos.
</t>
    </r>
    <r>
      <rPr>
        <b/>
        <sz val="11"/>
        <color indexed="8"/>
        <rFont val="Open Sans Condensed"/>
      </rPr>
      <t>Defunción</t>
    </r>
    <r>
      <rPr>
        <sz val="11"/>
        <color theme="1"/>
        <rFont val="Open Sans Condensed"/>
      </rPr>
      <t>: es la desaparición permanente de todo tipo de signo de vida, cualquiera que sea el tiempo transcurrido desde el nacimiento. Por tanto, esta definición excluye defunciones fetales.</t>
    </r>
  </si>
  <si>
    <t>Tasa por 1 000 nacidos vivos</t>
  </si>
  <si>
    <t>Por cada mil nacimientos el número de niños y niñas entre 0 y 4 años que fallecieron.</t>
  </si>
  <si>
    <t>● Número de muertes de niños y niñas de 0 a 4 años.
● Total de nacimientos.</t>
  </si>
  <si>
    <t>Sexo, grupos de causa de muerte</t>
  </si>
  <si>
    <t>INEC-Costa Rica. Estadísticas vitales.</t>
  </si>
  <si>
    <t>Estadísticas vitales</t>
  </si>
  <si>
    <t>De acuerdo a las Naciones Unidas, este indicador se requiere con las siguientes desagregaciones: lugar de residencia / sexo / nivel socioeconómico.  También por causa de muerte</t>
  </si>
  <si>
    <t>(506) 2527 - 1018</t>
  </si>
  <si>
    <t xml:space="preserve">Costa Rica: Tasa de mortalidad neonatal  
Costa Rica: Tasa de mortalidad neonatal, por cantón  </t>
  </si>
  <si>
    <t xml:space="preserve">Costa Rica: Tasa de mortalidad neonatal  </t>
  </si>
  <si>
    <t>Edad en días y semanas</t>
  </si>
  <si>
    <t>Grupos de causas de defunción</t>
  </si>
  <si>
    <t>Menos de 1 día</t>
  </si>
  <si>
    <t>1 día</t>
  </si>
  <si>
    <t>2 días</t>
  </si>
  <si>
    <t xml:space="preserve">3 días </t>
  </si>
  <si>
    <t>4 días</t>
  </si>
  <si>
    <t>5 días</t>
  </si>
  <si>
    <t>6 días</t>
  </si>
  <si>
    <t>1 semana</t>
  </si>
  <si>
    <t>2 semanas</t>
  </si>
  <si>
    <t>3  semanas</t>
  </si>
  <si>
    <t>Malformaciones congénitas</t>
  </si>
  <si>
    <t>Enfermedades del sistema nervioso</t>
  </si>
  <si>
    <t>Otras causas</t>
  </si>
  <si>
    <r>
      <t>Fuente</t>
    </r>
    <r>
      <rPr>
        <sz val="8"/>
        <color theme="1"/>
        <rFont val="Open Sans Condensed"/>
      </rPr>
      <t xml:space="preserve">: INEC, Estadísticas Demográficas, 2010-2016. </t>
    </r>
  </si>
  <si>
    <t xml:space="preserve">Costa Rica: Tasa de mortalidad neonatal, por cantón  </t>
  </si>
  <si>
    <t>https://unstats.un.org/sdgs/metadata/files/Metadata-03-03-02.pdf</t>
  </si>
  <si>
    <t>Tasa de mortalidad neonatal  por 1 000 nacidos vivos</t>
  </si>
  <si>
    <r>
      <rPr>
        <b/>
        <sz val="11"/>
        <color indexed="8"/>
        <rFont val="Open Sans Condensed"/>
      </rPr>
      <t>Tasa de mortalidad neonatal</t>
    </r>
    <r>
      <rPr>
        <sz val="11"/>
        <color theme="1"/>
        <rFont val="Open Sans Condensed"/>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día 7, pero antes de cumplir los 28 días de vida.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</si>
  <si>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 Número de niños que mueren durante los primeros 28 días de vida.
● Total de nacidos vivos.</t>
  </si>
  <si>
    <t>Por edad en dias y semanas y grupos de causa de defunción</t>
  </si>
  <si>
    <t>De acuerdo a las Naciones Unidas, este indicador se requiere con las siguientes desagregaciones: edad en días y en semanas / peso al nacer / lugar de residencia / sexo / nivel socioeconómico</t>
  </si>
  <si>
    <t>3.3 De aquí a 2030, poner fin a las epidemias del SIDA, la tuberculosis, la malaria y las enfermedades tropicales desatendidas y combatir la hepatitis, las enfermedades transmitidas por el agua y otras enfermedades transmisibles.</t>
  </si>
  <si>
    <t>Costa Rica: Tasa de nuevos diagnósticos de VIH por 100 000 habitantes, por sexo 
Costa Rica: Total de casos¹  VIH-Sida  por sexo y  grupo de edad, periodo 2010-2023.  (Tasa³ por 100.000 habitantes)</t>
  </si>
  <si>
    <t>Costa Rica: Tasa de nuevos diagnósticos de VIH por 100 000 habitantes, por sexo</t>
  </si>
  <si>
    <t>Costa Rica: Tasa de nuevos diagnósticos de VIH por 100 000 habitantes, 2010-2023</t>
  </si>
  <si>
    <t>Razón Hombres/
Mujeres</t>
  </si>
  <si>
    <t>Casos</t>
  </si>
  <si>
    <t>* Datos  preliminares, sujetos a cambios</t>
  </si>
  <si>
    <t>Fuente: Ministerio de Salud, 2002-2023</t>
  </si>
  <si>
    <t>2023*</t>
  </si>
  <si>
    <t>Notas: ¹Datos sujetos a cambios por revisión de serie historica, al corte del  15-01-2024.</t>
  </si>
  <si>
    <t>Nota: La serie historica de los datos en VIH  fue revisada desde 1993 al 2023. Por ende, los datos cambiaron a la versión anterior</t>
  </si>
  <si>
    <t xml:space="preserve">* Datos preliminares </t>
  </si>
  <si>
    <t xml:space="preserve">Nota: Los Datos son de población general, no se disponen por población clave </t>
  </si>
  <si>
    <t>Fuente: Ministerio de Salud, Dirección de Vigilancia de la Salud.</t>
  </si>
  <si>
    <t>Costa Rica: Total de casos¹  VIH-Sida  por sexo y  grupo de edad, periodo 2010-2023.  (Tasa³ por 100.000 habitantes)</t>
  </si>
  <si>
    <t xml:space="preserve">Grupos de edad </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</si>
  <si>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</si>
  <si>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</si>
  <si>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</si>
  <si>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</si>
  <si>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</si>
  <si>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</si>
  <si>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</si>
  <si>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</si>
  <si>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</si>
  <si>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</si>
  <si>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</si>
  <si>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</si>
  <si>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</si>
  <si>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</si>
  <si>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</si>
  <si>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</si>
  <si>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años y más</t>
  </si>
  <si>
    <t>Desconocidos</t>
  </si>
  <si>
    <t>Notas: ¹Datos sujetos a cambios por revisión de serie historica, y menores de 5 años en proceso de analisis de caso a nivel operativo, base al corte del  15-01-2024.</t>
  </si>
  <si>
    <t xml:space="preserve">            ³ Calculo de tasa disponible a partir de año 2000 para esta desagregación.</t>
  </si>
  <si>
    <t>Fuente: Ministerio de Salud, Dirección de Vigiancia de la Salud.</t>
  </si>
  <si>
    <t>https://unstats.un.org/sdgs/metadata/files/Metadata-03-03-01.pdf</t>
  </si>
  <si>
    <t>Mantener o disminuir  la prevalencia del VIH en menos del 5% en población general.
Mantener o disminuir la mortalidad por sida</t>
  </si>
  <si>
    <t>Tasa de nuevos diagnósticos de VIH por 100 000 habitantes, por sexo</t>
  </si>
  <si>
    <r>
      <rPr>
        <b/>
        <sz val="11"/>
        <color theme="1"/>
        <rFont val="Open Sans Condensed"/>
      </rPr>
      <t>Diagnósticos de VIH:</t>
    </r>
    <r>
      <rPr>
        <sz val="11"/>
        <color theme="1"/>
        <rFont val="Open Sans Condensed"/>
      </rPr>
      <t xml:space="preserve"> Número de nuevos diagnósticos por VIH por 100 000 habitantes.
</t>
    </r>
    <r>
      <rPr>
        <b/>
        <sz val="11"/>
        <color theme="1"/>
        <rFont val="Open Sans Condensed"/>
      </rPr>
      <t>VIH:</t>
    </r>
    <r>
      <rPr>
        <sz val="11"/>
        <color theme="1"/>
        <rFont val="Open Sans Condensed"/>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Open Sans Condensed"/>
      </rPr>
      <t xml:space="preserve">s.
Sida: </t>
    </r>
    <r>
      <rPr>
        <sz val="11"/>
        <color theme="1"/>
        <rFont val="Open Sans Condensed"/>
      </rPr>
      <t>Término que define la enfermedad o al grupo de pacientes que la padecen.</t>
    </r>
    <r>
      <rPr>
        <b/>
        <sz val="11"/>
        <color theme="1"/>
        <rFont val="Open Sans Condensed"/>
      </rPr>
      <t xml:space="preserve">
VIH-Sida: </t>
    </r>
    <r>
      <rPr>
        <sz val="11"/>
        <color theme="1"/>
        <rFont val="Open Sans Condensed"/>
      </rPr>
      <t xml:space="preserve">incluye los casos de personas infectadas por el virus, pero unas son asintomáticas y las otras ya han desarrollado la enfermedad.
</t>
    </r>
    <r>
      <rPr>
        <b/>
        <sz val="8"/>
        <color theme="1"/>
        <rFont val="Calibri"/>
        <family val="2"/>
        <scheme val="minor"/>
      </rPr>
      <t/>
    </r>
  </si>
  <si>
    <t>Tasa por 100 000 habitantes</t>
  </si>
  <si>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</si>
  <si>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</si>
  <si>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40556-S</t>
  </si>
  <si>
    <t>En el caso del VIH se habla de nuevos diagnósticos y no de nuevas infecciones, según lineamientos de la OPS/OMS.
La desagregación propuesta por UN solo se obtiene en estudios específicos. No se obtiene por la notificación de rutina.</t>
  </si>
  <si>
    <t>Pamela Domínguez Saavedra</t>
  </si>
  <si>
    <t>Enfermedades transmisibles</t>
  </si>
  <si>
    <t>(506)  4003-5585</t>
  </si>
  <si>
    <t>pamela.dominguez@misalud.go.cr</t>
  </si>
  <si>
    <t xml:space="preserve">Costa Rica: Tasa de incidencia de nuevos diagnósticos de tuberculosis por cada 100 000 habitantes 
Costa Rica: Tasa de incidencia de tuberculosis por cada 100 000 habitantes, según provincia y cantón de procedencia por cada 100 000 habitantes </t>
  </si>
  <si>
    <t xml:space="preserve">Costa Rica: Tasa de incidencia de </t>
  </si>
  <si>
    <t>Costa Rica: Tasa de incidencia de tuberculosis por cada 100 000 habitantes, 2010-2023</t>
  </si>
  <si>
    <t>tuberculosis por cada 100 000 habitantes</t>
  </si>
  <si>
    <t xml:space="preserve">Año </t>
  </si>
  <si>
    <t>Fuente: Ministerio de Salud, 2010-2023</t>
  </si>
  <si>
    <t>Fuente: Unidad de Seguimiento de Indicadores de Salud, Dirección Vigilancia de la Salud-Ministerio de Salud, 2023</t>
  </si>
  <si>
    <t>https://www.ministeriodesalud.go.cr/sobre_ministerio/memorias/memoria_2014_2018/memoria_institucional_2018.pdf</t>
  </si>
  <si>
    <t>Costa Rica: Tasa de incidencia de tuberculosis por cada 100 000 habitantes, según provincia y cantón de procedencia por cada 100 000 habitantes</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</si>
  <si>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</si>
  <si>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</si>
  <si>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</si>
  <si>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</si>
  <si>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</si>
  <si>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</si>
  <si>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</si>
  <si>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</si>
  <si>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</si>
  <si>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</si>
  <si>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</si>
  <si>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</si>
  <si>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</si>
  <si>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</si>
  <si>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</si>
  <si>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</si>
  <si>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</si>
  <si>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</si>
  <si>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</si>
  <si>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</si>
  <si>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</si>
  <si>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</si>
  <si>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</si>
  <si>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</si>
  <si>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</si>
  <si>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</si>
  <si>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</si>
  <si>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</si>
  <si>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</si>
  <si>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</si>
  <si>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</si>
  <si>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</si>
  <si>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</si>
  <si>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</si>
  <si>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</si>
  <si>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</si>
  <si>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</si>
  <si>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</si>
  <si>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</si>
  <si>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</si>
  <si>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</si>
  <si>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RIO CUARTO</t>
  </si>
  <si>
    <t>N/D</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</si>
  <si>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</si>
  <si>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</si>
  <si>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</si>
  <si>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</si>
  <si>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</si>
  <si>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</si>
  <si>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</si>
  <si>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</si>
  <si>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</si>
  <si>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</si>
  <si>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</si>
  <si>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</si>
  <si>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</si>
  <si>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</si>
  <si>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</si>
  <si>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</si>
  <si>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</si>
  <si>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</si>
  <si>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</si>
  <si>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</si>
  <si>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</si>
  <si>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</si>
  <si>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</si>
  <si>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</si>
  <si>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</si>
  <si>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</si>
  <si>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</si>
  <si>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</si>
  <si>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</si>
  <si>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</si>
  <si>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</si>
  <si>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</si>
  <si>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</si>
  <si>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</si>
  <si>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</si>
  <si>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</si>
  <si>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</si>
  <si>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</si>
  <si>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</si>
  <si>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</si>
  <si>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</si>
  <si>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</si>
  <si>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</si>
  <si>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</si>
  <si>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</si>
  <si>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</si>
  <si>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</si>
  <si>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</si>
  <si>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</si>
  <si>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</si>
  <si>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</si>
  <si>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</si>
  <si>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</si>
  <si>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 xml:space="preserve">GRUPOS DE EDAD </t>
  </si>
  <si>
    <t>TOTAL</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</si>
  <si>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</si>
  <si>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</si>
  <si>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</si>
  <si>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</si>
  <si>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</si>
  <si>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</si>
  <si>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</si>
  <si>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</si>
  <si>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</si>
  <si>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</si>
  <si>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</si>
  <si>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</si>
  <si>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</si>
  <si>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</si>
  <si>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</si>
  <si>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</si>
  <si>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</si>
  <si>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</si>
  <si>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</si>
  <si>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</si>
  <si>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Reducción de la mortalidad en un 90% en comparación con el año 2015.
Reducción de la incidencia en un 80% (&lt;20/100000 hab), en comparación con el 2015</t>
  </si>
  <si>
    <t>Tasa de incidencia de nuevos diagnósticos de tuberculosis por cada 100 000 habitantes</t>
  </si>
  <si>
    <r>
      <rPr>
        <b/>
        <sz val="11"/>
        <color theme="1"/>
        <rFont val="Open Sans Condensed"/>
      </rPr>
      <t>Incidencia de tuberculosis</t>
    </r>
    <r>
      <rPr>
        <sz val="11"/>
        <color theme="1"/>
        <rFont val="Open Sans Condensed"/>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Open Sans Condensed"/>
      </rPr>
      <t>Tuberculosis:</t>
    </r>
    <r>
      <rPr>
        <sz val="11"/>
        <color theme="1"/>
        <rFont val="Open Sans Condensed"/>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</si>
  <si>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</si>
  <si>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</si>
  <si>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</si>
  <si>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</si>
  <si>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Franchina Murillo Picado</t>
  </si>
  <si>
    <t>Unidad de Epidemiología, Dirección Vigilancia de la Salud</t>
  </si>
  <si>
    <t>4003-5584</t>
  </si>
  <si>
    <t>franchina.murillo@misalud.go.cr</t>
  </si>
  <si>
    <t>Costa Rica: Incidencia Parasitaria Anual de malaria por cada 1 000 habitantes 
Costa Rica: Incidencia parasitaria anual (IPA) de casos autóctonos de malaria 
Costa Rica: Casos de malaria</t>
  </si>
  <si>
    <t xml:space="preserve">Costa Rica: Incidencia parasitaria anual </t>
  </si>
  <si>
    <t>Costa Rica: Incidencia parasitaria anual (IPA)</t>
  </si>
  <si>
    <t>Costa Rica: Tasa de incidencia parasitaria anual de casos autóctonos de malaria por cada 1 000 habitantes, 2010-2023</t>
  </si>
  <si>
    <t>de malaria por cada 1 000 habitantes</t>
  </si>
  <si>
    <t xml:space="preserve"> de casos autóctonos de malaria</t>
  </si>
  <si>
    <t>IPA</t>
  </si>
  <si>
    <t>2018*</t>
  </si>
  <si>
    <t>población en riesgo</t>
  </si>
  <si>
    <t xml:space="preserve">  </t>
  </si>
  <si>
    <t>2023**</t>
  </si>
  <si>
    <t xml:space="preserve">*Datos tomados de https://www.ministeriodesalud.go.cr/index.php/vigilancia-de-la-salud/analisis-de-situacion-de-salud?limit=20&amp;limitstart=0 </t>
  </si>
  <si>
    <t>** Datos preliminares</t>
  </si>
  <si>
    <t>Nota: Incidencia por 1000 habitantes</t>
  </si>
  <si>
    <t>Fuente: Ministerio de Salud</t>
  </si>
  <si>
    <t>Nota: IPA esta construido con todos los casos (autoctonos e importados.</t>
  </si>
  <si>
    <t>Costa Rica: Casos de malaria</t>
  </si>
  <si>
    <t>autóctonos</t>
  </si>
  <si>
    <t>importados</t>
  </si>
  <si>
    <t>ignorado</t>
  </si>
  <si>
    <t>introducido***</t>
  </si>
  <si>
    <t>Total de la población</t>
  </si>
  <si>
    <t xml:space="preserve"> Incidencia Parasitaria Anual de malaria por cada 1 000 habitantes</t>
  </si>
  <si>
    <t>Incidencia parasitaria anual (IPA) de casos autóctonos de malaria</t>
  </si>
  <si>
    <t>2020*</t>
  </si>
  <si>
    <t>*** Nueva clasificacion a partir de 2019</t>
  </si>
  <si>
    <t>https://unstats.un.org/sdgs/metadata/files/Metadata-03-03-03.pdf</t>
  </si>
  <si>
    <t>Eliminar la transmisión vectorial de la malaria para el año 2020.</t>
  </si>
  <si>
    <t>Tasa de incidencia de casos autóctonos de malaria por cada 1 000 habitantes en áreas de riesgo.</t>
  </si>
  <si>
    <r>
      <rPr>
        <b/>
        <sz val="11"/>
        <color theme="1"/>
        <rFont val="Open Sans Condensed"/>
      </rPr>
      <t>Casos notificados de malaria</t>
    </r>
    <r>
      <rPr>
        <sz val="11"/>
        <color theme="1"/>
        <rFont val="Open Sans Condensed"/>
      </rPr>
      <t xml:space="preserve">: Número de casos de malaria por 1 000 mil habitantes para cada año.
</t>
    </r>
    <r>
      <rPr>
        <b/>
        <sz val="11"/>
        <color theme="1"/>
        <rFont val="Open Sans Condensed"/>
      </rPr>
      <t>Malaria:</t>
    </r>
    <r>
      <rPr>
        <sz val="11"/>
        <color theme="1"/>
        <rFont val="Open Sans Condensed"/>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Open Sans Condensed"/>
      </rPr>
      <t>Población en riesgo:</t>
    </r>
    <r>
      <rPr>
        <sz val="11"/>
        <color theme="1"/>
        <rFont val="Open Sans Condensed"/>
      </rPr>
      <t xml:space="preserve"> número de personas que viven en zonas donde se produce la transmisión de la malaria.</t>
    </r>
  </si>
  <si>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</si>
  <si>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</si>
  <si>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</si>
  <si>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</si>
  <si>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Isaac Vargas Roldan</t>
  </si>
  <si>
    <t>Dirección Vigilancia de la Salud</t>
  </si>
  <si>
    <t>(506) 4003-5565</t>
  </si>
  <si>
    <t>daniel.salas@misalud.go.cr /adriana.alfaro@misalud.go.cr</t>
  </si>
  <si>
    <t>Costa Rica: Tasa de incidencia de hepatitis B por cada 100 000 habitantes</t>
  </si>
  <si>
    <t>hepatitis B por cada 100 000 habitantes</t>
  </si>
  <si>
    <t>Costa Rica: Tasas de incidencia de nuevos diagnósticos de hepatitis B por cada 100 000 habitantes, 2010-2024</t>
  </si>
  <si>
    <t>Fuente: Ministerio de Salud, 2010-2024</t>
  </si>
  <si>
    <t>2024*</t>
  </si>
  <si>
    <t>*Datos Preliminares a la semana 29</t>
  </si>
  <si>
    <t>Fuente: Ministerio de Salud, 2009-2024</t>
  </si>
  <si>
    <t>https://unstats.un.org/sdgs/metadata/files/Metadata-03-03-04.pdf</t>
  </si>
  <si>
    <t>Reducción del 90% de la incidencia de casos de hepatitis B.
Reducción del 65% de las muertes por hepatitis B</t>
  </si>
  <si>
    <t>Tasa de incidencia de hepatitis B por cada 100 000 habitantes</t>
  </si>
  <si>
    <r>
      <rPr>
        <b/>
        <sz val="11"/>
        <color theme="1"/>
        <rFont val="Open Sans Condensed"/>
      </rPr>
      <t xml:space="preserve">Incidencia de hepatitis B: </t>
    </r>
    <r>
      <rPr>
        <sz val="11"/>
        <color theme="1"/>
        <rFont val="Open Sans Condensed"/>
      </rPr>
      <t xml:space="preserve">número de casos notificados (nuevos) de hepatitis B entre la población en riesgo </t>
    </r>
    <r>
      <rPr>
        <b/>
        <sz val="11"/>
        <color theme="1"/>
        <rFont val="Open Sans Condensed"/>
      </rPr>
      <t xml:space="preserve">
Hepatits B: </t>
    </r>
    <r>
      <rPr>
        <sz val="11"/>
        <color theme="1"/>
        <rFont val="Open Sans Condensed"/>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</si>
  <si>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t>● Número de casos nuevos 
● Número de personas en exposición.</t>
  </si>
  <si>
    <t>No disponible</t>
  </si>
  <si>
    <t>Boleta de Notificación obligatoria. (Notificación en 24 horas)</t>
  </si>
  <si>
    <t>UN establece que la información se obtiene de encuestas, no se trata de un indicador A, sino que es un indicador B.
Estrategia Mundial de Sector de a Salud contra las Hepatitis Víricas, 2021-2030.</t>
  </si>
  <si>
    <t>Roberto Castro Córdoba</t>
  </si>
  <si>
    <t>Director a.i., Dirección Vigilancia de la Salud</t>
  </si>
  <si>
    <t>(506) 4003-5567</t>
  </si>
  <si>
    <t xml:space="preserve">roberto.castro@misalud.go.cr </t>
  </si>
  <si>
    <t>Número de intervenciones contra enfermedades tropicales, según enfermedad</t>
  </si>
  <si>
    <t>Costa Rica: Número de intervenciones contra enfermedades tropicales, según enfermedad</t>
  </si>
  <si>
    <t>Dengue</t>
  </si>
  <si>
    <t>Chikungunya</t>
  </si>
  <si>
    <t>Tasa/100 000</t>
  </si>
  <si>
    <t>Fuente: Ministerio de Salud, 2023</t>
  </si>
  <si>
    <t>https://unstats.un.org/sdgs/metadata/files/Metadata-03-03-05.pdf</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</si>
  <si>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</si>
  <si>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Costa Rica: Tasa de mortalidad entre la edad exacta 30 y antes de cumplir los 70 años de edad por enfermedades crónica no transmisibles 
Costa Rica: Tasa de mortalidad entre la edad exacta 30 y antes de cumplir los 70 años de edad por enfermedades crónica no transmisibles, por cantón</t>
  </si>
  <si>
    <t>Costa Rica: Tasa de mortalidad entre la edad exacta 30 y antes de cumplir los 70 años de edad por enfermedades crónica no transmisibles</t>
  </si>
  <si>
    <t>40 - 44</t>
  </si>
  <si>
    <t>45 - 49</t>
  </si>
  <si>
    <t>50 - 54</t>
  </si>
  <si>
    <t>55 - 59</t>
  </si>
  <si>
    <t>60 - 64</t>
  </si>
  <si>
    <t>65 - 69</t>
  </si>
  <si>
    <t>Costa Rica: Tasa de mortalidad entre 30 y 70 años atribuida a las enfermedades cardiovasculares,</t>
  </si>
  <si>
    <t>Costa Rica: Tasa de mortalidad entre la edad exacta 30 y antes de cumplir los 70 años de edad por enfermedades crónica no transmisibles, por cantón</t>
  </si>
  <si>
    <t>https://unstats.un.org/sdgs/metadata/files/Metadata-03-04-01.pdf</t>
  </si>
  <si>
    <t>Tasa de mortalidad entre  30  y  70 años atribuida a las enfermedades cardiovasculares, el cáncer, la diabetes o las enfermedades respiratorias crónicas (ECNT), por 1 000 habitantes</t>
  </si>
  <si>
    <r>
      <rPr>
        <b/>
        <sz val="11"/>
        <color indexed="8"/>
        <rFont val="Open Sans Condensed"/>
      </rPr>
      <t xml:space="preserve">Enfermedades crónicas no transmisible (ECNT): </t>
    </r>
    <r>
      <rPr>
        <sz val="11"/>
        <color theme="1"/>
        <rFont val="Open Sans Condensed"/>
      </rPr>
      <t>dentro de las ECNT que mas muertes producen están las enfermedades cardiovasculares, cáncer, diabetes y las enfermedades pulmunares crónicas.</t>
    </r>
    <r>
      <rPr>
        <b/>
        <sz val="11"/>
        <color indexed="8"/>
        <rFont val="Open Sans Condensed"/>
      </rPr>
      <t xml:space="preserve">
Enfermedades cardiovasculares:</t>
    </r>
    <r>
      <rPr>
        <sz val="11"/>
        <color theme="1"/>
        <rFont val="Open Sans Condensed"/>
      </rPr>
      <t xml:space="preserve"> las enfermedades cardiovasculares se ubican dentro del sistema circulatorio y corresponden a los códigos de la CIE X I 00- I 52.
</t>
    </r>
    <r>
      <rPr>
        <b/>
        <sz val="11"/>
        <color indexed="8"/>
        <rFont val="Open Sans Condensed"/>
      </rPr>
      <t>Cáncer</t>
    </r>
    <r>
      <rPr>
        <sz val="11"/>
        <color theme="1"/>
        <rFont val="Open Sans Condensed"/>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Open Sans Condensed"/>
      </rPr>
      <t xml:space="preserve">Diabetes: </t>
    </r>
    <r>
      <rPr>
        <sz val="11"/>
        <color theme="1"/>
        <rFont val="Open Sans Condensed"/>
      </rPr>
      <t xml:space="preserve">es una enfermedad crónica que aparece cuando el páncreas no produce insulina suficiente o cuando el organismo no utiliza eficazmente la insulina que produce. La insulina es una hormona que regula el azúcar en la sangre. Existen 3 tipos de diabetes; </t>
    </r>
    <r>
      <rPr>
        <b/>
        <sz val="11"/>
        <color theme="1"/>
        <rFont val="Open Sans Condensed"/>
      </rPr>
      <t>diabetes de tipo 1:</t>
    </r>
    <r>
      <rPr>
        <sz val="11"/>
        <color theme="1"/>
        <rFont val="Open Sans Condensed"/>
      </rPr>
      <t xml:space="preserve"> también llamada insulinodependiente, juvenil o de inicio en la infancia, se caracteriza por una producción deficiente de insulina y requiere la administración diaria de esta hormona. Se desconoce aún la causa de la diabetes de tipo 1 y no se puede prevenir con el conocimiento actual; </t>
    </r>
    <r>
      <rPr>
        <b/>
        <sz val="11"/>
        <color theme="1"/>
        <rFont val="Open Sans Condensed"/>
      </rPr>
      <t>d</t>
    </r>
    <r>
      <rPr>
        <b/>
        <sz val="11"/>
        <color indexed="8"/>
        <rFont val="Open Sans Condensed"/>
      </rPr>
      <t>iabetes de tipo 2:</t>
    </r>
    <r>
      <rPr>
        <sz val="11"/>
        <color theme="1"/>
        <rFont val="Open Sans Condensed"/>
      </rPr>
      <t xml:space="preserve"> también llamada no insulinodependiente o de inicio en la edad adulta, se debe a una utilización ineficaz de la insulina . Este tipo representa la mayoría de los casos mundiales  y se debe en gran medida a un peso corporal excesivo y a la inactividad física y </t>
    </r>
    <r>
      <rPr>
        <b/>
        <sz val="11"/>
        <color theme="1"/>
        <rFont val="Open Sans Condensed"/>
      </rPr>
      <t>d</t>
    </r>
    <r>
      <rPr>
        <b/>
        <sz val="11"/>
        <color indexed="8"/>
        <rFont val="Open Sans Condensed"/>
      </rPr>
      <t xml:space="preserve">iabetes gestacional: </t>
    </r>
    <r>
      <rPr>
        <sz val="11"/>
        <color theme="1"/>
        <rFont val="Open Sans Condensed"/>
      </rPr>
      <t xml:space="preserve">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Open Sans Condensed"/>
      </rPr>
      <t>Enfermedades respiratorias crónicas,</t>
    </r>
    <r>
      <rPr>
        <sz val="11"/>
        <color theme="1"/>
        <rFont val="Open Sans Condensed"/>
      </rPr>
      <t xml:space="preserve">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</si>
  <si>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r>
      <t xml:space="preserve">Donde </t>
    </r>
    <r>
      <rPr>
        <b/>
        <sz val="11"/>
        <color indexed="8"/>
        <rFont val="Open Sans Condensed"/>
      </rPr>
      <t>i</t>
    </r>
    <r>
      <rPr>
        <sz val="11"/>
        <color indexed="8"/>
        <rFont val="Open Sans Condensed"/>
      </rPr>
      <t>: Causa de muerte
i.1. Enfermedades cardiovasculares
i.2. Cáncer
i.3. Diabetes
i.4. Enfermedades respiratorias crónicas.</t>
    </r>
  </si>
  <si>
    <t>Tasa por 1 000 habitantes de 30 a menos de 70 años</t>
  </si>
  <si>
    <t>Por cada mil habitantes de 3 a menos de 70 años, los que fallecen por causas atribuidas a las enfermedades cardiovasculares, el cáncer, la diabetes o las enfermedades respiratorias crónicas.</t>
  </si>
  <si>
    <t>● Número de muertes entre las edades de 30 y 69 años a partir de las cuatro causas. 
● Población entre 30 y 69 años.</t>
  </si>
  <si>
    <t>Pendiente de entrega las desagregaciones.</t>
  </si>
  <si>
    <t>El metadato indica que el denominador es la población exacta a la edad de 30 años, pero nos parece que debe ser de 30 a 69 años.
De acuerdo a las Naciones Unidas, este indicador se requiere con las siguientes desagregaciones: lugar de residencia / sexo.</t>
  </si>
  <si>
    <t>Costa Rica: Tasa de mortalidad por suicidio por cada 100 000 habitantes 
Costa Rica: Tasa de mortalidad por suicidio por 100 000 habitantes, por cantón</t>
  </si>
  <si>
    <t>Costa Rica: Tasa de mortalidad por suicidio por 100 000 habitantes</t>
  </si>
  <si>
    <r>
      <t>Menos de 15 años</t>
    </r>
    <r>
      <rPr>
        <b/>
        <vertAlign val="superscript"/>
        <sz val="11"/>
        <rFont val="Open Sans Condensed"/>
      </rPr>
      <t>1/</t>
    </r>
  </si>
  <si>
    <t>70 - 74</t>
  </si>
  <si>
    <t>75 años y más</t>
  </si>
  <si>
    <t>Punteranas</t>
  </si>
  <si>
    <t>1/ El denominador de la tasa es la población de 10 a 14 años y en el numerador se incluyen los suicidios de menores de 10 años.</t>
  </si>
  <si>
    <t>Costa Rica: Tasa de mortalidad por suicidio por 100 000 habitantes, por cantón</t>
  </si>
  <si>
    <t>https://unstats.un.org/sdgs/metadata/files/Metadata-03-04-02.pdf</t>
  </si>
  <si>
    <t xml:space="preserve">Mejorar detección temprana y finalmente reducir el numero de muertes </t>
  </si>
  <si>
    <t>Tasa de mortalidad por suicidio por 100 000 habitantes</t>
  </si>
  <si>
    <r>
      <rPr>
        <b/>
        <sz val="11"/>
        <color indexed="8"/>
        <rFont val="Open Sans Condensed"/>
      </rPr>
      <t xml:space="preserve">Suicidio: </t>
    </r>
    <r>
      <rPr>
        <sz val="11"/>
        <color theme="1"/>
        <rFont val="Open Sans Condensed"/>
      </rPr>
      <t xml:space="preserve">acto por el que una persona de forma deliberada se provoca la muerte
</t>
    </r>
    <r>
      <rPr>
        <b/>
        <sz val="11"/>
        <color indexed="8"/>
        <rFont val="Open Sans Condensed"/>
      </rPr>
      <t xml:space="preserve">Defunción: </t>
    </r>
    <r>
      <rPr>
        <sz val="11"/>
        <color theme="1"/>
        <rFont val="Open Sans Condensed"/>
      </rPr>
      <t>es la desaparición permanente de todo tipo de signo de vida, cualquiera que sea el tiempo transcurrido desde el nacimiento. Por tanto, esta definición excluye defunciones fetales.</t>
    </r>
  </si>
  <si>
    <t>● Número de muertes por suicidio. 
● Total de población.</t>
  </si>
  <si>
    <t>De acuerdo a las Naciones Unidas, este indicador se requiere con las siguientes desagregaciones: lugar de residencia / edad / sexo</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</si>
  <si>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</si>
  <si>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 xml:space="preserve">Costa Rica: Porcentaje de cobertura de intervenciones  con tratamiento (farmacológico, psicosocial y servicios de </t>
  </si>
  <si>
    <t xml:space="preserve">rehabilitación y pos tratamiento) por trastornos de uso indebido de PSA del total de necesitados de atención medica </t>
  </si>
  <si>
    <t xml:space="preserve">especializada; por sexo y grupos de edad  </t>
  </si>
  <si>
    <t>Grupos de edad</t>
  </si>
  <si>
    <t xml:space="preserve">12 a 19 </t>
  </si>
  <si>
    <t xml:space="preserve">20 a 29 </t>
  </si>
  <si>
    <t xml:space="preserve">30 a 39 </t>
  </si>
  <si>
    <t xml:space="preserve">40 a 49 </t>
  </si>
  <si>
    <t xml:space="preserve">50 a 59 </t>
  </si>
  <si>
    <t xml:space="preserve">60 a 70 </t>
  </si>
  <si>
    <t>Fuente: Instituto sobre Alcoholismo y Farmacodependencia, 2011-2023</t>
  </si>
  <si>
    <t xml:space="preserve">Costa Rica: Porcentaje de cobertura de intervenciones con tratamiento por trastornos </t>
  </si>
  <si>
    <t>de uso indebido de drogas del total de necesitados de atención médica especializada; por sexo, 2011-2023</t>
  </si>
  <si>
    <t>Nota: El tratamiento incluye al farmacológico, psicosocial y servicios de rehabilitación y pos tratamiento.</t>
  </si>
  <si>
    <t xml:space="preserve"> Fortalecer el Sistema Nacional de Tratamiento para ampliar el porcentaje de las personas atendidas por consumo problemático de sustancias psicoactivas en un 6%, al 2030    (revisar CCSS, IAFA y ONG´s) </t>
  </si>
  <si>
    <t>Cobertura en la atención de personas con trastornos mentales o del comportamiento asociados al consumo problemático de sustancias psicoactivas</t>
  </si>
  <si>
    <t>Razón (porcentual)</t>
  </si>
  <si>
    <r>
      <rPr>
        <sz val="11"/>
        <color theme="1"/>
        <rFont val="Open Sans Condensed"/>
      </rPr>
      <t xml:space="preserve">El indicador mide el porcentaje de personas con algún trastorno asociado al uso de SPA que sí recibió atención clínica para atender el trastorno. El indicador no se limitará a considerar a las personas con dependencia (como se deriva de la definición de OMS), sino, en general, a las que tengan algún trastorno asociado al consumo de SPA (como implica la definición de los ODS). 
</t>
    </r>
    <r>
      <rPr>
        <b/>
        <sz val="11"/>
        <color theme="1"/>
        <rFont val="Open Sans Condensed"/>
      </rPr>
      <t>Cobertura de tratamiento</t>
    </r>
    <r>
      <rPr>
        <sz val="11"/>
        <color theme="1"/>
        <rFont val="Open Sans Condensed"/>
      </rPr>
      <t xml:space="preserve">: Proporción de personas con dependencia del alcohol o de otras SPA (incluyendo quienes no están buscando tratamiento) que están en contacto con servicios de tratamiento, por ejemplo, quienes están recibiendo tratamiento o quienes están en remisión o recaída pero siguen en contacto con servicios de tratamiento. (World Health Organization)
</t>
    </r>
    <r>
      <rPr>
        <b/>
        <sz val="11"/>
        <color theme="1"/>
        <rFont val="Open Sans Condensed"/>
      </rPr>
      <t>SPA</t>
    </r>
    <r>
      <rPr>
        <sz val="11"/>
        <color theme="1"/>
        <rFont val="Open Sans Condensed"/>
      </rPr>
      <t xml:space="preserve">: 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
</t>
    </r>
    <r>
      <rPr>
        <b/>
        <sz val="11"/>
        <color theme="1"/>
        <rFont val="Open Sans Condensed"/>
      </rPr>
      <t>Trastorno asociado al uso de SPA</t>
    </r>
    <r>
      <rPr>
        <sz val="11"/>
        <color theme="1"/>
        <rFont val="Open Sans Condensed"/>
      </rPr>
      <t xml:space="preserve">: Trastorno mental que afecta el cerebro y el comportamiento de una persona, que lleva a la incapacidad de controlar el uso de tales SPA. (National Institute of Mental Health)
Atención clínica: Cualquier acción terapéutica generada como parte del proceso o plan de tratamiento (citas de valoración inicial o de seguimiento) . 
</t>
    </r>
    <r>
      <rPr>
        <b/>
        <sz val="11"/>
        <color theme="1"/>
        <rFont val="Open Sans Condensed"/>
      </rPr>
      <t>Persona necesitada de atención especializada por trastornos asociados al uso de SPA</t>
    </r>
    <r>
      <rPr>
        <sz val="11"/>
        <color theme="1"/>
        <rFont val="Open Sans Condensed"/>
      </rPr>
      <t xml:space="preserve">: persona que, en el transcurso de los 12 meses anteriores, al menos manifestó síntomas de los diagnósticos de 1) dependencia de alguna SPA, ó 2) consumo nocivo de alguna SPA. O bien, que recibió atención clínica especializada asociada al consumo problemático de SPA,  en ese mismo período.
</t>
    </r>
    <r>
      <rPr>
        <b/>
        <sz val="11"/>
        <color theme="1"/>
        <rFont val="Open Sans Condensed"/>
      </rPr>
      <t>Sistema Nacional de Tratamiento (SNT)</t>
    </r>
    <r>
      <rPr>
        <sz val="11"/>
        <color theme="1"/>
        <rFont val="Open Sans Condensed"/>
      </rPr>
      <t>: sistema de atención [de internamiento o ambulatorio] a pacientes, que solicitan atención por consumo problemático de sustancias psicotrópicas.</t>
    </r>
  </si>
  <si>
    <t>(Cantidad de personas atendidas por trastornos asociados al uso de SPA / Cantidad de personas necesitadas de atención especializada por consumo problemático de SPA) * 100</t>
  </si>
  <si>
    <t>Un mayor valor del indicador sugiere que, de las personas que aquejan trastornos de comportamiento por el consumo de drogas, hay una fracción mayor que recibe atención especializada para enfrentar su problema de salud.</t>
  </si>
  <si>
    <t>● Cantidad de personas que han recibido atención por trastornos asociados al uso de SPA en el transcurso del último año civil.
● Estimación o proyección de la cantidad de personas que califican como necesitadas de atención especializada por trastornos asociados al uso de SPA.</t>
  </si>
  <si>
    <t>Provincial</t>
  </si>
  <si>
    <t>Sexo y grupos de edad</t>
  </si>
  <si>
    <t>Proceso de Investigación, Área Técnica, IAFA;
Proceso de Atención a Pacientes, Área Técnica, IAFA;
Proceso de Oficinas Regionales, Área Técnica, IAFA;
Casa JAGUAR, Área Técnica, IAFA;
Instituto Nacional de Estadística y Censos</t>
  </si>
  <si>
    <t>Encuesta en hogares, Registro administrativo, Censo de población</t>
  </si>
  <si>
    <t>Encuesta en hogares sobre consumo de sustancias psicoactivas (IAFA), Registro de atenciones por consumo problemático de SPA (IAFA), Estimaciones y proyecciones de población (INEC)</t>
  </si>
  <si>
    <t>1) Si bien la definición del indicador remite a los trastornos de tipo mental o del comportamiento (en consonancia con los diagnósticos F1X.1 a F1X.9 del CIE-10), para fines prácticos se miden directamente los rasgos de los trastornos F1X.1 (Consumo nocivo) y F1X.2 (síndrome de dependencia), y otros de manera indirecta y aproximada (personas atendidas).  
2) Al determinar la prevalencia de trastornos mentales asociados al uso de SPA, se usó en un contexto de encuesta en hogares (a manera de tamizaje) los criterios de un instrumento que se utiliza en un encuadre clínico o terapéutico. 
3) Por la periodicidad quinquenal de la encuesta en hogares, se usan estimaciones del porcentaje de personas con necesidades de atención especializada del año en que se efectuó la encuesta, en los siguientes 4 años.
4)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Determinar el diagnóstico preciso, o los diagnósticos exhaustivos, es a menudo inviable. Estrictamente, se puede aducir que el indicador debería ser considerado como razón (y no proporción). Se asume la discrepancia como desprecible.
5) La fuente del numerador es el principal proveedor de servicios públicos para estos fines del país, concretamente, el Instituto sobre Alcoholismo y Fármacodependencia.
6) La estimación del porcentaje del total de necesitados de atención especializada se realiza por medio de una encuesta en hogares, cuya población estadística efectiva son personas de 12 a 70 años residentes en hogares. El cálculo del indicador aplica a estos rangos etarios.
7) Los totales de población utilizados para estimar o proyectar el denominador del indicador, son el resultado de proyecciones de población para el año correspondiente.
8) Las definiciones del DSM-IV y del CIE-10 que han servido de base, han ido quedando obsoletas en la medida que se cuenta con las actualizaciones DSM-V y CIE-11.</t>
  </si>
  <si>
    <t>La base de cálculo para la cobertura está orientado hacia el total de personas en situación de necesidad de atención por su uso de SPA. Se están haciendo pruebas para considerar a las personas que tengan interés en modificar su pauta de consumo. Algunos autores señalan la conveniencia que la base o denominador del indicador sea el total de quienes estén consumiendo, estén insatisfechos con su pauta de consumo, deseen modificarla, tengan interés en recibir ayuda para lograrlo e intenten acceder a una atención de nivel científico mínimo (Degenhard). El desenlace de lo experimentado puede sugerir la conveniencia de modificar el indicador en consecuencia. Especialmente por el desplazamiento hacia enfoques como el que está "centrado en la persona" y por las actualizaciones de los criterios diagnósticos con los que se realiza el "tamizaje" en contexto de encuesta.</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</si>
  <si>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
WHO, Reported treatment coverage for alcohol and drug dependence, in https://www.who.int/data/gho/indicator-metadata-registry/imr-details/2527
Collins Dictionary, in https://www.collinsdictionary.com/dictionary/english/in-contact-with-someone
National Institute of Mental Health, Substance Use and Co-occurring Mental Disorders; in https://www.nimh.nih.gov/health/topics/substance-use-and-mental-health</t>
  </si>
  <si>
    <t>Gerardo Sánchez Chaverri</t>
  </si>
  <si>
    <t>Estadístico</t>
  </si>
  <si>
    <t>Instituto sobre Alcoholismo y Fármacodependencia</t>
  </si>
  <si>
    <t>2222-6122 Ext: 217</t>
  </si>
  <si>
    <t>gsanchez@iafa.go.cr</t>
  </si>
  <si>
    <t xml:space="preserve">3.5.2 Consumo de alcohol per cápita (a partir de los 15 años de edad) durante un año civil en litros de alcohol puro </t>
  </si>
  <si>
    <t>a. Costa Rica: Porcentaje de personas que tomaron en al menos una ocasión, 5 o más tragos, en el transcurso de los 12 meses anteriores; por sexo y grupos de edad</t>
  </si>
  <si>
    <t xml:space="preserve">3,5,2,a. Costa Rica: Porcentaje de personas de 12 a 70 años residentes en hogares, que mostraron consumo excesivo </t>
  </si>
  <si>
    <t>Ver: Consumo per cápita de alcohol de la población de más de 15 años, por rango de contenido volumétrico de alcohol.</t>
  </si>
  <si>
    <t>de bebidas alcohólicas en el transcurso de los últimos 12 meses; por sexo y grupos de edad</t>
  </si>
  <si>
    <t xml:space="preserve">15 a 19 </t>
  </si>
  <si>
    <t>Fuente: Instituto sobre Alcoholismo y Farmacodependencia, Encuestas en hogares sobre consumo de drogas, 2010 - 2023.</t>
  </si>
  <si>
    <t xml:space="preserve">Costa Rica: Porcentaje de personas de 12 a 70 años, residentes en hogares, que mostraron </t>
  </si>
  <si>
    <t>consumo excesivo de bebidas alcohólicas en el transcurso de los 12 meses anteriores por sexo, 2011-2023</t>
  </si>
  <si>
    <t>Fuente: Instituto sobre Alcoholismo y Farmacodependencia, Encuestas en hogares sobre consumo de drogas, 2010 - 2023</t>
  </si>
  <si>
    <t>3.5.2</t>
  </si>
  <si>
    <t>3.5.2 Consumo de alcohol per cápita (a partir de los 15 años de edad) durante un año civil en litros de alcohol puro</t>
  </si>
  <si>
    <t>https://unstats.un.org/sdgs/metadata/files/Metadata-03-05-02.pdf</t>
  </si>
  <si>
    <t>a. Porcentaje de personas que mostraron consumo excesivo de bebidas alcohólicas en los últimos 12 meses</t>
  </si>
  <si>
    <t>Porcentaje (o proporción)</t>
  </si>
  <si>
    <r>
      <rPr>
        <b/>
        <sz val="11"/>
        <color theme="1"/>
        <rFont val="Open Sans Condensed"/>
      </rPr>
      <t>Consumo excesivo de bebidas alcohólicas:</t>
    </r>
    <r>
      <rPr>
        <sz val="11"/>
        <color theme="1"/>
        <rFont val="Open Sans Condensed"/>
      </rPr>
      <t xml:space="preserve"> conocido en inglés como "binge drinking", se define por el Center for Disease Control and Prevention (CDC), como el consumo de 5 ó más bebidas alcohólicas en una sola ocasión (para los hombres, de 4 ó más para las mujeres y hombres mayores de 64 años).
</t>
    </r>
    <r>
      <rPr>
        <b/>
        <sz val="11"/>
        <color theme="1"/>
        <rFont val="Open Sans Condensed"/>
      </rPr>
      <t>Bebida alcohólica:</t>
    </r>
    <r>
      <rPr>
        <sz val="11"/>
        <color theme="1"/>
        <rFont val="Open Sans Condensed"/>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</si>
  <si>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Punto porcentual</t>
  </si>
  <si>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</si>
  <si>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 Cantidad de personas de 12 a 70 años, residentes en hogares, que, en los últimos 12 meses, tuvieron alguna ocasión de consumo de 5 o más bebidas alcohólicas.
● Cantidad de personas de 12 a 70 años, residentes en hogares.</t>
  </si>
  <si>
    <t>Sexo y grupos etarios</t>
  </si>
  <si>
    <t>Proceso de Investigación, Área Técnica, IAFA</t>
  </si>
  <si>
    <t>Encuesta en hogares sobre consumo de drogas</t>
  </si>
  <si>
    <t>Encuesta en hogares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</si>
  <si>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personas mayores de 64 años y personas menores de 18 años. Sin embargo, para el año 2022 se hizo el ajuste para mujeres adultas y hombres mayores de 64 años a 4 ó más bebidas alcohólicas.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Una vez realizada la encuesta en 2022, se ajustaron los datos para actualizar las correspondientes interpolaciones y extrapolaciones.
5. En la práctica la medida de lo que constituye una bebida alcohólica, en términos de la cantidad de etanol, tiene una variación importante.
6. Las interpolaciones y extrapolaciones se asumieron lineales.</t>
  </si>
  <si>
    <t>Al realizarse la encuesta del año 2022 hubo una actualización de los valores para los años intermedios y para el 2023.</t>
  </si>
  <si>
    <t>https://www.cdc.gov/alcohol/data-stats.htm</t>
  </si>
  <si>
    <t>(506) 2224-6122</t>
  </si>
  <si>
    <t>3.5 Fortalecer la prevención y el tratamiento del abuso de sustancias adictivas, incluido el uso indebido de estupefacientes y el consumo nocivo de alcohol.</t>
  </si>
  <si>
    <t xml:space="preserve">3.5.2 Consumo nocivo de alcohol, definido según el contexto nacional como el consumo per cápita de alcohol (15 años y más) en un año civil en litros de alcohol puro </t>
  </si>
  <si>
    <t>b. Costa Rica: Consumo per cápita de alcohol de la población de más de 15 años, por rango de contenido volumétrico de alcohol</t>
  </si>
  <si>
    <t xml:space="preserve">b. Costa Rica: Consumo per cápita de alcohol de la población de más de </t>
  </si>
  <si>
    <t>15 años, por rango de contenido volumétrico de alcohol</t>
  </si>
  <si>
    <t>Rango de contenido volumétrico de alcohol</t>
  </si>
  <si>
    <t>Hasta 15% de volumen de alcohol</t>
  </si>
  <si>
    <t>De 15% y  hasta 30% de volumen de alcohol</t>
  </si>
  <si>
    <t xml:space="preserve">Más de 30% de volumen de alcohol </t>
  </si>
  <si>
    <t>Total en L</t>
  </si>
  <si>
    <t>Fuente: Instituto Alcoholismo y Farmacodependencia, 2011-2023.</t>
  </si>
  <si>
    <t>Costa Rica: Consumo per cápita en litros de alcohol de la población de más de 15 años, 2010-2023.</t>
  </si>
  <si>
    <t xml:space="preserve"> 2011-2021</t>
  </si>
  <si>
    <t xml:space="preserve">3.5.2 </t>
  </si>
  <si>
    <t>Consumo nocivo de alcohol, definido según el contexto nacional como el consumo per cápita de alcohol (15 años y mayores) en un año civil en litros de alcohol puro.</t>
  </si>
  <si>
    <t>b. Consumo per cápita de alcohol entre la población de 15 años o más.</t>
  </si>
  <si>
    <t>Promedio</t>
  </si>
  <si>
    <r>
      <rPr>
        <b/>
        <sz val="11"/>
        <color theme="1"/>
        <rFont val="Open Sans Condensed"/>
      </rPr>
      <t>Consumo per cápita de alcohol:</t>
    </r>
    <r>
      <rPr>
        <sz val="11"/>
        <color theme="1"/>
        <rFont val="Open Sans Condensed"/>
      </rPr>
      <t xml:space="preserve"> Cociente de la oferta anual tasada impositivamente de etanol en bebidas alcohólicas aptas para el consumo humano y el cálculo (proyección) del tamaño de la población mayor de 14 años para el mismo año. 
</t>
    </r>
    <r>
      <rPr>
        <b/>
        <sz val="11"/>
        <color theme="1"/>
        <rFont val="Open Sans Condensed"/>
      </rPr>
      <t xml:space="preserve">Contenido volumétrico de alcohol: </t>
    </r>
    <r>
      <rPr>
        <sz val="11"/>
        <color theme="1"/>
        <rFont val="Open Sans Condensed"/>
      </rPr>
      <t xml:space="preserve">porcentaje de etanol en una bebida alcohólica medido como la fracción en volumen del total de la bebida, a una temperatura de 20 grados Celsius.
</t>
    </r>
    <r>
      <rPr>
        <b/>
        <sz val="11"/>
        <color theme="1"/>
        <rFont val="Open Sans Condensed"/>
      </rPr>
      <t>Oferta anual tasada impositivamente:</t>
    </r>
    <r>
      <rPr>
        <sz val="11"/>
        <color theme="1"/>
        <rFont val="Open Sans Condensed"/>
      </rPr>
      <t xml:space="preserve"> Producción anual para consumo doméstico tasada impositivamente + Importación anual tasada impositivamente.
</t>
    </r>
    <r>
      <rPr>
        <b/>
        <sz val="11"/>
        <color theme="1"/>
        <rFont val="Open Sans Condensed"/>
      </rPr>
      <t>Producción anual para consumo doméstico tasada impositivamente</t>
    </r>
    <r>
      <rPr>
        <sz val="11"/>
        <color theme="1"/>
        <rFont val="Open Sans Condensed"/>
      </rPr>
      <t xml:space="preserve">: Volumen producido en el país de etanol en bebidas alcohólicas de forma legal en un año calendario, por lo que es objeto de tasación impositiva.
</t>
    </r>
    <r>
      <rPr>
        <b/>
        <sz val="11"/>
        <color theme="1"/>
        <rFont val="Open Sans Condensed"/>
      </rPr>
      <t>Importación anual tasada impositivamente</t>
    </r>
    <r>
      <rPr>
        <sz val="11"/>
        <color theme="1"/>
        <rFont val="Open Sans Condensed"/>
      </rPr>
      <t xml:space="preserve">: Volumen importado de etanol en bebidas alcohólicas de forma legal en un año calendario, por lo que es objeto de tasación impositiva.
</t>
    </r>
    <r>
      <rPr>
        <b/>
        <sz val="11"/>
        <color theme="1"/>
        <rFont val="Open Sans Condensed"/>
      </rPr>
      <t>Tasación impositiva</t>
    </r>
    <r>
      <rPr>
        <sz val="11"/>
        <color theme="1"/>
        <rFont val="Open Sans Condensed"/>
      </rPr>
      <t xml:space="preserve">: Acto de aplicar las tasas de impuestos que corresponden a un producto y de cobrar el monto del impuesto.
</t>
    </r>
    <r>
      <rPr>
        <b/>
        <sz val="11"/>
        <color theme="1"/>
        <rFont val="Open Sans Condensed"/>
      </rPr>
      <t>Etanol</t>
    </r>
    <r>
      <rPr>
        <sz val="11"/>
        <color theme="1"/>
        <rFont val="Open Sans Condensed"/>
      </rPr>
      <t>: alcohol puro apto para consumo humano, fórmula: C2H5OH.</t>
    </r>
  </si>
  <si>
    <t>(Oferta anual tasada impositivamente de bebidas alcohólicas) / (Proyección de población de 15 años ó más para año correspondiente)</t>
  </si>
  <si>
    <t>Litros por persona</t>
  </si>
  <si>
    <t>Este indicador, como todos los promedios, pretende hacer una idea de la cantidad individual consumida de etanol (alcohol puro) en un año, si la cantidad consumida anualmente se distribuyera de manera uniforme entre todos los habitantes mayores de 14 años.</t>
  </si>
  <si>
    <t>● Oferta anual tasada impositivamente de bebidas alcohólicas. (Dirección de Aduanas del Ministerio de Hacienda, Ministerio de Hacienda)
● Población nacional de 15 años o más (INEC)</t>
  </si>
  <si>
    <t>Tramo de % volumétrico de alcohol puro</t>
  </si>
  <si>
    <t xml:space="preserve">Departamento de Estadísticas Fiscales, Dirección General de Hacienda, Ministerio de Hacienda; 
Proceso de Investigación, Área Técnica, IAFA;
Instituto Nacional de Estadística y Censos (INEC);
</t>
  </si>
  <si>
    <t>Registros, censos y proyecciones</t>
  </si>
  <si>
    <t>INEC,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</si>
  <si>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
6. Por Ley de Licores, se prohíbe el consumo de bebidas alcohólicas de personas menores de edad.</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</si>
  <si>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 Los datos de producción de bebidas alcohólicas del país excluyen la producción exportada.</t>
  </si>
  <si>
    <t>Ley de Regulación y Comercialización de bebidas con contenido alcohólico , Artículo 13, en http://www.pgrweb.go.cr/scij/Busqueda/Normativa/Normas/nrm_texto_completo.aspx?param1=NRTC&amp;nValor1=1&amp;nValor2=73058&amp;nValor3=95858&amp;strTipM=TC</t>
  </si>
  <si>
    <t xml:space="preserve">gsanchez@iafa.go.cr </t>
  </si>
  <si>
    <t>Costa Rica: Tasa de mortalidad por accidentes de tránsito por cada 100 000 habitantes 
Costa Rica: Tasa de mortalidad por lesiones debidas a accidentes de tránsito por 100 000 habitantes, por cantón</t>
  </si>
  <si>
    <t>Costa Rica: Tasa de mortalidad por lesiones debidas a accidentes de tránsito por 100 000 habitantes</t>
  </si>
  <si>
    <t>Tipo de medio de transporte</t>
  </si>
  <si>
    <t>0 - 4</t>
  </si>
  <si>
    <t xml:space="preserve"> 5 - 9</t>
  </si>
  <si>
    <t xml:space="preserve"> 10 - 14</t>
  </si>
  <si>
    <t>Peatones</t>
  </si>
  <si>
    <t>Bicicleta</t>
  </si>
  <si>
    <t>Motocicleta</t>
  </si>
  <si>
    <t>Automóvil</t>
  </si>
  <si>
    <t>Vehículo de motor no especificado</t>
  </si>
  <si>
    <t>Otros accidentes de transporte terrestre</t>
  </si>
  <si>
    <t>Costa Rica: Tasa de mortalidad por lesiones debidas a accidentes de tránsito por 100 000 habitantes, por cantón</t>
  </si>
  <si>
    <t>https://unstats.un.org/sdgs/metadata/files/Metadata-03-06-01.pdf</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</si>
  <si>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</si>
  <si>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Tasa de mortalidad por accidentes de tránsito por 100 000 habitantes</t>
  </si>
  <si>
    <r>
      <rPr>
        <b/>
        <sz val="11"/>
        <color indexed="8"/>
        <rFont val="Open Sans Condensed"/>
      </rPr>
      <t xml:space="preserve">Accidente de tránsito
</t>
    </r>
    <r>
      <rPr>
        <sz val="11"/>
        <color theme="1"/>
        <rFont val="Open Sans Condensed"/>
      </rPr>
      <t>Una colisión que involucre al menos un vehículo en movimiento en una carretera pública o privada, que resulta en al menos una persona herida o muerta. Fuente: OMS</t>
    </r>
    <r>
      <rPr>
        <b/>
        <sz val="11"/>
        <color indexed="8"/>
        <rFont val="Open Sans Condensed"/>
      </rPr>
      <t xml:space="preserve">
Accidente de tránsito o colisión
</t>
    </r>
    <r>
      <rPr>
        <sz val="11"/>
        <color theme="1"/>
        <rFont val="Open Sans Condensed"/>
      </rPr>
      <t>Un incidente que involucre al menos un vehículo en movimiento, que puede o no causar lesiones, que ocurre en una vía pública. Fuente: OMS</t>
    </r>
    <r>
      <rPr>
        <b/>
        <sz val="11"/>
        <color indexed="8"/>
        <rFont val="Open Sans Condensed"/>
      </rPr>
      <t xml:space="preserve">
Mortalidad por accidente de tránsito
</t>
    </r>
    <r>
      <rPr>
        <sz val="11"/>
        <color theme="1"/>
        <rFont val="Open Sans Condensed"/>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</si>
  <si>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t>● Número de muertes por accidentes de tránsito.
● Total de la población.</t>
  </si>
  <si>
    <t>Grupos de edades, sexo y tipo de medio de transporte</t>
  </si>
  <si>
    <t xml:space="preserve">Anual </t>
  </si>
  <si>
    <t>De acuerdo a las Naciones Unidas, este indicador se requiere con las siguientes desagregaciones: edad /sexo / motor de vehículo / estatus económico</t>
  </si>
  <si>
    <t>Nombre de contacto para estadísticas de mortalidad</t>
  </si>
  <si>
    <t>Nombre de contacto para seguimiento de la meta</t>
  </si>
  <si>
    <t>Dr. Rodrigo Marín Rodríguez</t>
  </si>
  <si>
    <t>Director Vigilancia de la Salud. Ministerio de Salud</t>
  </si>
  <si>
    <t>(506) 22210183   Ext. 130</t>
  </si>
  <si>
    <t>rodrigo.marin@misalud.go.cr</t>
  </si>
  <si>
    <t>Costa Rica: Porcentaje de mujeres de 15 a 49 años que utilizan anticonceptivos modernos, por tipo de anticonceptivo</t>
  </si>
  <si>
    <t xml:space="preserve">VER: INDICADOR ENCUESTA MUJER, NIÑEZ Y ADOLESCENCIA </t>
  </si>
  <si>
    <t xml:space="preserve">Costa Rica: Porcentaje de mujeres entre 15 a 49 años en unión que usan métodos aticonceptivo, </t>
  </si>
  <si>
    <t>por tipo de anticonceptivo</t>
  </si>
  <si>
    <t>Orales</t>
  </si>
  <si>
    <t>DIU</t>
  </si>
  <si>
    <t>Inyectables</t>
  </si>
  <si>
    <t>Norplant</t>
  </si>
  <si>
    <t>De emergencia</t>
  </si>
  <si>
    <t>Fuente: Ministerio de Salud, Encuesta de Salud Sexual y Reproductiva</t>
  </si>
  <si>
    <t>Costa Rica: Porcentaje de mujeres entre 15 a 49 años en unión que usan métodos anticonceptivo, por tipo de anticonceptivo, Años 2010 y 2015</t>
  </si>
  <si>
    <t>Fuente: Ministerio de Salud, Encuesta de Salud Sexual y Reproductiva, 2010 y 2015.</t>
  </si>
  <si>
    <t>https://unstats.un.org/sdgs/metadata/files/Metadata-03-07-01.pdf</t>
  </si>
  <si>
    <t>Porcentaje de mujeres de 15 a 49 años que utilizan anticonceptivos modernos, por tipo de anticonceptivo</t>
  </si>
  <si>
    <r>
      <rPr>
        <b/>
        <sz val="11"/>
        <color theme="1"/>
        <rFont val="Open Sans Condensed"/>
      </rPr>
      <t xml:space="preserve">Planificación familias: </t>
    </r>
    <r>
      <rPr>
        <sz val="11"/>
        <color theme="1"/>
        <rFont val="Open Sans Condensed"/>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Open Sans Condensed"/>
      </rPr>
      <t xml:space="preserve">
Metodos anticonceptivos modernos: </t>
    </r>
    <r>
      <rPr>
        <sz val="11"/>
        <color theme="1"/>
        <rFont val="Open Sans Condensed"/>
      </rPr>
      <t xml:space="preserve">son los orales, DIU, Inyectables, Norplant y Anticoncepción de emergencia.
1. </t>
    </r>
    <r>
      <rPr>
        <b/>
        <sz val="11"/>
        <color theme="1"/>
        <rFont val="Open Sans Condensed"/>
      </rPr>
      <t>Anticonceptivos orales</t>
    </r>
    <r>
      <rPr>
        <sz val="11"/>
        <color theme="1"/>
        <rFont val="Open Sans Condensed"/>
      </rPr>
      <t xml:space="preserve">: contiene dos hormonas (estrógeno y progestágeno). Evita la liberación de óvulos por los ovarios (ovulación).
2. </t>
    </r>
    <r>
      <rPr>
        <b/>
        <sz val="11"/>
        <color theme="1"/>
        <rFont val="Open Sans Condensed"/>
      </rPr>
      <t xml:space="preserve">Dispositivo intreuterino (DIU): </t>
    </r>
    <r>
      <rPr>
        <sz val="11"/>
        <color theme="1"/>
        <rFont val="Open Sans Condensed"/>
      </rPr>
      <t xml:space="preserve">Dispositivo plástico flexible y pequeño que contiene un asa o cubierta de cobre y se inserta en el útero. El cobre daña los espermatozoides e impide que se junten con el óvulo.
3. </t>
    </r>
    <r>
      <rPr>
        <b/>
        <sz val="11"/>
        <color theme="1"/>
        <rFont val="Open Sans Condensed"/>
      </rPr>
      <t>Inyectables</t>
    </r>
    <r>
      <rPr>
        <sz val="11"/>
        <color theme="1"/>
        <rFont val="Open Sans Condensed"/>
      </rPr>
      <t xml:space="preserve">: Se inyectan cada mes por vía intramuscular; contienen estrógeno y progestágeno. Impide que los ovarios liberen óvulos (ovulación).
4. </t>
    </r>
    <r>
      <rPr>
        <b/>
        <sz val="11"/>
        <color theme="1"/>
        <rFont val="Open Sans Condensed"/>
      </rPr>
      <t xml:space="preserve">Norplant: </t>
    </r>
    <r>
      <rPr>
        <sz val="11"/>
        <color theme="1"/>
        <rFont val="Open Sans Condensed"/>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Open Sans Condensed"/>
      </rPr>
      <t>Anticoncepción de emergencia</t>
    </r>
    <r>
      <rPr>
        <sz val="11"/>
        <color theme="1"/>
        <rFont val="Open Sans Condensed"/>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</si>
  <si>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r>
      <t xml:space="preserve">Donde </t>
    </r>
    <r>
      <rPr>
        <b/>
        <sz val="11"/>
        <color theme="1"/>
        <rFont val="Open Sans Condensed"/>
      </rPr>
      <t>i</t>
    </r>
    <r>
      <rPr>
        <sz val="11"/>
        <color theme="1"/>
        <rFont val="Open Sans Condensed"/>
      </rPr>
      <t>= a método anticonceptivo moderno
i.1= Anticonceptivos orales.
i.2 = DIU de cobre
i.3= Inyectables
i.4= Norplant
i.5= Anticoncepción de emergencia</t>
    </r>
  </si>
  <si>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</si>
  <si>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</si>
  <si>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</si>
  <si>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</si>
  <si>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Pablo Montoya Calvo</t>
  </si>
  <si>
    <t>Direccion de Planificacion.</t>
  </si>
  <si>
    <t>4003-5940</t>
  </si>
  <si>
    <t xml:space="preserve">pablo.montoya@misalud.go.cr </t>
  </si>
  <si>
    <t>Costa Rica: Porcentaje de mujeres (casadas actualmente o en unión) que están usando: (o cuya pareja está usando), metodos anticonceptivos modernos 2018</t>
  </si>
  <si>
    <t>Método moderno</t>
  </si>
  <si>
    <t>Esterilización femenina</t>
  </si>
  <si>
    <t>Esterilización masculina</t>
  </si>
  <si>
    <t>DIU o T de cobre</t>
  </si>
  <si>
    <t>Inyecciones</t>
  </si>
  <si>
    <t>Implantes</t>
  </si>
  <si>
    <t>Pastillas</t>
  </si>
  <si>
    <t>Condón masculino</t>
  </si>
  <si>
    <t>Condón femenino</t>
  </si>
  <si>
    <t>Diafragma/ jalea/ espuma</t>
  </si>
  <si>
    <t>Parche</t>
  </si>
  <si>
    <t>Edad</t>
  </si>
  <si>
    <t>15-19</t>
  </si>
  <si>
    <t xml:space="preserve">   15-17</t>
  </si>
  <si>
    <t xml:space="preserve">   18-19</t>
  </si>
  <si>
    <t>20-24</t>
  </si>
  <si>
    <t>25-29</t>
  </si>
  <si>
    <t>30-34</t>
  </si>
  <si>
    <t>35-39</t>
  </si>
  <si>
    <t>40-44</t>
  </si>
  <si>
    <t>45-49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</si>
  <si>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</si>
  <si>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</si>
  <si>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</si>
  <si>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</si>
  <si>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</si>
  <si>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</si>
  <si>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</si>
  <si>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</si>
  <si>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</si>
  <si>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</si>
  <si>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</si>
  <si>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 xml:space="preserve"> Edda Quiros Rodriguez </t>
  </si>
  <si>
    <t xml:space="preserve">Direccion de Planificacion Estrategica. </t>
  </si>
  <si>
    <t>(506) 22210633</t>
  </si>
  <si>
    <t xml:space="preserve">edda.quiros@misalud.go.cr </t>
  </si>
  <si>
    <t>Costa Rica: Número anual de nacimientos en mujeres adolescentes (10-19 años) por 1 000 mujeres en el mismo grupo de edad 
Costa Rica: Número anual de nacimientos en mujeres adolescentes (10 - 19 años) por 1 000 mujeres en el mismo grupo de edad, por cantón</t>
  </si>
  <si>
    <t>Costa Rica: Número anual de nacimientos en mujeres adolescentes (10 - 19 años) por 1 000 mujeres en el mismo grupo de edad.</t>
  </si>
  <si>
    <t>Edades simples</t>
  </si>
  <si>
    <t>Estado de unión</t>
  </si>
  <si>
    <t>Unidas</t>
  </si>
  <si>
    <t>No unidas</t>
  </si>
  <si>
    <t>Dentro de la fuerza de trabajo</t>
  </si>
  <si>
    <t>Costa Rica: Número anual de nacimientos en mujeres adolescentes (10 - 19 años) por 1 000 mujeres en el mismo grupo de edad, por cantón</t>
  </si>
  <si>
    <t>https://unstats.un.org/sdgs/metadata/files/Metadata-03-07-02.pdf</t>
  </si>
  <si>
    <t>Número anual de nacimientos en mujeres adolescentes (10 - 19 años) por 1 000 mujeres en el mismo grupo de edad</t>
  </si>
  <si>
    <r>
      <t xml:space="preserve">Número anual de nacimientos en mujeres adolescentes (10 - 14 años; 15 - 19 años) por 1 000 mujeres en el mismo grupo de edad.
</t>
    </r>
    <r>
      <rPr>
        <b/>
        <sz val="11"/>
        <color indexed="8"/>
        <rFont val="Open Sans Condensed"/>
      </rPr>
      <t>Nacimiento:</t>
    </r>
    <r>
      <rPr>
        <sz val="11"/>
        <color theme="1"/>
        <rFont val="Open Sans Condensed"/>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</si>
  <si>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Tasa por 1 000 mujeres en el grupo de edad</t>
  </si>
  <si>
    <t>● Número de nacimientos vivos en mujeres de 10 - 19 años.
● Total de mujeres de 10 - 19 años.</t>
  </si>
  <si>
    <t>Grupos de edades, edades simpres, estado conyugal y ocupación</t>
  </si>
  <si>
    <t>El denominador de las desagegaciones estado de unión y condición de actividad es la población femenina de 10 - 19 años.</t>
  </si>
  <si>
    <t>De acuerdo a las Naciones Unidas, este indicador se requiere con las siguientes desagregaciones: Estado conyugal / Lugar de residencia / Estatus socioeconómico</t>
  </si>
  <si>
    <t>3.8 Lograr la cobertura sanitaria universal, incluida la protección contra los riesgos financieros, el acceso a servicios de salud esenciales de calidad y el acceso a medicamentos y vacunas inocuos, eficaces, asequibles y de calidad para todos.</t>
  </si>
  <si>
    <t>Costa Rica: Porcentaje de población asegurada</t>
  </si>
  <si>
    <t>Región de Planificación</t>
  </si>
  <si>
    <t>Urbano</t>
  </si>
  <si>
    <t>Pacífica Central</t>
  </si>
  <si>
    <t>Huetar Atlántico</t>
  </si>
  <si>
    <t>https://unstats.un.org/sdgs/metadata/files/Metadata-03-08-01.pdf</t>
  </si>
  <si>
    <t>Porcentaje de población asegurada</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</si>
  <si>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</si>
  <si>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</si>
  <si>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</si>
  <si>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</si>
  <si>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</si>
  <si>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</si>
  <si>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3.8 Lograr la cobertura sanitaria universal, incluida la protección contra los riesgos financieros, el acceso a servicios de salud esenciales de calidad y el acceso a medicamentos y vacunas inocuos, eficaces, asequibles y de calidad para todoss.</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</si>
  <si>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</si>
  <si>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</si>
  <si>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Notas: 
a) Se excluyen los casos con gasto de consumo &lt; 0 (por efecto de neteo en vehículos)  y los casos con gasto en alimentos=0. 
b) Tamaños de muestra finales considerados: ENIGH 2013= 5504, ENIGH 2018=7040 hogares</t>
  </si>
  <si>
    <t xml:space="preserve">Fuente: Instituto Nacional de Estadística y Censos, Encuesta Nacional de Ingresos y Gastos de los hogares 2013 y 2018. </t>
  </si>
  <si>
    <t>Costa Rica: Porcentaje de personas en hogares con un 25% del gasto de consumo en salud</t>
  </si>
  <si>
    <t>Costa Rica: Porcentaje de personas en hogares con gasto catastrófico en salud, 2013- 2018</t>
  </si>
  <si>
    <t>https://unstats.un.org/sdgs/metadata/files/Metadata-03-08-02.pdf</t>
  </si>
  <si>
    <t>Porcentaje de personas en hogares con gasto catastrófico en salud</t>
  </si>
  <si>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Open Sans Condensed"/>
      </rPr>
      <t>Gasto de consumo:</t>
    </r>
    <r>
      <rPr>
        <sz val="11"/>
        <color theme="1"/>
        <rFont val="Open Sans Condensed"/>
      </rPr>
      <t xml:space="preserve">  es el gasto que realizan los miembros del hogar para satisfacer sus necesidades y deseos.
</t>
    </r>
    <r>
      <rPr>
        <b/>
        <sz val="11"/>
        <color theme="1"/>
        <rFont val="Open Sans Condensed"/>
      </rPr>
      <t xml:space="preserve">Gasto en salud: </t>
    </r>
    <r>
      <rPr>
        <sz val="11"/>
        <color theme="1"/>
        <rFont val="Open Sans Condensed"/>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</si>
  <si>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Open Sans Condensed"/>
      </rPr>
      <t xml:space="preserve">1- </t>
    </r>
    <r>
      <rPr>
        <sz val="11"/>
        <color theme="1"/>
        <rFont val="Open Sans Condensed"/>
      </rPr>
      <t xml:space="preserve"> se estima  para cada hogar el  cociente de gasto en salud (rh) 
                                    </t>
    </r>
    <r>
      <rPr>
        <b/>
        <sz val="11"/>
        <color theme="1"/>
        <rFont val="Open Sans Condensed"/>
      </rPr>
      <t>rh</t>
    </r>
    <r>
      <rPr>
        <sz val="11"/>
        <color theme="1"/>
        <rFont val="Open Sans Condensed"/>
      </rPr>
      <t xml:space="preserve">=(hh_hexpcapd)/(hh_expcapd)  
</t>
    </r>
    <r>
      <rPr>
        <b/>
        <i/>
        <sz val="11"/>
        <color theme="1"/>
        <rFont val="Open Sans Condensed"/>
      </rPr>
      <t>donde:</t>
    </r>
    <r>
      <rPr>
        <sz val="11"/>
        <color theme="1"/>
        <rFont val="Open Sans Condensed"/>
      </rPr>
      <t xml:space="preserve"> 
hh_hexpcapd:  gasto per capita diario en salud   
hh_expcapd: total gasto de consumo diario per cápita
</t>
    </r>
    <r>
      <rPr>
        <b/>
        <sz val="11"/>
        <color theme="1"/>
        <rFont val="Open Sans Condensed"/>
      </rPr>
      <t xml:space="preserve">2-  </t>
    </r>
    <r>
      <rPr>
        <sz val="11"/>
        <color theme="1"/>
        <rFont val="Open Sans Condensed"/>
      </rPr>
      <t xml:space="preserve">Se calculan los  números representativos por persona (wh), multiplicando la ponderacion de la muestra de hogar por el tamaño del mismo:
                                </t>
    </r>
    <r>
      <rPr>
        <b/>
        <i/>
        <sz val="11"/>
        <color theme="1"/>
        <rFont val="Open Sans Condensed"/>
      </rPr>
      <t>wh</t>
    </r>
    <r>
      <rPr>
        <b/>
        <sz val="11"/>
        <color theme="1"/>
        <rFont val="Open Sans Condensed"/>
      </rPr>
      <t xml:space="preserve"> = </t>
    </r>
    <r>
      <rPr>
        <i/>
        <sz val="11"/>
        <color theme="1"/>
        <rFont val="Open Sans Condensed"/>
      </rPr>
      <t xml:space="preserve">hhwh *hhsizeh
hhwh:  </t>
    </r>
    <r>
      <rPr>
        <sz val="11"/>
        <color theme="1"/>
        <rFont val="Open Sans Condensed"/>
      </rPr>
      <t>factor de expansión del conglomerado (UPM)</t>
    </r>
    <r>
      <rPr>
        <i/>
        <sz val="11"/>
        <color theme="1"/>
        <rFont val="Open Sans Condensed"/>
      </rPr>
      <t xml:space="preserve">
hhsiseh:  </t>
    </r>
    <r>
      <rPr>
        <sz val="11"/>
        <color theme="1"/>
        <rFont val="Open Sans Condensed"/>
      </rPr>
      <t xml:space="preserve">número de miembros del hogar
</t>
    </r>
    <r>
      <rPr>
        <b/>
        <sz val="11"/>
        <color theme="1"/>
        <rFont val="Open Sans Condensed"/>
      </rPr>
      <t>3</t>
    </r>
    <r>
      <rPr>
        <sz val="11"/>
        <color theme="1"/>
        <rFont val="Open Sans Condensed"/>
      </rPr>
      <t xml:space="preserve">- Se calcula la proporción de población con gasto catastrófico en salud repecto a la población total: 
Ods 3.8.2 (0,25) =  ∑  wh1(rh&gt;0,25)  
</t>
    </r>
    <r>
      <rPr>
        <b/>
        <sz val="11"/>
        <color theme="1"/>
        <rFont val="Open Sans Condensed"/>
      </rPr>
      <t xml:space="preserve">h: </t>
    </r>
    <r>
      <rPr>
        <sz val="11"/>
        <color theme="1"/>
        <rFont val="Open Sans Condensed"/>
      </rPr>
      <t xml:space="preserve"> denota al hogar, 
</t>
    </r>
    <r>
      <rPr>
        <b/>
        <sz val="11"/>
        <color theme="1"/>
        <rFont val="Open Sans Condensed"/>
      </rPr>
      <t xml:space="preserve"> 1 (rh&gt;0,25)  </t>
    </r>
    <r>
      <rPr>
        <sz val="11"/>
        <color theme="1"/>
        <rFont val="Open Sans Condensed"/>
      </rPr>
      <t xml:space="preserve">es la función de indicador que es igual a 1 si la razón de gasto excede el corte de  0,25 (umbral) y es igual a 0 de otro modo
</t>
    </r>
    <r>
      <rPr>
        <b/>
        <sz val="11"/>
        <color theme="1"/>
        <rFont val="Open Sans Condensed"/>
      </rPr>
      <t>wh:</t>
    </r>
    <r>
      <rPr>
        <sz val="11"/>
        <color theme="1"/>
        <rFont val="Open Sans Condensed"/>
      </rPr>
      <t xml:space="preserve"> ponderaciones para población
</t>
    </r>
  </si>
  <si>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</si>
  <si>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</si>
  <si>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Zona y región de planificación</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</si>
  <si>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</si>
  <si>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</si>
  <si>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</si>
  <si>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</si>
  <si>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</si>
  <si>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</si>
  <si>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</si>
  <si>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</si>
  <si>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</si>
  <si>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</si>
  <si>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Costa Rica: Tasa de mortalidad por condiciones atribuidas a la contaminación de los hogares y del aire en el ambiente 
Costa Rica: Tasa de mortalidad por condiciones atribuidas a la contaminación de los hogares y del aire en el ambiente, por cantón</t>
  </si>
  <si>
    <t xml:space="preserve">Costa Rica: Tasa de mortalidad por condiciones atribuidas a la contaminación de los hogares y del aire en el ambiente </t>
  </si>
  <si>
    <t>5 - 9</t>
  </si>
  <si>
    <t>Guanacasate</t>
  </si>
  <si>
    <t>Nota: son muertes por enfermedades respiratorias, aunque no todas sean por contaminación.</t>
  </si>
  <si>
    <t xml:space="preserve">Costa Rica: Tasa de mortalidad por condiciones atribuidas a la contaminación de los hogares y del aire en el ambiente, por cantón </t>
  </si>
  <si>
    <t>https://unstats.un.org/sdgs/metadata/files/Metadata-03-09-01.pdf</t>
  </si>
  <si>
    <t xml:space="preserve">Tasa de mortalidad por condiciones atribuidas a la contaminación de los hogares y del aire en el ambiente </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</si>
  <si>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</si>
  <si>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</si>
  <si>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Sexo y Grupos de edades</t>
  </si>
  <si>
    <t>El indicador es un indicar de tipo general sobre enfermedades respiratorias, pero no contempla un factor específico, sobre la proporción atribuible a la contaminación atmosférica, por lo que nacionalmente es un indicador proxy.</t>
  </si>
  <si>
    <t>Ana Victoria Giusti / Ing. Ricardo Morales</t>
  </si>
  <si>
    <t>Unidad de Normalizaciión en Salud Ambiental</t>
  </si>
  <si>
    <t>Minsiterio de Salud</t>
  </si>
  <si>
    <t>(506) 2233-6922</t>
  </si>
  <si>
    <t xml:space="preserve">ricardo.morales@misalud.go.cr;  ana.giusti@misalud.go.cr </t>
  </si>
  <si>
    <t>3.9 De aquí a 2030, reducir considerablemente el número de muertes y enfermedades causadas por productos químicos peligrosos y por la polución y contaminación del aire, el agua y el suelo.</t>
  </si>
  <si>
    <t>Costa Rica: Tasa de mortalidad por diarreas y gastroenteritis presuntamente infecciosa 
Costa Rica: Tasa de mortalidad por diarrea y gastroenteritis de  presunto origen infeccioso por cada 100 000 habitantes, por cantón</t>
  </si>
  <si>
    <t>Costa Rica: Tasa de mortalidad por diarrea y gastroenteritis de  presunto origen infeccioso por cada 100 000 habitantes</t>
  </si>
  <si>
    <t>0  -  4</t>
  </si>
  <si>
    <t>15  -  19</t>
  </si>
  <si>
    <t>20  -  24</t>
  </si>
  <si>
    <t>25  -  29</t>
  </si>
  <si>
    <t>30  -  34</t>
  </si>
  <si>
    <t>35  -  39</t>
  </si>
  <si>
    <t>40  -  44</t>
  </si>
  <si>
    <t>45  -  49</t>
  </si>
  <si>
    <t>50  -  54</t>
  </si>
  <si>
    <t>55  -  59</t>
  </si>
  <si>
    <t>60  -  64</t>
  </si>
  <si>
    <t>65  -  69</t>
  </si>
  <si>
    <t>70  -  74</t>
  </si>
  <si>
    <t>Costa Rica: Tasa de mortalidad por diarrea y gastroenteritis de  presunto origen infeccioso por cada 100 000 habitantes, por cantón</t>
  </si>
  <si>
    <t>https://unstats.un.org/sdgs/metadata/files/Metadata-03-09-02.pdf</t>
  </si>
  <si>
    <t>Tasa de mortalidad por diarreas y gastroenteritis presuntamente infecciosa</t>
  </si>
  <si>
    <t>Definido como muertes por la siguiente causa:
Diarrea gastroenteritis,  A09.X</t>
  </si>
  <si>
    <t>● Total de muertes debida a diarrea gastroenteritis,  A09.X
● Total de población</t>
  </si>
  <si>
    <t>Nacional y provincia</t>
  </si>
  <si>
    <t>Sexo y grupos de edades</t>
  </si>
  <si>
    <t>El indicador que el país proveerá es un proxi medido a través de la tasa de mortalidad por diarreas y gastroenteritis presuntamente infecciosas.</t>
  </si>
  <si>
    <t>III. Información del Contacto (DSA) - Ministerio de Salud</t>
  </si>
  <si>
    <t>Ana Victoria Giusti / Ricardo Morales</t>
  </si>
  <si>
    <t>Unidad de Normalización en Salud Ambiental</t>
  </si>
  <si>
    <t>(506) 2233 - 6922</t>
  </si>
  <si>
    <t>ana.giusti@misalud.go.cr ; ricardo.morales@misalud.go.cr</t>
  </si>
  <si>
    <t xml:space="preserve">Costa Rica: Tasa de mortalidad por envenenamiento accidental  y exposición a sustancias nocivas 
Costa Rica: Tasa de mortalidad por envenenamiento accidental  y exposición a sustancias nocivas, por cantón </t>
  </si>
  <si>
    <t>Costa Rica: Tasa de mortalidad por envenenamiento accidental  y exposición a sustancias nocivas</t>
  </si>
  <si>
    <t xml:space="preserve">Costa Rica: Tasa de mortalidad por envenenamiento accidental  y exposición a sustancias nocivas, por cantón </t>
  </si>
  <si>
    <t>https://unstats.un.org/sdgs/metadata/files/Metadata-03-09-03.pdf</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</si>
  <si>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</si>
  <si>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</si>
  <si>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</si>
  <si>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 xml:space="preserve">Nacional </t>
  </si>
  <si>
    <t>Costa Rica: Porcentaje de personas de 18 años ó más que han fumado tabaco activamente en los últimos 30 días</t>
  </si>
  <si>
    <t>Costa Rica: Porcentaje de personas de 18 años o más que han fumado tabaco activamente en los últimos 30 días</t>
  </si>
  <si>
    <t>Costa Rica: Porcentaje de personas de 18 años o más que han fumado tabaco activamente en los últimos 30 días, Años  2010, 2015 y 2022.</t>
  </si>
  <si>
    <t>Fuente: Instituto sobre Alcoholismo y Farmacodependencia, Encuesta en hogares sobre consumo de drogas 1990, 1995, 2000, 2006, 2010, 2015, 2022</t>
  </si>
  <si>
    <t>Fuente: Instituto sobre Alcoholismo y Farmacodependencia, Encuesta de consumo de drogas 2010, 2015 y 2022.</t>
  </si>
  <si>
    <t>https://unstats.un.org/sdgs/metadata/files/Metadata-03-0a-01.pdf</t>
  </si>
  <si>
    <t>Porcentaje ajustado de fumadores activos de tabaco</t>
  </si>
  <si>
    <t>Porcentaje ajustado por grupos etarios</t>
  </si>
  <si>
    <r>
      <rPr>
        <b/>
        <sz val="11"/>
        <color theme="1"/>
        <rFont val="Open Sans Condensed"/>
      </rPr>
      <t>Fumador activo de tabaco:</t>
    </r>
    <r>
      <rPr>
        <sz val="11"/>
        <color theme="1"/>
        <rFont val="Open Sans Condensed"/>
      </rPr>
      <t xml:space="preserve"> persona que ha fumado tabaco en alguna ocasión en el transcurso de los 30 días anteriores.
</t>
    </r>
    <r>
      <rPr>
        <b/>
        <sz val="11"/>
        <color theme="1"/>
        <rFont val="Open Sans Condensed"/>
      </rPr>
      <t>Porcentaje ajustado</t>
    </r>
    <r>
      <rPr>
        <sz val="11"/>
        <color theme="1"/>
        <rFont val="Open Sans Condensed"/>
      </rPr>
      <t>: Porcentaje calculado en que, a la estimación (porcentaje) de cada grupo etario, se le pondera por el peso correspondiente de la pirámide de población internacional del 2001 calculada por  la OMS.</t>
    </r>
  </si>
  <si>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</si>
  <si>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</si>
  <si>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</si>
  <si>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</si>
  <si>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Por grupo etario y sexo.</t>
  </si>
  <si>
    <t>Proceso de Investigación, Área Técnica, Instituto sobre Alcoholismo y Farmacodependencia (IAFA);
Secretaría Técnica de Control de la Salud Mental,  Ministerio de Salud (MINSALUD)</t>
  </si>
  <si>
    <t>Encuestas en hogares</t>
  </si>
  <si>
    <t>Encuesta en hogares sobre consumo de drogas; Encuesta GATS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</si>
  <si>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de este indicador se generó para la población de 18 a 70 años que residia en hogares.
4. Las comparaciones entre grupos etarios requieren usar las estimaciones brutas para cada uno de ellos.
5. Se hicieron unos ajustes a las ponderaciones internacionales para adaptarse al rango etario de la muestra.
6. Se prohíbe por ley la facilitación o venta de productos de tabaco a personas menores de edad.</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</si>
  <si>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 Se aplicaron las ponderaciones de los grupos de 20-24 a 65-69. La ponderación para 70 años se obtuvo de dividir entre 5 la ponderación para el grupo 70-74. La ponderación para 18-19 años se obtuvo de multiplicar por 0,4 la ponderación del grupo 15-19.</t>
  </si>
  <si>
    <t xml:space="preserve">Ahmad et al. Age standardization of rates: A New WHO standard. WHO 2001.
Ley General de Control del Tabaco y sus efectos nocivos en la salud No. 9028, artículo 16; en: http://www.pgrweb.go.cr/scij/Busqueda/Normativa/Normas/nrm_texto_completo.aspx?param1=NRTC&amp;nValor1=1&amp;nValor2=72249&amp;nValor3=100226&amp;param2=1&amp;strTipM=TC&amp;lResultado=6&amp;strSim=simp
Ley de Licores, No. 9047, artículo 188 bis; en http://www.pgrweb.go.cr/scij/Busqueda/Normativa/Normas/nrm_texto_completo.aspx?param1=NRTC&amp;nValor1=1&amp;nValor2=73058&amp;nValor3=95858&amp;strTipM=TC </t>
  </si>
  <si>
    <t>Costa Rica: 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</si>
  <si>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</si>
  <si>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</si>
  <si>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</si>
  <si>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</si>
  <si>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</si>
  <si>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</si>
  <si>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</si>
  <si>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t>Fuente: Ministerio de Salud, 2011-2023</t>
  </si>
  <si>
    <t>Costa Rica: Porcentaje de cobertura de inmunizaciones niños menores de 1 año, por tipo de vacuna del esquema básico nacional, 2011 - 2023</t>
  </si>
  <si>
    <t>https://unstats.un.org/sdgs/metadata/files/Metadata-03-0b-01.pdf</t>
  </si>
  <si>
    <t>Cobertura de vacunación del 95% o más en las vacunas aplicadas en niños menores de 1 año.</t>
  </si>
  <si>
    <t>Porcentaje de cobertura de inmunizaciones niños menores de 1 año, por tipo de vacuna del esquema básico nacional</t>
  </si>
  <si>
    <r>
      <rPr>
        <b/>
        <sz val="11"/>
        <color theme="1"/>
        <rFont val="Open Sans Condensed"/>
      </rPr>
      <t>Inmunización:</t>
    </r>
    <r>
      <rPr>
        <sz val="11"/>
        <color theme="1"/>
        <rFont val="Open Sans Condensed"/>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Open Sans Condensed"/>
      </rPr>
      <t>Esquema de Vacunación Oficial:</t>
    </r>
    <r>
      <rPr>
        <sz val="11"/>
        <color theme="1"/>
        <rFont val="Open Sans Condensed"/>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</si>
  <si>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t>El porcentaje de niños menores de 1 año vacunados con el esquema oficial de vacunación para la población infantil menor de 1 año de edad.</t>
  </si>
  <si>
    <t>• Población vacunada menores de 1 año.
• Total de población menores de un año.</t>
  </si>
  <si>
    <t>Geográfica (por cantón)</t>
  </si>
  <si>
    <t xml:space="preserve">Vacuna </t>
  </si>
  <si>
    <t>Indicadores básicos, situación de la salud en Costa Rica</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</si>
  <si>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</si>
  <si>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</si>
  <si>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</si>
  <si>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</si>
  <si>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(506) 4003-5581</t>
  </si>
  <si>
    <t xml:space="preserve">roberto.arroba@misalud.go.cr </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</si>
  <si>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</si>
  <si>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los sectores de la investigación médica y la atención sanitaria básica.</t>
  </si>
  <si>
    <t>https://unstats.un.org/sdgs/metadata/files/Metadata-03-0B-02.pdf</t>
  </si>
  <si>
    <t>Costa Rica: Porcentaje de centros de salud que tienen un conjunto básico de los medicamentos esenciales asequibles de manera sostenible</t>
  </si>
  <si>
    <t>Nota: en el 2020 el listado lo componen 43 medicamentos esenciales, de los cuales 42
cuentan con abastecimiento para 1 mes o más, y únicamente 01 producto, obtuvo
una existencia menor a 1 mes</t>
  </si>
  <si>
    <t>El listado lo componen 43 medicamentos esenciales, de los todos cuentan con abastecimiento para 1 mes o más.</t>
  </si>
  <si>
    <t>Fuente: Caja Costarricense del Seguro Social, 2020-2023</t>
  </si>
  <si>
    <t>https://unstats.un.org/sdgs/metadata/files/Metadata-03-0B-03.pdf</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</si>
  <si>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</si>
  <si>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</si>
  <si>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</si>
  <si>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</si>
  <si>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</si>
  <si>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</si>
  <si>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No aplica</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</si>
  <si>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</si>
  <si>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</si>
  <si>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</si>
  <si>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</si>
  <si>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</si>
  <si>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</si>
  <si>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Luis Diego Sandoval Salas</t>
  </si>
  <si>
    <t>Jefe de Área de Planificación Táctica, Dirección de Planificiación Institucional.</t>
  </si>
  <si>
    <t>Caja Costarricense del Seguro Social</t>
  </si>
  <si>
    <t>(506) 2221-0184</t>
  </si>
  <si>
    <t>ldsandov@ccss.sa.cr</t>
  </si>
  <si>
    <t xml:space="preserve">Costa Rica: Densidad y distribución de trabajadores sanitarios por cada 10 000 habitantes, por subgrupo ocupacional </t>
  </si>
  <si>
    <t>Costa Rica: Densidad y distribución de trabajadores sanitarios por cada 10 000 habitantes, por subgrupo ocupacional</t>
  </si>
  <si>
    <t>Población</t>
  </si>
  <si>
    <t>Total de trabajadores</t>
  </si>
  <si>
    <t>Enfermería y servicios de apoyo</t>
  </si>
  <si>
    <t>Profesionales en ciencias médicas</t>
  </si>
  <si>
    <t>Por cada 
10 000 habitantes</t>
  </si>
  <si>
    <r>
      <rPr>
        <vertAlign val="superscript"/>
        <sz val="11"/>
        <color theme="1"/>
        <rFont val="Open Sans Condensed"/>
      </rPr>
      <t xml:space="preserve"> </t>
    </r>
    <r>
      <rPr>
        <sz val="11"/>
        <color theme="1"/>
        <rFont val="Open Sans Condensed"/>
      </rPr>
      <t>Se toma la población de Costa Rica con corte a diciembre 2022.</t>
    </r>
  </si>
  <si>
    <t>Fuente: Caja Costarricense de Seguro Social, Sistema de Información Estadística de Recursos Humanos 2010-2023.
Instituto Nacional de Estadística y Censos, Encuesta Nacional de Hogares, 2010-2022.</t>
  </si>
  <si>
    <t>Costa Rica: Densidad de trabajadores sanitarios por cada 10 000 habitantes, 2010-2023</t>
  </si>
  <si>
    <t>Fuente: Caja Costarricense de Seguro Social, Sistema de Información Estadística de Recursos Humanos 2010-2023.</t>
  </si>
  <si>
    <t>https://unstats.un.org/sdgs/metadata/files/Metadata-03-0C-01.pdf</t>
  </si>
  <si>
    <t xml:space="preserve">Densidad y distribución de trabajadores sanitarios por cada 10 000 habitantes, por subgrupo ocupacional </t>
  </si>
  <si>
    <r>
      <rPr>
        <b/>
        <sz val="11"/>
        <color theme="1"/>
        <rFont val="Open Sans Condensed"/>
      </rPr>
      <t>Trabajadores sanitarios</t>
    </r>
    <r>
      <rPr>
        <sz val="11"/>
        <color theme="1"/>
        <rFont val="Open Sans Condensed"/>
      </rPr>
      <t xml:space="preserve">: Únicamente se toman en cuenta los subgrupo de los grupos de enfermería y servicios de apoyo, y los profesionales en ciencias médicas.
</t>
    </r>
    <r>
      <rPr>
        <b/>
        <sz val="11"/>
        <color theme="1"/>
        <rFont val="Open Sans Condensed"/>
      </rPr>
      <t>Enfermerías y servicios generales</t>
    </r>
    <r>
      <rPr>
        <sz val="11"/>
        <color theme="1"/>
        <rFont val="Open Sans Condensed"/>
      </rPr>
      <t xml:space="preserve">: Auxiliar de Enfermería, Profesionales en Enfermería (Dipl o Bach),  Tareas de Apoyo, Tecnologías en Salud
</t>
    </r>
    <r>
      <rPr>
        <b/>
        <sz val="11"/>
        <color theme="1"/>
        <rFont val="Open Sans Condensed"/>
      </rPr>
      <t>Profesionales en ciencias de la salud</t>
    </r>
    <r>
      <rPr>
        <sz val="11"/>
        <color theme="1"/>
        <rFont val="Open Sans Condensed"/>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</si>
  <si>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Open Sans Condensed"/>
      </rPr>
      <t>i</t>
    </r>
    <r>
      <rPr>
        <sz val="11"/>
        <color theme="1"/>
        <rFont val="Open Sans Condensed"/>
      </rPr>
      <t>= subgrupo ocupacional (trabajadores sanitarios, enfermería y servicios generales, Profesionales en ciencias de la salud)</t>
    </r>
  </si>
  <si>
    <t>Tasa por 10 000 habitantes</t>
  </si>
  <si>
    <t xml:space="preserve">● Trabajadores sanitarios de servicios de enfermería y servicios de apoyo, y las profesionales en ciencias médicas.
● Total de la población. </t>
  </si>
  <si>
    <t xml:space="preserve">Subgrupo ocupacional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</si>
  <si>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</si>
  <si>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</si>
  <si>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</si>
  <si>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Allan Rímola Rivas</t>
  </si>
  <si>
    <t>Jefe unidad de armonización de los servicios de salud</t>
  </si>
  <si>
    <t>drrimola@gmail.com</t>
  </si>
  <si>
    <t xml:space="preserve">Costa Rica: Capacidad del Reglamento Sanitario Internacional (RSI) y preparación para emergencias de salud  </t>
  </si>
  <si>
    <t>2019*</t>
  </si>
  <si>
    <t>65%%</t>
  </si>
  <si>
    <t>*Cambio del instrumento de evaluación. En el 2021 se modificó la herramienta de evaluación.</t>
  </si>
  <si>
    <t>Fuente: Ministerio de Salud, 2017-2023</t>
  </si>
  <si>
    <t>https://unstats.un.org/sdgs/metadata/files/Metadata-03-0D-01.pdf</t>
  </si>
  <si>
    <t xml:space="preserve">Lograr o superar  una calificación de 90%  en  las evaluaciones de las capacidades básicas del RSI </t>
  </si>
  <si>
    <t xml:space="preserve">Capacidad del Reglamento Sanitario Internacional (RSI) y preparación para emergencias de salud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</si>
  <si>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</si>
  <si>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</si>
  <si>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</si>
  <si>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</si>
  <si>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febrero</t>
  </si>
  <si>
    <t>Carlos Salguero Mendoza</t>
  </si>
  <si>
    <t>Coordinador del CNE/RSI en la Dirección Vigilancia de la Salud</t>
  </si>
  <si>
    <t>(506)4003-5188</t>
  </si>
  <si>
    <t xml:space="preserve">carlos.salguero@misalud.go.cr </t>
  </si>
  <si>
    <t>3.d.2 Porcentaje de infecciones del torrente sanguíneo debidas a determinados organismos resistentes a los antimicrobianos seleccionados</t>
  </si>
  <si>
    <t xml:space="preserve">Objetivo 4. Garantizar una educación inclusiva y equitativa de calidad y promover oportunidades  de aprendizaje 
permanente para todos </t>
  </si>
  <si>
    <t>4.1 De aquí a 2030, asegurar que todas las niñas y todos los niños terminen la enseñanza primaria y secundaria, que ha de ser gratuita, equitativa y de calidad y producir resultados de aprendizaje pertinentes y efectivos</t>
  </si>
  <si>
    <t>4.1.1</t>
  </si>
  <si>
    <t>4.1.1 Proporción de niños, niñas y adolescentes que, a) en los cursos segundo y tercero, b) al final de la enseñanza primaria y c) al final de la enseñanza secundaria inferior, han alcanzado al menos un nivel mínimo de competencia en i) lectura y ii) mate</t>
  </si>
  <si>
    <t>4.1.2</t>
  </si>
  <si>
    <t>4.1.2 	Índice de finalización (enseñanza primaria, primer ciclo de enseñanza secundaria y segundo ciclo de enseñanza secundaria)</t>
  </si>
  <si>
    <t>4.2 De aquí a 2030, asegurar que todas las niñas y todos los niños tengan acceso a servicios de atención y desarrollo en la primera infancia y educación preescolar de calidad, a fin de que estén preparados para la enseñanza primaria</t>
  </si>
  <si>
    <t>4.2.1</t>
  </si>
  <si>
    <t>4.2.1 Proporción de niños de 24 a 59 meses cuyo desarrollo es adecuado en cuanto a la salud, el aprendizaje y el bienestar psicosocial, desglosada por sexoi</t>
  </si>
  <si>
    <t>4.2.2</t>
  </si>
  <si>
    <t>4.2.2 Tasa de participación en el aprendizaje organizado (un año antes de la edad oficial de ingreso en la enseñanza primaria), desglosada por sexo</t>
  </si>
  <si>
    <t>4.3 De aquí a 2030, asegurar el acceso igualitario de todos los hombres y las mujeres a una formación técnica, profesional y superior de calidad, incluida la enseñanza universitaria</t>
  </si>
  <si>
    <t>4.3.1</t>
  </si>
  <si>
    <t>4.3.1 Tasa de participación de los jóvenes y adultos en la enseñanza y formación académica y no académica en los últimos 12 meses, desglosada por sexo</t>
  </si>
  <si>
    <t>4.4 De aquí a 2030, aumentar considerablemente el número de jóvenes y adultos que tienen las competencias necesarias, en particular técnicas y profesionales, para acceder al empleo, el trabajo decente y el emprendimiento</t>
  </si>
  <si>
    <t>4.4.1</t>
  </si>
  <si>
    <t>4.4.1 Proporción de jóvenes y adultos con competencias en tecnología de la información y las comunicaciones (TIC), desglosada por tipo de competencia técnica</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</si>
  <si>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</si>
  <si>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4.5.1</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</si>
  <si>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</si>
  <si>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4.6 De aquí a 2030, asegurar que todos los jóvenes y una proporción considerable de los adultos, tanto hombres como mujeres, estén alfabetizados y tengan nociones elementales de aritmética</t>
  </si>
  <si>
    <t>4.6.1</t>
  </si>
  <si>
    <t>4.6.1 Proporción de la población en un grupo de edad determinado que ha alcanzado al menos un nivel fijo de competencia funcional en a) alfabetización y b) nociones elementales de aritmética, desglosada por sexo</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</si>
  <si>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</si>
  <si>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4.7.1</t>
  </si>
  <si>
    <t>4.7.1 Grado en que i) la educación para la ciudadanía mundial y ii) la educación para el desarrollo sostenible se incorporan en a) las políticas nacionales de educación, b) los planes de estudio, c) la formación del profesorado y d) la evaluación de los e</t>
  </si>
  <si>
    <t>4.a Construir y adecuar instalaciones educativas que tengan en cuenta las necesidades de los niños y las personas con discapacidad y las diferencias de género, y que ofrezcan entornos de aprendizaje seguros, no violentos, inclusivos y eficaces para todos</t>
  </si>
  <si>
    <t>4.a.1</t>
  </si>
  <si>
    <t>4.a.1 Proporción de escuelas que ofrecen servicios básicos, desglosada por tipo de servicio</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</si>
  <si>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</si>
  <si>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4.b.1</t>
  </si>
  <si>
    <t>4.b.1 Volumen de la asistencia oficial para el desarrollo destinada a becas, desglosado por sector y tipo de estudio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</si>
  <si>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</si>
  <si>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4.c.1</t>
  </si>
  <si>
    <t>4.c.1 Proporción de docentes con las calificaciones mínimas requeridas, por nivel educativoi</t>
  </si>
  <si>
    <t xml:space="preserve">Objetivo 4. Garantizar una educación inclusiva y equitativa de calidad y promover oportunidades  de aprendizaje permanente para todos </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</si>
  <si>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</si>
  <si>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</si>
  <si>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2013 y 2019</t>
  </si>
  <si>
    <t xml:space="preserve">Años </t>
  </si>
  <si>
    <t>a) segundo o tercer grado</t>
  </si>
  <si>
    <t>b) al final de la educación primaria</t>
  </si>
  <si>
    <t>c) al final de la educación secundaria inferior</t>
  </si>
  <si>
    <t>ii) Matemáticas</t>
  </si>
  <si>
    <t>i) Lectura</t>
  </si>
  <si>
    <t>Ambos sexos</t>
  </si>
  <si>
    <t>http://sdg4-data.uis.unesco.org/</t>
  </si>
  <si>
    <t>Fuente: Organización de las Naciones Unidas para la Educación, la Ciencia y la Cultura, TERCE (2021).</t>
  </si>
  <si>
    <t xml:space="preserve">Costa Rica: Proporción de niños(as) y adolescentes que al final de la enseñanza primaria han alcanzado al menos </t>
  </si>
  <si>
    <t>un nivel mínimo de competencia en i) lectura y ii) matemáticas, desglosada por sexo, años 2013 y 2019</t>
  </si>
  <si>
    <t>total</t>
  </si>
  <si>
    <t>Matemática</t>
  </si>
  <si>
    <t>Lectura</t>
  </si>
  <si>
    <t>Objetivo 4. Garantizar una educación inclusiva y equitativa de calidad y promover oportunidades de aprendizaje permanente para todos</t>
  </si>
  <si>
    <t xml:space="preserve">Meta ODS Naciones Unidas </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</si>
  <si>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</si>
  <si>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https://unstats.un.org/sdgs/metadata/files/Metadata-04-01-01A.pdf</t>
  </si>
  <si>
    <t>https://unstats.un.org/sdgs/metadata/files/Metadata-04-01-01BC.pdf</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</si>
  <si>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</si>
  <si>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 xml:space="preserve">El Laboratorio Latinoamericano de la Evaluación de la calidad de la educación (LLECE) de la UNESCO ha realizado tres evaluaciones internacionales para medir el desempeño de la región Latinoamérica y del Caribe. Debido a problemas técnico/metodológicos en la correcta aplicación de la prueba, Costa Rica no fue tomado en cuenta en el reporte del primer estudio, por lo tanto solo se muestran resultados para el Segundo Estudio Regional Comparativo y Explicativo (SERCE 2006), y para el Tercer Estudio Regional Comparativo y Explicativo (TERCE 2013).
El LLECE define cuatro niveles de desempeño para agrupar a los estudiantes.
Se considera como un nivel mínimo de competencia, el Nivel II de desempeño. Los datos de nivel de desempeño de TERCE 2013 fueron calculados con base en los niveles definidos en SERCE 2006, para efectos de comparabilidad. </t>
  </si>
  <si>
    <r>
      <t xml:space="preserve">
Donde:
</t>
    </r>
    <r>
      <rPr>
        <b/>
        <sz val="11"/>
        <rFont val="Open Sans Condensed"/>
      </rPr>
      <t>i</t>
    </r>
    <r>
      <rPr>
        <sz val="11"/>
        <rFont val="Open Sans Condensed"/>
      </rPr>
      <t xml:space="preserve"> =  Lectura; matemática.</t>
    </r>
  </si>
  <si>
    <t>Proporción</t>
  </si>
  <si>
    <t>• Niños y jóvenes en I ciclo de Educación General básica (3 grado) que alcanzaron como mínimo el II Nivel de desempeño en la prueba SERCE y TERCE, en (i) lectura y en (ii)  matemática. Es decir, se consideran los estudiantes del Nivel II, III y IV.
• Total niños y jóvenes en I ciclo de Educación General básica (3 grado). Se consideran en el denominador todos los niveles de desempeño de las pruebas SERCE y TERCE.</t>
  </si>
  <si>
    <t>Área temática o de alfabetización</t>
  </si>
  <si>
    <t>1997, 2003, 2013, 2019 (cuarto estudio)</t>
  </si>
  <si>
    <t>Se utilizan las bases de datos provistas por la Oficina Regional de Educación para América Latina y el Caribe (OREALC/UNESCO Santiago), y se basan en el Segundo Estudio Regional Comparativo y Explicativo (SERCE) y en el Tercer Estudio Regional Comparativo y Explicativo (TERCE), proyectos liderados por el Laboratorio Latinoamericano para la Evaluación de la Calidad de la Educación (LLECE).</t>
  </si>
  <si>
    <t>Otro</t>
  </si>
  <si>
    <t>SERCE 2006 y TERCE 2013</t>
  </si>
  <si>
    <t>De acuerdo a las Naciones Unidas, este indicador se requiere con las siguientes desagregaciones: Sexo</t>
  </si>
  <si>
    <t>Pablo Mena Castillo</t>
  </si>
  <si>
    <t>Director, Dirección de Gestión y Evaluación de la Calidad</t>
  </si>
  <si>
    <t>Ministerio de Educación Pública</t>
  </si>
  <si>
    <t>pablo.mena.castillo@mep.go.cr</t>
  </si>
  <si>
    <t>Dixie Brenes Vindas</t>
  </si>
  <si>
    <t>Departamento de Análisis Estadístico</t>
  </si>
  <si>
    <t xml:space="preserve"> dixie.brenes.vindas@mep.go.cr</t>
  </si>
  <si>
    <t>4.1.2  Índice de finalización (enseñanza primaria, primer ciclo de enseñanza secundaria y segundo ciclo de enseñanza secundaria)</t>
  </si>
  <si>
    <t>Porcentaje de estudiantes que concluyen en el tiempo reglamentario la enseñanza en primaria y la secundaria</t>
  </si>
  <si>
    <t>Costa Rica: Porcentaje de estudiantes que concluyen en el tiempo reglamentario la enseñanza en primaria y la secundaria</t>
  </si>
  <si>
    <t>Fuente: Ministerio de Educación Pública, Departamento de Análisis Estadístico, 2010-2021.</t>
  </si>
  <si>
    <t>Costa Rica: Porcentaje que concluye en el tiempo reglamentario la enseñanza en primaria y la secundaria, 2010-2021</t>
  </si>
  <si>
    <t>FUENTE: Departamento de Análisis Estadístico, MEP, 2010-2021.</t>
  </si>
  <si>
    <t>anual</t>
  </si>
  <si>
    <t>Eliécer Ramírez Vargas</t>
  </si>
  <si>
    <t>Jefe, Departamento de Análisis Estadístico</t>
  </si>
  <si>
    <t>(506) 2258-0764</t>
  </si>
  <si>
    <t>eliecer.ramirez.vargas@mep.go.cr</t>
  </si>
  <si>
    <t>(506) 2258-0764 ext 1250</t>
  </si>
  <si>
    <t>Costa Rica: Porcentaje de niños y niñas de 3 y 4 años cuyo desarrollo se encuentra bien encauzado en cuanto a la salud, el aprendizaje y el bienestar psicosocial</t>
  </si>
  <si>
    <t>Costa Rica: Porcentaje de niños/as de 3-4 años que están en desarrollo adecuado en los ámbitos de alfabetización- conocimientos de números, físico, social-emocional y aprendizaje, y la puntuación del índice de desarrollo de la niñez temprana, 2018</t>
  </si>
  <si>
    <t>Porcentaje de niños/as de 3-4 años que están en el desarrollo adecuado de los ámbitos indicados</t>
  </si>
  <si>
    <r>
      <t>Puntuación del Índice de desarrollo temprano infantil</t>
    </r>
    <r>
      <rPr>
        <vertAlign val="superscript"/>
        <sz val="11"/>
        <rFont val="Open Sans Condensed"/>
      </rPr>
      <t>1</t>
    </r>
  </si>
  <si>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</si>
  <si>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</si>
  <si>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</si>
  <si>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</si>
  <si>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</si>
  <si>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</si>
  <si>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</si>
  <si>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</si>
  <si>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</si>
  <si>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</si>
  <si>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</si>
  <si>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r>
      <rPr>
        <b/>
        <vertAlign val="superscript"/>
        <sz val="11"/>
        <rFont val="Open Sans Condensed"/>
      </rPr>
      <t xml:space="preserve">1 </t>
    </r>
    <r>
      <rPr>
        <b/>
        <sz val="11"/>
        <rFont val="Open Sans Condensed"/>
      </rPr>
      <t>Indicador MICS TC.53- Índice de desarrollo temprano infantil; Indicador ODS 4.2.1</t>
    </r>
  </si>
  <si>
    <t>(*) Cifras que se basan en menos de 25 casos no ponderados</t>
  </si>
  <si>
    <t>Fuente: Instituto Nacional de Estadística y Censos, Encuesta Mujer, Niñez y adoloscencia, 2018</t>
  </si>
  <si>
    <t>Costa Rica: Porcentaje de niños/as de 3-4 años que están en desarrollo adecuado en los ámbitos de alfabetización- conocimientos de números, físico, social-emocional y aprendizaje, y la puntuación del índice de desarrollo de la niñez temprana, 2011</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</si>
  <si>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</si>
  <si>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</si>
  <si>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</si>
  <si>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</si>
  <si>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</si>
  <si>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</si>
  <si>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</si>
  <si>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</si>
  <si>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</si>
  <si>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</si>
  <si>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</si>
  <si>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https://unstats.un.org/sdgs/metadata/files/Metadata-04-02-01.pdf</t>
  </si>
  <si>
    <t xml:space="preserve">Meta país no identificada. </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</si>
  <si>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</si>
  <si>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</si>
  <si>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</si>
  <si>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 xml:space="preserve">• Niños menores de cinco años que tienen su desarrollo en pista en la salud, el aprendizaje y el bienestar psicosocial.
• Total de niños menores de cinco años.
</t>
  </si>
  <si>
    <t>Encuesta Mujer, Niñez y Adolescencia</t>
  </si>
  <si>
    <t>Por definir</t>
  </si>
  <si>
    <t>Costa Rica: Tasa bruta y neta participación en la escolaridad en el Ciclo de Transición de la Educación Preescolar por sexo</t>
  </si>
  <si>
    <t>Tasa Bruta</t>
  </si>
  <si>
    <t>Tasa Neta</t>
  </si>
  <si>
    <t>Nota: Excluye Educación Especial.</t>
  </si>
  <si>
    <t>Fuente: Ministerio de Educación Pública, Censo Escolar-Informe Inicial 2010-2022.</t>
  </si>
  <si>
    <t>Costa Rica: Tasa bruta y neta participación en la escolaridad en el Ciclo de Transición de la Educación Preescolar por sexo, 2010-2022</t>
  </si>
  <si>
    <t>Fuente: Ministerio de Educación Pública, Censo Escolar-Informe Inicial 2010-2022</t>
  </si>
  <si>
    <t>https://unstats.un.org/sdgs/metadata/files/Metadata-04-02-02.pdf</t>
  </si>
  <si>
    <t>Tasa bruta y neta de escolaridad en el Ciclo de Transición (un año antes de la edad oficial de ingreso a I y II Ciclos),  por sexo</t>
  </si>
  <si>
    <r>
      <rPr>
        <b/>
        <sz val="11"/>
        <rFont val="Open Sans Condensed"/>
      </rPr>
      <t xml:space="preserve">Escolaridad en el Ciclo de Transición (Educación Preescolar): </t>
    </r>
    <r>
      <rPr>
        <sz val="11"/>
        <rFont val="Open Sans Condensed"/>
      </rPr>
      <t>nivel educativo previo al ingreso de I y II Ciclos (enseñanza primaria), el cual atienda a la población con edad teórica de 5 años.
La</t>
    </r>
    <r>
      <rPr>
        <b/>
        <sz val="11"/>
        <rFont val="Open Sans Condensed"/>
      </rPr>
      <t xml:space="preserve"> Tasa Bruta</t>
    </r>
    <r>
      <rPr>
        <sz val="11"/>
        <rFont val="Open Sans Condensed"/>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Open Sans Condensed"/>
      </rPr>
      <t xml:space="preserve"> Tasa Neta</t>
    </r>
    <r>
      <rPr>
        <sz val="11"/>
        <rFont val="Open Sans Condensed"/>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</si>
  <si>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t xml:space="preserve">Tasa  </t>
  </si>
  <si>
    <t>• Matrícula inicial en el Ciclo de Transición.
• Población de 5 años, la cual es la edad oficial para asistir al Ciclo de Transición.</t>
  </si>
  <si>
    <t>Censo</t>
  </si>
  <si>
    <t>Censo escolar-Informe Inicial</t>
  </si>
  <si>
    <t>En el MEP se conoce como Tasa Bruta/Neta de Escolaridad en el Ciclo de Transición.</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</si>
  <si>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</si>
  <si>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</si>
  <si>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Asiste a la educación formal</t>
  </si>
  <si>
    <t>Asiste a la educación no formal</t>
  </si>
  <si>
    <t>Rangos de edad</t>
  </si>
  <si>
    <t>Entre 15 y 17 años</t>
  </si>
  <si>
    <t>Entre 18 y 24 años</t>
  </si>
  <si>
    <t>Entre 25 y 35 años</t>
  </si>
  <si>
    <t>https://unstats.un.org/sdgs/metadata/files/Metadata-04-03-01.pdf</t>
  </si>
  <si>
    <t>Porcentaje de jóvenes y adultos de 15 a 35 años que asisten a la educación formal y no formal, por sexo, zona, región de planificación  y grupos de edades.</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</si>
  <si>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</si>
  <si>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</si>
  <si>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Sexo y rangos de edad</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</si>
  <si>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</si>
  <si>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Coordinador Encuesta Nacional de Hogares</t>
  </si>
  <si>
    <t>(506) 2280-9280 Ext: 317</t>
  </si>
  <si>
    <t xml:space="preserve">eddy.madrigal@inec.go.cr </t>
  </si>
  <si>
    <t xml:space="preserve">4.4.1 Proporción de jóvenes y adultos con competencias en tecnología de la información y las comunicaciones (TIC), desglosada por tipo de competencia técnica </t>
  </si>
  <si>
    <t>Costa Rica: Proporción de personas con conocimientos y habilidades TIC según tipo de actividad</t>
  </si>
  <si>
    <t>Conocimientos y habilidades TIC</t>
  </si>
  <si>
    <t>Copiar o mover un archivo o carpeta</t>
  </si>
  <si>
    <t>n.d.</t>
  </si>
  <si>
    <t>Uso de herramientas de copiar y pegar para duplicar o mover información dentro de un documento</t>
  </si>
  <si>
    <t>Envío de correos electrónicos con archivos adjuntos (por ejemplo, documento, imagen y video)</t>
  </si>
  <si>
    <t>Usar fórmulas aritméticas básicas en una hoja de cálculo</t>
  </si>
  <si>
    <t>Conexión e instalación de nuevos dispositivos (por ejemplo, módem, cámara, impresora)</t>
  </si>
  <si>
    <t>Encontrar, descargar, instalar y configurar software</t>
  </si>
  <si>
    <t xml:space="preserve">Creación de presentaciones electrónicas con software de presentación </t>
  </si>
  <si>
    <t>Transferencia de archivos entre una computadora y otros dispositivos</t>
  </si>
  <si>
    <t>Escribir un programa de computadora usando un lenguaje de programación especializado</t>
  </si>
  <si>
    <t>Valor promedio de la escala de conocimientos y habilidades TIC</t>
  </si>
  <si>
    <t>Fuente: Ministerio de Ciencia, Tecnología y Telecomunicaciones, 2017-2018</t>
  </si>
  <si>
    <t>Costa Rica: Proporción de personas con conocimientos y habilidades TIC según tipo de actividad, 2017-2018</t>
  </si>
  <si>
    <t>https://unstats.un.org/sdgs/metadata/files/Metadata-04-04-01.pdf</t>
  </si>
  <si>
    <t>Proporción de personas mayores de 18 años con conocimientos y habilidades para el uso de tecnología de la información y las comunicaciones (TIC)</t>
  </si>
  <si>
    <t xml:space="preserve">4.4.1 </t>
  </si>
  <si>
    <t>Escala de razón</t>
  </si>
  <si>
    <t xml:space="preserve">Las actividades relacionadas con conocimientos y habilidades en TIC incluyen 6 variables:
En los últimos 12 meses, ¿usted ha utilizado…? 
-Fórmulas aritméticas básicas en una hoja de cálculo.
-Software para presentaciones electrónicas (diapositivas).
-Ha enviado correos electrónicos con archivos adjuntos (documento, imagen, video)
-Han transferido archivos (por ejemplo, a una cámara digital, a un teléfono móvil, etc.).
-Ha encontrado, descargado e instalado software de Internet.
-Ha escrito código de computadora usando un lenguaje de programación especializado.
</t>
  </si>
  <si>
    <t xml:space="preserve">((suma de las variables de conocimientos TIC)/6)*10 </t>
  </si>
  <si>
    <t>Valor en la escala de conocimientos y habilidades en el uso de las TIC</t>
  </si>
  <si>
    <t>La escala de conocimientos y habilidades TIC oscila entre 0 y 10, siendo 0 ningún conocimiento y habilidad TIC  y 10 corresponde al conocimiento y habilidad máximos de TIC.</t>
  </si>
  <si>
    <t>Para estandarizar el valor de la escala entre 0 y 10, se divide entre 6 siendo el valor máximo que puede tener la escala cuando una persona indica haber realizado todas las actividades relacionadas con conocimientos y habilidades TIC. Luego se multiplica por 10 para que oscile hasta 10.</t>
  </si>
  <si>
    <t>TIC</t>
  </si>
  <si>
    <t>Anual, sin embargo para el 2019 no se realizó el estudio</t>
  </si>
  <si>
    <t xml:space="preserve">Ministerio de Ciencia, Innovación, Tecnología y Telecomunicaciones </t>
  </si>
  <si>
    <t>Encuesta por muestreo</t>
  </si>
  <si>
    <t>Encuesta de Acceso y Uso de los Servicios de Telecomunicaciones en Costa Rica</t>
  </si>
  <si>
    <t>No se tiene el dato por tipo de conocimiento técnico</t>
  </si>
  <si>
    <t>En la Encuesta de Acceso, Uso y Satisfacción con los servicios de Telecomunicaciones, elaborada por el Viceministerio de Telecomunicaciones, se incluye un listado de ítems sobre el uso de Internet. Según la definición de la Unión Internacional de Telecomunicaciones (UIT) del “Manual para la medición del uso y el acceso a las TIC por lo hogares y las personas 2014” (se adjunta copia de las especificaciones del indicador), a nivel nacional aún falta completar información para obtener un indicador robusto y basado en los estándares internacionales, lo cual es de suma importancia, más aún tomando en cuenta el proceso de incorporación de nuestro país a la OCDE.
Actualmente, el único instrumento del cual se podría obtener la información solicitada con el detalle requerido, mediante la incorporación de preguntas adicionales, es la Encuesta Nacional de Hogares (ENAHO).
Por lo tanto, y de ser posible, se sugiere incluir en la ENAHO las actividades informáticas mencionadas en el adjunto, con el fin de medir las aptitudes de TIC según las desagregaciones señaladas en la definición del mismo.
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</si>
  <si>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Greivin Barboza Retana</t>
  </si>
  <si>
    <t>Jefe Unidad de Planificación Sectorial.</t>
  </si>
  <si>
    <t>Ministerio de Ciencia, Innovación, Tecnología y Telecomunucaciones</t>
  </si>
  <si>
    <t>(506) 2539-2251</t>
  </si>
  <si>
    <t>greivin.barboza@micitt.go.cr; planificacion.institucional@micitt.go.cr</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</si>
  <si>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</si>
  <si>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</si>
  <si>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</si>
  <si>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</si>
  <si>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</si>
  <si>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</si>
  <si>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</si>
  <si>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</si>
  <si>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</si>
  <si>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</si>
  <si>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</si>
  <si>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</si>
  <si>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</si>
  <si>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m</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</si>
  <si>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</si>
  <si>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</si>
  <si>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</si>
  <si>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t>https://unstats.un.org/sdgs/metadata/files/Metadata-04-05-01.pdf</t>
  </si>
  <si>
    <t>Índices de paridad mujeres/hombres, zonas rurales y urbanas, quintil inferior/superior de recursos económicos,  para la proporción de niños, niñas y adolescentes que han alcanzado al menos un nivel mínimo de competencia en lectura y matemáticas</t>
  </si>
  <si>
    <r>
      <rPr>
        <b/>
        <sz val="11"/>
        <color theme="1"/>
        <rFont val="Open Sans Condensed"/>
      </rPr>
      <t>Los índices de paridad</t>
    </r>
    <r>
      <rPr>
        <sz val="11"/>
        <color theme="1"/>
        <rFont val="Open Sans Condensed"/>
      </rPr>
      <t>: representan la razón valor indicador de un grupo al valor del otro grupo. Por lo general, el grupo más desfavorecido es el numerador. Un valor de exactamente 1, indica paridad entre los dos grupos.</t>
    </r>
  </si>
  <si>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</si>
  <si>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</si>
  <si>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</si>
  <si>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</si>
  <si>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</si>
  <si>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Organización de las Naciones Unidas para la Educación, la Ciencia y la Cultura</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</si>
  <si>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</si>
  <si>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</si>
  <si>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</si>
  <si>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s.voffal@unesco.org</t>
  </si>
  <si>
    <t xml:space="preserve">4.6.1 Proporción de la población en un grupo de edad determinado que ha alcanzado al menos un nivel fijo de competencia funcional en a) alfabetización y b) nociones elementales de aritmética, desglosada por sexo  </t>
  </si>
  <si>
    <t>Costa Rica: Porcentaje de población alfabeta en los grupos de edades de 15 a 24 y de 15 años y más, por zona y sexo</t>
  </si>
  <si>
    <t>Año censal</t>
  </si>
  <si>
    <t xml:space="preserve">De 15 a 24 años </t>
  </si>
  <si>
    <t>De 15 años y más</t>
  </si>
  <si>
    <t>Fuente: Intituto Nacional de Estadística y Censos, Censos de población y vivienda 2011.</t>
  </si>
  <si>
    <t>Costa Rica: Porcentaje de población alfabeta de 15 a 24 años y de 15 años en adelante, Año 2011</t>
  </si>
  <si>
    <t>https://unstats.un.org/sdgs/metadata/files/Metadata-04-06-01.pdf</t>
  </si>
  <si>
    <t>Porcentaje de población alfabeta en los grupos de edades de 15 a 24 y de 15 años y más, por zona y sexo</t>
  </si>
  <si>
    <r>
      <rPr>
        <b/>
        <sz val="11"/>
        <color theme="1"/>
        <rFont val="Open Sans Condensed"/>
      </rPr>
      <t>Población alfabeta</t>
    </r>
    <r>
      <rPr>
        <sz val="11"/>
        <color theme="1"/>
        <rFont val="Open Sans Condensed"/>
      </rPr>
      <t>: El porcentaje de jóvenes (15-24 años) y la de los adultos (mayores de 15 años ) que alcancen o superen un determinado nivel de competencia en (a) la alfabetización y (b) la aritmética.</t>
    </r>
  </si>
  <si>
    <t>• Total de jóvenes (15-24 años) y total de adultos (mayores de 15 años) que alcancen o superen un determinado nivel de competencia en (a) la alfabetización y (b) la aritmética. 
• Total de jóvenes y adultos.</t>
  </si>
  <si>
    <t>Nacional y zona urbano, rural</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</si>
  <si>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</si>
  <si>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</si>
  <si>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</si>
  <si>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</si>
  <si>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(506) 2280-9280</t>
  </si>
  <si>
    <t>elizabeth.solono@inec.go.cr</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</si>
  <si>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</si>
  <si>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Costa Rica: Inclusion o no de la educación cívica, el desarrollo sostenible (Ambiente), en  las políticas nacionales, planes de estudio, formación de profesorado y evaluación de estudiantes. </t>
  </si>
  <si>
    <t xml:space="preserve">Costa Rica: Inclusion o no de la educación cívica, el desarrollo sostenible (Ambiente), en  las políticas nacionales, planes de estudio, formación de profesorado y evaluación de estudiantes </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</si>
  <si>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</si>
  <si>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</si>
  <si>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</si>
  <si>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</si>
  <si>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</si>
  <si>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</si>
  <si>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</si>
  <si>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</si>
  <si>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</si>
  <si>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</si>
  <si>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Fuente: Ministerio de Educación Pública, 2016</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</si>
  <si>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</si>
  <si>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Las cuatro temáticas principales: ciudadanía mundial, desarrollo sostenible, igualdad de géneros y derechos humanos se abordan en los cuatro fines DE las políticas nacionales de educación, los planes de estudio, la formación Y CERTIFICACIÓN del profesorado y la evaluación de los estudiantes.
Sin embargo, es importante aclarar que el hecho de que un tema aparezca en la redacción de un documento (por ejemplo, en la POLITICA EDUCATIVA EDUCAR PARA UNA NUEVA CIUDADANÍA)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</si>
  <si>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color theme="1"/>
        <rFont val="Open Sans Condensed"/>
      </rPr>
      <t xml:space="preserve">  
i = </t>
    </r>
    <r>
      <rPr>
        <sz val="11"/>
        <color theme="1"/>
        <rFont val="Open Sans Condensed"/>
      </rPr>
      <t>representa la</t>
    </r>
    <r>
      <rPr>
        <b/>
        <sz val="11"/>
        <color theme="1"/>
        <rFont val="Open Sans Condensed"/>
      </rPr>
      <t xml:space="preserve"> Temática</t>
    </r>
    <r>
      <rPr>
        <sz val="11"/>
        <color theme="1"/>
        <rFont val="Open Sans Condensed"/>
      </rPr>
      <t xml:space="preserve">, las cuales son:
• Ciudadanía mundial
• Desarrollo sostenible
• Igual de géneros 
• Derechos humanos.
</t>
    </r>
    <r>
      <rPr>
        <b/>
        <sz val="11"/>
        <color theme="1"/>
        <rFont val="Open Sans Condensed"/>
      </rPr>
      <t xml:space="preserve">n = </t>
    </r>
    <r>
      <rPr>
        <sz val="11"/>
        <color theme="1"/>
        <rFont val="Open Sans Condensed"/>
      </rPr>
      <t>representa</t>
    </r>
    <r>
      <rPr>
        <b/>
        <sz val="11"/>
        <color theme="1"/>
        <rFont val="Open Sans Condensed"/>
      </rPr>
      <t xml:space="preserve"> </t>
    </r>
    <r>
      <rPr>
        <sz val="11"/>
        <color theme="1"/>
        <rFont val="Open Sans Condensed"/>
      </rPr>
      <t>los</t>
    </r>
    <r>
      <rPr>
        <b/>
        <sz val="11"/>
        <color theme="1"/>
        <rFont val="Open Sans Condensed"/>
      </rPr>
      <t xml:space="preserve"> Fines,</t>
    </r>
    <r>
      <rPr>
        <sz val="11"/>
        <color theme="1"/>
        <rFont val="Open Sans Condensed"/>
      </rPr>
      <t xml:space="preserve"> las cuales son:
• Políticas nacionales de educación 
• Planes de estudio 
• Formación del profesorado 
• Evaluación de los estudiantes.</t>
    </r>
  </si>
  <si>
    <t>Variable dicotómica 1 y 0.</t>
  </si>
  <si>
    <t>• Temáticas principales.
• Fines políticos.</t>
  </si>
  <si>
    <t>Información no disponible en el Departamento de Análisis Estadístico.</t>
  </si>
  <si>
    <r>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t>
    </r>
    <r>
      <rPr>
        <sz val="11"/>
        <color rgb="FFFF0000"/>
        <rFont val="Open Sans Condensed"/>
      </rPr>
      <t>con</t>
    </r>
    <r>
      <rPr>
        <sz val="11"/>
        <rFont val="Open Sans Condensed"/>
      </rPr>
      <t xml:space="preserve"> que se incluyó en dicho documento. 
</t>
    </r>
    <r>
      <rPr>
        <sz val="11"/>
        <color rgb="FFFF0000"/>
        <rFont val="Open Sans Condensed"/>
      </rPr>
      <t>Es el mismo indicador que el 12.8.1  Grado en que i) la educación para la ciudadanía
mundial y ii) la educación para el desarrollo sostenible (incluida la educación sobre el cambio climático) se incorporan en a) las políticas nacionales de educación, b) los planes de estudio, c) la formación Y CERTIFICACIÓN del profesorado y d) la evaluación de los estudiantes.</t>
    </r>
  </si>
  <si>
    <t>María Alexandra Ulate Espinoza</t>
  </si>
  <si>
    <t>Directora, Dirección de Desarrollo Curricular</t>
  </si>
  <si>
    <t>(506) 2255-1251</t>
  </si>
  <si>
    <t>maria.ulate.espinoza@mep.go.cr</t>
  </si>
  <si>
    <t>Costa Rica: Porcentaje de centros educativos que cuentan con acceso a electricidad, computadoras conectadas a internet con fines pedagógicos, computadoras con fines pedagógicos, infraestructura adaptada, agua, inodoros y lavatorios por nivel educativo</t>
  </si>
  <si>
    <r>
      <t xml:space="preserve">a) Electricidad </t>
    </r>
    <r>
      <rPr>
        <b/>
        <vertAlign val="superscript"/>
        <sz val="11"/>
        <rFont val="Open Sans Condensed"/>
      </rPr>
      <t>1/</t>
    </r>
  </si>
  <si>
    <r>
      <t xml:space="preserve">b) Computadoras conectadas a internet con fines pedagógicos </t>
    </r>
    <r>
      <rPr>
        <b/>
        <vertAlign val="superscript"/>
        <sz val="11"/>
        <rFont val="Open Sans Condensed"/>
      </rPr>
      <t>2/</t>
    </r>
  </si>
  <si>
    <r>
      <t xml:space="preserve">c) Computadoras con fines pedagógicos </t>
    </r>
    <r>
      <rPr>
        <b/>
        <vertAlign val="superscript"/>
        <sz val="11"/>
        <rFont val="Open Sans Condensed"/>
      </rPr>
      <t>3/</t>
    </r>
  </si>
  <si>
    <r>
      <t xml:space="preserve">d) Infraestructura adaptada </t>
    </r>
    <r>
      <rPr>
        <b/>
        <vertAlign val="superscript"/>
        <sz val="11"/>
        <rFont val="Open Sans Condensed"/>
      </rPr>
      <t>4/</t>
    </r>
  </si>
  <si>
    <r>
      <t xml:space="preserve">e)Agua </t>
    </r>
    <r>
      <rPr>
        <b/>
        <vertAlign val="superscript"/>
        <sz val="11"/>
        <rFont val="Open Sans Condensed"/>
      </rPr>
      <t>5/</t>
    </r>
  </si>
  <si>
    <r>
      <t>f) Inodoros</t>
    </r>
    <r>
      <rPr>
        <b/>
        <vertAlign val="superscript"/>
        <sz val="11"/>
        <rFont val="Open Sans Condensed"/>
      </rPr>
      <t xml:space="preserve"> 6/</t>
    </r>
  </si>
  <si>
    <r>
      <t xml:space="preserve">g) Lavatorios </t>
    </r>
    <r>
      <rPr>
        <b/>
        <vertAlign val="superscript"/>
        <sz val="11"/>
        <rFont val="Open Sans Condensed"/>
      </rPr>
      <t>7/</t>
    </r>
  </si>
  <si>
    <t>I y II Ciclos</t>
  </si>
  <si>
    <r>
      <t xml:space="preserve">III Ciclo y Educación Diversific. </t>
    </r>
    <r>
      <rPr>
        <b/>
        <vertAlign val="superscript"/>
        <sz val="11"/>
        <rFont val="Open Sans Condensed"/>
      </rPr>
      <t>8/</t>
    </r>
  </si>
  <si>
    <t>…</t>
  </si>
  <si>
    <t xml:space="preserve">Notas: </t>
  </si>
  <si>
    <t>1/ Electricidad proviene de ICE o CNFL, ESPH o JASEC, Cooperativa, Panel Solar o de otra fuente.</t>
  </si>
  <si>
    <t>2/ Instituciones que reportaron al menos una computadora de escritorio o portátil en buen estado conectada a internet de uso estrictamente pedagógico o de uso pedagógico y administrativo.</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</si>
  <si>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</si>
  <si>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4/ Instituciones que respondieron SÍ a la pregunta: 
     2010 - 2018: ¿El Centro Educativo tiene las adaptaciones necesarias en su infraestructura para que garantice la accesibilidad física a todos (estudiantes, personal, padres de familia, …)?.
     2019 - 2020: ¿El Centro Educativo tiene las adaptaciones necesarias en su infraestructura para que garantice la accesibilidad física de los estudiantes, personal y padres de familia, a todos los servicios ofrecidos,
                              por ejemplo: área administrativa, biblioteca, comedor, laboratorios?</t>
  </si>
  <si>
    <t xml:space="preserve">5/ Instituciones que cuentan con Servicio básico de agua (WASH), procedente de una fuente mejorada (Acueducto Rural o Comunal (ASADAS o CAAR), acueducto municipal, acueducto AyA o acueducto de una empresa o cooperativa, Pozo -para 2019 y 2020 se consideran solo Pozo con tanque elevado-, Camión Sisterna). </t>
  </si>
  <si>
    <t>6/ Instituciones que cuentan con instalaciones de saneamiento mejoradas (WASH).  Se consideran los centros educativos que reportan al menos un inodoro en buen estado y los que reportan tenencia de servicio sanitario de hueco, pozo negro o letrina.  Del 2010 al 2018 no se solicita desagregación por sexo.</t>
  </si>
  <si>
    <t>7/ Instituciones que reportan al menos un lavatorio en buen estado.
     2010 - 2018: No se solicita en el formulario si el lavatorio tiene la respectiva conexión de agua y tampoco si disponen de jabón para el lavado de las manos.
     2019 - 2020: Se consideran instituciones que reportan al menos un lavatorio o pileta en buen estado con agua y jabón.</t>
  </si>
  <si>
    <t>8/ III Ciclo y Educación Diversificada, Académica y Tecnica.  Se incluyen las secciones nocturnas, académicas y técnicas.</t>
  </si>
  <si>
    <t>Fuente: Ministerio de Educación Pública, Censo Escolar-Informe Inicial, 2010-2020.</t>
  </si>
  <si>
    <t>Costa Rica: Porcentaje de centros educativos que cuentan acceso a electricidad, computadoras conectadas a internet con fines pedagógicos, computadoras con fines pedagógicos, infraestructura adaptada, agua, inodoros y lavatorios por nivel educativo, Año 2021</t>
  </si>
  <si>
    <t>Fuente: Ministerio de Educación Pública, Censo Escolar-Informe Inicial, 2021.</t>
  </si>
  <si>
    <t xml:space="preserve">Electricidad </t>
  </si>
  <si>
    <t>Computa-
doras conectadas a internet</t>
  </si>
  <si>
    <t>Computado-
ras pedagó-
gicas</t>
  </si>
  <si>
    <t>Infraestruc-
tura
adaptada</t>
  </si>
  <si>
    <t>Agua</t>
  </si>
  <si>
    <t>Inodoros</t>
  </si>
  <si>
    <t>Lavatorios</t>
  </si>
  <si>
    <t>III Ciclo y 
Educ. Diversificada</t>
  </si>
  <si>
    <t>Meta ODS Naciones Unidas</t>
  </si>
  <si>
    <t>https://unstats.un.org/sdgs/metadata/files/Metadata-04-0A-01.pdf</t>
  </si>
  <si>
    <t>Porcentaje de centros educativos que cuentan con acceso a electricidad, computadoras conectadas a internet con fines pedagógicos, computadoras con fines pedagógicos, infraestructura adaptada, agua, inodoros y lavatorios por nivel educativo</t>
  </si>
  <si>
    <r>
      <t xml:space="preserve">Porcentaje de centros educativos (escuelas o colegios) que cuentan con acceso a electricidad, computadoras conectadas a internet con fines pedagógicos, computadoras con fines pedagógicos, infraestructura adaptada, agua, inodoros y lavatorios.
</t>
    </r>
    <r>
      <rPr>
        <b/>
        <sz val="11"/>
        <color theme="1"/>
        <rFont val="Open Sans Condensed"/>
      </rPr>
      <t>Escuelas:</t>
    </r>
    <r>
      <rPr>
        <sz val="11"/>
        <color theme="1"/>
        <rFont val="Open Sans Condensed"/>
      </rPr>
      <t xml:space="preserve"> I y II Ciclos.
</t>
    </r>
    <r>
      <rPr>
        <b/>
        <sz val="11"/>
        <color theme="1"/>
        <rFont val="Open Sans Condensed"/>
      </rPr>
      <t>Colegios:</t>
    </r>
    <r>
      <rPr>
        <sz val="11"/>
        <color theme="1"/>
        <rFont val="Open Sans Condensed"/>
      </rPr>
      <t xml:space="preserve"> III Ciclo y Educación Diversificada, Académica y Tecnica.  
</t>
    </r>
    <r>
      <rPr>
        <b/>
        <sz val="11"/>
        <color theme="1"/>
        <rFont val="Open Sans Condensed"/>
      </rPr>
      <t>Detalle de los componentes del indicador:</t>
    </r>
    <r>
      <rPr>
        <sz val="11"/>
        <color theme="1"/>
        <rFont val="Open Sans Condensed"/>
      </rPr>
      <t xml:space="preserve">
</t>
    </r>
    <r>
      <rPr>
        <b/>
        <sz val="11"/>
        <color theme="1"/>
        <rFont val="Open Sans Condensed"/>
      </rPr>
      <t>Computadoras conectadas a internet con fines pedagógicos:</t>
    </r>
    <r>
      <rPr>
        <sz val="11"/>
        <color theme="1"/>
        <rFont val="Open Sans Condensed"/>
      </rPr>
      <t xml:space="preserve"> Instituciones que reportaron al menos una computadora de escritorio o portátil en buen estado conectada a internet de uso estrictamente pedagógico o de uso pedagógico y administrativo.
</t>
    </r>
    <r>
      <rPr>
        <b/>
        <sz val="11"/>
        <color theme="1"/>
        <rFont val="Open Sans Condensed"/>
      </rPr>
      <t>Computadoras con fines pedagógicos:</t>
    </r>
    <r>
      <rPr>
        <sz val="11"/>
        <color theme="1"/>
        <rFont val="Open Sans Condensed"/>
      </rPr>
      <t xml:space="preserve"> Instituciones que reportaron al menos una computadora de escritorio o portátil en buen estado de uso estrictamente pedagógico o de uso pedagógico y administrativo. Para el 2010 y 2011 son instituciones que reportaron computadoras en buen estado para estudiantes.</t>
    </r>
  </si>
  <si>
    <r>
      <rPr>
        <b/>
        <sz val="11"/>
        <color theme="1"/>
        <rFont val="Open Sans Condensed"/>
      </rPr>
      <t>Infraestructura adaptada</t>
    </r>
    <r>
      <rPr>
        <sz val="11"/>
        <color theme="1"/>
        <rFont val="Open Sans Condensed"/>
      </rPr>
      <t xml:space="preserve">: Instituciones que respondieron SÍ a la pregunta:
</t>
    </r>
    <r>
      <rPr>
        <b/>
        <i/>
        <sz val="11"/>
        <color theme="1"/>
        <rFont val="Open Sans Condensed"/>
      </rPr>
      <t>2010 - 2018:</t>
    </r>
    <r>
      <rPr>
        <sz val="11"/>
        <color theme="1"/>
        <rFont val="Open Sans Condensed"/>
      </rPr>
      <t xml:space="preserve"> ¿El Centro Educativo tiene las adaptaciones necesarias en su infraestructura para que garantice la accesibilidad física a todos (estudiantes, personal, padres de familia, …)?.
</t>
    </r>
    <r>
      <rPr>
        <b/>
        <i/>
        <sz val="11"/>
        <color theme="1"/>
        <rFont val="Open Sans Condensed"/>
      </rPr>
      <t>2019 - 2020:</t>
    </r>
    <r>
      <rPr>
        <sz val="11"/>
        <color theme="1"/>
        <rFont val="Open Sans Condensed"/>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Open Sans Condensed"/>
      </rPr>
      <t xml:space="preserve">Electricidad: </t>
    </r>
    <r>
      <rPr>
        <sz val="11"/>
        <color theme="1"/>
        <rFont val="Open Sans Condensed"/>
      </rPr>
      <t>Instituciones cuya luz eléctrica</t>
    </r>
    <r>
      <rPr>
        <b/>
        <sz val="11"/>
        <color theme="1"/>
        <rFont val="Open Sans Condensed"/>
      </rPr>
      <t xml:space="preserve"> </t>
    </r>
    <r>
      <rPr>
        <sz val="11"/>
        <color theme="1"/>
        <rFont val="Open Sans Condensed"/>
      </rPr>
      <t>proviene de ICE o CNFL, ESPH o JASEC, Cooperativa, Panel Solar u otra fuente.</t>
    </r>
    <r>
      <rPr>
        <b/>
        <sz val="11"/>
        <rFont val="Calibri"/>
        <family val="2"/>
        <scheme val="minor"/>
      </rPr>
      <t/>
    </r>
  </si>
  <si>
    <r>
      <rPr>
        <b/>
        <sz val="11"/>
        <color theme="1"/>
        <rFont val="Open Sans Condensed"/>
      </rPr>
      <t>Agua:</t>
    </r>
    <r>
      <rPr>
        <sz val="11"/>
        <color theme="1"/>
        <rFont val="Open Sans Condensed"/>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Open Sans Condensed"/>
      </rPr>
      <t>Servicio básico de agua:</t>
    </r>
    <r>
      <rPr>
        <sz val="11"/>
        <color theme="1"/>
        <rFont val="Open Sans Condensed"/>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</si>
  <si>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Open Sans Condensed"/>
      </rPr>
      <t xml:space="preserve">Inodoro: </t>
    </r>
    <r>
      <rPr>
        <sz val="11"/>
        <color theme="1"/>
        <rFont val="Open Sans Condensed"/>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Open Sans Condensed"/>
      </rPr>
      <t>Lavatorio</t>
    </r>
    <r>
      <rPr>
        <sz val="11"/>
        <color theme="1"/>
        <rFont val="Open Sans Condensed"/>
      </rPr>
      <t xml:space="preserve">: Instituciones que reportan al menos un lavatorio en buen estado.
</t>
    </r>
    <r>
      <rPr>
        <b/>
        <i/>
        <sz val="11"/>
        <color theme="1"/>
        <rFont val="Open Sans Condensed"/>
      </rPr>
      <t>2010 - 2018:</t>
    </r>
    <r>
      <rPr>
        <sz val="11"/>
        <color theme="1"/>
        <rFont val="Open Sans Condensed"/>
      </rPr>
      <t xml:space="preserve"> No se solicita en el formulario si el lavatorio tiene la respectiva conexión de agua y tampoco si disponen de jabón para el lavado de las manos.
</t>
    </r>
    <r>
      <rPr>
        <b/>
        <i/>
        <sz val="11"/>
        <color theme="1"/>
        <rFont val="Open Sans Condensed"/>
      </rPr>
      <t xml:space="preserve">2019 - 2020: </t>
    </r>
    <r>
      <rPr>
        <sz val="11"/>
        <color theme="1"/>
        <rFont val="Open Sans Condensed"/>
      </rPr>
      <t xml:space="preserve">Se consideran instituciones que reportan al menos un lavatorio o pileta en buen estado con agua y jabón.
</t>
    </r>
    <r>
      <rPr>
        <b/>
        <sz val="11"/>
        <color theme="1"/>
        <rFont val="Open Sans Condensed"/>
      </rPr>
      <t>Saneamiento mejorado:</t>
    </r>
    <r>
      <rPr>
        <sz val="11"/>
        <color theme="1"/>
        <rFont val="Open Sans Condensed"/>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</si>
  <si>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 xml:space="preserve">Donde:
</t>
    </r>
    <r>
      <rPr>
        <b/>
        <i/>
        <sz val="11"/>
        <rFont val="Open Sans Condensed"/>
      </rPr>
      <t xml:space="preserve">i </t>
    </r>
    <r>
      <rPr>
        <sz val="11"/>
        <rFont val="Open Sans Condensed"/>
      </rPr>
      <t xml:space="preserve">= escuelas o colegios.
</t>
    </r>
    <r>
      <rPr>
        <b/>
        <i/>
        <sz val="11"/>
        <rFont val="Open Sans Condensed"/>
      </rPr>
      <t>x</t>
    </r>
    <r>
      <rPr>
        <sz val="11"/>
        <rFont val="Open Sans Condensed"/>
      </rPr>
      <t>= servicio: acceso a electricidad, computadoras conectadas a internet con fines pedagógicos, computadoras con fines pedagógicos, infraestructura adaptada, agua, inodoros y lavatorios.</t>
    </r>
  </si>
  <si>
    <t>• Centros educativos con acceso al servicio determinado. 
• Total de centros.</t>
  </si>
  <si>
    <t>Nivel educativo (I y II Ciclos, III Ciclo y Educación Diversificada (no se incluyen las secciones nocturnas, académicas y técnicas).</t>
  </si>
  <si>
    <t>Censo Escolar-Informe Inicial</t>
  </si>
  <si>
    <t>(506) 2258-0764, 2256-8880 ext 1250</t>
  </si>
  <si>
    <t>El indicador no es aplicable a Costa Rica porque el país no brinda asistencia al exterior en estos temas. 
Costa Rica, figura en las plataformas globales como destino o receptor de los flujos de las donaciones, no como donante de recursos.</t>
  </si>
  <si>
    <t>https://unstats.un.org/sdgs/metadata/files/Metadata-04-0B-01.pdf</t>
  </si>
  <si>
    <t>De acuerdo a las Naciones Unidas, este indicador se requiere con las siguientes desagregaciones: Los datos pueden ser desglosados por proveedor y el país receptor, y se refieren fundamentalmente a las subvenciones.</t>
  </si>
  <si>
    <t>4.c.1 Proporción de docentes con las calificaciones mínimas requeridas, por nivel educativo</t>
  </si>
  <si>
    <t>Costa Rica: Porcentaje de docentes calificados por CINE</t>
  </si>
  <si>
    <t>Costa Rica: Porcentaje de Docentes calificados por CINE</t>
  </si>
  <si>
    <t>a) CINE 0</t>
  </si>
  <si>
    <t>b) CINE 1</t>
  </si>
  <si>
    <t xml:space="preserve">c) CINE 2 </t>
  </si>
  <si>
    <t>d) CINE 3</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</si>
  <si>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</si>
  <si>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</si>
  <si>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</si>
  <si>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</si>
  <si>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</si>
  <si>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Fuente: Ministerio de Educación Pública, Censo Escolar-Informe Inicial 2013-2021.</t>
  </si>
  <si>
    <t>Costa Rica: Porcentaje de docentes calificados por CINE,  ambos sexos,  2013-2021</t>
  </si>
  <si>
    <t>Docentes calificados según definición de la UNESCO.  Incluye a docentes titulados, autorizados y a los indicados como otros en el Censo Escolar-Informe Inicial.</t>
  </si>
  <si>
    <t>Fuente: Ministerio de Educación Pública, Censo Escolar-Informe Inicial 2013-2021</t>
  </si>
  <si>
    <t xml:space="preserve">b) CINE 1 </t>
  </si>
  <si>
    <t>c) CINE 2</t>
  </si>
  <si>
    <t>https://unstats.un.org/sdgs/metadata/files/Metadata-04-0C-01.pdf</t>
  </si>
  <si>
    <t>Porcentaje de docentes calificados, según clasificación dada el CINE 2011</t>
  </si>
  <si>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Open Sans Condensed"/>
      </rPr>
      <t>1/</t>
    </r>
    <r>
      <rPr>
        <sz val="11"/>
        <rFont val="Open Sans Condensed"/>
      </rPr>
      <t xml:space="preserve">, por lo cual, el Departamento de Análisis Estadístico ha realizado una estimación de docentes calificados (corresponde a docentes titulados, autorizados y a los indicados </t>
    </r>
    <r>
      <rPr>
        <sz val="11"/>
        <color rgb="FFFF0000"/>
        <rFont val="Open Sans Condensed"/>
      </rPr>
      <t xml:space="preserve">con </t>
    </r>
    <r>
      <rPr>
        <sz val="11"/>
        <color theme="1"/>
        <rFont val="Open Sans Condensed"/>
      </rPr>
      <t xml:space="preserve">Otro Grupo Profesional </t>
    </r>
    <r>
      <rPr>
        <sz val="11"/>
        <rFont val="Open Sans Condensed"/>
      </rPr>
      <t>en el Censo Escolar-Informe Inicial), los cuales se clasifican según el CINE 2011</t>
    </r>
    <r>
      <rPr>
        <vertAlign val="superscript"/>
        <sz val="11"/>
        <rFont val="Open Sans Condensed"/>
      </rPr>
      <t>2/</t>
    </r>
    <r>
      <rPr>
        <sz val="11"/>
        <rFont val="Open Sans Condensed"/>
      </rPr>
      <t xml:space="preserve"> (incluye todo el Sistema Educativo).  Se recomienda utilizar dichos datos.
1/ </t>
    </r>
    <r>
      <rPr>
        <i/>
        <sz val="11"/>
        <rFont val="Open Sans Condensed"/>
      </rPr>
      <t>Un docente calificado es aquel que ha adquirido las certificaciones académicas mínimas necesarias para enseñar en un nivel específico de educación en un país determinado. Habitualmente, esto está vinculado a la(s) asignatura(s) que se enseñan.</t>
    </r>
    <r>
      <rPr>
        <sz val="11"/>
        <rFont val="Open Sans Condensed"/>
      </rPr>
      <t xml:space="preserve"> UNESCO Instituto de Estadística (UIS). Manual de instrucciones. Encuesta de Educación Formal. 2017.
2/ Clasificación Internacional Normalizada de la Educación.</t>
    </r>
  </si>
  <si>
    <r>
      <t xml:space="preserve">
Donde:
</t>
    </r>
    <r>
      <rPr>
        <b/>
        <i/>
        <sz val="11"/>
        <rFont val="Open Sans Condensed"/>
      </rPr>
      <t xml:space="preserve">i </t>
    </r>
    <r>
      <rPr>
        <sz val="11"/>
        <rFont val="Open Sans Condensed"/>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</si>
  <si>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t>• Docentes que han recibido al menos el mínimo de formación docente organizada.
• Total de docentes.</t>
  </si>
  <si>
    <t>CINE 0, 1, 2 y 3. Sexo. Se dispone de datos por dependencia (pública, privada).</t>
  </si>
  <si>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Open Sans Condensed"/>
      </rPr>
      <t xml:space="preserve">
</t>
    </r>
  </si>
  <si>
    <t xml:space="preserve">Objetivo 5. Lograr la igualdad de género y empoderar a todas las mujeres y las niñas </t>
  </si>
  <si>
    <t>5.1 Poner fin a todas las formas de discriminación contra todas las mujeres y las niñas en todo el mundo</t>
  </si>
  <si>
    <t>5.1.1</t>
  </si>
  <si>
    <t>5.1.1 Determinar si existen o no marcos jurídicos para promover, hacer cumplir y supervisar la igualdad y la no discriminación por razón de sexo</t>
  </si>
  <si>
    <t>5.2 Eliminar todas las formas de violencia contra todas las mujeres y las niñas en los ámbitos público y privado, incluidas la trata y la explotación sexual y otros tipos de explotación</t>
  </si>
  <si>
    <t>5.2.1</t>
  </si>
  <si>
    <t>5.2.1 Proporción de mujeres y niñas a partir de 15 años de edad que han sufrido violencia física, sexual o psicológica a manos de su actual o anterior pareja en los últimos 12 meses, desglosada por forma de violencia y edad</t>
  </si>
  <si>
    <t>5.2.2</t>
  </si>
  <si>
    <t>5.2.2 Proporción de mujeres y niñas a partir de 15 años de edad que han sufrido violencia sexual a manos de personas que no eran su pareja en los últimos12 meses, desglosada por edad y lugar del hecho</t>
  </si>
  <si>
    <t>5.3 Eliminar todas las prácticas nocivas, como el matrimonio infantil, precoz y forzado y la mutilación genital femenina</t>
  </si>
  <si>
    <t>5.3.1</t>
  </si>
  <si>
    <t>5.3.1 Proporción de mujeres de entre 20 y 24 años que estaban casadas o mantenían una unión estable antes de cumplir los 15 años y antes de cumplir los 18 años</t>
  </si>
  <si>
    <t>5.3.2</t>
  </si>
  <si>
    <t>5.3.2 Proporción de niñas y mujeres de entre 15 y 49 años que han sufrido mutilación o ablación genital femenina, desglosada por edad</t>
  </si>
  <si>
    <t>5.4 Reconocer y valorar los cuidados y el trabajo doméstico no remunerados mediante servicios públicos, infraestructuras y políticas de protección social, y promoviendo la responsabilidad compartida en el hogar y la familia, según proceda en cada país</t>
  </si>
  <si>
    <t>5.4.1</t>
  </si>
  <si>
    <t>5.4.1 Proporción de tiempo dedicado al trabajo doméstico y asistencial no remunerado, desglosada por sexo, edad y ubicación</t>
  </si>
  <si>
    <t>5.5 Asegurar la participación plena y efectiva de las mujeres y la igualdad de oportunidades de liderazgo a todos los niveles decisorios en la vida política, económica y pública</t>
  </si>
  <si>
    <t>5.5.1</t>
  </si>
  <si>
    <t>5.5.1 Proporción de escaños ocupados por mujeres en a) los parlamentos nacionales y b) los gobiernos locales</t>
  </si>
  <si>
    <t>5.5.2</t>
  </si>
  <si>
    <t>5.5.2 Proporción de mujeres en cargos directivos</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</si>
  <si>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</si>
  <si>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5.6.1</t>
  </si>
  <si>
    <t>5.6.1 Proporción de mujeres de entre 15 y 49 años que toman sus propias decisiones informadas sobre las relaciones sexuales, el uso de anticonceptivos y la atención de la salud reproductiva</t>
  </si>
  <si>
    <t>5.6.2</t>
  </si>
  <si>
    <t>5.6.2 Número de países con leyes y reglamentos que garantizan a los hombres y las mujeres a partir de los 15 años de edad un acceso pleno e igualitario a los servicios de salud sexual y reproductiva y a la información y educación al respecto</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</si>
  <si>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</si>
  <si>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5.a.1</t>
  </si>
  <si>
    <t>5.a.1 a) Proporción del total de la población agrícola con derechos de propiedad o derechos seguros sobre tierras agrícolas, desglosada por sexo; y b) proporción de mujeres entre los propietarios o los titulares de derechos sobre tierras agrícolas, desglo</t>
  </si>
  <si>
    <t>5.a.2</t>
  </si>
  <si>
    <t>5.a.2 Proporción de países cuyo ordenamiento jurídico (incluido el derecho consuetudinario) garantiza la igualdad de derechos de la mujer a la propiedad o el control de las tierras</t>
  </si>
  <si>
    <t>5.b Mejorar el uso de la tecnología instrumental, en particular la tecnología de la información y las comunicaciones, para promover el empoderamiento de las mujeres</t>
  </si>
  <si>
    <t>5.b.1</t>
  </si>
  <si>
    <t>5.b.1 Proporción de personas que poseen un teléfono móvil, desglosada por sexo</t>
  </si>
  <si>
    <t>5.c Aprobar y fortalecer políticas acertadas y leyes aplicables para promover la igualdad de género y el empoderamiento de todas las mujeres y las niñas a todos los niveles</t>
  </si>
  <si>
    <t>5.c.1</t>
  </si>
  <si>
    <t>5.c.1 Proporción de países con sistemas para el seguimiento de la igualdad de género y el empoderamiento de las mujeres y la asignación de fondos públicos para ese fin</t>
  </si>
  <si>
    <t xml:space="preserve">Costa Rica: Existencia de marcos jurídicos para promover, hacer cumplir y supervisar la igualdad y la no discriminación por motivos de sexo </t>
  </si>
  <si>
    <t>Si/No</t>
  </si>
  <si>
    <t>Sí</t>
  </si>
  <si>
    <t>Fuente: Instituto Nacional de las Mujeres, 2000-2023</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</si>
  <si>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</si>
  <si>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</si>
  <si>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</si>
  <si>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</si>
  <si>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</si>
  <si>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</si>
  <si>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</si>
  <si>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</si>
  <si>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</si>
  <si>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</si>
  <si>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</si>
  <si>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</si>
  <si>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</si>
  <si>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</si>
  <si>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</si>
  <si>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</si>
  <si>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</si>
  <si>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</si>
  <si>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</si>
  <si>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</si>
  <si>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</si>
  <si>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</si>
  <si>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</si>
  <si>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</si>
  <si>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</si>
  <si>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</si>
  <si>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</si>
  <si>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</si>
  <si>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</si>
  <si>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</si>
  <si>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</si>
  <si>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</si>
  <si>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</si>
  <si>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</si>
  <si>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</si>
  <si>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</si>
  <si>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</si>
  <si>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</si>
  <si>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</si>
  <si>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</si>
  <si>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</si>
  <si>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</si>
  <si>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</si>
  <si>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</si>
  <si>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</si>
  <si>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</si>
  <si>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</si>
  <si>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</si>
  <si>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Objetivo 5. Lograr la igualdad de género y empoderar a todas las mujeres y las niñas</t>
  </si>
  <si>
    <t>https://unstats.un.org/sdgs/metadata/files/Metadata-05-01-01.pdf</t>
  </si>
  <si>
    <t xml:space="preserve">Existencia de marcos jurídicos para promover, hacer cumplir y supervisar la igualdad y la no discriminación por motivos de sexo </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</si>
  <si>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</si>
  <si>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</si>
  <si>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</si>
  <si>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</si>
  <si>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</si>
  <si>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</si>
  <si>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</si>
  <si>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</si>
  <si>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https://www.inamu.go.cr/documents/10179/401246/INAMU+PIEG+2018-2030+NEW.pdf/f8333d70-df04-417e-bbe9-c48c412a3cfb</t>
  </si>
  <si>
    <t>Ana Victoria Naranjo</t>
  </si>
  <si>
    <t>Jefa de la Unidad de Planificación Institucional</t>
  </si>
  <si>
    <t>(506) 2527-8406 Ext: 8406 
(506) 2527-8401</t>
  </si>
  <si>
    <t>avnaranjo@inamu.go.cr</t>
  </si>
  <si>
    <t>Saskya Salas Calderón</t>
  </si>
  <si>
    <t>Coordinadora Departamento Especializado de Información</t>
  </si>
  <si>
    <t xml:space="preserve">(506) 2527-8448 </t>
  </si>
  <si>
    <t>ssalas@inamu.go.cr</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</si>
  <si>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</si>
  <si>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</si>
  <si>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</si>
  <si>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</si>
  <si>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</si>
  <si>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</si>
  <si>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r>
      <rPr>
        <vertAlign val="superscript"/>
        <sz val="11"/>
        <color theme="1"/>
        <rFont val="Open Sans Condensed"/>
      </rPr>
      <t>1/</t>
    </r>
    <r>
      <rPr>
        <sz val="11"/>
        <color theme="1"/>
        <rFont val="Open Sans Condensed"/>
      </rPr>
      <t>Incluye; El esposo, compañero actual, un esposo, compañero anterior, el novio actual y el novio anterior.</t>
    </r>
  </si>
  <si>
    <t xml:space="preserve">Fuente: Universidad de Costa Rica, Encuesta Nacional de Violencia contra las mujeres, 2003. </t>
  </si>
  <si>
    <t xml:space="preserve">Nota: Compañero íntimo se refiere a esposo, ex esposo, conviviente y/o ex conviviente. </t>
  </si>
  <si>
    <t>https://unstats.un.org/sdgs/metadata/files/Metadata-05-02-01.pdf</t>
  </si>
  <si>
    <t>Porcentaje de mujeres de 18 años y más que reportaron haber sido víctimas de violencia física y violencia sexual en los últimos 12 meses, por parte de su compañero íntimo actual o anterior</t>
  </si>
  <si>
    <r>
      <rPr>
        <b/>
        <sz val="11"/>
        <color theme="1"/>
        <rFont val="Open Sans Condensed"/>
      </rPr>
      <t>La violencia contra las mujeres:</t>
    </r>
    <r>
      <rPr>
        <sz val="11"/>
        <color theme="1"/>
        <rFont val="Open Sans Condensed"/>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Open Sans Condensed"/>
      </rPr>
      <t>La violencia sexual:</t>
    </r>
    <r>
      <rPr>
        <sz val="11"/>
        <color theme="1"/>
        <rFont val="Open Sans Condensed"/>
      </rPr>
      <t xml:space="preserve"> se define como la conducta sexual perjudicial o no deseado que se impone a alguien.Esto incluye actos de contacto sexual abusivo, la participación forzada en actos sexuales, intento o acto sexual sin consentimiento, el incesto, el acoso sexual</t>
    </r>
  </si>
  <si>
    <t>• Porcentaje de mujeres 18 años y de edad o más que han sufrido en los 12 meses anteriores violencia física, sexual  inflingida por un compañero íntimo actual o anterior. 
• Total de mujeres de 18 años y más.</t>
  </si>
  <si>
    <t>Por tipo de violencia</t>
  </si>
  <si>
    <t>Universidad de Costa Rica, Centro de Investigación en Estudios de la Mujer</t>
  </si>
  <si>
    <t>Encuesta Nacional de Violencia contra las Mujeres</t>
  </si>
  <si>
    <t>Periodicidad mo definida para realizar la encuesta</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</si>
  <si>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</si>
  <si>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</si>
  <si>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</si>
  <si>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</si>
  <si>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</si>
  <si>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</si>
  <si>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Costa Rica: Porcentaje de mujeres de 18 años y más que reportaron haber sido víctimas de violencia física y violencia sexual en los últimos 12 meses, por parte de su compañero no íntimo actual o anterior</t>
  </si>
  <si>
    <r>
      <t>Costa Rica: Porcentaje de mujeres de 18 años y más que reportaron haber sido víctimas de  violencia física y violencia sexual en los últimos 12 meses, por parte de su compañero no íntimo</t>
    </r>
    <r>
      <rPr>
        <b/>
        <vertAlign val="superscript"/>
        <sz val="12"/>
        <rFont val="Open Sans Condensed"/>
      </rPr>
      <t>/1</t>
    </r>
    <r>
      <rPr>
        <b/>
        <sz val="12"/>
        <rFont val="Open Sans Condensed"/>
      </rPr>
      <t xml:space="preserve"> actual o anterior</t>
    </r>
  </si>
  <si>
    <t>Costa Rica: Porcentaje de mujeres de 18 años y más que reportaron haber sido víctimas de violencia física y violencia sexual en los últimos 12 meses, por parte de un compañero no íntimo/actual o anterior, Año 2003</t>
  </si>
  <si>
    <r>
      <rPr>
        <vertAlign val="superscript"/>
        <sz val="11"/>
        <color theme="1"/>
        <rFont val="Open Sans Condensed"/>
      </rPr>
      <t>1/</t>
    </r>
    <r>
      <rPr>
        <sz val="11"/>
        <color theme="1"/>
        <rFont val="Open Sans Condensed"/>
      </rPr>
      <t xml:space="preserve">Incluye; Novio actual, novio anterior, otro pariente, otro hombre conocido, amigo o compañero de trabajo y extraño
</t>
    </r>
  </si>
  <si>
    <t xml:space="preserve">Fuente: Universidad de Costa Rica, Encuesta Nacional de Violencia contra las mujeres 2003. </t>
  </si>
  <si>
    <t>Nota: un compañero no íntimo excluye a esposo, ex esposo, conviviente y/o ex conviviente.</t>
  </si>
  <si>
    <t>https://unstats.un.org/sdgs/metadata/files/Metadata-05-02-02.pdf</t>
  </si>
  <si>
    <t>Porcentaje de mujeres de 18 años y más que reportaron haber sido víctimas de violencia física y violencia sexual en los últimos 12 meses, por parte de su compañero no íntimo actual o anterior</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</si>
  <si>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</si>
  <si>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</si>
  <si>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</si>
  <si>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</si>
  <si>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</si>
  <si>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Ver indicador proxi para 5.3.1, fuente ENAHO</t>
  </si>
  <si>
    <t>Porcentaje de casadas antes de los 15 años</t>
  </si>
  <si>
    <t>Porcentaje de casadas antes de los 18 años</t>
  </si>
  <si>
    <t>na</t>
  </si>
  <si>
    <t>15-17</t>
  </si>
  <si>
    <t>18-19</t>
  </si>
  <si>
    <t>Dificultades funcionales (edad 18-49 años)</t>
  </si>
  <si>
    <t>Tiene dificultades funcionales</t>
  </si>
  <si>
    <t>No tiene dificultades funcionales</t>
  </si>
  <si>
    <t>na: no aplica</t>
  </si>
  <si>
    <t>Fuente: Instituto Nacional de Estadística y Censos, Encuesta Mujer Niñez y Adolescencia,2018</t>
  </si>
  <si>
    <t>https://unstats.un.org/sdgs/metadata/files/Metadata-05-03-01.pdf</t>
  </si>
  <si>
    <t xml:space="preserve">Porcentaje de mujeres de entre 20 y 24 años que estaban casadas o mantenían una unión estable antes de cumplir los 15 años y antes de cumplir los 18 años </t>
  </si>
  <si>
    <r>
      <rPr>
        <b/>
        <sz val="11"/>
        <rFont val="Open Sans Condensed"/>
      </rPr>
      <t xml:space="preserve">Unión libre o juntado(a): </t>
    </r>
    <r>
      <rPr>
        <sz val="11"/>
        <rFont val="Open Sans Condensed"/>
      </rPr>
      <t xml:space="preserve">persona que vive en estado marital, sin haber contraído matrimonio legalmente con la persona con la que convive.
</t>
    </r>
    <r>
      <rPr>
        <b/>
        <sz val="11"/>
        <rFont val="Open Sans Condensed"/>
      </rPr>
      <t>Casado (a)</t>
    </r>
    <r>
      <rPr>
        <sz val="1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</si>
  <si>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 Mujeres menores de 18 años que estaban casadas o mantenían una unión estable.
• Total de mujeres menores de 18 años.</t>
  </si>
  <si>
    <t>Total del país, zona y regiones de planificación</t>
  </si>
  <si>
    <t>Encuesta de Mujer Niñez y Adolescencia (EMNA)</t>
  </si>
  <si>
    <t>De acuerdo a las Naciones Unidas, este indicador se requiere con las siguientes desagregaciones: Se dispone de datos por lugar de residencia, los quintiles de riqueza, la educación y otras características.</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</si>
  <si>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</si>
  <si>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</si>
  <si>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</si>
  <si>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</si>
  <si>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 xml:space="preserve">5.3.1 </t>
  </si>
  <si>
    <t>Proporción de mujeres de entre 20 y 24 años que estaban casadas o mantenían una unión estable antes de cumplir los 15 años y antes de cumplir los 18 años</t>
  </si>
  <si>
    <t xml:space="preserve">Porcentaje de mujeres menores de 18 años que estaban casadas o mantenían una unión estable a la fecha de la encuesta </t>
  </si>
  <si>
    <r>
      <rPr>
        <b/>
        <sz val="11"/>
        <color theme="1"/>
        <rFont val="Open Sans Condensed"/>
      </rPr>
      <t xml:space="preserve">Unión libre o juntado(a): </t>
    </r>
    <r>
      <rPr>
        <sz val="11"/>
        <color theme="1"/>
        <rFont val="Open Sans Condensed"/>
      </rPr>
      <t xml:space="preserve">persona que vive en estado marital, sin haber contraído matrimonio legalmente con la persona con la que convive.
</t>
    </r>
    <r>
      <rPr>
        <b/>
        <sz val="11"/>
        <color theme="1"/>
        <rFont val="Open Sans Condensed"/>
      </rPr>
      <t>Casado (a)</t>
    </r>
    <r>
      <rPr>
        <sz val="11"/>
        <color theme="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</si>
  <si>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Eddy Madrigal</t>
  </si>
  <si>
    <t>https://unstats.un.org/sdgs/metadata/files/Metadata-05-03-02.pdf</t>
  </si>
  <si>
    <t>De acuerdo a las Naciones Unidas, este indicador se requiere con las siguientes desagregaciones: Los datos están disponibles por varios estratos incluyendo la edad, región, etnia, religión, educación, lugar de residencia y quintiles de riqueza.</t>
  </si>
  <si>
    <t>Costa Rica: Tiempo promedio, no remunerado, dedicado a tareas domesticas y a cuido de otras personas del hogar en la semana de referencia, desglosado por sexo</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</si>
  <si>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zona, grupo de edad, relación de parentesco, estado conyugal y nivel de instrucción, octubre y noviembre 2022.</t>
    </r>
  </si>
  <si>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</si>
  <si>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</si>
  <si>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</si>
  <si>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</si>
  <si>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</si>
  <si>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</si>
  <si>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</si>
  <si>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</si>
  <si>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</si>
  <si>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r>
      <t>Cuido de otras personas del hogar</t>
    </r>
    <r>
      <rPr>
        <b/>
        <vertAlign val="superscript"/>
        <sz val="11"/>
        <rFont val="Open Sans Condensed"/>
      </rPr>
      <t>2/</t>
    </r>
  </si>
  <si>
    <t xml:space="preserve">    Urbano</t>
  </si>
  <si>
    <t>12:35</t>
  </si>
  <si>
    <t>06:13</t>
  </si>
  <si>
    <t>04:53</t>
  </si>
  <si>
    <t>02:11</t>
  </si>
  <si>
    <t>02:39</t>
  </si>
  <si>
    <t>03:52</t>
  </si>
  <si>
    <t>01:43</t>
  </si>
  <si>
    <t>02:30</t>
  </si>
  <si>
    <t>02:27</t>
  </si>
  <si>
    <t>01:46</t>
  </si>
  <si>
    <t>01:29</t>
  </si>
  <si>
    <t>11:55</t>
  </si>
  <si>
    <t>07:37</t>
  </si>
  <si>
    <t>04:44</t>
  </si>
  <si>
    <t>02:57</t>
  </si>
  <si>
    <t xml:space="preserve">    Rural</t>
  </si>
  <si>
    <t>12:58</t>
  </si>
  <si>
    <t>05:50</t>
  </si>
  <si>
    <t>09:43</t>
  </si>
  <si>
    <t>05:17</t>
  </si>
  <si>
    <t>02:22</t>
  </si>
  <si>
    <t>02:36</t>
  </si>
  <si>
    <t>04:55</t>
  </si>
  <si>
    <t>01:54</t>
  </si>
  <si>
    <t>02:25</t>
  </si>
  <si>
    <t>02:29</t>
  </si>
  <si>
    <t>02:00</t>
  </si>
  <si>
    <t>01:34</t>
  </si>
  <si>
    <t>11:57</t>
  </si>
  <si>
    <t>06:44</t>
  </si>
  <si>
    <t>03:42</t>
  </si>
  <si>
    <t>03:13</t>
  </si>
  <si>
    <t>Grupo de edad</t>
  </si>
  <si>
    <t xml:space="preserve">    12 a 19</t>
  </si>
  <si>
    <t>05:48</t>
  </si>
  <si>
    <t>03:53</t>
  </si>
  <si>
    <t>05:29</t>
  </si>
  <si>
    <t>04:06</t>
  </si>
  <si>
    <t>02:06</t>
  </si>
  <si>
    <t>01:44</t>
  </si>
  <si>
    <t>02:17</t>
  </si>
  <si>
    <t>01:22</t>
  </si>
  <si>
    <t>01:47</t>
  </si>
  <si>
    <t>01:31</t>
  </si>
  <si>
    <t>01:23</t>
  </si>
  <si>
    <t>00:59</t>
  </si>
  <si>
    <t>06:54</t>
  </si>
  <si>
    <t>04:12</t>
  </si>
  <si>
    <r>
      <t>01:37</t>
    </r>
    <r>
      <rPr>
        <vertAlign val="superscript"/>
        <sz val="11"/>
        <rFont val="Open Sans Condensed"/>
      </rPr>
      <t>a/</t>
    </r>
  </si>
  <si>
    <t>01:56</t>
  </si>
  <si>
    <t xml:space="preserve">    20 a 35</t>
  </si>
  <si>
    <t>11:39</t>
  </si>
  <si>
    <t>06:01</t>
  </si>
  <si>
    <t>08:22</t>
  </si>
  <si>
    <t>04:40</t>
  </si>
  <si>
    <t>01:40</t>
  </si>
  <si>
    <t>03:58</t>
  </si>
  <si>
    <t>01:48</t>
  </si>
  <si>
    <t>02:14</t>
  </si>
  <si>
    <t>01:17</t>
  </si>
  <si>
    <t>14:44</t>
  </si>
  <si>
    <t>03:36</t>
  </si>
  <si>
    <t xml:space="preserve">    36 a 54</t>
  </si>
  <si>
    <t>14:29</t>
  </si>
  <si>
    <t>06:33</t>
  </si>
  <si>
    <t>10:04</t>
  </si>
  <si>
    <t>05:00</t>
  </si>
  <si>
    <t>02:33</t>
  </si>
  <si>
    <t>02:31</t>
  </si>
  <si>
    <t>04:42</t>
  </si>
  <si>
    <t>01:50</t>
  </si>
  <si>
    <t>01:51</t>
  </si>
  <si>
    <t>10:21</t>
  </si>
  <si>
    <t>07:21</t>
  </si>
  <si>
    <t>05:07</t>
  </si>
  <si>
    <t>03:07</t>
  </si>
  <si>
    <t xml:space="preserve">    55 y más</t>
  </si>
  <si>
    <t>15:11</t>
  </si>
  <si>
    <t>07:10</t>
  </si>
  <si>
    <t>06:02</t>
  </si>
  <si>
    <t>02:21</t>
  </si>
  <si>
    <t>03:23</t>
  </si>
  <si>
    <t>04:32</t>
  </si>
  <si>
    <t>01:58</t>
  </si>
  <si>
    <t>02:49</t>
  </si>
  <si>
    <t>02:54</t>
  </si>
  <si>
    <t>02:13</t>
  </si>
  <si>
    <t>01:52</t>
  </si>
  <si>
    <t>07:55</t>
  </si>
  <si>
    <t>07:01</t>
  </si>
  <si>
    <t>05:37</t>
  </si>
  <si>
    <t>Relación de parentesco</t>
  </si>
  <si>
    <t xml:space="preserve"> Jefatura</t>
  </si>
  <si>
    <t>13:59</t>
  </si>
  <si>
    <t>07:12</t>
  </si>
  <si>
    <t>09:41</t>
  </si>
  <si>
    <t>05:33</t>
  </si>
  <si>
    <t>02:18</t>
  </si>
  <si>
    <t>02:48</t>
  </si>
  <si>
    <t>04:17</t>
  </si>
  <si>
    <t>02:44</t>
  </si>
  <si>
    <t>01:39</t>
  </si>
  <si>
    <t>11:23</t>
  </si>
  <si>
    <t>08:02</t>
  </si>
  <si>
    <t xml:space="preserve"> Cónyuge</t>
  </si>
  <si>
    <t>15:47</t>
  </si>
  <si>
    <t>05:38</t>
  </si>
  <si>
    <t>10:31</t>
  </si>
  <si>
    <t>04:54</t>
  </si>
  <si>
    <t>03:00</t>
  </si>
  <si>
    <t>05:09</t>
  </si>
  <si>
    <t>02:02</t>
  </si>
  <si>
    <t>01:21</t>
  </si>
  <si>
    <t>13:21</t>
  </si>
  <si>
    <t>08:11</t>
  </si>
  <si>
    <t>04:04</t>
  </si>
  <si>
    <t>03:34</t>
  </si>
  <si>
    <t xml:space="preserve"> Hijos/as</t>
  </si>
  <si>
    <t>07:35</t>
  </si>
  <si>
    <t>04:46</t>
  </si>
  <si>
    <t>06:36</t>
  </si>
  <si>
    <t>04:20</t>
  </si>
  <si>
    <t>02:08</t>
  </si>
  <si>
    <t>02:01</t>
  </si>
  <si>
    <t>02:15</t>
  </si>
  <si>
    <t>01:20</t>
  </si>
  <si>
    <t>01:11</t>
  </si>
  <si>
    <t>10:33</t>
  </si>
  <si>
    <t>04:35</t>
  </si>
  <si>
    <t>02:55</t>
  </si>
  <si>
    <t xml:space="preserve">    Otros/as familiares y no familiares</t>
  </si>
  <si>
    <t>09:58</t>
  </si>
  <si>
    <t>06:42</t>
  </si>
  <si>
    <t>04:23</t>
  </si>
  <si>
    <r>
      <t>01:46</t>
    </r>
    <r>
      <rPr>
        <vertAlign val="superscript"/>
        <sz val="11"/>
        <color theme="1"/>
        <rFont val="Open Sans Condensed"/>
      </rPr>
      <t xml:space="preserve">a/ </t>
    </r>
  </si>
  <si>
    <t>03:32</t>
  </si>
  <si>
    <t>10:59</t>
  </si>
  <si>
    <t>05:59</t>
  </si>
  <si>
    <r>
      <t>05:36</t>
    </r>
    <r>
      <rPr>
        <vertAlign val="superscript"/>
        <sz val="11"/>
        <color theme="1"/>
        <rFont val="Open Sans Condensed"/>
      </rPr>
      <t>a/</t>
    </r>
  </si>
  <si>
    <t>03:41</t>
  </si>
  <si>
    <t>Estado conyugal</t>
  </si>
  <si>
    <t xml:space="preserve">    Casados/as o unidos/as</t>
  </si>
  <si>
    <t>15:23</t>
  </si>
  <si>
    <t>05:44</t>
  </si>
  <si>
    <t>10:10</t>
  </si>
  <si>
    <t>05:01</t>
  </si>
  <si>
    <t>02:47</t>
  </si>
  <si>
    <t>01:38</t>
  </si>
  <si>
    <t>02:35</t>
  </si>
  <si>
    <t>13:26</t>
  </si>
  <si>
    <t>07:59</t>
  </si>
  <si>
    <t>04:27</t>
  </si>
  <si>
    <t>03:10</t>
  </si>
  <si>
    <t xml:space="preserve">    Divorciados/as, separados/as, viudos/as</t>
  </si>
  <si>
    <t>13:41</t>
  </si>
  <si>
    <t>09:23</t>
  </si>
  <si>
    <t>09:31</t>
  </si>
  <si>
    <t>05:54</t>
  </si>
  <si>
    <t>02:52</t>
  </si>
  <si>
    <t>01:53</t>
  </si>
  <si>
    <t>11:16</t>
  </si>
  <si>
    <t>08:42</t>
  </si>
  <si>
    <t>06:00</t>
  </si>
  <si>
    <t xml:space="preserve"> Solteros/as</t>
  </si>
  <si>
    <t>08:35</t>
  </si>
  <si>
    <t>05:45</t>
  </si>
  <si>
    <t>07:03</t>
  </si>
  <si>
    <t>01:42</t>
  </si>
  <si>
    <t>02:16</t>
  </si>
  <si>
    <t>02:03</t>
  </si>
  <si>
    <t>01:30</t>
  </si>
  <si>
    <t>09:24</t>
  </si>
  <si>
    <t>03:40</t>
  </si>
  <si>
    <t>02:46</t>
  </si>
  <si>
    <t>Nivel de instrucción</t>
  </si>
  <si>
    <t xml:space="preserve">    Primaria incompleta y menos</t>
  </si>
  <si>
    <t>13:17</t>
  </si>
  <si>
    <t>05:51</t>
  </si>
  <si>
    <t>09:12</t>
  </si>
  <si>
    <t>05:02</t>
  </si>
  <si>
    <r>
      <t>02:43</t>
    </r>
    <r>
      <rPr>
        <vertAlign val="superscript"/>
        <sz val="11"/>
        <color theme="1"/>
        <rFont val="Open Sans Condensed"/>
      </rPr>
      <t xml:space="preserve">a/ </t>
    </r>
  </si>
  <si>
    <t>02:23</t>
  </si>
  <si>
    <t>10:03</t>
  </si>
  <si>
    <t>07:17</t>
  </si>
  <si>
    <t>05:19</t>
  </si>
  <si>
    <t xml:space="preserve">    Primaria completa y secundaria
     incompleta</t>
  </si>
  <si>
    <t>12:59</t>
  </si>
  <si>
    <t>05:40</t>
  </si>
  <si>
    <t>04:56</t>
  </si>
  <si>
    <t>02:32</t>
  </si>
  <si>
    <t>04:22</t>
  </si>
  <si>
    <t>02:24</t>
  </si>
  <si>
    <t>11:22</t>
  </si>
  <si>
    <t>06:41</t>
  </si>
  <si>
    <t>03:26</t>
  </si>
  <si>
    <t xml:space="preserve">    Secundaria completa</t>
  </si>
  <si>
    <t>12:47</t>
  </si>
  <si>
    <t>06:15</t>
  </si>
  <si>
    <t>08:57</t>
  </si>
  <si>
    <t>02:26</t>
  </si>
  <si>
    <t>04:03</t>
  </si>
  <si>
    <t>01:41</t>
  </si>
  <si>
    <t>13:28</t>
  </si>
  <si>
    <t>06:46</t>
  </si>
  <si>
    <t>04:26</t>
  </si>
  <si>
    <t xml:space="preserve">    Educación superior</t>
  </si>
  <si>
    <t>11:47</t>
  </si>
  <si>
    <t>07:54</t>
  </si>
  <si>
    <t>05:05</t>
  </si>
  <si>
    <t>03:28</t>
  </si>
  <si>
    <t>02:37</t>
  </si>
  <si>
    <t>02:41</t>
  </si>
  <si>
    <t>01:49</t>
  </si>
  <si>
    <t>01:32</t>
  </si>
  <si>
    <t>12:49</t>
  </si>
  <si>
    <t>09:17</t>
  </si>
  <si>
    <t>03:38</t>
  </si>
  <si>
    <t>02:51</t>
  </si>
  <si>
    <t xml:space="preserve"> Ignorados</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</si>
  <si>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</si>
  <si>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</si>
  <si>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</si>
  <si>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Fuente: Instituto Nacional de Estadísticas y Censos, Encuesta Nacional de Uso del Tiempo, 2022.</t>
  </si>
  <si>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grupo de edad, relación de parentesco, estado conyugal y nivel de instrucción, octubre y noviembre 2017</t>
    </r>
  </si>
  <si>
    <t>14:04</t>
  </si>
  <si>
    <t>05:21</t>
  </si>
  <si>
    <t>08:36</t>
  </si>
  <si>
    <t>03:44</t>
  </si>
  <si>
    <t>04:05</t>
  </si>
  <si>
    <t>01:24</t>
  </si>
  <si>
    <t>01:33</t>
  </si>
  <si>
    <t>10:55</t>
  </si>
  <si>
    <t>09:26</t>
  </si>
  <si>
    <t>06:04</t>
  </si>
  <si>
    <t>15:42</t>
  </si>
  <si>
    <t>05:11</t>
  </si>
  <si>
    <t>10:28</t>
  </si>
  <si>
    <t>01:16</t>
  </si>
  <si>
    <t>01:18</t>
  </si>
  <si>
    <t>01:36</t>
  </si>
  <si>
    <t>12:41</t>
  </si>
  <si>
    <t>06:25</t>
  </si>
  <si>
    <t>05:49a/</t>
  </si>
  <si>
    <t>03:14</t>
  </si>
  <si>
    <t>05:08</t>
  </si>
  <si>
    <t>03:12</t>
  </si>
  <si>
    <r>
      <t>01:00</t>
    </r>
    <r>
      <rPr>
        <vertAlign val="superscript"/>
        <sz val="11"/>
        <color theme="1"/>
        <rFont val="Open Sans Condensed"/>
      </rPr>
      <t>a/</t>
    </r>
  </si>
  <si>
    <r>
      <t>01:44</t>
    </r>
    <r>
      <rPr>
        <vertAlign val="superscript"/>
        <sz val="11"/>
        <color theme="1"/>
        <rFont val="Open Sans Condensed"/>
      </rPr>
      <t>a/</t>
    </r>
  </si>
  <si>
    <t>00:57</t>
  </si>
  <si>
    <t>01:26</t>
  </si>
  <si>
    <t>01:00</t>
  </si>
  <si>
    <t>08:20</t>
  </si>
  <si>
    <r>
      <t>02:57</t>
    </r>
    <r>
      <rPr>
        <vertAlign val="superscript"/>
        <sz val="11"/>
        <color theme="1"/>
        <rFont val="Open Sans Condensed"/>
      </rPr>
      <t>a/</t>
    </r>
  </si>
  <si>
    <t>13:47</t>
  </si>
  <si>
    <t>05:14</t>
  </si>
  <si>
    <t>08:37</t>
  </si>
  <si>
    <t>03:24</t>
  </si>
  <si>
    <t>02:12</t>
  </si>
  <si>
    <t>02:04</t>
  </si>
  <si>
    <t>01:01</t>
  </si>
  <si>
    <t>15:57</t>
  </si>
  <si>
    <t>08:26</t>
  </si>
  <si>
    <r>
      <t>03:20</t>
    </r>
    <r>
      <rPr>
        <vertAlign val="superscript"/>
        <sz val="11"/>
        <color theme="1"/>
        <rFont val="Open Sans Condensed"/>
      </rPr>
      <t>a/</t>
    </r>
  </si>
  <si>
    <t>02:19</t>
  </si>
  <si>
    <t>17:04</t>
  </si>
  <si>
    <t>10:39</t>
  </si>
  <si>
    <t>03:48</t>
  </si>
  <si>
    <t>02:28</t>
  </si>
  <si>
    <t>01:19</t>
  </si>
  <si>
    <t>11:42</t>
  </si>
  <si>
    <t>08:08</t>
  </si>
  <si>
    <t>04:13</t>
  </si>
  <si>
    <t>17:55</t>
  </si>
  <si>
    <t>05:47</t>
  </si>
  <si>
    <t>02:50</t>
  </si>
  <si>
    <t>01:35</t>
  </si>
  <si>
    <t>03:09</t>
  </si>
  <si>
    <t>01:25</t>
  </si>
  <si>
    <t>06:55</t>
  </si>
  <si>
    <r>
      <t>05:52</t>
    </r>
    <r>
      <rPr>
        <vertAlign val="superscript"/>
        <sz val="11"/>
        <color theme="1"/>
        <rFont val="Open Sans Condensed"/>
      </rPr>
      <t>a/</t>
    </r>
  </si>
  <si>
    <t>06:50</t>
  </si>
  <si>
    <t>03:45</t>
  </si>
  <si>
    <t>Jefatura</t>
  </si>
  <si>
    <t>16:28</t>
  </si>
  <si>
    <t>10:13</t>
  </si>
  <si>
    <t>04:18</t>
  </si>
  <si>
    <t>01:28</t>
  </si>
  <si>
    <t>04:39</t>
  </si>
  <si>
    <t>02:45</t>
  </si>
  <si>
    <t>12:31</t>
  </si>
  <si>
    <t>07:53</t>
  </si>
  <si>
    <t>02:58</t>
  </si>
  <si>
    <t>Cónyuge</t>
  </si>
  <si>
    <t>18:50</t>
  </si>
  <si>
    <t>05:52</t>
  </si>
  <si>
    <t>11:11</t>
  </si>
  <si>
    <t>04:09</t>
  </si>
  <si>
    <r>
      <t>02:54</t>
    </r>
    <r>
      <rPr>
        <vertAlign val="superscript"/>
        <sz val="11"/>
        <color theme="1"/>
        <rFont val="Open Sans Condensed"/>
      </rPr>
      <t>a/</t>
    </r>
  </si>
  <si>
    <t>05:35</t>
  </si>
  <si>
    <t>02:34</t>
  </si>
  <si>
    <t>01:04</t>
  </si>
  <si>
    <t>14:54</t>
  </si>
  <si>
    <t>10:19</t>
  </si>
  <si>
    <t>03:29</t>
  </si>
  <si>
    <t>Hijos/as</t>
  </si>
  <si>
    <t>06:51</t>
  </si>
  <si>
    <t>03:43</t>
  </si>
  <si>
    <t>03:20</t>
  </si>
  <si>
    <r>
      <t>01:38</t>
    </r>
    <r>
      <rPr>
        <vertAlign val="superscript"/>
        <sz val="11"/>
        <color theme="1"/>
        <rFont val="Open Sans Condensed"/>
      </rPr>
      <t>a/</t>
    </r>
  </si>
  <si>
    <t>01:07</t>
  </si>
  <si>
    <t>01:12</t>
  </si>
  <si>
    <t>01:03</t>
  </si>
  <si>
    <t>10:45</t>
  </si>
  <si>
    <t>04:49</t>
  </si>
  <si>
    <r>
      <t>03:33</t>
    </r>
    <r>
      <rPr>
        <vertAlign val="superscript"/>
        <sz val="11"/>
        <color theme="1"/>
        <rFont val="Open Sans Condensed"/>
      </rPr>
      <t>a/</t>
    </r>
  </si>
  <si>
    <t>10:42</t>
  </si>
  <si>
    <t>06:16</t>
  </si>
  <si>
    <r>
      <t>01:45</t>
    </r>
    <r>
      <rPr>
        <vertAlign val="superscript"/>
        <sz val="11"/>
        <color theme="1"/>
        <rFont val="Open Sans Condensed"/>
      </rPr>
      <t>a/</t>
    </r>
  </si>
  <si>
    <t>01:27</t>
  </si>
  <si>
    <t>02:09</t>
  </si>
  <si>
    <t>01:09</t>
  </si>
  <si>
    <r>
      <t>06:58</t>
    </r>
    <r>
      <rPr>
        <vertAlign val="superscript"/>
        <sz val="11"/>
        <color theme="1"/>
        <rFont val="Open Sans Condensed"/>
      </rPr>
      <t>a/</t>
    </r>
  </si>
  <si>
    <r>
      <t>01:30</t>
    </r>
    <r>
      <rPr>
        <vertAlign val="superscript"/>
        <sz val="11"/>
        <color theme="1"/>
        <rFont val="Open Sans Condensed"/>
      </rPr>
      <t>a/</t>
    </r>
  </si>
  <si>
    <t>18:15</t>
  </si>
  <si>
    <t>10:41</t>
  </si>
  <si>
    <t>03:54</t>
  </si>
  <si>
    <t>02:42</t>
  </si>
  <si>
    <t>05:22</t>
  </si>
  <si>
    <t>15:08</t>
  </si>
  <si>
    <t>08:25</t>
  </si>
  <si>
    <t xml:space="preserve">     Divorciados/as, separados/as,
     viudos/as</t>
  </si>
  <si>
    <t>15:20</t>
  </si>
  <si>
    <t>09:30</t>
  </si>
  <si>
    <t>04:30</t>
  </si>
  <si>
    <t>02:05</t>
  </si>
  <si>
    <r>
      <t>04:38</t>
    </r>
    <r>
      <rPr>
        <vertAlign val="superscript"/>
        <sz val="11"/>
        <color theme="1"/>
        <rFont val="Open Sans Condensed"/>
      </rPr>
      <t>a/</t>
    </r>
  </si>
  <si>
    <r>
      <t>02:42</t>
    </r>
    <r>
      <rPr>
        <vertAlign val="superscript"/>
        <sz val="11"/>
        <color theme="1"/>
        <rFont val="Open Sans Condensed"/>
      </rPr>
      <t>a/</t>
    </r>
  </si>
  <si>
    <t>Solteros/as</t>
  </si>
  <si>
    <t>04:45</t>
  </si>
  <si>
    <t>06:39</t>
  </si>
  <si>
    <t>01:55</t>
  </si>
  <si>
    <t>09:38</t>
  </si>
  <si>
    <t>04:10</t>
  </si>
  <si>
    <r>
      <t>05:00</t>
    </r>
    <r>
      <rPr>
        <vertAlign val="superscript"/>
        <sz val="11"/>
        <color theme="1"/>
        <rFont val="Open Sans Condensed"/>
      </rPr>
      <t>a/</t>
    </r>
  </si>
  <si>
    <t>15:44</t>
  </si>
  <si>
    <t>09:49</t>
  </si>
  <si>
    <t>04:15</t>
  </si>
  <si>
    <t>01:10</t>
  </si>
  <si>
    <t>04:50</t>
  </si>
  <si>
    <t>02:20</t>
  </si>
  <si>
    <t>11:25</t>
  </si>
  <si>
    <t>07:51</t>
  </si>
  <si>
    <r>
      <t>06:20</t>
    </r>
    <r>
      <rPr>
        <vertAlign val="superscript"/>
        <sz val="11"/>
        <color theme="1"/>
        <rFont val="Open Sans Condensed"/>
      </rPr>
      <t>a/</t>
    </r>
  </si>
  <si>
    <r>
      <t>04:07</t>
    </r>
    <r>
      <rPr>
        <vertAlign val="superscript"/>
        <sz val="11"/>
        <color theme="1"/>
        <rFont val="Open Sans Condensed"/>
      </rPr>
      <t>a/</t>
    </r>
  </si>
  <si>
    <t xml:space="preserve">     Primaria completa y secundaria
     incompleta</t>
  </si>
  <si>
    <t>15:02</t>
  </si>
  <si>
    <t>04:47</t>
  </si>
  <si>
    <t>09:42</t>
  </si>
  <si>
    <t>04:34</t>
  </si>
  <si>
    <t>01:15</t>
  </si>
  <si>
    <t>02:10</t>
  </si>
  <si>
    <t>13:07</t>
  </si>
  <si>
    <t>07:14</t>
  </si>
  <si>
    <t>04:37</t>
  </si>
  <si>
    <t>14:52</t>
  </si>
  <si>
    <t>06:20</t>
  </si>
  <si>
    <t>08:49</t>
  </si>
  <si>
    <r>
      <t>01:18</t>
    </r>
    <r>
      <rPr>
        <vertAlign val="superscript"/>
        <sz val="11"/>
        <color theme="1"/>
        <rFont val="Open Sans Condensed"/>
      </rPr>
      <t>a/</t>
    </r>
  </si>
  <si>
    <t>02:07</t>
  </si>
  <si>
    <t>14:50</t>
  </si>
  <si>
    <t>06:38</t>
  </si>
  <si>
    <r>
      <t>04:35</t>
    </r>
    <r>
      <rPr>
        <vertAlign val="superscript"/>
        <sz val="11"/>
        <color theme="1"/>
        <rFont val="Open Sans Condensed"/>
      </rPr>
      <t>a/</t>
    </r>
  </si>
  <si>
    <t>02:56</t>
  </si>
  <si>
    <t xml:space="preserve">     Educación superior</t>
  </si>
  <si>
    <t>12:19</t>
  </si>
  <si>
    <t>05:24</t>
  </si>
  <si>
    <t>07:26</t>
  </si>
  <si>
    <t>03:50</t>
  </si>
  <si>
    <r>
      <t>01:27</t>
    </r>
    <r>
      <rPr>
        <vertAlign val="superscript"/>
        <sz val="11"/>
        <color theme="1"/>
        <rFont val="Open Sans Condensed"/>
      </rPr>
      <t>a/</t>
    </r>
  </si>
  <si>
    <t>03:47</t>
  </si>
  <si>
    <t>01:08</t>
  </si>
  <si>
    <t>13:19</t>
  </si>
  <si>
    <t>08:47</t>
  </si>
  <si>
    <r>
      <t>03:08</t>
    </r>
    <r>
      <rPr>
        <vertAlign val="superscript"/>
        <sz val="11"/>
        <color theme="1"/>
        <rFont val="Open Sans Condensed"/>
      </rPr>
      <t>a/</t>
    </r>
  </si>
  <si>
    <t>05:49</t>
  </si>
  <si>
    <r>
      <t>05:10</t>
    </r>
    <r>
      <rPr>
        <vertAlign val="superscript"/>
        <sz val="11"/>
        <color theme="1"/>
        <rFont val="Open Sans Condensed"/>
      </rPr>
      <t>a/</t>
    </r>
  </si>
  <si>
    <r>
      <t>09:07</t>
    </r>
    <r>
      <rPr>
        <vertAlign val="superscript"/>
        <sz val="11"/>
        <color theme="1"/>
        <rFont val="Open Sans Condensed"/>
      </rPr>
      <t>a/</t>
    </r>
  </si>
  <si>
    <r>
      <t>05:58</t>
    </r>
    <r>
      <rPr>
        <vertAlign val="superscript"/>
        <sz val="11"/>
        <color theme="1"/>
        <rFont val="Open Sans Condensed"/>
      </rPr>
      <t>a/</t>
    </r>
  </si>
  <si>
    <t>00:00</t>
  </si>
  <si>
    <t>01:14</t>
  </si>
  <si>
    <r>
      <t>01:10</t>
    </r>
    <r>
      <rPr>
        <vertAlign val="superscript"/>
        <sz val="11"/>
        <color theme="1"/>
        <rFont val="Open Sans Condensed"/>
      </rPr>
      <t>a/</t>
    </r>
  </si>
  <si>
    <t>00:05</t>
  </si>
  <si>
    <t>00:17</t>
  </si>
  <si>
    <t>00:54</t>
  </si>
  <si>
    <t>04:25</t>
  </si>
  <si>
    <t>Fuente: Instituto Nacional de Estadísticas y Censos, Encuesta Nacional de Uso del Tiempo, 2017.</t>
  </si>
  <si>
    <t>https://unstats.un.org/sdgs/metadata/files/Metadata-05-04-01.pdf</t>
  </si>
  <si>
    <t>Tiempo promedio, no remunerado, dedicado a tareas domésticas y a cuido de otras personas del hogar en la semana de referencia, desglosado por sexo</t>
  </si>
  <si>
    <r>
      <rPr>
        <b/>
        <sz val="11"/>
        <color theme="1"/>
        <rFont val="Open Sans Condensed"/>
      </rPr>
      <t>Horas dedicadas a tareas domésticas:</t>
    </r>
    <r>
      <rPr>
        <sz val="11"/>
        <color theme="1"/>
        <rFont val="Open Sans Condensed"/>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</si>
  <si>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</si>
  <si>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</si>
  <si>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</si>
  <si>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</si>
  <si>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</si>
  <si>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</si>
  <si>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Los datos no son comparables entre el año 2011 y el 2017, ya que, la Encuesta del 2011 se refiere al Gran Área Metropolitana mientras que la Encuesta del 2017 se refiere a todo el país.</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</si>
  <si>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</si>
  <si>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</si>
  <si>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</si>
  <si>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</si>
  <si>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</si>
  <si>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Costa Rica: Porcentaje de mujeres en puestos de elección popular, por puesto según período electoral de cada cuatro años 
Costa Rica: Porcentaje de diputadas electas por año de elección según provincia 
Costa Rica: Porcentaje de alcaldesas, regidoras, síndicas electas en propiedas por tipo de puesto y ño de elección, según provincia y cantón
Costa Rica: Diputaciones electas por año de elección, según sexo y grupos de edad decenal 
Costa Rica: Alcaldesas, regidoras y síndicas electas en propiedad por tipo de puesto y año de elección, según sexo y grupos de edad</t>
  </si>
  <si>
    <t>Costa Rica: Porcentaje de mujeres en puestos de elección popular, por puesto según periodo electoral de cada cuatro años</t>
  </si>
  <si>
    <t>Costa Rica: Porcentaje de mujeres diputadas electas, según período electoral de cada cuatro años, 2002-2026</t>
  </si>
  <si>
    <t>Período</t>
  </si>
  <si>
    <t>Vicepresidentas</t>
  </si>
  <si>
    <t xml:space="preserve">Diputadas </t>
  </si>
  <si>
    <t>Alcaldesas</t>
  </si>
  <si>
    <t>Regidoras Propietarias</t>
  </si>
  <si>
    <t>Síndicas Propietiarias</t>
  </si>
  <si>
    <t>2002-2006</t>
  </si>
  <si>
    <t>2006-2010</t>
  </si>
  <si>
    <r>
      <t>2010-2014</t>
    </r>
    <r>
      <rPr>
        <vertAlign val="superscript"/>
        <sz val="11"/>
        <rFont val="Open Sans Condensed"/>
      </rPr>
      <t xml:space="preserve"> 1/</t>
    </r>
  </si>
  <si>
    <t>2014-2018</t>
  </si>
  <si>
    <t>2016- 2020</t>
  </si>
  <si>
    <t>2018-2022</t>
  </si>
  <si>
    <t>2020-2024</t>
  </si>
  <si>
    <t>2022 - 2026</t>
  </si>
  <si>
    <t>2024 - 2028</t>
  </si>
  <si>
    <t>NA: No Aplica</t>
  </si>
  <si>
    <t>1/ Los puestos de Alcladesas, Síndicas y Regidoras fungieron del 2010- 2016</t>
  </si>
  <si>
    <t>Fuente: Tribunal Supremo de Elecciones, 2002-2026.</t>
  </si>
  <si>
    <t>Fuente: Tribunal Supremo de Elecciones, Cómputo de Votos 2002-2024.</t>
  </si>
  <si>
    <t>Costa Rica: Porcentaje de diputadas electas por año de elección según provincia, 2002-2006-2010-2014-2018- 2022</t>
  </si>
  <si>
    <t>COSTA RICA</t>
  </si>
  <si>
    <t>PROVINCIA</t>
  </si>
  <si>
    <t>SAN JOSÉ</t>
  </si>
  <si>
    <t>LIMÓN</t>
  </si>
  <si>
    <t>Fuente: Tribunal Supremo de Elecciones, Cómputo de Votos 2002-2022.</t>
  </si>
  <si>
    <t>Costa Rica: Porcentaje de alcaldesas, regidoras, síndicas electas en propiedad por tipo de puesto y año de elección, según provincia y cantón, 2002-2006-2010-2016-2020 y2024</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</si>
  <si>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</si>
  <si>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</si>
  <si>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</si>
  <si>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</si>
  <si>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</si>
  <si>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</si>
  <si>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</si>
  <si>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</si>
  <si>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</si>
  <si>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</si>
  <si>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</si>
  <si>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</si>
  <si>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</si>
  <si>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</si>
  <si>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</si>
  <si>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</si>
  <si>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</si>
  <si>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</si>
  <si>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</si>
  <si>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</si>
  <si>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</si>
  <si>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</si>
  <si>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</si>
  <si>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</si>
  <si>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</si>
  <si>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</si>
  <si>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</si>
  <si>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</si>
  <si>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</si>
  <si>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</si>
  <si>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</si>
  <si>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</si>
  <si>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</si>
  <si>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</si>
  <si>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</si>
  <si>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</si>
  <si>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</si>
  <si>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RÍO CUARTO 1/</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</si>
  <si>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</si>
  <si>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</si>
  <si>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</si>
  <si>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</si>
  <si>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</si>
  <si>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</si>
  <si>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</si>
  <si>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</si>
  <si>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</si>
  <si>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</si>
  <si>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</si>
  <si>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</si>
  <si>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</si>
  <si>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</si>
  <si>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</si>
  <si>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</si>
  <si>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</si>
  <si>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</si>
  <si>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</si>
  <si>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</si>
  <si>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</si>
  <si>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</si>
  <si>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</si>
  <si>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</si>
  <si>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</si>
  <si>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</si>
  <si>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</si>
  <si>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</si>
  <si>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</si>
  <si>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</si>
  <si>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</si>
  <si>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</si>
  <si>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</si>
  <si>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</si>
  <si>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</si>
  <si>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</si>
  <si>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</si>
  <si>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</si>
  <si>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r>
      <t xml:space="preserve">MONTEVERDE </t>
    </r>
    <r>
      <rPr>
        <vertAlign val="superscript"/>
        <sz val="11"/>
        <color theme="1"/>
        <rFont val="Open Sans Condensed"/>
      </rPr>
      <t>2/</t>
    </r>
  </si>
  <si>
    <r>
      <t>PUERTO JIMÉNEZ</t>
    </r>
    <r>
      <rPr>
        <vertAlign val="superscript"/>
        <sz val="11"/>
        <color theme="1"/>
        <rFont val="Open Sans Condensed"/>
      </rPr>
      <t xml:space="preserve"> 2/</t>
    </r>
  </si>
  <si>
    <t>PROVINCIA LIMÓN</t>
  </si>
  <si>
    <t>POCOCÍ</t>
  </si>
  <si>
    <t>SIQUIRRES</t>
  </si>
  <si>
    <t>TALAMANCA</t>
  </si>
  <si>
    <t>MATINA</t>
  </si>
  <si>
    <t>GUÁCIMO</t>
  </si>
  <si>
    <r>
      <rPr>
        <vertAlign val="superscript"/>
        <sz val="11"/>
        <color theme="1"/>
        <rFont val="Open Sans Condensed"/>
      </rPr>
      <t>1/</t>
    </r>
    <r>
      <rPr>
        <sz val="11"/>
        <color theme="1"/>
        <rFont val="Open Sans Condensed"/>
      </rPr>
      <t xml:space="preserve"> El Cantón de Río Cuarto se creo mediante ley 9440 el 20 de abril del 2018</t>
    </r>
  </si>
  <si>
    <r>
      <rPr>
        <vertAlign val="superscript"/>
        <sz val="11"/>
        <color theme="1"/>
        <rFont val="Open Sans Condensed"/>
      </rPr>
      <t>2/</t>
    </r>
    <r>
      <rPr>
        <sz val="11"/>
        <color theme="1"/>
        <rFont val="Open Sans Condensed"/>
      </rPr>
      <t xml:space="preserve"> El Cantón de Monteverde y Puerto Jiménez fueron creados mediante las leyes 10019 de setiembre 2021 y 10195 de marzo 2022.</t>
    </r>
  </si>
  <si>
    <t>Fuente: Tribunal Supremo de Elecciones, Cómputo de Votos 2002-2020.</t>
  </si>
  <si>
    <t>Costa Rica: Diputaciones electas por año de elección, según sexo y grupos de edad decenal, 2006-2010-2014-2018-2022</t>
  </si>
  <si>
    <t>SEXO Y 
GRUPOS DE EDAD</t>
  </si>
  <si>
    <t>Menos de 30 años</t>
  </si>
  <si>
    <t>De 30 a 39 años</t>
  </si>
  <si>
    <t>De 40 a 49 años</t>
  </si>
  <si>
    <t>De 50 a 59 años</t>
  </si>
  <si>
    <t>60 años y más</t>
  </si>
  <si>
    <t>HOMBRES</t>
  </si>
  <si>
    <t>MUJERES</t>
  </si>
  <si>
    <t>Costa Rica: Alcaldesas, regidoras y síndicas electas en propiedad por tipo de puesto y año de elección, según sexo y grupos de edad, 2002-2006-2010-2016-2020-2024</t>
  </si>
  <si>
    <t>REGIDURÍAS</t>
  </si>
  <si>
    <t>ALCALDÍAS</t>
  </si>
  <si>
    <t>SINDICATURAS</t>
  </si>
  <si>
    <t>Fuente: Tribunal Supremo de Elecciones, Cómputo de Votos 2002-2020, Base de datos de candidaturas 2024</t>
  </si>
  <si>
    <t>https://unstats.un.org/sdgs/metadata/files/Metadata-05-05-01a.pdf</t>
  </si>
  <si>
    <t>https://unstats.un.org/sdgs/metadata/files/Metadata-05-05-01b.pdf</t>
  </si>
  <si>
    <t>Porcentaje de mujeres electas en propiedad, por puesto según período electoral de cada cuatro años</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</si>
  <si>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</si>
  <si>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</si>
  <si>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</si>
  <si>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</si>
  <si>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</si>
  <si>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</si>
  <si>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</si>
  <si>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 Cómputo de Votos  Elecciones Nacionales 2002 ISBN 9968-907-01-04
Tribunal Supremo de Elecciones, Cómputo de Votos  Elecciones Municipales Diciembre 2002 ISBN 9968-907-10-3 (obra completa)
Tribunal Supremo de Elecciones, Cómputo de Votos  Elecciones y declaratorias de elcciones 2006 ISBN 9968-907-20-0
Tribunal Supremo de Elecciones, Cómputo de Votos  Elecciones para las elecciones municipales diciembre 2006 ISBN 9968-907-29-3 (obra completa)
Tribunal Supremo de Elecciones, Cómputo de Votos  Elecciones  y declaratorias de elcciones 2010 ISBN 9968-907-60-6
Tribunal Supremo de Elecciones, Cómputo de Votos  Elecciones Municipales 2010 ISBN 9968-907-67-5
Tribunal Supremo de Elecciones, Cómputo de Votos  Elecciones y declaratorias de elcción febrero y abri 2014 ISBN 9968-907-94-1
Tribunal Supremo de Elecciones, Cómputo de Votos  Elecciones Municipales 2016 ISBN 978-9930-521-08-3
Tribunal Supremo de Elecciones, Cómputo de Votos  Elecciones y declaratorias de elcción febrero y abril 2018 ISBN 978-9930-521-21-3
Tribunal Supremo de Elecciones, Cómputo de Votos  Elecciones Municipales 2020 ISBN 978-9930-521-44-1
Tribunal Supremo de Elecciones, Cómputo de Votos  Elecciones y declaratorias de elcción febrero y abril 2022 ISBN 978-9930-521-64-9</t>
  </si>
  <si>
    <t>Sandra Mora Navarro</t>
  </si>
  <si>
    <t>Directora Ejecutiva</t>
  </si>
  <si>
    <t>Tribunal Supremo de Elecciones</t>
  </si>
  <si>
    <t>(506) 2287-5712</t>
  </si>
  <si>
    <t>dejecutiva@tse.go.cr</t>
  </si>
  <si>
    <t>Juan Eladio Ramírez campos</t>
  </si>
  <si>
    <t>Estadsitica</t>
  </si>
  <si>
    <t>(506) 2287-3448</t>
  </si>
  <si>
    <t>jramirezc@tse.go.cr</t>
  </si>
  <si>
    <t xml:space="preserve">5.5 Asegurar la participación plena y efectiva de las mujeres y la igualdad de oportunidades de liderazgo a todos los niveles decisorios en la vida política, económica y pública </t>
  </si>
  <si>
    <t>Costa Rica: Porcentaje de mujeres ocupadas en cargos gerentes y directivos</t>
  </si>
  <si>
    <t>Costa Rica: Porcentaje de mujeres ocupadas en cargos directivos</t>
  </si>
  <si>
    <t>https://unstats.un.org/sdgs/metadata/files/Metadata-05-05-02.pdf</t>
  </si>
  <si>
    <t>Porcentaje de mujeres ocupadas en cargos directivos</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</si>
  <si>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</si>
  <si>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Mujeres ocupadas en puestos de directores y gerentes.
Mujeres y Hombres ocupadas en puestos de directivos y gerentes.</t>
  </si>
  <si>
    <t>Total Nacional</t>
  </si>
  <si>
    <t xml:space="preserve">Trimestral </t>
  </si>
  <si>
    <t>Encuesta de hogares</t>
  </si>
  <si>
    <t>Costa Rica: 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</si>
  <si>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</si>
  <si>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</si>
  <si>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</si>
  <si>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</si>
  <si>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</si>
  <si>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</si>
  <si>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</si>
  <si>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Fuente: Ministerio de Salud, Encuesta de Salud Sexual y Reproductiva, 2010.</t>
  </si>
  <si>
    <t>Costa Rica: Porcentaje de mujeres de 15 a 49 años que toman sus propias decisiones informadas sobre las relaciones sexuales por tipo de decisión, Año 2010</t>
  </si>
  <si>
    <t>https://unstats.un.org/sdgs/metadata/files/Metadata-05-06-01.pdf</t>
  </si>
  <si>
    <t>Meta país no identifica.</t>
  </si>
  <si>
    <t>Porcentaje de mujeres de 15 a 49 años que toman sus propias decisiones respecto a las relaciones sexuales por tipo de decisión</t>
  </si>
  <si>
    <r>
      <rPr>
        <b/>
        <sz val="11"/>
        <color theme="1"/>
        <rFont val="Open Sans Condensed"/>
      </rPr>
      <t>Decisiones respecto a las relaciones sexuales:</t>
    </r>
    <r>
      <rPr>
        <sz val="11"/>
        <color theme="1"/>
        <rFont val="Open Sans Condensed"/>
      </rPr>
      <t xml:space="preserve">  decisiones sobre el uso de preservativo, el uso de anticonceptivos, tener hijos, cuándo tener relaciones sexuales, el tipo de contacto sexual, y el tipo de posición sexual. </t>
    </r>
  </si>
  <si>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</si>
  <si>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</si>
  <si>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</si>
  <si>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</si>
  <si>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</si>
  <si>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La información es recoletacada por  la Naciones Unidades a través de una encuesta de larga data , encomendada por la Asamblea General, para recopilar información sobre políticas y programas gubernamentales sobre cuestiones importantes de población y desarrollo, incluida la información necesaria para el seguimiento mundial de los indicadores 5.6.2 y 10.7.2 de los ODS. En el 2021 el INEC, como coordinador de los ODS, recibió de la Secretaría de las Naciones Unidas la solicitud para la aplicación de la Decimotercera Investigación. La cual completo en Colaboración con la Defensoría de la Mujer.</t>
  </si>
  <si>
    <t>https://unstats.un.org/sdgs/metadata/files/Metadata-05-06-02.pdf</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</si>
  <si>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</si>
  <si>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https://unstats.un.org/sdgs/metadata/files/Metadata-05-0a-01.pdf</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</si>
  <si>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</si>
  <si>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</si>
  <si>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https://unstats.un.org/sdgs/metadata/files/Metadata-05-0A-02.pdf</t>
  </si>
  <si>
    <t>Costa Rica: Porcentaje de personas de 5 años y más que utilizaron en los últimos tres meses celular, por sexo, zona, región de planificación</t>
  </si>
  <si>
    <t>https://unstats.un.org/sdgs/metadata/files/Metadata-05-0B-01.pdf</t>
  </si>
  <si>
    <t>Porcentaje de personas de 5 años y más que utilizaron en los últimos tres meses celular, por sexo, zona, región de planificación</t>
  </si>
  <si>
    <r>
      <rPr>
        <b/>
        <sz val="11"/>
        <color theme="1"/>
        <rFont val="Open Sans Condensed"/>
      </rPr>
      <t>Uso de celular</t>
    </r>
    <r>
      <rPr>
        <sz val="11"/>
        <color theme="1"/>
        <rFont val="Open Sans Condensed"/>
      </rPr>
      <t xml:space="preserve">: Persona de 5 años o más que en los últimos 3 meses han utilizado teléfono celular.
Se indaga el uso del aparato,  no el acceso o pertenencia.
</t>
    </r>
  </si>
  <si>
    <t>• Total de personas de 5 años y más que en los últimos tres meses usaron celular
• Total de  personas de 5 años y más.</t>
  </si>
  <si>
    <t xml:space="preserve">Sexo </t>
  </si>
  <si>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</si>
  <si>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https://unstats.un.org/sdgs/metadata/files/Metadata-05-0c-01.pdf</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</si>
  <si>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</si>
  <si>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</si>
  <si>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 De aquí a 2030, lograr el acceso universal y equitativo al agua potable a un precio asequible para todos</t>
  </si>
  <si>
    <t>6.1.1</t>
  </si>
  <si>
    <t>6.1.1 Proporción de la población que utiliza servicios de suministro de agua potable gestionados sin riesgos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</si>
  <si>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</si>
  <si>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6.2.1</t>
  </si>
  <si>
    <t>6.2.1 Proporción de la población que utiliza: a) servicios de saneamiento gestionados sin riesgos y b) instalaciones para el lavado de manos con agua y jabón</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</si>
  <si>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</si>
  <si>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6.3.1</t>
  </si>
  <si>
    <t>6.3.1 Proporción de los flujos de aguas residuales domésticas e industriales tratados de manera adecuada</t>
  </si>
  <si>
    <t>6.3.2</t>
  </si>
  <si>
    <t>6.3.2 Proporción de masas de agua de buena calidad</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</si>
  <si>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</si>
  <si>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6.4.1</t>
  </si>
  <si>
    <t>6.4.1 Cambio en el uso eficiente de los recursos hídricos con el paso del tiempo</t>
  </si>
  <si>
    <t>6.4.2</t>
  </si>
  <si>
    <t>6.4.2 Nivel de estrés hídrico: extracción de agua dulce en proporción a los recursos de agua dulce disponibles</t>
  </si>
  <si>
    <t>6.5 De aquí a 2030, implementar la gestión integrada de los recursos hídricos a todos los niveles, incluso mediante la cooperación transfronteriza, según proceda</t>
  </si>
  <si>
    <t>6.5.1</t>
  </si>
  <si>
    <t>6.5.1 Grado de gestión integrada de los recursos hídricos</t>
  </si>
  <si>
    <t>6.5.2</t>
  </si>
  <si>
    <t>6.5.2 Proporción de la superficie de cuencas transfronterizas sujetas a arreglos operacionales para la cooperación en materia de aguas</t>
  </si>
  <si>
    <t>6.6 De aquí a 2020, proteger y restablecer los ecosistemas relacionados con el agua, incluidos los bosques, las montañas, los humedales, los ríos, los acuíferos y los lagos</t>
  </si>
  <si>
    <t>6.6.1</t>
  </si>
  <si>
    <t>6.6.1 Cambio en la extensión de los ecosistemas relacionados con el agua con el paso del tiempo</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</si>
  <si>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</si>
  <si>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6.a.1</t>
  </si>
  <si>
    <t>6.a.1 Volumen de la asistencia oficial para el desarrollo destinada al agua y el saneamiento que forma parte de un plan de gastos coordinados por el gobierno</t>
  </si>
  <si>
    <t>6.b Apoyar y fortalecer la participación de las comunidades locales en la mejora de la gestión del agua y el saneamiento</t>
  </si>
  <si>
    <t>6.b.1</t>
  </si>
  <si>
    <t>6.b.1 Proporción de dependencias administrativas locales que han establecido políticas y procedimientos operacionales para la participación de las comunidades locales en la gestión del agua y el saneamiento</t>
  </si>
  <si>
    <t>Regresar</t>
  </si>
  <si>
    <t>Costa Rica: Porcentaje de población que se abastece de agua intradomiciliar  procedente de un acueducto</t>
  </si>
  <si>
    <r>
      <t>Costa Rica: Porcentaje de población que se abastece de agua intradomiciliar  procedente de un acueducto</t>
    </r>
    <r>
      <rPr>
        <b/>
        <vertAlign val="superscript"/>
        <sz val="12"/>
        <rFont val="Open Sans Condensed"/>
      </rPr>
      <t>1/</t>
    </r>
  </si>
  <si>
    <t xml:space="preserve"> 1/ Incluye acueducto de AyA, acueducto Rural, acueducto Municipal y por empresa o cooperativa</t>
  </si>
  <si>
    <t>Objetivo 6. Garantizar la disponibilidad y la gestión sostenible del agua y el saneamiento para todos</t>
  </si>
  <si>
    <t>https://unstats.un.org/sdgs/metadata/files/Metadata-06-01-01.pdf</t>
  </si>
  <si>
    <t>Porcentaje de población que se abastece de agua intradomiciliar  procedente de un acueducto</t>
  </si>
  <si>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rFont val="Open Sans Condensed"/>
      </rPr>
      <t xml:space="preserve">
Suministro de agua gestionada de manera segura</t>
    </r>
    <r>
      <rPr>
        <sz val="11"/>
        <rFont val="Open Sans Condensed"/>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Se considera</t>
    </r>
    <r>
      <rPr>
        <b/>
        <sz val="11"/>
        <rFont val="Open Sans Condensed"/>
      </rPr>
      <t xml:space="preserve"> gestionado de manera seguro</t>
    </r>
    <r>
      <rPr>
        <sz val="11"/>
        <rFont val="Open Sans Condensed"/>
      </rPr>
      <t xml:space="preserve"> el abastecimiento de agua por tubería dentro de la vivienda que proviene de  un acueducto. Incluye acueducto de AyA, acueducto Rural, acueducto Municipal y por empresa o cooperativa
</t>
    </r>
    <r>
      <rPr>
        <b/>
        <sz val="11"/>
        <rFont val="Open Sans Condensed"/>
      </rPr>
      <t>Acueducto del A y A:</t>
    </r>
    <r>
      <rPr>
        <sz val="11"/>
        <rFont val="Open Sans Condensed"/>
      </rPr>
      <t xml:space="preserve"> el servicio de agua proviene de una red pública administrada por Acueductos y Alcantarillados (ente rector del abastecimiento de agua potable y alcantarillado sanitario en el país).
</t>
    </r>
    <r>
      <rPr>
        <b/>
        <sz val="11"/>
        <rFont val="Open Sans Condensed"/>
      </rPr>
      <t>Acueducto rural</t>
    </r>
    <r>
      <rPr>
        <sz val="11"/>
        <rFont val="Open Sans Condensed"/>
      </rPr>
      <t xml:space="preserve">: el servicio de agua proviene de una red pública administrada por un Comité Administrador de Acueductos Rural (CAAR) y las Asociaciones Administradoras de Acueductos y Alcantarillados Rurales (ASADAS).
</t>
    </r>
    <r>
      <rPr>
        <b/>
        <sz val="11"/>
        <rFont val="Open Sans Condensed"/>
      </rPr>
      <t>Acueducto municipal:</t>
    </r>
    <r>
      <rPr>
        <sz val="11"/>
        <rFont val="Open Sans Condensed"/>
      </rPr>
      <t xml:space="preserve"> el servicio es suministrado por la Municipalidad.
</t>
    </r>
    <r>
      <rPr>
        <b/>
        <sz val="11"/>
        <rFont val="Open Sans Condensed"/>
      </rPr>
      <t>Una empresa o cooperativa:</t>
    </r>
    <r>
      <rPr>
        <sz val="11"/>
        <rFont val="Open Sans Condensed"/>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rFont val="Open Sans Condensed"/>
      </rPr>
      <t>Tubería dentro de la vivienda:</t>
    </r>
    <r>
      <rPr>
        <sz val="11"/>
        <rFont val="Open Sans Condensed"/>
      </rPr>
      <t xml:space="preserve"> el agua llega dentro de la vivienda por medio de un tubo o una llave, por lo que no es necesario salir de ésta para abastecerse de agua.           </t>
    </r>
  </si>
  <si>
    <t>Donde:
IAI= Indicador de la población con abastecimiento intradomiciliar
PTA= Población con abastecimiento intradomiciliar por región de planificación
PT= Población total de la región i
i= Región de planificación</t>
  </si>
  <si>
    <t xml:space="preserve">El 93,76% de la población nacional que habita en vivienda fue abastecida por agua para consumo humano intradomiciliar, durante el año 2016.
</t>
  </si>
  <si>
    <t>• Población de población con abastecimiento de agua intradomiciliaria                                                          • Población total, por región y por zona</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</si>
  <si>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</si>
  <si>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</si>
  <si>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</si>
  <si>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a. Costa Rica: Porcentaje de población que vive en viviendas con servicio sanitario conectado a alcantarillado o tanque séptico, por Zona y Región de Planificación</t>
  </si>
  <si>
    <t>Ver indicador b. Porcentaje de población en hogares con instalaciones para lavados de manos con agua y jabón</t>
  </si>
  <si>
    <t>https://unstats.un.org/sdgs/metadata/files/Metadata-06-02-01.pdf</t>
  </si>
  <si>
    <t>Porcentaje de población que vive en viviendas con servicio sanitario conectado a alcantarillado o tanque séptico</t>
  </si>
  <si>
    <r>
      <rPr>
        <b/>
        <sz val="11"/>
        <rFont val="Open Sans Condensed"/>
      </rPr>
      <t>Conectado a alcantarillado o cloaca o tanque séptico:</t>
    </r>
    <r>
      <rPr>
        <sz val="11"/>
        <rFont val="Open Sans Condensed"/>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rFont val="Open Sans Condensed"/>
      </rPr>
      <t>Saneamiento:</t>
    </r>
    <r>
      <rPr>
        <sz val="11"/>
        <rFont val="Open Sans Condensed"/>
      </rPr>
      <t xml:space="preserve"> Es la provisión de instalaciones y servicios para la gestión segura y la eliminación de orina y heces.
</t>
    </r>
    <r>
      <rPr>
        <b/>
        <sz val="11"/>
        <rFont val="Open Sans Condensed"/>
      </rPr>
      <t>Conectado a alcantarilla o cloaca:</t>
    </r>
    <r>
      <rPr>
        <sz val="11"/>
        <rFont val="Open Sans Condensed"/>
      </rPr>
      <t xml:space="preserve"> el servicio sanitario está conectado a una red pública de alcantarillado o cloaca por donde desagua.
</t>
    </r>
    <r>
      <rPr>
        <b/>
        <sz val="11"/>
        <rFont val="Open Sans Condensed"/>
      </rPr>
      <t>Conectado a tanque séptico común</t>
    </r>
    <r>
      <rPr>
        <sz val="11"/>
        <rFont val="Open Sans Condensed"/>
      </rPr>
      <t xml:space="preserve">: es una solución individual en la que el servicio sanitario se comunica con un tanque de concreto o cemento armado, conectado a vías de drenaje. Por lo general, está construido en el patio de la casa.
</t>
    </r>
    <r>
      <rPr>
        <b/>
        <sz val="11"/>
        <rFont val="Open Sans Condensed"/>
      </rPr>
      <t>Conectado a tanque con tratamiento (fosa biológica):</t>
    </r>
    <r>
      <rPr>
        <sz val="11"/>
        <rFont val="Open Sans Condensed"/>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</si>
  <si>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t>• Población que cuenta con servicio sanitario dentro de la vivienda  conectados a tanque, alcantarilla.
• Total de  población.</t>
  </si>
  <si>
    <t>Zona y Región de planificación</t>
  </si>
  <si>
    <t>Clase de servicio sanitario</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</si>
  <si>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</si>
  <si>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</si>
  <si>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III. Información del Contacto (DSA)</t>
  </si>
  <si>
    <t>b. Costa Rica: Porcentaje de población en hogares con instalaciones para lavados de manos con agua y jabón desagregado por zona, provincia, nivel de educación y quintil de indice de riqueza, 2018</t>
  </si>
  <si>
    <t>Categoría</t>
  </si>
  <si>
    <t>Educación de la jefatura del hogar</t>
  </si>
  <si>
    <t>Fuente: Instituto Nacional de Estadística y Censos, Encuesta de Mujeres, Niñez y Adolescencia, 2018</t>
  </si>
  <si>
    <t>Costa Rica: Proporción de aguas residuales por origen y tipo de tratamiento</t>
  </si>
  <si>
    <t>Origen / Tratamiento</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</si>
  <si>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</si>
  <si>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</si>
  <si>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</si>
  <si>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</si>
  <si>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</si>
  <si>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</si>
  <si>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</si>
  <si>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r>
      <t>hm</t>
    </r>
    <r>
      <rPr>
        <b/>
        <vertAlign val="superscript"/>
        <sz val="11"/>
        <rFont val="Open Sans Condensed"/>
      </rPr>
      <t xml:space="preserve">3 </t>
    </r>
    <r>
      <rPr>
        <b/>
        <sz val="11"/>
        <rFont val="Open Sans Condensed"/>
      </rPr>
      <t>/ año</t>
    </r>
  </si>
  <si>
    <t>Nota: Los datos del 2021 se ajustaron por cambios metodologico en un de las fuentes de información.</t>
  </si>
  <si>
    <t>Fuente: Ministerio de Salud, Instituto Nacional de Estadística y Censos, Empresa de Servicios Públicos de Heredia y Instituto Costarricense de Acueductos y Alcantarillados; 2016-2020</t>
  </si>
  <si>
    <t>Costa Rica: Proporción de aguas residuales tratadas, según origen y tipo de tratamiento, 2015-2022</t>
  </si>
  <si>
    <t>Fuente: Ministerio de Salud, Instituto Nacional de Estadística y Censos, Empresa de Servicios Públicos de Heredia y Instituto Costarricense de Acueductos y Alcantarillados; 2016-2022</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</si>
  <si>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</si>
  <si>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</si>
  <si>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</si>
  <si>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</si>
  <si>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t>Sin tratamiento</t>
  </si>
  <si>
    <t>https://unstats.un.org/sdgs/metadata/files/Metadata-06-03-01.pdf</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</si>
  <si>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</si>
  <si>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</si>
  <si>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</si>
  <si>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</si>
  <si>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</si>
  <si>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</si>
  <si>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2016-2022.</t>
  </si>
  <si>
    <r>
      <t xml:space="preserve">• </t>
    </r>
    <r>
      <rPr>
        <b/>
        <sz val="11"/>
        <rFont val="Open Sans Condensed"/>
      </rPr>
      <t>Volumen de Aguas Residuales Domésticas/Comerciales Tratadas:</t>
    </r>
    <r>
      <rPr>
        <sz val="11"/>
        <rFont val="Open Sans Condensed"/>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rFont val="Open Sans Condensed"/>
      </rPr>
      <t>Volumen de Aguas Residuales Especiales Tratadas (industrial, agrícola, centros de atención de salud):</t>
    </r>
    <r>
      <rPr>
        <sz val="11"/>
        <rFont val="Open Sans Condensed"/>
      </rPr>
      <t xml:space="preserve">  Sistema Informático y Registro de Reportes Operacionales de Aguas Residuales (SIRROAR), Ministerio de Salud.
• </t>
    </r>
    <r>
      <rPr>
        <b/>
        <sz val="11"/>
        <rFont val="Open Sans Condensed"/>
      </rPr>
      <t xml:space="preserve">Volumen Total de Aguas Residuales Generadas: </t>
    </r>
    <r>
      <rPr>
        <sz val="11"/>
        <rFont val="Open Sans Condensed"/>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</si>
  <si>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</si>
  <si>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</si>
  <si>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r>
      <t xml:space="preserve">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*Se revisó y se ajustaron los datos, de conformidad con la actualización del compendio del CTIE-AGUA: 3-2.1 "Volúmen de agua residuale generada por actividad económica". Los ajustes fueron principalmente para el 2016 y 2017. Se completó el 2021. El 2022 no fue posible porque no se cuenta con la información en dicho compendio.
</t>
    </r>
    <r>
      <rPr>
        <sz val="11"/>
        <color rgb="FFFF0000"/>
        <rFont val="Open Sans Condensed"/>
      </rPr>
      <t>*Se revisó y se ajustaron los datos, de conformidad con la actualización del compendio del CTIE-AGUA: 3-2.1 "Volúmen de agua residuale generada por actividad económica" del año 2021. El 2023 no fue posible porque no se cuenta con la información en dicho compendio.</t>
    </r>
  </si>
  <si>
    <t>Unidad de Salud Ambiental de la Dirección de Protección Radiológica y Salud Ambiental.</t>
  </si>
  <si>
    <t>(506) 2233-6922 / 8939-2465</t>
  </si>
  <si>
    <r>
      <t xml:space="preserve"> </t>
    </r>
    <r>
      <rPr>
        <i/>
        <sz val="11"/>
        <rFont val="Open Sans Condensed"/>
      </rPr>
      <t xml:space="preserve">ana.giusti@misalud.go.cr  / ricardo.morales@misalud.go.cr; </t>
    </r>
  </si>
  <si>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</si>
  <si>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 2021-2023</t>
  </si>
  <si>
    <t>Costa Rica: Proporción de sitios de monitoreo de cuerpos de agua superficiales de buena calidad sobre el total de sitios monitoreados</t>
  </si>
  <si>
    <t>Sitios</t>
  </si>
  <si>
    <t>Buena calidad</t>
  </si>
  <si>
    <t>Mala calidad</t>
  </si>
  <si>
    <t>Fuente: Ministerio de Ambiente y Energía, Dirección de Agua, 2021-2023.</t>
  </si>
  <si>
    <t>El total de sitios clasificados como de buena o mala calidad considera únicamente aquéllos que fueron objeto de medición.</t>
  </si>
  <si>
    <t xml:space="preserve">Los sitios con la referencia SD (Sin dato) no pueden ser objeto de clasificación, siendo éstos los sitios que no cuentan </t>
  </si>
  <si>
    <t>con medición.</t>
  </si>
  <si>
    <t>Fuente: Ministerio de Ambiente y Energía, Dirección de Agua, 2015-2023</t>
  </si>
  <si>
    <t>Sitios de monitoreo de cuerpos de agua por parámetros químicos según cuenca hidrográfica, 2021</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</si>
  <si>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</si>
  <si>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</si>
  <si>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</si>
  <si>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</si>
  <si>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</si>
  <si>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</si>
  <si>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</si>
  <si>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</si>
  <si>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</si>
  <si>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</si>
  <si>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</si>
  <si>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</si>
  <si>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</si>
  <si>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</si>
  <si>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</si>
  <si>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</si>
  <si>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</si>
  <si>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</si>
  <si>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</si>
  <si>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</si>
  <si>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%SO</t>
  </si>
  <si>
    <t xml:space="preserve">pH              </t>
  </si>
  <si>
    <t xml:space="preserve">SST            </t>
  </si>
  <si>
    <t>(CRTM05)</t>
  </si>
  <si>
    <t xml:space="preserve">0 = Mala calidad </t>
  </si>
  <si>
    <t>(2021)</t>
  </si>
  <si>
    <t>Damas</t>
  </si>
  <si>
    <t>Río Damas</t>
  </si>
  <si>
    <t>FPC-DAM-01</t>
  </si>
  <si>
    <t>SD</t>
  </si>
  <si>
    <t>FPC-DAM-02</t>
  </si>
  <si>
    <t>Río Paquita</t>
  </si>
  <si>
    <t>FPC-DAM-03</t>
  </si>
  <si>
    <t>Naranjito</t>
  </si>
  <si>
    <t>FPC-DAM-04</t>
  </si>
  <si>
    <t>Quepos</t>
  </si>
  <si>
    <t>Tusubres</t>
  </si>
  <si>
    <t>Río Agujas</t>
  </si>
  <si>
    <t>FPC-TUS-01</t>
  </si>
  <si>
    <t>Tárcoles</t>
  </si>
  <si>
    <t>Río Copey</t>
  </si>
  <si>
    <t>FPC-TUS-02</t>
  </si>
  <si>
    <t>Jacó</t>
  </si>
  <si>
    <t>Río Turrubaritos</t>
  </si>
  <si>
    <t>FPC-TUS-03</t>
  </si>
  <si>
    <t>Turrucares</t>
  </si>
  <si>
    <t>Carara</t>
  </si>
  <si>
    <t>Río Tulín</t>
  </si>
  <si>
    <t>FPC-TUS-04</t>
  </si>
  <si>
    <t>Chires</t>
  </si>
  <si>
    <t>FPC-TUS-05</t>
  </si>
  <si>
    <t>Río Tusubres</t>
  </si>
  <si>
    <t>FPC-TUS-06</t>
  </si>
  <si>
    <t>FPC-TUS-07</t>
  </si>
  <si>
    <t>Río Chires</t>
  </si>
  <si>
    <t>FPC-TUS-08</t>
  </si>
  <si>
    <t>Grande de Tárcoles</t>
  </si>
  <si>
    <t>Río Virilla</t>
  </si>
  <si>
    <t>FPC-TAR-01</t>
  </si>
  <si>
    <t>Cascajal</t>
  </si>
  <si>
    <t>FPC-TAR-02</t>
  </si>
  <si>
    <t>FPC-TAR-03</t>
  </si>
  <si>
    <t>San Juan</t>
  </si>
  <si>
    <t>FPC-TAR-04</t>
  </si>
  <si>
    <t>San Joaquín</t>
  </si>
  <si>
    <t>FPC-TAR-05</t>
  </si>
  <si>
    <t>San Antonio</t>
  </si>
  <si>
    <t>Río Tárcoles</t>
  </si>
  <si>
    <t>FPC-TAR-06</t>
  </si>
  <si>
    <t>Turrúcares</t>
  </si>
  <si>
    <t xml:space="preserve">Río Grande </t>
  </si>
  <si>
    <t>FPC-TAR-07</t>
  </si>
  <si>
    <t>Concepción</t>
  </si>
  <si>
    <t>FPC-TAR-08</t>
  </si>
  <si>
    <t>Río Naranjo</t>
  </si>
  <si>
    <t>FPC-NAR-01</t>
  </si>
  <si>
    <t>FPC-NAR-02</t>
  </si>
  <si>
    <t>FPC-NAR-03</t>
  </si>
  <si>
    <t>Quebrada Escandalosa</t>
  </si>
  <si>
    <t>FPC-NAR-04</t>
  </si>
  <si>
    <t>Jesús María</t>
  </si>
  <si>
    <t>Río Jesús María</t>
  </si>
  <si>
    <t>FPC-JES-01</t>
  </si>
  <si>
    <t>FPC-JES-02</t>
  </si>
  <si>
    <t>FPC-JES-03</t>
  </si>
  <si>
    <t>FPC-JES-04</t>
  </si>
  <si>
    <t>San Juan Grande</t>
  </si>
  <si>
    <t>Río Machuca</t>
  </si>
  <si>
    <t>FPC-JES-05</t>
  </si>
  <si>
    <t>FPC-JES-06</t>
  </si>
  <si>
    <t>La Ceiba</t>
  </si>
  <si>
    <t>FPC-JES-07</t>
  </si>
  <si>
    <t>Barú</t>
  </si>
  <si>
    <t>Río Diamante</t>
  </si>
  <si>
    <t>FPC-BAR-01</t>
  </si>
  <si>
    <t>Río Barú</t>
  </si>
  <si>
    <t>FPC-BAR-02</t>
  </si>
  <si>
    <t>FPC-BAR-03</t>
  </si>
  <si>
    <t>Puerto Cortés</t>
  </si>
  <si>
    <t>Río Pirrís</t>
  </si>
  <si>
    <t>FPC-PAR-01</t>
  </si>
  <si>
    <t>Santa María</t>
  </si>
  <si>
    <t>FPC-PAR-02</t>
  </si>
  <si>
    <t>San Lorenzo</t>
  </si>
  <si>
    <t>FPC-PAR-03</t>
  </si>
  <si>
    <t>Sabanillas</t>
  </si>
  <si>
    <t>Río Candelaria</t>
  </si>
  <si>
    <t>FPC-PAR-04</t>
  </si>
  <si>
    <t>Cangrejal</t>
  </si>
  <si>
    <t>FPC-PAR-05</t>
  </si>
  <si>
    <t>Savegre</t>
  </si>
  <si>
    <t>Río Savegre</t>
  </si>
  <si>
    <t>FPC-SAV-01</t>
  </si>
  <si>
    <t>Copey</t>
  </si>
  <si>
    <t>FPC-SAV-02</t>
  </si>
  <si>
    <t>FPC-SAV-03</t>
  </si>
  <si>
    <t>FPC-SAV-04</t>
  </si>
  <si>
    <t>Río División</t>
  </si>
  <si>
    <t>FPC-SAV-05</t>
  </si>
  <si>
    <t>Peréz Zeledón</t>
  </si>
  <si>
    <t>Páramo</t>
  </si>
  <si>
    <t>FPC-SAV-06</t>
  </si>
  <si>
    <t>Reventazón</t>
  </si>
  <si>
    <t>Río Taras</t>
  </si>
  <si>
    <t>FC-REV-01</t>
  </si>
  <si>
    <t>San Nicolás</t>
  </si>
  <si>
    <t>Río Purires</t>
  </si>
  <si>
    <t>FC-REV-02</t>
  </si>
  <si>
    <t>Guadalupe</t>
  </si>
  <si>
    <t>FC-REV-03</t>
  </si>
  <si>
    <t>Río Agua Caliente</t>
  </si>
  <si>
    <t>FC-REV-04</t>
  </si>
  <si>
    <t>Dulce Nombre</t>
  </si>
  <si>
    <t>Río Grande de Orosi</t>
  </si>
  <si>
    <t>FC-REV-05</t>
  </si>
  <si>
    <t>Orosí</t>
  </si>
  <si>
    <t>Río Pejibaye</t>
  </si>
  <si>
    <t>FC-REV-06</t>
  </si>
  <si>
    <t>Pejibaye</t>
  </si>
  <si>
    <t>Río Atirro</t>
  </si>
  <si>
    <t>FC-REV-07</t>
  </si>
  <si>
    <t>La Suiza</t>
  </si>
  <si>
    <t>Río Tuis</t>
  </si>
  <si>
    <t>FC-REV-08</t>
  </si>
  <si>
    <t>Quebrada El Colorado</t>
  </si>
  <si>
    <t>FC-REV-09</t>
  </si>
  <si>
    <t>Río Páez</t>
  </si>
  <si>
    <t>FC-REV-10</t>
  </si>
  <si>
    <t>Río Reventazón</t>
  </si>
  <si>
    <t>FC-REV-11</t>
  </si>
  <si>
    <t>FC-REV-12</t>
  </si>
  <si>
    <t>Cairo</t>
  </si>
  <si>
    <t>FC-REV-13</t>
  </si>
  <si>
    <t>Madre de Dios</t>
  </si>
  <si>
    <t>Río Madre de Dios</t>
  </si>
  <si>
    <t>FC-MAD-01</t>
  </si>
  <si>
    <t>Batán</t>
  </si>
  <si>
    <t>Río Caño Azul</t>
  </si>
  <si>
    <t>FC-MAD-02</t>
  </si>
  <si>
    <t>Pacuarito</t>
  </si>
  <si>
    <t>FC-MAD-03</t>
  </si>
  <si>
    <t>Moín</t>
  </si>
  <si>
    <t>Río Victoria</t>
  </si>
  <si>
    <t>FC-MOI-01</t>
  </si>
  <si>
    <t>Río Blanco</t>
  </si>
  <si>
    <t>Río Moín</t>
  </si>
  <si>
    <t>FC-MOI-02</t>
  </si>
  <si>
    <t>Río Limoncito</t>
  </si>
  <si>
    <t>FC-MOI-03</t>
  </si>
  <si>
    <t>Matama</t>
  </si>
  <si>
    <t>FC-MOI-04</t>
  </si>
  <si>
    <t>Bananito</t>
  </si>
  <si>
    <t>Río Vizcaya</t>
  </si>
  <si>
    <t>FC-BAN-01</t>
  </si>
  <si>
    <t>Río Bananito</t>
  </si>
  <si>
    <t>FC-BAN-02</t>
  </si>
  <si>
    <t>FC-BAN-03</t>
  </si>
  <si>
    <t>Río San Andrés</t>
  </si>
  <si>
    <t>FC-BAN-04</t>
  </si>
  <si>
    <t>Río Matina</t>
  </si>
  <si>
    <t>FC-MAT-01</t>
  </si>
  <si>
    <t>FC-MAT-02</t>
  </si>
  <si>
    <t>FC-MAT-03</t>
  </si>
  <si>
    <t>Río Barbilla</t>
  </si>
  <si>
    <t>FC-MAT-04</t>
  </si>
  <si>
    <t>Río Chirripó</t>
  </si>
  <si>
    <t>FC-MAT-05</t>
  </si>
  <si>
    <t>FC-MAT-06</t>
  </si>
  <si>
    <t>FC-MAT-07</t>
  </si>
  <si>
    <t>Chirripó</t>
  </si>
  <si>
    <t>FC-MAT-08</t>
  </si>
  <si>
    <t>Pacuare</t>
  </si>
  <si>
    <t>Río Pacuare</t>
  </si>
  <si>
    <t>FC-PAC-01</t>
  </si>
  <si>
    <t>Tayutic</t>
  </si>
  <si>
    <t>FC-PAC-02</t>
  </si>
  <si>
    <t>Tres Equis</t>
  </si>
  <si>
    <t>FC-PAC-03</t>
  </si>
  <si>
    <t>FC-PAC-04</t>
  </si>
  <si>
    <t>FC-PAC-05</t>
  </si>
  <si>
    <t>FC-PAC-06</t>
  </si>
  <si>
    <t>FC-PAC-07</t>
  </si>
  <si>
    <t>Banano</t>
  </si>
  <si>
    <t>Río Banano</t>
  </si>
  <si>
    <t>FC-BANANO-01</t>
  </si>
  <si>
    <t>FC-BANANO-02</t>
  </si>
  <si>
    <t>La Estrella</t>
  </si>
  <si>
    <t>Río Cohen</t>
  </si>
  <si>
    <t>FC-EST-01</t>
  </si>
  <si>
    <t>Valle La Estrella</t>
  </si>
  <si>
    <t>Río Estrella</t>
  </si>
  <si>
    <t>FC-EST-02</t>
  </si>
  <si>
    <t>FC-EST-03</t>
  </si>
  <si>
    <t>FC-EST-04</t>
  </si>
  <si>
    <t>Sixaola</t>
  </si>
  <si>
    <t>Río Sixaola</t>
  </si>
  <si>
    <t>FC-SIX-01</t>
  </si>
  <si>
    <t>Bratsi</t>
  </si>
  <si>
    <t>FC-SIX-02</t>
  </si>
  <si>
    <t>FC-SIX-03</t>
  </si>
  <si>
    <t>Tortuguero</t>
  </si>
  <si>
    <t>Río Tortuguero</t>
  </si>
  <si>
    <t>FC-TOR-01</t>
  </si>
  <si>
    <t>Guápiles</t>
  </si>
  <si>
    <t>FC-TOR-02</t>
  </si>
  <si>
    <t>FC-TOR-03</t>
  </si>
  <si>
    <t>Rita</t>
  </si>
  <si>
    <t>FC-TOR-04</t>
  </si>
  <si>
    <t>Cariari</t>
  </si>
  <si>
    <t>FC-TOR-05</t>
  </si>
  <si>
    <t>Península de Nicoya</t>
  </si>
  <si>
    <t>Río Morote</t>
  </si>
  <si>
    <t>FPN-PEN-01</t>
  </si>
  <si>
    <t>Mansión</t>
  </si>
  <si>
    <t>FPN-PEN-02</t>
  </si>
  <si>
    <t>FPN-PEN-03</t>
  </si>
  <si>
    <t>Río Nosara</t>
  </si>
  <si>
    <t>FPN-PEN-04</t>
  </si>
  <si>
    <t>Nosara</t>
  </si>
  <si>
    <t>FPN-PEN-05</t>
  </si>
  <si>
    <t xml:space="preserve">Río Bongo </t>
  </si>
  <si>
    <t>FPN-PEN-06</t>
  </si>
  <si>
    <t>Bejuco</t>
  </si>
  <si>
    <t>FPN-PEN-07</t>
  </si>
  <si>
    <t>Lepanto</t>
  </si>
  <si>
    <t>FPN-PEN-08</t>
  </si>
  <si>
    <t>Paquera</t>
  </si>
  <si>
    <t>Río Ario</t>
  </si>
  <si>
    <t>FPN-PEN-09</t>
  </si>
  <si>
    <t>Tempisque</t>
  </si>
  <si>
    <t>Río Tempisquito</t>
  </si>
  <si>
    <t>FPN-TEM-01</t>
  </si>
  <si>
    <t>Río Ahogados</t>
  </si>
  <si>
    <t>FPN-TEM-02</t>
  </si>
  <si>
    <t>Río Colorado</t>
  </si>
  <si>
    <t>FPN-TEM-03</t>
  </si>
  <si>
    <t>Río Liberia</t>
  </si>
  <si>
    <t>FPN-TEM-04</t>
  </si>
  <si>
    <t>Río Tempisque</t>
  </si>
  <si>
    <t>FPN-TEM-05</t>
  </si>
  <si>
    <t>Filadelfia</t>
  </si>
  <si>
    <t>FPN-TEM-06</t>
  </si>
  <si>
    <t>FPN-TEM-07</t>
  </si>
  <si>
    <t>Bolsón</t>
  </si>
  <si>
    <t>Río Bolsón</t>
  </si>
  <si>
    <t>FPN-TEM-08</t>
  </si>
  <si>
    <t>Río Diría</t>
  </si>
  <si>
    <t>FPN-TEM-09</t>
  </si>
  <si>
    <t>Diriá</t>
  </si>
  <si>
    <t>Río Cañas</t>
  </si>
  <si>
    <t>FPN-TEM-10</t>
  </si>
  <si>
    <t>FPN-TEM-11</t>
  </si>
  <si>
    <t>Río Gongolona</t>
  </si>
  <si>
    <t>FPN-ABA-01</t>
  </si>
  <si>
    <t>Río Abangares</t>
  </si>
  <si>
    <t>FPN-ABA-02</t>
  </si>
  <si>
    <t>Sierra</t>
  </si>
  <si>
    <t>FPN-ABA-03</t>
  </si>
  <si>
    <t>Las Juntas</t>
  </si>
  <si>
    <t>FPN-ABA-04</t>
  </si>
  <si>
    <t>FPN-ABA-05</t>
  </si>
  <si>
    <t>FPN-ABA-06</t>
  </si>
  <si>
    <t>Colorado</t>
  </si>
  <si>
    <t>FPN-ABA-07</t>
  </si>
  <si>
    <t>Manzanillo</t>
  </si>
  <si>
    <t>Barranca</t>
  </si>
  <si>
    <t xml:space="preserve">Río La Cabra </t>
  </si>
  <si>
    <t>FPN-BAR-01</t>
  </si>
  <si>
    <t>Piedades Sur</t>
  </si>
  <si>
    <t xml:space="preserve">Río Barranquilla </t>
  </si>
  <si>
    <t>FPN-BAR-02</t>
  </si>
  <si>
    <t xml:space="preserve">Río Jabonal </t>
  </si>
  <si>
    <t>FPN-BAR-03</t>
  </si>
  <si>
    <t>Zapotal</t>
  </si>
  <si>
    <t>Río Barranca</t>
  </si>
  <si>
    <t>FPN-BAR-04</t>
  </si>
  <si>
    <t>Cirrí Sur</t>
  </si>
  <si>
    <t>FPN-BAR-05</t>
  </si>
  <si>
    <t>Alfaro</t>
  </si>
  <si>
    <t>FPN-BAR-06</t>
  </si>
  <si>
    <t>Macacona</t>
  </si>
  <si>
    <t>FPN-BAR-07</t>
  </si>
  <si>
    <t>FPN-BAR-08</t>
  </si>
  <si>
    <t>Bebedero</t>
  </si>
  <si>
    <t>FPN-BEB-01</t>
  </si>
  <si>
    <t>Río Bagaces (Piedras)</t>
  </si>
  <si>
    <t>FPN-BEB-02</t>
  </si>
  <si>
    <t>Río Bebedero</t>
  </si>
  <si>
    <t>FPN-BEB-03</t>
  </si>
  <si>
    <t>Río Santa Rosa</t>
  </si>
  <si>
    <t>FPN-BEB-04</t>
  </si>
  <si>
    <t>Santa Rosa</t>
  </si>
  <si>
    <t>FPN-BEB-05</t>
  </si>
  <si>
    <t>Fortuna</t>
  </si>
  <si>
    <t>Pocosol</t>
  </si>
  <si>
    <t>Río Infiernillo</t>
  </si>
  <si>
    <t>FZN-POC-01</t>
  </si>
  <si>
    <t>Cutris</t>
  </si>
  <si>
    <t>Río Pocosol</t>
  </si>
  <si>
    <t>FZN-POC-02</t>
  </si>
  <si>
    <t>FZN-POC-03</t>
  </si>
  <si>
    <t>FZN-POC-04</t>
  </si>
  <si>
    <t>Río Medio Queso</t>
  </si>
  <si>
    <t>FZN-POC-05</t>
  </si>
  <si>
    <t>Río Isla Chica</t>
  </si>
  <si>
    <t>FZN-POC-06</t>
  </si>
  <si>
    <t>Frío</t>
  </si>
  <si>
    <t>Río Samen</t>
  </si>
  <si>
    <t>FZN-FRI-01</t>
  </si>
  <si>
    <t>Katira</t>
  </si>
  <si>
    <t>Río Celeste</t>
  </si>
  <si>
    <t>FZN-FRI-02</t>
  </si>
  <si>
    <t>Río Mónico</t>
  </si>
  <si>
    <t>FZN-FRI-03</t>
  </si>
  <si>
    <t>Caño Negro</t>
  </si>
  <si>
    <t>Río Frío</t>
  </si>
  <si>
    <t>FZN-FRI-04</t>
  </si>
  <si>
    <t>Río Sabogal</t>
  </si>
  <si>
    <t>FZN-FRI-05</t>
  </si>
  <si>
    <t>Río Peje (San Carlos)</t>
  </si>
  <si>
    <t>FZN-SAN-01</t>
  </si>
  <si>
    <t>Florencia</t>
  </si>
  <si>
    <t>Río San Carlos</t>
  </si>
  <si>
    <t>FZN-SAN-02</t>
  </si>
  <si>
    <t>FZN-SAN-03</t>
  </si>
  <si>
    <t>FZN-SAN-04</t>
  </si>
  <si>
    <t>FZN-SAN-05</t>
  </si>
  <si>
    <t>Pital</t>
  </si>
  <si>
    <t>FZN-SAN-06</t>
  </si>
  <si>
    <t>Río La Paz</t>
  </si>
  <si>
    <t>FZN-SAR-01</t>
  </si>
  <si>
    <t>Varablanca</t>
  </si>
  <si>
    <t>Río Cariblanco</t>
  </si>
  <si>
    <t>FZN-SAR-02</t>
  </si>
  <si>
    <t>Río Puerto Viejo</t>
  </si>
  <si>
    <t>FZN-SAR-03</t>
  </si>
  <si>
    <t>Puerto Viejo</t>
  </si>
  <si>
    <t>Río Sarapiquí</t>
  </si>
  <si>
    <t>FZN-SAR-04</t>
  </si>
  <si>
    <t>FZN-SAR-05</t>
  </si>
  <si>
    <t>Río Toro</t>
  </si>
  <si>
    <t>FZN-SAR-06</t>
  </si>
  <si>
    <t>Cureña</t>
  </si>
  <si>
    <t>Río Cureña</t>
  </si>
  <si>
    <t>FZN-CUR-01</t>
  </si>
  <si>
    <t>FZN-CUR-02</t>
  </si>
  <si>
    <t>Río Sucio</t>
  </si>
  <si>
    <t>FZN-CHI-01</t>
  </si>
  <si>
    <t>Río Toro Amarillo</t>
  </si>
  <si>
    <t>FZN-CHI-02</t>
  </si>
  <si>
    <t>FZN-CHI-03</t>
  </si>
  <si>
    <t>FZN-CHI-04</t>
  </si>
  <si>
    <t>Horquetas</t>
  </si>
  <si>
    <t>FZN-CHI-05</t>
  </si>
  <si>
    <t>La Rita</t>
  </si>
  <si>
    <t>Península de Osa</t>
  </si>
  <si>
    <t>Río Sierpe</t>
  </si>
  <si>
    <t>FPS-POS-01</t>
  </si>
  <si>
    <t>Sierpe</t>
  </si>
  <si>
    <t>FPS-POS-02</t>
  </si>
  <si>
    <t>Río El Progreso</t>
  </si>
  <si>
    <t>FPS-POS-03</t>
  </si>
  <si>
    <t>Río Drake</t>
  </si>
  <si>
    <t>FPS-POS-04</t>
  </si>
  <si>
    <t>Río El Carmen</t>
  </si>
  <si>
    <t>FPS-POS-05</t>
  </si>
  <si>
    <t xml:space="preserve">Río Rincón </t>
  </si>
  <si>
    <t>FPS-POS-06</t>
  </si>
  <si>
    <t>FPS-POS-07</t>
  </si>
  <si>
    <t>Río Tigre</t>
  </si>
  <si>
    <t>FPS-POS-08</t>
  </si>
  <si>
    <t>FPS-POS-09</t>
  </si>
  <si>
    <t>Río Cacao</t>
  </si>
  <si>
    <t>FPS-POS-10.1</t>
  </si>
  <si>
    <t>Esquinas</t>
  </si>
  <si>
    <t>Río Piedras Blancas</t>
  </si>
  <si>
    <t>FPS-ESQ-01</t>
  </si>
  <si>
    <t>Piedras Blancas</t>
  </si>
  <si>
    <t>FPS-ESQ-02</t>
  </si>
  <si>
    <t>Riío Claro</t>
  </si>
  <si>
    <t>FPS-ESQ-03</t>
  </si>
  <si>
    <t>Río Coto Colorado</t>
  </si>
  <si>
    <t>FPS-ESQ-04</t>
  </si>
  <si>
    <t>Río Corredores</t>
  </si>
  <si>
    <t>FPS-ESQ-05</t>
  </si>
  <si>
    <t>Corredor</t>
  </si>
  <si>
    <t>Río Coloradito</t>
  </si>
  <si>
    <t>FPS-ESQ-06</t>
  </si>
  <si>
    <t>Paso Canoas</t>
  </si>
  <si>
    <t>Grande de Térraba</t>
  </si>
  <si>
    <t>Río Quebradas</t>
  </si>
  <si>
    <t>FPS-GTE-01</t>
  </si>
  <si>
    <t>Rivas</t>
  </si>
  <si>
    <t>Río Pedregoso</t>
  </si>
  <si>
    <t>FPS-GTE-02</t>
  </si>
  <si>
    <t>San Isidro de El General</t>
  </si>
  <si>
    <t>Río Pacuar</t>
  </si>
  <si>
    <t>FPS-GTE-03</t>
  </si>
  <si>
    <t>Río General</t>
  </si>
  <si>
    <t>FPS-GTE-04</t>
  </si>
  <si>
    <t>Río Volcán</t>
  </si>
  <si>
    <t>FPS-GTE-05</t>
  </si>
  <si>
    <t>Volcán</t>
  </si>
  <si>
    <t>Rio Volcán</t>
  </si>
  <si>
    <t>FPS-GTE-06</t>
  </si>
  <si>
    <t>Río Coto Brus</t>
  </si>
  <si>
    <t>FPS-GTE-07</t>
  </si>
  <si>
    <t>San Vito</t>
  </si>
  <si>
    <t>FPS-GTE-08</t>
  </si>
  <si>
    <t>Sitios de monitoreo de cuerpos de agua por parámetros químicos según cuenca hidrográfica, 2022</t>
  </si>
  <si>
    <t>(2022)</t>
  </si>
  <si>
    <t>Grande deTárcoles</t>
  </si>
  <si>
    <t>Q. Escandalosa</t>
  </si>
  <si>
    <t>Río Siquirres</t>
  </si>
  <si>
    <t>Estrella</t>
  </si>
  <si>
    <t>Sitios de monitoreo de cuerpos de agua por parámetros químicos según cuenca hidrográfica, 2023</t>
  </si>
  <si>
    <t>(2023)</t>
  </si>
  <si>
    <t>No definida.</t>
  </si>
  <si>
    <t>Proporción de sitios de monitoreo de cuerpos de agua superficiales de buena calidad sobre el total de sitios monitoreados.</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</si>
  <si>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</si>
  <si>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r>
      <t xml:space="preserve">Proporción de los sitios de monitoreo de cuerpos de agua superficiales que cumplen con el estándar de buena calidad establecido para el conjunto de parámetros químicos.
</t>
    </r>
    <r>
      <rPr>
        <u/>
        <sz val="8"/>
        <rFont val="Open Sans Condensed"/>
      </rPr>
      <t>Sitios de monitoreo</t>
    </r>
    <r>
      <rPr>
        <sz val="8"/>
        <rFont val="Open Sans Condensed"/>
      </rPr>
      <t xml:space="preserve">: Son los puntos geográficos de control donde se realiza la toma de muestras para los análisis químicos. Están definidos en el Plan Nacional de Monitoreo de la Calidad de los Cuerpos de Agua Superficiales del país.
</t>
    </r>
    <r>
      <rPr>
        <u/>
        <sz val="8"/>
        <rFont val="Open Sans Condensed"/>
      </rPr>
      <t>Cuerpos de agua superficiales</t>
    </r>
    <r>
      <rPr>
        <sz val="8"/>
        <rFont val="Open Sans Condensed"/>
      </rPr>
      <t xml:space="preserve">: Ríos que son representativos para el análisis de la calidad del agua definidos en el Plan Nacional de Monitoreo de la Calidad de los Cuerpos de Agua Superficiales del país.
</t>
    </r>
    <r>
      <rPr>
        <u/>
        <sz val="8"/>
        <rFont val="Open Sans Condensed"/>
      </rPr>
      <t>Agua de buena calidad</t>
    </r>
    <r>
      <rPr>
        <sz val="8"/>
        <rFont val="Open Sans Condensed"/>
      </rPr>
      <t xml:space="preserve">: Condición calificada cuando al menos el 80% de las mediciones realizadas en el sitio de monitoreo, para los parámetros químicos establecidos, cumple con sus respectivos valores meta. 
</t>
    </r>
    <r>
      <rPr>
        <u/>
        <sz val="8"/>
        <rFont val="Open Sans Condensed"/>
      </rPr>
      <t>Parámetros químicos</t>
    </r>
    <r>
      <rPr>
        <sz val="8"/>
        <rFont val="Open Sans Condensed"/>
      </rPr>
      <t xml:space="preserve">: Porcentaje de saturación de oxígeno, Demanda Biológica de Oxígeno (DBO), nitrógeno amoniacal, Potencial de Hidrógeno (pH) y sólidos suspendidos totales (SST).
</t>
    </r>
    <r>
      <rPr>
        <u/>
        <sz val="8"/>
        <rFont val="Open Sans Condensed"/>
      </rPr>
      <t>Porcentaje de saturación de oxígeno</t>
    </r>
    <r>
      <rPr>
        <sz val="8"/>
        <rFont val="Open Sans Condensed"/>
      </rPr>
      <t xml:space="preserve">: Se obtiene de la relación entre el oxígeno disuelto (O.D.) real obtenido en el sitio de medición y el O.D. teórico correspondiente a la condición de agua limpia a la presión atmosférica y la temperatura en el mismo sito de medición.
</t>
    </r>
    <r>
      <rPr>
        <u/>
        <sz val="8"/>
        <rFont val="Open Sans Condensed"/>
      </rPr>
      <t>DBO</t>
    </r>
    <r>
      <rPr>
        <sz val="8"/>
        <rFont val="Open Sans Condensed"/>
      </rPr>
      <t xml:space="preserve">: Cantidad de oxígeno requerido por los microorganismos aeróbicos presentes en la muestra para oxidar la materia orgánica a una forma inorgánica estable. Debe ser medido a los cinco días de tomada la muestra y a 20 grados centígrados. 
</t>
    </r>
    <r>
      <rPr>
        <u/>
        <sz val="8"/>
        <rFont val="Open Sans Condensed"/>
      </rPr>
      <t>Nitrógeno amoniacal</t>
    </r>
    <r>
      <rPr>
        <sz val="8"/>
        <rFont val="Open Sans Condensed"/>
      </rPr>
      <t xml:space="preserve">: Es el resultado de la primera transformación del nitrógeno orgánico. Esta forma del nitrógeno es soluble en agua y queda retenido por el poder absorbente del suelo. 
</t>
    </r>
    <r>
      <rPr>
        <u/>
        <sz val="8"/>
        <rFont val="Open Sans Condensed"/>
      </rPr>
      <t>pH</t>
    </r>
    <r>
      <rPr>
        <sz val="8"/>
        <rFont val="Open Sans Condensed"/>
      </rPr>
      <t xml:space="preserve">: Coeficiente que indica el grado de acidez o basicidad de una solución acuosa.
</t>
    </r>
    <r>
      <rPr>
        <u/>
        <sz val="8"/>
        <rFont val="Open Sans Condensed"/>
      </rPr>
      <t>SST</t>
    </r>
    <r>
      <rPr>
        <sz val="8"/>
        <rFont val="Open Sans Condensed"/>
      </rPr>
      <t>: proporción de sólidos retenidos por un filtro de fibra de vidrio que posteriormente se seca a 103-105° hasta peso constante.</t>
    </r>
  </si>
  <si>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</si>
  <si>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 xml:space="preserve">Saturación de oxígeno: porcentaje.
DBO: mg/L.
Nitrógeno amoniacal: mg/L.
pH: número de 0 hasta el 14.
SST: mg/L.
Indicador: porcentaje.
</t>
  </si>
  <si>
    <t>Proporción de sitios monitoreados que cumple con los estándares de buena calidad de agua, para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durante 2021 a 2023.</t>
  </si>
  <si>
    <t>Saturación de oxígeno, DBO, nitrógeno amoniacal, pH y SST.</t>
  </si>
  <si>
    <t xml:space="preserve">Sitios de monitoreo de calidad en las cuencas de los ríos: Damas, Tusubres, Grande de Tárcoles, Naranjo, Jesús María, Barú, Parrita, Savegre, Reventazón, Madre de Dios, Moín, Bananito, Matina, Pacuare, Banano, La Estrella, Sixaola, Tortuguero, Península de Nicoya, Tempisque, Abangares, Barranca, Bebedero, Pocosol, Frio, San Carlos, Sarapiquí, Cureña, Chirripó, Península de Osa, Esquinas y Grande de Térraba.
Incluye información correspondiente con 32 de las 34 cuencas del país,  es decir, el 94.12% del total de cuencas en el territorio naconal.
</t>
  </si>
  <si>
    <t xml:space="preserve">Se puede desagregar por provincia, cantón, distrito, cuenca y cuerpo de agua superficial para el área de estudio. </t>
  </si>
  <si>
    <t>Buena o mala calidad del agua, de acuerdo a los parámetros químicos establecidos en la metodología.</t>
  </si>
  <si>
    <t xml:space="preserve">En 2021, 2022 y  2023 se definieron dos periodos para realizar el monitoreo. El primero corresponde a la época seca que inicia en Febrero. El segundo periodo corresponde a la época lluviosa que inicia en agosto. El dato podría corresponder en ambas épocas, o en una sola.
</t>
  </si>
  <si>
    <t>Ministerio de Ambiente y Energía, Dirección de Agua.</t>
  </si>
  <si>
    <t>Programa de monitoreo de la calidad de cuerpos de agua.</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</si>
  <si>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94.12% de la extensión territorial total del país. Además, no se monitorean todas las cuencas tributarias.
Tiene limitaciones de comparabilidad con otros países, debido a que no se miden otros parámetros químicos como la salinidad y el fósforo.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</si>
  <si>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t>
  </si>
  <si>
    <t xml:space="preserve">Dirección de Agua, MINAE. 2021-2023. Plan Nacional de Monitoreo de la Calidad de los Cuerpos de Agua Superficiales. </t>
  </si>
  <si>
    <t>José Miguel Zeledón Calderón</t>
  </si>
  <si>
    <t>Ministerio de Ambiente y Energía, Dirección de Agua</t>
  </si>
  <si>
    <t>(506) 2103-2600</t>
  </si>
  <si>
    <t>jzeledon@da.go.cr</t>
  </si>
  <si>
    <t>Costa Rica: Evolución de la eficiencia en el uso del agua por grupos de actividades económicas  
Costa Rica: Eficiencia total en el uso del agua 
Costa Rica: Cambio en la eficiencia del uso de agua</t>
  </si>
  <si>
    <t>Costa Rica: Evolución de la eficiencia en el uso del agua por grupos de actividades económicas, 2012-2023</t>
  </si>
  <si>
    <t>Actividad económica</t>
  </si>
  <si>
    <t>Agricultura</t>
  </si>
  <si>
    <t>Manufactura y construcción</t>
  </si>
  <si>
    <t>Servicios</t>
  </si>
  <si>
    <t>Eficiencia en el uso del agua (CRC/m3)</t>
  </si>
  <si>
    <t>Uso del Agua (millones m3/año)</t>
  </si>
  <si>
    <t>Valor agregado bruto. Volumen a precios del año anterior encadenado, referencia 2017 (millones de CRC/año)</t>
  </si>
  <si>
    <r>
      <t xml:space="preserve">Cr </t>
    </r>
    <r>
      <rPr>
        <b/>
        <vertAlign val="superscript"/>
        <sz val="11"/>
        <rFont val="Open Sans Condensed"/>
      </rPr>
      <t>*</t>
    </r>
  </si>
  <si>
    <t>Porcentaje de agua utilizada por sector (% del total)</t>
  </si>
  <si>
    <t>2022**</t>
  </si>
  <si>
    <t>*/ Cr es un coeficiente para corregir el valor agregado de la agricultura, por aquella producción que se realiza utilizando agua de lluvia. Para ver la información del cálculo, consultar el metadato.</t>
  </si>
  <si>
    <t>**Datos preliminares</t>
  </si>
  <si>
    <t>Fuente: Banco Central de Costa Rica, Extracciones y Usos de Cuenta de Agua 2012-2023, Cuadro de Oferta y Utilización 2012-2023.</t>
  </si>
  <si>
    <t>Costa Rica: Eficiencia del uso de agua por actividad económica, 2012-2023</t>
  </si>
  <si>
    <t>Costa Rica: Eficiencia total en el uso del agua, 2012-2023</t>
  </si>
  <si>
    <t>Eficiencia (CRC/m3)</t>
  </si>
  <si>
    <t>Fuente: Banco Central de Costa Rica, Uso del agua: Extracciones y Usos de Cuenta de Agua 2012-2023, Valor Agregado: Cuadro de Oferta y Utilización 2012-2023</t>
  </si>
  <si>
    <t>Costa Rica: Cambio en la eficiencia del uso de agua</t>
  </si>
  <si>
    <t>*/ La actividad económica de "Agricultura" debe leerse en el eje derecho.</t>
  </si>
  <si>
    <t>Periodo</t>
  </si>
  <si>
    <t>Tasa de cambio (%)</t>
  </si>
  <si>
    <t xml:space="preserve">**/ Información preliminar. </t>
  </si>
  <si>
    <t>2012-2013</t>
  </si>
  <si>
    <t>Fuente:  Banco Central de Costa Rica, Cuadro de oferta y utilización, 2012-2023. Cuenta de Agua 2012-2023</t>
  </si>
  <si>
    <t>2013-2014</t>
  </si>
  <si>
    <t>2014-2015</t>
  </si>
  <si>
    <t>2015-2016</t>
  </si>
  <si>
    <t>2016-2017</t>
  </si>
  <si>
    <t>2017-2018</t>
  </si>
  <si>
    <t>2018-2019</t>
  </si>
  <si>
    <t>Costa Rica: Porcentaje de uso de agua por grupos de actividades económicas, 2023**</t>
  </si>
  <si>
    <t>2019-2020</t>
  </si>
  <si>
    <t>2020-2021</t>
  </si>
  <si>
    <t>2021-2022</t>
  </si>
  <si>
    <t>2022-2023</t>
  </si>
  <si>
    <t>Costa Rica: Cambio en la eficiencia del uso de agua , 2012-2023</t>
  </si>
  <si>
    <t xml:space="preserve">*/ Información preliminar. </t>
  </si>
  <si>
    <t>Fuente: Banco Central de Costa Rica, Cuenta de Agua 2023</t>
  </si>
  <si>
    <t>*/ Información preliminar.</t>
  </si>
  <si>
    <t>Fuente: Banco Central de Costa Rica, Cuadro de oferta y utilización, 2012-2023. Cuenta de Agua 2012-2023.</t>
  </si>
  <si>
    <t>https://unstats.un.org/sdgs/metadata/files/Metadata-06-04-01.pdf</t>
  </si>
  <si>
    <t>Meta país no identificada o no establecida.</t>
  </si>
  <si>
    <t>Cambio de la eficiencia en el uso del agua por grupos de actividades económicas en Costa Rica</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</si>
  <si>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</si>
  <si>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</si>
  <si>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Colones Costarricense (CRC) / metro cúbico de agua (m3)</t>
  </si>
  <si>
    <t xml:space="preserve">Mide el cambio en el valor agregado en colones generado por cada metro cúbico de agua utilizado en la economía a través del tiempo en Costa Rica.
</t>
  </si>
  <si>
    <t>Grupo de actividad económica según CIIU Revisión 4.</t>
  </si>
  <si>
    <t xml:space="preserve">Variable A: Valor Agregado Bruto
Corresponde a la serie volumen encadenado, año de referencia 2023. Banco Central de Costa Rica
Variable B: Uso del Agua
Cuadro Extracciones y Usos, Cuenta de agua 2023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</si>
  <si>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</si>
  <si>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</si>
  <si>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</si>
  <si>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 xml:space="preserve">Lucrecia Salazar Villalobos </t>
  </si>
  <si>
    <t>Área de Estadísticas Ambientales</t>
  </si>
  <si>
    <t>Banco Central de Costa Rica</t>
  </si>
  <si>
    <t>(506) 22433226</t>
  </si>
  <si>
    <t>salazarvl@bccr.fi.cr</t>
  </si>
  <si>
    <t>Mónica Rodríguez</t>
  </si>
  <si>
    <t>(506) 22433212</t>
  </si>
  <si>
    <t>rodriguezzm@bccr.fi.cr</t>
  </si>
  <si>
    <t xml:space="preserve">Henry Vargas </t>
  </si>
  <si>
    <t xml:space="preserve">Departamento de  </t>
  </si>
  <si>
    <t>(506) 22433220</t>
  </si>
  <si>
    <t>VARGASCH@bccr.fi.cr</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</si>
  <si>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cuenca</t>
  </si>
  <si>
    <t>Costa Rica: Nivel de estrés por escasez de agua: extracción de agua dulce como proporción de los recursos de agua dulce disponibles</t>
  </si>
  <si>
    <r>
      <t>10</t>
    </r>
    <r>
      <rPr>
        <b/>
        <vertAlign val="superscript"/>
        <sz val="12"/>
        <rFont val="Open Sans Condensed"/>
      </rPr>
      <t>6</t>
    </r>
    <r>
      <rPr>
        <b/>
        <sz val="12"/>
        <rFont val="Open Sans Condensed"/>
      </rPr>
      <t>m</t>
    </r>
    <r>
      <rPr>
        <b/>
        <vertAlign val="superscript"/>
        <sz val="12"/>
        <rFont val="Open Sans Condensed"/>
      </rPr>
      <t>3</t>
    </r>
  </si>
  <si>
    <t>Costa Rica: Nivel de estrés hídrico por extracción de agua dulce en Costa Rica, 2008-2023</t>
  </si>
  <si>
    <t>Total de agua dulce extraída (ETAD)</t>
  </si>
  <si>
    <r>
      <t>Recursos totales de agua dulce renovable (h</t>
    </r>
    <r>
      <rPr>
        <b/>
        <vertAlign val="subscript"/>
        <sz val="11"/>
        <rFont val="Open Sans Condensed"/>
      </rPr>
      <t>r</t>
    </r>
    <r>
      <rPr>
        <b/>
        <sz val="11"/>
        <rFont val="Open Sans Condensed"/>
      </rPr>
      <t>)</t>
    </r>
  </si>
  <si>
    <r>
      <t>Requerimiento ambiental de agua (h</t>
    </r>
    <r>
      <rPr>
        <vertAlign val="subscript"/>
        <sz val="11"/>
        <rFont val="Open Sans Condensed"/>
      </rPr>
      <t>amb</t>
    </r>
    <r>
      <rPr>
        <sz val="11"/>
        <rFont val="Open Sans Condensed"/>
      </rPr>
      <t>)</t>
    </r>
  </si>
  <si>
    <t>Porcentaje de estrés hídrico</t>
  </si>
  <si>
    <t>Fuente: Ministerio de Ambiente y Energía, Dirección de Agua y Instituto Metereológico Nacional, 2008-2023</t>
  </si>
  <si>
    <t>Fuente de datos: Ministerio de Ambiente y Energía, Dirección de Agua, Dirección de Agua. Volúmenes extraídos, 2008-2023.</t>
  </si>
  <si>
    <t>Ministerio de Ambiente y Energía, Instituto Meteorológico Nacional. Instituto Costarricense de Electricidad. Precipitación y evapotranspiración anuales, 2008-2023.</t>
  </si>
  <si>
    <t xml:space="preserve">Costa Rica: Nivel de estrés por escasez de agua: extracción de agua dulce como proporción de los recursos de agua dulce </t>
  </si>
  <si>
    <t>disponibles según cuenca hidrográfica, 2023</t>
  </si>
  <si>
    <t>Cuencas hidrográficas</t>
  </si>
  <si>
    <r>
      <t>Requerimiento ambiental de agua (h</t>
    </r>
    <r>
      <rPr>
        <b/>
        <vertAlign val="subscript"/>
        <sz val="11"/>
        <rFont val="Open Sans Condensed"/>
      </rPr>
      <t>amb</t>
    </r>
    <r>
      <rPr>
        <b/>
        <sz val="11"/>
        <rFont val="Open Sans Condensed"/>
      </rPr>
      <t>)</t>
    </r>
  </si>
  <si>
    <t>Estrés hídrico</t>
  </si>
  <si>
    <t xml:space="preserve"> Abangares</t>
  </si>
  <si>
    <t xml:space="preserve"> Bananito</t>
  </si>
  <si>
    <t xml:space="preserve"> Banano</t>
  </si>
  <si>
    <t xml:space="preserve"> Barranca</t>
  </si>
  <si>
    <t xml:space="preserve"> Barú</t>
  </si>
  <si>
    <t xml:space="preserve"> Bebedero</t>
  </si>
  <si>
    <t xml:space="preserve"> Changuinola</t>
  </si>
  <si>
    <t xml:space="preserve"> Chirripó</t>
  </si>
  <si>
    <t xml:space="preserve"> Cureña</t>
  </si>
  <si>
    <t xml:space="preserve"> Damas</t>
  </si>
  <si>
    <t xml:space="preserve"> Esquinas</t>
  </si>
  <si>
    <t xml:space="preserve"> Frío</t>
  </si>
  <si>
    <t xml:space="preserve"> Grande de Tárcoles</t>
  </si>
  <si>
    <t xml:space="preserve"> Grande de Térraba</t>
  </si>
  <si>
    <t xml:space="preserve"> Jesús María</t>
  </si>
  <si>
    <t xml:space="preserve"> La Estrella</t>
  </si>
  <si>
    <t xml:space="preserve"> Madre de Dios</t>
  </si>
  <si>
    <t xml:space="preserve"> Matina</t>
  </si>
  <si>
    <t xml:space="preserve"> Moín</t>
  </si>
  <si>
    <t xml:space="preserve"> Naranjo</t>
  </si>
  <si>
    <t xml:space="preserve"> Pacuare</t>
  </si>
  <si>
    <t xml:space="preserve"> Parrita</t>
  </si>
  <si>
    <t xml:space="preserve"> Pocosol</t>
  </si>
  <si>
    <t xml:space="preserve"> Reventazón</t>
  </si>
  <si>
    <t xml:space="preserve"> San Carlos</t>
  </si>
  <si>
    <t xml:space="preserve"> Sarapiquí</t>
  </si>
  <si>
    <t xml:space="preserve"> Savegre</t>
  </si>
  <si>
    <t xml:space="preserve"> Tempisque</t>
  </si>
  <si>
    <t xml:space="preserve"> Tortuguero</t>
  </si>
  <si>
    <t xml:space="preserve"> Tusubres</t>
  </si>
  <si>
    <t xml:space="preserve"> Zapote</t>
  </si>
  <si>
    <t>Fuente de datos: Ministerio de Ambiente y Energía, Dirección de Agua, Dirección de Agua. Volúmenes extraídos, 2023</t>
  </si>
  <si>
    <t>Ministerio de Ambiente y Energía, Instituto Meteorológico Nacional. Instituto Costarricense de Electricidad. Precipitación y evapotranspiración anuales, 2023</t>
  </si>
  <si>
    <t>disponibles según cuenca hidrográfica, 2022</t>
  </si>
  <si>
    <t>Fuente de datos: Ministerio de Ambiente y Energía, Dirección de Agua, Dirección de Agua. Volúmenes extraídos, 2008-2022.</t>
  </si>
  <si>
    <t>Ministerio de Ambiente y Energía, Instituto Meteorológico Nacional. Instituto Costarricense de Electricidad. Precipitación y evapotranspiración anuales, 2008-2022.</t>
  </si>
  <si>
    <t>Meta país no identificada o no definida.</t>
  </si>
  <si>
    <t xml:space="preserve">Nivel de estrés hídrico por extracción de agua dulce </t>
  </si>
  <si>
    <t>Indicador: Porcentaje (%)
ETAD: Hectómetros cúbicos al año</t>
  </si>
  <si>
    <t>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1. Para el cálculo de ETAD se considera el volumen de agua concesionado. Se han discriminado las concesiones que se geolocalizan en territorio marítimo, considerando que el dato de ETAD se presenta desagregado por cuenca hidrográfica. 
2. Se ha incluido en este reporte el expediente administrativo 602R, que incluye las tomas de agua administradas por el AyA. Esto ha hecho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4. El reporte se emitió con base en la última información institucional disponible y generada en 2023.</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</si>
  <si>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</si>
  <si>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</si>
  <si>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Cuenca
Unidades hidrogeológicas</t>
  </si>
  <si>
    <t>No disponibles</t>
  </si>
  <si>
    <t xml:space="preserve">1. Ministerio de Ambiente y Energía, Dirección de Agua. Volúmenes de agua para generar el dato del total de agua dulce extraída
2. Ministerio de Ambiente y Energía, Instituto Metereológico Nacional (IMN). Instituto Costaricense de Electricidad (ICE). Datos de precipitación, evapotraspiración y recursos de agua dulce disonibles anuales por cuenca hidrográfica. </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</si>
  <si>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</si>
  <si>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</si>
  <si>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</si>
  <si>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 xml:space="preserve">1. Para el cálculo de ETAD se considera el volumen de agua concesionado. Se han discriminado las concesiones que se geolocalizan en territorio marítimo, considerando que el dato de ETAD se presenta desagregado por cuenca hidrográfica. }
2. Se ha incluido en este reporte el expediente administrativo 602R, que incluye las tomas de agua administradas por el AyA. Esto ha hcho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t>
  </si>
  <si>
    <t>2103-2600</t>
  </si>
  <si>
    <t>Karina Hernández Espinoza</t>
  </si>
  <si>
    <t>Investigador meteorologico</t>
  </si>
  <si>
    <t>Ministerio de Ambiente y Energía, Instituto Metereológico Nacional</t>
  </si>
  <si>
    <t>khernandez@imn.ac.cr</t>
  </si>
  <si>
    <t>José Alberto Zúñiga Mora</t>
  </si>
  <si>
    <t>Coordinador del Centro de Servicios Básicos de Ingeniería</t>
  </si>
  <si>
    <t>Instituto Costarricense de Electricidad</t>
  </si>
  <si>
    <t>jzunigam@ice.go.cr</t>
  </si>
  <si>
    <t>Costa Rica: 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</si>
  <si>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</si>
  <si>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</si>
  <si>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</si>
  <si>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</si>
  <si>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</si>
  <si>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</si>
  <si>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</si>
  <si>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</si>
  <si>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Fuente: Ministerio de Ambiente y Energía, Dirección de Aguas, 2023.</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</si>
  <si>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</si>
  <si>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</si>
  <si>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</si>
  <si>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</si>
  <si>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</si>
  <si>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</si>
  <si>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</si>
  <si>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</si>
  <si>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</si>
  <si>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</si>
  <si>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</si>
  <si>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</si>
  <si>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</si>
  <si>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</si>
  <si>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</si>
  <si>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</si>
  <si>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</si>
  <si>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</si>
  <si>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</si>
  <si>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</si>
  <si>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</si>
  <si>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</si>
  <si>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</si>
  <si>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</si>
  <si>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</si>
  <si>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</si>
  <si>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</si>
  <si>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</si>
  <si>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</si>
  <si>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</si>
  <si>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</si>
  <si>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</si>
  <si>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</si>
  <si>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</si>
  <si>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</si>
  <si>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</si>
  <si>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</si>
  <si>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</si>
  <si>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</si>
  <si>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</si>
  <si>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</si>
  <si>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</si>
  <si>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</si>
  <si>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</si>
  <si>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</si>
  <si>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</si>
  <si>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</si>
  <si>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</si>
  <si>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</si>
  <si>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</si>
  <si>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</si>
  <si>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</si>
  <si>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</si>
  <si>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</si>
  <si>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</si>
  <si>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</si>
  <si>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</si>
  <si>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</si>
  <si>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</si>
  <si>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</si>
  <si>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</si>
  <si>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</si>
  <si>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</si>
  <si>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</si>
  <si>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</si>
  <si>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</si>
  <si>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</si>
  <si>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</si>
  <si>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</si>
  <si>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</si>
  <si>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</si>
  <si>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</si>
  <si>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r>
      <t>Capacidad</t>
    </r>
    <r>
      <rPr>
        <vertAlign val="superscript"/>
        <sz val="10"/>
        <rFont val="Open Sans Condensed"/>
      </rPr>
      <t>[4]</t>
    </r>
    <r>
      <rPr>
        <sz val="10"/>
        <rFont val="Open Sans Condensed"/>
      </rPr>
      <t xml:space="preserve"> de las autoridades gubernamentales</t>
    </r>
    <r>
      <rPr>
        <vertAlign val="superscript"/>
        <sz val="10"/>
        <rFont val="Open Sans Condensed"/>
      </rPr>
      <t>[5]</t>
    </r>
    <r>
      <rPr>
        <sz val="10"/>
        <rFont val="Open Sans Condensed"/>
      </rPr>
      <t xml:space="preserve"> nacionales para conducir la implementación de los planes nacionales de GIRH, o similar.</t>
    </r>
  </si>
  <si>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</si>
  <si>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</si>
  <si>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</si>
  <si>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</si>
  <si>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</si>
  <si>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</si>
  <si>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</si>
  <si>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</si>
  <si>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</si>
  <si>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</si>
  <si>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</si>
  <si>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</si>
  <si>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</si>
  <si>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</si>
  <si>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</si>
  <si>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</si>
  <si>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</si>
  <si>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</si>
  <si>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</si>
  <si>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</si>
  <si>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</si>
  <si>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</si>
  <si>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</si>
  <si>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</si>
  <si>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</si>
  <si>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</si>
  <si>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</si>
  <si>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</si>
  <si>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</si>
  <si>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</si>
  <si>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</si>
  <si>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</si>
  <si>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</si>
  <si>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</si>
  <si>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</si>
  <si>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</si>
  <si>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</si>
  <si>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</si>
  <si>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</si>
  <si>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</si>
  <si>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</si>
  <si>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</si>
  <si>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</si>
  <si>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</si>
  <si>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</si>
  <si>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</si>
  <si>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</si>
  <si>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</si>
  <si>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</si>
  <si>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r>
      <t>Organizaciones</t>
    </r>
    <r>
      <rPr>
        <vertAlign val="superscript"/>
        <sz val="10"/>
        <color theme="1"/>
        <rFont val="Open Sans Condensed"/>
      </rPr>
      <t>[11]</t>
    </r>
    <r>
      <rPr>
        <sz val="10"/>
        <color theme="1"/>
        <rFont val="Open Sans Condensed"/>
      </rPr>
      <t xml:space="preserve">  a nivel de cuencas/acuíferos</t>
    </r>
    <r>
      <rPr>
        <vertAlign val="superscript"/>
        <sz val="10"/>
        <color theme="1"/>
        <rFont val="Open Sans Condensed"/>
      </rPr>
      <t>[12]</t>
    </r>
    <r>
      <rPr>
        <sz val="10"/>
        <color theme="1"/>
        <rFont val="Open Sans Condensed"/>
      </rPr>
      <t xml:space="preserve">  para conducir la implementación de planes de GIRH, o similares.</t>
    </r>
  </si>
  <si>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</si>
  <si>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</si>
  <si>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</si>
  <si>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</si>
  <si>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</si>
  <si>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</si>
  <si>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r>
      <t xml:space="preserve">Participación pública </t>
    </r>
    <r>
      <rPr>
        <vertAlign val="superscript"/>
        <sz val="10"/>
        <rFont val="Open Sans Condensed"/>
      </rPr>
      <t>[13]</t>
    </r>
    <r>
      <rPr>
        <sz val="10"/>
        <rFont val="Open Sans Condensed"/>
      </rPr>
      <t xml:space="preserve"> en recursos hídricos, política, planificación y gestión a nivel local.</t>
    </r>
    <r>
      <rPr>
        <vertAlign val="superscript"/>
        <sz val="10"/>
        <rFont val="Open Sans Condensed"/>
      </rPr>
      <t>[14]</t>
    </r>
  </si>
  <si>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</si>
  <si>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</si>
  <si>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</si>
  <si>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</si>
  <si>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</si>
  <si>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</si>
  <si>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</si>
  <si>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</si>
  <si>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</si>
  <si>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</si>
  <si>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</si>
  <si>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</si>
  <si>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</si>
  <si>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</si>
  <si>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</si>
  <si>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</si>
  <si>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</si>
  <si>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</si>
  <si>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</si>
  <si>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</si>
  <si>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</si>
  <si>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</si>
  <si>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</si>
  <si>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</si>
  <si>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</si>
  <si>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</si>
  <si>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</si>
  <si>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</si>
  <si>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</si>
  <si>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</si>
  <si>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</si>
  <si>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</si>
  <si>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</si>
  <si>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</si>
  <si>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</si>
  <si>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</si>
  <si>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</si>
  <si>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</si>
  <si>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</si>
  <si>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</si>
  <si>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</si>
  <si>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</si>
  <si>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</si>
  <si>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</si>
  <si>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</si>
  <si>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</si>
  <si>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</si>
  <si>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</si>
  <si>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</si>
  <si>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</si>
  <si>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</si>
  <si>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</si>
  <si>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</si>
  <si>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</si>
  <si>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</si>
  <si>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</si>
  <si>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</si>
  <si>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</si>
  <si>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</si>
  <si>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</si>
  <si>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</si>
  <si>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</si>
  <si>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</si>
  <si>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</si>
  <si>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</si>
  <si>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</si>
  <si>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</si>
  <si>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</si>
  <si>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</si>
  <si>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</si>
  <si>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</si>
  <si>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</si>
  <si>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</si>
  <si>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</si>
  <si>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</si>
  <si>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</si>
  <si>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</si>
  <si>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</si>
  <si>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</si>
  <si>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</si>
  <si>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</si>
  <si>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</si>
  <si>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</si>
  <si>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</si>
  <si>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</si>
  <si>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</si>
  <si>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</si>
  <si>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</si>
  <si>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</si>
  <si>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</si>
  <si>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</si>
  <si>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</si>
  <si>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</si>
  <si>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</si>
  <si>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</si>
  <si>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</si>
  <si>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</si>
  <si>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</si>
  <si>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</si>
  <si>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</si>
  <si>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</si>
  <si>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</si>
  <si>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</si>
  <si>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</si>
  <si>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</si>
  <si>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</si>
  <si>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</si>
  <si>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</si>
  <si>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</si>
  <si>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r>
      <t>Presupuesto nacional</t>
    </r>
    <r>
      <rPr>
        <vertAlign val="superscript"/>
        <sz val="10"/>
        <rFont val="Open Sans Condensed"/>
      </rPr>
      <t>[27]</t>
    </r>
    <r>
      <rPr>
        <sz val="10"/>
        <rFont val="Open Sans Condensed"/>
      </rPr>
      <t xml:space="preserve"> para inversión incluyendo infraestructura</t>
    </r>
    <r>
      <rPr>
        <vertAlign val="superscript"/>
        <sz val="10"/>
        <rFont val="Open Sans Condensed"/>
      </rPr>
      <t>[28]</t>
    </r>
    <r>
      <rPr>
        <sz val="10"/>
        <rFont val="Open Sans Condensed"/>
      </rPr>
      <t xml:space="preserve"> de recursos hídricos.</t>
    </r>
  </si>
  <si>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</si>
  <si>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</si>
  <si>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</si>
  <si>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</si>
  <si>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</si>
  <si>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</si>
  <si>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</si>
  <si>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</si>
  <si>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</si>
  <si>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</si>
  <si>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</si>
  <si>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</si>
  <si>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</si>
  <si>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</si>
  <si>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</si>
  <si>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</si>
  <si>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</si>
  <si>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</si>
  <si>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</si>
  <si>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</si>
  <si>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</si>
  <si>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</si>
  <si>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</si>
  <si>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</si>
  <si>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</si>
  <si>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</si>
  <si>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</si>
  <si>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</si>
  <si>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</si>
  <si>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r>
      <t>Financiamiento para la cooperación [31</t>
    </r>
    <r>
      <rPr>
        <vertAlign val="superscript"/>
        <sz val="10"/>
        <rFont val="Open Sans Condensed"/>
      </rPr>
      <t>]</t>
    </r>
    <r>
      <rPr>
        <sz val="10"/>
        <rFont val="Open Sans Condensed"/>
      </rPr>
      <t xml:space="preserve"> transfronteriza</t>
    </r>
    <r>
      <rPr>
        <vertAlign val="superscript"/>
        <sz val="10"/>
        <rFont val="Open Sans Condensed"/>
      </rPr>
      <t>[32]</t>
    </r>
    <r>
      <rPr>
        <sz val="10"/>
        <rFont val="Open Sans Condensed"/>
      </rPr>
      <t xml:space="preserve"> </t>
    </r>
  </si>
  <si>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</si>
  <si>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</si>
  <si>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</si>
  <si>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</si>
  <si>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</si>
  <si>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</si>
  <si>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</si>
  <si>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</si>
  <si>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</si>
  <si>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</si>
  <si>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</si>
  <si>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</si>
  <si>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</si>
  <si>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</si>
  <si>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</si>
  <si>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</si>
  <si>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</si>
  <si>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</si>
  <si>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</si>
  <si>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</si>
  <si>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</si>
  <si>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</si>
  <si>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</si>
  <si>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r>
      <t>[15]</t>
    </r>
    <r>
      <rPr>
        <sz val="10"/>
        <rFont val="Open Sans Condensed"/>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</si>
  <si>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t>[16]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Programa Mundial de Evaluación de los Recursos Hídricos (WWAP) 2015 “Cuestionario para la recopilación de datos hídricos desagregados por sexo” http://unesdoc.unesco.org/images/0023/002345/234514E.pdf</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</si>
  <si>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</si>
  <si>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</si>
  <si>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</si>
  <si>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</si>
  <si>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</si>
  <si>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</si>
  <si>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</si>
  <si>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</si>
  <si>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</si>
  <si>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</si>
  <si>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</si>
  <si>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</si>
  <si>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</si>
  <si>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</si>
  <si>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</si>
  <si>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</si>
  <si>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1.1 ¿Cuál es la situación en materia de políticas, leyes y planes para respaldar la gestión integrada de los recursos hídricos (GIRH) a nivel nacional?</t>
  </si>
  <si>
    <t>a. Política nacional sobre recursos hídricos o semejante.</t>
  </si>
  <si>
    <r>
      <t xml:space="preserve">Todavía </t>
    </r>
    <r>
      <rPr>
        <b/>
        <sz val="10"/>
        <rFont val="Open Sans Condensed"/>
      </rPr>
      <t>no ha empezado</t>
    </r>
    <r>
      <rPr>
        <sz val="10"/>
        <rFont val="Open Sans Condensed"/>
      </rPr>
      <t xml:space="preserve"> a elaborarse o está estancada.</t>
    </r>
  </si>
  <si>
    <r>
      <t>Existe</t>
    </r>
    <r>
      <rPr>
        <sz val="10"/>
        <rFont val="Open Sans Condensed"/>
      </rPr>
      <t>,</t>
    </r>
    <r>
      <rPr>
        <b/>
        <sz val="10"/>
        <rFont val="Open Sans Condensed"/>
      </rPr>
      <t xml:space="preserve"> </t>
    </r>
    <r>
      <rPr>
        <sz val="10"/>
        <rFont val="Open Sans Condensed"/>
      </rPr>
      <t>pero no se basa en la GIRH.</t>
    </r>
  </si>
  <si>
    <r>
      <t xml:space="preserve">Se basa en la GIRH, ha sido </t>
    </r>
    <r>
      <rPr>
        <b/>
        <sz val="10"/>
        <rFont val="Open Sans Condensed"/>
      </rPr>
      <t>aprobada</t>
    </r>
    <r>
      <rPr>
        <sz val="10"/>
        <rFont val="Open Sans Condensed"/>
      </rPr>
      <t xml:space="preserve"> por el Gobierno y las autoridades han comenzado a emplearla como orientación para estas labores.</t>
    </r>
  </si>
  <si>
    <r>
      <t xml:space="preserve">La mayor parte de las autoridades competentes </t>
    </r>
    <r>
      <rPr>
        <b/>
        <sz val="10"/>
        <rFont val="Open Sans Condensed"/>
      </rPr>
      <t>la utiliza</t>
    </r>
    <r>
      <rPr>
        <sz val="10"/>
        <rFont val="Open Sans Condensed"/>
      </rPr>
      <t xml:space="preserve"> como orientación para estas labores. </t>
    </r>
  </si>
  <si>
    <r>
      <t xml:space="preserve">Los objetivos de las políticas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</si>
  <si>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 </t>
    </r>
  </si>
  <si>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</si>
  <si>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r>
      <t>b. Legislación</t>
    </r>
    <r>
      <rPr>
        <sz val="10"/>
        <rFont val="Open Sans Condensed"/>
      </rPr>
      <t xml:space="preserve"> nacional sobre recursos hídricos.</t>
    </r>
  </si>
  <si>
    <r>
      <t xml:space="preserve">Todavía </t>
    </r>
    <r>
      <rPr>
        <b/>
        <sz val="10"/>
        <rFont val="Open Sans Condensed"/>
      </rPr>
      <t>no ha empezado</t>
    </r>
    <r>
      <rPr>
        <sz val="10"/>
        <rFont val="Open Sans Condensed"/>
      </rPr>
      <t xml:space="preserve"> a elaborarse o está estancada.</t>
    </r>
    <r>
      <rPr>
        <b/>
        <sz val="10"/>
        <rFont val="Open Sans Condensed"/>
      </rPr>
      <t xml:space="preserve"> </t>
    </r>
  </si>
  <si>
    <r>
      <t xml:space="preserve">Se basa en la GIRH, ha sido </t>
    </r>
    <r>
      <rPr>
        <b/>
        <sz val="10"/>
        <rFont val="Open Sans Condensed"/>
      </rPr>
      <t>aprobada</t>
    </r>
    <r>
      <rPr>
        <sz val="10"/>
        <rFont val="Open Sans Condensed"/>
      </rPr>
      <t xml:space="preserve"> por el Gobierno y las autoridades han comenzado a aplicarla.</t>
    </r>
  </si>
  <si>
    <r>
      <t xml:space="preserve">La mayor parte de las autoridades competentes </t>
    </r>
    <r>
      <rPr>
        <b/>
        <sz val="10"/>
        <rFont val="Open Sans Condensed"/>
      </rPr>
      <t>la aplica</t>
    </r>
    <r>
      <rPr>
        <sz val="10"/>
        <rFont val="Open Sans Condensed"/>
      </rPr>
      <t>.</t>
    </r>
  </si>
  <si>
    <r>
      <t xml:space="preserve">Toda la legislación se </t>
    </r>
    <r>
      <rPr>
        <b/>
        <sz val="10"/>
        <rFont val="Open Sans Condensed"/>
      </rPr>
      <t xml:space="preserve">aplica </t>
    </r>
    <r>
      <rPr>
        <sz val="10"/>
        <rFont val="Open Sans Condensed"/>
      </rPr>
      <t xml:space="preserve">a lo largo y ancho del país. </t>
    </r>
  </si>
  <si>
    <r>
      <t xml:space="preserve">Toda la legislación se </t>
    </r>
    <r>
      <rPr>
        <b/>
        <sz val="10"/>
        <rFont val="Open Sans Condensed"/>
      </rPr>
      <t>cumple</t>
    </r>
    <r>
      <rPr>
        <sz val="10"/>
        <rFont val="Open Sans Condensed"/>
      </rPr>
      <t xml:space="preserve"> a lo largo y ancho del país; todas las personas y organizaciones han de rendir cuentas.</t>
    </r>
  </si>
  <si>
    <r>
      <t>Descripción de la situación</t>
    </r>
    <r>
      <rPr>
        <sz val="10"/>
        <rFont val="Open Sans Condensed"/>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</si>
  <si>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rFont val="Open Sans Condensed"/>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</si>
  <si>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rFont val="Open Sans Condensed"/>
      </rPr>
      <t>para la gestión integrada de los recursos hídricos (GIRH) en el plano nacional, o semejante.</t>
    </r>
  </si>
  <si>
    <r>
      <t>Se está preparando</t>
    </r>
    <r>
      <rPr>
        <sz val="10"/>
        <rFont val="Open Sans Condensed"/>
      </rPr>
      <t>, pero el Gobierno no la ha aprobado todavía.</t>
    </r>
  </si>
  <si>
    <r>
      <t xml:space="preserve">Ha sido </t>
    </r>
    <r>
      <rPr>
        <b/>
        <sz val="10"/>
        <rFont val="Open Sans Condensed"/>
      </rPr>
      <t>aprobada</t>
    </r>
    <r>
      <rPr>
        <sz val="10"/>
        <rFont val="Open Sans Condensed"/>
      </rPr>
      <t xml:space="preserve"> por el Gobierno y las autoridades han comenzado a ponerla en práctica.</t>
    </r>
  </si>
  <si>
    <r>
      <t xml:space="preserve">La mayor parte de las autoridades competentes </t>
    </r>
    <r>
      <rPr>
        <b/>
        <sz val="10"/>
        <rFont val="Open Sans Condensed"/>
      </rPr>
      <t>la ejecuta</t>
    </r>
    <r>
      <rPr>
        <sz val="10"/>
        <rFont val="Open Sans Condensed"/>
      </rPr>
      <t>.</t>
    </r>
  </si>
  <si>
    <r>
      <t xml:space="preserve">Los objetivos de los planes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</si>
  <si>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t>
    </r>
  </si>
  <si>
    <r>
      <t>Descripción de la situación</t>
    </r>
    <r>
      <rPr>
        <sz val="10"/>
        <rFont val="Open Sans Condensed"/>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</si>
  <si>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rFont val="Open Sans Condensed"/>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rFont val="Open Sans Condensed"/>
      </rPr>
      <t xml:space="preserve">
</t>
    </r>
  </si>
  <si>
    <t>1.2 ¿Cuál es la situación en materia de políticas, leyes y planes para respaldar la GIRH a otros niveles?</t>
  </si>
  <si>
    <t>a. Política subnacional[1] sobre recursos hídricos o semejante.</t>
  </si>
  <si>
    <r>
      <t xml:space="preserve">Todavía </t>
    </r>
    <r>
      <rPr>
        <b/>
        <sz val="10"/>
        <rFont val="Open Sans Condensed"/>
      </rPr>
      <t>no ha empezado</t>
    </r>
    <r>
      <rPr>
        <sz val="10"/>
        <rFont val="Open Sans Condensed"/>
      </rPr>
      <t xml:space="preserve"> a elaborarse o se ha retrasado en la mayoría de las jurisdicciones subnacionales.</t>
    </r>
  </si>
  <si>
    <r>
      <t>Existe</t>
    </r>
    <r>
      <rPr>
        <sz val="10"/>
        <rFont val="Open Sans Condensed"/>
      </rPr>
      <t xml:space="preserve"> en la mayoría de las jurisdicciones, pero no siempre se basa en la GIRH.</t>
    </r>
  </si>
  <si>
    <r>
      <t xml:space="preserve">Se basa en la GIRH, ha sido </t>
    </r>
    <r>
      <rPr>
        <b/>
        <sz val="10"/>
        <rFont val="Open Sans Condensed"/>
      </rPr>
      <t>aprobada</t>
    </r>
    <r>
      <rPr>
        <sz val="10"/>
        <rFont val="Open Sans Condensed"/>
      </rPr>
      <t xml:space="preserve"> por la mayor parte de las autoridades y se ha empezado a utilizar como orientación para estas labores. </t>
    </r>
  </si>
  <si>
    <r>
      <t xml:space="preserve">La mayor parte de las autoridades </t>
    </r>
    <r>
      <rPr>
        <b/>
        <sz val="10"/>
        <rFont val="Open Sans Condensed"/>
      </rPr>
      <t>ha logrado</t>
    </r>
    <r>
      <rPr>
        <sz val="10"/>
        <rFont val="Open Sans Condensed"/>
      </rPr>
      <t xml:space="preserve"> los objetivos de las políticas de forma sistemática.</t>
    </r>
  </si>
  <si>
    <r>
      <t xml:space="preserve">Todas las autoridades han logrado los objetivos de forma sistemática; se </t>
    </r>
    <r>
      <rPr>
        <b/>
        <sz val="10"/>
        <rFont val="Open Sans Condensed"/>
      </rPr>
      <t xml:space="preserve">repasan </t>
    </r>
    <r>
      <rPr>
        <sz val="10"/>
        <rFont val="Open Sans Condensed"/>
      </rPr>
      <t xml:space="preserve">y se ajustan con regularidad. </t>
    </r>
  </si>
  <si>
    <r>
      <t>Descripción de la situación</t>
    </r>
    <r>
      <rPr>
        <sz val="10"/>
        <rFont val="Open Sans Condensed"/>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</si>
  <si>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rFont val="Open Sans Condensed"/>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</si>
  <si>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t>b. Planes de gestión de cuencas o acuíferos[2] o similares basados en la GIRH.</t>
  </si>
  <si>
    <r>
      <t xml:space="preserve">Todavía </t>
    </r>
    <r>
      <rPr>
        <b/>
        <sz val="10"/>
        <rFont val="Open Sans Condensed"/>
      </rPr>
      <t xml:space="preserve">no han empezado </t>
    </r>
    <r>
      <rPr>
        <sz val="10"/>
        <rFont val="Open Sans Condensed"/>
      </rPr>
      <t xml:space="preserve">a elaborarse o se han retrasado en la mayoría de los acuíferos o cuencas de importancia nacional. </t>
    </r>
  </si>
  <si>
    <r>
      <t>Se están preparando</t>
    </r>
    <r>
      <rPr>
        <sz val="10"/>
        <rFont val="Open Sans Condensed"/>
      </rPr>
      <t xml:space="preserve"> para la mayor parte de los acuíferos o cuencas.</t>
    </r>
  </si>
  <si>
    <r>
      <t>Se han aprobado</t>
    </r>
    <r>
      <rPr>
        <sz val="10"/>
        <rFont val="Open Sans Condensed"/>
      </rPr>
      <t xml:space="preserve"> para la mayor parte de los acuíferos o cuencas y las autoridades los están empezando a utilizar.</t>
    </r>
  </si>
  <si>
    <r>
      <t xml:space="preserve">Se </t>
    </r>
    <r>
      <rPr>
        <b/>
        <sz val="10"/>
        <rFont val="Open Sans Condensed"/>
      </rPr>
      <t>ejecutan</t>
    </r>
    <r>
      <rPr>
        <sz val="10"/>
        <rFont val="Open Sans Condensed"/>
      </rPr>
      <t xml:space="preserve"> en la mayoría de los acuíferos o cuencas.</t>
    </r>
  </si>
  <si>
    <r>
      <t xml:space="preserve">Se </t>
    </r>
    <r>
      <rPr>
        <b/>
        <sz val="10"/>
        <rFont val="Open Sans Condensed"/>
      </rPr>
      <t>han logrado</t>
    </r>
    <r>
      <rPr>
        <sz val="10"/>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</si>
  <si>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rFont val="Open Sans Condensed"/>
      </rPr>
      <t xml:space="preserve">repasan </t>
    </r>
    <r>
      <rPr>
        <sz val="10"/>
        <rFont val="Open Sans Condensed"/>
      </rPr>
      <t xml:space="preserve">y se ajustan con regularidad. </t>
    </r>
  </si>
  <si>
    <r>
      <t>Descripción de la situación</t>
    </r>
    <r>
      <rPr>
        <sz val="10"/>
        <rFont val="Open Sans Condensed"/>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</si>
  <si>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rFont val="Open Sans Condensed"/>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</si>
  <si>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t>c. Acuerdos de gestión hídrica transfronteriza[3].</t>
  </si>
  <si>
    <r>
      <t xml:space="preserve">Todavía </t>
    </r>
    <r>
      <rPr>
        <b/>
        <sz val="10"/>
        <rFont val="Open Sans Condensed"/>
      </rPr>
      <t>no han empezado</t>
    </r>
    <r>
      <rPr>
        <sz val="10"/>
        <rFont val="Open Sans Condensed"/>
      </rPr>
      <t xml:space="preserve"> a formularse o están estancados.</t>
    </r>
  </si>
  <si>
    <r>
      <t xml:space="preserve">Están en fase de </t>
    </r>
    <r>
      <rPr>
        <b/>
        <sz val="10"/>
        <rFont val="Open Sans Condensed"/>
      </rPr>
      <t>preparación</t>
    </r>
    <r>
      <rPr>
        <sz val="10"/>
        <rFont val="Open Sans Condensed"/>
      </rPr>
      <t xml:space="preserve"> o negociación. </t>
    </r>
  </si>
  <si>
    <r>
      <t xml:space="preserve">Se han </t>
    </r>
    <r>
      <rPr>
        <b/>
        <sz val="10"/>
        <rFont val="Open Sans Condensed"/>
      </rPr>
      <t>adoptado</t>
    </r>
    <r>
      <rPr>
        <sz val="10"/>
        <rFont val="Open Sans Condensed"/>
      </rPr>
      <t xml:space="preserve"> acuerdos.</t>
    </r>
  </si>
  <si>
    <r>
      <t xml:space="preserve">Las disposiciones de los acuerdos se </t>
    </r>
    <r>
      <rPr>
        <b/>
        <sz val="10"/>
        <rFont val="Open Sans Condensed"/>
      </rPr>
      <t>aplican en parte</t>
    </r>
    <r>
      <rPr>
        <sz val="10"/>
        <rFont val="Open Sans Condensed"/>
      </rPr>
      <t xml:space="preserve">. </t>
    </r>
  </si>
  <si>
    <r>
      <t xml:space="preserve">Las disposiciones de los acuerdos se </t>
    </r>
    <r>
      <rPr>
        <b/>
        <sz val="10"/>
        <rFont val="Open Sans Condensed"/>
      </rPr>
      <t>aplican en su mayor parte</t>
    </r>
    <r>
      <rPr>
        <sz val="10"/>
        <rFont val="Open Sans Condensed"/>
      </rPr>
      <t xml:space="preserve">. </t>
    </r>
  </si>
  <si>
    <r>
      <t xml:space="preserve">Las disposiciones de los acuerdos se </t>
    </r>
    <r>
      <rPr>
        <b/>
        <sz val="10"/>
        <rFont val="Open Sans Condensed"/>
      </rPr>
      <t>aplican plenamente</t>
    </r>
    <r>
      <rPr>
        <sz val="10"/>
        <rFont val="Open Sans Condensed"/>
      </rPr>
      <t>.</t>
    </r>
  </si>
  <si>
    <r>
      <t>Descripción de la situación</t>
    </r>
    <r>
      <rPr>
        <sz val="10"/>
        <rFont val="Open Sans Condensed"/>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</si>
  <si>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rFont val="Open Sans Condensed"/>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</si>
  <si>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t>d. Normativa subnacional[4] sobre recursos hídricos (leyes, decretos, ordenanzas y equivalentes)[5].</t>
  </si>
  <si>
    <r>
      <t>Existe</t>
    </r>
    <r>
      <rPr>
        <sz val="10"/>
        <rFont val="Open Sans Condensed"/>
      </rPr>
      <t xml:space="preserve"> en la mayoría de las jurisdicciones, pero no siempre se basa en la GIRH.</t>
    </r>
    <r>
      <rPr>
        <b/>
        <sz val="10"/>
        <rFont val="Open Sans Condensed"/>
      </rPr>
      <t xml:space="preserve"> </t>
    </r>
  </si>
  <si>
    <r>
      <t xml:space="preserve">Se basa en la GIRH, se ha </t>
    </r>
    <r>
      <rPr>
        <b/>
        <sz val="10"/>
        <rFont val="Open Sans Condensed"/>
      </rPr>
      <t>aprobado</t>
    </r>
    <r>
      <rPr>
        <sz val="10"/>
        <rFont val="Open Sans Condensed"/>
      </rPr>
      <t xml:space="preserve"> en la mayoría de las jurisdicciones y las autoridades han empezado a aplicarla en algunas de ellas.</t>
    </r>
  </si>
  <si>
    <r>
      <t>Algunas</t>
    </r>
    <r>
      <rPr>
        <sz val="10"/>
        <rFont val="Open Sans Condensed"/>
      </rPr>
      <t xml:space="preserve"> normativas </t>
    </r>
    <r>
      <rPr>
        <b/>
        <sz val="10"/>
        <rFont val="Open Sans Condensed"/>
      </rPr>
      <t>se aplican</t>
    </r>
    <r>
      <rPr>
        <sz val="10"/>
        <rFont val="Open Sans Condensed"/>
      </rPr>
      <t xml:space="preserve"> en la mayoría de las jurisdicciones.</t>
    </r>
  </si>
  <si>
    <r>
      <t>Todas</t>
    </r>
    <r>
      <rPr>
        <sz val="10"/>
        <rFont val="Open Sans Condensed"/>
      </rPr>
      <t xml:space="preserve"> las normativas </t>
    </r>
    <r>
      <rPr>
        <b/>
        <sz val="10"/>
        <rFont val="Open Sans Condensed"/>
      </rPr>
      <t>se aplican</t>
    </r>
    <r>
      <rPr>
        <sz val="10"/>
        <rFont val="Open Sans Condensed"/>
      </rPr>
      <t xml:space="preserve"> en la mayoría de las jurisdicciones.</t>
    </r>
  </si>
  <si>
    <r>
      <t xml:space="preserve">Todas las normativas se aplican y se </t>
    </r>
    <r>
      <rPr>
        <b/>
        <sz val="10"/>
        <rFont val="Open Sans Condensed"/>
      </rPr>
      <t>cumplen</t>
    </r>
    <r>
      <rPr>
        <sz val="10"/>
        <rFont val="Open Sans Condensed"/>
      </rPr>
      <t xml:space="preserve"> en todas las jurisdicciones; todas las personas y organizaciones han de rendir cuentas.</t>
    </r>
  </si>
  <si>
    <r>
      <t>Descripción de la situación</t>
    </r>
    <r>
      <rPr>
        <sz val="10"/>
        <rFont val="Open Sans Condensed"/>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</si>
  <si>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rFont val="Open Sans Condensed"/>
      </rPr>
      <t xml:space="preserve">: Lograr de forma efectiva la implementación de las normativas nacionales en el ámbito subnacional, así como lograr un compromiso de los Consejos Municipales para fomentar la aplicación de la normativa a nivel municipal. </t>
    </r>
  </si>
  <si>
    <t xml:space="preserve">2.1 ¿Cuál es la situación de las instituciones en cuanto a la implementación de la GIRH a nivel nacional? </t>
  </si>
  <si>
    <t xml:space="preserve">a. Autoridades administrativas nacionales[6] que abanderan la implementación de la GIRH. </t>
  </si>
  <si>
    <r>
      <t>No hay</t>
    </r>
    <r>
      <rPr>
        <sz val="10"/>
        <rFont val="Open Sans Condensed"/>
      </rPr>
      <t xml:space="preserve"> ninguna autoridad administrativa que se encargue de la gestión de los recursos hídricos.</t>
    </r>
  </si>
  <si>
    <r>
      <t>Hay</t>
    </r>
    <r>
      <rPr>
        <sz val="10"/>
        <rFont val="Open Sans Condensed"/>
      </rPr>
      <t xml:space="preserve"> autoridades administrativas con un mandato explícito para dirigir la gestión de los recursos hídricos. </t>
    </r>
  </si>
  <si>
    <t>Las autoridades administrativas tienen un mandato explícito para coordinar la implementación de la GIRH y la capacidad[7] para orientar la formulación de un plan para la GIRH.</t>
  </si>
  <si>
    <r>
      <t xml:space="preserve">Las autoridades tienen la capacidad de conducir la </t>
    </r>
    <r>
      <rPr>
        <b/>
        <sz val="10"/>
        <rFont val="Open Sans Condensed"/>
      </rPr>
      <t>ejecución</t>
    </r>
    <r>
      <rPr>
        <sz val="10"/>
        <rFont val="Open Sans Condensed"/>
      </rPr>
      <t xml:space="preserve"> de los planes de la GIRH de forma eficaz.</t>
    </r>
  </si>
  <si>
    <r>
      <t xml:space="preserve">Las autoridades tienen la capacidad de gestionar eficazmente el seguimiento y la </t>
    </r>
    <r>
      <rPr>
        <b/>
        <sz val="10"/>
        <rFont val="Open Sans Condensed"/>
      </rPr>
      <t xml:space="preserve">evaluación </t>
    </r>
    <r>
      <rPr>
        <sz val="10"/>
        <rFont val="Open Sans Condensed"/>
      </rPr>
      <t>del plan (o los planes) de la GIRH a intervalos regulares.</t>
    </r>
  </si>
  <si>
    <r>
      <t xml:space="preserve">Las autoridades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</si>
  <si>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</si>
  <si>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rFont val="Open Sans Condensed"/>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</si>
  <si>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t>b. Coordinación entre autoridades administrativas nacionales que representan a distintos sectores[8] en materia de recursos hídricos, políticas, planificación y gestión.</t>
  </si>
  <si>
    <r>
      <t>No hay intercambio de información</t>
    </r>
    <r>
      <rPr>
        <sz val="10"/>
        <rFont val="Open Sans Condensed"/>
      </rPr>
      <t xml:space="preserve"> sobre políticas, planificación y gestión entre los distintos sectores del Gobierno.</t>
    </r>
  </si>
  <si>
    <r>
      <t xml:space="preserve">Se transmite </t>
    </r>
    <r>
      <rPr>
        <b/>
        <sz val="10"/>
        <rFont val="Open Sans Condensed"/>
      </rPr>
      <t xml:space="preserve">información </t>
    </r>
    <r>
      <rPr>
        <sz val="10"/>
        <rFont val="Open Sans Condensed"/>
      </rPr>
      <t>sobre recursos hídricos, políticas, planificación y gestión entre distintos sectores.</t>
    </r>
  </si>
  <si>
    <r>
      <t xml:space="preserve">Comunicación: Se difunde </t>
    </r>
    <r>
      <rPr>
        <sz val="10"/>
        <rFont val="Open Sans Condensed"/>
      </rPr>
      <t>información, experiencias y opiniones entre múltiples sectores.</t>
    </r>
  </si>
  <si>
    <r>
      <t xml:space="preserve">Consultas: </t>
    </r>
    <r>
      <rPr>
        <sz val="10"/>
        <rFont val="Open Sans Condensed"/>
      </rPr>
      <t xml:space="preserve">Distintos sectores tienen ocasión de </t>
    </r>
    <r>
      <rPr>
        <b/>
        <sz val="10"/>
        <rFont val="Open Sans Condensed"/>
      </rPr>
      <t>participar</t>
    </r>
    <r>
      <rPr>
        <sz val="10"/>
        <rFont val="Open Sans Condensed"/>
      </rPr>
      <t xml:space="preserve"> en los procesos relacionados con las políticas, la planificación y la gestión.</t>
    </r>
  </si>
  <si>
    <r>
      <t xml:space="preserve">Cooperación: </t>
    </r>
    <r>
      <rPr>
        <sz val="10"/>
        <rFont val="Open Sans Condensed"/>
      </rPr>
      <t xml:space="preserve">Existen </t>
    </r>
    <r>
      <rPr>
        <b/>
        <sz val="10"/>
        <rFont val="Open Sans Condensed"/>
      </rPr>
      <t>acuerdos</t>
    </r>
    <r>
      <rPr>
        <sz val="10"/>
        <rFont val="Open Sans Condensed"/>
      </rPr>
      <t xml:space="preserve"> formales entre varios sectores gubernamentales destinados a llegar a un consenso sobre decisiones colectivas que afectan a cuestiones y actividades importantes. </t>
    </r>
  </si>
  <si>
    <r>
      <t xml:space="preserve">Codecisión y coproducción: </t>
    </r>
    <r>
      <rPr>
        <sz val="10"/>
        <rFont val="Open Sans Condensed"/>
      </rPr>
      <t>Distintos sectores comparten la gerencia en materia de políticas, planificación y actividades de gestión.</t>
    </r>
  </si>
  <si>
    <r>
      <t>Descripción de la situación</t>
    </r>
    <r>
      <rPr>
        <sz val="10"/>
        <rFont val="Open Sans Condensed"/>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</si>
  <si>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rFont val="Open Sans Condensed"/>
      </rPr>
      <t>: Se requiere avanzar en el establecimiento de mecanismos de coordinación entre las mismas instituciones de gobierno a nivel local.</t>
    </r>
  </si>
  <si>
    <t>c. Participación de la esfera pública[9] en los recursos hídricos, las políticas, la planificación y la gestión en el plano nacional.</t>
  </si>
  <si>
    <r>
      <t>No hay intercambio de información</t>
    </r>
    <r>
      <rPr>
        <sz val="10"/>
        <rFont val="Open Sans Condensed"/>
      </rPr>
      <t xml:space="preserve"> sobre políticas, planificación y gestión entre la esfera pública y el Gobierno.</t>
    </r>
  </si>
  <si>
    <r>
      <t xml:space="preserve">Se transmite </t>
    </r>
    <r>
      <rPr>
        <b/>
        <sz val="10"/>
        <rFont val="Open Sans Condensed"/>
      </rPr>
      <t xml:space="preserve">información </t>
    </r>
    <r>
      <rPr>
        <sz val="10"/>
        <rFont val="Open Sans Condensed"/>
      </rPr>
      <t>sobre recursos hídricos, políticas, planificación y gestión a la esfera pública.</t>
    </r>
  </si>
  <si>
    <r>
      <t xml:space="preserve">Comunicación: </t>
    </r>
    <r>
      <rPr>
        <sz val="10"/>
        <rFont val="Open Sans Condensed"/>
      </rPr>
      <t>Las autoridades administrativas solicitan información, experiencias y opiniones a la esfera pública.</t>
    </r>
  </si>
  <si>
    <r>
      <t xml:space="preserve">Consultas: </t>
    </r>
    <r>
      <rPr>
        <sz val="10"/>
        <rFont val="Open Sans Condensed"/>
      </rPr>
      <t>Las autoridades administrativas emplean con frecuencia la información, las experiencias y las opiniones de la esfera pública.</t>
    </r>
  </si>
  <si>
    <t xml:space="preserve">Cooperación: Se han establecido mecanismos[10] que faciliten la participación de la esfera pública en los procesos de interés sobre políticas, planificación y gestión, y se usan habitualmente. </t>
  </si>
  <si>
    <r>
      <t xml:space="preserve">Representación: </t>
    </r>
    <r>
      <rPr>
        <sz val="10"/>
        <rFont val="Open Sans Condensed"/>
      </rPr>
      <t>Representación formal de la esfera pública en los procesos gubernamentales y contribución a la toma de decisiones sobre cuestiones y actividades importantes cuando sea pertinente.</t>
    </r>
  </si>
  <si>
    <r>
      <t>Descripción de la situación</t>
    </r>
    <r>
      <rPr>
        <sz val="10"/>
        <rFont val="Open Sans Condensed"/>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</si>
  <si>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rFont val="Open Sans Condensed"/>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</si>
  <si>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t>d. Participación del sector privado[11] en el desarrollo, la gestión y el uso de los recursos hídricos.</t>
  </si>
  <si>
    <r>
      <t>No hay intercambio de información</t>
    </r>
    <r>
      <rPr>
        <sz val="10"/>
        <rFont val="Open Sans Condensed"/>
      </rPr>
      <t xml:space="preserve"> sobre el desarrollo, la gestión y el uso de recursos hídricos entre el Gobierno y el sector privado.</t>
    </r>
  </si>
  <si>
    <r>
      <t>Se transmite</t>
    </r>
    <r>
      <rPr>
        <b/>
        <sz val="10"/>
        <rFont val="Open Sans Condensed"/>
      </rPr>
      <t xml:space="preserve"> información</t>
    </r>
    <r>
      <rPr>
        <sz val="10"/>
        <rFont val="Open Sans Condensed"/>
      </rPr>
      <t xml:space="preserve"> sobre el desarrollo, la gestión y el uso de recursos hídricos entre el Gobierno y el sector privado.</t>
    </r>
  </si>
  <si>
    <r>
      <t xml:space="preserve">Hay vías de </t>
    </r>
    <r>
      <rPr>
        <b/>
        <sz val="10"/>
        <rFont val="Open Sans Condensed"/>
      </rPr>
      <t xml:space="preserve">comunicación </t>
    </r>
    <r>
      <rPr>
        <sz val="10"/>
        <rFont val="Open Sans Condensed"/>
      </rPr>
      <t>sobre el desarrollo, la gestión y el uso de recursos hídricos entre el Gobierno y el sector privado.</t>
    </r>
  </si>
  <si>
    <r>
      <t xml:space="preserve">Consultas: </t>
    </r>
    <r>
      <rPr>
        <sz val="10"/>
        <rFont val="Open Sans Condensed"/>
      </rPr>
      <t>Las autoridades administrativas involucran con frecuencia al sector privado en las actividades de desarrollo, gestión y uso de los recursos hídricos.</t>
    </r>
  </si>
  <si>
    <t xml:space="preserve">Cooperación: Se han establecido mecanismos[12] para que el sector privado participe y se forjen alianzas, y se usan habitualmente. </t>
  </si>
  <si>
    <r>
      <t xml:space="preserve">Representación: </t>
    </r>
    <r>
      <rPr>
        <sz val="10"/>
        <rFont val="Open Sans Condensed"/>
      </rPr>
      <t>Se ha concertado la intervención eficaz del sector privado en las actividades de desarrollo, gestión y uso de los recursos hídricos.</t>
    </r>
  </si>
  <si>
    <r>
      <t>Descripción de la situación</t>
    </r>
    <r>
      <rPr>
        <sz val="10"/>
        <rFont val="Open Sans Condensed"/>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</si>
  <si>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rFont val="Open Sans Condensed"/>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</si>
  <si>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t>e. Desarrollo de la capacidad en materia de GIRH[13].</t>
  </si>
  <si>
    <r>
      <t>No</t>
    </r>
    <r>
      <rPr>
        <sz val="10"/>
        <rFont val="Open Sans Condensed"/>
      </rPr>
      <t xml:space="preserve"> hay desarrollo de la capacidad en cuanto a la gestión de recursos hídricos en concreto. </t>
    </r>
  </si>
  <si>
    <r>
      <t xml:space="preserve">La capacidad se desarrolla de manera </t>
    </r>
    <r>
      <rPr>
        <b/>
        <sz val="10"/>
        <rFont val="Open Sans Condensed"/>
      </rPr>
      <t>esporádica</t>
    </r>
    <r>
      <rPr>
        <sz val="10"/>
        <rFont val="Open Sans Condensed"/>
      </rPr>
      <t xml:space="preserve"> y, por lo general, solo mediante actividades </t>
    </r>
    <r>
      <rPr>
        <b/>
        <sz val="10"/>
        <rFont val="Open Sans Condensed"/>
      </rPr>
      <t>a corto plazo</t>
    </r>
    <r>
      <rPr>
        <sz val="10"/>
        <rFont val="Open Sans Condensed"/>
      </rPr>
      <t xml:space="preserve"> o puntuales.</t>
    </r>
  </si>
  <si>
    <r>
      <t xml:space="preserve">Se ponen en marcha </t>
    </r>
    <r>
      <rPr>
        <b/>
        <sz val="10"/>
        <rFont val="Open Sans Condensed"/>
      </rPr>
      <t>algunas</t>
    </r>
    <r>
      <rPr>
        <sz val="10"/>
        <rFont val="Open Sans Condensed"/>
      </rPr>
      <t xml:space="preserve"> iniciativas de desarrollo de la capacidad </t>
    </r>
    <r>
      <rPr>
        <b/>
        <sz val="10"/>
        <rFont val="Open Sans Condensed"/>
      </rPr>
      <t>a largo plazo</t>
    </r>
    <r>
      <rPr>
        <sz val="10"/>
        <rFont val="Open Sans Condensed"/>
      </rPr>
      <t>, pero la cobertura geográfica y el abanico de partes interesadas que las aplican son</t>
    </r>
    <r>
      <rPr>
        <b/>
        <sz val="10"/>
        <rFont val="Open Sans Condensed"/>
      </rPr>
      <t xml:space="preserve"> limitados</t>
    </r>
    <r>
      <rPr>
        <sz val="10"/>
        <rFont val="Open Sans Condensed"/>
      </rPr>
      <t>.</t>
    </r>
  </si>
  <si>
    <r>
      <t xml:space="preserve">Se ponen en marcha iniciativas de desarrollo de la capacidad </t>
    </r>
    <r>
      <rPr>
        <b/>
        <sz val="10"/>
        <rFont val="Open Sans Condensed"/>
      </rPr>
      <t>a largo plazo</t>
    </r>
    <r>
      <rPr>
        <sz val="10"/>
        <rFont val="Open Sans Condensed"/>
      </rPr>
      <t xml:space="preserve">, y la cobertura geográfica y el abanico de partes interesadas que las aplican son </t>
    </r>
    <r>
      <rPr>
        <b/>
        <sz val="10"/>
        <rFont val="Open Sans Condensed"/>
      </rPr>
      <t>aceptables</t>
    </r>
    <r>
      <rPr>
        <sz val="10"/>
        <rFont val="Open Sans Condensed"/>
      </rPr>
      <t>.</t>
    </r>
  </si>
  <si>
    <r>
      <t xml:space="preserve">Se ponen en marcha iniciativas de desarrollo de la capacidad a largo plazo, los resultados son </t>
    </r>
    <r>
      <rPr>
        <b/>
        <sz val="10"/>
        <rFont val="Open Sans Condensed"/>
      </rPr>
      <t>eficaces,</t>
    </r>
    <r>
      <rPr>
        <sz val="10"/>
        <rFont val="Open Sans Condensed"/>
      </rPr>
      <t xml:space="preserve"> y la cobertura geográfica y el abanico de partes interesadas que las aplican son </t>
    </r>
    <r>
      <rPr>
        <b/>
        <sz val="10"/>
        <rFont val="Open Sans Condensed"/>
      </rPr>
      <t>muy buenos</t>
    </r>
    <r>
      <rPr>
        <sz val="10"/>
        <rFont val="Open Sans Condensed"/>
      </rPr>
      <t>.</t>
    </r>
  </si>
  <si>
    <r>
      <t xml:space="preserve">Se ponen en marcha iniciativas de desarrollo de la capacidad a largo plazo, los resultados son </t>
    </r>
    <r>
      <rPr>
        <b/>
        <sz val="10"/>
        <rFont val="Open Sans Condensed"/>
      </rPr>
      <t>muy eficaces</t>
    </r>
    <r>
      <rPr>
        <sz val="10"/>
        <rFont val="Open Sans Condensed"/>
      </rPr>
      <t xml:space="preserve">, y la cobertura geográfica y el abanico de partes interesadas que las aplican son </t>
    </r>
    <r>
      <rPr>
        <b/>
        <sz val="10"/>
        <rFont val="Open Sans Condensed"/>
      </rPr>
      <t>magníficos</t>
    </r>
    <r>
      <rPr>
        <sz val="10"/>
        <rFont val="Open Sans Condensed"/>
      </rPr>
      <t>.</t>
    </r>
    <r>
      <rPr>
        <b/>
        <sz val="10"/>
        <rFont val="Open Sans Condensed"/>
      </rPr>
      <t xml:space="preserve"> </t>
    </r>
  </si>
  <si>
    <r>
      <t>Descripción de la situación</t>
    </r>
    <r>
      <rPr>
        <sz val="10"/>
        <rFont val="Open Sans Condensed"/>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</si>
  <si>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rFont val="Open Sans Condensed"/>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</si>
  <si>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t>a. Organizaciones[14] del nivel de las cuencas o acuíferos[15] que dirigen la implementación de la GIRH.</t>
  </si>
  <si>
    <r>
      <t>No hay</t>
    </r>
    <r>
      <rPr>
        <sz val="10"/>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</si>
  <si>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capacidad[16] para orientar la formulación de un plan para la GIRH.</t>
  </si>
  <si>
    <r>
      <t>Descripción de la situación</t>
    </r>
    <r>
      <rPr>
        <sz val="10"/>
        <rFont val="Open Sans Condensed"/>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</si>
  <si>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10"/>
        <rFont val="Open Sans Condensed"/>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</si>
  <si>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t>b. Participación de la esfera pública[17] en los recursos hídricos, las políticas, la planificación y la gestión a nivel local[18].</t>
  </si>
  <si>
    <r>
      <t xml:space="preserve">Consultas: </t>
    </r>
    <r>
      <rPr>
        <sz val="10"/>
        <rFont val="Open Sans Condensed"/>
      </rPr>
      <t>Las autoridades administrativas emplean con frecuencia la información, las experiencias y las opiniones de la esfera pública a nivel local.</t>
    </r>
  </si>
  <si>
    <t>Cooperación: Se han establecido mecanismos[19] que faciliten la participación de la esfera pública en los procesos de interés sobre políticas, planificación y gestión, y se usan habitualmente.</t>
  </si>
  <si>
    <r>
      <t>Representación:</t>
    </r>
    <r>
      <rPr>
        <sz val="10"/>
        <rFont val="Open Sans Condensed"/>
      </rPr>
      <t xml:space="preserve"> Representación formal de la esfera pública en los procesos de las autoridades locales y contribución a la toma de decisiones sobre cuestiones y actividades importantes cuando sea pertinente.</t>
    </r>
  </si>
  <si>
    <r>
      <t>Descripción de la situación</t>
    </r>
    <r>
      <rPr>
        <sz val="10"/>
        <rFont val="Open Sans Condensed"/>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</si>
  <si>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rFont val="Open Sans Condensed"/>
      </rPr>
      <t>: Es necesario el fortalecimiento del Mecanismo de Gobernanza del Agua para su aplicación a nivel nacional, dado que el mismo se aplica prácticamente sólo a nivel local, a partir de las Unidades Hidrológicas.</t>
    </r>
  </si>
  <si>
    <t>c. Participación de grupos vulnerables en la planificación y la gestión de los recursos hídricos[20].</t>
  </si>
  <si>
    <r>
      <t xml:space="preserve">La participación de los grupos vulnerables </t>
    </r>
    <r>
      <rPr>
        <b/>
        <sz val="10"/>
        <rFont val="Open Sans Condensed"/>
      </rPr>
      <t>no se plantea de forma explícita</t>
    </r>
    <r>
      <rPr>
        <sz val="10"/>
        <rFont val="Open Sans Condensed"/>
      </rPr>
      <t xml:space="preserve"> en las leyes, las políticas o los planes.</t>
    </r>
  </si>
  <si>
    <t xml:space="preserve">La participación de los grupos vulnerables se plantea en parte, pero no se han instaurado procedimientos manifiestos[21]. </t>
  </si>
  <si>
    <r>
      <t>Hay algunos procedimientos vigentes</t>
    </r>
    <r>
      <rPr>
        <sz val="10"/>
        <rFont val="Open Sans Condensed"/>
      </rPr>
      <t xml:space="preserve">, pero el presupuesto y los recursos humanos para su ejecución son limitados. </t>
    </r>
  </si>
  <si>
    <r>
      <t xml:space="preserve">Hay procedimientos vigentes y la </t>
    </r>
    <r>
      <rPr>
        <b/>
        <sz val="10"/>
        <rFont val="Open Sans Condensed"/>
      </rPr>
      <t>participación</t>
    </r>
    <r>
      <rPr>
        <sz val="10"/>
        <rFont val="Open Sans Condensed"/>
      </rPr>
      <t xml:space="preserve"> de los grupos vulnerables es </t>
    </r>
    <r>
      <rPr>
        <b/>
        <sz val="10"/>
        <rFont val="Open Sans Condensed"/>
      </rPr>
      <t xml:space="preserve">moderada </t>
    </r>
    <r>
      <rPr>
        <sz val="10"/>
        <rFont val="Open Sans Condensed"/>
      </rPr>
      <t>(al igual que el presupuesto y los recursos humanos).</t>
    </r>
  </si>
  <si>
    <r>
      <t xml:space="preserve">Los grupos vulnerables </t>
    </r>
    <r>
      <rPr>
        <b/>
        <sz val="10"/>
        <rFont val="Open Sans Condensed"/>
      </rPr>
      <t>participan asiduamente</t>
    </r>
    <r>
      <rPr>
        <sz val="10"/>
        <rFont val="Open Sans Condensed"/>
      </rPr>
      <t xml:space="preserve"> (el presupuesto y los recursos humanos son suficientes y se hace un seguimiento de la participación).</t>
    </r>
  </si>
  <si>
    <t>La participación de los grupos vulnerables es provechosa[22] y habitual, en los casos en los que es pertinente.</t>
  </si>
  <si>
    <r>
      <t>Descripción de la situación</t>
    </r>
    <r>
      <rPr>
        <sz val="10"/>
        <rFont val="Open Sans Condensed"/>
      </rPr>
      <t xml:space="preserve">: 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</si>
  <si>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rFont val="Open Sans Condensed"/>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</si>
  <si>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t>d. Perspectivas de género que se incluyen en leyes, planes o semejantes en el marco de la gestión de los recursos hídricos[23].</t>
  </si>
  <si>
    <r>
      <t>Las cuestiones de género</t>
    </r>
    <r>
      <rPr>
        <b/>
        <sz val="10"/>
        <rFont val="Open Sans Condensed"/>
      </rPr>
      <t xml:space="preserve"> no figuran de forma explícita</t>
    </r>
    <r>
      <rPr>
        <sz val="10"/>
        <rFont val="Open Sans Condensed"/>
      </rPr>
      <t xml:space="preserve"> en la legislación, planificación o semejante a nivel nacional o subnacional.</t>
    </r>
  </si>
  <si>
    <r>
      <t xml:space="preserve">Las cuestiones de género </t>
    </r>
    <r>
      <rPr>
        <b/>
        <sz val="10"/>
        <rFont val="Open Sans Condensed"/>
      </rPr>
      <t>figuran en parte</t>
    </r>
    <r>
      <rPr>
        <sz val="10"/>
        <rFont val="Open Sans Condensed"/>
      </rPr>
      <t xml:space="preserve"> en la legislación, planificación o semejante.</t>
    </r>
  </si>
  <si>
    <r>
      <t xml:space="preserve">Las cuestiones de género </t>
    </r>
    <r>
      <rPr>
        <b/>
        <sz val="10"/>
        <rFont val="Open Sans Condensed"/>
      </rPr>
      <t>están presentes</t>
    </r>
    <r>
      <rPr>
        <sz val="10"/>
        <rFont val="Open Sans Condensed"/>
      </rPr>
      <t xml:space="preserve"> (pero su aplicación, su presupuesto o su seguimiento es limitado).</t>
    </r>
  </si>
  <si>
    <t>Los objetivos de género[24] se han logrado en parte (las actividades se supervisan y se financian parcialmente).</t>
  </si>
  <si>
    <r>
      <t xml:space="preserve">Los objetivos de género se han </t>
    </r>
    <r>
      <rPr>
        <b/>
        <sz val="10"/>
        <rFont val="Open Sans Condensed"/>
      </rPr>
      <t>logrado en su mayor parte</t>
    </r>
    <r>
      <rPr>
        <sz val="10"/>
        <rFont val="Open Sans Condensed"/>
      </rPr>
      <t xml:space="preserve"> (las actividades se supervisan y se financian de manera adecuada). </t>
    </r>
  </si>
  <si>
    <r>
      <t xml:space="preserve">Los objetivos de género se han </t>
    </r>
    <r>
      <rPr>
        <b/>
        <sz val="10"/>
        <rFont val="Open Sans Condensed"/>
      </rPr>
      <t xml:space="preserve">logrado de forma sistemática </t>
    </r>
    <r>
      <rPr>
        <sz val="10"/>
        <rFont val="Open Sans Condensed"/>
      </rPr>
      <t xml:space="preserve">y abordan las cuestiones de género de forma eficaz (las actividades y los resultados se han repasado y ajustado). </t>
    </r>
  </si>
  <si>
    <r>
      <t>Descripción de la situación</t>
    </r>
    <r>
      <rPr>
        <sz val="10"/>
        <rFont val="Open Sans Condensed"/>
      </rPr>
      <t>: 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</si>
  <si>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rFont val="Open Sans Condensed"/>
      </rPr>
      <t>: Se requiere una mayor integración dentro de las leyes y políticas nacionales del tema de equidad de género, así como mayores recursos para la ejecución de las diferentes actividades.</t>
    </r>
  </si>
  <si>
    <t>e. Marco institucional para la gestión hídrica transfronteriza[25].</t>
  </si>
  <si>
    <r>
      <t xml:space="preserve">No </t>
    </r>
    <r>
      <rPr>
        <sz val="10"/>
        <rFont val="Open Sans Condensed"/>
      </rPr>
      <t>existe ningún marco institucional.</t>
    </r>
  </si>
  <si>
    <r>
      <t xml:space="preserve">Se están </t>
    </r>
    <r>
      <rPr>
        <b/>
        <sz val="10"/>
        <rFont val="Open Sans Condensed"/>
      </rPr>
      <t>desarrollando</t>
    </r>
    <r>
      <rPr>
        <sz val="10"/>
        <rFont val="Open Sans Condensed"/>
      </rPr>
      <t xml:space="preserve"> marcos institucionales.</t>
    </r>
  </si>
  <si>
    <r>
      <t xml:space="preserve">Se han </t>
    </r>
    <r>
      <rPr>
        <b/>
        <sz val="10"/>
        <rFont val="Open Sans Condensed"/>
      </rPr>
      <t>establecido</t>
    </r>
    <r>
      <rPr>
        <sz val="10"/>
        <rFont val="Open Sans Condensed"/>
      </rPr>
      <t xml:space="preserve"> marcos institucionales.</t>
    </r>
  </si>
  <si>
    <r>
      <t xml:space="preserve">El mandato de los marcos institucionales </t>
    </r>
    <r>
      <rPr>
        <b/>
        <sz val="10"/>
        <rFont val="Open Sans Condensed"/>
      </rPr>
      <t>se cumple en parte</t>
    </r>
    <r>
      <rPr>
        <sz val="10"/>
        <rFont val="Open Sans Condensed"/>
      </rPr>
      <t>.</t>
    </r>
  </si>
  <si>
    <r>
      <t xml:space="preserve">El mandato de los marcos institucionales </t>
    </r>
    <r>
      <rPr>
        <b/>
        <sz val="10"/>
        <rFont val="Open Sans Condensed"/>
      </rPr>
      <t>se cumple en su mayor parte</t>
    </r>
    <r>
      <rPr>
        <sz val="10"/>
        <rFont val="Open Sans Condensed"/>
      </rPr>
      <t>.</t>
    </r>
  </si>
  <si>
    <r>
      <t xml:space="preserve">El mandato de los marcos institucionales </t>
    </r>
    <r>
      <rPr>
        <b/>
        <sz val="10"/>
        <rFont val="Open Sans Condensed"/>
      </rPr>
      <t>se cumple en su totalidad</t>
    </r>
    <r>
      <rPr>
        <sz val="10"/>
        <rFont val="Open Sans Condensed"/>
      </rPr>
      <t>.</t>
    </r>
  </si>
  <si>
    <r>
      <t>Descripción de la situación</t>
    </r>
    <r>
      <rPr>
        <sz val="10"/>
        <rFont val="Open Sans Condensed"/>
      </rPr>
      <t>: 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</si>
  <si>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rFont val="Open Sans Condensed"/>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</si>
  <si>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t>f. Autoridades administrativas subnacionales[26] que abanderan la implementación de la GIRH[27].</t>
  </si>
  <si>
    <r>
      <t>No hay</t>
    </r>
    <r>
      <rPr>
        <sz val="10"/>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</si>
  <si>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capacidad[28] para orientar la formulación de un plan para la GIRH.</t>
  </si>
  <si>
    <r>
      <t xml:space="preserve">Las autoridades subnacionales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</si>
  <si>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</si>
  <si>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rFont val="Open Sans Condensed"/>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</si>
  <si>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t>a. Seguimiento de la disponibilidad del agua a nivel nacional[29] (que incluye las aguas subterráneas o de superficie, dependiendo del país).</t>
  </si>
  <si>
    <r>
      <t>No existen</t>
    </r>
    <r>
      <rPr>
        <sz val="10"/>
        <rFont val="Open Sans Condensed"/>
      </rPr>
      <t xml:space="preserve"> sistemas de seguimiento a nivel nacional.</t>
    </r>
  </si>
  <si>
    <r>
      <t xml:space="preserve">Se utilizan sistemas de seguimiento para una cantidad </t>
    </r>
    <r>
      <rPr>
        <b/>
        <sz val="10"/>
        <rFont val="Open Sans Condensed"/>
      </rPr>
      <t>limitada</t>
    </r>
    <r>
      <rPr>
        <sz val="10"/>
        <rFont val="Open Sans Condensed"/>
      </rPr>
      <t xml:space="preserve"> de proyectos —o semejantes— puntuales o </t>
    </r>
    <r>
      <rPr>
        <b/>
        <sz val="10"/>
        <rFont val="Open Sans Condensed"/>
      </rPr>
      <t>a corto plazo</t>
    </r>
    <r>
      <rPr>
        <sz val="10"/>
        <rFont val="Open Sans Condensed"/>
      </rPr>
      <t>.</t>
    </r>
  </si>
  <si>
    <r>
      <t xml:space="preserve">Se lleva a cabo un seguimiento </t>
    </r>
    <r>
      <rPr>
        <b/>
        <sz val="10"/>
        <rFont val="Open Sans Condensed"/>
      </rPr>
      <t>a largo plazo</t>
    </r>
    <r>
      <rPr>
        <sz val="10"/>
        <rFont val="Open Sans Condensed"/>
      </rPr>
      <t xml:space="preserve"> a escala nacional, pero tanto la cobertura como el uso que le dan las partes interesadas es </t>
    </r>
    <r>
      <rPr>
        <b/>
        <sz val="10"/>
        <rFont val="Open Sans Condensed"/>
      </rPr>
      <t>limitado</t>
    </r>
    <r>
      <rPr>
        <sz val="10"/>
        <rFont val="Open Sans Condensed"/>
      </rPr>
      <t xml:space="preserve"> </t>
    </r>
  </si>
  <si>
    <r>
      <t xml:space="preserve">Se lleva a cabo un seguimiento </t>
    </r>
    <r>
      <rPr>
        <b/>
        <sz val="10"/>
        <rFont val="Open Sans Condensed"/>
      </rPr>
      <t>a largo plazo</t>
    </r>
    <r>
      <rPr>
        <sz val="10"/>
        <rFont val="Open Sans Condensed"/>
      </rPr>
      <t xml:space="preserve"> a escala nacional cuya es </t>
    </r>
    <r>
      <rPr>
        <b/>
        <sz val="10"/>
        <rFont val="Open Sans Condensed"/>
      </rPr>
      <t>aceptable</t>
    </r>
    <r>
      <rPr>
        <sz val="10"/>
        <rFont val="Open Sans Condensed"/>
      </rPr>
      <t>, pero el uso que le dan las partes interesadas es limitado.</t>
    </r>
  </si>
  <si>
    <r>
      <t xml:space="preserve">Se lleva a cabo un seguimiento a largo plazo a escala nacional cuya cobertura es </t>
    </r>
    <r>
      <rPr>
        <b/>
        <sz val="10"/>
        <rFont val="Open Sans Condensed"/>
      </rPr>
      <t xml:space="preserve">muy buena </t>
    </r>
    <r>
      <rPr>
        <sz val="10"/>
        <rFont val="Open Sans Condensed"/>
      </rPr>
      <t>y el uso que le dan las partes interesadas es aceptable.</t>
    </r>
  </si>
  <si>
    <r>
      <t xml:space="preserve">Se lleva a cabo un seguimiento a largo plazo a escala nacional y tanto la cobertura como el uso que le dan las partes interesadas </t>
    </r>
    <r>
      <rPr>
        <b/>
        <sz val="10"/>
        <rFont val="Open Sans Condensed"/>
      </rPr>
      <t>son magníficos</t>
    </r>
    <r>
      <rPr>
        <sz val="10"/>
        <rFont val="Open Sans Condensed"/>
      </rPr>
      <t xml:space="preserve">. </t>
    </r>
  </si>
  <si>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</si>
  <si>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r>
      <t>Formas de avanzar</t>
    </r>
    <r>
      <rPr>
        <sz val="10"/>
        <rFont val="Open Sans Condensed"/>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</si>
  <si>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t>b. Gestión del agua para un uso sostenible y eficaz[30] desde el nivel nacional (que incluye las aguas subterráneas o de superficie, dependiendo del país).</t>
  </si>
  <si>
    <r>
      <t>No</t>
    </r>
    <r>
      <rPr>
        <sz val="10"/>
        <rFont val="Open Sans Condensed"/>
      </rPr>
      <t xml:space="preserve"> se utiliza ningún instrumento de gestión.</t>
    </r>
  </si>
  <si>
    <r>
      <t xml:space="preserve">El uso de instrumentos de gestión es </t>
    </r>
    <r>
      <rPr>
        <b/>
        <sz val="10"/>
        <rFont val="Open Sans Condensed"/>
      </rPr>
      <t>limitado</t>
    </r>
    <r>
      <rPr>
        <sz val="10"/>
        <rFont val="Open Sans Condensed"/>
      </rPr>
      <t xml:space="preserve"> y se limita a proyectos —o semejantes—</t>
    </r>
    <r>
      <rPr>
        <b/>
        <sz val="10"/>
        <rFont val="Open Sans Condensed"/>
      </rPr>
      <t xml:space="preserve"> a corto plazo </t>
    </r>
    <r>
      <rPr>
        <sz val="10"/>
        <rFont val="Open Sans Condensed"/>
      </rPr>
      <t xml:space="preserve">o puntuales.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</si>
  <si>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usuarios del agua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</si>
  <si>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usuarios del agua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</si>
  <si>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usuarios del agua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</si>
  <si>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usuarios del agua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</si>
  <si>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</si>
  <si>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rFont val="Open Sans Condensed"/>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</si>
  <si>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t>c. Control de la contaminación[31]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</si>
  <si>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sectores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</si>
  <si>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</si>
  <si>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sectores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</si>
  <si>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sectores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</si>
  <si>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</si>
  <si>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rFont val="Open Sans Condensed"/>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</si>
  <si>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t>d. Gestión de los ecosistemas relacionados con el agua[32]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</si>
  <si>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distintos tipos de ecosistema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</si>
  <si>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distintos tipos de ecosistema y que se ofrece a lo largo y ancho del país es </t>
    </r>
    <r>
      <rPr>
        <b/>
        <sz val="10"/>
        <rFont val="Open Sans Condensed"/>
      </rPr>
      <t>aceptable</t>
    </r>
    <r>
      <rPr>
        <sz val="10"/>
        <rFont val="Open Sans Condensed"/>
      </rPr>
      <t>. Las necesidades hídricas ambientales se analizan en algunos casos.</t>
    </r>
  </si>
  <si>
    <r>
      <t xml:space="preserve">Los instrumentos de gestión se emplean a largo plazo, son </t>
    </r>
    <r>
      <rPr>
        <b/>
        <sz val="10"/>
        <rFont val="Open Sans Condensed"/>
      </rPr>
      <t>eficaces</t>
    </r>
    <r>
      <rPr>
        <sz val="10"/>
        <rFont val="Open Sans Condensed"/>
      </rPr>
      <t xml:space="preserve"> y la cobertura en distintos tipos de ecosistema y que se ofrece a lo largo y ancho del país es </t>
    </r>
    <r>
      <rPr>
        <b/>
        <sz val="10"/>
        <rFont val="Open Sans Condensed"/>
      </rPr>
      <t>muy buena</t>
    </r>
    <r>
      <rPr>
        <sz val="10"/>
        <rFont val="Open Sans Condensed"/>
      </rPr>
      <t xml:space="preserve">. Las necesidades hídricas ambientales se analizan en la mayor parte del país. </t>
    </r>
  </si>
  <si>
    <r>
      <t xml:space="preserve">Los instrumentos de gestión se emplean a largo plazo, son </t>
    </r>
    <r>
      <rPr>
        <b/>
        <sz val="10"/>
        <rFont val="Open Sans Condensed"/>
      </rPr>
      <t>muy eficaces</t>
    </r>
    <r>
      <rPr>
        <sz val="10"/>
        <rFont val="Open Sans Condensed"/>
      </rPr>
      <t xml:space="preserve"> y la cobertura en distintos tipos de ecosistema y que se ofrece a lo largo y ancho del país es </t>
    </r>
    <r>
      <rPr>
        <b/>
        <sz val="10"/>
        <rFont val="Open Sans Condensed"/>
      </rPr>
      <t>magnífica</t>
    </r>
    <r>
      <rPr>
        <sz val="10"/>
        <rFont val="Open Sans Condensed"/>
      </rPr>
      <t>. Las necesidades hídricas ambientales se analizan en todo el país.</t>
    </r>
  </si>
  <si>
    <r>
      <t>Descripción de la situación</t>
    </r>
    <r>
      <rPr>
        <sz val="10"/>
        <rFont val="Open Sans Condensed"/>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</si>
  <si>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rFont val="Open Sans Condensed"/>
      </rPr>
      <t>: Se recomienda la incorporación del concepto de gestión de ecosistemas vinculados con el agua en la actualización de la política hídrica nacional y el Plan Nacional de Recursos Hídricos.</t>
    </r>
  </si>
  <si>
    <t>e. Instrumentos de gestión encaminados a reducir las repercusiones de los desastres relacionados con el agua[33] desde el nivel nacional.</t>
  </si>
  <si>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zonas de riesgo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</si>
  <si>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zonas de riesgo es </t>
    </r>
    <r>
      <rPr>
        <b/>
        <sz val="10"/>
        <rFont val="Open Sans Condensed"/>
      </rPr>
      <t>aceptable</t>
    </r>
    <r>
      <rPr>
        <sz val="10"/>
        <rFont val="Open Sans Condensed"/>
      </rPr>
      <t>.</t>
    </r>
  </si>
  <si>
    <r>
      <t xml:space="preserve">Los instrumentos de gestión se emplean a largo plazo, son </t>
    </r>
    <r>
      <rPr>
        <b/>
        <sz val="10"/>
        <rFont val="Open Sans Condensed"/>
      </rPr>
      <t>eficaces</t>
    </r>
    <r>
      <rPr>
        <sz val="10"/>
        <rFont val="Open Sans Condensed"/>
      </rPr>
      <t xml:space="preserve"> y la cobertura en zonas de riesgo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</si>
  <si>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en zonas de riesgo es </t>
    </r>
    <r>
      <rPr>
        <b/>
        <sz val="10"/>
        <rFont val="Open Sans Condensed"/>
      </rPr>
      <t>magnífica</t>
    </r>
    <r>
      <rPr>
        <sz val="10"/>
        <rFont val="Open Sans Condensed"/>
      </rPr>
      <t xml:space="preserve">. </t>
    </r>
  </si>
  <si>
    <r>
      <t>Descripción de la situación</t>
    </r>
    <r>
      <rPr>
        <sz val="10"/>
        <rFont val="Open Sans Condensed"/>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</si>
  <si>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rFont val="Open Sans Condensed"/>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</si>
  <si>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t>3.2 ¿Cuál es la situación de los instrumentos de gestión que respaldan la implementación de la GIRH a otros niveles?</t>
  </si>
  <si>
    <t>a. Instrumentos de gestión de cuencas[34].</t>
  </si>
  <si>
    <r>
      <t>No</t>
    </r>
    <r>
      <rPr>
        <sz val="10"/>
        <rFont val="Open Sans Condensed"/>
      </rPr>
      <t xml:space="preserve"> se utiliza ningún instrumento de gestión en el nivel de las cuencas. </t>
    </r>
  </si>
  <si>
    <r>
      <t xml:space="preserve">El uso de instrumentos de gestión en el nivel de las cuencas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</si>
  <si>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las cuencas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</si>
  <si>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las cuencas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</si>
  <si>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las cuencas se emplean más a largo plazo, los resultados son </t>
    </r>
    <r>
      <rPr>
        <b/>
        <sz val="10"/>
        <rFont val="Open Sans Condensed"/>
      </rPr>
      <t>eficaces</t>
    </r>
    <r>
      <rPr>
        <sz val="10"/>
        <rFont val="Open Sans Condensed"/>
      </rPr>
      <t>,</t>
    </r>
    <r>
      <rPr>
        <b/>
        <sz val="10"/>
        <rFont val="Open Sans Condensed"/>
      </rPr>
      <t xml:space="preserve">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</si>
  <si>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 xml:space="preserve">Los instrumentos de gestión en el nivel de las cuencas se emplean más a largo plazo,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</si>
  <si>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</si>
  <si>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rFont val="Open Sans Condensed"/>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</si>
  <si>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t>b. Instrumentos de gestión de acuíferos[35].</t>
  </si>
  <si>
    <r>
      <t>No</t>
    </r>
    <r>
      <rPr>
        <sz val="10"/>
        <rFont val="Open Sans Condensed"/>
      </rPr>
      <t xml:space="preserve"> se utiliza ningún instrumento de gestión en el nivel de los acuíferos. </t>
    </r>
  </si>
  <si>
    <r>
      <t xml:space="preserve">El uso de instrumentos de gestión en el nivel de los acuíferos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</si>
  <si>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los acuíferos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</si>
  <si>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</si>
  <si>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los resultados son </t>
    </r>
    <r>
      <rPr>
        <b/>
        <sz val="10"/>
        <rFont val="Open Sans Condensed"/>
      </rPr>
      <t xml:space="preserve">eficaces,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</si>
  <si>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Los instrumentos de gestión en el nivel de los acuíferos se emplean más</t>
    </r>
    <r>
      <rPr>
        <b/>
        <sz val="10"/>
        <rFont val="Open Sans Condensed"/>
      </rPr>
      <t xml:space="preserve"> a largo plazo</t>
    </r>
    <r>
      <rPr>
        <sz val="10"/>
        <rFont val="Open Sans Condensed"/>
      </rPr>
      <t xml:space="preserve">,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</si>
  <si>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</si>
  <si>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rFont val="Open Sans Condensed"/>
      </rPr>
      <t>: La elaboración de modelos conceptuales de acuíferos, evaluaciones de vulnerabilidad y riesgo hidrogeológico y balances hídricos de suelos y su uso como herramienta de gestión para el otorgamiento de permisos y concesiones.</t>
    </r>
  </si>
  <si>
    <t>c. Difusión de información en el ámbito doméstico y a todos los niveles[36].</t>
  </si>
  <si>
    <r>
      <t>No</t>
    </r>
    <r>
      <rPr>
        <sz val="10"/>
        <rFont val="Open Sans Condensed"/>
      </rPr>
      <t xml:space="preserve"> se difunde información.</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</si>
  <si>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t>
    </r>
  </si>
  <si>
    <r>
      <t>Existen</t>
    </r>
    <r>
      <rPr>
        <sz val="10"/>
        <rFont val="Open Sans Condensed"/>
      </rPr>
      <t xml:space="preserve"> acuerdos de intercambio de información a más </t>
    </r>
    <r>
      <rPr>
        <b/>
        <sz val="10"/>
        <rFont val="Open Sans Condensed"/>
      </rPr>
      <t>largo plazo</t>
    </r>
    <r>
      <rPr>
        <sz val="10"/>
        <rFont val="Open Sans Condensed"/>
      </rPr>
      <t xml:space="preserve"> entre los principales proveedores de datos y los usuarios.</t>
    </r>
  </si>
  <si>
    <r>
      <t xml:space="preserve">Los acuerdos de intercambio de información se </t>
    </r>
    <r>
      <rPr>
        <b/>
        <sz val="10"/>
        <rFont val="Open Sans Condensed"/>
      </rPr>
      <t xml:space="preserve">adoptan </t>
    </r>
    <r>
      <rPr>
        <sz val="10"/>
        <rFont val="Open Sans Condensed"/>
      </rPr>
      <t>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</si>
  <si>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Los acuerdos de intercambio de información se adoptan 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muy buena</t>
    </r>
    <r>
      <rPr>
        <sz val="10"/>
        <rFont val="Open Sans Condensed"/>
      </rPr>
      <t xml:space="preserve">. </t>
    </r>
  </si>
  <si>
    <t>Todos los datos de interés están disponibles en línea y son de dominio público.</t>
  </si>
  <si>
    <r>
      <t>Descripción de la situación</t>
    </r>
    <r>
      <rPr>
        <sz val="10"/>
        <rFont val="Open Sans Condensed"/>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</si>
  <si>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rFont val="Open Sans Condensed"/>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</si>
  <si>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rFont val="Open Sans Condensed"/>
      </rPr>
      <t>entre</t>
    </r>
    <r>
      <rPr>
        <b/>
        <sz val="10"/>
        <rFont val="Open Sans Condensed"/>
      </rPr>
      <t xml:space="preserve"> países.</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</si>
  <si>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o se produce de manera informal. </t>
    </r>
  </si>
  <si>
    <r>
      <t>Existen</t>
    </r>
    <r>
      <rPr>
        <sz val="10"/>
        <rFont val="Open Sans Condensed"/>
      </rPr>
      <t xml:space="preserve"> acuerdos de intercambio de información, pero la difusión es </t>
    </r>
    <r>
      <rPr>
        <b/>
        <sz val="10"/>
        <rFont val="Open Sans Condensed"/>
      </rPr>
      <t>limitada</t>
    </r>
    <r>
      <rPr>
        <sz val="10"/>
        <rFont val="Open Sans Condensed"/>
      </rPr>
      <t>.</t>
    </r>
  </si>
  <si>
    <r>
      <t xml:space="preserve">Los acuerdos de intercambio de información </t>
    </r>
    <r>
      <rPr>
        <b/>
        <sz val="10"/>
        <rFont val="Open Sans Condensed"/>
      </rPr>
      <t>se aplican de manera adecuada</t>
    </r>
    <r>
      <rPr>
        <sz val="10"/>
        <rFont val="Open Sans Condensed"/>
      </rPr>
      <t>.</t>
    </r>
    <r>
      <rPr>
        <b/>
        <sz val="10"/>
        <rFont val="Open Sans Condensed"/>
      </rPr>
      <t xml:space="preserve"> </t>
    </r>
  </si>
  <si>
    <t xml:space="preserve">Los acuerdos de intercambio de información se aplican de manera eficaz[37]. </t>
  </si>
  <si>
    <t>Todos los datos de interés están disponibles en línea y los países participantes pueden acceder a ellos.</t>
  </si>
  <si>
    <r>
      <t>Descripción de la situación</t>
    </r>
    <r>
      <rPr>
        <sz val="10"/>
        <rFont val="Open Sans Condensed"/>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</si>
  <si>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rFont val="Open Sans Condensed"/>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</si>
  <si>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t xml:space="preserve">a. Presupuesto nacional[38] para la infraestructura[39] de los recursos hídricos (inversiones y gastos recurrentes). </t>
  </si>
  <si>
    <r>
      <t>No</t>
    </r>
    <r>
      <rPr>
        <sz val="10"/>
        <rFont val="Open Sans Condensed"/>
      </rPr>
      <t xml:space="preserve"> se han asignado </t>
    </r>
    <r>
      <rPr>
        <b/>
        <sz val="10"/>
        <rFont val="Open Sans Condensed"/>
      </rPr>
      <t xml:space="preserve">fondos </t>
    </r>
    <r>
      <rPr>
        <sz val="10"/>
        <rFont val="Open Sans Condensed"/>
      </rPr>
      <t>para los planes nacionales de inversiones.</t>
    </r>
  </si>
  <si>
    <r>
      <t xml:space="preserve">Se han asignado </t>
    </r>
    <r>
      <rPr>
        <b/>
        <sz val="10"/>
        <rFont val="Open Sans Condensed"/>
      </rPr>
      <t>algunos fondos</t>
    </r>
    <r>
      <rPr>
        <sz val="10"/>
        <rFont val="Open Sans Condensed"/>
      </rPr>
      <t>, pero solo cubren una parte de las inversiones previstas.</t>
    </r>
  </si>
  <si>
    <r>
      <t>Se han asignado</t>
    </r>
    <r>
      <rPr>
        <b/>
        <sz val="10"/>
        <rFont val="Open Sans Condensed"/>
      </rPr>
      <t xml:space="preserve"> suficientes fondos </t>
    </r>
    <r>
      <rPr>
        <sz val="10"/>
        <rFont val="Open Sans Condensed"/>
      </rPr>
      <t>para las inversiones previstas, pero los que se han desembolsado o están disponibles no bastan.</t>
    </r>
    <r>
      <rPr>
        <b/>
        <sz val="10"/>
        <rFont val="Open Sans Condensed"/>
      </rPr>
      <t xml:space="preserve"> </t>
    </r>
  </si>
  <si>
    <r>
      <t xml:space="preserve">Se han asignado y </t>
    </r>
    <r>
      <rPr>
        <b/>
        <sz val="10"/>
        <rFont val="Open Sans Condensed"/>
      </rPr>
      <t>desembolsado fondos suficientes para la mayoría</t>
    </r>
    <r>
      <rPr>
        <sz val="10"/>
        <rFont val="Open Sans Condensed"/>
      </rPr>
      <t xml:space="preserve"> de los programas o proyectos previstos.</t>
    </r>
  </si>
  <si>
    <r>
      <t xml:space="preserve">Se han desembolsado fondos suficientes para las inversiones y los gastos recurrentes, y </t>
    </r>
    <r>
      <rPr>
        <b/>
        <sz val="10"/>
        <rFont val="Open Sans Condensed"/>
      </rPr>
      <t>se recurre a ellos en todos</t>
    </r>
    <r>
      <rPr>
        <sz val="10"/>
        <rFont val="Open Sans Condensed"/>
      </rPr>
      <t xml:space="preserve"> los proyectos previstos.</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</si>
  <si>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 </t>
    </r>
  </si>
  <si>
    <r>
      <t>Descripción de la situación</t>
    </r>
    <r>
      <rPr>
        <sz val="10"/>
        <rFont val="Open Sans Condensed"/>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</si>
  <si>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rFont val="Open Sans Condensed"/>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</si>
  <si>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t>b. Presupuesto nacional de los elementos de la GIRH[40] (inversiones y gastos recurrentes).</t>
  </si>
  <si>
    <r>
      <t>No</t>
    </r>
    <r>
      <rPr>
        <sz val="10"/>
        <rFont val="Open Sans Condensed"/>
      </rPr>
      <t xml:space="preserve"> se han asignado </t>
    </r>
    <r>
      <rPr>
        <b/>
        <sz val="10"/>
        <rFont val="Open Sans Condensed"/>
      </rPr>
      <t>fondos</t>
    </r>
    <r>
      <rPr>
        <sz val="10"/>
        <rFont val="Open Sans Condensed"/>
      </rPr>
      <t xml:space="preserve"> para las inversiones y los gastos recurrentes de los elementos de la GIRH. </t>
    </r>
  </si>
  <si>
    <r>
      <t xml:space="preserve">Se han </t>
    </r>
    <r>
      <rPr>
        <b/>
        <sz val="10"/>
        <rFont val="Open Sans Condensed"/>
      </rPr>
      <t>asignado</t>
    </r>
    <r>
      <rPr>
        <sz val="10"/>
        <rFont val="Open Sans Condensed"/>
      </rPr>
      <t xml:space="preserve"> fondos a </t>
    </r>
    <r>
      <rPr>
        <b/>
        <sz val="10"/>
        <rFont val="Open Sans Condensed"/>
      </rPr>
      <t>algunos</t>
    </r>
    <r>
      <rPr>
        <sz val="10"/>
        <rFont val="Open Sans Condensed"/>
      </rPr>
      <t xml:space="preserve"> de los elementos y la implementación está en sus primeras etapas.</t>
    </r>
  </si>
  <si>
    <r>
      <t>Se han asignado fondos a</t>
    </r>
    <r>
      <rPr>
        <b/>
        <sz val="10"/>
        <rFont val="Open Sans Condensed"/>
      </rPr>
      <t>, como mínimo, la mitad</t>
    </r>
    <r>
      <rPr>
        <sz val="10"/>
        <rFont val="Open Sans Condensed"/>
      </rPr>
      <t xml:space="preserve"> de los elementos, pero no hay suficiente financiación para los demás.</t>
    </r>
  </si>
  <si>
    <r>
      <t xml:space="preserve">Se han asignado fondos a </t>
    </r>
    <r>
      <rPr>
        <b/>
        <sz val="10"/>
        <rFont val="Open Sans Condensed"/>
      </rPr>
      <t>la mayoría</t>
    </r>
    <r>
      <rPr>
        <sz val="10"/>
        <rFont val="Open Sans Condensed"/>
      </rPr>
      <t xml:space="preserve"> de los elementos y algunos se están poniendo en práctica.</t>
    </r>
  </si>
  <si>
    <r>
      <t xml:space="preserve">Se han asignado fondos a </t>
    </r>
    <r>
      <rPr>
        <b/>
        <sz val="10"/>
        <rFont val="Open Sans Condensed"/>
      </rPr>
      <t>todos</t>
    </r>
    <r>
      <rPr>
        <sz val="10"/>
        <rFont val="Open Sans Condensed"/>
      </rPr>
      <t xml:space="preserve"> los elementos y estos se ponen en práctica con frecuencia (inversiones y gastos recurrentes).</t>
    </r>
  </si>
  <si>
    <r>
      <t xml:space="preserve">Se </t>
    </r>
    <r>
      <rPr>
        <b/>
        <sz val="10"/>
        <rFont val="Open Sans Condensed"/>
      </rPr>
      <t>emplea</t>
    </r>
    <r>
      <rPr>
        <sz val="10"/>
        <rFont val="Open Sans Condensed"/>
      </rPr>
      <t xml:space="preserve"> la </t>
    </r>
    <r>
      <rPr>
        <b/>
        <sz val="10"/>
        <rFont val="Open Sans Condensed"/>
      </rPr>
      <t>totalidad</t>
    </r>
    <r>
      <rPr>
        <sz val="10"/>
        <rFont val="Open Sans Condensed"/>
      </rPr>
      <t xml:space="preserve"> de las asignaciones de fondos previstas para todos los elementos del enfoque de la GIRH; los presupuestos se han revisado y ajustado.</t>
    </r>
  </si>
  <si>
    <r>
      <t>Descripción de la situación</t>
    </r>
    <r>
      <rPr>
        <sz val="10"/>
        <rFont val="Open Sans Condensed"/>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</si>
  <si>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rFont val="Open Sans Condensed"/>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</si>
  <si>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</si>
  <si>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</si>
  <si>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r>
      <t>No</t>
    </r>
    <r>
      <rPr>
        <sz val="10"/>
        <rFont val="Open Sans Condensed"/>
      </rPr>
      <t xml:space="preserve"> se han asignado </t>
    </r>
    <r>
      <rPr>
        <b/>
        <sz val="10"/>
        <rFont val="Open Sans Condensed"/>
      </rPr>
      <t xml:space="preserve">fondos </t>
    </r>
    <r>
      <rPr>
        <sz val="10"/>
        <rFont val="Open Sans Condensed"/>
      </rPr>
      <t>para los planes de inversiones subnacionales o de las cuencas.</t>
    </r>
  </si>
  <si>
    <r>
      <t>Se han asignado</t>
    </r>
    <r>
      <rPr>
        <b/>
        <sz val="10"/>
        <rFont val="Open Sans Condensed"/>
      </rPr>
      <t xml:space="preserve"> suficientes fondos </t>
    </r>
    <r>
      <rPr>
        <sz val="10"/>
        <rFont val="Open Sans Condensed"/>
      </rPr>
      <t>para las inversiones previstas, pero los que se han desembolsado o están disponibles no bastan.</t>
    </r>
  </si>
  <si>
    <r>
      <t xml:space="preserve">Se han asignado y </t>
    </r>
    <r>
      <rPr>
        <b/>
        <sz val="10"/>
        <rFont val="Open Sans Condensed"/>
      </rPr>
      <t>desembolsado fondos suficientes para la mayoría</t>
    </r>
    <r>
      <rPr>
        <sz val="10"/>
        <rFont val="Open Sans Condensed"/>
      </rPr>
      <t xml:space="preserve"> de los programas o proyectos previstos. </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</si>
  <si>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t>
    </r>
  </si>
  <si>
    <r>
      <t>Descripción de la situación</t>
    </r>
    <r>
      <rPr>
        <sz val="10"/>
        <rFont val="Open Sans Condensed"/>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</si>
  <si>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rFont val="Open Sans Condensed"/>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</si>
  <si>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t>b. Ingresos recaudados para los elementos de la GIRH[42].</t>
  </si>
  <si>
    <r>
      <t xml:space="preserve">No </t>
    </r>
    <r>
      <rPr>
        <sz val="10"/>
        <rFont val="Open Sans Condensed"/>
      </rPr>
      <t xml:space="preserve">se recaudan </t>
    </r>
    <r>
      <rPr>
        <b/>
        <sz val="10"/>
        <rFont val="Open Sans Condensed"/>
      </rPr>
      <t>ingresos</t>
    </r>
    <r>
      <rPr>
        <sz val="10"/>
        <rFont val="Open Sans Condensed"/>
      </rPr>
      <t xml:space="preserve"> para los elementos de la GIRH.</t>
    </r>
  </si>
  <si>
    <r>
      <t>Se han establecido procesos</t>
    </r>
    <r>
      <rPr>
        <sz val="10"/>
        <rFont val="Open Sans Condensed"/>
      </rPr>
      <t xml:space="preserve"> para recaudar ingresos, pero </t>
    </r>
    <r>
      <rPr>
        <b/>
        <sz val="10"/>
        <rFont val="Open Sans Condensed"/>
      </rPr>
      <t>aún no se han puesto en práctica</t>
    </r>
    <r>
      <rPr>
        <sz val="10"/>
        <rFont val="Open Sans Condensed"/>
      </rPr>
      <t>.</t>
    </r>
  </si>
  <si>
    <r>
      <t>Se han recaudado algunos ingresos</t>
    </r>
    <r>
      <rPr>
        <sz val="10"/>
        <rFont val="Open Sans Condensed"/>
      </rPr>
      <t>, pero no se suelen invertir en actividades de GIRH.</t>
    </r>
  </si>
  <si>
    <r>
      <t xml:space="preserve">Los ingresos que se han recaudado cubren el costo de </t>
    </r>
    <r>
      <rPr>
        <b/>
        <sz val="10"/>
        <rFont val="Open Sans Condensed"/>
      </rPr>
      <t>algunas</t>
    </r>
    <r>
      <rPr>
        <sz val="10"/>
        <rFont val="Open Sans Condensed"/>
      </rPr>
      <t xml:space="preserve"> actividades de GIRH.</t>
    </r>
  </si>
  <si>
    <r>
      <t xml:space="preserve">Los ingresos que se han recaudado cubren el costo de </t>
    </r>
    <r>
      <rPr>
        <b/>
        <sz val="10"/>
        <rFont val="Open Sans Condensed"/>
      </rPr>
      <t xml:space="preserve">la mayoría </t>
    </r>
    <r>
      <rPr>
        <sz val="10"/>
        <rFont val="Open Sans Condensed"/>
      </rPr>
      <t>de las actividades de GIRH.</t>
    </r>
  </si>
  <si>
    <r>
      <t xml:space="preserve">Los ingresos que se han recaudado cubren el costo de </t>
    </r>
    <r>
      <rPr>
        <b/>
        <sz val="10"/>
        <rFont val="Open Sans Condensed"/>
      </rPr>
      <t>todas</t>
    </r>
    <r>
      <rPr>
        <sz val="10"/>
        <rFont val="Open Sans Condensed"/>
      </rPr>
      <t xml:space="preserve"> las actividades de GIRH.</t>
    </r>
  </si>
  <si>
    <r>
      <t>Descripción de la situación</t>
    </r>
    <r>
      <rPr>
        <sz val="10"/>
        <rFont val="Open Sans Condensed"/>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</si>
  <si>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rFont val="Open Sans Condensed"/>
      </rPr>
      <t>: Desarrollo de nuevos instrumentos que brinden recursos frescos y adicionales para el financiamiento de la GIRH, como puede ser el desarrollo de alianzas público privadas.</t>
    </r>
  </si>
  <si>
    <t>c. Financiación de la cooperación transfronteriza[43].</t>
  </si>
  <si>
    <r>
      <t xml:space="preserve">No se han asignado fondos concretos </t>
    </r>
    <r>
      <rPr>
        <sz val="10"/>
        <rFont val="Open Sans Condensed"/>
      </rPr>
      <t>en los presupuestos de los Estados Miembros ni a partir de otras fuentes estables.</t>
    </r>
  </si>
  <si>
    <r>
      <t xml:space="preserve">Los Estados Miembros han </t>
    </r>
    <r>
      <rPr>
        <b/>
        <sz val="10"/>
        <rFont val="Open Sans Condensed"/>
      </rPr>
      <t>llegado a un acuerdo</t>
    </r>
    <r>
      <rPr>
        <sz val="10"/>
        <rFont val="Open Sans Condensed"/>
      </rPr>
      <t xml:space="preserve"> sobre las contribuciones de cada país y la asistencia en especie para organizar o concertar la cooperación. </t>
    </r>
  </si>
  <si>
    <r>
      <t xml:space="preserve">Se ha obtenido </t>
    </r>
    <r>
      <rPr>
        <b/>
        <sz val="10"/>
        <rFont val="Open Sans Condensed"/>
      </rPr>
      <t xml:space="preserve">menos del 50% de la financiación prevista </t>
    </r>
    <r>
      <rPr>
        <sz val="10"/>
        <rFont val="Open Sans Condensed"/>
      </rPr>
      <t>en forma de contribuciones y por norma.</t>
    </r>
  </si>
  <si>
    <r>
      <t xml:space="preserve">Se ha obtenido </t>
    </r>
    <r>
      <rPr>
        <b/>
        <sz val="10"/>
        <rFont val="Open Sans Condensed"/>
      </rPr>
      <t xml:space="preserve">menos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</si>
  <si>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más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</si>
  <si>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el 100% </t>
    </r>
    <r>
      <rPr>
        <sz val="10"/>
        <rFont val="Open Sans Condensed"/>
      </rPr>
      <t>de la financiación prevista</t>
    </r>
    <r>
      <rPr>
        <b/>
        <sz val="10"/>
        <rFont val="Open Sans Condensed"/>
      </rPr>
      <t xml:space="preserve"> </t>
    </r>
    <r>
      <rPr>
        <sz val="10"/>
        <rFont val="Open Sans Condensed"/>
      </rPr>
      <t>en forma de contribuciones y por norma.</t>
    </r>
  </si>
  <si>
    <r>
      <t>Descripción de la situación</t>
    </r>
    <r>
      <rPr>
        <sz val="10"/>
        <rFont val="Open Sans Condensed"/>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</si>
  <si>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rFont val="Open Sans Condensed"/>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</si>
  <si>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t>d. Presupuesto subnacional o de las cuencas para los elementos de la GIRH[44] (inversiones y gastos recurrentes).</t>
  </si>
  <si>
    <r>
      <t>No</t>
    </r>
    <r>
      <rPr>
        <sz val="10"/>
        <rFont val="Open Sans Condensed"/>
      </rPr>
      <t xml:space="preserve"> se han asignado </t>
    </r>
    <r>
      <rPr>
        <b/>
        <sz val="10"/>
        <rFont val="Open Sans Condensed"/>
      </rPr>
      <t>fondos</t>
    </r>
    <r>
      <rPr>
        <sz val="10"/>
        <rFont val="Open Sans Condensed"/>
      </rPr>
      <t xml:space="preserve"> en el nivel subnacional o de las cuencas para las inversiones y los gastos recurrentes de los elementos de la GIRH. </t>
    </r>
  </si>
  <si>
    <r>
      <t xml:space="preserve">Descripción de la situación: </t>
    </r>
    <r>
      <rPr>
        <sz val="10"/>
        <rFont val="Open Sans Condensed"/>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</si>
  <si>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rFont val="Open Sans Condensed"/>
      </rPr>
      <t xml:space="preserve">La aprobación de una nueva Ley de Aguas permitiría otorgar fondos específicos a nivel de cuencas. 
</t>
    </r>
    <r>
      <rPr>
        <b/>
        <sz val="10"/>
        <rFont val="Open Sans Condensed"/>
      </rPr>
      <t xml:space="preserve">
</t>
    </r>
  </si>
  <si>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</si>
  <si>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</si>
  <si>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</si>
  <si>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</si>
  <si>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</si>
  <si>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</si>
  <si>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</si>
  <si>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</si>
  <si>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</si>
  <si>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</si>
  <si>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</si>
  <si>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</si>
  <si>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</si>
  <si>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</si>
  <si>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</si>
  <si>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</si>
  <si>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</si>
  <si>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</si>
  <si>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</si>
  <si>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</si>
  <si>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</si>
  <si>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</si>
  <si>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</si>
  <si>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</si>
  <si>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</si>
  <si>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</si>
  <si>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</si>
  <si>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</si>
  <si>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</si>
  <si>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</si>
  <si>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</si>
  <si>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</si>
  <si>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</si>
  <si>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</si>
  <si>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</si>
  <si>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</si>
  <si>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</si>
  <si>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</si>
  <si>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</si>
  <si>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</si>
  <si>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</si>
  <si>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</si>
  <si>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</si>
  <si>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</si>
  <si>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1. Entorno propicio</t>
  </si>
  <si>
    <t>Grado de implementación (0-100)</t>
  </si>
  <si>
    <t>Medio bajo (40)</t>
  </si>
  <si>
    <t>Medio alto (60)</t>
  </si>
  <si>
    <r>
      <t>a. Política</t>
    </r>
    <r>
      <rPr>
        <sz val="10"/>
        <color rgb="FF000000"/>
        <rFont val="Open Sans Condensed"/>
      </rPr>
      <t xml:space="preserve"> nacional sobre recursos hídricos o semejante.</t>
    </r>
  </si>
  <si>
    <r>
      <t xml:space="preserve">Todavía </t>
    </r>
    <r>
      <rPr>
        <b/>
        <sz val="10"/>
        <color theme="1"/>
        <rFont val="Open Sans Condensed"/>
      </rPr>
      <t>no ha empezado</t>
    </r>
    <r>
      <rPr>
        <sz val="10"/>
        <color theme="1"/>
        <rFont val="Open Sans Condensed"/>
      </rPr>
      <t xml:space="preserve"> a elaborarse o está estancada.</t>
    </r>
  </si>
  <si>
    <r>
      <t>Existe</t>
    </r>
    <r>
      <rPr>
        <sz val="10"/>
        <color theme="1"/>
        <rFont val="Open Sans Condensed"/>
      </rPr>
      <t>,</t>
    </r>
    <r>
      <rPr>
        <b/>
        <sz val="10"/>
        <color theme="1"/>
        <rFont val="Open Sans Condensed"/>
      </rPr>
      <t xml:space="preserve"> </t>
    </r>
    <r>
      <rPr>
        <sz val="10"/>
        <color theme="1"/>
        <rFont val="Open Sans Condensed"/>
      </rPr>
      <t>pero no se basa en la GIRH.</t>
    </r>
  </si>
  <si>
    <r>
      <t xml:space="preserve">Se basa en la GIRH, ha sido </t>
    </r>
    <r>
      <rPr>
        <b/>
        <sz val="10"/>
        <color theme="1"/>
        <rFont val="Open Sans Condensed"/>
      </rPr>
      <t>aprobada</t>
    </r>
    <r>
      <rPr>
        <sz val="10"/>
        <color theme="1"/>
        <rFont val="Open Sans Condensed"/>
      </rPr>
      <t xml:space="preserve"> por el Gobierno y las autoridades han comenzado a emplearla como orientación para estas labores.</t>
    </r>
  </si>
  <si>
    <r>
      <t xml:space="preserve">Se basa en la GIRH, la mayor parte de las autoridades competentes </t>
    </r>
    <r>
      <rPr>
        <b/>
        <sz val="10"/>
        <color theme="1"/>
        <rFont val="Open Sans Condensed"/>
      </rPr>
      <t>la utiliza</t>
    </r>
    <r>
      <rPr>
        <sz val="10"/>
        <color theme="1"/>
        <rFont val="Open Sans Condensed"/>
      </rPr>
      <t xml:space="preserve"> como orientación para estas labores. </t>
    </r>
  </si>
  <si>
    <r>
      <t xml:space="preserve">Los objetivos de las políticas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</si>
  <si>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theme="1"/>
        <rFont val="Open Sans Condensed"/>
      </rPr>
      <t>repasan</t>
    </r>
    <r>
      <rPr>
        <sz val="10"/>
        <color theme="1"/>
        <rFont val="Open Sans Condensed"/>
      </rPr>
      <t xml:space="preserve"> y se ajustan con regularidad. </t>
    </r>
  </si>
  <si>
    <t>Puntuación</t>
  </si>
  <si>
    <t>Situación y avances</t>
  </si>
  <si>
    <t>El país dispone de varios instrumentos de política pública nacional, como son: el Plan Nacional de Gestión Integrada de Recursos Hídricos (2008), la Política Hídrica Nacional (2009) y la Agenda del Agua Costa Rica 2013-2030.  Además, hay políticas sectoriales como la Política Nacional de Gestión del Riesgo 2016-2030, la Política Nacional de Agua Potable 2017-2030, la Política Nacional de Saneamiento de Aguas Residuales 2017-2045 que incluye un Plan Nacional de Inversiones, la Política de Organización y Fortalecimiento de la Gestión Comunitaria de los Servicios de Agua Potable y Saneamiento (2015) y la Política Institucional de Igualdad de Género del AyA (incluye lineamiento para ASADAS) 2018-2030.</t>
  </si>
  <si>
    <t>Los instrumentos más recientes con la Política Nacional de Áreas de Protección de Ríos, Quebradas, Arroyos y Nacientes 2020-2040 y Estrategia del SINAC Para la Conservación y Uso Sostenible del Recurso Hídrico 2021-2026, que aportan al marco de la política pública relacionada con la GIRH.</t>
  </si>
  <si>
    <t>Además de los instrumentos de política pública sobre Recursos Hídricos, en este reporte 2023 se debe agregar las políticas públicas relevantes en materia de Cambio Climático como son la Política Nacional de Adaptación al Cambio Climático 2018- 2030,y el Plan Nacional de Adaptación al Cambio Climático 2022- 2026, que incluyen ejes relacionados con el recurso hídrico y la gestión sostenible del recurso hídrico en las cuencas hidrográficas.</t>
  </si>
  <si>
    <t>Al haberse cumplido en gran parte lo planteado en la Política Hídrica del 2008, el país inició con el proceso de actualización de la Política Hídrica Nacional y el Plan GIRH.  Actualmente, la propuesta de política se encuentra en proceso de consulta indígena, afinamiento a nivel de MINAE y consulta pública. El proyecto de Política Hídrica tiene tres productos: un Diagnóstico, que incluye un Balance Hídrico, la Política y el Plan para su ejecución. La finalización de este proceso permitirá contar con los instrumentos de política pública actualizados para continuar los procesos de mejora de la GIRH.</t>
  </si>
  <si>
    <t>El tema de las políticas públicas es uno de los que mayor nivel de avance tiene, en especial si se considera que la actualización de la política se condujo a pesar de las restricciones impuestas durante el período de pandemia. Existe un marco disperso de políticas públicas las cuales cuentan con elementos que apunta a objetivos de la GIRH, esta situación genera debilidades en la gobernabilidad, sin embargo, la actualización de la política nacional GIRH pretende dar solución al fortalecer el sub sector hídrico, aclarar los alcances instituciones y establecer mecanismos de coordinación.</t>
  </si>
  <si>
    <t>Formas de avanzar</t>
  </si>
  <si>
    <t>Es fundamental la aprobación de la nueva Política Nacional GIRH que se encuentra en proceso de consulta indígena previo a continuar con la formalización debida. La implementación de esta política que permitiría una mejora en la gestión de los recursos hídricos de manera integrada,  articulada y fortalecida.</t>
  </si>
  <si>
    <r>
      <t>b. Legislación</t>
    </r>
    <r>
      <rPr>
        <sz val="10"/>
        <color rgb="FF000000"/>
        <rFont val="Open Sans Condensed"/>
      </rPr>
      <t xml:space="preserve"> nacional sobre recursos hídricos.</t>
    </r>
  </si>
  <si>
    <r>
      <t xml:space="preserve">Todavía </t>
    </r>
    <r>
      <rPr>
        <b/>
        <sz val="10"/>
        <color theme="1"/>
        <rFont val="Open Sans Condensed"/>
      </rPr>
      <t>no ha empezado</t>
    </r>
    <r>
      <rPr>
        <sz val="10"/>
        <color theme="1"/>
        <rFont val="Open Sans Condensed"/>
      </rPr>
      <t xml:space="preserve"> a elaborarse o está estancada.</t>
    </r>
    <r>
      <rPr>
        <b/>
        <sz val="10"/>
        <color theme="1"/>
        <rFont val="Open Sans Condensed"/>
      </rPr>
      <t xml:space="preserve"> </t>
    </r>
  </si>
  <si>
    <r>
      <t xml:space="preserve">Se basa en la GIRH, ha sido </t>
    </r>
    <r>
      <rPr>
        <b/>
        <sz val="10"/>
        <color theme="1"/>
        <rFont val="Open Sans Condensed"/>
      </rPr>
      <t>aprobada</t>
    </r>
    <r>
      <rPr>
        <sz val="10"/>
        <color theme="1"/>
        <rFont val="Open Sans Condensed"/>
      </rPr>
      <t xml:space="preserve"> por el Gobierno y las autoridades han comenzado a aplicarla.</t>
    </r>
  </si>
  <si>
    <r>
      <t xml:space="preserve">Se basa en la GIRH, la mayor parte de las autoridades competentes </t>
    </r>
    <r>
      <rPr>
        <b/>
        <sz val="10"/>
        <color theme="1"/>
        <rFont val="Open Sans Condensed"/>
      </rPr>
      <t>la aplica</t>
    </r>
    <r>
      <rPr>
        <sz val="10"/>
        <color theme="1"/>
        <rFont val="Open Sans Condensed"/>
      </rPr>
      <t>.</t>
    </r>
  </si>
  <si>
    <r>
      <t xml:space="preserve">Se basa en la GIRH, toda la legislación se </t>
    </r>
    <r>
      <rPr>
        <b/>
        <sz val="10"/>
        <color theme="1"/>
        <rFont val="Open Sans Condensed"/>
      </rPr>
      <t xml:space="preserve">aplica </t>
    </r>
    <r>
      <rPr>
        <sz val="10"/>
        <color theme="1"/>
        <rFont val="Open Sans Condensed"/>
      </rPr>
      <t xml:space="preserve">a lo largo y ancho del país. </t>
    </r>
  </si>
  <si>
    <r>
      <t xml:space="preserve">Se basa en la GIRH, toda la legislación se </t>
    </r>
    <r>
      <rPr>
        <b/>
        <sz val="10"/>
        <color theme="1"/>
        <rFont val="Open Sans Condensed"/>
      </rPr>
      <t>cumple</t>
    </r>
    <r>
      <rPr>
        <sz val="10"/>
        <color theme="1"/>
        <rFont val="Open Sans Condensed"/>
      </rPr>
      <t xml:space="preserve"> a lo largo y ancho del país; todas las personas y organizaciones han de rendir cuentas.</t>
    </r>
  </si>
  <si>
    <t>Costa Rica cuenta con un marco legal que tiene como centro la Ley de Aguas, No. 276 de 1942 y que se encuentra ya desactualizada y no responde a la realidad. El avance más importante en este tema es sin duda la reforma constitucional de octubre de 2020, Reforma al Artículo 50 de la Constitución Política para reconocer a toda persona el derecho al acceso al agua potable y el agua como un bien de dominio público. Hay alguna nueva legislación, como la ley 10152 Ley para el desarrollo sostenible de la cuenca del río Sarapiquí y la protección de su cauce principal, de 2022.</t>
  </si>
  <si>
    <t xml:space="preserve">       </t>
  </si>
  <si>
    <t>Actualmente se discute nuevamente en la Asamblea Legislativa el Proyecto de Ley de Gestión Integrada del Recurso Hídrico, Proyecto de ley 23511. Se encuentra actualmente en análisis en la Comisión de Especial de Ambiente, fase previa de ser llevada a discusión del Plenario Legislativo.</t>
  </si>
  <si>
    <t>El Poder Ejecutivo, por su parte ha sido proactivo en generar otra normativa que ha permitido ciertos avances. Como ejemplos recientes se puede mencionar el Decreto Ejecutivo 42128 Reglamento del Canon Ambiental por Vertidos, vigente desde 2020, el Decreto Ejecutivo 43053 MINAE, Reglamento para la perforación de pozos y aprovechamiento de aguas subterráneas, de 2021, el Decreto Ejecutivo 43100-MINAE, Reglamento para la cosecha de lluvia, de 2021 y el Decreto Ejecutivo 43242 Reglamento para la selección de la metodología para el cálculo del caudal ambiental y evaluación del impacto hídrico acumulado, de 2021.</t>
  </si>
  <si>
    <t>Actualmente se encuentra en proceso de actualización el Reglamento a la Ley de Aguas el cual se encuentra en etapa de consulta.</t>
  </si>
  <si>
    <t>Se hace indispensable la aprobación e implementación de una Ley de Gestión Integrada del Recurso Hídrico. En la corriente legislativa se encuentra el expediente 23511, de Ley de Gestión Integral del Recurso Hídrico.  Este se encuentra en análisis en la Comisión de Ambiente de la Asamblea Legislativa, en audiencias con personas expertas.  Terminado ese proceso, la Comisión procede a emitir un Dictamen, para que la iniciativa de Ley pase a votación.</t>
  </si>
  <si>
    <r>
      <t xml:space="preserve">c. Planificación </t>
    </r>
    <r>
      <rPr>
        <sz val="10"/>
        <color rgb="FF000000"/>
        <rFont val="Open Sans Condensed"/>
      </rPr>
      <t>para la gestión integrada de los recursos hídricos (GIRH) en el plano nacional, o semejante.</t>
    </r>
  </si>
  <si>
    <r>
      <t>Se está preparando</t>
    </r>
    <r>
      <rPr>
        <sz val="10"/>
        <color theme="1"/>
        <rFont val="Open Sans Condensed"/>
      </rPr>
      <t>, pero el Gobierno no la ha aprobado todavía.</t>
    </r>
  </si>
  <si>
    <r>
      <t xml:space="preserve">Ha sido </t>
    </r>
    <r>
      <rPr>
        <b/>
        <sz val="10"/>
        <color theme="1"/>
        <rFont val="Open Sans Condensed"/>
      </rPr>
      <t>aprobada</t>
    </r>
    <r>
      <rPr>
        <sz val="10"/>
        <color theme="1"/>
        <rFont val="Open Sans Condensed"/>
      </rPr>
      <t xml:space="preserve"> por el Gobierno y las autoridades han comenzado a ponerla en práctica.</t>
    </r>
  </si>
  <si>
    <r>
      <t xml:space="preserve">La mayor parte de las autoridades competentes </t>
    </r>
    <r>
      <rPr>
        <b/>
        <sz val="10"/>
        <color theme="1"/>
        <rFont val="Open Sans Condensed"/>
      </rPr>
      <t>la ejecuta</t>
    </r>
    <r>
      <rPr>
        <sz val="10"/>
        <color theme="1"/>
        <rFont val="Open Sans Condensed"/>
      </rPr>
      <t>.</t>
    </r>
  </si>
  <si>
    <r>
      <t xml:space="preserve">Los objetivos de los planes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</si>
  <si>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rgb="FF000000"/>
        <rFont val="Open Sans Condensed"/>
      </rPr>
      <t>repasan</t>
    </r>
    <r>
      <rPr>
        <sz val="10"/>
        <color theme="1"/>
        <rFont val="Open Sans Condensed"/>
      </rPr>
      <t xml:space="preserve"> y se </t>
    </r>
    <r>
      <rPr>
        <sz val="10"/>
        <color rgb="FF000000"/>
        <rFont val="Open Sans Condensed"/>
      </rPr>
      <t>ajustan</t>
    </r>
    <r>
      <rPr>
        <sz val="10"/>
        <color theme="1"/>
        <rFont val="Open Sans Condensed"/>
      </rPr>
      <t xml:space="preserve"> con regularidad.</t>
    </r>
  </si>
  <si>
    <t>Aunque existe un marco de política pública robusto, el área de planificación se encuentra desactualizada, principalmente debido a que el Plan Nacional de Gestión    Integrada del Recurso Hídrico es de 2008. Este Plan, en la última evaluación de avance obtuvo un 85% de cumplimiento, por lo que es indispensable una actualización sin la que no es posible avanzar. Ya existe una propuesta de Plan, derivada de la nueva política que se encuentra en proceso de aprobación.  En la misma situación, el Plan Nacional de Monitoreo de la Calidad de los Cuerpos de Agua Superficiales Costa Rica es de 2013.</t>
  </si>
  <si>
    <t>Algunas actualizaciones a nivel de planificación son la Estrategia Nacional de Ríos Limpios, de 2020, el Plan de Acción 2020-2022 de la Política Nacional de Áreas de Protección de Ríos, la Estrategia del SINAC Para la Conservación y Uso Sostenible del Recurso Hídrico 2021-2026 y la Estrategia Nacional de Economía Circular, desarrollada con el liderazgo de la Dirección de Cambio Climático de 2023 y que incluye algunos elementos aplicables.</t>
  </si>
  <si>
    <t>Si bien existen herramientas, se falla en la implementación, que es bastante desintegrada y atomizada.  Un tema crítico actualmente es el financiamiento.</t>
  </si>
  <si>
    <t xml:space="preserve"> Consideraciones relacionadas con el cambio climático</t>
  </si>
  <si>
    <t>El Plan Nacional de Adaptación al Cambio Climático 2022- 2026, incluye el tema hídrico en una sección e indica que en los últimos años aumentaron los racionamientos de agua por la disminución en la capacidad hídrica resultante de la variabilidad climática y que, con inversiones importantes en infraestructura hídrica, los períodos de afectación se podrían reducir hasta un 50% (PEN, 2020).</t>
  </si>
  <si>
    <t xml:space="preserve">Se debe integrar, comunicar en todos los niveles, coordinar y alinear todos los instrumentos de planificación existentes.  Se deben generar e implementar mecanismos efectivos de financiamiento, que permitan planificar y realizar las inversiones necesarias.  Se debe diseñar e implementar un plan de ordenamiento territorial con enfoque de cuenca. </t>
  </si>
  <si>
    <t>Adicionalmente es necesaria le implementación efectiva de los nuevos instrumentos ya aprobados: la Estrategia Nacional de Ríos Limpios, de 2020, el Plan de Acción 2020-2022 de la Política Nacional de Áreas de Protección de Ríos, la Estrategia del SINAC Para la Conservación y Uso Sostenible del Recurso Hídrico 2021-2026, además de los instrumentos relacionados con la política climática mencionados: Plan Nacional de Adaptación 2022-2026 y la Estrategia de Economía circular en los que respecta a la gestión del recurso hídrico.</t>
  </si>
  <si>
    <r>
      <t xml:space="preserve">Todavía </t>
    </r>
    <r>
      <rPr>
        <b/>
        <sz val="10"/>
        <color theme="1"/>
        <rFont val="Open Sans Condensed"/>
      </rPr>
      <t>no ha empezado</t>
    </r>
    <r>
      <rPr>
        <sz val="10"/>
        <color theme="1"/>
        <rFont val="Open Sans Condensed"/>
      </rPr>
      <t xml:space="preserve"> a elaborarse o se ha retrasado en la mayoría de las jurisdicciones subnacionales.</t>
    </r>
  </si>
  <si>
    <r>
      <t>Existe</t>
    </r>
    <r>
      <rPr>
        <sz val="10"/>
        <color theme="1"/>
        <rFont val="Open Sans Condensed"/>
      </rPr>
      <t xml:space="preserve"> en la mayoría de las jurisdicciones, pero no siempre se basa en la GIRH.</t>
    </r>
  </si>
  <si>
    <r>
      <t xml:space="preserve">Se basa en la GIRH, ha sido </t>
    </r>
    <r>
      <rPr>
        <b/>
        <sz val="10"/>
        <color theme="1"/>
        <rFont val="Open Sans Condensed"/>
      </rPr>
      <t>aprobada</t>
    </r>
    <r>
      <rPr>
        <sz val="10"/>
        <color theme="1"/>
        <rFont val="Open Sans Condensed"/>
      </rPr>
      <t xml:space="preserve"> por la mayor parte de las autoridades y se ha empezado a utilizar como orientación para estas labores. </t>
    </r>
  </si>
  <si>
    <r>
      <t xml:space="preserve">Se basa en la GIRH, la mayor parte de las autoridades </t>
    </r>
    <r>
      <rPr>
        <b/>
        <sz val="10"/>
        <color theme="1"/>
        <rFont val="Open Sans Condensed"/>
      </rPr>
      <t>ha logrado</t>
    </r>
    <r>
      <rPr>
        <sz val="10"/>
        <color theme="1"/>
        <rFont val="Open Sans Condensed"/>
      </rPr>
      <t xml:space="preserve"> los objetivos de las políticas de forma sistemática.</t>
    </r>
  </si>
  <si>
    <r>
      <t xml:space="preserve">Se basa en la GIRH, todas las autoridades han logrado los objetivos de forma sistemática;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</si>
  <si>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</si>
  <si>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A nivel subnacional existen las Unidades Hidrológicas, establecidas en la Política Hídrica como dependientes de la Dirección de Agua del Ministerio de Ambiente y Energía (MINAE). El Mecanismo Nacional de Gobernanza del Agua, oficializado por Decreto Ejecutivo N° 41058 – MINAE, de 2018, establece tres instancias: El Foro Nacional, los Foros Regionales y el Grupo de Gobernanza del Agua.</t>
  </si>
  <si>
    <t>Se está en el proceso de elaboración de planes de gestión en cuencas en Térraba, Sarapiqui, Sixaola, se cuenta con un plan en la cuenca del Tárcoles y la región del Pacífico Norte cuenta con un plan de gestión e infraestructura hídrica con enfoque de cuenca. En adición a esto, hay distintas figuras legales, como los CCCI (Consejos Cantonales de Coordinación Interinstitucional), COREDES (Consejos Nacionales de Desarrollo, próximamente por modificarse en AREDES), Consejos Regionales de Desarrollo Rural, CORAC (Consejos Regionales de Áreas de Conservación) que permiten distintos niveles de coordinación, su funcionamiento difiere en cada región o municipio. Algunos Municipios tienen sus políticas ambientales o incluso política hídrica (ej. Cantón de La Unión) pero esto no es generalizado.</t>
  </si>
  <si>
    <t>Como avance, se ha oficializado la obligación de incluir el tema hídrico en la planificación municipal del territorio, pero solamente una minoría de las Municipalidades lo ha incluido, pues los Planes Reguladores en su mayoría no están actualizados.  A partir del Decreto Ejecutivo 42562 Reforma Reglamento de la transición para la revisión y aprobación de Planes Reguladores, de agosto 2020, los planes reguladores que se vayan aprobando incluirán la variable.</t>
  </si>
  <si>
    <r>
      <t>Formas de avanzar</t>
    </r>
    <r>
      <rPr>
        <sz val="10"/>
        <color theme="1"/>
        <rFont val="Open Sans Condensed"/>
      </rPr>
      <t xml:space="preserve">: </t>
    </r>
  </si>
  <si>
    <t>En este tema se requiere mucho trabajo, en especial para estimular la consideración de la variable hídrica en los Planes Reguladores Municipales.</t>
  </si>
  <si>
    <t>La capacitación en GIRH de las instancias subnacionales mencionadas también es necesaria.</t>
  </si>
  <si>
    <r>
      <t xml:space="preserve">Todavía </t>
    </r>
    <r>
      <rPr>
        <b/>
        <sz val="10"/>
        <color theme="1"/>
        <rFont val="Open Sans Condensed"/>
      </rPr>
      <t xml:space="preserve">no han empezado </t>
    </r>
    <r>
      <rPr>
        <sz val="10"/>
        <color theme="1"/>
        <rFont val="Open Sans Condensed"/>
      </rPr>
      <t xml:space="preserve">a elaborarse o se han retrasado en la mayoría de los acuíferos o cuencas de importancia nacional. </t>
    </r>
  </si>
  <si>
    <r>
      <t>Se están preparando</t>
    </r>
    <r>
      <rPr>
        <sz val="10"/>
        <color theme="1"/>
        <rFont val="Open Sans Condensed"/>
      </rPr>
      <t xml:space="preserve"> para la mayor parte de los acuíferos o cuencas.</t>
    </r>
  </si>
  <si>
    <r>
      <t>Se han aprobado</t>
    </r>
    <r>
      <rPr>
        <sz val="10"/>
        <color theme="1"/>
        <rFont val="Open Sans Condensed"/>
      </rPr>
      <t xml:space="preserve"> para la mayor parte de los acuíferos o cuencas y las autoridades los están empezando a utilizar.</t>
    </r>
  </si>
  <si>
    <r>
      <t xml:space="preserve">Se </t>
    </r>
    <r>
      <rPr>
        <b/>
        <sz val="10"/>
        <color theme="1"/>
        <rFont val="Open Sans Condensed"/>
      </rPr>
      <t>ejecutan</t>
    </r>
    <r>
      <rPr>
        <sz val="10"/>
        <color theme="1"/>
        <rFont val="Open Sans Condensed"/>
      </rPr>
      <t xml:space="preserve"> en la mayoría de los acuíferos o cuencas.</t>
    </r>
  </si>
  <si>
    <r>
      <t xml:space="preserve">Se </t>
    </r>
    <r>
      <rPr>
        <b/>
        <sz val="10"/>
        <color theme="1"/>
        <rFont val="Open Sans Condensed"/>
      </rPr>
      <t>han logrado</t>
    </r>
    <r>
      <rPr>
        <sz val="10"/>
        <color theme="1"/>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</si>
  <si>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</si>
  <si>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</si>
  <si>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t>En el nivel de las cuencas se cuenta con instrumentos pero que son aplicables a una minoría de las cuencas, ejemplos: Comisión de Manejo y Ordenamiento de la Cuenca del Río Reventazón (COMCURE), la cual fue creada con una Ley específica en el año 2000 y Comisión para el manejo de la cuenca del río Grande de Tárcoles, Comisión para el manejo integral del acuífero Nimboyores y acuíferos costeros de Santa Cruz (CONIMBOCO), Comisión para la gestión del acuífero de Sardinal.</t>
  </si>
  <si>
    <t>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t>
  </si>
  <si>
    <t>El Mecanismo Nacional de Gobernanza del Agua Decreto Ejecutivo N° 41058 – MINAE, establece tres instancias: El Foro Nacional, los Foros Regionales y el Grupo de Gobernanza del Agua.</t>
  </si>
  <si>
    <r>
      <t>Formas de avanzar</t>
    </r>
    <r>
      <rPr>
        <sz val="10"/>
        <color theme="1"/>
        <rFont val="Open Sans Condensed"/>
      </rPr>
      <t>: Continuar generando planes de cuenca. Por las restricciones presupuestarías se requiere de convenios con la Academia.</t>
    </r>
  </si>
  <si>
    <t xml:space="preserve">Fortalecer el Mecanismo Nacional de Gobernanza del Agua. </t>
  </si>
  <si>
    <r>
      <t xml:space="preserve">Todavía </t>
    </r>
    <r>
      <rPr>
        <b/>
        <sz val="10"/>
        <color theme="1"/>
        <rFont val="Open Sans Condensed"/>
      </rPr>
      <t>no han empezado</t>
    </r>
    <r>
      <rPr>
        <sz val="10"/>
        <color theme="1"/>
        <rFont val="Open Sans Condensed"/>
      </rPr>
      <t xml:space="preserve"> a formularse o están estancados.</t>
    </r>
  </si>
  <si>
    <r>
      <t xml:space="preserve">Están en fase de </t>
    </r>
    <r>
      <rPr>
        <b/>
        <sz val="10"/>
        <color theme="1"/>
        <rFont val="Open Sans Condensed"/>
      </rPr>
      <t>preparación</t>
    </r>
    <r>
      <rPr>
        <sz val="10"/>
        <color theme="1"/>
        <rFont val="Open Sans Condensed"/>
      </rPr>
      <t xml:space="preserve"> o negociación. </t>
    </r>
  </si>
  <si>
    <r>
      <t xml:space="preserve">Se han </t>
    </r>
    <r>
      <rPr>
        <b/>
        <sz val="10"/>
        <color theme="1"/>
        <rFont val="Open Sans Condensed"/>
      </rPr>
      <t>adoptado</t>
    </r>
    <r>
      <rPr>
        <sz val="10"/>
        <color theme="1"/>
        <rFont val="Open Sans Condensed"/>
      </rPr>
      <t xml:space="preserve"> acuerdos.</t>
    </r>
  </si>
  <si>
    <r>
      <t xml:space="preserve">Las disposiciones de los acuerdos se </t>
    </r>
    <r>
      <rPr>
        <b/>
        <sz val="10"/>
        <color theme="1"/>
        <rFont val="Open Sans Condensed"/>
      </rPr>
      <t>aplican en parte</t>
    </r>
    <r>
      <rPr>
        <sz val="10"/>
        <color theme="1"/>
        <rFont val="Open Sans Condensed"/>
      </rPr>
      <t xml:space="preserve">. </t>
    </r>
  </si>
  <si>
    <r>
      <t xml:space="preserve">Las disposiciones de los acuerdos se </t>
    </r>
    <r>
      <rPr>
        <b/>
        <sz val="10"/>
        <color theme="1"/>
        <rFont val="Open Sans Condensed"/>
      </rPr>
      <t>aplican en su mayor parte</t>
    </r>
    <r>
      <rPr>
        <sz val="10"/>
        <color theme="1"/>
        <rFont val="Open Sans Condensed"/>
      </rPr>
      <t xml:space="preserve">. </t>
    </r>
  </si>
  <si>
    <r>
      <t xml:space="preserve">Las disposiciones de los acuerdos se </t>
    </r>
    <r>
      <rPr>
        <b/>
        <sz val="10"/>
        <color theme="1"/>
        <rFont val="Open Sans Condensed"/>
      </rPr>
      <t>aplican plenamente</t>
    </r>
    <r>
      <rPr>
        <sz val="10"/>
        <color theme="1"/>
        <rFont val="Open Sans Condensed"/>
      </rPr>
      <t>.</t>
    </r>
  </si>
  <si>
    <t xml:space="preserve">  Existe el Convenio Fronterizo Costa Rica Costa Rica- Panamá, que crea la Comisión Binacional de la Cuenca del Río Sixaola.  Este mecanismo se amplió permitiendo la incorporación de la Dirección de Agua como miembro permanente, con el fin de potenciar la GIRH en la cuenca binacional. </t>
  </si>
  <si>
    <t xml:space="preserve"> En la cuenca transfronteriza del Río San Juan, en la frontera Costa Rica-Nicaragua, no hay mecanismos operativos de coordinación.</t>
  </si>
  <si>
    <t xml:space="preserve">Consolidar acciones en la cuenca binacional Sixaola enfocadas en GIRH, como el desarrollo de conocimiento del acuífero binacional y acciones de conservación y uso sostenible de los recursos hídricos. </t>
  </si>
  <si>
    <t>Es necesaria una  evaluación continua de la posibilidad real de retomar algunas acciones necesarias en la cuenca binacional del Río San Juan.</t>
  </si>
  <si>
    <r>
      <t>d. Normativa subnacional</t>
    </r>
    <r>
      <rPr>
        <vertAlign val="superscript"/>
        <sz val="10"/>
        <color rgb="FF000000"/>
        <rFont val="Open Sans Condensed"/>
      </rPr>
      <t>[4]</t>
    </r>
    <r>
      <rPr>
        <sz val="10"/>
        <color rgb="FF000000"/>
        <rFont val="Open Sans Condensed"/>
      </rPr>
      <t xml:space="preserve"> sobre recursos hídricos (leyes, decretos, ordenanzas y equivalentes)</t>
    </r>
    <r>
      <rPr>
        <vertAlign val="superscript"/>
        <sz val="10"/>
        <color rgb="FF000000"/>
        <rFont val="Open Sans Condensed"/>
      </rPr>
      <t>[5]</t>
    </r>
    <r>
      <rPr>
        <sz val="10"/>
        <color rgb="FF000000"/>
        <rFont val="Open Sans Condensed"/>
      </rPr>
      <t>.</t>
    </r>
  </si>
  <si>
    <r>
      <t>Existe</t>
    </r>
    <r>
      <rPr>
        <sz val="10"/>
        <color theme="1"/>
        <rFont val="Open Sans Condensed"/>
      </rPr>
      <t xml:space="preserve"> en la mayoría de las jurisdicciones, pero no siempre se basa en la GIRH.</t>
    </r>
    <r>
      <rPr>
        <b/>
        <sz val="10"/>
        <color theme="1"/>
        <rFont val="Open Sans Condensed"/>
      </rPr>
      <t xml:space="preserve"> </t>
    </r>
  </si>
  <si>
    <r>
      <t xml:space="preserve">Se basa en la GIRH, se ha </t>
    </r>
    <r>
      <rPr>
        <b/>
        <sz val="10"/>
        <color theme="1"/>
        <rFont val="Open Sans Condensed"/>
      </rPr>
      <t>aprobado</t>
    </r>
    <r>
      <rPr>
        <sz val="10"/>
        <color theme="1"/>
        <rFont val="Open Sans Condensed"/>
      </rPr>
      <t xml:space="preserve"> en la mayoría de las jurisdicciones y las autoridades han empezado a aplicarla en algunas de ellas.</t>
    </r>
  </si>
  <si>
    <r>
      <t xml:space="preserve">Se basa en la GIRH, </t>
    </r>
    <r>
      <rPr>
        <b/>
        <sz val="10"/>
        <color theme="1"/>
        <rFont val="Open Sans Condensed"/>
      </rPr>
      <t>algunas</t>
    </r>
    <r>
      <rPr>
        <sz val="10"/>
        <color theme="1"/>
        <rFont val="Open Sans Condensed"/>
      </rPr>
      <t xml:space="preserve"> normativas </t>
    </r>
    <r>
      <rPr>
        <b/>
        <sz val="10"/>
        <color theme="1"/>
        <rFont val="Open Sans Condensed"/>
      </rPr>
      <t>se aplican</t>
    </r>
    <r>
      <rPr>
        <sz val="10"/>
        <color theme="1"/>
        <rFont val="Open Sans Condensed"/>
      </rPr>
      <t xml:space="preserve"> en la mayoría de las jurisdicciones.</t>
    </r>
  </si>
  <si>
    <r>
      <t xml:space="preserve">Se basa en la GIRH, </t>
    </r>
    <r>
      <rPr>
        <b/>
        <sz val="10"/>
        <color theme="1"/>
        <rFont val="Open Sans Condensed"/>
      </rPr>
      <t>todas</t>
    </r>
    <r>
      <rPr>
        <sz val="10"/>
        <color theme="1"/>
        <rFont val="Open Sans Condensed"/>
      </rPr>
      <t xml:space="preserve"> las normativas </t>
    </r>
    <r>
      <rPr>
        <b/>
        <sz val="10"/>
        <color theme="1"/>
        <rFont val="Open Sans Condensed"/>
      </rPr>
      <t>se aplican</t>
    </r>
    <r>
      <rPr>
        <sz val="10"/>
        <color theme="1"/>
        <rFont val="Open Sans Condensed"/>
      </rPr>
      <t xml:space="preserve"> en la mayoría de las jurisdicciones.</t>
    </r>
  </si>
  <si>
    <r>
      <t xml:space="preserve">Se basa en la GIRH, todas las normativas se aplican y se </t>
    </r>
    <r>
      <rPr>
        <b/>
        <sz val="10"/>
        <color theme="1"/>
        <rFont val="Open Sans Condensed"/>
      </rPr>
      <t>cumplen</t>
    </r>
    <r>
      <rPr>
        <sz val="10"/>
        <color theme="1"/>
        <rFont val="Open Sans Condensed"/>
      </rPr>
      <t xml:space="preserve"> en todas las jurisdicciones; todas las personas y organizaciones han de rendir cuentas.</t>
    </r>
  </si>
  <si>
    <t>Mediante la reforma al Reglamento de la transición para la revisión y aprobación de Planes Reguladores N° 42562-MINAE-MAG-TUR-PLAN-MIVAH (2020), se ha transformado en obligación la incorporación de la variable hídrica en los Planes Reguladores.  Esto provocará un gran avance futuro, sin embargo, en el país las actualizaciones de los Planes Reguladores son lentas y existen municipalidades que no emiten dichos instrumentos de planificación. Algunas han incluido ya la variable climática en sus procesos de planificación, pero son también una minoría.  Entonces, hay norma habilitante pero no se ha aplicado.</t>
  </si>
  <si>
    <t xml:space="preserve">Formas de avanzar </t>
  </si>
  <si>
    <t>Incluir la variable hídrica, con enfoque de cuenca y contemplando la variable climática en las políticas y planes municipales.  Particularmente, en los Planes Reguladores, que tienen un valor legal robusto. Para ellos se requiere también un proceso de concientización y capacitación a nivel municipal.</t>
  </si>
  <si>
    <t>Otro paso importante debe ser el garantizar el acceso a la información por parte de la ciudadanía, pero también a nivel interinstitucional y difundir la información existente.</t>
  </si>
  <si>
    <t>[1] El término «subnacional» engloba jurisdicciones que no tienen carácter nacional, como los estados, las provincias, las prefecturas, los condados, los municipios, las regiones o los departamentos. Para contestar a la pregunta en los casos en los que no haya políticas subnacionales explícitas, piense en cómo se aplican las políticas nacionales en los planos subnacionales. Las respuestas han de tener en cuenta los niveles más elevados del ámbito no nacional según corresponda al contexto del país. Explique en el apartado de «Situación y avances» qué niveles se reflejan en la contestación.</t>
  </si>
  <si>
    <t>[2] En el nivel de las cuencas o acuíferos, incluya únicamente las cuencas hidrográficas y lacustres y los acuíferos más destacados en cuanto al suministro de agua u otros motivos. Esta pregunta solo concierne a estos acuíferos o cuencas.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1.2c trata expresamente los acuerdos transfronterizos en los casos de cuencas y acuíferos que se extienden por varios países.</t>
  </si>
  <si>
    <t xml:space="preserve">[3] En el anexo A encontrará la definición de «transfronterizo». Todas las respuestas sobre el nivel transfronterizo deben reflejar la situación en los acuíferos y cuencas transfronterizos «más importantes», que deben enumerarse en el apartado de «Situación y avances». Un «acuerdo» ha de ser un compromiso formal al que también se puede denominar acuerdo bilateral o multilateral, tratado, convención, protocolo, declaración conjunta, memorando de entendimiento u otro tipo de acuerdo entre países ribereños para gestionar un acuífero o cuenca transfronterizos. Los acuerdos pueden ser interestatales, intergubernamentales, interministeriales, interinstitucionales o entre autoridades regionales. También pueden concertarse entre entidades subnacionales. </t>
  </si>
  <si>
    <t>[4] El término «subnacional» engloba jurisdicciones que no tienen carácter nacional, como los estados, las provincias, las prefecturas, los condados, los municipios, las regiones o los departamentos. Para contestar a la pregunta en los casos en los que no haya normativas subnacionales explícitas, piense en cómo se aplican las normativas nacionales en los planos subnacionales. Las respuestas han de tener en cuenta los niveles más elevados del ámbito no nacional según corresponda al contexto del país. Explique en el apartado de «Situación y avances» qué niveles se reflejan en la contestación.</t>
  </si>
  <si>
    <t>[5] Esta pregunta sustituye a la pregunta 1.2d de la encuesta de referencia, que concernía solo a los países federales.</t>
  </si>
  <si>
    <r>
      <t>2</t>
    </r>
    <r>
      <rPr>
        <b/>
        <sz val="10"/>
        <color rgb="FF000000"/>
        <rFont val="Open Sans Condensed"/>
      </rPr>
      <t>. Instituciones y participación</t>
    </r>
  </si>
  <si>
    <t xml:space="preserve">a. Autoridades administrativas nacionales[1] que abanderan la implementación de la GIRH. </t>
  </si>
  <si>
    <r>
      <t>No hay</t>
    </r>
    <r>
      <rPr>
        <sz val="10"/>
        <color theme="1"/>
        <rFont val="Open Sans Condensed"/>
      </rPr>
      <t xml:space="preserve"> ninguna autoridad administrativa que se encargue de la gestión de los recursos hídricos.</t>
    </r>
  </si>
  <si>
    <r>
      <t>Hay</t>
    </r>
    <r>
      <rPr>
        <sz val="10"/>
        <color theme="1"/>
        <rFont val="Open Sans Condensed"/>
      </rPr>
      <t xml:space="preserve"> autoridades administrativas con un mandato explícito para dirigir la gestión de los recursos hídricos. </t>
    </r>
  </si>
  <si>
    <t>Las autoridades administrativas tienen funciones y responsabilidades explícitas para coordinar la implementación de la GIRH y la capacidad[2] para orientar la formulación de un plan para la GIRH.</t>
  </si>
  <si>
    <r>
      <t xml:space="preserve">Las autoridades tienen la capacidad de conducir la </t>
    </r>
    <r>
      <rPr>
        <b/>
        <sz val="10"/>
        <color theme="1"/>
        <rFont val="Open Sans Condensed"/>
      </rPr>
      <t>ejecución</t>
    </r>
    <r>
      <rPr>
        <sz val="10"/>
        <color theme="1"/>
        <rFont val="Open Sans Condensed"/>
      </rPr>
      <t xml:space="preserve"> de los planes de la GIRH de forma eficaz.</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</si>
  <si>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</si>
  <si>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tienen la capacidad de </t>
    </r>
    <r>
      <rPr>
        <b/>
        <sz val="10"/>
        <color theme="1"/>
        <rFont val="Open Sans Condensed"/>
      </rPr>
      <t>ajustar</t>
    </r>
    <r>
      <rPr>
        <sz val="10"/>
        <color theme="1"/>
        <rFont val="Open Sans Condensed"/>
      </rPr>
      <t xml:space="preserve"> los planes de la GIRH de forma eficaz y periódica.</t>
    </r>
  </si>
  <si>
    <t>De manera general, las competencias y legislación tienen la características de su dispersión, asignándose funciones relacionadas la recurso hídrico al MINAE (Ministerio de Ambiente y Energía), al MAG (Ministerio de Agricultura y Ganadería) en particular al  SENARA (Servicio Nacional de Riego y Avenamiento), AyA (Instituto de Acueductos y Alcantarillados) y otros operadores de agua potable y saneamiento; al Ministerio de Salud y a MIDEPLAN (Ministerio de Planificación) entre otras instituciones.</t>
  </si>
  <si>
    <t>En suma, el país tiene las capacidades para la GIRH pero el mandato y las capacidades se encuentran en diferentes instituciones formando un entramado institucional. Las instituciones cuentan con recurso humano, operativo, mandato legal y presupuestos. Este último tema es el más comprometido, repercutiendo en la capacidad operativa. La actual Política Hídrica Nacional y la actualización que se gesta, fortalece la rectoría en manos del MINAE (Dirección de Agua) y el subsector hídrico, como parte del entramado institucional encargado de ejercer la GIRH.
Las instituciones cuentan con políticas y unidades de planificación que contribuyen a la GIRH, sin embargo los factores limitantes de presupuesto y coordinación impactan la ejecución. Existe la institucionalidad y el potencial para una adecuada implementación de la GIRH, sin embargo, esto no se ha logrado debido a la falta de una rectoría efectiva del sector hídrico. Por el momento existen rectorías multisectoriales y multiusos lo que complica la coordinación interinstitucional.</t>
  </si>
  <si>
    <t>Fortalecer la articulación, la coordinación y la gestión de las instituciones encargadas del manejo de suelos en la GIRH en Costa Rica con las políticas GIRH para efectos de potenciar el desarrollo sostenible. Este debe ser un eje central de la política agroambiental del país.</t>
  </si>
  <si>
    <t>Consolidación de la Dirección de Agua como ente rector del recurso hídrico mediante la creación del subsector hídrico. En esto será muy importante la aprobación del Proyecto de Ley de Gestión Integral del Recurso Hídrico.</t>
  </si>
  <si>
    <t>Completar el proceso de aprobación de la Política Hídrica, que contiene elementos integradores que permitirán un avance en el tema institucional.</t>
  </si>
  <si>
    <t>Simplificación del trámite de Tarifa de Protección del Recurso Hídrico, en particular para las ASADAS.</t>
  </si>
  <si>
    <t>b. Coordinación entre autoridades administrativas nacionales que representan a distintos sectores[3] en materia de recursos hídricos políticas, planificación y gestión.</t>
  </si>
  <si>
    <r>
      <t>No hay intercambio de información</t>
    </r>
    <r>
      <rPr>
        <sz val="10"/>
        <color theme="1"/>
        <rFont val="Open Sans Condensed"/>
      </rPr>
      <t xml:space="preserve"> sobre recursos hídricos, políticas, planificación y gestión entre los distintos sectores del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</si>
  <si>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entre distintos sectores.</t>
    </r>
  </si>
  <si>
    <r>
      <t xml:space="preserve">Comunicación: Se difunde </t>
    </r>
    <r>
      <rPr>
        <sz val="10"/>
        <color theme="1"/>
        <rFont val="Open Sans Condensed"/>
      </rPr>
      <t>información, experiencias y opiniones sobre recursos hídricos, políticas, planificación y gestión entre múltiples sectores.</t>
    </r>
  </si>
  <si>
    <r>
      <t xml:space="preserve">Consultas: </t>
    </r>
    <r>
      <rPr>
        <sz val="10"/>
        <color theme="1"/>
        <rFont val="Open Sans Condensed"/>
      </rPr>
      <t xml:space="preserve">Distintos sectores tienen ocasión de </t>
    </r>
    <r>
      <rPr>
        <b/>
        <sz val="10"/>
        <color theme="1"/>
        <rFont val="Open Sans Condensed"/>
      </rPr>
      <t>participar</t>
    </r>
    <r>
      <rPr>
        <sz val="10"/>
        <color theme="1"/>
        <rFont val="Open Sans Condensed"/>
      </rPr>
      <t xml:space="preserve"> en los procesos relacionados con los recursos hídricos, las políticas, la planificación y la gestión.</t>
    </r>
  </si>
  <si>
    <r>
      <t xml:space="preserve">Cooperación: </t>
    </r>
    <r>
      <rPr>
        <sz val="10"/>
        <color theme="1"/>
        <rFont val="Open Sans Condensed"/>
      </rPr>
      <t xml:space="preserve">Existen </t>
    </r>
    <r>
      <rPr>
        <b/>
        <sz val="10"/>
        <color theme="1"/>
        <rFont val="Open Sans Condensed"/>
      </rPr>
      <t>acuerdos</t>
    </r>
    <r>
      <rPr>
        <sz val="10"/>
        <color theme="1"/>
        <rFont val="Open Sans Condensed"/>
      </rPr>
      <t xml:space="preserve"> formales entre varios sectores gubernamentales destinados a llegar a un consenso sobre decisiones colectivas que afectan a cuestiones y actividades importantes relativas a la planificación y la gestión de los recursos hídricos. </t>
    </r>
  </si>
  <si>
    <t xml:space="preserve">Codecisión y coproducción: </t>
  </si>
  <si>
    <t>Distintos sectores comparten la labor de coordinación de las políticas, la planificación y las actividades de gestión por medio de procesos y competencias acordados conjuntamente.</t>
  </si>
  <si>
    <t>Se han actualizado y fortalecido los mecanismos de coordinación interinstitucionales a partir de los Decretos Ejecutivos N°42015-MAG-MINAE-S-MIVAH (2019), Reglamento de coordinación interinstitucional para la protección de los recursos hídricos subterráneos y del Reglamento de la Comisión Técnica Interinstitucional para la Gestión del Agua Subterránea DE-42929.MINAE-MAG, de 2021.</t>
  </si>
  <si>
    <t>Se actualizó el decreto (DE-43419-MINAE) “Creación de la Comisión para el manejo integrado del acuífero Nimboyores y acuíferos costeros de Santa Cruz, Guanacaste (CONIMBOCO)” en 2022.</t>
  </si>
  <si>
    <t>Desarrollo de política pública con enfoque participativo basados en el Mecanismo Nacional de Gobernanza del Agua (10 talleres regionales, 2 nacionales, talleres con sectores como Municipal). Este mecanismo es el espacio participativo oficializado más específico en relación con la temática de GIRH.</t>
  </si>
  <si>
    <t>Existen además acuerdos intermunicipales, Comisión de Rio Torres, María Aguilar, Comisión de la Cuenca del Tárcoles, Comisión de Sarapiquí, Comisión Binacional de Sixaola, los Comités de Manejo, Conservación y Recuperación de Suelos: por ejemplo, los de Jesús María y Coto Colorado.</t>
  </si>
  <si>
    <t>Consideraciones relacionadas con el cambio climático</t>
  </si>
  <si>
    <t xml:space="preserve">            Se necesita una mayor integración de la variable climática de manera trasversal en los espacios de coordinación y participación existentes.</t>
  </si>
  <si>
    <t>Hacer accesible la información existente mejorando, agregando más información y haciendo más accesibles los sistemas de consulta.</t>
  </si>
  <si>
    <t>Es necesario trabajar en la incorporación transversal de los temas climáticos en los espacios existentes.  Esto implicará la coordinación entre las instituciones del sector hídrico y la Dirección de Cambio Climático de MINAE.</t>
  </si>
  <si>
    <t>[1] Las «autoridades administrativas» pueden ser un ministerio o varios, así como otras organizaciones, instituciones, organismos u órganos que cuenten con el mandato y la financiación del Gobierno.</t>
  </si>
  <si>
    <t>[2] En este contexto, la «capacidad» significa que las autoridades responsables han de contar con los conocimientos y las competencias técnicas necesarios —como la planificación, la elaboración de normas, la gestión de proyectos, las finanzas, la presupuestación, la recopilación y el seguimiento de datos, y la gestión y la evaluación de riesgos y conflictos—. Además de la capacidad técnica, las autoridades también deben tener una capacidad financiera que realmente les permita dirigir la realización de estas actividades.</t>
  </si>
  <si>
    <t>[3] Comprende la coordinación entre las autoridades administrativas sobre las que recae la responsabilidad de la gestión hídrica y las que están a cargo de otros sectores (como la agricultura, la acuicultura, la energía, el clima, el suministro de agua y el saneamiento, el turismo, el uso municipal del agua, la minería y la industria, el medio ambiente, etc.) que dependen del agua o que repercuten en ella (incluidas consideraciones sobre aguas superficiales y subterráneas).</t>
  </si>
  <si>
    <t>c. Participación de la esfera pública[1] en los recursos hídricos las políticas, la planificación y la gestión en el plano nacional.</t>
  </si>
  <si>
    <r>
      <t>No hay intercambio de información</t>
    </r>
    <r>
      <rPr>
        <sz val="10"/>
        <color theme="1"/>
        <rFont val="Open Sans Condensed"/>
      </rPr>
      <t xml:space="preserve"> sobre políticas, planificación y gestión de los recursos hídricos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</si>
  <si>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t>
    </r>
  </si>
  <si>
    <t xml:space="preserve">Comunicación: </t>
  </si>
  <si>
    <t xml:space="preserve">Consultas: </t>
  </si>
  <si>
    <t xml:space="preserve">Cooperación: </t>
  </si>
  <si>
    <r>
      <t xml:space="preserve">Representación: </t>
    </r>
    <r>
      <rPr>
        <sz val="10"/>
        <color theme="1"/>
        <rFont val="Open Sans Condensed"/>
      </rPr>
      <t>Representación formal de la esfera pública en los procesos gubernamentales y contribución a la toma de decisiones sobre cuestiones y actividades importantes relativas a los recursos hídricos.</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</si>
  <si>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 en lo relativo a las políticas, la planificación y la gestión de los recursos hídricos.</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</si>
  <si>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en lo relativo a las políticas, la planificación y la gestión de los recursos hídricos.</t>
    </r>
  </si>
  <si>
    <t xml:space="preserve">Se han establecido mecanismos[2] que faciliten la participación de la esfera pública en los procesos de interés sobre políticas, planificación y gestión de los recursos hídricos, y se usan habitualmente. </t>
  </si>
  <si>
    <t>Existe el Mecanismo Nacional de Gobernanza del Agua, que constituye un espacio de coordinación y planificación fundamental con participación tanto de la esfera pública como la privada y que ha permitido avanzar de una participación consultiva a una participación más vinculante.  Existen plataformas como los Corredores biológicos que son una estrategia de conservación, liderada por el SINAC (Sistema Nacional de Áreas de Conservación, MINAE) que permiten integrar actores y elementos de gestión. Asimismo, es importante mencionar programa de bandera azul que es un mecanismo voluntario de implementación de medidas</t>
  </si>
  <si>
    <t>Como avance también se puede mencionar el Acuerdo de trabajo conjunto Dirección de Agua- Alianza Nacional Ríos y Cuencas de Costa Rica (ANCRCCR).  La Alianza estimula la formación de Observatorios Ciudadanos del Agua, enfocados en el cuidado de los ríos y los Centros de sostenibilidad de acueductos comunales como estrategia para fortalecimiento del sector (actualmente 6 centros operan en el país)</t>
  </si>
  <si>
    <t>Creación y consolidación de Federaciones Ligas y Uniones de ASADAS. Ejemplo reciente es la constitución oficial de la Federación Abangares, Cañas, Bagaces y Tilarán.</t>
  </si>
  <si>
    <t>Se requiere fortalecer la participación multisectorial y representativa, para lo cual se debe evaluar el Mecanismo Nacional de Gobernanza del Agua, de manera tal que se amplíe y aumente su impacto dentro de la GIRH.  Asimismo, se debe considerar la paridad en la participación en dicho mecanismo. El mecanismo de gobernanza representa una vía adecuada y participativa de asumir la gestión hídrica y es necesario destinar recursos a su implementación y seguimiento.</t>
  </si>
  <si>
    <t>Las acciones de capacitación en materia de GIRH para los mecanismos de participación de los Corredores Biológicos, en particular en los corredores asociados a ríos urbanos tales como el Corredor Biológico Río Torres y el del Río María Aguilar pueden tener también un impacto importante.</t>
  </si>
  <si>
    <t>Estimular la formación de federaciones ligas y uniones de ASADAS en los sectores en donde todavía no existen.</t>
  </si>
  <si>
    <t>d. Participación del sector privado[3] en el desarrollo, la gestión y el uso de los recursos hídricos.</t>
  </si>
  <si>
    <r>
      <t>No hay intercambio de información</t>
    </r>
    <r>
      <rPr>
        <sz val="10"/>
        <color theme="1"/>
        <rFont val="Open Sans Condensed"/>
      </rPr>
      <t xml:space="preserve"> sobre el desarrollo, la gestión y el uso de recursos hídricos entre el Gobierno y el sector privado.</t>
    </r>
  </si>
  <si>
    <r>
      <t>Se transmite</t>
    </r>
    <r>
      <rPr>
        <b/>
        <sz val="10"/>
        <color theme="1"/>
        <rFont val="Open Sans Condensed"/>
      </rPr>
      <t xml:space="preserve"> información</t>
    </r>
    <r>
      <rPr>
        <sz val="10"/>
        <color theme="1"/>
        <rFont val="Open Sans Condensed"/>
      </rPr>
      <t xml:space="preserve"> sobre el desarrollo, la gestión y el uso de recursos hídricos entre el Gobierno y el sector privado.</t>
    </r>
  </si>
  <si>
    <r>
      <t xml:space="preserve">Hay vías de </t>
    </r>
    <r>
      <rPr>
        <b/>
        <sz val="10"/>
        <color theme="1"/>
        <rFont val="Open Sans Condensed"/>
      </rPr>
      <t xml:space="preserve">comunicación </t>
    </r>
    <r>
      <rPr>
        <sz val="10"/>
        <color theme="1"/>
        <rFont val="Open Sans Condensed"/>
      </rPr>
      <t>sobre el desarrollo, la gestión y el uso de recursos hídricos entre el Gobierno y el sector privado.</t>
    </r>
  </si>
  <si>
    <r>
      <t xml:space="preserve">Consultas: </t>
    </r>
    <r>
      <rPr>
        <sz val="10"/>
        <color theme="1"/>
        <rFont val="Open Sans Condensed"/>
      </rPr>
      <t>Las autoridades administrativas involucran con frecuencia al sector privado en las actividades de desarrollo, gestión y uso de los recursos hídricos.</t>
    </r>
  </si>
  <si>
    <t xml:space="preserve">Cooperación: Se han establecido mecanismos[4] que se usan habitualmente y se basan en la rendición de cuentas y la transparencia de la participación del sector privado y las alianzas forjadas con este. </t>
  </si>
  <si>
    <t>Representación: Se ha concertado la intervención eficaz del sector privado en el desarrollo, la gestión y el uso de los recursos hídricos de un modo transparente y con mecanismos de rendición de cuentas[5] adecuados.</t>
  </si>
  <si>
    <t xml:space="preserve">Mecanismo Nacional de Gobernanza del Agua Decreto Ejecutivo N° 41058 – MINAE, establece tres instancias: El Foro Nacional, los Foros Regionales y el Grupo de Gobernanza del Agua (2018). </t>
  </si>
  <si>
    <t xml:space="preserve">La participación del sector privado se suscribe de manera primordial en asuntos asociados directamente con la continuidad de sus servicios y negocios, por </t>
  </si>
  <si>
    <t>ende, la participación es evidente en consultas específicas que son de su interés como es la revisión de las normas relativas al canon ambiental por vertidos y el canon de aprovechamiento del agua o bien en comités técnicos particulares o en sociedades constituidas para temas de riego, que se denominan Sociedades de Usuarios, contempladas en la Ley de Aguas actual.</t>
  </si>
  <si>
    <t>Existen iniciativas como las Asociaciones de Usuarios del Agua en la que la participación del sector privado es muy activa, principalmente a nivel local.</t>
  </si>
  <si>
    <t xml:space="preserve">        Definir cuotas y representatividad en la actualización del Mecanismo Nacional de Gobernanza del Agua de manera que se facilite la participación del sector privado.</t>
  </si>
  <si>
    <t xml:space="preserve">       Ejecutar acciones de divulgación sobre la GIRH, para las sociedades de Usuarios, que son figuras jurídicas que agrupan usuarios del agua para efectos de riego.</t>
  </si>
  <si>
    <t>e. Desarrollo de la capacidad en materia de GIRH[6].</t>
  </si>
  <si>
    <r>
      <t>No</t>
    </r>
    <r>
      <rPr>
        <sz val="10"/>
        <color theme="1"/>
        <rFont val="Open Sans Condensed"/>
      </rPr>
      <t xml:space="preserve"> hay desarrollo de la capacidad en cuanto a la gestión de recursos hídricos en concreto. </t>
    </r>
  </si>
  <si>
    <r>
      <t xml:space="preserve">La capacidad de gestión de los recursos hídricos se desarrolla de manera </t>
    </r>
    <r>
      <rPr>
        <b/>
        <sz val="10"/>
        <color theme="1"/>
        <rFont val="Open Sans Condensed"/>
      </rPr>
      <t>esporádica</t>
    </r>
    <r>
      <rPr>
        <sz val="10"/>
        <color theme="1"/>
        <rFont val="Open Sans Condensed"/>
      </rPr>
      <t xml:space="preserve"> y, por lo general, solo mediante actividades </t>
    </r>
    <r>
      <rPr>
        <b/>
        <sz val="10"/>
        <color theme="1"/>
        <rFont val="Open Sans Condensed"/>
      </rPr>
      <t>a corto plazo</t>
    </r>
    <r>
      <rPr>
        <sz val="10"/>
        <color theme="1"/>
        <rFont val="Open Sans Condensed"/>
      </rPr>
      <t xml:space="preserve"> o puntuales.</t>
    </r>
  </si>
  <si>
    <r>
      <t xml:space="preserve">Se ponen en marcha </t>
    </r>
    <r>
      <rPr>
        <b/>
        <sz val="10"/>
        <color theme="1"/>
        <rFont val="Open Sans Condensed"/>
      </rPr>
      <t>algunas</t>
    </r>
    <r>
      <rPr>
        <sz val="10"/>
        <color theme="1"/>
        <rFont val="Open Sans Condensed"/>
      </rPr>
      <t xml:space="preserve"> iniciativas de desarrollo de la capacidad en materia de GIRH </t>
    </r>
    <r>
      <rPr>
        <b/>
        <sz val="10"/>
        <color theme="1"/>
        <rFont val="Open Sans Condensed"/>
      </rPr>
      <t>a largo plazo</t>
    </r>
    <r>
      <rPr>
        <sz val="10"/>
        <color theme="1"/>
        <rFont val="Open Sans Condensed"/>
      </rPr>
      <t>, pero la cobertura geográfica y el abanico de partes interesadas que las aplican son</t>
    </r>
    <r>
      <rPr>
        <b/>
        <sz val="10"/>
        <color theme="1"/>
        <rFont val="Open Sans Condensed"/>
      </rPr>
      <t xml:space="preserve"> limitados</t>
    </r>
    <r>
      <rPr>
        <sz val="10"/>
        <color theme="1"/>
        <rFont val="Open Sans Condensed"/>
      </rPr>
      <t>.</t>
    </r>
  </si>
  <si>
    <r>
      <t xml:space="preserve">Se ponen en marcha iniciativas de desarrollo de la capacidad en materia de GIRH </t>
    </r>
    <r>
      <rPr>
        <b/>
        <sz val="10"/>
        <color theme="1"/>
        <rFont val="Open Sans Condensed"/>
      </rPr>
      <t>a largo plazo</t>
    </r>
    <r>
      <rPr>
        <sz val="10"/>
        <color theme="1"/>
        <rFont val="Open Sans Condensed"/>
      </rPr>
      <t xml:space="preserve">, y la cobertura geográfica y el abanico de partes interesadas que las aplican son </t>
    </r>
    <r>
      <rPr>
        <b/>
        <sz val="10"/>
        <color theme="1"/>
        <rFont val="Open Sans Condensed"/>
      </rPr>
      <t>aceptables</t>
    </r>
    <r>
      <rPr>
        <sz val="10"/>
        <color theme="1"/>
        <rFont val="Open Sans Condensed"/>
      </rPr>
      <t>.</t>
    </r>
  </si>
  <si>
    <r>
      <t xml:space="preserve">Se ponen en marcha iniciativas de desarrollo de la capacidad en materia de GIRH a largo plazo, los resultados son </t>
    </r>
    <r>
      <rPr>
        <b/>
        <sz val="10"/>
        <color theme="1"/>
        <rFont val="Open Sans Condensed"/>
      </rPr>
      <t>eficaces,</t>
    </r>
    <r>
      <rPr>
        <sz val="10"/>
        <color theme="1"/>
        <rFont val="Open Sans Condensed"/>
      </rPr>
      <t xml:space="preserve"> y la cobertura geográfica y el abanico de partes interesadas que las aplican son </t>
    </r>
    <r>
      <rPr>
        <b/>
        <sz val="10"/>
        <color theme="1"/>
        <rFont val="Open Sans Condensed"/>
      </rPr>
      <t>muy buenos</t>
    </r>
    <r>
      <rPr>
        <sz val="10"/>
        <color theme="1"/>
        <rFont val="Open Sans Condensed"/>
      </rPr>
      <t>.</t>
    </r>
  </si>
  <si>
    <r>
      <t xml:space="preserve">Se ponen en marcha iniciativas de desarrollo de la capacidad en materia de GIRH a largo plazo, los resultados son </t>
    </r>
    <r>
      <rPr>
        <b/>
        <sz val="10"/>
        <color theme="1"/>
        <rFont val="Open Sans Condensed"/>
      </rPr>
      <t>muy eficaces</t>
    </r>
    <r>
      <rPr>
        <sz val="10"/>
        <color theme="1"/>
        <rFont val="Open Sans Condensed"/>
      </rPr>
      <t xml:space="preserve">, y la cobertura geográfica y el abanico de partes interesadas que las aplican son </t>
    </r>
    <r>
      <rPr>
        <b/>
        <sz val="10"/>
        <color theme="1"/>
        <rFont val="Open Sans Condensed"/>
      </rPr>
      <t>magníficos</t>
    </r>
    <r>
      <rPr>
        <sz val="10"/>
        <color theme="1"/>
        <rFont val="Open Sans Condensed"/>
      </rPr>
      <t>.</t>
    </r>
    <r>
      <rPr>
        <b/>
        <sz val="10"/>
        <color theme="1"/>
        <rFont val="Open Sans Condensed"/>
      </rPr>
      <t xml:space="preserve"> </t>
    </r>
  </si>
  <si>
    <t>El Sistema Nacional de Información para la Gestión Integrada del Recurso Hídrico (Sinigirh), establece la línea de acción denominada Desarrollo de Capacidades, en la cual se visualiza la implementación de un sistema que consolide la información generada en materia de agua y la ponga a disposición de los usuarios.  Tiene como objetivo integrar la información del sector hídrico para compartir datos, visualizar la componente espacial y realizar análisis multidimensionales relativos a la gestión integrada del recurso hídrico en Costa Rica, con acceso oportuno, trazable y expedito a los usuarios de organismos públicos y privados, comunidades y público en general. Se ha seguido consolidando y mejorando.</t>
  </si>
  <si>
    <t>Existen iniciativas públicas para la creación de capacidades como la Estrategia de Fortalecimiento del Programa de Educación Ambiental de SINAC dirigidos a la población. También un Programa de Educación Ambiental más enfocado en GIRH y Aguas Residuales gestionado por la Dirección de Agua. Además, Setena (Secretaría Técnica Nacional Ambiental) presentó la Guía de presentación del Reglamento de incorporación de la variable ambiental en los planes reguladores y otros instrumentos de ordenamiento territorial, en diciembre de 2021. El Mecanismo de Gobernanza del Agua también contempla el tema de la educación para la GIRH.</t>
  </si>
  <si>
    <t>Además, la Academia, y en particular las Universidades Públicas han tenido un papel muy importante en la generación de capacidades para la GIRH, donde se ofrecen grados académicos sobre el tema.</t>
  </si>
  <si>
    <t xml:space="preserve">          La adaptación al cambio climático se ha incluido como un eje transversal en la nueva Estrategia de Estrategia del SINAC para la Conservación y</t>
  </si>
  <si>
    <t xml:space="preserve">Uso Sostenible del Recurso Hídrico 2022- 2026 y cuenta con un eje de investigación, educación y gestión del conocimiento. </t>
  </si>
  <si>
    <t>Se considera importante continuar el proceso de generar y ampliar los planes de cuenca a nivel nacional. Además, se debe involucrar más a la Academia, que ha sido un apoyo en la elaboración de algunos de ellos, para que se pueda ampliar ese trabajo.</t>
  </si>
  <si>
    <t>Se recomienda además potenciar los Centros de Sostenibilidad de las ASADAS, como centros de servicios que permiten el fortalecimiento y el trabajo conjunto de la ASADAS en una zona concreta.</t>
  </si>
  <si>
    <t>Se reitera la necesidad de que las instituciones de nivel nacional apoyen a las Municipalidades con información y capacitación sobre Gestión Integrada del Recurso Hídrico.</t>
  </si>
  <si>
    <t>2.2 ¿Cuál es la situación de las instituciones en cuanto a la implementación de la GIRH a otros niveles?</t>
  </si>
  <si>
    <r>
      <t>a. Organizaciones</t>
    </r>
    <r>
      <rPr>
        <vertAlign val="superscript"/>
        <sz val="10"/>
        <color rgb="FF000000"/>
        <rFont val="Open Sans Condensed"/>
      </rPr>
      <t>[7]</t>
    </r>
    <r>
      <rPr>
        <b/>
        <sz val="10"/>
        <color rgb="FF000000"/>
        <rFont val="Open Sans Condensed"/>
      </rPr>
      <t xml:space="preserve"> del nivel de las cuencas o acuíferos</t>
    </r>
    <r>
      <rPr>
        <vertAlign val="superscript"/>
        <sz val="10"/>
        <color rgb="FF000000"/>
        <rFont val="Open Sans Condensed"/>
      </rPr>
      <t>[8]</t>
    </r>
    <r>
      <rPr>
        <b/>
        <sz val="10"/>
        <color rgb="FF000000"/>
        <rFont val="Open Sans Condensed"/>
      </rPr>
      <t xml:space="preserve"> </t>
    </r>
    <r>
      <rPr>
        <sz val="10"/>
        <color rgb="FF000000"/>
        <rFont val="Open Sans Condensed"/>
      </rPr>
      <t>que dirigen la implementación de la GIRH.</t>
    </r>
  </si>
  <si>
    <r>
      <t>No hay</t>
    </r>
    <r>
      <rPr>
        <sz val="10"/>
        <color theme="1"/>
        <rFont val="Open Sans Condensed"/>
      </rPr>
      <t xml:space="preserve"> ninguna autoridad centrada en la cuenca que se encargue de la gestión de los recursos hídricos.</t>
    </r>
  </si>
  <si>
    <t>Las autoridades administrativas tienen un mandato explícito para coordinar la implementación de la GIRH y la capacidad[9] para orientar la formulación de un plan para la GIRH.</t>
  </si>
  <si>
    <t xml:space="preserve">           </t>
  </si>
  <si>
    <t>Existen algunos ejemplos de estructuras formalizadas que funcionan como organismos de cuenca, cuenca con mandato explícito para coordinar la implementación de la GIRH a su escala de trabajo,  tales como la Comisión de Gestión Integral de la Cuenca del río Grande de Tárcoles , la Comisión de Manejo y Ordenamiento de la Cuenca del Río Reventazón (COMCURE), la Comisión para el manejo integral del acuífero Nimboyores y acuíferos costeros de Santa Cruz (CONIMBOCO) la Comisión para el Manejo integrado de acuíferos en el Distrito de Sardinal . Sin embargo, existen muchas brechas entre territorios y la mayoría de los mecanismos existentes se han originado como respuesta a necesidades o conflictividad propia de las cuencas en cuestión y no como un proceso sistemático, son creadas por distintos medios jurídicos  (son más reactivos que pro-activos). Esta situación provoca que estas instancias tengan la capacidad de formular planes y ejecutar acciones en el marco de su mandato, no obstante, persisten brechas entre la gestión local y la gestión nacional. Avances se presentan en cuencas como Tárcoles, Sarapiquí y Térraba donde instancias locales formulan planes o han aprobado recientemente (tal como la Comisión del Río Tárcoles), no obstante la ejecución es un reto por temas de coordinación y presupuesto.</t>
  </si>
  <si>
    <t>Los procesos de generar organismos de cuenca se deben asociar a los objetivos nacionales estratégicos GIRH y la institucionalidad debe acompañar procesos e iniciativas locales con el fin de potenciar un trabajo articulado en las cuencas. En ese sentido, es necesario recopilar y analizar la información existente sobre las cuencas para determinar las prioridades y posibilidades en cuanto a crear nuevos organismos de cuenca.</t>
  </si>
  <si>
    <t>Incorporar el concepto de cuenca en los Consejos de Desarrollo Territorial del INDER para el financiamiento de actividades que potencian el desarrollo rural sostenible.</t>
  </si>
  <si>
    <r>
      <t>b. Participación de la esfera pública</t>
    </r>
    <r>
      <rPr>
        <vertAlign val="superscript"/>
        <sz val="10"/>
        <color rgb="FF000000"/>
        <rFont val="Open Sans Condensed"/>
      </rPr>
      <t>[10]</t>
    </r>
    <r>
      <rPr>
        <b/>
        <sz val="10"/>
        <color rgb="FF000000"/>
        <rFont val="Open Sans Condensed"/>
      </rPr>
      <t xml:space="preserve"> </t>
    </r>
    <r>
      <rPr>
        <sz val="10"/>
        <color rgb="FF000000"/>
        <rFont val="Open Sans Condensed"/>
      </rPr>
      <t xml:space="preserve">en los recursos hídricos las políticas, la planificación y la gestión a </t>
    </r>
    <r>
      <rPr>
        <b/>
        <sz val="10"/>
        <color rgb="FF000000"/>
        <rFont val="Open Sans Condensed"/>
      </rPr>
      <t>nivel local</t>
    </r>
    <r>
      <rPr>
        <vertAlign val="superscript"/>
        <sz val="10"/>
        <color rgb="FF000000"/>
        <rFont val="Open Sans Condensed"/>
      </rPr>
      <t>[11]</t>
    </r>
    <r>
      <rPr>
        <sz val="10"/>
        <color rgb="FF000000"/>
        <rFont val="Open Sans Condensed"/>
      </rPr>
      <t>.</t>
    </r>
  </si>
  <si>
    <r>
      <t>No hay intercambio de información</t>
    </r>
    <r>
      <rPr>
        <sz val="10"/>
        <color theme="1"/>
        <rFont val="Open Sans Condensed"/>
      </rPr>
      <t xml:space="preserve"> sobre políticas, planificación y gestión a nivel local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</si>
  <si>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 a nivel local.</t>
    </r>
  </si>
  <si>
    <r>
      <t>Representación:</t>
    </r>
    <r>
      <rPr>
        <sz val="10"/>
        <color theme="1"/>
        <rFont val="Open Sans Condensed"/>
      </rPr>
      <t xml:space="preserve"> Representación formal de la esfera pública en los procesos de las autoridades locales y contribución a la toma de decisiones sobre cuestiones y actividades importantes cuando sea pertinente.</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</si>
  <si>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</si>
  <si>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a nivel local.</t>
    </r>
  </si>
  <si>
    <t>Se han establecido mecanismos[12] que faciliten la participación de la esfera pública a nivel local en los procesos de interés sobre políticas, planificación y gestión, y se usan habitualmente.</t>
  </si>
  <si>
    <t>Se ha mencionado anteriormente que existe el marco normativo, sin embargo, se reitera que se necesita mejorar en la aplicación efectiva de estas normativas. Por ejemplo, la incorporación de la variable hídrica en los Planes Reguladores municipales, recientemente declarada obligatoria y la gestión y consolidación del Mecanismo Nacional de Gobernanza del Agua, creado en el 2018.</t>
  </si>
  <si>
    <t>Es necesario fomentar la actualización y generación de planes reguladores en las Municipalidades que no los tienen o cuya emisión se dio hace más de diez años, en esto se puede establecer una alianza estratégica con el Instituto de Fomento y Asesoría Municipal, para el apoyo y estímulo para la actualización de los Planes Reguladores y la capacitación Municipal en materia de GIRH.</t>
  </si>
  <si>
    <t>c. Participación de grupos vulnerables en la planificación y la gestión de los recursos hídricos[13].</t>
  </si>
  <si>
    <r>
      <t xml:space="preserve">La participación de los grupos vulnerables </t>
    </r>
    <r>
      <rPr>
        <b/>
        <sz val="10"/>
        <color theme="1"/>
        <rFont val="Open Sans Condensed"/>
      </rPr>
      <t>no se plantea de forma explícita</t>
    </r>
    <r>
      <rPr>
        <sz val="10"/>
        <color theme="1"/>
        <rFont val="Open Sans Condensed"/>
      </rPr>
      <t xml:space="preserve"> en las leyes, las políticas o los planes.</t>
    </r>
  </si>
  <si>
    <t xml:space="preserve">La participación de los grupos vulnerables se plantea en parte, pero no se han instaurado procedimientos manifiestos[14]. </t>
  </si>
  <si>
    <r>
      <t>Hay algunos procedimientos vigentes</t>
    </r>
    <r>
      <rPr>
        <sz val="10"/>
        <color theme="1"/>
        <rFont val="Open Sans Condensed"/>
      </rPr>
      <t xml:space="preserve">, pero el presupuesto y los recursos humanos para su ejecución son limitados. </t>
    </r>
  </si>
  <si>
    <r>
      <t xml:space="preserve">Hay procedimientos transparentes en vigor y la </t>
    </r>
    <r>
      <rPr>
        <b/>
        <sz val="10"/>
        <color theme="1"/>
        <rFont val="Open Sans Condensed"/>
      </rPr>
      <t>participación</t>
    </r>
    <r>
      <rPr>
        <sz val="10"/>
        <color theme="1"/>
        <rFont val="Open Sans Condensed"/>
      </rPr>
      <t xml:space="preserve"> de los grupos vulnerables es </t>
    </r>
    <r>
      <rPr>
        <b/>
        <sz val="10"/>
        <color theme="1"/>
        <rFont val="Open Sans Condensed"/>
      </rPr>
      <t xml:space="preserve">moderada </t>
    </r>
    <r>
      <rPr>
        <sz val="10"/>
        <color theme="1"/>
        <rFont val="Open Sans Condensed"/>
      </rPr>
      <t>(al igual que el presupuesto y los recursos humanos).</t>
    </r>
  </si>
  <si>
    <t>Los grupos vulnerables participan asiduamente (el presupuesto y los recursos humanos son suficientes y se hace un seguimiento de la participación por medio de mecanismos de rendición de cuentas[15]).</t>
  </si>
  <si>
    <t>La participación de los grupos vulnerables es provechosa[16] y habitual, en los casos en los que es pertinente, y se hace un seguimiento de la participación por medio de mecanismos de rendición de cuentas.</t>
  </si>
  <si>
    <t xml:space="preserve">Mecanismo Nacional de Gobernanza del Agua, creado en 2018, crea el Foro Regional del Agua como instancia permanente, intersectorial e inclusiva. Es de convocatoria abierta y asistencia voluntaria de los actores del agua en cada Unidad Hidrológica.  Abre así una opción de participación muy amplia, aunque no tiene espacios específicos para grupos en situación de vulnerabilidad.  </t>
  </si>
  <si>
    <t>Se ha trabajado en la reducción de la brecha hacia la incorporación de los pueblos indígenas dentro de aspectos de la GIRH.  Así, hay un trabajo de consulta de la nueva Política Hídrica, por ejemplo. Sin embargo, falta mucho por avanzar, como por ejemplo en entendimiento real de la forma en que ellos se relacionan con el recurso hídrico y la incorporación de dicha cosmovisión en la planificación y gestión de los recursos hídricos.</t>
  </si>
  <si>
    <t>Existe poca normativa que considere la participación de grupos vulnerables.</t>
  </si>
  <si>
    <t xml:space="preserve">Se considera importante generar planes de seguridad del agua, que territorializa necesidades propias de los territorios y que pueden integrar de manera específica las necesidades de los grupos en situación de vulnerabilidad. </t>
  </si>
  <si>
    <t xml:space="preserve">Otra medida necesaria es el incorporar la cosmovisión indígena en el uso del recurso hídrico. </t>
  </si>
  <si>
    <t>Estimular la generación de Planes de Seguridad del Agua en las ASADAS, con el apoyo de la Dirección de Acueductos Comunales del AYA.</t>
  </si>
  <si>
    <t xml:space="preserve">Otra medida necesaria es el incorporar la cosmovisión indígena en el uso del recurso hídrico, proceso que se está llevando en la nueva política Hídrica Nacional y que debe tener en cuenta en nuevos instrumentos que se vayan generando.        </t>
  </si>
  <si>
    <t>d. Incorporación de la perspectiva de género en la gestión de los recursos hídricos[17].</t>
  </si>
  <si>
    <t>No se incorpora la perspectiva de género en la gestión de los recursos hídricos.</t>
  </si>
  <si>
    <r>
      <t xml:space="preserve">Se están elaborando </t>
    </r>
    <r>
      <rPr>
        <sz val="10"/>
        <color theme="1"/>
        <rFont val="Open Sans Condensed"/>
      </rPr>
      <t>mecanismos y prácticas para incorporar la perspectiva de género en la gestión de los recursos hídricos.</t>
    </r>
  </si>
  <si>
    <r>
      <t>Existen</t>
    </r>
    <r>
      <rPr>
        <sz val="10"/>
        <color theme="1"/>
        <rFont val="Open Sans Condensed"/>
      </rPr>
      <t xml:space="preserve"> mecanismos para incorporar la perspectiva de género (pero su aplicación, su presupuesto o su seguimiento es limitado).</t>
    </r>
  </si>
  <si>
    <t>Los objetivos de incorporación de la perspectiva de género[18] se han logrado en parte (las actividades se ejecutan, y se supervisan y se financian parcialmente).</t>
  </si>
  <si>
    <r>
      <t xml:space="preserve">Los objetivos de incorporación de la perspectiva de género se han </t>
    </r>
    <r>
      <rPr>
        <b/>
        <sz val="10"/>
        <color theme="1"/>
        <rFont val="Open Sans Condensed"/>
      </rPr>
      <t>logrado en su mayor parte</t>
    </r>
    <r>
      <rPr>
        <sz val="10"/>
        <color theme="1"/>
        <rFont val="Open Sans Condensed"/>
      </rPr>
      <t xml:space="preserve"> (las actividades se supervisan y se financian de manera adecuada). </t>
    </r>
  </si>
  <si>
    <t xml:space="preserve">Los objetivos de incorporación de la perspectiva de género se han logrado de forma sistemática y abordan las cuestiones de género de forma eficaz (las actividades y los resultados se han repasado y ajustado y se basan en mecanismos de rendición de cuentas pertinentes[19]). </t>
  </si>
  <si>
    <t>En este tema existe una situación de vacío.  El avance que se puede mencionar es la Política Institucional de Igualdad de Género de AyA, que se lidera desde la Dirección de Equidad y Género e Interculturalidad.  La política incluye acciones a desarrollarse a lo interno de la institución principalmente, pero que incluyó una línea de acción relacionada con los Acueductos Comunales o ASADAS.  La ejecución de esta Política, emitida en 2018, ha permitido identificar desafíos concretos.</t>
  </si>
  <si>
    <t>La política hídrica (en proceso actualización) tiene un eje transversal de género, pero no se cuenta con indicadores que permitan una adecuada medición de distintos aspectos relacionados con la misma. Este eje plantea asegurar la integración de las mujeres en las organizaciones que fomentan el uso racional del agua, promover la creación y el desarrollo de programas y servicios dirigidos a facilitar la participación plena de la mujer en la Gestión Integrada de los Recursos Hídricos y un compromiso por parte de los gobiernos, el sector privado, las organizaciones de base comunitaria y otras organizaciones de la sociedad civil para invertir los recursos necesarios para posicionar los planteamientos de género de manera transversal, entre otras cosas. Sin embargo, el avance ha sido muy lento y como ejemplo de ello se puede mencionar que, en las ASADAS, la gran mayoría de las Presidencias sigue siendo ocupada por varones por temas estructurales y reglamentarios.</t>
  </si>
  <si>
    <t xml:space="preserve">Tomar acciones afirmativas para facilitar posiciones de liderazgo para mujeres en juntas directivas de ASADAS vía reglamento. </t>
  </si>
  <si>
    <t>Iniciar un trabajo de incorporación de la perspectiva de género en las acciones que se lideran a través del Mecanismo Nacional de Gobernanza del Agua.</t>
  </si>
  <si>
    <t>e. Marco institucional para la gestión hídrica transfronteriza[20].</t>
  </si>
  <si>
    <r>
      <t xml:space="preserve">No </t>
    </r>
    <r>
      <rPr>
        <sz val="10"/>
        <color theme="1"/>
        <rFont val="Open Sans Condensed"/>
      </rPr>
      <t>existe ningún marco institucional para la gestión hídrica transfronteriza.</t>
    </r>
  </si>
  <si>
    <r>
      <t xml:space="preserve">Se están </t>
    </r>
    <r>
      <rPr>
        <b/>
        <sz val="10"/>
        <color theme="1"/>
        <rFont val="Open Sans Condensed"/>
      </rPr>
      <t>desarrollando</t>
    </r>
    <r>
      <rPr>
        <sz val="10"/>
        <color theme="1"/>
        <rFont val="Open Sans Condensed"/>
      </rPr>
      <t xml:space="preserve"> marcos institucionales para la gestión hídrica transfronteriza.</t>
    </r>
  </si>
  <si>
    <r>
      <t xml:space="preserve">Se han </t>
    </r>
    <r>
      <rPr>
        <b/>
        <sz val="10"/>
        <color theme="1"/>
        <rFont val="Open Sans Condensed"/>
      </rPr>
      <t>establecido</t>
    </r>
    <r>
      <rPr>
        <sz val="10"/>
        <color theme="1"/>
        <rFont val="Open Sans Condensed"/>
      </rPr>
      <t xml:space="preserve"> marcos institucionales para la gestión hídrica transfronteriza.</t>
    </r>
  </si>
  <si>
    <r>
      <t xml:space="preserve">El mandato de los marcos institucionales </t>
    </r>
    <r>
      <rPr>
        <b/>
        <sz val="10"/>
        <color theme="1"/>
        <rFont val="Open Sans Condensed"/>
      </rPr>
      <t>se cumple en parte</t>
    </r>
    <r>
      <rPr>
        <sz val="10"/>
        <color theme="1"/>
        <rFont val="Open Sans Condensed"/>
      </rPr>
      <t>.</t>
    </r>
  </si>
  <si>
    <r>
      <t xml:space="preserve">El mandato de los marcos institucionales </t>
    </r>
    <r>
      <rPr>
        <b/>
        <sz val="10"/>
        <color theme="1"/>
        <rFont val="Open Sans Condensed"/>
      </rPr>
      <t>se cumple en su mayor parte</t>
    </r>
    <r>
      <rPr>
        <sz val="10"/>
        <color theme="1"/>
        <rFont val="Open Sans Condensed"/>
      </rPr>
      <t>.</t>
    </r>
  </si>
  <si>
    <r>
      <t xml:space="preserve">El mandato de los marcos institucionales </t>
    </r>
    <r>
      <rPr>
        <b/>
        <sz val="10"/>
        <color theme="1"/>
        <rFont val="Open Sans Condensed"/>
      </rPr>
      <t>se cumple en su totalidad</t>
    </r>
    <r>
      <rPr>
        <sz val="10"/>
        <color theme="1"/>
        <rFont val="Open Sans Condensed"/>
      </rPr>
      <t>.</t>
    </r>
  </si>
  <si>
    <t xml:space="preserve">Existe un marco institucional vigente y en ejecución que se trabaja en conjunto entre Costa Rica y Panamá, para la cuenca del Río Sixaola el cual se evalúa en esta pregunta. Existe una Comisión Binacional de la Cuenca del Río Sixaola, que es un mecanismo de trabajo conjunto.  Como avance se puede mencionar que la Comisión se ha ampliado, permitiendo la incorporación de la Dirección de Agua como miembro permanente, con el fin de potenciar la GIRH en la cuenca binacional, lo que permite reportar que se cumple en parte el marco institucional existente de manera exitosa..
</t>
  </si>
  <si>
    <t>La cuenca binacional del Río San Juan no cuenta con una estructura de gestión compartida, aunque ha habido proyectos y acciones en el pasado. El Indicador 6.5.2 que mide la gestión transfronteriza analiza de manera global el territorio bajo esquemas transfronterizos, esta pregunta evalúa lo existe.</t>
  </si>
  <si>
    <t>Se debe continuar el trabajo planteado en la cuenca del Sixaola y reiniciar acciones en la cuenca del Río San Juan.</t>
  </si>
  <si>
    <t>Es necesario analizar la posibilidad de reiniciar acciones en la cuenca del Río San Juan, que impacten positivamente la cuenca.</t>
  </si>
  <si>
    <r>
      <t>f. Autoridades administrativas</t>
    </r>
    <r>
      <rPr>
        <sz val="10"/>
        <color rgb="FF000000"/>
        <rFont val="Open Sans Condensed"/>
      </rPr>
      <t xml:space="preserve"> subnacionales</t>
    </r>
    <r>
      <rPr>
        <vertAlign val="superscript"/>
        <sz val="10"/>
        <color rgb="FF000000"/>
        <rFont val="Open Sans Condensed"/>
      </rPr>
      <t>[21]</t>
    </r>
    <r>
      <rPr>
        <sz val="10"/>
        <color rgb="FF000000"/>
        <rFont val="Open Sans Condensed"/>
      </rPr>
      <t xml:space="preserve"> que abanderan la implementación de la GIRH</t>
    </r>
    <r>
      <rPr>
        <vertAlign val="superscript"/>
        <sz val="10"/>
        <color rgb="FF000000"/>
        <rFont val="Open Sans Condensed"/>
      </rPr>
      <t>[22]</t>
    </r>
    <r>
      <rPr>
        <sz val="10"/>
        <color rgb="FF000000"/>
        <rFont val="Open Sans Condensed"/>
      </rPr>
      <t>.</t>
    </r>
  </si>
  <si>
    <r>
      <t>No hay</t>
    </r>
    <r>
      <rPr>
        <sz val="10"/>
        <color theme="1"/>
        <rFont val="Open Sans Condensed"/>
      </rPr>
      <t xml:space="preserve"> ninguna autoridad centrada en el nivel subnacional que se encargue de la gestión de los recursos hídricos.</t>
    </r>
  </si>
  <si>
    <t>Las autoridades administrativas tienen un mandato explícito para coordinar la implementación de la GIRH y la capacidad[23] para orientar la formulación de un plan para la GIRH.</t>
  </si>
  <si>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</si>
  <si>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subnacionales tienen la capacidad de </t>
    </r>
    <r>
      <rPr>
        <b/>
        <sz val="10"/>
        <color theme="1"/>
        <rFont val="Open Sans Condensed"/>
      </rPr>
      <t>ajustar</t>
    </r>
    <r>
      <rPr>
        <sz val="10"/>
        <color theme="1"/>
        <rFont val="Open Sans Condensed"/>
      </rPr>
      <t xml:space="preserve"> los planes de la GIRH de forma eficaz y periódica.</t>
    </r>
  </si>
  <si>
    <t xml:space="preserve">Las instituciones vinculadas con la gestión del recurso hídrico han realizado grandes esfuerzos en la descentralización de sus oficinas para obtener una </t>
  </si>
  <si>
    <t xml:space="preserve">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 El mayor avance está en la incorporación del tema hídrico en algunos planes reguladores. </t>
  </si>
  <si>
    <t>Es importante mantener los esfuerzos de descentralización de las instituciones como la Dirección de Agua.</t>
  </si>
  <si>
    <t>El trabajo de incorporación de la variable hídrica a nivel municipal, tanto en los Planes Reguladores como en otros instrumentos es fundamental para avanzar.</t>
  </si>
  <si>
    <t>[1] «La esfera pública» engloba a todas las partes interesadas a las que pueda afectar cualquier tipo de cuestión o intervención relacionada con los recursos hídricos; es decir, organizaciones, instituciones, los círculos académicos, la sociedad civil y las personas. Las organizaciones gubernamentales no forman parte de ella. El sector privado se examina por separado en la siguiente pregunta, y los grupos vulnerables se tratan específicamente en la pregunta 2.2c.</t>
  </si>
  <si>
    <t xml:space="preserve">[2] Los mecanismos pueden ser, entre otros, políticas, leyes, estrategias, planes u otros procedimientos operativos formales destinados a la participación de los integrantes de la esfera pública. </t>
  </si>
  <si>
    <r>
      <t>[3]</t>
    </r>
    <r>
      <rPr>
        <sz val="10"/>
        <color theme="1"/>
        <rFont val="Open Sans Condensed"/>
      </rPr>
      <t xml:space="preserve"> El sector privado abarca las empresas y grupos con ánimo de lucro. Entre los actores del sector privado cabe citar a los usuarios del agua (de todos los sectores, por ejemplo, la agricultura, los alimentos y las bebidas, la energía, la fabricación, la minería, etc.); los operadores de servicios de agua y saneamiento; los proveedores de tecnología relacionada con el agua; y los proveedores financieros que participan por medio de inversiones en iniciativas hídricas (definición adaptada de Sustainable Water Partnership (2017)). No incluye al gobierno, la sociedad civil ni las instituciones académicas públicas. Si bien esta pregunta se centra primordialmente en el ámbito nacional, responda pensando en el nivel que sea más oportuno para el contexto de su país. Explíquelo en el apartado «Situación y avances», sin olvidar exponer las diferencias de implementación en los distintos planos. </t>
    </r>
  </si>
  <si>
    <t xml:space="preserve">[4] Los mecanismos pueden ser, entre otros, políticas, leyes, estrategias, planes u otros procedimientos operativos formales destinados a la participación del sector privado. </t>
  </si>
  <si>
    <t>[5] Véase la definición de «mecanismos de rendición de cuentas» en el glosario del anexo A.</t>
  </si>
  <si>
    <t>[6] Desarrollo de la capacidad en materia de GIRH: la mejora de las competencias, las herramientas, los recursos y los incentivos de las personas y las instituciones a todos los niveles con el objetivo de potenciar la implementación de la GIRH. Es fundamental llevar a cabo evaluaciones de las necesidades en cuanto a capacidad para poder fomentarlas de manera eficaz y económica. Los programas de desarrollo de la capacidad han de tener presente el equilibrio de género y a los colectivos minoritarios o desfavorecidos en lo relativo a la participación y la sensibilización. Es un campo de interés para muchos grupos, como los gobiernos centrales y locales y los profesionales del sector hídrico en todos los ámbitos (organizaciones públicas y privadas relacionadas con el agua, la sociedad civil y organismos reguladores). En estos casos, el desarrollo de la capacidad también puede extenderse a la educación primaria, secundaria y terciaria, así como a la investigación académica sobre la GIRH.</t>
  </si>
  <si>
    <t xml:space="preserve">[7] Puede tratarse de una organización, un comité, un mecanismo interministerial o cualquier otro método de cooperación para gestionar recursos hídricos en el nivel de las cuencas. </t>
  </si>
  <si>
    <t xml:space="preserve">[8] En el nivel de las cuencas o acuíferos, incluya únicamente las cuencas hidrográficas y lacustres y los acuíferos más destacados en cuanto al suministro de agua u otros motivos.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2.2e aborda expresamente la gestión transfronteriza en los casos de cuencas y acuíferos que se extienden por varios países. </t>
  </si>
  <si>
    <t>[9] La definición de «capacidad» se encuentra en la nota a pie de página n.º 13. Además de tener la capacidad, las autoridades también deben estar realmente al mando de la ejecución de estas actividades.</t>
  </si>
  <si>
    <t>[10] «La esfera pública» engloba a todas las partes interesadas a las que pueda afectar cualquier tipo de problema o intervención relacionado con los recursos hídricos; es decir, organizaciones, instituciones, los círculos académicos, la sociedad civil y las personas. Las organizaciones gubernamentales no forman parte de ella. El sector privado se trata por separado en la pregunta 2.1d.</t>
  </si>
  <si>
    <t>[11] Algunos ejemplos de «nivel local» son el nivel municipal (como ciudades, pueblos y aldeas); el nivel comunitario; el nivel de la cuenca, el acuífero, el afluente y el delta; y las asociaciones de usuarios del agua.</t>
  </si>
  <si>
    <t>[12] Los mecanismos pueden ser, entre otros, políticas, leyes, estrategias, planes u otros procedimientos operativos formales destinados a la participación de los integrantes de la esfera pública.</t>
  </si>
  <si>
    <t xml:space="preserve">[13] Grupos vulnerables: conjuntos de personas que sufren exclusión o marginalización de tipo económica, política o social. Pueden ser, entre otros, colectivos indígenas, minorías étnicas, migrantes (refugiados, desplazados internos y solicitantes de asilo), comunidades remotas, agricultores de subsistencia, personas que viven en condiciones de pobreza y habitantes de barrios marginales y asentamientos informales. También se les denomina grupos marginalizados o desfavorecidos. Si bien suele incluirse a las mujeres en las definiciones de «grupos vulnerables», en esta encuesta se tratan las cuestiones de género por separado, en la pregunta 2.2d. La puntuación de esta pregunta ha de ser un reflejo de la situación para la mayoría de colectivos vulnerables. Esta pregunta es un añadido con respecto a la encuesta de referencia y tiene como fin hacer constar un elemento relativo a la implicación de las partes interesadas, lo cual es importante en el contexto de «no dejar a nadie atrás», uno de los principios clave de la Agenda 2030. </t>
  </si>
  <si>
    <t>[14] Entre estos «procedimientos» pueden contarse los procesos operativos diseñados para, por ejemplo, concienciar, reducir las barreras lingüísticas y facilitar la interacción con grupos vulnerables concretos.</t>
  </si>
  <si>
    <t>[15] Véase la definición de «mecanismos de rendición de cuentas» en el glosario del anexo A.</t>
  </si>
  <si>
    <t>[16] «Provechosa» denota que se escucha la opinión de estos colectivos, que contribuyen a la toma de decisiones y que influyen en los resultados. Sigue la línea de la declaración de entendimiento común de las Naciones Unidas sobre un enfoque basado en los derechos humanos para la cooperación para el desarrollo, que contempla, en cuanto a participación e inclusión, que «todos los pueblos tienen derecho a participar libre y significativamente en el desarrollo cívico, económico, social, cultural y político en el que se pueda disfrutar de los derechos humanos y las libertades fundamentales, así como contribuir a ese desarrollo y disfrutar de él».</t>
  </si>
  <si>
    <r>
      <t>[17]</t>
    </r>
    <r>
      <rPr>
        <sz val="10"/>
        <color theme="1"/>
        <rFont val="Open Sans Condensed"/>
      </rPr>
      <t xml:space="preserve"> La incorporación de la perspectiva de género consiste en integrar plenamente las consideraciones de género en la planificación, la gestión y la adopción de decisiones en materia de recursos hídricos de forma transversal. Algunos de los mecanismos para incorporar la perspectiva de género son los marcos, las prácticas y los instrumentos diseñados para alcanzar los objetivos de género relacionados con la participación, la voz y la influencia de las mujeres en la gestión de los recursos hídricos. Véase la definición de «Incorporación de la perspectiva de género» que figura en el glosario del anexo A, en la que se incluyen enlaces a la «Lista de verificación sobre la incorporación de la perspectiva de género» (destinada a favorecer el examen de este tema) y a un informe sobre la incorporación de la perspectiva de género en la gestión de los recursos hídricos. Dichos mecanismos pueden tener su origen en el sector del agua o en un nivel más elevado, pero si se aplican principalmente en este nivel, solo se obtendrán puntos en esta pregunta si existen pruebas de que se estén integrando las perspectivas de género en dicho sector. Las diferencias entre la implementación en los niveles nacional, local o transfronterizo pueden detallarse en el apartado «Situación y avances». </t>
    </r>
  </si>
  <si>
    <r>
      <t>[18]</t>
    </r>
    <r>
      <rPr>
        <sz val="10"/>
        <color theme="1"/>
        <rFont val="Open Sans Condensed"/>
      </rPr>
      <t xml:space="preserve"> Los objetivos de incorporación de la perspectiva de género apuntan fundamentalmente a que la participación y la influencia en la gestión de los recursos hídricos sean igualitarias a todos los niveles. Para hacer un seguimiento de la situación, algunas de las opciones son (indique si se ha optado por estas o por otras parecidas en el apartado «Situación y avances»): 1) Que las autoridades que trabajan con los recursos hídricos nombren a un coordinador de género que se encargue de las políticas y las cuestiones en este ámbito; 2) Que haya paridad entre los géneros en los procesos decisorios a todos los niveles (por ejemplo, en reuniones o entre los miembros del comité o la junta); 3) Establecer objetivos y compromisos específicos en materia de género en las estrategias, la planificación y la legislación relacionadas con políticas hídricas; 4) Fomentar la presencia y la función de las asociaciones o grupos de mujeres de la región que reciben asistencia técnica o financiera de manos de organizaciones gubernamentales o no gubernamentales que intervienen en las actividades de gestión de los recursos hídricos; 5) Fijar una asignación presupuestaria y procedimientos para recopilar y analizar datos sobre las poblaciones locales desglosados por género a la hora de planificar programas o proyectos relacionados con el agua, así como la infraestructura; 6) Aplicar medidas para mejorar la paridad y la igualdad entre los géneros de las políticas en materia de recursos humanos de las autoridades. Fuente: adaptación de la carpeta de material para la recopilación de datos sobre el agua desglosados por género del Programa Mundial de la UNESCO de Evaluación de los Recursos Hídricos, 2019.</t>
    </r>
  </si>
  <si>
    <t>[19] Véase la definición de «mecanismos de rendición de cuentas» en el glosario del anexo A.</t>
  </si>
  <si>
    <t>[20] Un marco institucional puede incluir un órgano conjunto, un mecanismo, una autoridad, un comité, una comisión u otro acuerdo de este carácter. Incumbe a los acuíferos y cuencas internacionales.</t>
  </si>
  <si>
    <t xml:space="preserve">[21] «Subnacional» incluye, entre otros, provincias, estados, condados, zonas de gobierno local y municipios. En este caso, no engloba el nivel de los acuíferos o las cuencas, puesto que se examina en la pregunta 2.2a. Responda a la pregunta teniendo en cuenta los niveles subnacionales pertinentes más altos del país y concrete cuáles son. </t>
  </si>
  <si>
    <t>[22] Esta pregunta sustituye a la pregunta 2.2f de la encuesta de referencia, que concernía solo a los países federales. Es el resultado de constatar que muchos países que no son federales cuentan con autoridades subnacionales que gestionan los recursos hídricos.</t>
  </si>
  <si>
    <t xml:space="preserve">[23] La definición de «capacidad» se encuentra en la nota a pie de página n.º 13. Además de tener la capacidad, las autoridades también deben estar realmente al mando de la ejecución de estas actividades. </t>
  </si>
  <si>
    <t>3. Instrumentos de gestión</t>
  </si>
  <si>
    <t>3.1 ¿Cuál es la situación de los instrumentos de gestión que respaldan la implementación de la GIRH a nivel nacional?</t>
  </si>
  <si>
    <t>a. Seguimiento de la disponibilidad del agua a nivel nacional[1] (que incluye las aguas subterráneas o de superficie, dependiendo del país).</t>
  </si>
  <si>
    <r>
      <t>No existen</t>
    </r>
    <r>
      <rPr>
        <sz val="10"/>
        <color theme="1"/>
        <rFont val="Open Sans Condensed"/>
      </rPr>
      <t xml:space="preserve"> sistemas de seguimiento a nivel nacional.</t>
    </r>
  </si>
  <si>
    <r>
      <t xml:space="preserve">Se utilizan sistemas de seguimiento para una cantidad </t>
    </r>
    <r>
      <rPr>
        <b/>
        <sz val="10"/>
        <color theme="1"/>
        <rFont val="Open Sans Condensed"/>
      </rPr>
      <t>limitada</t>
    </r>
    <r>
      <rPr>
        <sz val="10"/>
        <color theme="1"/>
        <rFont val="Open Sans Condensed"/>
      </rPr>
      <t xml:space="preserve"> de proyectos —o semejantes— puntuales o </t>
    </r>
    <r>
      <rPr>
        <b/>
        <sz val="10"/>
        <color theme="1"/>
        <rFont val="Open Sans Condensed"/>
      </rPr>
      <t>a corto plazo</t>
    </r>
    <r>
      <rPr>
        <sz val="10"/>
        <color theme="1"/>
        <rFont val="Open Sans Condensed"/>
      </rPr>
      <t>.</t>
    </r>
  </si>
  <si>
    <r>
      <t xml:space="preserve">Se lleva a cabo un seguimiento </t>
    </r>
    <r>
      <rPr>
        <b/>
        <sz val="10"/>
        <color theme="1"/>
        <rFont val="Open Sans Condensed"/>
      </rPr>
      <t>a largo plazo</t>
    </r>
    <r>
      <rPr>
        <sz val="10"/>
        <color theme="1"/>
        <rFont val="Open Sans Condensed"/>
      </rPr>
      <t xml:space="preserve"> a escala nacional, pero tanto la cobertura como el uso que le dan las partes interesadas es </t>
    </r>
    <r>
      <rPr>
        <b/>
        <sz val="10"/>
        <color theme="1"/>
        <rFont val="Open Sans Condensed"/>
      </rPr>
      <t>limitado</t>
    </r>
    <r>
      <rPr>
        <sz val="10"/>
        <color theme="1"/>
        <rFont val="Open Sans Condensed"/>
      </rPr>
      <t xml:space="preserve"> </t>
    </r>
  </si>
  <si>
    <r>
      <t xml:space="preserve">Se lleva a cabo un seguimiento </t>
    </r>
    <r>
      <rPr>
        <b/>
        <sz val="10"/>
        <color theme="1"/>
        <rFont val="Open Sans Condensed"/>
      </rPr>
      <t>a largo plazo</t>
    </r>
    <r>
      <rPr>
        <sz val="10"/>
        <color theme="1"/>
        <rFont val="Open Sans Condensed"/>
      </rPr>
      <t xml:space="preserve"> a escala nacional cuya cobertura es </t>
    </r>
    <r>
      <rPr>
        <b/>
        <sz val="10"/>
        <color theme="1"/>
        <rFont val="Open Sans Condensed"/>
      </rPr>
      <t>aceptable</t>
    </r>
    <r>
      <rPr>
        <sz val="10"/>
        <color theme="1"/>
        <rFont val="Open Sans Condensed"/>
      </rPr>
      <t>, pero el uso que le dan las partes interesadas es limitado.</t>
    </r>
  </si>
  <si>
    <r>
      <t xml:space="preserve">Se lleva a cabo un seguimiento a largo plazo a escala nacional cuya cobertura es </t>
    </r>
    <r>
      <rPr>
        <b/>
        <sz val="10"/>
        <color theme="1"/>
        <rFont val="Open Sans Condensed"/>
      </rPr>
      <t xml:space="preserve">muy buena </t>
    </r>
    <r>
      <rPr>
        <sz val="10"/>
        <color theme="1"/>
        <rFont val="Open Sans Condensed"/>
      </rPr>
      <t>y el uso que le dan las partes interesadas es aceptable.</t>
    </r>
  </si>
  <si>
    <r>
      <t xml:space="preserve">Se lleva a cabo un seguimiento a largo plazo a escala nacional y tanto la cobertura como el uso que le dan las partes interesadas </t>
    </r>
    <r>
      <rPr>
        <b/>
        <sz val="10"/>
        <color theme="1"/>
        <rFont val="Open Sans Condensed"/>
      </rPr>
      <t>son magníficos</t>
    </r>
    <r>
      <rPr>
        <sz val="10"/>
        <color theme="1"/>
        <rFont val="Open Sans Condensed"/>
      </rPr>
      <t xml:space="preserve">. </t>
    </r>
  </si>
  <si>
    <t>El país ha ido creando recientemente sistemas de información interconectados, que van mejorando y que permiten contar con mayor información y más accesible. En ese sentido se cuenta con el Sistema Nacional de Información para la Gestión Integrada del Recurso Hídrico (SINIGIRH). Este fue oficializado por Decreto Ejecutivo N°42015-MAG-MINAE-S-MIVAH de 2019 y es una plataforma oficial que integra la información relativa a la gestión integrada del recurso hídrico en Costa Rica. Su objetivo es compartir datos, visualizar el componente espacial y realizar análisis multidimensionales de manera que la información sea accesible a las instituciones y el público.  Ha incluido información como el Mapa de Acuíferos en 2019.  Se ha construido también la plataforma del Sistema de Monitoreo de Agua Subterránea en Tiempo Real (SIMASTIR), desde el 2015 y en coordinación con AyA y SENARA se busca implementar una red nacional de monitoreo automatizada, que tiene hoy 44 puntos de monitoreo.</t>
  </si>
  <si>
    <t>Un avance reciente es la actualización del Balance Hídrico que se presentará próximamente.</t>
  </si>
  <si>
    <t>Las limitaciones en estos sistemas todavía se dan, en la generación de información y en cuanto a cobertura, pero sobre todo en cuanto al uso que se da a la información. La existencia de estos sistemas de información todavía no es de conocimiento generalizado.</t>
  </si>
  <si>
    <t>Una manera de dar un mejor seguimiento a la disponibilidad de agua es enfatizar los esfuerzos de control pozos ilegales, pues la existencia de pozos ilegales afecta la veracidad de la información en los mapas de acuíferos disponibles en las plataformas digitales. Se identifica que la alta rotación de fiscales ambientales es un reto en materia de pozos ilegales desde el enfoque legal-represivo.</t>
  </si>
  <si>
    <t xml:space="preserve">b. </t>
  </si>
  <si>
    <r>
      <t>No</t>
    </r>
    <r>
      <rPr>
        <sz val="10"/>
        <color theme="1"/>
        <rFont val="Open Sans Condensed"/>
      </rPr>
      <t xml:space="preserve"> se utiliza ningún instrumento de gestión.</t>
    </r>
  </si>
  <si>
    <r>
      <t xml:space="preserve">El uso de instrumentos de gestión es </t>
    </r>
    <r>
      <rPr>
        <b/>
        <sz val="10"/>
        <color theme="1"/>
        <rFont val="Open Sans Condensed"/>
      </rPr>
      <t>limitado</t>
    </r>
    <r>
      <rPr>
        <sz val="10"/>
        <color theme="1"/>
        <rFont val="Open Sans Condensed"/>
      </rPr>
      <t xml:space="preserve"> y se limita a proyectos —o semejantes—</t>
    </r>
    <r>
      <rPr>
        <b/>
        <sz val="10"/>
        <color theme="1"/>
        <rFont val="Open Sans Condensed"/>
      </rPr>
      <t xml:space="preserve"> a corto plazo </t>
    </r>
    <r>
      <rPr>
        <sz val="10"/>
        <color theme="1"/>
        <rFont val="Open Sans Condensed"/>
      </rPr>
      <t xml:space="preserve">o puntuales.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</si>
  <si>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usuarios del agua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</si>
  <si>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usuarios del agua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</si>
  <si>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usuarios del agua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</si>
  <si>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usuarios del agua y que se ofrece a lo largo y ancho del país es </t>
    </r>
    <r>
      <rPr>
        <b/>
        <sz val="10"/>
        <color theme="1"/>
        <rFont val="Open Sans Condensed"/>
      </rPr>
      <t>magnífica</t>
    </r>
    <r>
      <rPr>
        <sz val="10"/>
        <color theme="1"/>
        <rFont val="Open Sans Condensed"/>
      </rPr>
      <t xml:space="preserve">. </t>
    </r>
  </si>
  <si>
    <t>Gestión del agua para un uso sostenible y eficaz[2] desde el nivel nacional (que incluye las aguas subterráneas o de superficie, dependiendo del país).</t>
  </si>
  <si>
    <t xml:space="preserve"> Situación y Avances</t>
  </si>
  <si>
    <t>El país cuenta con un marco de políticas que orientan la gestión, tales como la Política Hídrica, la de Acueductos Comunales, Saneamiento, Agua Potable, Saneamiento, Adaptación al Cambio Climático, de Humedales y Áreas de protección. Además, ha implementado instrumentos económicos como los cánones de aprovechamiento y vertidos, tarifa de protección del recurso hídrico, el pago por servicios ambientales hidrológico y fondos público-privados como Agua Tica, orientados al uso sostenible.</t>
  </si>
  <si>
    <t>Esto permite tener avances tales como la emisión del Reglamento para la selección de la metodología para el cálculo del caudal ambiental y evaluación del impacto hídrico acumulado”, Decreto Ejecutivo N°43242- MINAE de 2021, la Actualización de Manual Técnico de Dotaciones de Agua, Resolución R-0327-2021-MINAE, también de 2021,  la Digitalización de los procesos GIRH, mediante Decreto Ejecutivo :42846  de 2021, que oficializa el Reglamento para el funcionamiento y utilización de la plataforma digital para gestiones y procesos de la Dirección de Agua denominado: sistema integral de permisos y concesiones (SIPECO) y la Actualización  del Comité Técnico Interinstitucional para la Gestión de Aguas Subterráneas (CTI) Decreto Ejecutivo 42929-MINAE-MAG , 2021.</t>
  </si>
  <si>
    <t>Otro avance para el control y protección específicamente viene a partir de la emisión por arte de la DA del Plan estratégico Institucional de Control y Protección del Recurso hídrico. Proteger el agua es desarrollo sostenible y la posibilidad de un futuro próspero, que se encuentra en implementación desde 2021.</t>
  </si>
  <si>
    <t>Se recomienda actualizar de áreas de protección de ríos y nacientes pasando de definiciones arbitrarias a áreas efectivas. Esta propuesta se encuentra incorporada en el Proyecto de Ley de Gestión Integral del Recurso Hídrico 23511, actualmente en trámite en la Asamblea Legislativa.</t>
  </si>
  <si>
    <t>El fortalecimiento de capacidades de personas funcionarias públicas en materia GIRH también es una medida necesaria para la implementación de los instrumentos de gestión. Este fortalecimiento, como se ha sugerido, debería incluir a funcionarias/os municipales, sobre todo en este momento en que se empieza a incorporar la variable hídrica en los Planes Reguladores.  Además, es recomendable incluir a personas participantes de los distintos mecanismos de coordinación y participación existentes, en corredores biológicos, ASADAS, Sociedades de Usuarios, etc.</t>
  </si>
  <si>
    <t>[1] Consulte la definición de «supervisión» en el apartado de terminología que figura al comienzo de la sección 3.</t>
  </si>
  <si>
    <t>[2] Algunos de estos recursos son las medidas de gestión de la demanda (por ejemplo, medidas técnicas, incentivos financieros, educación y sensibilización para reducir el gasto de agua o potenciar el uso eficiente de los recursos hídricos, conservación, reciclaje y reutilización), el seguimiento del uso del agua (en particular, la capacidad de desglosar los datos por sector) y los mecanismos para distribuir agua entre distintos sectores (sin olvidar las consideraciones ambientales). Para responder a esta pregunta, es recomendable colaborar con el coordinador del indicador 6.4.1 de los ODS y tener en cuenta los resultados conexos.</t>
  </si>
  <si>
    <t>c. Control de la contaminación[1]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</si>
  <si>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sectores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</si>
  <si>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</si>
  <si>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</si>
  <si>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sectores y que se ofrece a lo largo y ancho del país es </t>
    </r>
    <r>
      <rPr>
        <b/>
        <sz val="10"/>
        <color theme="1"/>
        <rFont val="Open Sans Condensed"/>
      </rPr>
      <t>magnífica</t>
    </r>
    <r>
      <rPr>
        <sz val="10"/>
        <color theme="1"/>
        <rFont val="Open Sans Condensed"/>
      </rPr>
      <t xml:space="preserve">. </t>
    </r>
  </si>
  <si>
    <t>El país dispone de instrumentos para el control de la contaminación, tales como la Política Nacional de Saneamiento con su respectivo plan de inversión. Como instrumentos jurídicos el Reglamento para la calidad del agua potable, Decreto Ejecutivo 41499 de 2018, el Reglamento de Calidad de Cuerpos de Agua y plan control y monitoreo nacional. Existe además la Normativa para la construcción de Plantas de tratamiento de Aguas Residuales (PTAR) y el proyecto de alcantarillado sanitario por parte del AyA.</t>
  </si>
  <si>
    <t>La Dirección de Agua aplica el principio contaminador pagador a través de un Canon Ambiental por Vertidos, Decreto Ejecutivo 42128 de 2019, vigente desde 2020, que reforzó su funcionamiento con la reforma, se cuenta con un plan de Educación Ambiental.</t>
  </si>
  <si>
    <t>La mayor limitación en este campo viene de la limitación de recursos para hacer un efectivo monitoreo y control, que existen tanto en las instancias administrativas como judiciales, y que limita de manera importante el control de la contaminación a nivel nacional.</t>
  </si>
  <si>
    <t>Se recomienda coordinar acciones en materia de educación ambiental con el Ministerio de Educación Pública, particularmente en el GAM, de dónde se originan muchos de los desechos y residuos que luego contaminan cuenca abajo. El foco principal de esta colaboración debería ser la implementación del eje de cultura del agua contenido en la Política Hídrica Nacional.</t>
  </si>
  <si>
    <t>Reforzar los mecanismos de control y seguimiento existentes.</t>
  </si>
  <si>
    <t>Otra medida es fomentar el enfoque de prevención incorporando en el ordenamiento del territorio a nivel municipal. En el nivel Municipal es importante la sensibilización sobre el tema de la contaminación del agua y la influencia que algunos permisos municipales pueden tener.</t>
  </si>
  <si>
    <t>d. Gestión de la biodiversidad y los ecosistemas relacionados con el agua[2]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</si>
  <si>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distintos tipos de ecosistema y que se ofrece a lo largo y ancho del país es </t>
    </r>
    <r>
      <rPr>
        <b/>
        <sz val="10"/>
        <color theme="1"/>
        <rFont val="Open Sans Condensed"/>
      </rPr>
      <t>limitada</t>
    </r>
    <r>
      <rPr>
        <sz val="10"/>
        <color theme="1"/>
        <rFont val="Open Sans Condensed"/>
      </rPr>
      <t>.</t>
    </r>
  </si>
  <si>
    <r>
      <t xml:space="preserve">Los instrumentos de gestión se emplean </t>
    </r>
    <r>
      <rPr>
        <b/>
        <sz val="10"/>
        <color theme="1"/>
        <rFont val="Open Sans Condensed"/>
      </rPr>
      <t xml:space="preserve">a largo plazo </t>
    </r>
    <r>
      <rPr>
        <sz val="10"/>
        <color theme="1"/>
        <rFont val="Open Sans Condensed"/>
      </rPr>
      <t xml:space="preserve">y la cobertura en distintos tipos de ecosistema y que se ofrece a lo largo y ancho del país es </t>
    </r>
    <r>
      <rPr>
        <b/>
        <sz val="10"/>
        <color theme="1"/>
        <rFont val="Open Sans Condensed"/>
      </rPr>
      <t>aceptable</t>
    </r>
    <r>
      <rPr>
        <sz val="10"/>
        <color theme="1"/>
        <rFont val="Open Sans Condensed"/>
      </rPr>
      <t>. Las necesidades hídricas ambientales se analizan en algunos casos.</t>
    </r>
  </si>
  <si>
    <r>
      <t xml:space="preserve">Los instrumentos de gestión se emplean a largo plazo, son </t>
    </r>
    <r>
      <rPr>
        <b/>
        <sz val="10"/>
        <color theme="1"/>
        <rFont val="Open Sans Condensed"/>
      </rPr>
      <t>eficaces</t>
    </r>
    <r>
      <rPr>
        <sz val="10"/>
        <color theme="1"/>
        <rFont val="Open Sans Condensed"/>
      </rPr>
      <t xml:space="preserve"> y la cobertura en distintos tipos de ecosistema y que se ofrece a lo largo y ancho del país es </t>
    </r>
    <r>
      <rPr>
        <b/>
        <sz val="10"/>
        <color theme="1"/>
        <rFont val="Open Sans Condensed"/>
      </rPr>
      <t>muy buena</t>
    </r>
    <r>
      <rPr>
        <sz val="10"/>
        <color theme="1"/>
        <rFont val="Open Sans Condensed"/>
      </rPr>
      <t xml:space="preserve">. Las necesidades hídricas ambientales se analizan en la mayor parte del país. </t>
    </r>
  </si>
  <si>
    <r>
      <t xml:space="preserve">Los instrumentos de gestión se emplean a largo plazo, son </t>
    </r>
    <r>
      <rPr>
        <b/>
        <sz val="10"/>
        <color theme="1"/>
        <rFont val="Open Sans Condensed"/>
      </rPr>
      <t>muy eficaces</t>
    </r>
    <r>
      <rPr>
        <sz val="10"/>
        <color theme="1"/>
        <rFont val="Open Sans Condensed"/>
      </rPr>
      <t xml:space="preserve"> y la cobertura en distintos tipos de ecosistema y que se ofrece a lo largo y ancho del país es </t>
    </r>
    <r>
      <rPr>
        <b/>
        <sz val="10"/>
        <color theme="1"/>
        <rFont val="Open Sans Condensed"/>
      </rPr>
      <t>magnífica</t>
    </r>
    <r>
      <rPr>
        <sz val="10"/>
        <color theme="1"/>
        <rFont val="Open Sans Condensed"/>
      </rPr>
      <t>. Las necesidades hídricas ambientales se analizan en todo el país.</t>
    </r>
  </si>
  <si>
    <t xml:space="preserve">Medio bajo (40) </t>
  </si>
  <si>
    <t>En Costa Rica se cuenta con un Sistema Nacional de Áreas de Conservación (SINAC) que gestiona las Áreas Protegidas en unidades geográficas denominadas áreas de Conservación, que cubren todo el país. Este sistema se centra en la protección de la biodiversidad y ha presentado recientemente su Estrategia para la Conservación y Uso Sostenible del Recurso Hídrico 2021- 2026 que incluye como principio el reconocimiento de la función ecológica del agua como fuente de vida de las especies y ecosistemas. Además, el programa de Pago por Servicios ambiental tiene una modalidad de PSA hídrico.</t>
  </si>
  <si>
    <t>Existe también el Sistema Nacional de Monitoreo de cobertura y uso de la tierra y ecosistemas (SIMOCUTE).</t>
  </si>
  <si>
    <t>Como avances se pueden mencionar la Política Nacional de Áreas de Protección de Ríos Quebradas, Arroyos y Nacientes, del Ministerio de Ambiente y Energía (Minae), de octubre 2020.</t>
  </si>
  <si>
    <t>Se han implementado Corredores Biológicos Interurbanos Río Torres y Río María Aguilar, que constituyen una nueva figura enfocado en los ríos urbanos.</t>
  </si>
  <si>
    <t>Otro avance con potenciales impactos la protección de los ecosistemas relacionados con el agua es la aplicación de la Tarifa de Protección del Recurso Hídrico (TPRH) de ARESEP, esta es una tarifa que los operadores a agua potable pueden solicitar para proyectos de conservación que impacten la calidad y cantidad del agua.</t>
  </si>
  <si>
    <t>La implementación de la Estrategia de Conservación del Recurso Hídrico, así como la Política de Áreas de Protección de Ríos debe llevarse a todo el país.</t>
  </si>
  <si>
    <t>Revisar para la simplificación del nivel de exigencias y complejidad de trámites para solicitar la TPRH por parte de las ASADAS ante ARESEP, de manera que los proyectos de protección se puedan implementar para la mayoría de ASADAS.</t>
  </si>
  <si>
    <t>Desarrollar acciones de recuperación, restauración y conservación de ecosistemas de manera conjunta con SINAC.</t>
  </si>
  <si>
    <t>e. Instrumentos de gestión encaminados a reducir las repercusiones de los desastres relacionados con el agua[3] desde el nivel nacional.</t>
  </si>
  <si>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zonas de riesgo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</si>
  <si>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zonas y grupos de riesgo es </t>
    </r>
    <r>
      <rPr>
        <b/>
        <sz val="10"/>
        <color theme="1"/>
        <rFont val="Open Sans Condensed"/>
      </rPr>
      <t>aceptable</t>
    </r>
    <r>
      <rPr>
        <sz val="10"/>
        <color theme="1"/>
        <rFont val="Open Sans Condensed"/>
      </rPr>
      <t>.</t>
    </r>
  </si>
  <si>
    <r>
      <t xml:space="preserve">Los instrumentos de gestión se emplean a largo plazo, son </t>
    </r>
    <r>
      <rPr>
        <b/>
        <sz val="10"/>
        <color theme="1"/>
        <rFont val="Open Sans Condensed"/>
      </rPr>
      <t>eficaces</t>
    </r>
    <r>
      <rPr>
        <sz val="10"/>
        <color theme="1"/>
        <rFont val="Open Sans Condensed"/>
      </rPr>
      <t xml:space="preserve"> y la cobertura de zonas y grupos de riesgo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</si>
  <si>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zonas y grupos de riesgo es </t>
    </r>
    <r>
      <rPr>
        <b/>
        <sz val="10"/>
        <color theme="1"/>
        <rFont val="Open Sans Condensed"/>
      </rPr>
      <t>magnífica</t>
    </r>
    <r>
      <rPr>
        <sz val="10"/>
        <color theme="1"/>
        <rFont val="Open Sans Condensed"/>
      </rPr>
      <t xml:space="preserve">. </t>
    </r>
  </si>
  <si>
    <t>El país dispone de instrumentos ligados con la gestión de desastres vinculados con el agua, los cuales son: la Política Nacional de Gestión de Riesgo y el</t>
  </si>
  <si>
    <t>Plan Nacional de Gestión de Riesgo (2021-2025). La Política de Agua Potable también establece un lineamiento (4.4) sobre gestión del riesgo para la reducción del riesgo de desastres y se dispone del Plan de Gestión e infraestructura hídrica del Pacífico Norte.</t>
  </si>
  <si>
    <t>Además, el Reglamento de ASADAS emitido en el 2020, establece en su artículo 47 que las ASADAS deben contar con un plan de gestión del riesgo.  El reto principal aquí son las capacidades de apoyo de parte de AyA para lograr la aplicación generalizada de estos planes en las ASADAS, así como las capacidades instaladas en las ASADAS para generarlos.</t>
  </si>
  <si>
    <t>El reto principal es la implementación de estos instrumentos con un enfoque preventivo, pues en el país se han establecido los mecanismos de respuesta a las emergencias reactivamente y no tanto desde la planificación.</t>
  </si>
  <si>
    <r>
      <t xml:space="preserve">        </t>
    </r>
    <r>
      <rPr>
        <sz val="10"/>
        <color theme="1"/>
        <rFont val="Open Sans Condensed"/>
      </rPr>
      <t>Existe lo que se denomina el Plan A- Territorios Resilientes frente al Cambio Climático liderado por la Dirección de Cambio Climático (DCC) del MINAE.  Durante los años 2021 y 2022, el proyecto Plan-A llevó a cabo evaluaciones de riesgo climático en 20 cantones piloto, o análisis de riesgo cantonal.</t>
    </r>
  </si>
  <si>
    <t xml:space="preserve">      Para avanzar en la integración de la adaptación al cambio climático en la gestión territorial a nivel cantonal, se requiere el desarrollo de análisis de riesgo climático, que incluyan una consideración prioritaria del tema hídrico, para el resto del territorio nacional. Esto se está llevando a cabo en 2023 bajo el liderazgo del Instituto Meteorológico Nacional (IMN), implementando su metodología con ajustes adicionales.</t>
  </si>
  <si>
    <t>Fortalecer procesos de educación popular y socio-cultural en materia de gestión del riesgo</t>
  </si>
  <si>
    <t>Enfatizar la prevención en el trabajo de reducción de repercusiones de desastres relacionados con el agua, ya que se actúa de manera reactiva (cuando el desastre ya ocurrió) y no de manera preventiva (planes de prevención)</t>
  </si>
  <si>
    <t>Desarrollo de Sistemas de Alerta Temprana en cuencas con mayor riesgo.</t>
  </si>
  <si>
    <t>Generar un arreglo interinstitucional para la consolidación de la red nacional de estaciones hidrológicas y meteorológicas.</t>
  </si>
  <si>
    <t>Continuar con el proceso de generación de Planes de Seguridad del Agua por parte de las ASADAS, con la incorporación de la variable climática.</t>
  </si>
  <si>
    <t>a. Instrumentos de gestión de cuencas[4].</t>
  </si>
  <si>
    <r>
      <t>No</t>
    </r>
    <r>
      <rPr>
        <sz val="10"/>
        <color theme="1"/>
        <rFont val="Open Sans Condensed"/>
      </rPr>
      <t xml:space="preserve"> se utiliza ningún instrumento de gestión en el nivel de las cuencas. </t>
    </r>
  </si>
  <si>
    <r>
      <t xml:space="preserve">El uso de instrumentos de gestión en el nivel de las cuencas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</si>
  <si>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las cuencas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</si>
  <si>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las cuencas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</si>
  <si>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las cuencas se emplean más a largo plazo, los resultados son </t>
    </r>
    <r>
      <rPr>
        <b/>
        <sz val="10"/>
        <color theme="1"/>
        <rFont val="Open Sans Condensed"/>
      </rPr>
      <t>eficaces</t>
    </r>
    <r>
      <rPr>
        <sz val="10"/>
        <color theme="1"/>
        <rFont val="Open Sans Condensed"/>
      </rPr>
      <t>,</t>
    </r>
    <r>
      <rPr>
        <b/>
        <sz val="10"/>
        <color theme="1"/>
        <rFont val="Open Sans Condensed"/>
      </rPr>
      <t xml:space="preserve">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</si>
  <si>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 xml:space="preserve">Los instrumentos de gestión en el nivel de las cuencas se emplean más a largo plazo,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</si>
  <si>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En Costa Rica hay 34 cuencas y se dispone de algunos instrumentos específicos para la gestión de cuencas, pero no en la mayoría de ellas. Como ejemplos se pueden mencionar La Comisión de Implementación y Desarrollo de la Cuenca Arenal Tempisque, la Comisión de la Cuenca del Río Grande de Tárcoles y la Comisión de Manejo y Ordenamiento de la Cuenca Alta Río Reventazón (COMCURE). Además,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Se actualizó el Decreto Ejecutivo 43419-MINAE “Creación de la Comisión para el manejo integrado del acuífero Nimboyores y acuíferos costeros de Santa Cruz, Guanacaste (CONIMBOCO).  Sin embargo, es evidente que no se cuenta con instrumentos en todas las cuencas y la gestión tampoco es eficaz o de largo plazo en todos los casos de instrumentos de gestión existentes.</t>
  </si>
  <si>
    <t>En realidad, el trabajo que se realiza, con apoyos importantes de la Academia, es limitado y por proyectos.</t>
  </si>
  <si>
    <r>
      <t>Formas de avanzar</t>
    </r>
    <r>
      <rPr>
        <sz val="10"/>
        <color theme="1"/>
        <rFont val="Open Sans Condensed"/>
      </rPr>
      <t xml:space="preserve"> </t>
    </r>
  </si>
  <si>
    <t>Continuar y ampliar el trabajo en cuencas con un enfoque más sistemático y de largo plazo.  Esto requiere recursos, que podría provenir de iniciativas de la Academia que se puedan coordinar con las prioridades nacionales.</t>
  </si>
  <si>
    <t>Analizar potenciales intervenciones de organización en más cuencas prioritarias.  Este es un proceso que debería avanzar a pesar de las restricciones fiscales.</t>
  </si>
  <si>
    <t xml:space="preserve">Una nueva Ley de Aguas que verdaderamente integre y no sectorice también es fundamental. </t>
  </si>
  <si>
    <t>b. Instrumentos de gestión de acuíferos[5].</t>
  </si>
  <si>
    <r>
      <t>No</t>
    </r>
    <r>
      <rPr>
        <sz val="10"/>
        <color theme="1"/>
        <rFont val="Open Sans Condensed"/>
      </rPr>
      <t xml:space="preserve"> se utiliza ningún instrumento de gestión en el nivel de los acuíferos. </t>
    </r>
  </si>
  <si>
    <r>
      <t xml:space="preserve">El uso de instrumentos de gestión en el nivel de los acuíferos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</si>
  <si>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los acuíferos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</si>
  <si>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</si>
  <si>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los resultados son </t>
    </r>
    <r>
      <rPr>
        <b/>
        <sz val="10"/>
        <color theme="1"/>
        <rFont val="Open Sans Condensed"/>
      </rPr>
      <t xml:space="preserve">eficaces,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</si>
  <si>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Los instrumentos de gestión en el nivel de los acuíferos se emplean más</t>
    </r>
    <r>
      <rPr>
        <b/>
        <sz val="10"/>
        <color theme="1"/>
        <rFont val="Open Sans Condensed"/>
      </rPr>
      <t xml:space="preserve"> a largo plazo</t>
    </r>
    <r>
      <rPr>
        <sz val="10"/>
        <color theme="1"/>
        <rFont val="Open Sans Condensed"/>
      </rPr>
      <t xml:space="preserve">,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</si>
  <si>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t>Existen dos instrumentos de aplicación general para proteger los mantos acuíferos y establecer regulaciones para las construcciones y desarrollo de actividades agrícolas, "Matriz de Criterios de Uso del Suelo según la Vulnerabilidad a la Contaminación de Acuíferos para la Protección del Recurso Hídrico", conocida o nombrada como la "Matriz de Poás"; la cual fue aprobada por la Junta Directiva del SENARA por acuerdo 3303 en la Sesión Extraordinaria N. 239-06 del 26 de setiembre de 2006, se usará para todos los cantones del país, exceptuando el cantón de Poás en la provincia de Alajuela y la "Matriz Genérica de Protección de Acuíferos", la cual se utilizará únicamente en el cantón de Poás en la provincia de Alajuela; esta matriz fue aprobada por la Junta Directiva del SENARA por Acuerdo N°5497, en 2017.</t>
  </si>
  <si>
    <t>Además, se ha trabajado en la generación de estudios e información de los acuíferos, como el Mapa de Acuíferos.  El Sistema de Monitoreo de Agua Subterránea en tiempo real (SIMASTIR), es otra herramienta de importancia.</t>
  </si>
  <si>
    <t>Sin embargo, esto es parte de un proceso que todavía no se completa, y se necesitan mejores y más utilizados instrumentos de gestión.</t>
  </si>
  <si>
    <t>Continuar el proceso de generar instrumentos de uso amplio. Es necesario retomar el análisis sobre las Matrices de acuíferos y considerar la actualización de la Matriz actualmente en uso, que es relativamente antigua.</t>
  </si>
  <si>
    <t>Además, se debe seguir generando, recopilando e integrando informaciones existentes sobre este tema en los sistemas información geoespaciales existentes, de manera que se continúen mejorando con cada vez más información y de mejor calidad.</t>
  </si>
  <si>
    <t>Otro aspecto por mejorar en los sistemas de información es la accesibilidad al público, así como la presentación amigable.</t>
  </si>
  <si>
    <t>c. Difusión de información en el ámbito doméstico y a todos los niveles[6].</t>
  </si>
  <si>
    <r>
      <t>No</t>
    </r>
    <r>
      <rPr>
        <sz val="10"/>
        <color theme="1"/>
        <rFont val="Open Sans Condensed"/>
      </rPr>
      <t xml:space="preserve"> se difunde información.</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</si>
  <si>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t>
    </r>
  </si>
  <si>
    <r>
      <t>Existen</t>
    </r>
    <r>
      <rPr>
        <sz val="10"/>
        <color theme="1"/>
        <rFont val="Open Sans Condensed"/>
      </rPr>
      <t xml:space="preserve"> acuerdos de intercambio de información a más </t>
    </r>
    <r>
      <rPr>
        <b/>
        <sz val="10"/>
        <color theme="1"/>
        <rFont val="Open Sans Condensed"/>
      </rPr>
      <t>largo plazo</t>
    </r>
    <r>
      <rPr>
        <sz val="10"/>
        <color theme="1"/>
        <rFont val="Open Sans Condensed"/>
      </rPr>
      <t xml:space="preserve"> entre los principales proveedores de datos y los usuarios.</t>
    </r>
  </si>
  <si>
    <r>
      <t xml:space="preserve">Los acuerdos de intercambio de información se </t>
    </r>
    <r>
      <rPr>
        <b/>
        <sz val="10"/>
        <color theme="1"/>
        <rFont val="Open Sans Condensed"/>
      </rPr>
      <t xml:space="preserve">adoptan </t>
    </r>
    <r>
      <rPr>
        <sz val="10"/>
        <color theme="1"/>
        <rFont val="Open Sans Condensed"/>
      </rPr>
      <t>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</si>
  <si>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Los acuerdos de intercambio de información se adoptan 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muy buena</t>
    </r>
    <r>
      <rPr>
        <sz val="10"/>
        <color theme="1"/>
        <rFont val="Open Sans Condensed"/>
      </rPr>
      <t xml:space="preserve">. </t>
    </r>
  </si>
  <si>
    <t>Todos los datos de interés están disponibles en línea y son de dominio público. Existen medidas adecuadas para asegurar la integridad de los datos[7].</t>
  </si>
  <si>
    <r>
      <t>Situación y avances</t>
    </r>
    <r>
      <rPr>
        <sz val="10"/>
        <color theme="1"/>
        <rFont val="Open Sans Condensed"/>
      </rPr>
      <t>:</t>
    </r>
  </si>
  <si>
    <t xml:space="preserve">Para la difusión de información a nivel nacional, que incluye información a nivel local, se dispone del Sistema Nacional de Información para la Gestión </t>
  </si>
  <si>
    <t>Integrada del Recurso Hídrico, SINIGIRH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</si>
  <si>
    <t>Se cuenta también con el SINIA (Sistema Nacional de Información Ambiental) liderado por el CENIGA (Centro Nacional de Información Geoambiental) del MINAE y el SNIT (Sistema Nacional de Información Territorial) del IGN (Instituto Geográfico Nacional).</t>
  </si>
  <si>
    <t>Esta información se encuentra accesible en línea, y los sistemas institucionales han avanzado en los últimos años, sin embargo no se logra todavía un nivel de cobertura muy bueno.</t>
  </si>
  <si>
    <t>Adoptar medidas para hacer lo sistemas más amigables al usuario, tales como Incluir un glosario de acrónimos en la información que se difunde y mejores instrucciones que permitan un uso más amplio de la información, más allá de las personas con conocimientos técnicos.</t>
  </si>
  <si>
    <t>Difundir videos educativos para explicar la forma de acceso y los contenidos de estos sistemas existentes.</t>
  </si>
  <si>
    <r>
      <t xml:space="preserve">d. Intercambio de información transfronteriza </t>
    </r>
    <r>
      <rPr>
        <b/>
        <u/>
        <sz val="10"/>
        <color rgb="FF000000"/>
        <rFont val="Open Sans Condensed"/>
      </rPr>
      <t>entre</t>
    </r>
    <r>
      <rPr>
        <b/>
        <sz val="10"/>
        <color rgb="FF000000"/>
        <rFont val="Open Sans Condensed"/>
      </rPr>
      <t xml:space="preserve"> países.</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</si>
  <si>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o se produce de manera informal. </t>
    </r>
  </si>
  <si>
    <r>
      <t>Existen</t>
    </r>
    <r>
      <rPr>
        <sz val="10"/>
        <color theme="1"/>
        <rFont val="Open Sans Condensed"/>
      </rPr>
      <t xml:space="preserve"> acuerdos de intercambio de información, pero la difusión es </t>
    </r>
    <r>
      <rPr>
        <b/>
        <sz val="10"/>
        <color theme="1"/>
        <rFont val="Open Sans Condensed"/>
      </rPr>
      <t>limitada</t>
    </r>
    <r>
      <rPr>
        <sz val="10"/>
        <color theme="1"/>
        <rFont val="Open Sans Condensed"/>
      </rPr>
      <t>.</t>
    </r>
  </si>
  <si>
    <r>
      <t xml:space="preserve">Los acuerdos de intercambio de información </t>
    </r>
    <r>
      <rPr>
        <b/>
        <sz val="10"/>
        <color theme="1"/>
        <rFont val="Open Sans Condensed"/>
      </rPr>
      <t>se aplican de manera adecuada</t>
    </r>
    <r>
      <rPr>
        <sz val="10"/>
        <color theme="1"/>
        <rFont val="Open Sans Condensed"/>
      </rPr>
      <t>.</t>
    </r>
    <r>
      <rPr>
        <b/>
        <sz val="10"/>
        <color theme="1"/>
        <rFont val="Open Sans Condensed"/>
      </rPr>
      <t xml:space="preserve"> </t>
    </r>
  </si>
  <si>
    <t xml:space="preserve">Los acuerdos de intercambio de información se aplican de manera eficaz[8]. </t>
  </si>
  <si>
    <t>Existe un mecanismo de trabajo en la cuenca binacional de Río Sixaola. Este mecanismo se formaliza a través de la Comisión Binacional (Costa Rica-Panamá) de la misma cuenca y que trabaja desde 2009.  Esta es la plataforma de referencia en la gestión que se realiza en el marco del Convenio para el para el Desarrollo Fronterizo Costa Rica- Panamá. Cuenta con la participación de 35 organizaciones incluyendo ambos gobiernos, el sector privado y los territorios indígenas de la zona.</t>
  </si>
  <si>
    <t>La Comisión facilita el intercambio de información de manera adecuada y se mantiene con una visión de largo plazo.</t>
  </si>
  <si>
    <t>Una manera de mejorar el trabajo en la cuenca transfronteriza del Río Sixaola es ampliar el trabajo para incluir el tema de aguas subterráneas.  Así se podrán desarrollar acciones en favor del acuífero transfronterizo, a nivel subterráneo y no solo la cuenca y las aguas superficiales.</t>
  </si>
  <si>
    <t>Como se ha indicado en secciones anteriores, es necesaria una evaluación para determinar la posibilidad de ejecutar acciones positivas para la cuenca transfronteriza del Río San Juan.</t>
  </si>
  <si>
    <t>[1] Comprende normativas, directrices sobre la calidad del agua, el seguimiento de la calidad del agua, instrumentos económicos (como impuestos y tasas), sistemas de mercados de cuotas de contaminación, la educación, el análisis de las fuentes de contaminación localizadas y no localizadas (como la agricultura), la construcción y el funcionamiento de plantas de tratamiento de aguas residuales y la gestión de cuencas hidrográficas. Para responder a esta pregunta, es recomendable colaborar con el coordinador del indicador 6.3.2 de los ODS y tener en cuenta los resultados conexos.</t>
  </si>
  <si>
    <t>[2] Los ecosistemas relacionados con el agua son, entre otros, los ríos, los lagos, los acuíferos, los humedales, los bosques y las montañas. La gestión de estos ecosistemas abarca instrumentos como los planes de gestión, la evaluación de las necesidades hídricas ambientales y la protección de las zonas y las especies dirigidos a garantizar las funciones y los servicios de los ecosistemas. El seguimiento engloba la cuantificación de la extensión y la calidad de los ecosistemas a lo largo del tiempo. Para responder a esta pregunta, estudie la posibilidad de colaborar con el coordinador del indicador 6.6.1 de los ODS y de tener en cuenta el marco mundial de la diversidad biológica posterior a 2020 (en el marco del Convenio sobre la Diversidad Biológica).</t>
  </si>
  <si>
    <t>[3] Los «instrumentos de gestión» pueden abarcar el conocimiento del riesgo de desastres, así como el fortalecimiento de su gobernanza y la inversión en su reducción, y la contribución a la preparación para casos de desastre. Las «repercusiones» son de tipo social (como muertes, personas desaparecidas y cifra de afectados) y económico (como pérdidas económicas en términos del PIB). Los «desastres relacionados con el agua» son, entre otros, los desastres que se clasifican en las siguientes categorías: hidrológicos (inundaciones, corrimientos de tierras y oleajes), meteorológicos (tormentas convectivas, tormentas extratropicales, temperaturas extremas, niebla y ciclones tropicales), climatológicos (sequías, desbordamientos repentinos de lagos glaciares e incendios forestales) y sucesos de contaminación grave. Para responder a esta pregunta, es recomendable colaborar con el coordinador del indicador 11.5.1 de los ODS y tener en cuenta los resultados conexos.</t>
  </si>
  <si>
    <t xml:space="preserve">[4] La gestión de cuencas y acuíferos implica la gestión del agua en la escala hidrológica correspondiente empleando las aguas superficiales de las cuencas o acuíferos como unidad de gestión, y puede requerir el desarrollo, el uso y la elaboración de planes de protección de acuíferos y cuencas. También ha de fomentar la cooperación entre varios niveles y dar respuesta a los conflictos que puedan surgir entre usuarios, partes interesadas e instancias del Gobierno. Para obtener 100 puntos («muy alto») en la gestión de cuencas y acuíferos, la administración de aguas superficiales y subterráneas tiene que estar integrada. </t>
  </si>
  <si>
    <t>[5] Véase la nota a pie de página anterior sobre instrumentos de gestión de cuencas, que también se aplica a los acuíferos.</t>
  </si>
  <si>
    <t xml:space="preserve">[6] Comprende acuerdos más formales de intercambio de datos entre usuarios, así como el acceso de la población general cuando proceda. </t>
  </si>
  <si>
    <r>
      <t>[7]</t>
    </r>
    <r>
      <rPr>
        <sz val="10"/>
        <color theme="1"/>
        <rFont val="Open Sans Condensed"/>
      </rPr>
      <t xml:space="preserve"> La integridad de los datos es el mantenimiento y la garantía de la exactitud y la coherencia de los datos a lo largo de todo su ciclo de vida.</t>
    </r>
  </si>
  <si>
    <t>[8] Por ejemplo, se han puesto en práctica mecanismos técnicos e institucionales que permiten el intercambio de información de conformidad con los acuerdos entre países ribereños (como una base de datos regional o una plataforma de intercambio de datos con una organización de una cuenca fluvial que incluye los requisitos técnicos para enviar datos, mecanismos institucionalizados para el control de la calidad y el análisis de los datos, etc.).</t>
  </si>
  <si>
    <t>4. Financiación</t>
  </si>
  <si>
    <t>4.1 ¿Cuál es la situación de la financiación del desarrollo y la gestión de los recursos hídricos a nivel nacional?</t>
  </si>
  <si>
    <r>
      <t>a. Presupuesto nacional</t>
    </r>
    <r>
      <rPr>
        <vertAlign val="superscript"/>
        <sz val="10"/>
        <color rgb="FF000000"/>
        <rFont val="Open Sans Condensed"/>
      </rPr>
      <t>[1]</t>
    </r>
    <r>
      <rPr>
        <b/>
        <sz val="10"/>
        <color rgb="FF000000"/>
        <rFont val="Open Sans Condensed"/>
      </rPr>
      <t xml:space="preserve"> </t>
    </r>
    <r>
      <rPr>
        <sz val="10"/>
        <color rgb="FF000000"/>
        <rFont val="Open Sans Condensed"/>
      </rPr>
      <t xml:space="preserve">para la </t>
    </r>
    <r>
      <rPr>
        <b/>
        <sz val="10"/>
        <color rgb="FF000000"/>
        <rFont val="Open Sans Condensed"/>
      </rPr>
      <t>infraestructura</t>
    </r>
    <r>
      <rPr>
        <vertAlign val="superscript"/>
        <sz val="10"/>
        <color rgb="FF000000"/>
        <rFont val="Open Sans Condensed"/>
      </rPr>
      <t>[2]</t>
    </r>
    <r>
      <rPr>
        <b/>
        <sz val="10"/>
        <color rgb="FF000000"/>
        <rFont val="Open Sans Condensed"/>
      </rPr>
      <t xml:space="preserve"> </t>
    </r>
    <r>
      <rPr>
        <sz val="10"/>
        <color rgb="FF000000"/>
        <rFont val="Open Sans Condensed"/>
      </rPr>
      <t xml:space="preserve">de los recursos hídricos (inversiones y gastos recurrentes). </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</si>
  <si>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nacionales de inversiones.</t>
    </r>
  </si>
  <si>
    <r>
      <t xml:space="preserve">Se han asignado </t>
    </r>
    <r>
      <rPr>
        <b/>
        <sz val="10"/>
        <color theme="1"/>
        <rFont val="Open Sans Condensed"/>
      </rPr>
      <t>algunos fondos</t>
    </r>
    <r>
      <rPr>
        <sz val="10"/>
        <color theme="1"/>
        <rFont val="Open Sans Condensed"/>
      </rPr>
      <t>,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</si>
  <si>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pero los que se han desembolsado o están disponibles no bastan.</t>
    </r>
    <r>
      <rPr>
        <b/>
        <sz val="10"/>
        <color theme="1"/>
        <rFont val="Open Sans Condensed"/>
      </rPr>
      <t xml:space="preserve"> </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</si>
  <si>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t>
    </r>
  </si>
  <si>
    <t>Se han desembolsado fondos suficientes para las inversiones y los gastos recurrentes, y se recurre a ellos en todos los proyectos previstos. Existen uno o varios mecanismos de rendición de cuentas[3].</t>
  </si>
  <si>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</si>
  <si>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–Pacífico Norte (PIAAG), presupuesto para educación ambiental, para ejecución de acciones de protección y conservación de los recursos hídricos e implementación de buenas prácticas agropecuarias. No obstante, los recursos están lejos de ser suficientes, y no se logra cubrir todas las necesidades de inversión del sector, ni de hacer las adaptaciones necesarias con miras al cambio climático. Se agrega que los presupuestos institucionales se encuentran afectados por la regla fiscal aprobada en 2018 y todavía más afectados por efectos de la pandemia del período 2020-2022.</t>
  </si>
  <si>
    <t>La Empresa de Servicios Públicos de Heredia, que es otro operador de agua potable y saneamiento, tienen también un Plan de Inversiones 2022 - 2026.</t>
  </si>
  <si>
    <t>Es necesario puntualizar que, a pesar del duro efecto de la pandemia, se sostuvo la recaudación de los cánones de agua y de vertidos. Sin embargo, hay limitaciones de gasto de los cánones, y el Ministerio de Hacienda autorizó en 2022 la ejecución de un 40 a 50% de los 10 millones de dólares que se recaudados. De 2020-2022 no se invirtió más de 1700 millones de colones. En 2023 se continúa con las limitaciones.</t>
  </si>
  <si>
    <t>Entonces se puede decir que en el tema presupuestario hay un gran retroceso, hay financiamiento que se ha ido perdiendo y no se está ejecutando.</t>
  </si>
  <si>
    <t>Como ejemplos se puede mencionar el financiamiento en infraestructura en agua potable que se ha tenido y se ha implementado en un 0,4% (Reducción de Agua no contabilizada o RANC), en agua para riego se tiene tarifa, pero no se han generado nuevos créditos ni nuevos financiamientos (mantenimiento si); saneamiento igual a lo experimentado en agua potable; lo del canon (agua potable y vertidos) se trunca con decisiones del Ministerio de Hacienda.</t>
  </si>
  <si>
    <t>En Gobiernos anteriores se ha apoyado el financiamiento externo, pero, en el caso del AyA respecto a agua potable y saneamiento. No se trata de falta de fuentes de financiamiento, sino que hay problemas de capacidad del estado de ejecutar esos fondos.</t>
  </si>
  <si>
    <t>Desde la perspectiva de las ASADAS es notorio que se pierden recursos para poder invertir; la consecución de fondos es difícil y complicada; otro tema es el tema tarifario, con una mejor tarifa se puede gestionar mejor y ejecutar más inversiones y acceder a créditos con esos nuevos recursos. Además, hay pérdida de oportunidades para articular con la cooperación, ante el reajuste de prioridades que dificulta establecer mejores sinergias para impulsar el financiamiento; el tema agua no aparece en todas las agendas. Sobre las inversiones de presupuesto nacional, las inversiones de agua orientadas a variabilidad climática no se están haciendo, no se están priorizando. La crisis fiscal ha impactado todos los rubros del país, ello impide el contar con recursos financieros.</t>
  </si>
  <si>
    <t>Desde el sector público es necesario llevar la visión de GIRH a más personas funcionarias, ejerciendo un liderazgo a multinivel que permita que el tema de agua sea priorizado a nivel ministerial.  Esto implica un ejercicio más efectivo de la rectoría del agua.</t>
  </si>
  <si>
    <t>Para apoyar la labor publica se requiere también de una sociedad civil más fortalecida y presente en la agenda del agua (con formación y comprensión en el tema agua) y modificar el modelo de gestión de agua de las ASADAS, de manera que exista mayores posibilidades de acceso y de gestionar fondos.</t>
  </si>
  <si>
    <t>b. Presupuesto nacional de los elementos de la GIRH[4]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</si>
  <si>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</si>
  <si>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y la implementación está en sus primeras etapas.</t>
    </r>
  </si>
  <si>
    <r>
      <t>Se han asignado fondos a</t>
    </r>
    <r>
      <rPr>
        <b/>
        <sz val="10"/>
        <color theme="1"/>
        <rFont val="Open Sans Condensed"/>
      </rPr>
      <t>, como mínimo, la mitad</t>
    </r>
    <r>
      <rPr>
        <sz val="10"/>
        <color theme="1"/>
        <rFont val="Open Sans Condensed"/>
      </rPr>
      <t xml:space="preserve"> de los elementos de la GIRH,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</si>
  <si>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y algunos se están poniendo en práctica.</t>
    </r>
  </si>
  <si>
    <r>
      <t xml:space="preserve">Se han asignado fondos a </t>
    </r>
    <r>
      <rPr>
        <b/>
        <sz val="10"/>
        <color theme="1"/>
        <rFont val="Open Sans Condensed"/>
      </rPr>
      <t>todos</t>
    </r>
    <r>
      <rPr>
        <sz val="10"/>
        <color theme="1"/>
        <rFont val="Open Sans Condensed"/>
      </rPr>
      <t xml:space="preserve"> los elementos de la GIRH y estos se ponen en práctica con frecuencia (inversiones y gastos recurrentes). Existen uno o varios mecanismos de rendición de cuentas.</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</si>
  <si>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los presupuestos se han revisado y ajustado. Los mecanismos de rendición de cuentas son eficaces.</t>
    </r>
  </si>
  <si>
    <t xml:space="preserve">Se han desarrollado fuentes específicas de financiamiento como el canon de aguas, canon ambiental por vertidos, la tarifa de protección del recurso hídrico, el </t>
  </si>
  <si>
    <t>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Sin embargo, existe retroceso porque la gestión implica mejoras en gobernanza, estudios, mejora en la participación de los actores según territorio; se tiene un mínimo para operar.</t>
  </si>
  <si>
    <t>Limitantes de Regla Fiscal que establece un tope máximo a la inversión de la Dirección de Agua del MINAE, de los fondos proveniente de los cánones por aprovechamiento y por vertido. Se tiene mayor ingreso, muy superior a lo autorizado y recaudo efectivo, que de permitirse usarse el país tendría vance mayor en los elementos de gestión de la GIRH.</t>
  </si>
  <si>
    <t>Existe el plan de adaptación al cambio climático, pero en la práctica su avance es limitado. No se tienen mecanismos de financiamiento innovadores que integren cambio climático e infraestructura en agua, por ejemplo.</t>
  </si>
  <si>
    <t xml:space="preserve">         El Plan de Adaptación al Cambio Climático, como se ha dicho debe ser implementado. Asimismo, se deben hacer las inversiones que permitan enfrentar los desafíos climáticos en el tema de infraestructura para el agua potable y el saneamiento.  Sin embargo, no se está ejecutando.</t>
  </si>
  <si>
    <t xml:space="preserve">       Existe heterogeneidad de prioridades y ello afecta el contar con una visión coherente de lo que es la GIRH para Costa Rica y de cómo se incorpora la variable climática.</t>
  </si>
  <si>
    <t xml:space="preserve">   Un avance fue la ejecución de la primera etapa de análisis de ASADAS en la zona norte respecto a cambio climático, es necesario ampliarla a todo el país.</t>
  </si>
  <si>
    <t>El presupuesto y financiamiento debería estar articulado con una nueva política GIRH y con una nueva ley de recurso hídrico que incorporan la variable climática, entre otras innovaciones.</t>
  </si>
  <si>
    <t>Liberación del tope presupuestario a la Dirección de Agua para invertir el 100% de los ingresos de los cánones.</t>
  </si>
  <si>
    <t>Ampliar el análisis de vulnerabilidad climática a todas las ASADAS del país, esto puede permitir que se prioricen inversiones de alto impacto en cuanto a adaptación.</t>
  </si>
  <si>
    <t xml:space="preserve">a. Presupuesto subnacional o de las cuencas para la infraestructura[5] de los recursos hídricos (inversiones y costos recurrentes). </t>
  </si>
  <si>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de inversiones subnacionales o de las cuencas.</t>
    </r>
  </si>
  <si>
    <r>
      <t xml:space="preserve">Se han asignado </t>
    </r>
    <r>
      <rPr>
        <b/>
        <sz val="10"/>
        <color theme="1"/>
        <rFont val="Open Sans Condensed"/>
      </rPr>
      <t xml:space="preserve">algunos fondos </t>
    </r>
    <r>
      <rPr>
        <sz val="10"/>
        <color theme="1"/>
        <rFont val="Open Sans Condensed"/>
      </rPr>
      <t>en planes de inversión a nivel subnacional o de las cuencas,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</si>
  <si>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en planes de inversión a nivel subnacional o de las cuencas, pero los que se han desembolsado o están disponibles no bastan.</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</si>
  <si>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 </t>
    </r>
  </si>
  <si>
    <r>
      <t xml:space="preserve">Se han desembolsado fondos suficientes para las inversiones y los gastos recurrentes, y </t>
    </r>
    <r>
      <rPr>
        <b/>
        <sz val="10"/>
        <color theme="1"/>
        <rFont val="Open Sans Condensed"/>
      </rPr>
      <t>se recurre a ellos en todos</t>
    </r>
    <r>
      <rPr>
        <sz val="10"/>
        <color theme="1"/>
        <rFont val="Open Sans Condensed"/>
      </rPr>
      <t xml:space="preserve"> los proyectos previstos. Existen uno o varios mecanismos de rendición de cuentas.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</si>
  <si>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</si>
  <si>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t xml:space="preserve">Los presupuestos se asignan a partir de unidades de planificación del territorio establecidas por el Ministerio de Planificación Nacional y Política </t>
  </si>
  <si>
    <t>Económica (MIDEPLAN).  Los municipios han incrementado más las inversiones con fines de cubrir la demanda y mejoras en calidad y en control de daños por inundaciones y un poquito en prevención, tanto en municipios como ASADAS el accionar es reactivo, no preventivo y así es la asignación presupuestaria.No obstante, los recursos a nivel nacional no están siendo trasladados de una forma eficiente y eficaz a nivel local.  No hay aportes hacia cuencas.  Además, algunas Municipalidades asignan presupuesto para temas de GIRH, pero no todas ellas.</t>
  </si>
  <si>
    <t>Hay proyectos en ESPH y otros municipios como Alajuela, pero el tema de financiación está detenido. A nivel de las municipalidades, están caminando hacia una visión que integra varios operadores ante la necesidad de búsqueda de nuevas fuentes de abastecimiento, las intervenciones siguen siendo focalizadas en función de las necesidades de cada uno. Como avance importante, en el año 2018,  fue aprobada mediante resolución RE-0213-JD-2018, la Metodología Tarifaria para la Protección del Recurso Hídrico, y en 2021 la ARESEP (Autoridad Reguladora de los Servicios Públicos) lanza el documento final y oficial de la “Guía para solicitar la Tarifa del Protección del Recurso Hídrico y el Diseño del Plan Quinquenal”. Mediante la tarifa de protección del Recurso Hídrico se pueden financiar acciones de protección de cuencas y ríos, áreas de recarga, acciones de recuperación de bosques, mejores prácticas o proyectos educativos para asegurar la calidad y cantidad de agua para consumo humano en el tiempo. La Empresa de Servicios Públicos de Heredia (ESPH) y el AyA tienen tarifas hídricas aprobadas y en ejecución. Muy pocas ASADAS o Acueductos Comunales, han logrado completar el trámite de aprobación de la Tarifa, en el 2022 se aprobó la primera y en 2023 una segunda. Hay un grupo de ASADAS que están en el proceso de solicitud de tarifa de protección. Sin embargo, es una cantidad mínima, considerando que existen alrededor de 1400 ASADAS. Existe un Proyecto de Ley que busca facilitar a las ASADAS la obtención de la Tarifa de Protección sin ningún requisito, que se encuentra en corriente legislativa.
Algunas Municipalidades que tienen acueductos, también ha aprobado tarifas de protección, como La Unión, Cartago y Alajuela.</t>
  </si>
  <si>
    <t>En el caso específico de la COMCURE se responde a una visión más integral, pero se puede mejorar y reactivar. AyA por su parte, está promoviendo el desarrollo de planes maestros con visión de cuenca.</t>
  </si>
  <si>
    <t>Es necesario modificar la forma de gestión y lograr que se priorice el tema hídrico en la asignación de presupuestos no sólo a nivel nacional sino local.</t>
  </si>
  <si>
    <t>En este tema, como en otros las acciones de divulgación y capacitación a distintos niveles, son fundamentales para que se comprenda la trascendencia del tema y en consecuencia se asignen recursos.</t>
  </si>
  <si>
    <t>b. Ingresos recaudados para los elementos de la GIRH[6].</t>
  </si>
  <si>
    <r>
      <t xml:space="preserve">No </t>
    </r>
    <r>
      <rPr>
        <sz val="10"/>
        <color theme="1"/>
        <rFont val="Open Sans Condensed"/>
      </rPr>
      <t xml:space="preserve">se recaudan </t>
    </r>
    <r>
      <rPr>
        <b/>
        <sz val="10"/>
        <color theme="1"/>
        <rFont val="Open Sans Condensed"/>
      </rPr>
      <t>ingresos</t>
    </r>
    <r>
      <rPr>
        <sz val="10"/>
        <color theme="1"/>
        <rFont val="Open Sans Condensed"/>
      </rPr>
      <t xml:space="preserve"> para los elementos de la GIRH.</t>
    </r>
  </si>
  <si>
    <r>
      <t>Se han establecido procesos</t>
    </r>
    <r>
      <rPr>
        <sz val="10"/>
        <color theme="1"/>
        <rFont val="Open Sans Condensed"/>
      </rPr>
      <t xml:space="preserve"> para recaudar ingresos, pero </t>
    </r>
    <r>
      <rPr>
        <b/>
        <sz val="10"/>
        <color theme="1"/>
        <rFont val="Open Sans Condensed"/>
      </rPr>
      <t>aún no se han puesto en práctica</t>
    </r>
    <r>
      <rPr>
        <sz val="10"/>
        <color theme="1"/>
        <rFont val="Open Sans Condensed"/>
      </rPr>
      <t>.</t>
    </r>
  </si>
  <si>
    <r>
      <t>Se han recaudado algunos ingresos</t>
    </r>
    <r>
      <rPr>
        <sz val="10"/>
        <color theme="1"/>
        <rFont val="Open Sans Condensed"/>
      </rPr>
      <t>, pero no se suelen invertir en actividades de GIRH.</t>
    </r>
  </si>
  <si>
    <r>
      <t xml:space="preserve">Los ingresos que se han recaudado cubren el costo de </t>
    </r>
    <r>
      <rPr>
        <b/>
        <sz val="10"/>
        <color theme="1"/>
        <rFont val="Open Sans Condensed"/>
      </rPr>
      <t>algunas</t>
    </r>
    <r>
      <rPr>
        <sz val="10"/>
        <color theme="1"/>
        <rFont val="Open Sans Condensed"/>
      </rPr>
      <t xml:space="preserve"> actividades de GIRH.</t>
    </r>
  </si>
  <si>
    <r>
      <t xml:space="preserve">Los ingresos que se han recaudado cubren el costo de </t>
    </r>
    <r>
      <rPr>
        <b/>
        <sz val="10"/>
        <color theme="1"/>
        <rFont val="Open Sans Condensed"/>
      </rPr>
      <t xml:space="preserve">la mayoría </t>
    </r>
    <r>
      <rPr>
        <sz val="10"/>
        <color theme="1"/>
        <rFont val="Open Sans Condensed"/>
      </rPr>
      <t>de las actividades de GIRH. Existen uno o varios mecanismos de rendición de cuentas.</t>
    </r>
  </si>
  <si>
    <r>
      <t xml:space="preserve">Los ingresos que se han recaudado cubren el costo de </t>
    </r>
    <r>
      <rPr>
        <b/>
        <sz val="10"/>
        <color theme="1"/>
        <rFont val="Open Sans Condensed"/>
      </rPr>
      <t>todas</t>
    </r>
    <r>
      <rPr>
        <sz val="10"/>
        <color theme="1"/>
        <rFont val="Open Sans Condensed"/>
      </rPr>
      <t xml:space="preserve"> las actividades de GIRH. Los mecanismos de rendición de cuentas son eficaces.</t>
    </r>
  </si>
  <si>
    <t>La DA recauda los fondos del Canon de Agua y el Canon Ambiental de vertidos. Esta recaudación se ha mantenido a pesar de la situación de pandemia. Los ingresos por los cánones de la Dirección de Agua es una fuente ordinaria y robusta de recursos.</t>
  </si>
  <si>
    <t xml:space="preserve">Además, se cuenta ingresos por servicios.  El país cuenta además con elementos como la tarifa de protección del recurso hídrico.  y cooperación no reembolsable de organismos externosEn el año 2018, fue aprobada mediante resolución RE-0213-JD-2018, la Metodología Tarifaria para la Protección del Recurso Hídrico, y en 2021 la ARESEP lanza el documento final y oficial de la “Guía para solicitar la Tarifa del Protección del Recurso Hídrico y el Diseño del Plan Quinquenal”. Esta tarifa voluntaria todavía no se aplica de manera generalizada, pero presenta una posibilidad de financiar algunos proyectos destinados a la conservación del recurso hídrico con miras a aumentar cantidad y calidad de agua en el tiempo, pero no proyectos de infraestructura para el servicio de agua potable y saneamiento en el giro normal del servicio. Aun así, es una posibilidad de recursos financieros basados en tarifa.
Para el AyA existe otro problema actual, que es la disminución de la tarifa de agua aprobada por ARESEP en junio de 2023. Esto puede afectar el Plan de Inversiones en Agua Potable 2021-2026 – AyA y sistemas delegados y el Plan de Inversiones en Saneamiento 2021-2026. La reducción en tarifa al AyA le permite operar, pero le limita ejecutar a acciones necesarias como por ejemplo la asesoría a ASADAS y el tema de investigación y monitoreo en acuíferos.  Lo anterior puede derivar en sobreexplotación de acuíferos. </t>
  </si>
  <si>
    <t>La principal limitación es que, aunque se tienen los fondos no se están ejecutando, ya sea por problemas en la ejecución o por restricciones fiscales. Asimismo, algunos instrumentos de los mencionados no cubren todas las organizaciones o todo el territorio.</t>
  </si>
  <si>
    <t>Deficiencia en cuanto a los mecanismos de rendición de cuentas.</t>
  </si>
  <si>
    <t>Es recomendable robustecer los mecanismos existentes con esquemas de rendición de cuentas y hacer extensivos los instrumentos que ya se tienen a otras áreas y organizaciones.</t>
  </si>
  <si>
    <t>Generar nuevos instrumentos económicos, que permitan ampliar las fuentes de financiamiento existentes.</t>
  </si>
  <si>
    <t>Finalmente, incluir el tema de la financiación y los mecanismos existentes en todos los esfuerzos  de divulgación de los instrumentos disponibles para la recaudación de ingresos para elementos de la GIRH.</t>
  </si>
  <si>
    <t>[1] La dotación de fondos para recursos hídricos puede incluirse en múltiples categorías presupuestarias o en distintos documentos de inversión. Por lo tanto, instamos a quienes cumplimenten la encuesta a que analicen diversas fuentes para obtener esta información. A la hora de evaluar las asignaciones, los encuestados han de tomar en consideración los fondos que proceden de los presupuestos del Estado y todos los casos de financiación conjunta (préstamos o subvenciones) de otras fuentes, como bancos o donantes.</t>
  </si>
  <si>
    <r>
      <t>[2]</t>
    </r>
    <r>
      <rPr>
        <sz val="10"/>
        <color theme="1"/>
        <rFont val="Open Sans Condensed"/>
      </rPr>
      <t xml:space="preserve"> La infraestructura abarca tanto estructuras materiales —presas, canales, sistemas de riego, defensas contra las inundaciones, drenaje de aguas pluviales, etc.— como estructuras inmateriales y ecológicas y medidas ambientales, como la gestión de la captación de agua, los sistemas de drenaje sostenibles, etc. La atención debería centrarse en la infraestructura relacionada con la gestión general de los recursos hídricos, no las</t>
    </r>
    <r>
      <rPr>
        <b/>
        <sz val="10"/>
        <color theme="1"/>
        <rFont val="Open Sans Condensed"/>
      </rPr>
      <t xml:space="preserve"> </t>
    </r>
    <r>
      <rPr>
        <sz val="10"/>
        <color theme="1"/>
        <rFont val="Open Sans Condensed"/>
      </rPr>
      <t xml:space="preserve">infraestructuras relacionadas con el suministro de agua potable o los servicios de saneamiento [WASH] (puesto que la financiación del sector de WASH se examina en las encuestas para el Análisis y Evaluación Mundiales del Saneamiento y el Agua Potable [GLAAS]). Todas las diferencias presupuestarias entre los recursos hídricos y las infraestructuras de WASH deben explicarse en el apartado de «Situación y avances». Los presupuestos tienen que abarcar las inversiones iniciales y los gastos recurrentes que conllevan el funcionamiento y el mantenimiento. </t>
    </r>
  </si>
  <si>
    <t>[3] Véase la definición de «mecanismos de rendición de cuentas» que figura en el glosario del anexo 3.</t>
  </si>
  <si>
    <t>[4] Los «elementos de la GIRH» abarcan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t>
  </si>
  <si>
    <t>[5] Véanse las notas a pie de página 47 y 48 relativas a la pregunta 4.1.a.</t>
  </si>
  <si>
    <t>[6] Los «elementos de la GIRH» se explican en la nota a pie de página anterior. Nivel: es probable que los ingresos procedan de los usuarios del ámbito local, del de las cuencas o del de los acuíferos, aunque también pueden obtenerse en otros niveles nacionales o subnacionales (indique cuáles en el apartado «Situación y avances»). La recaudación de ingresos puede darse a través de las autoridades públicas o del sector privado (por ejemplo, mediante tasas, tarifas, gravámenes, impuestos y sistemas de «financiación combinada»). Algunos ejemplos son la imposición de tarifas o gravámenes específicos a los usuarios del agua (sin olvidar la esfera de los hogares si los ingresos se emplean en elementos de la GIRH); las tarifas por la extracción de agua y el agua no embotellada; las tasas por la descarga; las tasas relacionadas con el medio ambiente, como el canon de contaminación; los programas de pago por los servicios de los ecosistemas; y la venta de productos y servicios secundarios.</t>
  </si>
  <si>
    <t>c. Financiación de la cooperación transfronteriza[1].</t>
  </si>
  <si>
    <r>
      <t xml:space="preserve">No se han asignado fondos concretos </t>
    </r>
    <r>
      <rPr>
        <sz val="10"/>
        <color theme="1"/>
        <rFont val="Open Sans Condensed"/>
      </rPr>
      <t>en los presupuestos de los Estados Miembros ni a partir de otras fuentes estables.</t>
    </r>
  </si>
  <si>
    <r>
      <t xml:space="preserve">Los Estados Miembros han </t>
    </r>
    <r>
      <rPr>
        <b/>
        <sz val="10"/>
        <color theme="1"/>
        <rFont val="Open Sans Condensed"/>
      </rPr>
      <t>llegado a un acuerdo</t>
    </r>
    <r>
      <rPr>
        <sz val="10"/>
        <color theme="1"/>
        <rFont val="Open Sans Condensed"/>
      </rPr>
      <t xml:space="preserve"> sobre las contribuciones de cada país y la asistencia en especie para organizar o concertar la cooperación. </t>
    </r>
  </si>
  <si>
    <r>
      <t xml:space="preserve">Se ha obtenido </t>
    </r>
    <r>
      <rPr>
        <b/>
        <sz val="10"/>
        <color theme="1"/>
        <rFont val="Open Sans Condensed"/>
      </rPr>
      <t xml:space="preserve">menos del 50% de la financiación prevista </t>
    </r>
    <r>
      <rPr>
        <sz val="10"/>
        <color theme="1"/>
        <rFont val="Open Sans Condensed"/>
      </rPr>
      <t>en forma de contribuciones y por norma.</t>
    </r>
  </si>
  <si>
    <r>
      <t xml:space="preserve">Se ha obtenido </t>
    </r>
    <r>
      <rPr>
        <b/>
        <sz val="10"/>
        <color theme="1"/>
        <rFont val="Open Sans Condensed"/>
      </rPr>
      <t xml:space="preserve">menos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</si>
  <si>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más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</si>
  <si>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el 100%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</si>
  <si>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t>En el caso del Acuerdo transfronterizo de la Cuenca del Río Sixaola (vigente) existen líneas de financiación binacional, en particular con fondos GEF. Además, dentro de esa estructura de Acuerdo, los Ministerios de planificación de Costa Rica y Panamá buscan recursos en conjunto.</t>
  </si>
  <si>
    <t>Es necesario asignar presupuestos desde los Estados para este tema y la cooperación conjunta para la búsqueda de financiamiento.</t>
  </si>
  <si>
    <t>d. Presupuesto subnacional o de las cuencas para los elementos de la GIRH[2] (inversiones y gastos recurrentes).</t>
  </si>
  <si>
    <r>
      <t>No</t>
    </r>
    <r>
      <rPr>
        <sz val="10"/>
        <color theme="1"/>
        <rFont val="Open Sans Condensed"/>
      </rPr>
      <t xml:space="preserve"> se han asignado </t>
    </r>
    <r>
      <rPr>
        <b/>
        <sz val="10"/>
        <color theme="1"/>
        <rFont val="Open Sans Condensed"/>
      </rPr>
      <t>fondos</t>
    </r>
    <r>
      <rPr>
        <sz val="10"/>
        <color theme="1"/>
        <rFont val="Open Sans Condensed"/>
      </rPr>
      <t xml:space="preserve"> en el nivel subnacional o de las cuencas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</si>
  <si>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a nivel subnacional o de las cuencas y la implementación está en sus primeras etapas.</t>
    </r>
  </si>
  <si>
    <r>
      <t xml:space="preserve">Se han asignado fondos a, </t>
    </r>
    <r>
      <rPr>
        <b/>
        <sz val="10"/>
        <color theme="1"/>
        <rFont val="Open Sans Condensed"/>
      </rPr>
      <t>como mínimo, la mitad</t>
    </r>
    <r>
      <rPr>
        <sz val="10"/>
        <color theme="1"/>
        <rFont val="Open Sans Condensed"/>
      </rPr>
      <t xml:space="preserve"> de los elementos de la GIRH a nivel subnacional o de las cuencas,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</si>
  <si>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a nivel subnacional o de las cuencas y algunos se están poniendo en práctica.</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</si>
  <si>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a nivel subnacional o de las cuencas; los presupuestos se han revisado y ajustado. Los mecanismos de rendición de cuentas son eficaces.</t>
    </r>
  </si>
  <si>
    <t xml:space="preserve">Los presupuestos se asignan a nivel de la regionalización de cada una de las entidades responsables, como es el caso de la Dirección de Aguas del </t>
  </si>
  <si>
    <t>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</si>
  <si>
    <t xml:space="preserve">La Dirección de Aguas invierte a nivel regional (ejemplo Nimboyores) y se está trabajando en la tarifa hídrica para Sardinal. </t>
  </si>
  <si>
    <t xml:space="preserve">Los operadores agua potable y saneamiento también orientan algunos presupuestos al nivel subnacional (AyA, ESPH, municipalidades y ASADAS). </t>
  </si>
  <si>
    <t>En general las organizaciones que asignan presupuesto a nivel regional, orientan recursos al nivel subnacional, al que se suma el de SINAC (control y protección) y las Universidades.</t>
  </si>
  <si>
    <t>Generar un repositorio de fácil acceso que permita visualizar la inversión y sistematizar los esfuerzos desde múltiples actores y presupuestos.</t>
  </si>
  <si>
    <t>[1] En esta pregunta, los «Estados Miembros» son aquellos países ribereños que han suscrito el acuerdo. Las «contribuciones» son el porcentaje de fondos anuales que procede de los presupuestos públicos de los Estados Miembros y que se ha acordado destinar a respaldar el acuerdo de cooperación transfronteriza que se ha ratificado. Los fondos ordinarios que resultan de las tasas a los usuarios del agua (como las tarifas de la energía hidroeléctrica) y las tasas de «quien contamina, paga» basadas en las normas vigentes, por ejemplo, también se consideran financiación sostenible. Puesto que la ayuda de los donantes varía y no es constante, no debe tenerse en cuenta en las puntuaciones, pero sí se puede mencionar en los apartados de «Situación y avances» y «Formas de avanzar».</t>
  </si>
  <si>
    <t>[2] «Elementos de la GIRH» abarca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 Esta pregunta es un añadido con respecto a la encuesta de referencia y reconoce la importancia de que los fondos estén disponibles a niveles más «operativos».</t>
  </si>
  <si>
    <t>https://unstats.un.org/sdgs/metadata/files/Metadata-06-05-01.pdf</t>
  </si>
  <si>
    <t>Grado de implementación de la Gestión integrada del Recurso Hídico (GIRH) por componentes clave</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</si>
  <si>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</si>
  <si>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</si>
  <si>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</si>
  <si>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</si>
  <si>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</si>
  <si>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</si>
  <si>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</si>
  <si>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</si>
  <si>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Presidente de Comité Técnico Interinstitucional de Agua
Director Dirección de Aguas </t>
  </si>
  <si>
    <t xml:space="preserve">Ministerio de Ambiente y Energía-Dirección de Aguas </t>
  </si>
  <si>
    <t>Costa Rica: Porcentaje de la superficie de las cuencas transfronterizas que son objeto de un acuerdo operativo 
Costa Rica: Cuencas transfronterizas de ríos o lagos</t>
  </si>
  <si>
    <t>Costa Rica: Porcentaje de la superficie de las cuencas transfronterizas que son objeto de un acuerdo operativo</t>
  </si>
  <si>
    <t>Porcentaje de la superficie de las cuencas transfronterizas que son objeto de un acuerdo operativo</t>
  </si>
  <si>
    <t>Porcentaje de la superficie de las cuencas transfronterizas de ríos y lagos que son objeto de un acuerdo operativo</t>
  </si>
  <si>
    <t>Porcentaje de la superficie de los acuíferos transfronterizos que son objeto de un acuerdo operativo</t>
  </si>
  <si>
    <t>(A) Superficie total de las cuencas transfronterizas de ríos y lagos que son objeto de acuerdos operativos d (en km2)</t>
  </si>
  <si>
    <t>(B) Superficie total de las cuencas transfronterizas de ríos y lagos dentro del territorio del país (en km2)</t>
  </si>
  <si>
    <t>(C) Superficie de acuíferos transfronterizos que son objeto de acuerdos operativos dentro del territorio del país (en km2)</t>
  </si>
  <si>
    <t>(D) Superficie total de los acuíferos transfronterizos (en km2)</t>
  </si>
  <si>
    <t>Fuente: Ministerio de Ambiente y Energía, Dirección de Aguas, 2023</t>
  </si>
  <si>
    <t>Costa Rica: Cuencas transfronterizas de ríos o lagos</t>
  </si>
  <si>
    <t>Nombre de la cuenca transfronteriza del río o lago</t>
  </si>
  <si>
    <t>Países que la comparten</t>
  </si>
  <si>
    <t>Superficie de la cuenca dentro del terrritorio del país (en km2)</t>
  </si>
  <si>
    <t xml:space="preserve">Es objeto de un acuerdo (totalmente/parcialmente) </t>
  </si>
  <si>
    <t>Cumple con el criterio 1</t>
  </si>
  <si>
    <t>Cumple con el criterio 2</t>
  </si>
  <si>
    <t>Cumple con el criterio 3</t>
  </si>
  <si>
    <t>Cumple comple con el criterio 4</t>
  </si>
  <si>
    <t>Superficie de la cuenca que es objeto de un acuerdo operativo dentro del territorio del país (en km2)</t>
  </si>
  <si>
    <t>Costa Rica - Panamá</t>
  </si>
  <si>
    <t>Si</t>
  </si>
  <si>
    <t xml:space="preserve">Si </t>
  </si>
  <si>
    <t>Changuinola</t>
  </si>
  <si>
    <t>No</t>
  </si>
  <si>
    <t>Chiriquí</t>
  </si>
  <si>
    <t>Corredores-Colorado</t>
  </si>
  <si>
    <t>Conventillos</t>
  </si>
  <si>
    <t>Costa Rica - Nicaragua</t>
  </si>
  <si>
    <t>(A) Superficie total de las cuencas transfronterizas de ríos y lagos que son objeto de acuerdos operativos dentro del territorio del país (en km2)</t>
  </si>
  <si>
    <t>Nombre del acuífero transfronterizo</t>
  </si>
  <si>
    <t>Superficie del acuífero dentro del terrritorio del país (en km2)</t>
  </si>
  <si>
    <t>Cumple conm el criterio 1</t>
  </si>
  <si>
    <t>Cumple comple con el criterio 3</t>
  </si>
  <si>
    <t>Sistema acuífero Sixaola</t>
  </si>
  <si>
    <t xml:space="preserve">No </t>
  </si>
  <si>
    <t>( C) Subtotal: superficie de acuíferos transfronterizos que son objeto de acuerdos operativos dentro del territorio del país (en km2)</t>
  </si>
  <si>
    <t>https://unstats.un.org/sdgs/metadata/files/Metadata-06-05-02.pdf</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</si>
  <si>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</si>
  <si>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</si>
  <si>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</si>
  <si>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</si>
  <si>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</si>
  <si>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</si>
  <si>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Director de Aguas</t>
  </si>
  <si>
    <t>Ministerio de Ambiente y Energía</t>
  </si>
  <si>
    <t>https://unstats.un.org/sdgs/metadata/files/Metadata-06-06-01a.pdf</t>
  </si>
  <si>
    <t>https://unstats.un.org/sdgs/metadata/files/Metadata-06-06-01b.pdf</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</si>
  <si>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</si>
  <si>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</si>
  <si>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</si>
  <si>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(506) 25226500
Ext. 302</t>
  </si>
  <si>
    <t>mauricio.castillo@sinac.go.cr
jacklyn.rivera@sinac.go.cr</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</si>
  <si>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agua y saniamiento.</t>
  </si>
  <si>
    <t>https://unstats.un.org/sdgs/metadata/files/Metadata-06-0A-01.pdf</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</si>
  <si>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</si>
  <si>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Costa Rica: Porcentaje nacional de ASADAS con convenio</t>
  </si>
  <si>
    <t>ORAC</t>
  </si>
  <si>
    <t>Central Este</t>
  </si>
  <si>
    <t>Metropolitana</t>
  </si>
  <si>
    <t xml:space="preserve">Pacífico Central </t>
  </si>
  <si>
    <t>Costa Rica</t>
  </si>
  <si>
    <t>Fuente: Instituto Costarricense de Acueductos y Alcantarillados, 2023</t>
  </si>
  <si>
    <t>https://unstats.un.org/sdgs/metadata/files/Metadata-06-0B-01.pdf</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</si>
  <si>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</si>
  <si>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</si>
  <si>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</si>
  <si>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</si>
  <si>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Cantidad relativa de Asociaciones Administradoras de Acueductos y Alcantarillados Rurales (ASADAS), que administran y operan sistemas de agua potable y saneamiento, con convenio de delegación firmado con el AyA y vigente.</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</si>
  <si>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</si>
  <si>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</si>
  <si>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Número total de ASADAS que administran y operan sistemas de agua potable y sneamiento, legalmente registradas y con convenio de delegación que  se encuentre vigente. Número total de ASADAS legalmente constituidas y registradas.</t>
  </si>
  <si>
    <t>Regiones administrativas de la Subgerencia de Sistemas Comunales del AyA: Chorotega, Pacífico Central, Brunca, Huetar Caribe, Huetar Norte, Metropolitana y Central Este</t>
  </si>
  <si>
    <t>Semestral (último día hábil de cada semestre)</t>
  </si>
  <si>
    <t>Sistema de Apoyo para la Gestión de ASADAS (SAGA), Área Funcional Evaluación y Mejoramiento de la Gestión, Subgerencia de Sistemas Comunales, Instituto Costarricense de Acueductos y Alcantarillados.</t>
  </si>
  <si>
    <t>Sistema de Apoyo para la Gestión de ASADAS (SAGA)</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</si>
  <si>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</si>
  <si>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</si>
  <si>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</si>
  <si>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</si>
  <si>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Instituto Costarricense de Acueductos y Alcantarillados</t>
  </si>
  <si>
    <t>(506) 2242-5006, 2242-5110, 2242-5111</t>
  </si>
  <si>
    <t>jphillips@aya.go.cr</t>
  </si>
  <si>
    <t xml:space="preserve">Objetivo 7. Garantizar el acceso a una energía asequible, fiable, sostenible y moderna para todos </t>
  </si>
  <si>
    <t>7.1 De aquí a 2030, garantizar el acceso universal a servicios energéticos asequibles, fiables y modernos</t>
  </si>
  <si>
    <t>7.1.1</t>
  </si>
  <si>
    <t>7.1.1 Proporción de la población que tiene acceso a la electricidad</t>
  </si>
  <si>
    <t>7.1.2</t>
  </si>
  <si>
    <t>7.1.2 Proporción de la población cuya fuente primaria de energía son los combustibles y tecnologías limpios</t>
  </si>
  <si>
    <t>7.2 De aquí a 2030, aumentar considerablemente la proporción de energía renovable en el conjunto de fuentes energéticas</t>
  </si>
  <si>
    <t>7.2.1</t>
  </si>
  <si>
    <t>7.2.1 Proporción de energía renovable en el consumo final total de energía</t>
  </si>
  <si>
    <t>7.3 De aquí a 2030, duplicar la tasa mundial de mejora de la eficiencia energética</t>
  </si>
  <si>
    <t>7.3.1</t>
  </si>
  <si>
    <t>7.3.1 Intensidad energética medida en función de la energía primaria y el PIB</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</si>
  <si>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</si>
  <si>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7.a.1</t>
  </si>
  <si>
    <t>7.a.1 Corrientes financieras internacionales hacia los países en desarrollo para apoyar la investigación y el desarrollo de energías limpias y la producción de energía renovable, incluidos los sistemas híbridos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</si>
  <si>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</si>
  <si>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7.b.1</t>
  </si>
  <si>
    <t>7.b.1 Capacidad instalada de generación de energía renovable en los países en desarrollo (expresada en vatios per cápita)</t>
  </si>
  <si>
    <t xml:space="preserve">Costa Rica: Porcentaje de la población con acceso a la electricidad , por sexo, zona, región de planificación y rangos de edad. </t>
  </si>
  <si>
    <t>Objetivo 7. Garantizar el acceso a una energía asequible, fiable, sostenible y moderna para todos</t>
  </si>
  <si>
    <t>https://unstats.un.org/sdgs/metadata/files/Metadata-07-01-01.pdf</t>
  </si>
  <si>
    <t xml:space="preserve">Porcentaje de la población con acceso a la electricidad , por sexo, zona, región de planificación y rangos de edad. </t>
  </si>
  <si>
    <r>
      <rPr>
        <b/>
        <sz val="11"/>
        <rFont val="Open Sans Condensed"/>
      </rPr>
      <t>Población con acceso a la electricidad:</t>
    </r>
    <r>
      <rPr>
        <sz val="11"/>
        <rFont val="Open Sans Condensed"/>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rFont val="Open Sans Condensed"/>
      </rPr>
      <t xml:space="preserve"> Instituto Costarricense de Electricidad, Compañía nacional de Fuerza y Luz, Empresa de servicios públicos de Heredia, Administrativa de Servicios Eléctricos de Cartago</t>
    </r>
    <r>
      <rPr>
        <sz val="11"/>
        <rFont val="Open Sans Condensed"/>
      </rPr>
      <t xml:space="preserve">, de una </t>
    </r>
    <r>
      <rPr>
        <b/>
        <sz val="11"/>
        <rFont val="Open Sans Condensed"/>
      </rPr>
      <t>cooperativa</t>
    </r>
    <r>
      <rPr>
        <sz val="11"/>
        <rFont val="Open Sans Condensed"/>
      </rPr>
      <t xml:space="preserve"> (CoopeSantos, Coopeselesca, CoopeGuanacaste, CoopeAlfaro), de</t>
    </r>
    <r>
      <rPr>
        <b/>
        <sz val="11"/>
        <rFont val="Open Sans Condensed"/>
      </rPr>
      <t xml:space="preserve"> planta privada</t>
    </r>
    <r>
      <rPr>
        <sz val="11"/>
        <rFont val="Open Sans Condensed"/>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rFont val="Open Sans Condensed"/>
      </rPr>
      <t>de otra fuente de energía</t>
    </r>
    <r>
      <rPr>
        <sz val="11"/>
        <rFont val="Open Sans Condensed"/>
      </rPr>
      <t xml:space="preserve"> (viviendas que tienen un servicio de electricidad diferente a los anteriores, por ejemplo, </t>
    </r>
    <r>
      <rPr>
        <b/>
        <sz val="11"/>
        <rFont val="Open Sans Condensed"/>
      </rPr>
      <t>panel solar o paneles fotovoltaicos</t>
    </r>
    <r>
      <rPr>
        <sz val="11"/>
        <rFont val="Open Sans Condensed"/>
      </rPr>
      <t>.
Se considera que no posee acceso a electricidad cuando no hay luz eléctrica, carece totalmente de servicio eléctrico (lámpara de gas no es fuente de energía eléctrica, si no de alumbrado y para cocinar). Tampoco se consideran casos ignorados.</t>
    </r>
  </si>
  <si>
    <t>• Total de personas en hogares
• Personas con acceso a electricidad.</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</si>
  <si>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</si>
  <si>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</si>
  <si>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</si>
  <si>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</si>
  <si>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la población que cocina con energías limpias , por sexo, zona, región de planificación y rangos de edad</t>
  </si>
  <si>
    <t>Costa Rica: Porcentaje de la población que cocina con gas, electricidad o ambos</t>
  </si>
  <si>
    <t>Gas + Electricidad</t>
  </si>
  <si>
    <t>Gas</t>
  </si>
  <si>
    <t>Electricidad</t>
  </si>
  <si>
    <t>Costa Rica: Porcentaje de la población que cocina con electricidad , por sexo, zona, región de planificación y rangos de edad</t>
  </si>
  <si>
    <t>Costa Rica: Porcentaje de la población que cocina con gas , por sexo, zona, región de planificación y rangos de edad</t>
  </si>
  <si>
    <t>https://unstats.un.org/sdgs/metadata/files/Metadata-07-01-02.pdf</t>
  </si>
  <si>
    <t>Porcentaje de la población que cocina con energías limpias , por sexo, zona, región de planificación y rangos de edad.</t>
  </si>
  <si>
    <r>
      <rPr>
        <b/>
        <sz val="11"/>
        <rFont val="Open Sans Condensed"/>
      </rPr>
      <t>Población en viviendas que utiliza la electricidad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Población en viviendas que utiliza gas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Electricidad:</t>
    </r>
    <r>
      <rPr>
        <sz val="11"/>
        <rFont val="Open Sans Condensed"/>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rFont val="Open Sans Condensed"/>
      </rPr>
      <t xml:space="preserve">arroceras, sartén eléctrico, entre otros, que funcionan por medio de energía eléctrica.
Gas: </t>
    </r>
  </si>
  <si>
    <t>• Total de personas en hogares. 
• Total de personas que utilizan como fuente de energía para cocinar la  electricidad y el gas</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</si>
  <si>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</si>
  <si>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</si>
  <si>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Costa Rica: Porcentaje de energía renovable en el consumo final total de energía 
Costa Rica: Consumo Total de Energía por fuente</t>
  </si>
  <si>
    <t xml:space="preserve">Costa Rica: Proporción de la energía renovable en el consumo final total de energía </t>
  </si>
  <si>
    <t>Ver indicador de 7.2.1, fuente Cuenta de Energía, BCCR</t>
  </si>
  <si>
    <t xml:space="preserve">Indicador 1: Porcentaje de la energía renovable en el consumo final total de energía </t>
  </si>
  <si>
    <t xml:space="preserve">Indicador 2: Porcentaje de la energía renovable en el consumo final total de energía sin leña residencial </t>
  </si>
  <si>
    <t>Costa Rica: Porcentaje de energía renovable en el consumo final total de energía, 2010-2021</t>
  </si>
  <si>
    <t>Nota: El consumo de energía renovable incluye el consumo de energía derivada de: hidroeléctrica, biocombustibles sólidos, eólica, solar, biocombustibles líquidos, biogás, geotérmica, marina y residuos.</t>
  </si>
  <si>
    <t>Fuente: Ministerio de Ambiente y Energía, Secretaría de Planificación Sectorial de Ambiente, 2010-2021</t>
  </si>
  <si>
    <t>Nota: En año 2022 se realizaron ajustes a las series de datos de energía por revisiones de balances energéticos de años anteriores,  conservando la misma metodología de cálculo.  La serie es diferente a otras versiones de este compendio.</t>
  </si>
  <si>
    <t>Fuente: Ministerio de Ambiente y Energía, Secretaría de Planificación del Subsector Energía (SEPSE ), 2021</t>
  </si>
  <si>
    <t>Consumo final total de Energía 
(Terajulios)</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</si>
  <si>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</si>
  <si>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</si>
  <si>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</si>
  <si>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</si>
  <si>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</si>
  <si>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</si>
  <si>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r>
      <t>Consumo final renovable =</t>
    </r>
    <r>
      <rPr>
        <sz val="11"/>
        <rFont val="Open Sans Condensed"/>
      </rPr>
      <t xml:space="preserve"> Leña + Bagazo + Otros Res. Veg. + Carbón Vegetal + Casc. de Café + Electricidad renovable</t>
    </r>
  </si>
  <si>
    <r>
      <t>Electricidad renovable =</t>
    </r>
    <r>
      <rPr>
        <sz val="11"/>
        <rFont val="Open Sans Condensed"/>
      </rPr>
      <t xml:space="preserve"> Electricidad * Porcentaje de electricidad renovable</t>
    </r>
  </si>
  <si>
    <r>
      <t>Consumo final total de Energía</t>
    </r>
    <r>
      <rPr>
        <sz val="11"/>
        <rFont val="Open Sans Condensed"/>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</si>
  <si>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11"/>
        <rFont val="Open Sans Condensed"/>
      </rPr>
      <t xml:space="preserve"> =  Consumo final renovable / Consumo final total de Energía * 100</t>
    </r>
  </si>
  <si>
    <t>Costa Rica: Consumo Total de Energía por fuente</t>
  </si>
  <si>
    <t>(terajulios)</t>
  </si>
  <si>
    <t>Carbón Mineral</t>
  </si>
  <si>
    <t>Coque</t>
  </si>
  <si>
    <t>Leña</t>
  </si>
  <si>
    <t>Bagazo</t>
  </si>
  <si>
    <t>Otros Res. Veg.</t>
  </si>
  <si>
    <t>Carbón Vegetal</t>
  </si>
  <si>
    <t>Casc. de Café</t>
  </si>
  <si>
    <t>Biogás</t>
  </si>
  <si>
    <t>G.L.P</t>
  </si>
  <si>
    <t>Gasolina Regular</t>
  </si>
  <si>
    <t>Gasolina Super</t>
  </si>
  <si>
    <t>Kerosene</t>
  </si>
  <si>
    <t>Jet Fuel</t>
  </si>
  <si>
    <t>Av-Gas</t>
  </si>
  <si>
    <t>Diesel</t>
  </si>
  <si>
    <t>Gasoleo</t>
  </si>
  <si>
    <t>Bunker</t>
  </si>
  <si>
    <t>https://unstats.un.org/sdgs/metadata/files/Metadata-07-02-01.pdf</t>
  </si>
  <si>
    <t>Alcanzar 45 % en el porcentaje de la energía renovable en el consumo final total de energía sin leña residencial al 2030  y 80% al 2050. Porcentajes que deben entenderse como "Referentes o parametros", ver abajo limitaciones del Indicador.</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</si>
  <si>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</si>
  <si>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</si>
  <si>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</si>
  <si>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</si>
  <si>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</si>
  <si>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</si>
  <si>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</si>
  <si>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Balance Energético Nacional</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</si>
  <si>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</si>
  <si>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</si>
  <si>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</si>
  <si>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Arturo Molina Soto</t>
  </si>
  <si>
    <t>Secretaría de Planificación del Subsector Energía (SEPSE )</t>
  </si>
  <si>
    <t>(506) 2547-6923</t>
  </si>
  <si>
    <t>amolina@sepse.go.cr</t>
  </si>
  <si>
    <t>Revisado:  AOF</t>
  </si>
  <si>
    <t xml:space="preserve">7.2 De aquí a 2030, aumentar considerablemente la proporción de energía renovable en el conjunto de fuentes energéticas </t>
  </si>
  <si>
    <t xml:space="preserve">7.2.1 Proporción de la energía renovable en el consumo final total de energía </t>
  </si>
  <si>
    <t>Costa Rica: Uso energético de fuentes renovables y total por año 
Costa Rica: Uso energético por tipo de fuente</t>
  </si>
  <si>
    <t>Costa Rica: Uso energético de fuentes renovables y total por año</t>
  </si>
  <si>
    <t>Costa Rica: Porcentaje de energía renovable en el uso final total de energía, 2011-2021</t>
  </si>
  <si>
    <t>Uso final de energía de fuentes renovables (terajulios)</t>
  </si>
  <si>
    <t>Uso final de energía de fuentes renovables (terajulios) -sin leña residencial-</t>
  </si>
  <si>
    <t>Uso final total de energía (terajulios)</t>
  </si>
  <si>
    <t>Porcentaje de participación (%)</t>
  </si>
  <si>
    <t>Porcentaje de participación (%)-sin leña residencial-</t>
  </si>
  <si>
    <t xml:space="preserve">Nota 1: La información se presenta bajo el principio de residencia y no territorio, lo cual hace que los datos no sean directamente comparables con el Balance de Energía, pero sí con otros indicadores de Cuentas Nacionales. </t>
  </si>
  <si>
    <t>Fuente: Banco Central de Costa Rica, Cuenta de Energía,  2011-2021.</t>
  </si>
  <si>
    <t>Fuente: Banco Central de Costa Rica, Cuenta de Energía,  2011-2021</t>
  </si>
  <si>
    <t>Costa Rica: Uso energético por tipo de fuente</t>
  </si>
  <si>
    <t>Terajulios (TJ)</t>
  </si>
  <si>
    <t>Hidro</t>
  </si>
  <si>
    <t>Geotérmica</t>
  </si>
  <si>
    <t>Viento</t>
  </si>
  <si>
    <t>Solar</t>
  </si>
  <si>
    <t>Cascarilla de café</t>
  </si>
  <si>
    <t>Otros residuos vegetales</t>
  </si>
  <si>
    <t>Leña -sin residencial-</t>
  </si>
  <si>
    <t>Leña total</t>
  </si>
  <si>
    <t>Carbón vegetal</t>
  </si>
  <si>
    <t xml:space="preserve">7.2.1 </t>
  </si>
  <si>
    <t>Proporción de la energía renovable en el consumo final total de energía</t>
  </si>
  <si>
    <t xml:space="preserve">Porcentaje de la energía renovable en el uso total de energía </t>
  </si>
  <si>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rFont val="Open Sans Condensed"/>
      </rPr>
      <t>Consumo</t>
    </r>
    <r>
      <rPr>
        <sz val="11"/>
        <rFont val="Open Sans Condensed"/>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</si>
  <si>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</si>
  <si>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</si>
  <si>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</si>
  <si>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</si>
  <si>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No disponible.</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</si>
  <si>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</si>
  <si>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</si>
  <si>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</si>
  <si>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Henry Vargas Campos</t>
  </si>
  <si>
    <t>División de Gestión de Información</t>
  </si>
  <si>
    <t>(506) 2243</t>
  </si>
  <si>
    <t>Mónica Rodríguez Zúñiga</t>
  </si>
  <si>
    <t>(506) 22433225</t>
  </si>
  <si>
    <t>Silvia Arguedas Villalobos</t>
  </si>
  <si>
    <t>(506) 22433235</t>
  </si>
  <si>
    <t>arguedasvs@bccr.fi.cr</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</si>
  <si>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</si>
  <si>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medida en función de la energía primaria y el PIB (nueva serie 2020, datos históricos reconstruidos)</t>
  </si>
  <si>
    <t>Costa Rica: Intensidad energética total como proporción del PIB, 2010-2021</t>
  </si>
  <si>
    <t>Intensidad energética (GJ/Mill de col encadenados referencia 2017)</t>
  </si>
  <si>
    <t>Consumo total de energía (TJ)</t>
  </si>
  <si>
    <t>PIB (Millones de colones encadenados referencia 2017)</t>
  </si>
  <si>
    <t>Ver indicador 7.3.1, fuente Cuenta de Energía, BCCR</t>
  </si>
  <si>
    <t>Fuente: Ministerio de Ambiente y Energía, Secretaría de Planificación Sectorial de Energia, Balances Energéticos Nacionales y datos del Banco Central de Costa Rica, 2021</t>
  </si>
  <si>
    <t>Costa Rica: Intensidad energética  medida en función del consumo final de energía y el PIB</t>
  </si>
  <si>
    <t>Costa Rica: Intensidad energética medida en función del consumo final de energía y el PIB (nueva serie 2018, datos históricos reconstruidos)</t>
  </si>
  <si>
    <t>Intensidad (TJ/mill col 91)</t>
  </si>
  <si>
    <t>PIB (mill col 91)</t>
  </si>
  <si>
    <t>Intensidad energética (GJ/Mill de col encadenados referencia 2012)</t>
  </si>
  <si>
    <t>PIB (Millones de colones encadenados referencia 2012)</t>
  </si>
  <si>
    <t>Nota 1</t>
  </si>
  <si>
    <t>Nota 1: serie se descontinuada  a partir de 2017 por cambio metodológico del BCCR</t>
  </si>
  <si>
    <t>Fuente: Ministerio de Ambiente y Energía, Secretaría de Planificación Sectorial de Energia, Balances Energéticos Nacionales y datos del Banco Central de Costa Rica, 2018</t>
  </si>
  <si>
    <t>Nota 2</t>
  </si>
  <si>
    <t>Nota 2: serie se descontinuada  a partir de 2019 por cambio metodológico del BCCR</t>
  </si>
  <si>
    <t>https://unstats.un.org/sdgs/metadata/files/Metadata-07-03-01.pdf</t>
  </si>
  <si>
    <t>Intensidad energética medida en función del consumo final de energía y el PIB</t>
  </si>
  <si>
    <r>
      <rPr>
        <b/>
        <sz val="11"/>
        <rFont val="Open Sans Condensed"/>
      </rPr>
      <t>Intensidad energética:</t>
    </r>
    <r>
      <rPr>
        <sz val="11"/>
        <rFont val="Open Sans Condensed"/>
      </rPr>
      <t xml:space="preserve"> Este indicador mide la intensidad en el consumo de energía anual en relación a la producción de bienes y servicios totales en Costa Rica como expresión de la eficiencia en el uso de la misma. 
</t>
    </r>
    <r>
      <rPr>
        <b/>
        <sz val="11"/>
        <rFont val="Open Sans Condensed"/>
      </rPr>
      <t>Consumo final de energía</t>
    </r>
    <r>
      <rPr>
        <sz val="11"/>
        <rFont val="Open Sans Condensed"/>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rFont val="Open Sans Condensed"/>
      </rPr>
      <t>Producto Interno Bruto</t>
    </r>
    <r>
      <rPr>
        <sz val="11"/>
        <rFont val="Open Sans Condensed"/>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</si>
  <si>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t xml:space="preserve">Fórmula de cálculo para la nueva serie
</t>
  </si>
  <si>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</si>
  <si>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 Consumo total de energía.
• Producto interno bruto.</t>
  </si>
  <si>
    <t>Secretaría de Planificación del Subsector Energía (SEPSE)</t>
  </si>
  <si>
    <t>Balance energético nacional</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</si>
  <si>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</si>
  <si>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Secretaría Ejecutiva del Subsector Energía (SEPSE )</t>
  </si>
  <si>
    <t>Revisado: AOF</t>
  </si>
  <si>
    <t xml:space="preserve">7.3 De aquí a 2030, duplicar la tasa mundial de mejora de la eficiencia energética </t>
  </si>
  <si>
    <t xml:space="preserve">7.3.1 Intensidad energética medida en función de la energía primaria y el PIB </t>
  </si>
  <si>
    <t>Costa Rica: Intensidad energética de la energía primaria por unidad de Producto Interno Bruto</t>
  </si>
  <si>
    <t>USO ENERGÉTICO PRIMARIO/VA POR ACTIVIDAD ECONÓMICA</t>
  </si>
  <si>
    <r>
      <t>PIB</t>
    </r>
    <r>
      <rPr>
        <b/>
        <vertAlign val="superscript"/>
        <sz val="11"/>
        <rFont val="Open Sans Condensed"/>
      </rPr>
      <t>a</t>
    </r>
    <r>
      <rPr>
        <b/>
        <sz val="11"/>
        <rFont val="Open Sans Condensed"/>
      </rPr>
      <t xml:space="preserve"> (millones de colones)</t>
    </r>
  </si>
  <si>
    <t>Uso energético de energía primaria (terajulios)</t>
  </si>
  <si>
    <t>Intensidad energética (TJ/millón colones)</t>
  </si>
  <si>
    <t>a/ Corresponde a la serie volumen encadenado, referencia 2017.</t>
  </si>
  <si>
    <t>Fuente: Cuenta de Energía, Costa Rica 2011-2021</t>
  </si>
  <si>
    <t>Costa Rica: Intensidad energética de la energía primaria por unidad de Producto Interno Bruto, 2011-2021</t>
  </si>
  <si>
    <t>a/ Corresponde a la serie volumen encadenado, año de referencia 2017.</t>
  </si>
  <si>
    <t>Fuente: Banco Central de Costa Rica, Cuenta de Energía, 2011-2021.</t>
  </si>
  <si>
    <t xml:space="preserve">7.3.1 </t>
  </si>
  <si>
    <t>Intensidad energética medida en función de la energía primaria y el PIB</t>
  </si>
  <si>
    <t>Intensidad energética de la energía primaria por PIB</t>
  </si>
  <si>
    <t>Indicador propuesto por Nacionales Unidas</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</si>
  <si>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</si>
  <si>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</si>
  <si>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Uso energético primario total: terajulios.
Producto Interno Bruto (PIB): millones de colones encadenados, año de referencia 2012.
Uso energético primario total / PIB: terajulios / millón de colones encadenados, año de referencia 2012.</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</si>
  <si>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</si>
  <si>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</si>
  <si>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</si>
  <si>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Cuenta de Energía
Cuentas Nacionales</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</si>
  <si>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</si>
  <si>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t>Costa Rica: Intensidad energética de la energía primaria por unidad de Valor Agregado Bruto</t>
  </si>
  <si>
    <t>Actividades Económicas</t>
  </si>
  <si>
    <t>Manufactura (C)</t>
  </si>
  <si>
    <t>Electricidad, agua y servicios de saneamiento (D, E)</t>
  </si>
  <si>
    <t>Actividades de alojamiento y servicios de comida (I)</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</si>
  <si>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</si>
  <si>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1/ El Valor Agregado utilizado corresponde a las series en volumen encadenado, año de referencia 2017.</t>
  </si>
  <si>
    <t>Fuente: Banco Central de Costa Rica, Cuenta de Energía 2011-2021.</t>
  </si>
  <si>
    <t>Costa Rica: Intensidad energética de la energía primaria por unidad de Valor Agregado Bruto, 2011-2021</t>
  </si>
  <si>
    <t xml:space="preserve">1/ El Valor Agregado utilizado corresponde a las series en volumen encadenado, año de referencia 2017. </t>
  </si>
  <si>
    <t xml:space="preserve">Fuente: Banco Central de Costa Rica, Cuenta de Energía 2011-2021. </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</si>
  <si>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</si>
  <si>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r>
      <t xml:space="preserve">Estimación por Actividad Económica
</t>
    </r>
    <r>
      <rPr>
        <i/>
        <sz val="11"/>
        <rFont val="Open Sans Condensed"/>
      </rPr>
      <t>i</t>
    </r>
    <r>
      <rPr>
        <sz val="11"/>
        <rFont val="Open Sans Condensed"/>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</si>
  <si>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t>Uso energético primario total: terajulios.
Valor Agregado bruto (VAB): millones de colones encadenados, año de referencia 2017.
Uso energético primario total / VAB: terajulios / millón de colones encadenados, año de referencia 2017.</t>
  </si>
  <si>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</si>
  <si>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</si>
  <si>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t>El indicador no es aplicable a Costa Rica porque el país no brinda asistencia financiera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la investigación y desarrollo de energías limpias.</t>
  </si>
  <si>
    <t xml:space="preserve">7.a.1 </t>
  </si>
  <si>
    <t>https://unstats.un.org/sdgs/metadata/files/Metadata-07-0a-01.pdf</t>
  </si>
  <si>
    <t>Miles de dólares</t>
  </si>
  <si>
    <t>MIDEPLAN y DSE-MINAE</t>
  </si>
  <si>
    <t xml:space="preserve">7.b.1 Capacidad instalada de generación de energía renovable en los países en desarrollo (expresada en vatios per cápita) </t>
  </si>
  <si>
    <t>Costa Rica: Capacidad instalada en generación de energía renovable, vatios per cápita</t>
  </si>
  <si>
    <t>Costa Rica: Capacidad instalada en generación de energía renovable, vatios per cápita. 2012-2023</t>
  </si>
  <si>
    <t>Proyección nacional de población</t>
  </si>
  <si>
    <t>Capacidad instalada en vatios</t>
  </si>
  <si>
    <t>Vatios per cápita</t>
  </si>
  <si>
    <t xml:space="preserve">Fuente: Banco Central de Costa Rica, Cuenta de Energía con datos del Centro Nacional de Control de Energía, Instituto Costarricense de Electricidad (ICE), Instituto Nacional de Estadística y Censo (INEC).
</t>
  </si>
  <si>
    <t>Fuente: Banco Central de Costa Rica, Cuenta de Energía  con datos del Centro Nacional de Control de Energía, Instituto Costarricense de Electricidad (ICE), Instituto Nacional de Estadística y Censo (INEC).</t>
  </si>
  <si>
    <t>https://unstats.un.org/sdgs/tierIII-indicators/files/Tier3-07-b-01.pdf</t>
  </si>
  <si>
    <t>Meta país no definida o no identificada.</t>
  </si>
  <si>
    <t>Capacidad instalada en generación de energía renovable, vatios per cápita.</t>
  </si>
  <si>
    <r>
      <t>Capacidad instalada de generación de energía renovable, vatios per cápita. 
Las variables de este indicador son:
*</t>
    </r>
    <r>
      <rPr>
        <b/>
        <sz val="11"/>
        <rFont val="Open Sans Condensed"/>
      </rPr>
      <t>Capacidad instalada de generación de energía renovable</t>
    </r>
    <r>
      <rPr>
        <sz val="11"/>
        <rFont val="Open Sans Condensed"/>
      </rPr>
      <t>: se utiliza como dato la potencia instalada en vatios por tipo de fuente generadora de energía renovable. Dentro de las fuentes  renovables se incluye la fuente hidroeléctrica, geotérmica, bagazo, fuente eólica y solar.
*</t>
    </r>
    <r>
      <rPr>
        <b/>
        <sz val="11"/>
        <rFont val="Open Sans Condensed"/>
      </rPr>
      <t xml:space="preserve">Población: </t>
    </r>
    <r>
      <rPr>
        <sz val="11"/>
        <rFont val="Open Sans Condensed"/>
      </rPr>
      <t>población estimada a mitad del año.</t>
    </r>
  </si>
  <si>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</si>
  <si>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</si>
  <si>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</si>
  <si>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 xml:space="preserve">Objetivo 8. Promover el crecimiento económico sostenido, inclusivo y sostenible, el empleo pleno  y productivo y el trabajo decente para todos </t>
  </si>
  <si>
    <t>8.1 Mantener el crecimiento económico per cápita de conformidad con las circunstancias nacionales y, en particular, un crecimiento del producto interno bruto de al menos el 7% anual en los países menos adelantados</t>
  </si>
  <si>
    <t>8.1.1</t>
  </si>
  <si>
    <t>8.1.1 Tasa de crecimiento anual del PIB real per cápita</t>
  </si>
  <si>
    <t>8.2 Lograr niveles más elevados de productividad económica mediante la diversificación, la modernización tecnológica y la innovación, entre otras cosas centrándose en los sectores con gran valor añadido y un uso intensivo de la mano de obra</t>
  </si>
  <si>
    <t>8.2.1</t>
  </si>
  <si>
    <t>8.2.1 Tasa de crecimiento anual del PIB real por persona empleada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</si>
  <si>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</si>
  <si>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8.3.1</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</si>
  <si>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</si>
  <si>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</si>
  <si>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t>
  </si>
  <si>
    <t>8.4.1 Huella material en términos absolutos, huella material per cápita y huella material por PIB</t>
  </si>
  <si>
    <t>8.4.2</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</si>
  <si>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</si>
  <si>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</si>
  <si>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</si>
  <si>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</si>
  <si>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t>
  </si>
  <si>
    <t>8.5.2 Tasa de desempleo, desglosada por sexo, edad y personas con discapacidad</t>
  </si>
  <si>
    <t>8.6 De aquí a 2020, reducir considerablemente la proporción de jóvenes que no están empleados y no cursan estudios ni reciben capacitación</t>
  </si>
  <si>
    <t>8.6.1</t>
  </si>
  <si>
    <t>8.6.1 Proporción de jóvenes (entre 15 y 24 años) que no cursan estudios, no están empleados ni reciben capacitación</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</si>
  <si>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</si>
  <si>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8.7.1</t>
  </si>
  <si>
    <t>8.7.1 Proporción y número de niños de entre 5 y 17 años que realizan trabajo infantil, desglosados por sexo y edad</t>
  </si>
  <si>
    <t>8.8 Proteger los derechos laborales y promover un entorno de trabajo seguro y sin riesgos para todos los trabajadores, incluidos los trabajadores migrantes, en particular las mujeres migrantes y las personas con empleos precarios</t>
  </si>
  <si>
    <t>8.8.1</t>
  </si>
  <si>
    <t>8.8.1 Lesiones ocupacionales mortales y no mortales por cada 100.000 trabajadores, desglosadas por sexo y estatus migratorio</t>
  </si>
  <si>
    <t>8.8.2</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</si>
  <si>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</si>
  <si>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8.9 De aquí a 2030, elaborar y poner en práctica políticas encaminadas a promover un turismo sostenible que cree puestos de trabajo y promueva la cultura y los productos locales</t>
  </si>
  <si>
    <t>8.9.1</t>
  </si>
  <si>
    <t>8.9.1 PIB generado directamente por el turismo en proporción al PIB total y a la tasa de crecimiento</t>
  </si>
  <si>
    <t>8.10 Fortalecer la capacidad de las instituciones financieras nacionales para fomentar y ampliar el acceso a los servicios bancarios, financieros y de seguros para todos</t>
  </si>
  <si>
    <t>8.10.1</t>
  </si>
  <si>
    <t>8.10.1 a) Número de sucursales de bancos comerciales por cada 100.000 adultos y b) número de cajeros automáticos por cada 100.000 adultos</t>
  </si>
  <si>
    <t>8.10.2</t>
  </si>
  <si>
    <t>8.10.2 Proporción de adultos (a partir de 15 años de edad) que tienen una cuenta en un banco u otra institución financiera o un proveedor de servicios de dinero móvil</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</si>
  <si>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</si>
  <si>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8.a.1</t>
  </si>
  <si>
    <t>8.a.1 Compromisos y desembolsos en relación con la iniciativa Ayuda para el Comercio</t>
  </si>
  <si>
    <t>8.b De aquí a 2020, desarrollar y poner en marcha una estrategia mundial para el empleo de los jóvenes y aplicar el Pacto Mundial para el Empleo de la Organización Internacional del Trabajo</t>
  </si>
  <si>
    <t>8.b.1</t>
  </si>
  <si>
    <t>8.b.1 Existencia de una estrategia nacional organizada y en marcha para el empleo de los jóvenes, como estrategia independiente o como parte de una estrategia nacional de empleo</t>
  </si>
  <si>
    <t xml:space="preserve">Objetivo 8: Promover el crecimiento económico sostenido, inclusivo y sostenible, el empleo pleno  y productivo y el trabajo decente para todos </t>
  </si>
  <si>
    <t>Costa Rica: Tasa de crecimiento anual del PIB real per cápita 
Costa Rica: Tasa de variación anual del PIB per cápita</t>
  </si>
  <si>
    <t>Costa Rica: Tasa de crecimiento anual del PIB real per cápita</t>
  </si>
  <si>
    <t>Costa Rica: Tasa de crecimiento anual del PIB real per cápita, Años 2010-2023</t>
  </si>
  <si>
    <t>Producto interno bruto en volumen/ Millones de colones encadenados año de referencia 2017</t>
  </si>
  <si>
    <t>Per cápita en millones de colones</t>
  </si>
  <si>
    <t>Tasa de crecimiento anual</t>
  </si>
  <si>
    <t>Fuente: Banco Central de Costa Rica y datos del Instituto Nacional de Estadística y Censos, 2010-2023.</t>
  </si>
  <si>
    <t>Nota:  1/ Cifras preliminares 2022-2023, publicadas en el Informe de Política Monetaria de julio 2024.</t>
  </si>
  <si>
    <t>2/ /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</si>
  <si>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 y datos Instituto Nacional de Estadística y Censos.</t>
  </si>
  <si>
    <t>Costa Rica: Tasa de variación anual del PIB per cápita</t>
  </si>
  <si>
    <t>Costa Rica: Tasa de variación anual del PIB per cápita, Años 2010-2023</t>
  </si>
  <si>
    <t xml:space="preserve">     PIB Per cápita</t>
  </si>
  <si>
    <t>Fuente: Banco Central de Costa Rica y datos del Instituto Nacional de Estadística y Censos, 2010-2023</t>
  </si>
  <si>
    <t>https://gee.bccr.fi.cr/indicadoreseconomicos/Cuadros/frmVerCatCuadro.aspx?idioma=1&amp;CodCuadro= 5791</t>
  </si>
  <si>
    <t>Año de referencia 2017.</t>
  </si>
  <si>
    <t>Fuente: Banco Central de Costa Rica y datos Instituto Nacional de Estadística y Censos, 2010-2021.</t>
  </si>
  <si>
    <t>Objetivo 8. Promover el crecimiento económico sostenido, inclusivo y sostenible, el empleo pleno y productivo y el trabajo decente para todos</t>
  </si>
  <si>
    <t>8.1.1.</t>
  </si>
  <si>
    <t>https://unstats.un.org/sdgs/metadata/files/Metadata-08-01-01.pdf</t>
  </si>
  <si>
    <t>Tasa de crecimiento anual del PIB per cápita en volumen</t>
  </si>
  <si>
    <r>
      <t xml:space="preserve">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rFont val="Open Sans Condensed"/>
      </rPr>
      <t xml:space="preserve">l PIB per cápita </t>
    </r>
    <r>
      <rPr>
        <sz val="11"/>
        <rFont val="Open Sans Condensed"/>
      </rPr>
      <t xml:space="preserve">es el producto interno bruto dividido por la población a mitad de año. </t>
    </r>
  </si>
  <si>
    <r>
      <t xml:space="preserve">Donde: 
</t>
    </r>
    <r>
      <rPr>
        <b/>
        <sz val="11"/>
        <rFont val="Open Sans Condensed"/>
      </rPr>
      <t>t</t>
    </r>
    <r>
      <rPr>
        <sz val="11"/>
        <rFont val="Open Sans Condensed"/>
      </rPr>
      <t xml:space="preserve"> = representa el período para el cual se calcula en indicador ( generalmente es años)</t>
    </r>
  </si>
  <si>
    <t xml:space="preserve">Tasa de crecimiento  </t>
  </si>
  <si>
    <t>• Producto interno bruto.
• Población a mitad de año.</t>
  </si>
  <si>
    <t>Sistema de Indicadores Económicos</t>
  </si>
  <si>
    <t>Director de la División de Análisis de Datos y Estadísticas</t>
  </si>
  <si>
    <t>(506) 2243-3220</t>
  </si>
  <si>
    <t>vargasch@bccr.fi.cr</t>
  </si>
  <si>
    <t>Costa Rica: Tasa de crecimiento del producto interno bruto, de la población ocupada y de la productividad laboral a volumen de precios del año anterior encadenado por persona empleada, según trimestres</t>
  </si>
  <si>
    <t xml:space="preserve">Costa Rica: Tasa de crecimiento del producto interno bruto, de la población ocupada y de la productividad </t>
  </si>
  <si>
    <t>laboral a volumen de precios del año anterior encadenado por persona empleada, según trimestres</t>
  </si>
  <si>
    <t>Trimestres</t>
  </si>
  <si>
    <t xml:space="preserve">Tasa de crecimiento del PIB </t>
  </si>
  <si>
    <t xml:space="preserve">Tasa de crecimiento de la población ocupada </t>
  </si>
  <si>
    <t xml:space="preserve">Tasa de crecimiento de la productividad laboral </t>
  </si>
  <si>
    <t xml:space="preserve">PIB </t>
  </si>
  <si>
    <t xml:space="preserve">Población ocupada </t>
  </si>
  <si>
    <t xml:space="preserve">Productividad laboral </t>
  </si>
  <si>
    <t>Sector</t>
  </si>
  <si>
    <t xml:space="preserve">Primario </t>
  </si>
  <si>
    <t xml:space="preserve">     Agricultura, silvicultura y pesca</t>
  </si>
  <si>
    <t>III Trimestre</t>
  </si>
  <si>
    <t>IV Trimestre</t>
  </si>
  <si>
    <t>I Trimestre</t>
  </si>
  <si>
    <t>II Trimestre</t>
  </si>
  <si>
    <t>https://unstats.un.org/sdgs/metadata/files/Metadata-08-02-01.pdf</t>
  </si>
  <si>
    <t>Tasa de crecimiento de la población ocupada y de la productividad laboral a volumen de precios del año anterior encadenado por persona empleada</t>
  </si>
  <si>
    <r>
      <t xml:space="preserve">Medida de la productividad del trabajo, que se calcula como la tasa de crecimiento anual de: Producto Interno Bruto (PIB) a precios de volumen del año anterior encadenado para la economía dividido entre la poblacion ocupada total. 
</t>
    </r>
    <r>
      <rPr>
        <b/>
        <sz val="11"/>
        <rFont val="Open Sans Condensed"/>
      </rPr>
      <t>El 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</si>
  <si>
    <t xml:space="preserve">Producto Interno Bruto (PIB) a precios de mercado para la economía dividido por el empleo total
Donde: 
t = representa el período para el cual se calcula en indicador ( generalmente es años)
</t>
  </si>
  <si>
    <t>Tasa por persona empleada</t>
  </si>
  <si>
    <t>Producto Interno Bruto (PIB) a precios de volumen del año anterior encadenado 
Empleo total</t>
  </si>
  <si>
    <t>Por sector</t>
  </si>
  <si>
    <t>Instituto Nacional de Estadística y Censos
Banco Central de Costa Rica</t>
  </si>
  <si>
    <t>Encuesta Continua de Empleo (ECE)
Sistema de Cuentas Nacionales</t>
  </si>
  <si>
    <t>De acuerdo a las Naciones Unidas, este indicador se requiere con las siguientes desagregaciones: La desagregación por sector económico es factible. No hay datos desglosados por sexo.</t>
  </si>
  <si>
    <t>Costa Rica: Porcentaje del empleo informal en el empleo no agropecuario, por tipo de relación de producción en el trabajo (posición en el empleo) y por sexo</t>
  </si>
  <si>
    <r>
      <t xml:space="preserve">Trabajadores independientes </t>
    </r>
    <r>
      <rPr>
        <b/>
        <vertAlign val="superscript"/>
        <sz val="11"/>
        <rFont val="Open Sans Condensed"/>
      </rPr>
      <t>1/</t>
    </r>
  </si>
  <si>
    <r>
      <t xml:space="preserve">Trabajadores dependientes </t>
    </r>
    <r>
      <rPr>
        <b/>
        <vertAlign val="superscript"/>
        <sz val="11"/>
        <rFont val="Open Sans Condensed"/>
      </rPr>
      <t>2/</t>
    </r>
  </si>
  <si>
    <t xml:space="preserve">Hombre </t>
  </si>
  <si>
    <t>1/ Incluye a las personas  empleadores y cuenta propia</t>
  </si>
  <si>
    <t>2/ Incluye a los asalariados y  auxiliares no remunerados familiares y no familiares</t>
  </si>
  <si>
    <t>https://unstats.un.org/sdgs/metadata/files/Metadata-08-03-01.pdf</t>
  </si>
  <si>
    <t>Porcentaje del empleo informal en el empleo no agropecuario, por tipo de relación de producción en el trabajo (posición en el empleo) y por sexo</t>
  </si>
  <si>
    <r>
      <t xml:space="preserve">Es la relación de la cantidad de personas ocupadas informales en el sector no agropecuario.
El </t>
    </r>
    <r>
      <rPr>
        <b/>
        <sz val="11"/>
        <rFont val="Open Sans Condensed"/>
      </rPr>
      <t xml:space="preserve">empleo informal </t>
    </r>
    <r>
      <rPr>
        <sz val="11"/>
        <rFont val="Open Sans Condensed"/>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</si>
  <si>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 Total de personas ocupadas con empleo informal no agropecuaria.
• Total de personas ocupadas con empleo no agropecuaria.</t>
  </si>
  <si>
    <t>Por sexo</t>
  </si>
  <si>
    <t xml:space="preserve">Encuesta de hogares </t>
  </si>
  <si>
    <t>https://unstats.un.org/sdgs/metadata/files/Metadata-08-04-01.pdf</t>
  </si>
  <si>
    <t>Director del Departamento de Estadística Macroeconómica</t>
  </si>
  <si>
    <t>vargasch@bccr.fi</t>
  </si>
  <si>
    <t>Costa Rica: Consumo material interno en términos absolutos, consumo material interno per cápita y consumo material interno por PIB</t>
  </si>
  <si>
    <t>Costa Rica: Consumo material interno</t>
  </si>
  <si>
    <t>Costa Rica: Consumo de material interno en términos absoluto, 2014-2023</t>
  </si>
  <si>
    <t>(miles de toneladas)</t>
  </si>
  <si>
    <t>Términos absolutos
(miles de toneladas)</t>
  </si>
  <si>
    <t>Per cápita
(toneladas per cápita)</t>
  </si>
  <si>
    <t>Por PIB
(Kg por millones de colones*)</t>
  </si>
  <si>
    <t>2022*</t>
  </si>
  <si>
    <t xml:space="preserve">1/ Corresponde a la serie de volumen a precios del año anterior encadenado, referencia 2017. </t>
  </si>
  <si>
    <t>Fuente: Banco Central de Costa Rica, Cuenta de Flujo de Materiales, 2024</t>
  </si>
  <si>
    <t>* Cifras preliminares de Extracción Nacional para los años 2022 y 2023.</t>
  </si>
  <si>
    <t xml:space="preserve">Fuente: Banco Central de Costa Rica, Cuenta de Flujo de Materiales, 2024. </t>
  </si>
  <si>
    <t>Costa Rica: Consumo de material interno per cápita, 2014-2023</t>
  </si>
  <si>
    <t>Costa Rica: Consumo de material interno por PIB, 2014-2023</t>
  </si>
  <si>
    <t>toneladas per cápita</t>
  </si>
  <si>
    <t>Kg por millones de colones</t>
  </si>
  <si>
    <t>Fuente: Banco Central de Costa Rica, Cuenta de Flujo de Materiales y datos de población del Instituto Nacional de Estadística y Censos, 2024.</t>
  </si>
  <si>
    <t xml:space="preserve">Nota: Se utilizó la serie de PIB en volumen a precios del año anterior encadenado, referencia 2017. </t>
  </si>
  <si>
    <t>https://unstats.un.org/sdgs/metadata/files/Metadata-08-04-02.pdf</t>
  </si>
  <si>
    <t>No identificada</t>
  </si>
  <si>
    <t>Consumo Nacional de Materiales</t>
  </si>
  <si>
    <r>
      <t>El</t>
    </r>
    <r>
      <rPr>
        <b/>
        <sz val="11"/>
        <rFont val="Open Sans Condensed"/>
      </rPr>
      <t xml:space="preserve"> Consumo Nacional de Materiales </t>
    </r>
    <r>
      <rPr>
        <sz val="11"/>
        <rFont val="Open Sans Condensed"/>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</si>
  <si>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t>CNM = IDM – EXP
Donde IDM es el Insumo Directo de Materiales y EXP son las exportaciones de materiales.
El IDM a su vez se calcula de la siguinte manera:
IDM = EN + IMP
Donde EN son las Extracciones Nacionales e IMP las importaciones de materiales.</t>
  </si>
  <si>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</si>
  <si>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</si>
  <si>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</si>
  <si>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t>
  </si>
  <si>
    <t>Cuenta de Flujo de Materiales</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</si>
  <si>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</si>
  <si>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</si>
  <si>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Director de la División de Análisis de Datos y Estadísticas.</t>
  </si>
  <si>
    <t xml:space="preserve">Mónica Rodriguez Zuñiga </t>
  </si>
  <si>
    <t>Luis Fernando Sánchez Sánchez</t>
  </si>
  <si>
    <t>(506) 22433232</t>
  </si>
  <si>
    <t>sanchezsl@bccr.fi.cr</t>
  </si>
  <si>
    <t xml:space="preserve">Costa Rica: Diferencial de género en el ingreso bruto medio por hora de los ocupados por sector institucional, clasificación del grupo ocupacional y grupos de edad </t>
  </si>
  <si>
    <t>Ver 8.5.1.b.</t>
  </si>
  <si>
    <t xml:space="preserve">Costa Rica: Diferencial de género en el ingreso bruto medio por hora según jornada de trabajo por sector institucional, clasificación del grupo ocupacional y grupos de edad </t>
  </si>
  <si>
    <t xml:space="preserve">Diferencial de género </t>
  </si>
  <si>
    <t xml:space="preserve">Jornada de trabajo </t>
  </si>
  <si>
    <t>Ocupados que trabaja menos de 40 horas por semana</t>
  </si>
  <si>
    <t xml:space="preserve">Ocupados que trabajan entre 40 y 48 horas por semana </t>
  </si>
  <si>
    <t>Ocupados que trabajan más de 48 horas por semana</t>
  </si>
  <si>
    <t xml:space="preserve">Sector institucional </t>
  </si>
  <si>
    <t xml:space="preserve">Clasificación del grupo ocupacional </t>
  </si>
  <si>
    <t xml:space="preserve">Público </t>
  </si>
  <si>
    <t>Privado</t>
  </si>
  <si>
    <r>
      <t>Ocupación alta</t>
    </r>
    <r>
      <rPr>
        <b/>
        <vertAlign val="superscript"/>
        <sz val="11"/>
        <rFont val="Open Sans Condensed"/>
      </rPr>
      <t>1/</t>
    </r>
  </si>
  <si>
    <r>
      <t>Ocupación media</t>
    </r>
    <r>
      <rPr>
        <b/>
        <vertAlign val="superscript"/>
        <sz val="11"/>
        <rFont val="Open Sans Condensed"/>
      </rPr>
      <t>2/</t>
    </r>
  </si>
  <si>
    <t>Ocupación no calificada</t>
  </si>
  <si>
    <t xml:space="preserve">15 a 24 </t>
  </si>
  <si>
    <t>25 a 59</t>
  </si>
  <si>
    <t>60 y más</t>
  </si>
  <si>
    <t>1/ Incluye directores y gerentes,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</si>
  <si>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</si>
  <si>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https://unstats.un.org/sdgs/metadata/files/Metadata-08-05-01.pdf</t>
  </si>
  <si>
    <t xml:space="preserve">Diferencial de género en el ingreso bruto medio por hora según jornada de trabajo por sector institucional, clasificación del grupo ocupacional y grupos de edad </t>
  </si>
  <si>
    <t>8.5.1.a</t>
  </si>
  <si>
    <t xml:space="preserve">El diferencial de género en el ingreso bruto medio por hora corresponde a la diferencia entre el promedio por hora del hombre y la mujer expresado como porcentaje del ingreso medio por hora del hombre.
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</si>
  <si>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</si>
  <si>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</si>
  <si>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</si>
  <si>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No se diferencia a las personas discapacitadas en la fuerza de trabajo</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</si>
  <si>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</si>
  <si>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Costa Rica: Brecha de género en el ingreso bruto medio por hora de los ocupados según jornada de trabajo por sector institucional, clasificación del grupo ocupacional y grupos de edad </t>
  </si>
  <si>
    <t xml:space="preserve">Brecha de género </t>
  </si>
  <si>
    <t>1/ Incluye nivel directivo de la administración pública y de la empresa, nivel profesional, científico e intelectual, nivel técnico y profesional medio.</t>
  </si>
  <si>
    <t xml:space="preserve">Brecha de género en el ingreso bruto medio por hora de los ocupados según jornada de trabajo por sector institucional, clasificación del grupo ocupacional y grupos de edad </t>
  </si>
  <si>
    <t>8.5.1.b</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</si>
  <si>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rFont val="Open Sans Condensed"/>
      </rPr>
      <t xml:space="preserve">Ingreso mensual promedio en el empleo principal:
</t>
    </r>
    <r>
      <rPr>
        <sz val="11"/>
        <rFont val="Open Sans Condensed"/>
      </rPr>
      <t>Ingreso por trabajo del ocupado sin considerar las deducciones de ley, rebajos de cargas sociales ni impuestos de renta. Se incluye solamente los ocupados con ingresos conocidos mayores a cero y no se incluye a los trabajadores no remunerados</t>
    </r>
    <r>
      <rPr>
        <b/>
        <sz val="11"/>
        <rFont val="Open Sans Condensed"/>
      </rPr>
      <t>.</t>
    </r>
  </si>
  <si>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</si>
  <si>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</si>
  <si>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</si>
  <si>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</si>
  <si>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Costa Rica: Tasa de desempleo abierto desglosada por sexo, y grupos de edad</t>
  </si>
  <si>
    <t>Costa Rica: Tasa de desempleo  abierto desglosada por sexo,  y grupos de edad</t>
  </si>
  <si>
    <t>15 a 24 años</t>
  </si>
  <si>
    <t>25 a 59 años</t>
  </si>
  <si>
    <t>60 o más años</t>
  </si>
  <si>
    <t>De 15 a 24 años</t>
  </si>
  <si>
    <t>De 25 a 59 años</t>
  </si>
  <si>
    <t>De 60 años o más</t>
  </si>
  <si>
    <t>https://unstats.un.org/sdgs/metadata/files/Metadata-08-05-02.pdf</t>
  </si>
  <si>
    <t>Tasa de desempleo abierto desglosada por sexo y grupos de edad</t>
  </si>
  <si>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rFont val="Open Sans Condensed"/>
      </rPr>
      <t xml:space="preserve">Población Desempleada: </t>
    </r>
    <r>
      <rPr>
        <sz val="11"/>
        <rFont val="Open Sans Condensed"/>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rFont val="Open Sans Condensed"/>
      </rPr>
      <t xml:space="preserve">Fuerza de trabajo (FT) o población económicamente activa:  </t>
    </r>
    <r>
      <rPr>
        <sz val="11"/>
        <rFont val="Open Sans Condensed"/>
      </rPr>
      <t>Es el conjunto de personas de 15 años o más que durante el período de referencia participaron en la producción de bienes y servicios económicos o estaban dispuestas a hacerlo. Está conformada
por la población ocupada y la desocupada.</t>
    </r>
  </si>
  <si>
    <t>• Población desocupada.
• Fuerza de trabajo.</t>
  </si>
  <si>
    <t>Por sexo  y grupos de edad</t>
  </si>
  <si>
    <t>Costa Rica: Porcentaje de jóvenes de 15 a 24 años que no estudian ni tiene empleo ni han recibido curso de capacitación u otro tipo de educación no formal como proporción de la población total joven por sexo</t>
  </si>
  <si>
    <t xml:space="preserve">Mujer </t>
  </si>
  <si>
    <t>https://unstats.un.org/sdgs/metadata/files/Metadata-08-06-01.pdf</t>
  </si>
  <si>
    <t>Porcentaje de jóvenes de 15 a 24 años que no estudian ni tiene empleo ni han recibido curso de capacitación u otro tipo de educación no formal como proporción de la población total joven por sexo</t>
  </si>
  <si>
    <r>
      <t xml:space="preserve">Corresponde a los jóvenes de 15 a 24 años que están desempleados o fuera de la fuerza laboral y no estudian.
</t>
    </r>
    <r>
      <rPr>
        <b/>
        <sz val="11"/>
        <rFont val="Open Sans Condensed"/>
      </rPr>
      <t>Población Desempleada:</t>
    </r>
    <r>
      <rPr>
        <sz val="11"/>
        <rFont val="Open Sans Condensed"/>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rFont val="Open Sans Condensed"/>
      </rPr>
      <t>Población fuera de la fuerza de trabajo:</t>
    </r>
    <r>
      <rPr>
        <sz val="11"/>
        <rFont val="Open Sans Condensed"/>
      </rPr>
      <t xml:space="preserve"> Miembros del hogar que no estuvieron ocupados en la semana de referencia y que en las cuatro semanas anteriores a la entrevista no realizaron ningún tipo de gestión de búsqueda para conseguir un trabajo.
</t>
    </r>
    <r>
      <rPr>
        <b/>
        <sz val="11"/>
        <rFont val="Open Sans Condensed"/>
      </rPr>
      <t xml:space="preserve">Asistencia a la Educación:  </t>
    </r>
    <r>
      <rPr>
        <sz val="11"/>
        <rFont val="Open Sans Condensed"/>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</si>
  <si>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t>• Total de jóvenes (de 15 a 24 años) que no estudian, no tienen empleo y no han recibido capacitación u otro tipo de educacion no regular.
• Total de jóvenes en ese grupo de edad.</t>
  </si>
  <si>
    <t>Costa Rica: 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</si>
  <si>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</si>
  <si>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</si>
  <si>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</si>
  <si>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</si>
  <si>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</si>
  <si>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</si>
  <si>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t>Fuente: Instituto Nacional de Estadística y Censos, Encuesta Nacional de Hogares, 2002-2011-2016</t>
  </si>
  <si>
    <t>Costa Rica: Porcentaje de población de 5 a 17 años que trabajan, por sexo, Años 2002-2011 y 2016</t>
  </si>
  <si>
    <t>https://unstats.un.org/sdgs/metadata/files/Metadata-08-07-01.pdf</t>
  </si>
  <si>
    <t>Porcentaje de población de 5 a 17 años que trabajan, por grupos de edad y sexo, zona y sexo, región de planificación y sexo</t>
  </si>
  <si>
    <r>
      <t xml:space="preserve">Número de niños de entre 5 y 17 años que realizan trabajo infantil. Trabajo infantil refleja la ocupación de niños en trabajos prohibidos y, más en general, en los tipos de trabajo que son indeseable socialmente e inmoral. 
</t>
    </r>
    <r>
      <rPr>
        <b/>
        <sz val="11"/>
        <rFont val="Open Sans Condensed"/>
      </rPr>
      <t>Trabajo Infantil:</t>
    </r>
    <r>
      <rPr>
        <sz val="11"/>
        <rFont val="Open Sans Condensed"/>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rFont val="Open Sans Condensed"/>
      </rPr>
      <t>Trabajo Adolescente:</t>
    </r>
    <r>
      <rPr>
        <sz val="11"/>
        <rFont val="Open Sans Condensed"/>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</si>
  <si>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t>• Número de niños de entre 5 y 17 años que realizan trabajo infantil.
• Total de personas de ese grupo de edad.</t>
  </si>
  <si>
    <t>Nacional, zona y región de planificación</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</si>
  <si>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</si>
  <si>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Costa Rica: Indicadores de lesiones ocupacionales 
Costa Rica: Indicadores de lesiones ocupacionales, por sexo</t>
  </si>
  <si>
    <t>Costa Rica: Indicadores de lesiones ocupacionales</t>
  </si>
  <si>
    <t>Población ocupada</t>
  </si>
  <si>
    <t>Trabajadores asegurados por Riego de Trabajo</t>
  </si>
  <si>
    <t>Denuncias de accidentes laborales</t>
  </si>
  <si>
    <t>Denuncias Enfermedades Profesionales</t>
  </si>
  <si>
    <t>Incapacidades permanentes otorgadas</t>
  </si>
  <si>
    <t>Incapacidades con gran invalidez</t>
  </si>
  <si>
    <t>Defunciones por accidente laboral</t>
  </si>
  <si>
    <t>Días de incapacidad otorgadas en el año</t>
  </si>
  <si>
    <t>Muertes por cada 100 000 ocupados</t>
  </si>
  <si>
    <t>Indice de incidencia</t>
  </si>
  <si>
    <t>Índice de Frecuencia</t>
  </si>
  <si>
    <t xml:space="preserve">Índice de gravedad </t>
  </si>
  <si>
    <t>Índice de duración media</t>
  </si>
  <si>
    <t>https://www.cso.go.cr/documentos_relevantes/estadisticas_salud_ocupacional.aspx</t>
  </si>
  <si>
    <t>Fuente: Instituto Nacional de Seguros, Sistema Mecanizado de Riesgos del Trabajo y Modelos de Riesgos del Trabajo para SUGESE, 2023</t>
  </si>
  <si>
    <t>Costa Rica: Índice de frecuencia de lesiones ocupacionales, 2011-2023</t>
  </si>
  <si>
    <t>Fuente: Instituto Nacional de Seguros, Sistema Mecanizado de Riesgos del Trabajo, 2023</t>
  </si>
  <si>
    <t>Costa Rica: Indicadores de lesiones ocupacionales, por sexo al 2023</t>
  </si>
  <si>
    <t>Género</t>
  </si>
  <si>
    <t>Días de incapacidad pagadas en el año</t>
  </si>
  <si>
    <t xml:space="preserve">horas Trabajadas </t>
  </si>
  <si>
    <t>Femenino</t>
  </si>
  <si>
    <t>Masculino</t>
  </si>
  <si>
    <t>Costa Rica: Indicadores de lesiones ocupacionales, por sexo al 2022</t>
  </si>
  <si>
    <t>Fuente: Instituto Nacional de Seguros, Sistema Mecanizado de Riesgos del Trabajo y Modelos de Riesgos del Trabajo para SUGESE, 2022</t>
  </si>
  <si>
    <t>Costa Rica: Indicadores de lesiones ocupacionales, por sexo al 2021</t>
  </si>
  <si>
    <t>Fuente: Instituto Nacional de Seguros, Sistema Mecanizado de Riesgos del Trabajo y Modelos de Riesgos del Trabajo para SUGESE, 2021</t>
  </si>
  <si>
    <t>Costa Rica: Indicadores de lesiones ocupacionales, por sexo al 2020</t>
  </si>
  <si>
    <t>Fuente: Instituto Nacional de Seguros, Sistema Mecanizado de Riesgos del Trabajo y Modelos de Riesgos del Trabajo para SUGESE, 2020</t>
  </si>
  <si>
    <t>https://unstats.un.org/sdgs/metadata/files/Metadata-08-08-01.pdf</t>
  </si>
  <si>
    <t>Indicadores de lesiones ocupacionales</t>
  </si>
  <si>
    <r>
      <rPr>
        <b/>
        <sz val="11"/>
        <rFont val="Open Sans Condensed"/>
      </rPr>
      <t xml:space="preserve">Accidentes In itinere </t>
    </r>
    <r>
      <rPr>
        <sz val="11"/>
        <rFont val="Open Sans Condensed"/>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Open Sans Condensed"/>
      </rPr>
      <t xml:space="preserve">Enfermedades Profesionales:  </t>
    </r>
    <r>
      <rPr>
        <sz val="11"/>
        <rFont val="Open Sans Condensed"/>
      </rPr>
      <t xml:space="preserve">Representa la cantidad de casos de enfermedades ocupacionales  contraídas como resultado de la exposición a factores de riesgo relacionados al trabajo.  Se tienen a partir del 2020.                                                                                                                                                                                                           
</t>
    </r>
    <r>
      <rPr>
        <b/>
        <sz val="11"/>
        <rFont val="Open Sans Condensed"/>
      </rPr>
      <t>Índice de frecuencia</t>
    </r>
    <r>
      <rPr>
        <sz val="11"/>
        <rFont val="Open Sans Condensed"/>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Open Sans Condensed"/>
      </rPr>
      <t>Índice de gravedad (I.G)</t>
    </r>
    <r>
      <rPr>
        <sz val="11"/>
        <rFont val="Open Sans Condensed"/>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Open Sans Condensed"/>
      </rPr>
      <t>Índice de Incidencia (I.I)</t>
    </r>
    <r>
      <rPr>
        <sz val="11"/>
        <rFont val="Open Sans Condensed"/>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Open Sans Condensed"/>
      </rPr>
      <t>Índice de Duración Media (D.M.)</t>
    </r>
    <r>
      <rPr>
        <sz val="11"/>
        <rFont val="Open Sans Condensed"/>
      </rPr>
      <t xml:space="preserve">: Se utiliza para cuantificar el tiempo medio de duración de los daños ocupacionales (accidentes o enfermedades del trabajo).
</t>
    </r>
    <r>
      <rPr>
        <b/>
        <sz val="11"/>
        <rFont val="Open Sans Condensed"/>
      </rPr>
      <t>Tasa de defunciones laborales</t>
    </r>
    <r>
      <rPr>
        <sz val="11"/>
        <rFont val="Open Sans Condensed"/>
      </rPr>
      <t xml:space="preserve">: representa el número de muertes por accidentes laborales por cada 100 000 personas ocupadas en determinado período (mes, trimestre, año). 
</t>
    </r>
    <r>
      <rPr>
        <b/>
        <sz val="11"/>
        <rFont val="Open Sans Condensed"/>
      </rPr>
      <t>Población ocupada</t>
    </r>
    <r>
      <rPr>
        <sz val="11"/>
        <rFont val="Open Sans Condensed"/>
      </rPr>
      <t xml:space="preserve">: Personas en la fuerza de trabajo que participaron en la producción de bienes y servicios económicos (trabajaron) por lo menos una hora en la semana de referencia. </t>
    </r>
  </si>
  <si>
    <r>
      <rPr>
        <b/>
        <sz val="11"/>
        <rFont val="Open Sans Condensed"/>
      </rPr>
      <t>Índice de Frecuencia</t>
    </r>
    <r>
      <rPr>
        <sz val="11"/>
        <rFont val="Open Sans Condensed"/>
      </rPr>
      <t xml:space="preserve">: Número de accidentes en jornada de trabajo con baja ocurridos por cada millón de horas trabajadas.
</t>
    </r>
    <r>
      <rPr>
        <b/>
        <sz val="11"/>
        <rFont val="Open Sans Condensed"/>
      </rPr>
      <t>Índice de Incidencia</t>
    </r>
    <r>
      <rPr>
        <sz val="11"/>
        <rFont val="Open Sans Condensed"/>
      </rPr>
      <t xml:space="preserve">: Número de accidentes en jornada de trabajo con baja ocurridos por cada mil trabajadores.
</t>
    </r>
    <r>
      <rPr>
        <b/>
        <sz val="11"/>
        <rFont val="Open Sans Condensed"/>
      </rPr>
      <t>Índice de Gravedad</t>
    </r>
    <r>
      <rPr>
        <sz val="11"/>
        <rFont val="Open Sans Condensed"/>
      </rPr>
      <t xml:space="preserve">: Número de jornadas no trabajadas a causa de los accidentes ocurridos en jornada de trabajo, por cada mil horas trabajadas.
</t>
    </r>
    <r>
      <rPr>
        <b/>
        <sz val="11"/>
        <rFont val="Open Sans Condensed"/>
      </rPr>
      <t>Tasa de defunciones laborales</t>
    </r>
    <r>
      <rPr>
        <sz val="11"/>
        <rFont val="Open Sans Condensed"/>
      </rPr>
      <t>: Cantidad de defunciones por accidente laboral por cada 100 000 personas ocupadas.</t>
    </r>
  </si>
  <si>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</si>
  <si>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</si>
  <si>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</si>
  <si>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</si>
  <si>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 xml:space="preserve">Instituto Nacional de Seguros (2012).Gestión de Información Estadística sobre Riesgos del trabajo. Recuperado de: https://portal.ins-cr.com/NR/rdonlyres/4C61D4EA-159E-4E68-A111-6D2BAECB2F40/5344/1007803_FolletoGesti%C3%B3ndeInformaci%C3%B3n_WEB.pdf
</t>
  </si>
  <si>
    <t xml:space="preserve">Laura Herrera Mena </t>
  </si>
  <si>
    <t>Encargada Unidad de Gestión Estadística</t>
  </si>
  <si>
    <t>Instituto Nacional de Seguros</t>
  </si>
  <si>
    <t>(506) 22876200 - ext 3360</t>
  </si>
  <si>
    <t>lherreram@ins-cr.com</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</si>
  <si>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</si>
  <si>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a. Costa Rica: Tasa de sindicación por sector</t>
  </si>
  <si>
    <t>Costa Rica: Tasa de sindicalización por sector, 2011-2023</t>
  </si>
  <si>
    <t>Público</t>
  </si>
  <si>
    <t>Ver indicador Tasa de negociación 8.8.2.b</t>
  </si>
  <si>
    <t>Fuente: Ministerio de Trabajo y Seguridad Social, 2011-2021</t>
  </si>
  <si>
    <r>
      <rPr>
        <b/>
        <sz val="11"/>
        <rFont val="Open Sans Condensed"/>
      </rPr>
      <t xml:space="preserve">Nota: </t>
    </r>
    <r>
      <rPr>
        <sz val="11"/>
        <rFont val="Open Sans Condensed"/>
      </rPr>
      <t>La tasa de sindicación se calcula con la cantidad de afiliados respecto a la población ocupada total.</t>
    </r>
  </si>
  <si>
    <t xml:space="preserve">Los datos del 2017 al 2023 son datos tomados del Anuario estadístico 2020 y 2023. Capítulo, Dirección de Asuntos Laborales, Departamento de Organizaciones Sociales.  Cuadro 5.19, COSTA RICA, MTSS: Sindicatos activos, personas afiliadas y tasa de sindicación, 2018-2023 (A setiembre de cada año): </t>
  </si>
  <si>
    <t>https://sites.google.com/d/15Pjsj_thNFKcmECtEMO0H6tIiQYOLsvH/p/14Avrr1xqNEYv6BGqjkqF-MSJCfNpYdQN/edit</t>
  </si>
  <si>
    <t>https://sites.google.com/mtss.go.cr/anuarioestadistico2023/inicio</t>
  </si>
  <si>
    <r>
      <rPr>
        <b/>
        <sz val="11"/>
        <rFont val="Open Sans Condensed"/>
      </rPr>
      <t>Fuente:</t>
    </r>
    <r>
      <rPr>
        <sz val="11"/>
        <rFont val="Open Sans Condensed"/>
      </rPr>
      <t xml:space="preserve"> Ministerio de Trabajo y Seguridad Social, 2011-2023.  Anuario Estadístico 2021, Observatorio de Mercado Laboral OML de la Dirección Nacional de Empleo, DNE.</t>
    </r>
  </si>
  <si>
    <t>http://www.ilo.org/ilostat/faces/ilostat-home/home?_adf.ctrl-state=124zz5i6qi_86&amp;_afrLoop=1507743378218831#!</t>
  </si>
  <si>
    <t>https://unstats.un.org/sdgs/metadata/files/Metadata-08-08-02.pdf</t>
  </si>
  <si>
    <t>a. Tasa de sindicación por sector</t>
  </si>
  <si>
    <t>8.8.2.a</t>
  </si>
  <si>
    <r>
      <t>L</t>
    </r>
    <r>
      <rPr>
        <b/>
        <sz val="11"/>
        <rFont val="Open Sans Condensed"/>
      </rPr>
      <t xml:space="preserve">a tasa de sindicación </t>
    </r>
    <r>
      <rPr>
        <sz val="11"/>
        <rFont val="Open Sans Condensed"/>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</si>
  <si>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rFont val="Open Sans Condensed"/>
      </rPr>
      <t xml:space="preserve"> </t>
    </r>
    <r>
      <rPr>
        <sz val="11"/>
        <rFont val="Open Sans Condensed"/>
      </rPr>
      <t>=</t>
    </r>
    <r>
      <rPr>
        <b/>
        <sz val="11"/>
        <rFont val="Open Sans Condensed"/>
      </rPr>
      <t xml:space="preserve"> </t>
    </r>
    <r>
      <rPr>
        <sz val="11"/>
        <rFont val="Open Sans Condensed"/>
      </rPr>
      <t>Sector (público o privado)</t>
    </r>
  </si>
  <si>
    <t xml:space="preserve">Es la representatividad que tienen los sindicatos con respecto a las personas ocupadas a nivel nacional </t>
  </si>
  <si>
    <t>• Total de afiliados a los sindicatos. 
• Población ocupada total.</t>
  </si>
  <si>
    <t>Ministerio de Trabajo y Seguridad Social, Departamento de investigación del mercado laboral</t>
  </si>
  <si>
    <t>Anuario Estadístico Ministerio de Trabajo y Seguridad Social</t>
  </si>
  <si>
    <t>No se puede calcular por sexo y condición de migrante porque las organizaciones sindicales no llevan las nóminas desglosadas por estos conceptos</t>
  </si>
  <si>
    <t>Anuario estadístico 2021: https://sites.google.com/d/15Pjsj_thNFKcmECtEMO0H6tIiQYOLsvH/p/14Avrr1xqNEYv6BGqjkqF-MSJCfNpYdQN/edit</t>
  </si>
  <si>
    <t>Esmeralda Benavides Murillo
Carlos Fernández Álvarez</t>
  </si>
  <si>
    <t>Jefa Departamento Observatorio del Mercado Laboral   
Estadístico-Observatorio de Mercado Laboral</t>
  </si>
  <si>
    <t>Ministerio de Trabajo y Seguridad Social</t>
  </si>
  <si>
    <t>(506) 2223-7689/8817-6144/89136536</t>
  </si>
  <si>
    <t>esmeralda.benavides@mtss.go.cr  
carlos.fernandez@mtss.go.cr            </t>
  </si>
  <si>
    <t>b. Costa Rica: Tasa de negociación por sector</t>
  </si>
  <si>
    <t>Costa Rica: Tasa de negociación por sector, 2011-2023</t>
  </si>
  <si>
    <r>
      <rPr>
        <b/>
        <sz val="11"/>
        <rFont val="Open Sans Condensed"/>
      </rPr>
      <t>Nota:</t>
    </r>
    <r>
      <rPr>
        <sz val="11"/>
        <rFont val="Open Sans Condensed"/>
      </rPr>
      <t xml:space="preserve"> La tasa de negociación se calcula con la cantidad de afiliados respecto a la población asalariada.</t>
    </r>
  </si>
  <si>
    <t>Los datos del 2017 al 2023 son datos tomados de Anuario estadístico del Ministerio de Trabajo y Seguridad Social, 2020, 2021 y 2023.  Capítulo, Dirección de Asuntos Laborales, Departamento de Relaciones de Trabajo.  Cuadro 5.3 Costa Rica, MTSS: Cobertura de las convenciones colectivas activas y tasa de negociación colectiva, según sector institucional, 2018-2023:</t>
  </si>
  <si>
    <r>
      <rPr>
        <b/>
        <sz val="11"/>
        <rFont val="Open Sans Condensed"/>
      </rPr>
      <t xml:space="preserve">Fuente: </t>
    </r>
    <r>
      <rPr>
        <sz val="11"/>
        <rFont val="Open Sans Condensed"/>
      </rPr>
      <t>Ministerio de Trabajo y Seguridad Social, 2011-2023. Anuario Estadístico del Ministerio de Trabajo y Seguridad Social, 2021 y 2023, Observatorio de Mercado Laboral OML de la Dirección Nacional de Empleo, DNE.</t>
    </r>
  </si>
  <si>
    <t>b. Tasa de negociación por sector</t>
  </si>
  <si>
    <t>8.8.2b</t>
  </si>
  <si>
    <r>
      <t xml:space="preserve">Porcentaje que representa la cantidad de afiliados con posibilidad de negociación respecto de la población asalariada total.
Se entiende por </t>
    </r>
    <r>
      <rPr>
        <b/>
        <sz val="11"/>
        <rFont val="Open Sans Condensed"/>
      </rPr>
      <t>capacidad negociativa</t>
    </r>
    <r>
      <rPr>
        <sz val="11"/>
        <rFont val="Open Sans Condensed"/>
      </rPr>
      <t xml:space="preserve"> el hecho de contar con una convención colectiva, en relación a la cantidad total de asalariados.</t>
    </r>
  </si>
  <si>
    <t xml:space="preserve">
Donde i: Sector (público o privado)</t>
  </si>
  <si>
    <t>La tasa de negociación colectiva mide la cobertura de la negociación y se define como la proporción de empleados a los cuales se aplica un convenio colectivo.</t>
  </si>
  <si>
    <t>• Cobertura total.  
• Total de asalariados.</t>
  </si>
  <si>
    <t>Este indicador no puede ser desglosado por sexo y condición de migrante por no encontrarse disponible.</t>
  </si>
  <si>
    <t>Jefa Departamento Observatorio del Mercado Laboral   
Estadístico-Deartamento Observatorio de Mercado Laboral</t>
  </si>
  <si>
    <t>(506) 2223-7689/8817-6144/8913-6536</t>
  </si>
  <si>
    <t>Costa Rica: Turismo en el PIB Total</t>
  </si>
  <si>
    <r>
      <t>millones de colones</t>
    </r>
    <r>
      <rPr>
        <b/>
        <vertAlign val="superscript"/>
        <sz val="11"/>
        <rFont val="Open Sans Condensed"/>
      </rPr>
      <t>a</t>
    </r>
  </si>
  <si>
    <t>PIB Turístico</t>
  </si>
  <si>
    <t>PIB  Total Costa Rica</t>
  </si>
  <si>
    <t>Proporción del Turismo en el PIB</t>
  </si>
  <si>
    <t>Tasa de crecimiento  del Turismo</t>
  </si>
  <si>
    <t xml:space="preserve">        1 096 771 </t>
  </si>
  <si>
    <t xml:space="preserve">     40 326 626 </t>
  </si>
  <si>
    <t>a/  El PIB está en millones de colones corrientes con año de referencia 2017.</t>
  </si>
  <si>
    <t>Se actualizó la serie del PIB, se presenta en colones corrientes con año de referencia 2017.</t>
  </si>
  <si>
    <t>Fuente: Banco Central de Costa Rica, Cuenta Satélite de Turismo, 2012-2021.</t>
  </si>
  <si>
    <t>Costa Rica: Proporción del turismo en el PIB, 2012-2020</t>
  </si>
  <si>
    <t>Fuente: Banco Central de Costa Rica, Cuenta Satélite de Turismo, 2012-2020</t>
  </si>
  <si>
    <t>https://unstats.un.org/sdgs/metadata/files/Metadata-08-09-01.pdf</t>
  </si>
  <si>
    <t>Proporción directa del turismo en el PIB como proporción del PIB total y en la tasa de crecimiento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</si>
  <si>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</si>
  <si>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(PIB turístico/ PIB total)*100</t>
  </si>
  <si>
    <t>El PIB se presenta en millones de colones corrientes con año de referencia 2017.</t>
  </si>
  <si>
    <t>Es la proporción del PIB que es producido por las actividades turísticas</t>
  </si>
  <si>
    <t>Valor Bruto de la Producción, Valor Agregado, Exportaciones, Gasto de consumo final, Gasto turístico, Importaciones</t>
  </si>
  <si>
    <t>Encuestas por muestreo y registros administrativos.</t>
  </si>
  <si>
    <t>Encuesta a Turismo Receptor, Emisor e Interno. Registros administrativos y Estudio Económico a empresas</t>
  </si>
  <si>
    <t>Rezago de 3 años.</t>
  </si>
  <si>
    <t>https://www.bccr.fi.cr/indicadores-economicos/cuenta-sat%C3%A9lite-de-turismo</t>
  </si>
  <si>
    <t>Alejandra Ramírez Vargas</t>
  </si>
  <si>
    <t>Profesional en Gestión Bancaria 3</t>
  </si>
  <si>
    <t>(506) 2243-3205</t>
  </si>
  <si>
    <t>ramirezva@bccr.fi.cr</t>
  </si>
  <si>
    <t>Costa Rica: Número de sucursales u oficinas de bancos comerciales por cada 100 000 habitantes mayores de 15 años</t>
  </si>
  <si>
    <t>Costa Rica: Número de sucursales u oficinas de bancos comerciales por cada 100 000 habitantes mayores de 15 años, 2011-2022</t>
  </si>
  <si>
    <t>Sucursales u oficinas por cada 100000 habitantes (+ 15 años)</t>
  </si>
  <si>
    <t>Número de sucursales u oficinas</t>
  </si>
  <si>
    <t>Población (15+ años)</t>
  </si>
  <si>
    <t>Ver indicador 8.10.1.b</t>
  </si>
  <si>
    <t>Fuente: Superintendencia de Entidades Financieras e INEC-Costa Rica. Estimaciones y proyecciones nacionales de población 1950 - 2100, julio 2024.</t>
  </si>
  <si>
    <t>Fuente: Banco Central de Costa Rica y Superintendencia de Entidades Financieras, 2022.</t>
  </si>
  <si>
    <t>https://unstats.un.org/sdgs/metadata/files/Metadata-08-10-01.pdf</t>
  </si>
  <si>
    <t>Número de sucursales u oficinas de bancos comerciales por cada 100 000 habitantes mayores de 15 años</t>
  </si>
  <si>
    <t>8.10.1.a</t>
  </si>
  <si>
    <r>
      <rPr>
        <b/>
        <sz val="11"/>
        <rFont val="Open Sans Condensed"/>
      </rPr>
      <t>Bancos comericales</t>
    </r>
    <r>
      <rPr>
        <sz val="11"/>
        <rFont val="Open Sans Condensed"/>
      </rPr>
      <t>: operan en actividades de intermediación entre la oferta y la demanda de recursos financieros,y/ o en la prestación de otros servicios bancarios.
Los bancos del Estado podrán establecer</t>
    </r>
    <r>
      <rPr>
        <b/>
        <sz val="11"/>
        <rFont val="Open Sans Condensed"/>
      </rPr>
      <t xml:space="preserve"> sucursales</t>
    </r>
    <r>
      <rPr>
        <sz val="11"/>
        <rFont val="Open Sans Condensed"/>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</si>
  <si>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t>Tasa por cada 100.000 adultos</t>
  </si>
  <si>
    <t>• Número de sucursales de bancos comerciales.
• Total de población mayor de 15 años.</t>
  </si>
  <si>
    <t>Superintendencia de Entidades Financieras</t>
  </si>
  <si>
    <t xml:space="preserve">Encuesta anual de seguimiento a Medios de Pago </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</si>
  <si>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</si>
  <si>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Nancy Paola Pérez Valverde</t>
  </si>
  <si>
    <t>Superintendencia de Entidades Financieras, Departamento de Información Crediticia</t>
  </si>
  <si>
    <t>(506) 2243-3349</t>
  </si>
  <si>
    <t>PEREZVN@sugef.fi.cr</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</si>
  <si>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</si>
  <si>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</si>
  <si>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Costa Rica: Número de cajeros automáticos por cada 100 000 habitantes mayores de 15 años</t>
  </si>
  <si>
    <t>Costa Rica: Número de terminales en puntos de venta por cada 100 000 habitantes mayores de 15 años, 2011-2023</t>
  </si>
  <si>
    <t>TPV* por cada 100 000 habitantes (15+ años)</t>
  </si>
  <si>
    <t>Cantidad de terminales POS (punto de venta)</t>
  </si>
  <si>
    <t>Cantidad de terminales ATM</t>
  </si>
  <si>
    <t>ATM por cada 100.000 habitantes (15+ años)</t>
  </si>
  <si>
    <t>Fuente: Banco Central de Costa Rica y datos del Instituto Nacional de Estadística y Censos, 2011-2023</t>
  </si>
  <si>
    <t>Costa Rica: Número de cajeros automáticos por cada 100 000 habitantes mayores de 15 años, 2011-2023</t>
  </si>
  <si>
    <t>Dada la tendencia de una mayor adopción de pagos electrónicos, los cajeros automáticos, utilizados principalmente para retirar efectivo, vienen disminuyendo en cantidad de terminales y transacciones procesadas. Por lo anterior, se recomienda utilizar el indicador de Terminales en punto de venta (TVP) por cada 100 mil habitantes.</t>
  </si>
  <si>
    <t>*TPV: terminal en punto de venta.</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</si>
  <si>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</si>
  <si>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Fuente: Banco Central de Costa Rica y INEC-Costa Rica. Estimaciones y proyecciones nacionales de población 1950 - 2100, julio 2024.</t>
  </si>
  <si>
    <t xml:space="preserve"> a) Número de sucursales de bancos comerciales por cada 100.000 adultos y b) número de cajeros automáticos por cada 100.000 adultos</t>
  </si>
  <si>
    <t>Número de cajeros automáticos por cada 100 000 habitantes mayores de 15 años</t>
  </si>
  <si>
    <r>
      <t>Un</t>
    </r>
    <r>
      <rPr>
        <b/>
        <sz val="11"/>
        <rFont val="Open Sans Condensed"/>
      </rPr>
      <t xml:space="preserve"> cajero automático</t>
    </r>
    <r>
      <rPr>
        <sz val="11"/>
        <rFont val="Open Sans Condensed"/>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</si>
  <si>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t>Tasa por cada 100.000 habitantes mayores de 15 años.</t>
  </si>
  <si>
    <t>• Número de  cajeros automáticos. 
• Total de población mayor de 15 años.</t>
  </si>
  <si>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</si>
  <si>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Área de Investigación y Estadística-División Sistemas de Pagos</t>
  </si>
  <si>
    <t>dsp-estadisticas@bccr.fi.cr</t>
  </si>
  <si>
    <t xml:space="preserve">Costa Rica: Porcentaje de población mayor de 15 años con cuenta en una institución financiera formal, por sexo </t>
  </si>
  <si>
    <t>Porcentaje con cuenta en institución financiera</t>
  </si>
  <si>
    <t>Cantidad de personas con cuenta en una institución financiera formal</t>
  </si>
  <si>
    <t>Se agrega el porcentaje de mujeres y hombres en el rango de edad analizado que mantienen una cuenta bancaria en una institución financiera formal, lo cual permite valorar las brechas de género en términos de bancarización.</t>
  </si>
  <si>
    <t>1- Para los años 2015 y 2017 se utilizaron datos estimados por Global Findex-Banco Mundial para el porcentaje con acceso a una cuenta en una institución financiera formal. Los datos de cantidad de personas con cuenta en una institución financiera formal para 2019 en adelante, se sustraen del servicio SINPE Padrón Único de Cuentas (PUC) del BCCR.</t>
  </si>
  <si>
    <t>2- La serie de datos de población fue actualizada por el INEC en ocasión del censo de población, por lo que los porcentajes con cuenta en una institución financiera se modificaron respecto de los reportados en años anteriores. La población vigente corresponde a las nuevas proyecciones de población.  INEC-Costa Rica. Estimaciones y proyecciones nacionales de población 1950 - 2100, julio 2024.</t>
  </si>
  <si>
    <t>Fuente: Banco Central de Costa Rica y datos del Instituto Nacional de Estadística y Censos.</t>
  </si>
  <si>
    <t>Costa Rica: Porcentaje de población mayor de 15 años con cuenta en una institución financiera formal por sexo, Año 2015 y 2023</t>
  </si>
  <si>
    <t>Fuente: Banco Central de Costa Rica y datos del Instituto Nacional de Estadística y Censos, 2015 y 2023</t>
  </si>
  <si>
    <t>https://unstats.un.org/sdgs/metadata/files/Metadata-08-10-02.pdf</t>
  </si>
  <si>
    <t xml:space="preserve">Porcentaje de población mayor de 15 años con cuenta en una institución financiera formal, por sexo </t>
  </si>
  <si>
    <r>
      <rPr>
        <b/>
        <sz val="11"/>
        <rFont val="Open Sans Condensed"/>
      </rPr>
      <t>Población bancarizada:</t>
    </r>
    <r>
      <rPr>
        <sz val="11"/>
        <rFont val="Open Sans Condensed"/>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</si>
  <si>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t>• Personas que tienen una cuenta en un banco u otro tipo de entidad financiera.
• Total de población.</t>
  </si>
  <si>
    <t>A partir del 2019 los datos asociados a este indicador se obtienen a partir del Padrón Único de Cuentas (PUC), desarrollado por el Banco Central de Costa Rica y que permite contar con un sistema población con acceso a cuentas abiertas en el sistema financiero formal. Adicionalmete se ulitizan los datos de las proyecciones de población publicadas por el Instituto Nacional de Estadística y Censos (INEC).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</si>
  <si>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comercio.</t>
  </si>
  <si>
    <t>https://unstats.un.org/sdgs/metadata/files/Metadata-08-0A-01.pdf</t>
  </si>
  <si>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</si>
  <si>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Costa Rica: Existencia de un sistema nacional de empleo para el empleo de las personas incluidos los jóvenes</t>
  </si>
  <si>
    <t>Costa Rica: Existencia de un sistema nacional de empleo para personas incluidos los jóvenes</t>
  </si>
  <si>
    <t>Si/ No</t>
  </si>
  <si>
    <r>
      <rPr>
        <b/>
        <sz val="11"/>
        <rFont val="Open Sans Condensed"/>
      </rPr>
      <t>Notas:</t>
    </r>
    <r>
      <rPr>
        <sz val="11"/>
        <rFont val="Open Sans Condensed"/>
      </rPr>
      <t xml:space="preserve"> Sistema Nacional de Empleo contiene un sólo programa llamado Programa Nacional de Empleo (PRONAE), con modalidades: 1. Empléate, 2. Ideas productivas, 3. Capacitación, 4. Obra comunal, 7 Obra Indígena (Ley 8783)</t>
    </r>
  </si>
  <si>
    <r>
      <rPr>
        <b/>
        <sz val="11"/>
        <rFont val="Open Sans Condensed"/>
      </rPr>
      <t>Fuente:</t>
    </r>
    <r>
      <rPr>
        <sz val="11"/>
        <rFont val="Open Sans Condensed"/>
      </rPr>
      <t xml:space="preserve"> Ministerio de Trabajo y Seguridad Social, 2010-2023</t>
    </r>
  </si>
  <si>
    <t>https://unstats.un.org/sdgs/metadata/files/Metadata-08-0b-01.pdf</t>
  </si>
  <si>
    <t>Existencia de un sistema nacional de empleo para las personas incluidos los jóvenes.</t>
  </si>
  <si>
    <t>Evidencia la existencia de un sistema o estrategia de intermediación, orientación e información de empleo para todas las personas incluidas los jóvenes.
El Sistema Nacional de Empleo costarricense se creó mediante el Decreto Ejecutivo N°41776-MTSS-MEP-MIDEPLAN-MDHIS-MCM-MCSP,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Dicho sistema se gestiona mediante un modelo costituido por cuatro componentes, que son: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Ministerio de Trabajo y Seguridad Social (MTSS), y la Agencia Nacional de Empleo (ANE) como mecanismo operativo a cargo del Instituto Nacional de Aprendizaje, la cual cuenta con una Red de Unidades de Empleo (RUE) integrada por el conjunto de todas las Unidades de Empleo, públicas, privadas, o público-privadas, debidamente constituidas mediante convenios suscritos con el MTSS.</t>
  </si>
  <si>
    <t xml:space="preserve">Indicador dicotómico </t>
  </si>
  <si>
    <t xml:space="preserve">Existencia o no de un sistema o estrategia </t>
  </si>
  <si>
    <t>Ministerio de Trabajo y Seguridad Social (MTSS)</t>
  </si>
  <si>
    <t>Sistema Nacional de Empleo</t>
  </si>
  <si>
    <t>Cualitativo, solo evidencia la existencia no la cobertura.</t>
  </si>
  <si>
    <r>
      <rPr>
        <sz val="11"/>
        <rFont val="Open Sans Condensed"/>
      </rPr>
      <t xml:space="preserve">Dirección Nacional de Empleo. (2022). Sitio web. Disponible en:   </t>
    </r>
    <r>
      <rPr>
        <u/>
        <sz val="11"/>
        <rFont val="Open Sans Condensed"/>
      </rPr>
      <t xml:space="preserve">https://www.mtss.go.cr/elministerio/estructura/direccion-empleo/direccion-nacional-empleo.html
</t>
    </r>
    <r>
      <rPr>
        <sz val="11"/>
        <rFont val="Open Sans Condensed"/>
      </rPr>
      <t>Decreto Ejecutivo N°41776, Creación del Sistema Nacional de Empleo. Disponible en: http://www.pgrweb.go.cr/scij/Busqueda/Normativa/Normas/nrm_texto_completo.aspx?param1=NRTC&amp;nValor1=1&amp;nValor2=89001&amp;nValor3=116631&amp;strTipM=TC</t>
    </r>
    <r>
      <rPr>
        <u/>
        <sz val="11"/>
        <rFont val="Open Sans Condensed"/>
      </rPr>
      <t xml:space="preserve"> 
</t>
    </r>
    <r>
      <rPr>
        <sz val="11"/>
        <rFont val="Open Sans Condensed"/>
      </rPr>
      <t>Agencia Nacional de Empleo. (2022). Sitio web. Disponible en: https://www.ane.cr/</t>
    </r>
  </si>
  <si>
    <t>Carlos Rojas Salas</t>
  </si>
  <si>
    <t xml:space="preserve">Gestor Administrativo, Dirección Nacional de Empleo </t>
  </si>
  <si>
    <t>Ministerio de Trabajo y Seguridad Social, Dirección Nacional de Empleo</t>
  </si>
  <si>
    <t>(506) 2223-7689</t>
  </si>
  <si>
    <t>carlos.rojas@mtss.go.cr</t>
  </si>
  <si>
    <t xml:space="preserve">Objetivo 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</si>
  <si>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</si>
  <si>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9.1.1</t>
  </si>
  <si>
    <t>9.1.1 Proporción de la población rural que vive a menos de 2 km de una carretera transitable todo el año</t>
  </si>
  <si>
    <t>9.1.2</t>
  </si>
  <si>
    <t>9.1.2 Volumen de transporte de pasajeros y carga, desglosado por medio de transporte</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</si>
  <si>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</si>
  <si>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9.2.1</t>
  </si>
  <si>
    <t>9.2.1 Valor añadido del sector manufacturo en proporción al PIB y per cápita</t>
  </si>
  <si>
    <t>9.2.2</t>
  </si>
  <si>
    <t>9.2.2 Empleo del sector manufacturero en proporción al empleo total</t>
  </si>
  <si>
    <t>9.3 Aumentar el acceso de las pequeñas industrias y otras empresas, particularmente en los países en desarrollo, a los servicios financieros, incluidos créditos asequibles, y su integración en las cadenas de valor y los mercados</t>
  </si>
  <si>
    <t>9.3.1</t>
  </si>
  <si>
    <t>9.3.1 Proporción del valor añadido total del sector industrial correspondiente a las pequeñas industrias</t>
  </si>
  <si>
    <t>9.3.2</t>
  </si>
  <si>
    <t>9.3.2 Proporción de las pequeñas industrias que han obtenido un préstamo o una línea de crédito</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</si>
  <si>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</si>
  <si>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9.4.1</t>
  </si>
  <si>
    <t>9.4.1 Emisiones de CO2 por unidad de valor añadido</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</si>
  <si>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</si>
  <si>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9.5.1</t>
  </si>
  <si>
    <t>9.5.1 Gastos en investigación y desarrollo en proporción al PIB</t>
  </si>
  <si>
    <t>9.5.2</t>
  </si>
  <si>
    <t>9.5.2 Número de investigadores (en equivalente a tiempo completo) por cada millón de habitantes</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</si>
  <si>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</si>
  <si>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9.a.1</t>
  </si>
  <si>
    <t>9.a.1 Total de apoyo internacional oficial (asistencia oficial para el desarrollo más otras corrientes oficiales de recursos) destinado a la infraestructura</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</si>
  <si>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</si>
  <si>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9.b.1</t>
  </si>
  <si>
    <t>9.b.1 Proporción del valor añadido por la industria de tecnología mediana y alta en el valor añadido total</t>
  </si>
  <si>
    <t>9.c Aumentar significativamente el acceso a la tecnología de la información y las comunicaciones y esforzarse por proporcionar acceso universal y asequible a Internet en los países menos adelantados de aquí a 2020</t>
  </si>
  <si>
    <t>9.c.1</t>
  </si>
  <si>
    <t>9.c.1 Proporción de la población con cobertura de red móvil, desglosada por tecnología</t>
  </si>
  <si>
    <t xml:space="preserve">Objetivo 9. Construir infraestructuras resilientes, promover la industrialización inclusiva y sostenible  y fomentar la innovación </t>
  </si>
  <si>
    <t>https://unstats.un.org/sdgs/metadata/files/Metadata-09-01-01.pdf</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</si>
  <si>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</si>
  <si>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</si>
  <si>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Objetivo 9. Construir infraestructuras resilientes, promover la industrialización inclusiva y sostenible y fomentar la innovación</t>
  </si>
  <si>
    <t xml:space="preserve">9.1.2 </t>
  </si>
  <si>
    <t>https://unstats.un.org/sdgs/metadata/files/Metadata-09-01-02.pdf</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</si>
  <si>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</si>
  <si>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</si>
  <si>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9.2.1 Valor añadido del sector manufacturo en proporción al PIB y per cápita </t>
  </si>
  <si>
    <t xml:space="preserve">Costa Rica: Valor agregado por manufactura como porcentaje del PIB per cápita </t>
  </si>
  <si>
    <t>Costa Rica: Valor agregado por manufactura como porcentaje del PIB per cápita, 2010-2023</t>
  </si>
  <si>
    <t>Nota:  Cifras preliminares 2021-23 utilizada en el Informe de Política Monetaria julio 2024</t>
  </si>
  <si>
    <t>Fuente: Banco Central de Costa Rica, 2010-2023</t>
  </si>
  <si>
    <t>Notas:  1/ Cifras preliminares 2022-2023, publicadas en el Informe de Política Monetaria de julio 2024.</t>
  </si>
  <si>
    <t>2/ Costa Rica realizó en el año 2022 el XI Censo Nacional de Población. Uno de los productos de este censo fue la elaboración de las proyecciones de población, que implicó una revisión histórica de los principales componentes del cambio demográfico. En julio 2024, el INEC publicó una nueva serie de población para el período 1950-2100. Por tal motivo las cifras per cápita publicadas por el BCCR variaron a partir del 30 de Julio de 2024, fecha en que se actualizaron los datos.</t>
  </si>
  <si>
    <t>Fuente: Banco Central de Costa Rica</t>
  </si>
  <si>
    <t>https://unstats.un.org/sdgs/metadata/files/Metadata-09-02-01.pdf</t>
  </si>
  <si>
    <t xml:space="preserve">Valor agregado por manufactura como porcentaje del PIB per cápita </t>
  </si>
  <si>
    <r>
      <t xml:space="preserve">El </t>
    </r>
    <r>
      <rPr>
        <b/>
        <sz val="11"/>
        <rFont val="Open Sans Condensed"/>
      </rPr>
      <t>valor agregado</t>
    </r>
    <r>
      <rPr>
        <sz val="11"/>
        <rFont val="Open Sans Condensed"/>
      </rPr>
      <t xml:space="preserve"> (</t>
    </r>
    <r>
      <rPr>
        <b/>
        <sz val="11"/>
        <rFont val="Open Sans Condensed"/>
      </rPr>
      <t xml:space="preserve">VA) </t>
    </r>
    <r>
      <rPr>
        <sz val="11"/>
        <rFont val="Open Sans Condensed"/>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rFont val="Open Sans Condensed"/>
      </rPr>
      <t xml:space="preserve">Producto Interno Bruto (PIB) </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rFont val="Open Sans Condensed"/>
      </rPr>
      <t>actividades económicas</t>
    </r>
    <r>
      <rPr>
        <sz val="11"/>
        <rFont val="Open Sans Condensed"/>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rFont val="Open Sans Condensed"/>
      </rPr>
      <t>Industrias manufactureras</t>
    </r>
    <r>
      <rPr>
        <sz val="11"/>
        <rFont val="Open Sans Condensed"/>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rFont val="Open Sans Condensed"/>
      </rPr>
      <t>http://www.bccr.fi.cr/publicaciones/sector_real/Introduccion_conceptos_fuentes_metodos_cuentas_nacionales.pdf</t>
    </r>
  </si>
  <si>
    <t xml:space="preserve">
Donde i= actividades productivas en la Industria Manufacturera</t>
  </si>
  <si>
    <t>• Valor agregado por manufactura.
• PIB.
• Total de población.</t>
  </si>
  <si>
    <t>De acuerdo a las Naciones Unidas, este indicador se requiere con las siguientes desagregaciones: Los datos pueden ser presentados por grupos de países (PMA, PMD) y las regiones del mundo. El valor agregado puede ser también presentado por sector (CIIU)</t>
  </si>
  <si>
    <t>Costa Rica: Porcentaje del empleo en la manufactura respecto de la población ocupada por sexo</t>
  </si>
  <si>
    <t xml:space="preserve">Costa Rica: Porcentaje del empleo en la </t>
  </si>
  <si>
    <t>manufactura respecto de la población ocupada por sexo</t>
  </si>
  <si>
    <t>https://unstats.un.org/sdgs/metadata/files/Metadata-09-02-02.pdf</t>
  </si>
  <si>
    <t>Porcentaje del empleo en la manufactura respecto de la población ocupada por sexo</t>
  </si>
  <si>
    <r>
      <t>El</t>
    </r>
    <r>
      <rPr>
        <b/>
        <sz val="11"/>
        <rFont val="Open Sans Condensed"/>
      </rPr>
      <t xml:space="preserve"> empleo</t>
    </r>
    <r>
      <rPr>
        <sz val="11"/>
        <rFont val="Open Sans Condensed"/>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</si>
  <si>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t>• Población ocupada en la industria manufacturera.
• Población ocupada total.</t>
  </si>
  <si>
    <t xml:space="preserve">Costa Rica: Porcentaje correspondiente a las industrias a pequeña escala del valor añadido total del sector </t>
  </si>
  <si>
    <t>Fuente: Ministerio de Economía Industria y Comercio y Banco Central de Costa Rica, 2013-2017</t>
  </si>
  <si>
    <t>https://unstats.un.org/sdgs/metadata/files/Metadata-09-03-01.pdf</t>
  </si>
  <si>
    <t xml:space="preserve">Porcentaje correspondiente a las industrias a pequeña escala del valor añadido total del sector </t>
  </si>
  <si>
    <r>
      <t xml:space="preserve">El </t>
    </r>
    <r>
      <rPr>
        <b/>
        <sz val="11"/>
        <rFont val="Open Sans Condensed"/>
      </rPr>
      <t>valor agregado (VA)</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</si>
  <si>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t>• Valor añadido correspondiente a las industrias a pequeña escala del valor añadido. 
• Valor añadido industrial.</t>
  </si>
  <si>
    <t>Completar</t>
  </si>
  <si>
    <t>Cuentas Nacionales</t>
  </si>
  <si>
    <t>De acuerdo a las Naciones Unidas, este indicador se requiere con las siguientes desagregaciones: Los datos pueden ser desagregados por industria y por regiones.</t>
  </si>
  <si>
    <t>Andrea Gabriela Leon Segura</t>
  </si>
  <si>
    <t>Directora, Dirección General de Pequeña y Mediana Empresa</t>
  </si>
  <si>
    <t>Ministerio de Economía Industria y Comercio</t>
  </si>
  <si>
    <t>(506) 25491400 ext 104</t>
  </si>
  <si>
    <t>gleon@meic.go.cr</t>
  </si>
  <si>
    <t>Lucía Castro Rodriguez</t>
  </si>
  <si>
    <t>Dirección General de Pequeña y Mediana Empresa</t>
  </si>
  <si>
    <t>(506) 25491204</t>
  </si>
  <si>
    <t>lcastro@meic.go.cr</t>
  </si>
  <si>
    <t xml:space="preserve">Costa Rica: Porcentaje de las industrias a pequeña escala que han obtenido un préstamo o una línea de crédito </t>
  </si>
  <si>
    <t>Nota 1:  Proporción de préstamos otorgados a las microempresas</t>
  </si>
  <si>
    <t>Fuente: Ministerio de Economía, Industria y Comercio, 2013</t>
  </si>
  <si>
    <t>https://unstats.un.org/sdgs/metadata/files/Metadata-09-03-02.pdf</t>
  </si>
  <si>
    <t xml:space="preserve">Porcentaje de las industrias a pequeña escala que han obtenido un préstamo o una línea de crédito </t>
  </si>
  <si>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rFont val="Open Sans Condensed"/>
      </rPr>
      <t>Ley 8262. Ley de fortalecimiento de las pequeñas y medianas empresas</t>
    </r>
  </si>
  <si>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</si>
  <si>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</si>
  <si>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</si>
  <si>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</si>
  <si>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</si>
  <si>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</si>
  <si>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</si>
  <si>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</si>
  <si>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</si>
  <si>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Costa Rica: Evolución de las emisiones totales de CO2 asociadas a la combustión por Producto Interno Bruto</t>
  </si>
  <si>
    <r>
      <t>Costa Rica: Evolución de las emisiones totales de CO</t>
    </r>
    <r>
      <rPr>
        <b/>
        <vertAlign val="subscript"/>
        <sz val="12"/>
        <rFont val="Open Sans Condensed"/>
      </rPr>
      <t>2</t>
    </r>
    <r>
      <rPr>
        <b/>
        <sz val="12"/>
        <rFont val="Open Sans Condensed"/>
      </rPr>
      <t xml:space="preserve"> asociadas a la combustión por Producto Interno Bruto</t>
    </r>
  </si>
  <si>
    <t>VER EMISIONES DE CO2/VA POR ACTIVIDAD ECONÓMICA</t>
  </si>
  <si>
    <r>
      <t>Emisiones de CO</t>
    </r>
    <r>
      <rPr>
        <b/>
        <vertAlign val="subscript"/>
        <sz val="11"/>
        <rFont val="Open Sans Condensed"/>
      </rPr>
      <t>2</t>
    </r>
    <r>
      <rPr>
        <b/>
        <sz val="11"/>
        <rFont val="Open Sans Condensed"/>
      </rPr>
      <t xml:space="preserve"> totales (gigagramos de CO</t>
    </r>
    <r>
      <rPr>
        <b/>
        <vertAlign val="subscript"/>
        <sz val="11"/>
        <rFont val="Open Sans Condensed"/>
      </rPr>
      <t>2</t>
    </r>
    <r>
      <rPr>
        <b/>
        <sz val="11"/>
        <rFont val="Open Sans Condensed"/>
      </rPr>
      <t>)</t>
    </r>
  </si>
  <si>
    <r>
      <t>PIB (millones de colones)</t>
    </r>
    <r>
      <rPr>
        <b/>
        <vertAlign val="superscript"/>
        <sz val="11"/>
        <rFont val="Open Sans Condensed"/>
      </rPr>
      <t>a</t>
    </r>
  </si>
  <si>
    <r>
      <t>Intensidad (kg CO</t>
    </r>
    <r>
      <rPr>
        <b/>
        <vertAlign val="subscript"/>
        <sz val="11"/>
        <rFont val="Open Sans Condensed"/>
      </rPr>
      <t>2</t>
    </r>
    <r>
      <rPr>
        <b/>
        <sz val="11"/>
        <rFont val="Open Sans Condensed"/>
      </rPr>
      <t>/ millón de colones)</t>
    </r>
  </si>
  <si>
    <t>Nota 1: El monto de emisiones totales incluye las emisiones generadas por los hogares por el uso de combustibles fósiles.</t>
  </si>
  <si>
    <t>Nota 2: Series en volumen encadenado, año de referencia 2017.</t>
  </si>
  <si>
    <t>Fuente: BCCR, Cuenta de Energía 2011-2021.</t>
  </si>
  <si>
    <r>
      <t>Costa Rica: Evolución de las emisiones totales de CO</t>
    </r>
    <r>
      <rPr>
        <b/>
        <vertAlign val="subscript"/>
        <sz val="12"/>
        <rFont val="Open Sans Condensed"/>
      </rPr>
      <t>2</t>
    </r>
    <r>
      <rPr>
        <b/>
        <sz val="12"/>
        <rFont val="Open Sans Condensed"/>
      </rPr>
      <t xml:space="preserve"> asociadas a la combustión por Producto Interno Bruto, 2011-2021</t>
    </r>
  </si>
  <si>
    <t>Nota: Series en volumen encadenado, año de referencia 2017</t>
  </si>
  <si>
    <t>Fuente: Banco Central de Costa Rica, Cuenta de Energía 2011-2021</t>
  </si>
  <si>
    <t>https://unstats.un.org/sdgs/metadata/files/Metadata-09-04-01.pdf</t>
  </si>
  <si>
    <t>Emisiones totales de CO2 asociadas al uso de combustibles fósiles por  PIB</t>
  </si>
  <si>
    <t>Emisiones totales de CO2 generadas por la combustión de combustibles fósiles por unidad de Producto Interno Bruto (PIB).
Las variables de este indicador son:
Emisiones totales de dióxido de carbono (CO2):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</si>
  <si>
    <t xml:space="preserve">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</si>
  <si>
    <t xml:space="preserve">Emisiones totales de dióxido de carbono (CO2): kilogramos de CO2
Producto Interno Bruto (PIB): millones de colones encadenados, año de referencia 2012.
Emisiones de CO2 / PIB: kilogramos de CO2 / millón de colones encadenados, año de referencia 2012. 
</t>
  </si>
  <si>
    <t>Cantidad de emisiones de CO2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</si>
  <si>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Producto Interno Bruto.</t>
  </si>
  <si>
    <t>Este indicador no considera todas las fuentes de emisión de CO2, solo se concentra en el uso de combustibles fósiles. 
Por concepto, solamente muestra la interrelación de la industria con recursos energéticos.</t>
  </si>
  <si>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CO2,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</si>
  <si>
    <t xml:space="preserve">9.4.1 Emisiones de CO2 por unidad de valor añadido </t>
  </si>
  <si>
    <t>Costa Rica: Evolución de las emisiones de CO2 asociadas a la combustión por unidad de Valor Agregado por grupos de actividades económicas</t>
  </si>
  <si>
    <r>
      <t>Costa Rica: Evolución de las emisiones de CO</t>
    </r>
    <r>
      <rPr>
        <b/>
        <vertAlign val="subscript"/>
        <sz val="12"/>
        <rFont val="Open Sans Condensed"/>
      </rPr>
      <t>2</t>
    </r>
    <r>
      <rPr>
        <b/>
        <sz val="12"/>
        <rFont val="Open Sans Condensed"/>
      </rPr>
      <t xml:space="preserve"> asociadas a la combustión por unidad de Valor Agregado por grupos de actividades económicas
kilogramos de CO2 / millón de colones </t>
    </r>
    <r>
      <rPr>
        <b/>
        <vertAlign val="superscript"/>
        <sz val="12"/>
        <rFont val="Open Sans Condensed"/>
      </rPr>
      <t>a</t>
    </r>
  </si>
  <si>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</si>
  <si>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</si>
  <si>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</si>
  <si>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</si>
  <si>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</si>
  <si>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Comercio al por mayor y al por menor (G)</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</si>
  <si>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</si>
  <si>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</si>
  <si>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</si>
  <si>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</si>
  <si>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</si>
  <si>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</si>
  <si>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</si>
  <si>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</si>
  <si>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</si>
  <si>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t>1/ Series en volumen encadenado, año de referencia 2017.</t>
  </si>
  <si>
    <r>
      <t>Costa Rica: Evolución de las emisiones de CO</t>
    </r>
    <r>
      <rPr>
        <b/>
        <vertAlign val="subscript"/>
        <sz val="12"/>
        <rFont val="Open Sans Condensed"/>
      </rPr>
      <t>2</t>
    </r>
    <r>
      <rPr>
        <b/>
        <sz val="12"/>
        <rFont val="Open Sans Condensed"/>
      </rPr>
      <t xml:space="preserve"> asociadas a la combustión por unidad de Valor Agregado Bruto, 2011-2021</t>
    </r>
  </si>
  <si>
    <t>a/ Series en volumen encadenado, año de referencia 2017.</t>
  </si>
  <si>
    <t xml:space="preserve">9.4.1 </t>
  </si>
  <si>
    <t>Emisiones de CO2 por unidad de valor añadido</t>
  </si>
  <si>
    <r>
      <t xml:space="preserve">Emisiones de CO2 generadas por la combustión de combustibles fósiles por unidad de Valor Agregado Bruto .
Las variables de este indicador son:
Emisiones de dióxido de carbono (CO2):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</si>
  <si>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 xml:space="preserve">Estimación por Actividad Económica
</t>
    </r>
    <r>
      <rPr>
        <i/>
        <sz val="11"/>
        <rFont val="Open Sans Condensed"/>
      </rPr>
      <t>i</t>
    </r>
    <r>
      <rPr>
        <sz val="11"/>
        <rFont val="Open Sans Condensed"/>
      </rPr>
      <t>: Actividad económica según clasificación CIIU 4.
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</si>
  <si>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t xml:space="preserve">Emisiones de dióxido de carbono (CO2): kilogramos de CO2
Valor Agregado bruto (VAB): millones de colones encadenados, año de referencia 2017.
Emisiones de CO2 / VAB: kilogramos de CO2 / millón de colones encadenados, año de referencia 2017. 
</t>
  </si>
  <si>
    <t>Cantidad de emisiones de CO2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</si>
  <si>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Valor agregado bruto por actividad económica.</t>
  </si>
  <si>
    <t>Desagregación por actividad económica, según código CIIU 4.</t>
  </si>
  <si>
    <t>Costa Rica: Gastos en investigación y desarrollo como proporción del PIB, por área científica y tecnológica y por sector de ejecución</t>
  </si>
  <si>
    <t>Gasto total (% del PIB)</t>
  </si>
  <si>
    <t>Inversión en I+D según  área científica tecnológica</t>
  </si>
  <si>
    <t>Inversión en I+D según sector de ejecución</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</si>
  <si>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</si>
  <si>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</si>
  <si>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</si>
  <si>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</si>
  <si>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</si>
  <si>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</si>
  <si>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</si>
  <si>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</si>
  <si>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</si>
  <si>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</si>
  <si>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</si>
  <si>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</si>
  <si>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r>
      <t>2019</t>
    </r>
    <r>
      <rPr>
        <vertAlign val="superscript"/>
        <sz val="11"/>
        <rFont val="Open Sans Condensed"/>
      </rPr>
      <t>/1</t>
    </r>
  </si>
  <si>
    <t>/1 No realizó la Encuenta en el 2019 por otivos de pandemia.</t>
  </si>
  <si>
    <t>Fuente: Ministerio de Ciencia, Innovación, Tecnología y Telecomunicaciones, Encuesta de Actividades Científicas y Tecnológicas, 2010-2018 y 2020-2022.</t>
  </si>
  <si>
    <t>Costa Rica: Gasto en investigación y desarrollo como proporción del PIB, 2010-2018 y 2020-2022.</t>
  </si>
  <si>
    <t>Gastos en investigación y desarrollo como proporción del PIB, por área científica y tecnológica y por sector de ejecución</t>
  </si>
  <si>
    <r>
      <t xml:space="preserve">Gastos en investigación y desarrollo como proporción del PIB 
</t>
    </r>
    <r>
      <rPr>
        <b/>
        <sz val="11"/>
        <rFont val="Open Sans Condensed"/>
      </rPr>
      <t xml:space="preserve">Investigación y el desarrollo experimental (I+D): </t>
    </r>
    <r>
      <rPr>
        <sz val="11"/>
        <rFont val="Open Sans Condensed"/>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</si>
  <si>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Gastos en investigación y desarrollo.
• PIB.</t>
  </si>
  <si>
    <t>Por área científica y tecnológica
Sector de Ejecución</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</si>
  <si>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</si>
  <si>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</si>
  <si>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 xml:space="preserve">Costa Rica: Tasa de investigadores por cada 1 000 000 de habitantes </t>
  </si>
  <si>
    <t>Costa Rica: Tasa de investigadores por cada un millón de habitantes.</t>
  </si>
  <si>
    <t>Costa Rica: Tasa de investigadores por cada 1 000 000 habitantes, 2010-2018 y 2020-2022</t>
  </si>
  <si>
    <t>Fuente: Ministerio de Ciencia, Innovación, Tecnología y Telecomunicaciones, Viceministerio de Ciencia y Tecnología, Unidad de Planificación Institucional 2010-2018 y 2020-2022.</t>
  </si>
  <si>
    <t>Fuente: Ministerio de Ciencia, Innovación, Tecnología y Telecomunicaciones, Viceministerio de Ciencia, Tecnología e Innovación, Unidad de Planificación Sectorial 2010-2018 y 2020-2022.</t>
  </si>
  <si>
    <t>https://unstats.un.org/sdgs/metadata/files/Metadata-09-05-02.pdf</t>
  </si>
  <si>
    <t xml:space="preserve">Tasa de investigadores por cada 1 000 000 de habitantes </t>
  </si>
  <si>
    <r>
      <rPr>
        <b/>
        <sz val="11"/>
        <rFont val="Open Sans Condensed"/>
      </rPr>
      <t>Investigadores:</t>
    </r>
    <r>
      <rPr>
        <sz val="11"/>
        <rFont val="Open Sans Condensed"/>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</si>
  <si>
    <t>Tasa por cada 1 000 000 habitantes</t>
  </si>
  <si>
    <t>• Total de investigadores. 
• Total de población.</t>
  </si>
  <si>
    <t>Ministerio de Ciencia, Innovación, Tecnología y Telecomunicaciones</t>
  </si>
  <si>
    <t>El indicador no es aplicable a Costa Rica porque el país no brinda asistencia al exterior en estos temas. 
Aunque Costa Rica no es un país donante, al recibir donaciones es posible que diversas instituciones del país brinden información de apoyo para este indicador. Si bien el sitio web de las Naciones Unidas para Costa Rica (https://costarica.un.org/es/sdgs/9) menciona al MOPT, AYA y CCSS Mesa Indígena y el INAMU por lo que estas insituciónes podrían proporcionar información relevante, conviene investigar en estas instituciones.</t>
  </si>
  <si>
    <t>https://unstats.un.org/sdgs/metadata/files/Metadata-09-0A-01.pdf</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</si>
  <si>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</si>
  <si>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Costa Rica: Inversión en actividades científicas y tecnológicas como porcentaje del PIB</t>
  </si>
  <si>
    <t>Costa Rica: Inversión en actividades científicas y tecnológicas como porcentaje del PIB, 2010-2018 y 2020-2022</t>
  </si>
  <si>
    <t>/1 No se recopilaron datos para el año 2019 por motivos de pandemia.</t>
  </si>
  <si>
    <t>https://unstats.un.org/sdgs/metadata/files/Metadata-09-0B-01.pdf</t>
  </si>
  <si>
    <t>Inversión en actividades científicas y tecnológicas como porcentaje del PIB</t>
  </si>
  <si>
    <r>
      <rPr>
        <b/>
        <sz val="11"/>
        <rFont val="Open Sans Condensed"/>
      </rPr>
      <t>Actividades Científicas y Tecnológicas (ACT)</t>
    </r>
    <r>
      <rPr>
        <sz val="11"/>
        <rFont val="Open Sans Condensed"/>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</si>
  <si>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</si>
  <si>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</si>
  <si>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</si>
  <si>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Costa Rica: Porcentaje de suscripciones a telecomunicaciones por tipo de servicio, tipo de tecnología y medio de pago</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</si>
  <si>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</si>
  <si>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</si>
  <si>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</si>
  <si>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</si>
  <si>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</si>
  <si>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</si>
  <si>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</si>
  <si>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</si>
  <si>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</si>
  <si>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t>LD</t>
  </si>
  <si>
    <r>
      <t>Ingreso total (millones de colones)</t>
    </r>
    <r>
      <rPr>
        <b/>
        <vertAlign val="superscript"/>
        <sz val="11"/>
        <rFont val="Open Sans Condensed"/>
      </rPr>
      <t>1/</t>
    </r>
  </si>
  <si>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</si>
  <si>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</si>
  <si>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</si>
  <si>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</si>
  <si>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</si>
  <si>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</si>
  <si>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</si>
  <si>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</si>
  <si>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</si>
  <si>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</si>
  <si>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</si>
  <si>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</si>
  <si>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</si>
  <si>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</si>
  <si>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</si>
  <si>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</si>
  <si>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</si>
  <si>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</si>
  <si>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</si>
  <si>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</si>
  <si>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</si>
  <si>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</si>
  <si>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</si>
  <si>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</si>
  <si>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</si>
  <si>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</si>
  <si>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</si>
  <si>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Producto interno bruto a precios
de mercado. (Millones de colones
corrientes)</t>
  </si>
  <si>
    <t>Total de viviendas</t>
  </si>
  <si>
    <t>732 363</t>
  </si>
  <si>
    <r>
      <rPr>
        <vertAlign val="superscript"/>
        <sz val="11"/>
        <rFont val="Open Sans Condensed"/>
      </rPr>
      <t xml:space="preserve">1/ </t>
    </r>
    <r>
      <rPr>
        <sz val="11"/>
        <rFont val="Open Sans Condensed"/>
      </rPr>
      <t>Cifras no incluye el ingreso asociado al servicio de televisión por suscripción.</t>
    </r>
  </si>
  <si>
    <t>Fuente: Superintendencia de Telecomunicaciones, Dirección General de Mercados; y datos del Instituto Nacional de Estadística y Censos y datos del Banco Central de Costa Rica, 2011-2023.</t>
  </si>
  <si>
    <t>Costa Rica: Suscripciones totales a telecomunicaciones por cada 100 habitantes, 2011-2023</t>
  </si>
  <si>
    <t>Fuente: Superintendencia de Telecomunicaciones, Dirección General de Mercados; y datos de Instituto Nacional de estadística y Censos y Banco Central de Costa Rica, 2011-2023</t>
  </si>
  <si>
    <t>https://unstats.un.org/sdgs/metadata/files/Metadata-09-0C-01.pdf</t>
  </si>
  <si>
    <t>Porcentaje de suscripciones a telecomunicaciones por tipo de servicio, tipo de tecnología y medio de pago</t>
  </si>
  <si>
    <r>
      <rPr>
        <b/>
        <sz val="11"/>
        <rFont val="Open Sans Condensed"/>
      </rPr>
      <t xml:space="preserve">Telecomunicaciones: </t>
    </r>
    <r>
      <rPr>
        <sz val="11"/>
        <rFont val="Open Sans Condensed"/>
      </rPr>
      <t xml:space="preserve">
</t>
    </r>
    <r>
      <rPr>
        <b/>
        <sz val="11"/>
        <rFont val="Open Sans Condensed"/>
      </rPr>
      <t>Telefonía móvil</t>
    </r>
    <r>
      <rPr>
        <sz val="11"/>
        <rFont val="Open Sans Condensed"/>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rFont val="Open Sans Condensed"/>
      </rPr>
      <t>Transferencia de datos</t>
    </r>
    <r>
      <rPr>
        <sz val="11"/>
        <rFont val="Open Sans Condensed"/>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</si>
  <si>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t>• Suscripciones activas al servicio.
• Total de población.</t>
  </si>
  <si>
    <t>SUTEL, Dirección General de Mercados</t>
  </si>
  <si>
    <t>Registros administrativos</t>
  </si>
  <si>
    <t>Estadísticas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</si>
  <si>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</si>
  <si>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</si>
  <si>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</si>
  <si>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Superintendencia de telecomunicaciones (SUTEL)</t>
  </si>
  <si>
    <t>(506) 4000-0000 Ext 14 Ext 72 Ext 73</t>
  </si>
  <si>
    <t>analucrecia.segura@sutel.go.cr</t>
  </si>
  <si>
    <t xml:space="preserve">Objetivo 10. Reducir la desigualdad en los países y entre ellos </t>
  </si>
  <si>
    <t>10.1 De aquí a 2030, lograr progresivamente y mantener el crecimiento de los ingresos del 40% más pobre de la población a una tasa superior a la media nacional</t>
  </si>
  <si>
    <t>10.1.1</t>
  </si>
  <si>
    <t>10.1.1 Tasas de crecimiento per cápita de los gastos o ingresos de los hogares del 40% más pobre de la población y la población total</t>
  </si>
  <si>
    <t>10.2 De aquí a 2030, potenciar y promover la inclusión social, económica y política de todas las personas, independientemente de su edad, sexo, discapacidad, raza, etnia, origen, religión o situación económica u otra condición</t>
  </si>
  <si>
    <t>10.2.1</t>
  </si>
  <si>
    <t>10.2.1 Proporción de personas que viven por debajo del 50% de la mediana de los ingresos, desglosada por sexo, edad y personas con discapacidad</t>
  </si>
  <si>
    <t>10.3 Garantizar la igualdad de oportunidades y reducir la desigualdad de resultados, incluso eliminando las leyes, políticas y prácticas discriminatorias y promoviendo legislaciones, políticas y medidas adecuadas a ese respecto</t>
  </si>
  <si>
    <t>10.3.1</t>
  </si>
  <si>
    <t>10.3.1 Proporción de la población que declara haberse sentido personalmente discriminada o acosada en los últimos 12 meses por motivos de discriminación prohibidos por el derecho internacional de los derechos humanos</t>
  </si>
  <si>
    <t>10.4 Adoptar políticas, especialmente fiscales, salariales y de protección social, y lograr progresivamente una mayor igualdad</t>
  </si>
  <si>
    <t>10.4.1</t>
  </si>
  <si>
    <t>10.4.1 Proporción del PIB generada por el trabajo</t>
  </si>
  <si>
    <t>10.4.2</t>
  </si>
  <si>
    <t>10.4.2 	Efecto redistributivo de la política fiscal2</t>
  </si>
  <si>
    <t>10.5 Mejorar la reglamentación y vigilancia de las instituciones y los mercados financieros mundiales y fortalecer la aplicación de esos reglamentos</t>
  </si>
  <si>
    <t>10.5.1</t>
  </si>
  <si>
    <t>10.5.1 Indicadores de solidez financiera</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</si>
  <si>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</si>
  <si>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10.6.1</t>
  </si>
  <si>
    <t>10.6.1 Proporción de miembros y derechos de voto de los países en desarrollo en organizaciones internacionales</t>
  </si>
  <si>
    <t>10.7 Facilitar la migración y la movilidad ordenadas, seguras, regulares y responsables de las personas, incluso mediante la aplicación de políticas migratorias planificadas y bien gestionadas</t>
  </si>
  <si>
    <t>10.7.1</t>
  </si>
  <si>
    <t>10.7.1 Costo de la contratación sufragado por el empleado en proporción a los ingresos mensuales percibidos en el país de destino</t>
  </si>
  <si>
    <t>10.7.2</t>
  </si>
  <si>
    <t>10.7.2 Proporción de países que han aplicado políticas migratorias bien gestionadas que facilitan la migración y la movilidad ordenadas, seguras, regulares y responsables de las personas</t>
  </si>
  <si>
    <t>10.7.3</t>
  </si>
  <si>
    <t>10.7.3 	Número de personas que murieron o desaparecieron en el proceso de migración hacia un destino internacionali</t>
  </si>
  <si>
    <t>10.7.4</t>
  </si>
  <si>
    <t>10.7.4 	Proporción de la población integrada por refugiados, desglosada por país de origen</t>
  </si>
  <si>
    <t>10.a Aplicar el principio del trato especial y diferenciado para los países en desarrollo, en particular los países menos adelantados, de conformidad con los acuerdos de la Organización Mundial del Comercio</t>
  </si>
  <si>
    <t>10.a.1</t>
  </si>
  <si>
    <t>10.a.1 Proporción de líneas arancelarias que se aplican a las importaciones de los países menos adelantados y los países en desarrollo con arancel cero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</si>
  <si>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</si>
  <si>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10.b.1</t>
  </si>
  <si>
    <t>10.b.1 Corrientes totales de recursos para el desarrollo, desglosadas por país receptor y país donante y por tipo de corriente (por ejemplo, asistencia oficial para el desarrollo, inversión extranjera directa y otras corrientes)</t>
  </si>
  <si>
    <t>10.c De aquí a 2030, reducir a menos del 3% los costos de transacción de las remesas de los migrantes y eliminar los corredores de remesas con un costo superior al 5%</t>
  </si>
  <si>
    <t>10.c.1</t>
  </si>
  <si>
    <t>10.c.1 Costo de las remesas en proporción a las sumas remitidas</t>
  </si>
  <si>
    <t>Costa Rica: Porcentaje que representa el ingreso de las personas del quintil 1 y 2 respecto al  total de ingreso de la población según zona y región de planificación</t>
  </si>
  <si>
    <t>Objetivo 10. Reducir la desigualdad en los países y entre ellos</t>
  </si>
  <si>
    <t>https://unstats.un.org/sdgs/metadata/files/Metadata-10-01-01.pdf</t>
  </si>
  <si>
    <t>Porcentaje que representa el ingreso de las personas del quintil 1 y 2 respecto al  total de ingreso de la población según zona y región de planificación</t>
  </si>
  <si>
    <r>
      <t xml:space="preserve">Se considera que en una distribución del ingreso equitativa, al 40% más pobre de la población le corresponde esa misma proporción del ingreso, este indicador muestra cuánto se acerca la sociedad a esa distribución. 
</t>
    </r>
    <r>
      <rPr>
        <b/>
        <sz val="11"/>
        <rFont val="Open Sans Condensed"/>
      </rPr>
      <t>Quintil de ingreso per cápita</t>
    </r>
    <r>
      <rPr>
        <sz val="11"/>
        <rFont val="Open Sans Condensed"/>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</si>
  <si>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</si>
  <si>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</si>
  <si>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</si>
  <si>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</si>
  <si>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</si>
  <si>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 su correspondiente subpoblación, desglosada por sexo, zona, región de planificación  y personas con discapacidad</t>
  </si>
  <si>
    <t>Con discapacidad</t>
  </si>
  <si>
    <t>Ver indicador 10.2.1.b</t>
  </si>
  <si>
    <t>https://unstats.un.org/sdgs/metadata/files/Metadata-10-02-01.pdf</t>
  </si>
  <si>
    <t>Porcentaje de la población que vive por debajo del 50% de la mediana de los ingresos de su correspondiente subpoblación, desglosada por sexo, zona, región de planificación  y personas con discapacidad.</t>
  </si>
  <si>
    <t>10.2.1.a</t>
  </si>
  <si>
    <r>
      <t xml:space="preserve">Porcentaje de la población con ingreso inferior al 50% de la mediana del ingreso de su correspondiente subpoblación. 
 </t>
    </r>
    <r>
      <rPr>
        <b/>
        <sz val="11"/>
        <rFont val="Open Sans Condensed"/>
      </rPr>
      <t>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</si>
  <si>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</si>
  <si>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</si>
  <si>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</si>
  <si>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</si>
  <si>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</si>
  <si>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</si>
  <si>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</si>
  <si>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Porcentaje de la población que vive por debajo del 50% de la mediana de los ingresos, desglosada por sexo, zona, región de planificación  y personas con discapacidad.</t>
  </si>
  <si>
    <r>
      <rPr>
        <b/>
        <sz val="11"/>
        <rFont val="Open Sans Condensed"/>
      </rPr>
      <t>Porcentaje de la población con ingreso inferior al 50% de la mediana del ingreso poblacional. 
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</si>
  <si>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</si>
  <si>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</si>
  <si>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</si>
  <si>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</si>
  <si>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</si>
  <si>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Costa Rica: Porcentaje de la población de 18 años y más por situación de discapacidad, según percepción de discriminación, octubre y noviembre 2018</t>
  </si>
  <si>
    <t>Ver indicador de 10.3.1, fuente Encuesta Nacional Mujer Niñez y Adolescencia, INEC</t>
  </si>
  <si>
    <t>Percepción de discriminación</t>
  </si>
  <si>
    <t>Personas sin situación de discapacidad</t>
  </si>
  <si>
    <t>Personas en situación de discapacidad</t>
  </si>
  <si>
    <t>No, ha sido discriminado(a)</t>
  </si>
  <si>
    <t>Si, ha sido discriminado(a)</t>
  </si>
  <si>
    <t>No responde</t>
  </si>
  <si>
    <r>
      <t>0,17</t>
    </r>
    <r>
      <rPr>
        <vertAlign val="superscript"/>
        <sz val="11"/>
        <rFont val="Open Sans Condensed"/>
      </rPr>
      <t>a/</t>
    </r>
  </si>
  <si>
    <r>
      <rPr>
        <vertAlign val="superscript"/>
        <sz val="11"/>
        <rFont val="Open Sans Condensed"/>
      </rPr>
      <t>a/</t>
    </r>
    <r>
      <rPr>
        <sz val="11"/>
        <rFont val="Open Sans Condensed"/>
      </rPr>
      <t xml:space="preserve"> Coeficiente de variación mayor al 20 %, lo cual indica que la estimación es poco confiable y, por tanto, se debe utilizar con precaución.</t>
    </r>
  </si>
  <si>
    <t>Fuente: INEC-Costa Rica. Encuesta Nacional sobre Discapacidad, 2018.</t>
  </si>
  <si>
    <r>
      <t xml:space="preserve">Costa Rica: Población de 18 años y más por situación de discapacidad, según motivos de discriminación, octubre y noviembre 2018
</t>
    </r>
    <r>
      <rPr>
        <sz val="12"/>
        <rFont val="Open Sans Condensed"/>
      </rPr>
      <t>(Valores absolutos y relativos)</t>
    </r>
  </si>
  <si>
    <t>Motivos de discriminación</t>
  </si>
  <si>
    <t>Absolutos</t>
  </si>
  <si>
    <t>Relativos</t>
  </si>
  <si>
    <t>Por enfermedad o condición de salud</t>
  </si>
  <si>
    <t>Por su nivel socioeconómico o educativo</t>
  </si>
  <si>
    <t>Por su apariencia personal</t>
  </si>
  <si>
    <t>Por su edad</t>
  </si>
  <si>
    <t>Por discapacidad</t>
  </si>
  <si>
    <t>Por su nacionalidad</t>
  </si>
  <si>
    <t>Por su sexo</t>
  </si>
  <si>
    <t>Por su religión</t>
  </si>
  <si>
    <t>Por su origen étnico</t>
  </si>
  <si>
    <r>
      <t>2,10</t>
    </r>
    <r>
      <rPr>
        <vertAlign val="superscript"/>
        <sz val="11"/>
        <rFont val="Open Sans Condensed"/>
      </rPr>
      <t>a/</t>
    </r>
  </si>
  <si>
    <t>Por su orientación sexual o identidad de género</t>
  </si>
  <si>
    <r>
      <t>1,23</t>
    </r>
    <r>
      <rPr>
        <vertAlign val="superscript"/>
        <sz val="11"/>
        <rFont val="Open Sans Condensed"/>
      </rPr>
      <t>a/</t>
    </r>
  </si>
  <si>
    <t>Costa Rica: Porcentaje de mujeres de 15 - 49 años que en los últimos 12 meses se han sentido discriminadas o acosadas y aquellas que no se han sentido discriminadas ni acosadas, 2018</t>
  </si>
  <si>
    <t>Porcentaje de mujeres de 15-49 años que en los últimos 12 meses se han sentido discriminadas o acosadas sobre la base de</t>
  </si>
  <si>
    <t>Porcentaje de mujeres que no se han sentido discriminadas ni acosadas en los últimos 12 meses</t>
  </si>
  <si>
    <t xml:space="preserve">Número de mujeres </t>
  </si>
  <si>
    <t>Origen étnico</t>
  </si>
  <si>
    <t>Por ser mujer</t>
  </si>
  <si>
    <t>Orientación  sexual</t>
  </si>
  <si>
    <t>Religión o creencias</t>
  </si>
  <si>
    <t>Discapacidad</t>
  </si>
  <si>
    <t>Por cualquier otra razón</t>
  </si>
  <si>
    <r>
      <t>Cualquiera de las  razones anteriores</t>
    </r>
    <r>
      <rPr>
        <vertAlign val="superscript"/>
        <sz val="11"/>
        <rFont val="Open Sans Condensed"/>
      </rPr>
      <t>1</t>
    </r>
  </si>
  <si>
    <r>
      <rPr>
        <b/>
        <vertAlign val="superscript"/>
        <sz val="11"/>
        <rFont val="Open Sans Condensed"/>
      </rPr>
      <t xml:space="preserve">1 </t>
    </r>
    <r>
      <rPr>
        <b/>
        <sz val="11"/>
        <rFont val="Open Sans Condensed"/>
      </rPr>
      <t>Indicador MICS</t>
    </r>
  </si>
  <si>
    <t>Fuente: Instituto Nacional de Estadística y Censo, Encuesta Nacional de Mujer, Niñez y Adolescencia, 2018</t>
  </si>
  <si>
    <t xml:space="preserve">10.4 Adoptar políticas, especialmente fiscales, salariales y de protección social, y lograr progresivamente una mayor igualdad </t>
  </si>
  <si>
    <t>Costa Rica: Porcentaje de remuneración de los asalariados respecto al valor agregado bruto total</t>
  </si>
  <si>
    <t>Costa Rica: Porcentaje de remuneración de los asalariados respecto al valor agregado bruto total, 2010-2023</t>
  </si>
  <si>
    <t>Nota:  Cifras preliminares 2022-2023</t>
  </si>
  <si>
    <t>Indicador actualizado con las cifras que resultaron del cambio de año de referencia 2017 de las cuentas nacionales que publicó el BCCR en enero del 2021.</t>
  </si>
  <si>
    <t>Fuente: Banco Central de Costa Rica.</t>
  </si>
  <si>
    <t>https://unstats.un.org/sdgs/metadata/files/Metadata-10-04-01.pdf</t>
  </si>
  <si>
    <t>Porcentaje de remuneración de los asalariados respecto al valor agregado bruto total</t>
  </si>
  <si>
    <r>
      <t xml:space="preserve">Cuato representa la remuneración por salarios con respecto a valor agregado bruto total. </t>
    </r>
    <r>
      <rPr>
        <b/>
        <sz val="11"/>
        <rFont val="Open Sans Condensed"/>
      </rPr>
      <t xml:space="preserve">
Remuneración de los asalariados</t>
    </r>
    <r>
      <rPr>
        <sz val="11"/>
        <rFont val="Open Sans Condensed"/>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rFont val="Open Sans Condensed"/>
      </rPr>
      <t>valor agregado</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</si>
  <si>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</si>
  <si>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</si>
  <si>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10.4.2  Efecto redistributivo de la política fiscal</t>
  </si>
  <si>
    <t xml:space="preserve">Costa Rica: Indicadores de solidez financiera, por indicador  </t>
  </si>
  <si>
    <t xml:space="preserve">Costa Rica: Indicadores financieros del Sistema Financiero Nacional </t>
  </si>
  <si>
    <t>Costa Rica: Indicadores de solidez financiera, 2010-2023</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</si>
  <si>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</si>
  <si>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</si>
  <si>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</si>
  <si>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</si>
  <si>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</si>
  <si>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</si>
  <si>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t>Fuente: Superintendencia General de Entidades Financieras, Reportes de información financiera contable, 2010-2023.</t>
  </si>
  <si>
    <t>https://unstats.un.org/sdgs/metadata/files/Metadata-10-05-01.pdf</t>
  </si>
  <si>
    <t xml:space="preserve">Indicadores de solidez financiera, por indicador  </t>
  </si>
  <si>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rFont val="Open Sans Condensed"/>
      </rPr>
      <t>Activo Productivo / Activo tota</t>
    </r>
    <r>
      <rPr>
        <sz val="11"/>
        <rFont val="Open Sans Condensed"/>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rFont val="Open Sans Condensed"/>
      </rPr>
      <t>Pasivo con costo / Pasivo Total</t>
    </r>
    <r>
      <rPr>
        <sz val="11"/>
        <rFont val="Open Sans Condensed"/>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rFont val="Open Sans Condensed"/>
      </rPr>
      <t>Compromiso patrimonial:</t>
    </r>
    <r>
      <rPr>
        <sz val="11"/>
        <rFont val="Open Sans Condensed"/>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rFont val="Open Sans Condensed"/>
      </rPr>
      <t>Rentabilidad nominal sobre Patrimonio Promedio:</t>
    </r>
    <r>
      <rPr>
        <sz val="11"/>
        <rFont val="Open Sans Condensed"/>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rFont val="Open Sans Condensed"/>
      </rPr>
      <t>Utilidad Operacional Bruta / Gastos de Administración (se calcula en número de veces</t>
    </r>
    <r>
      <rPr>
        <sz val="11"/>
        <rFont val="Open Sans Condensed"/>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</si>
  <si>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</si>
  <si>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</si>
  <si>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</si>
  <si>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</si>
  <si>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</si>
  <si>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</si>
  <si>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</si>
  <si>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https://www.sugef.fi.cr/servicios/reportes/IndicadoresFinancieros.aspx</t>
  </si>
  <si>
    <t>Bernardo Alfaro</t>
  </si>
  <si>
    <t>Superintendente</t>
  </si>
  <si>
    <t>(506) 2243-4848 
(506) 2243-5030 
(506) 2243-5011</t>
  </si>
  <si>
    <t>vargaslm@sugef.fi.cr</t>
  </si>
  <si>
    <t xml:space="preserve">Osvaldo Morales </t>
  </si>
  <si>
    <t>Riesgo Global</t>
  </si>
  <si>
    <t xml:space="preserve">sugefcr@sugef.fi.cr </t>
  </si>
  <si>
    <t xml:space="preserve">Para obtener la proporción de países en desarrollo con derechos de voto y la proporción de países en desarrollo como miembros, la información es tomada directamente de los informes anuales publicados por cada organización internacional. </t>
  </si>
  <si>
    <t>https://unstats.un.org/sdgs/metadata/files/Metadata-10-06-01.pdf</t>
  </si>
  <si>
    <t>De acuerdo a las Naciones Unidas, este indicador se requiere con las siguientes desagregaciones: Los datos deben ser calculados y presentados por separado para cada organización (Banco Mundial, FMI,
etc.).</t>
  </si>
  <si>
    <t>https://unstats.un.org/sdgs/metadata/files/Metadata-10-07-01.pdf</t>
  </si>
  <si>
    <t>MT, Departamento de investigación del mercado laboral</t>
  </si>
  <si>
    <t>La metodología para obtener información sobre este indicador implica una encuesta enviada por la ONU a los países miembros, pero no hay información específica disponible para este país.</t>
  </si>
  <si>
    <t>10.7.2 Número de países que han aplicado políticas migratorias bien gestionadas que facilitan la migración y la movilidad ordenadas, seguras, regulares y responsables de las personas</t>
  </si>
  <si>
    <t>https://unstats.un.org/sdgs/metadata/files/Metadata-10-07-02.pdf</t>
  </si>
  <si>
    <t>10.7.3  Número de personas que murieron o desaparecieron en el proceso de migración hacia un destino internacional</t>
  </si>
  <si>
    <t>10.7.4  Proporción de la población integrada por refugiados, desglosada por país de origen</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</si>
  <si>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</si>
  <si>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</si>
  <si>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AÑO</t>
  </si>
  <si>
    <t>0-4</t>
  </si>
  <si>
    <t>5-9</t>
  </si>
  <si>
    <t>10-14</t>
  </si>
  <si>
    <t>14-19</t>
  </si>
  <si>
    <t>50-54</t>
  </si>
  <si>
    <t>55-59</t>
  </si>
  <si>
    <t>60-64</t>
  </si>
  <si>
    <r>
      <t>65</t>
    </r>
    <r>
      <rPr>
        <vertAlign val="superscript"/>
        <sz val="11"/>
        <rFont val="Open Sans Condensed"/>
      </rPr>
      <t>+</t>
    </r>
  </si>
  <si>
    <r>
      <rPr>
        <vertAlign val="superscript"/>
        <sz val="11"/>
        <rFont val="Open Sans Condensed"/>
      </rPr>
      <t>a</t>
    </r>
    <r>
      <rPr>
        <sz val="11"/>
        <rFont val="Open Sans Condensed"/>
      </rPr>
      <t>Datos a Junio del 2023</t>
    </r>
  </si>
  <si>
    <t>Fuente: Dirección General de Migración y Extranjería. Planificación Institucional, Cuadro elaborado con información REGISTRADA EN EL Sistema Integrado de Extranjeros SINEX, 2021</t>
  </si>
  <si>
    <t>Costa Rica: Número de personas reconocidas como refugiada, desagregadas por pais de origen, año y sexo</t>
  </si>
  <si>
    <t>Afganistan</t>
  </si>
  <si>
    <t>Apatrida</t>
  </si>
  <si>
    <t>Brasil</t>
  </si>
  <si>
    <t>Bulgaria</t>
  </si>
  <si>
    <t>Camerun</t>
  </si>
  <si>
    <t>Chile</t>
  </si>
  <si>
    <t>Colombia</t>
  </si>
  <si>
    <t>Costa De Marfil</t>
  </si>
  <si>
    <t>Cuba</t>
  </si>
  <si>
    <t>Ecuador</t>
  </si>
  <si>
    <t>Egipto</t>
  </si>
  <si>
    <t>El Salvador</t>
  </si>
  <si>
    <t>Estados Unidos</t>
  </si>
  <si>
    <t>Federacion Rusa</t>
  </si>
  <si>
    <t>Ghana</t>
  </si>
  <si>
    <t>Guatemala</t>
  </si>
  <si>
    <t>Haiti</t>
  </si>
  <si>
    <t>Honduras</t>
  </si>
  <si>
    <t>Irak</t>
  </si>
  <si>
    <t>Iran</t>
  </si>
  <si>
    <t>Italia</t>
  </si>
  <si>
    <t>Mexico</t>
  </si>
  <si>
    <t>Nicaragua</t>
  </si>
  <si>
    <t>Nigeria</t>
  </si>
  <si>
    <t>Pakistan</t>
  </si>
  <si>
    <t>Panama</t>
  </si>
  <si>
    <t>Portugal</t>
  </si>
  <si>
    <t>Rep. Del Congo</t>
  </si>
  <si>
    <t>Rep. Dem. Del Congo</t>
  </si>
  <si>
    <t>Rep. Dominicana</t>
  </si>
  <si>
    <t>Rep. Pop. De China</t>
  </si>
  <si>
    <t>Siria</t>
  </si>
  <si>
    <t>Somalia</t>
  </si>
  <si>
    <t>Togo</t>
  </si>
  <si>
    <t>Turquia</t>
  </si>
  <si>
    <t>Ucrania</t>
  </si>
  <si>
    <t>Venezuela</t>
  </si>
  <si>
    <r>
      <rPr>
        <vertAlign val="superscript"/>
        <sz val="11"/>
        <rFont val="Open Sans Condensed"/>
      </rPr>
      <t>a</t>
    </r>
    <r>
      <rPr>
        <sz val="11"/>
        <rFont val="Open Sans Condensed"/>
      </rPr>
      <t>Datos a Junio del 2021</t>
    </r>
  </si>
  <si>
    <t>Número  de personas reconocidas como refugiado desagregado por país de origen, sexo y rangos de edad</t>
  </si>
  <si>
    <t xml:space="preserve">El país ha reconocido la condición de refugiado de conformidad con lo establecido en la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</si>
  <si>
    <t>∑ Número  de personas reconocidas como refugiadas</t>
  </si>
  <si>
    <t>* Número  de personas reconocidas como refugiadas</t>
  </si>
  <si>
    <t>Pais de origen, sexo y rango de edad</t>
  </si>
  <si>
    <t xml:space="preserve">Sistema Integrado de Extranjeros SIMMEL </t>
  </si>
  <si>
    <t>Registro Administrativo</t>
  </si>
  <si>
    <t>Eugenia Víctor Sánchez</t>
  </si>
  <si>
    <t>Jefe Unidad de Planificación</t>
  </si>
  <si>
    <t>Dirección General de Migración y Extranjería</t>
  </si>
  <si>
    <t>(506)22998126- (506)22998127- (506)22998128-</t>
  </si>
  <si>
    <t>evictors@migracion.go.cr</t>
  </si>
  <si>
    <t>Ada María Porras Salazar</t>
  </si>
  <si>
    <t>Asesora, Unidad de Planificación</t>
  </si>
  <si>
    <t>aporrass@migracion.go.cr</t>
  </si>
  <si>
    <t>Costa Rica no aplica preferencias arancelarias a los países por su condición de desarrollo; llámense “menos adelantados”, o “en desarrollo”.</t>
  </si>
  <si>
    <t>https://unstats.un.org/sdgs/metadata/files/Metadata-10-0A-01.pdf</t>
  </si>
  <si>
    <t>El indicador no es aplicable a Costa Rica porque el país no brinda asistencia al exterior en estos temas.</t>
  </si>
  <si>
    <t>https://unstats.un.org/sdgs/metadata/files/Metadata-10-0B-01.pdf</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</si>
  <si>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</si>
  <si>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</si>
  <si>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Costa Rica: Costo promedio de envío de remesas de Estados Unidos a Costa Rica, como porcentaje del monto remitido (200 o 500 dólares) </t>
  </si>
  <si>
    <t>Costa Rica: Costo promedio de envío de remesas de Estados Unidos a Costa Rica, como porcentaje del monto remitido (200 o 500 dólares), IV Trimestre 2015 - IV Trimestre 2023</t>
  </si>
  <si>
    <t>Monto remitido
(dólares)</t>
  </si>
  <si>
    <t>$200</t>
  </si>
  <si>
    <t>$500</t>
  </si>
  <si>
    <t>IV trimestre 2015</t>
  </si>
  <si>
    <t>I Trimeste 2016</t>
  </si>
  <si>
    <t>II Trimestre 2016</t>
  </si>
  <si>
    <t>III Trimestre 2016</t>
  </si>
  <si>
    <t>IV Trimeste 2016</t>
  </si>
  <si>
    <t>I Trimestre 2017</t>
  </si>
  <si>
    <t>II Trimestre 2017</t>
  </si>
  <si>
    <t>III Trimestre 2017</t>
  </si>
  <si>
    <t>IV Trimestre 2017</t>
  </si>
  <si>
    <t>I Trimeste 2018</t>
  </si>
  <si>
    <t>II Trimestre 2018</t>
  </si>
  <si>
    <t>III Trimestre 2018</t>
  </si>
  <si>
    <t>IV Trimestre 2018</t>
  </si>
  <si>
    <t>Fuente: The World Bank, Remittance Prices Worldwide, 2015-2023.</t>
  </si>
  <si>
    <t>I Trimeste 2019</t>
  </si>
  <si>
    <t>II Trimestre 2019</t>
  </si>
  <si>
    <t>III Trimestre 2019</t>
  </si>
  <si>
    <t>IV Trimestre 2019</t>
  </si>
  <si>
    <t>I Trimeste 2020</t>
  </si>
  <si>
    <t>II Trimestre 2020</t>
  </si>
  <si>
    <t>III Trimestre 2020</t>
  </si>
  <si>
    <t>IV Trimestre 2020</t>
  </si>
  <si>
    <t>I Trimeste 2021</t>
  </si>
  <si>
    <t>II Trimestre 2021</t>
  </si>
  <si>
    <t>III Trimestre 2021</t>
  </si>
  <si>
    <t>IV Trimestre 2021</t>
  </si>
  <si>
    <t>I Trimeste 2022</t>
  </si>
  <si>
    <t>II Trimestre 2022</t>
  </si>
  <si>
    <t>III Trimestre 2022</t>
  </si>
  <si>
    <t>IV Trimestre 2022</t>
  </si>
  <si>
    <t>I Trimeste 2023</t>
  </si>
  <si>
    <t>II Trimestre 2023</t>
  </si>
  <si>
    <t>III Trimestre 2023</t>
  </si>
  <si>
    <t>IV Trimestre 2023</t>
  </si>
  <si>
    <t xml:space="preserve">https://remittanceprices.worldbank.org/ </t>
  </si>
  <si>
    <t>Fuente: The World Bank, Remittance Prices Worldwide, 2015-2023</t>
  </si>
  <si>
    <t>https://unstats.un.org/sdgs/metadata/files/Metadata-10-0C-01.pdf</t>
  </si>
  <si>
    <t xml:space="preserve">Costo promedio de envío de remesas de Estados Unidos a Costa Rica, como porcentaje del monto remitido (200 o 500 dólares) </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</si>
  <si>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</si>
  <si>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</si>
  <si>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</si>
  <si>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</si>
  <si>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</si>
  <si>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Trimestral</t>
  </si>
  <si>
    <t>Base de datos del Banco Mundial</t>
  </si>
  <si>
    <t>http://remittanceprices.worldbank.org/es/corridor/United%20States/Costa%20Rica?start_date=1483246800&amp;end_date=1491019199</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</si>
  <si>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</si>
  <si>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</si>
  <si>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</si>
  <si>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 De aquí a 2030, asegurar el acceso de todas las personas a viviendas y servicios básicos adecuados, seguros y asequibles y mejorar los barrios marginales</t>
  </si>
  <si>
    <t>11.1.1</t>
  </si>
  <si>
    <t>11.1.1 Proporción de la población urbana que vive en barrios marginales, asentamientos informales o viviendas inadecuadas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</si>
  <si>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</si>
  <si>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11.2.1</t>
  </si>
  <si>
    <t>11.2.1 Proporción de la población que tiene fácil acceso al transporte público, desglosada por sexo, edad y personas con discapacidad</t>
  </si>
  <si>
    <t>11.3 De aquí a 2030, aumentar la urbanización inclusiva y sostenible y la capacidad para la planificación y la gestión participativas, integradas y sostenibles de los asentamientos humanos en todos los países</t>
  </si>
  <si>
    <t>11.3.1</t>
  </si>
  <si>
    <t>11.3.1 Relación entre la tasa de consumo de tierras y la tasa de crecimiento de la población</t>
  </si>
  <si>
    <t>11.3.2</t>
  </si>
  <si>
    <t>11.3.2 Proporción de ciudades que cuentan con una estructura de participación directa de la sociedad civil en la planificación y la gestión urbanas y funcionan con regularidad y democráticamente</t>
  </si>
  <si>
    <t>11.4 Redoblar los esfuerzos para proteger y salvaguardar el patrimonio cultural y natural del mundo</t>
  </si>
  <si>
    <t>11.4.1</t>
  </si>
  <si>
    <t>11.4.1 Total de gastos per cápita destinados a la preservación, protección y conservación de todo el patrimonio cultural y natural, desglosado por fuente de financiación (pública y privada), tipo de patrimonio (cultural y natural) y nivel de gobierno (nac</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</si>
  <si>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</si>
  <si>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11.5.1</t>
  </si>
  <si>
    <t>11.5.1 Número de personas muertas, desaparecidas y afectadas directamente atribuido a desastres por cada 100.000 personas</t>
  </si>
  <si>
    <t>11.5.2</t>
  </si>
  <si>
    <t>11.5.2 Pérdidas económicas directas en relación con el PIB mundial, daños en la infraestructura esencial y número de interrupciones de los servicios básicos atribuidos a desastres</t>
  </si>
  <si>
    <t>11.5.3</t>
  </si>
  <si>
    <t>11.5.3 a) Daños en la infraestructura crítica y b) número de interrupciones de los servicios básicos, atribuidos a desastres</t>
  </si>
  <si>
    <t>11.6 De aquí a 2030, reducir el impacto ambiental negativo per cápita de las ciudades, incluso prestando especial atención a la calidad del aire y la gestión de los desechos municipales y de otro tipo</t>
  </si>
  <si>
    <t>11.6.1</t>
  </si>
  <si>
    <t>11.6.1 Proporción de residuos sólidos municipales recogidos y administrados en instalaciones controladas con respecto al total de residuos municipales generados, desglosada por ciudad</t>
  </si>
  <si>
    <t>11.6.2</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</si>
  <si>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</si>
  <si>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</si>
  <si>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t>
  </si>
  <si>
    <t>11.7.1 Proporción media de la superficie edificada de las ciudades que se dedica a espacios abiertos para uso público de todos, desglosada por sexo, edad y personas con discapacidad</t>
  </si>
  <si>
    <t>11.7.2</t>
  </si>
  <si>
    <t>11.7.2 Proporción de personas que han sido víctimas de acoso físico o sexual en los últimos 12 meses, desglosada por sexo, edad, grado de discapacidad y lugar del hecho</t>
  </si>
  <si>
    <t>11.a Apoyar los vínculos económicos, sociales y ambientales positivos entre las zonas urbanas, periurbanas y rurales fortaleciendo la planificación del desarrollo nacional y regional</t>
  </si>
  <si>
    <t>11.a.1</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</si>
  <si>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</si>
  <si>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</si>
  <si>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t>
  </si>
  <si>
    <t>11.b.1 Número de países que adoptan y aplican estrategias nacionales de reducción del riesgo de desastres en consonancia con el Marco de Sendái para la Reducción del Riesgo de Desastres 2015‑2030</t>
  </si>
  <si>
    <t>11.b.2</t>
  </si>
  <si>
    <t>11.b.2 Proporción de gobiernos locales que adoptan y aplican estrategias locales de reducción del riesgo de desastres en consonancia con las estrategias nacionales de reducción del riesgo de desastres</t>
  </si>
  <si>
    <t>11.c Proporcionar apoyo a los países menos adelantados, incluso mediante asistencia financiera y técnica, para que puedan construir edificios sostenibles y resilientes utilizando materiales locales</t>
  </si>
  <si>
    <t>No se propuso un indicador de reemplazo adecuado. Se alienta a la comunidad estadística mundial a trabajar para desarrollar un indicador que pueda proponerse para la revisión integral de 2025. Véase E/CN.3/2020/2, párrafo 23.</t>
  </si>
  <si>
    <t>a. Costa Rica: Porcentaje de la población en viviendas con estado físico de la vivienda malo, desglosada por zona y región de planificación</t>
  </si>
  <si>
    <t>Ver indicador 11.1.1.b</t>
  </si>
  <si>
    <t>Ver indicador 11.1.1.c</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</si>
  <si>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</si>
  <si>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</si>
  <si>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</si>
  <si>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</si>
  <si>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</si>
  <si>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Objetivo 11. Lograr que las ciudades y los asentamientos humanos sean inclusivos, seguros, resilientes y sostenibles</t>
  </si>
  <si>
    <t>https://unstats.un.org/sdgs/metadata/files/Metadata-11-01-01.pdf</t>
  </si>
  <si>
    <t xml:space="preserve">a. Porcentaje de la población en viviendas con estado físico de la vivienda malo, desglosada por zona y región de planificación. </t>
  </si>
  <si>
    <t>11.1.1.a</t>
  </si>
  <si>
    <r>
      <rPr>
        <b/>
        <sz val="11"/>
        <rFont val="Open Sans Condensed"/>
      </rPr>
      <t xml:space="preserve">Vivienda en mal estado: </t>
    </r>
    <r>
      <rPr>
        <sz val="11"/>
        <rFont val="Open Sans Condensed"/>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</si>
  <si>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</si>
  <si>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</si>
  <si>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</si>
  <si>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</si>
  <si>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Costa Rica: Porcentaje de la población con tipo de vivienda en tugurio, desglosada por zona y región de planificación. </t>
  </si>
  <si>
    <t xml:space="preserve">b. Porcentaje de la población con tipo de vivienda en tugurio, desglosada por zona y región de planificación. </t>
  </si>
  <si>
    <t>11.1.1.b</t>
  </si>
  <si>
    <r>
      <rPr>
        <b/>
        <sz val="11"/>
        <rFont val="Open Sans Condensed"/>
      </rPr>
      <t>Tugurio:</t>
    </r>
    <r>
      <rPr>
        <sz val="11"/>
        <rFont val="Open Sans Condensed"/>
      </rPr>
      <t xml:space="preserve"> es un recinto construido con materiales de desecho (cartón, tablas, latas viejas, tela). Por lo general se encuentra ubicado a orillas de los puentes, en los alrededores de las ciudades o en terrenos propiedad del Estado o propiedad privada invadida.</t>
    </r>
  </si>
  <si>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</si>
  <si>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</si>
  <si>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Costa Rica: Porcentaje de la población que vive en precario, desglosada por zona y región de planificación.</t>
  </si>
  <si>
    <t>c. Porcentaje de la población que vive en precario, desglosada por zona y región de planificación.</t>
  </si>
  <si>
    <t>11.1.1.c</t>
  </si>
  <si>
    <r>
      <rPr>
        <b/>
        <sz val="11"/>
        <rFont val="Open Sans Condensed"/>
      </rPr>
      <t>Viviendas en precario:</t>
    </r>
    <r>
      <rPr>
        <sz val="11"/>
        <rFont val="Open Sans Condensed"/>
      </rPr>
      <t xml:space="preserve"> son aquellas que están ubicadas en terrenos ocupados ilegalmente. La vivienda puede haber sido construida por sus habitantes, pero al estar en un terreno que no les pertenece, se considera en precario.</t>
    </r>
  </si>
  <si>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</si>
  <si>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</si>
  <si>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</si>
  <si>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https://unstats.un.org/sdgs/metadata/files/Metadata-11-02-01.pdf</t>
  </si>
  <si>
    <t>Cantidad total de personas que utilizan el servicio de transporte público por cada ruta autorizada</t>
  </si>
  <si>
    <t>https://unstats.un.org/sdgs/metadata/files/Metadata-11-03-01.pdf</t>
  </si>
  <si>
    <t xml:space="preserve">11.3 De aquí a 2030, aumentar la urbanización inclusiva y sostenible y la capacidad para la planificación y la gestión participativas, integradas y sostenibles de los asentamientos humanos en todos los países </t>
  </si>
  <si>
    <t>Costa Rica: Número de Cantones según estado de Planes Reguladores</t>
  </si>
  <si>
    <t>Estado</t>
  </si>
  <si>
    <t>Con PR cantonal</t>
  </si>
  <si>
    <t>Con PR parcial</t>
  </si>
  <si>
    <t>Sin PR</t>
  </si>
  <si>
    <t>Fuente: INVU, 2024</t>
  </si>
  <si>
    <t>Costa Rica: Número de Cantones según estado de Planes Reguladores, 2020-2021</t>
  </si>
  <si>
    <t>https://unstats.un.org/sdgs/metadata/files/Metadata-11-03-02.pdf</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</si>
  <si>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</si>
  <si>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</si>
  <si>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</si>
  <si>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</si>
  <si>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La clasificación de acuerdo al estado en el que se encuentra el Plan Regulador es:
1. Con PR cantonal
2. Con PR parcial
3. Sin PR</t>
  </si>
  <si>
    <t>Ministerio de Vivienda y Asentamientos Humanos (MIVAH)</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</si>
  <si>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</si>
  <si>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1. La actualización de esta información depende de la elaboración de los Planes Reguladores Urbanos.
2. El cambio en el estado del Plan Regulador según el proceso y normativa vigente cuando se presenta para su aprobación.
3. La aplicación de los gobiernos locales en este tipo de herramientas para la planificación del territorio.</t>
  </si>
  <si>
    <t>La medición del indicador dependerá de los esfuerzos municipales y el apoyo de las instituciones del sector Vivienda, Habitat y Territorio para la elaboración los Planes Reguladores Urbano.</t>
  </si>
  <si>
    <t>Capa Plan Regulador Cantón: https://geoexplora-mivah.opendata.arcgis.com/datasets/bc9a5f76e965400fb1073b0ecf8f5002_0/explore
SNIT: https://www.snitcr.go.cr/ico_servicios_ogc_info?k=bm9kbzo6NDg=&amp;nombre=MIVAH</t>
  </si>
  <si>
    <t>Geovanny Sanabria Bermúdez</t>
  </si>
  <si>
    <t>Información en Ordenamiento Territorial</t>
  </si>
  <si>
    <t>geovanny@mivah.cr</t>
  </si>
  <si>
    <t>2202-7979</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</si>
  <si>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</si>
  <si>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Costa Rica: Total de gasto real del sector público destinados a la preservación, protección y conservación de todo el patrimonio cultural y natural, desglosado por tipo de patrimonio (cultural y natural), 2021</t>
  </si>
  <si>
    <t>Costa Rica: Total de gasto real del sector público destinados a la preservación, protección y conservación de todo el patrimonio cultural y natural, desglosado por tipo de patrimonio (cultural y natural), 2021
(millones de colones)</t>
  </si>
  <si>
    <t>Gasto público</t>
  </si>
  <si>
    <t>Tipo de gasto</t>
  </si>
  <si>
    <t>Tipo de Patrimonio</t>
  </si>
  <si>
    <t>Patrimonio cultural</t>
  </si>
  <si>
    <t>Patrimonio natural</t>
  </si>
  <si>
    <t>HE1: Por finalidades</t>
  </si>
  <si>
    <t>Gasto público total para todas las actividades</t>
  </si>
  <si>
    <t>Gasto público en todas las actividades culturales (incluido el patrimonio cultural y natural)</t>
  </si>
  <si>
    <t>HE2: Gasto público por nivel de gobierno, tipo de flujo *</t>
  </si>
  <si>
    <t xml:space="preserve">    Nacional / Federal</t>
  </si>
  <si>
    <t>Gasto directo</t>
  </si>
  <si>
    <t xml:space="preserve">    Gastos para todos los niveles</t>
  </si>
  <si>
    <t>HE3: Gasto por sector</t>
  </si>
  <si>
    <t>*Los datos son nacionales, el país por su extensión mantiene un presupuesta nacional no desagregado por otro tipo o nivel geográfico.</t>
  </si>
  <si>
    <t>Datos financieros del periodo 01/01/2021 al 31/12/2021</t>
  </si>
  <si>
    <t>Fuente: Ministerio de Cultura y Juventud, 2021</t>
  </si>
  <si>
    <t xml:space="preserve">Gasto público total (todas las actividades): abarca todos los gastos de todas las actividades de un gobierno durante un año determinado. Las actividades culturales son una subcategoría de todas las actividades públicas. Abarca todas las actividades relacionadas con los dominios culturales del Marco de la UNESCO de 2009 para las estadísticas culturales, que son: A. Patrimonio cultural y natural; B. Presentaciones artísticas y celebraciones; C. Artes visuales y artesanías; D. Libros y Prensa; E. Medios Audiovisuales e Interactivos; F. Diseño y Servicios Creativos y Patrimonio cultural inmaterial. 
</t>
  </si>
  <si>
    <t xml:space="preserve"> ENCUESTA 2022 DE LOS GASTOS EN PATRIMONIO CULTURAL Y NATURAL (ODS 11.4.1) </t>
  </si>
  <si>
    <t>millones de colones</t>
  </si>
  <si>
    <t>En general se considera que son gastos ejecutados en actividades de preservación del patrimonio cualtural.</t>
  </si>
  <si>
    <t>por tipo de patrimonio (cultural y natural)</t>
  </si>
  <si>
    <t>Ministerio de Cultura y Juventud</t>
  </si>
  <si>
    <t>No cubre el sector privado. No se cuenta con datos para los sectores: privado e internacional
No está cubierta la información para el sector privado, ni por parte del Banco Central ni por parte del INEC.  Se espera realizar una estrategia para la imolementaciòn de una metodología de recopilación, a mediano plazo.
Se realizó una agrupación general de actividades económicas según metodología usada en la cuenta satélite.
Se agregó en el cuestionario enviado a las instituciones, una descripción sobre las actividades de las cuales debía reportar el gasto asociadas a las actividades culturales.</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</si>
  <si>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</si>
  <si>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https://unstats.un.org/sdgs/metadata/files/Metadata-11-05-01.pdf</t>
  </si>
  <si>
    <t>Este indicador es igual al indicador 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</si>
  <si>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https://unstats.un.org/sdgs/metadata/files/Metadata-11-05-02.pdf</t>
  </si>
  <si>
    <t>Costa Rica: a) Total de daños en la infraestructura crítica y b) Total de interrupciones de los servicios básicos, atribuidos a desastres</t>
  </si>
  <si>
    <t>a) Daños a la infraestructura crítica</t>
  </si>
  <si>
    <t xml:space="preserve">b) Número de perturbaciones / interrupciones en los servicios </t>
  </si>
  <si>
    <t>Nota: Los daños a la infraestructura critica es sumatoria de  Instalaciones de salud destruidas o dañadas + Instalaciones educativas dañadas o destruidas (valor monetario)</t>
  </si>
  <si>
    <t>En los servicios se considera: Servicios: Electricidad, Servicio de alcantarillado, Servicio de basura y desperdicios sólidos, Servicios de transporte, Servicios de administración pública, Servicios de socorro y emergencia, Sist. De Tecnología de información y comunicación, Suministro de agua potable</t>
  </si>
  <si>
    <t>Fuente: Comisión Nacional de Prevención y Atención de Emergencias, 2005-2023</t>
  </si>
  <si>
    <t>a) Total de daños en la infraestructura crítica y b) Total de interrupciones de los servicios básicos, atribuidos a desastres</t>
  </si>
  <si>
    <t>Pérdida económica directa: La pérdida directa es casi equivalente al daño físico. El valor monetario de destrucción total o parcial de los bienes físicos existentes en la zona afectada de infraestructura crítica (salud y educación pública).
Número de interrupciones: Número de interrupciones totales o parciales de los servicios básicos que son necesarios para que toda la sociedad funcione de forma eficaz o adecuada.</t>
  </si>
  <si>
    <t>Fórmula de cálculo indicador a</t>
  </si>
  <si>
    <t>Fórmula de cálculo indicador b</t>
  </si>
  <si>
    <t>Interpretación a</t>
  </si>
  <si>
    <t>Pérdida económica anual en infraestrucutra crítica en Costa Rica, por eventos de desastre.</t>
  </si>
  <si>
    <t>Interpretación b</t>
  </si>
  <si>
    <t>Número de pertubaciones en servicios básicos por enventos de desastre anualmente en Costa Rica.</t>
  </si>
  <si>
    <t>Número de daños en la infraestructura crítica 
Número de interrupciones de los servicios básicos, atribuidos a desastres</t>
  </si>
  <si>
    <t>Sectorial</t>
  </si>
  <si>
    <t xml:space="preserve">Comisión Nacional de Prevención de Riesgos y Atención de Emergencias, Unidad de Desarrollo Estratégico </t>
  </si>
  <si>
    <t xml:space="preserve">Rellenos Sanitarios </t>
  </si>
  <si>
    <t>Recuperado</t>
  </si>
  <si>
    <t>Recolectado</t>
  </si>
  <si>
    <t>No recolectado, con descarga final no adecuada (no controlado y no tratado)</t>
  </si>
  <si>
    <t>Generado</t>
  </si>
  <si>
    <t xml:space="preserve"> Generados con descarga final adecuada </t>
  </si>
  <si>
    <t>Kilogramos</t>
  </si>
  <si>
    <t>%</t>
  </si>
  <si>
    <t xml:space="preserve">Kilogramos </t>
  </si>
  <si>
    <t>kilogramos</t>
  </si>
  <si>
    <t>Reciclaje</t>
  </si>
  <si>
    <t>Co-procesamiento</t>
  </si>
  <si>
    <t>Compostaje</t>
  </si>
  <si>
    <t>Totales Recuperados</t>
  </si>
  <si>
    <t>kilogramos/día</t>
  </si>
  <si>
    <t>camiones/día</t>
  </si>
  <si>
    <t>Kilogramos/persona/día</t>
  </si>
  <si>
    <t>Total general</t>
  </si>
  <si>
    <t>Total  Costa Rica</t>
  </si>
  <si>
    <t>Kilogramos/día</t>
  </si>
  <si>
    <t>Camiones/día</t>
  </si>
  <si>
    <t>kilogramos/dia</t>
  </si>
  <si>
    <t>camiones/dia</t>
  </si>
  <si>
    <t>Kilogramos/persona/dia</t>
  </si>
  <si>
    <t>Gestores privados (varias Provincias)</t>
  </si>
  <si>
    <t>Nota: Incluye los residuos ordinarios valorizables reciclados, compostaje, procesamiento, enviados al relleno sanitario y los dispuestos en lugares no adecuados.</t>
  </si>
  <si>
    <t>https://unstats.un.org/sdgs/metadata/files/Metadata-11-06-01.pdf</t>
  </si>
  <si>
    <t>Meta a  establecer  por el Ministerio de Salud.</t>
  </si>
  <si>
    <t xml:space="preserve">Proporción de residuos ordinarios recolectados a nivel nacional con descarga final adecuada del total de residuos ordinarios  generados.  
</t>
  </si>
  <si>
    <t>11.6.1.</t>
  </si>
  <si>
    <t xml:space="preserve">Residuo sólido ordinario: Residuo de origen principalmente domiciliario o que proviene de cualquier otra actividad comercial, de servicios, industrial, limpieza de vías y áreas públicas, que tengan características similares a los domiciliarios.  Para efectos de la estimación del indicador 11.6.1 se tomó en cuento los residuos ordinarios recolectados por las Municipalidades, Concejos Municipales de Distrito y Gestores Privados que recolectaron residuos ordinarios contratados y no contratados por estas y que son enviados al Rellenos Sanitario y Centros de Recuperación de Residuos Valorizables para su reciclaje o exportación, si como también los utilizados para la elaboración de Compostaje en Centros de Compostaje Municipales y Privados y mediante composteras caseras "In Situ" en los hogares y comercios, además de los  residuos ordinarios enviados para coprocesamiento.
Para la estimación del indicador 11.6.1 se tomó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</si>
  <si>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 xml:space="preserve">Proporción de residuos ordinarios recolectados a nivel nacional y por provincia con descarga final adecuada del total de residuos ordinarios  generados.  Estimación de las toneladas de residuos ordinarios generados a nivel nacional  por año y por provincia= (toneladas de residuos ordinarios enviados a un relleno sanitario o vertedero + toneladas de residuos ordinarios reciclados + toneladas de residuos ordinarios de reúso + toneladas de residuos utilizadas para compostaje en casas de habitación, comercios y centros de Compostaje Municipales y Privados +toneladas de residuos ordinarios utilizados para co procesamiento )/toneladas de residuos ordinarios generados .  
</t>
  </si>
  <si>
    <t>Mide el porcentaje de residuos ordinarios  que por sus características físicas o químicas son recuperados de las corrientes de residuos ordinarios  y que, dadas las condiciones de tecnología imperantes en el país, aportan  valor en procesos productivos o artesanales, así como también los que son enviados a los Rellenos Sanitarios y Vertederos (sitios controlados).</t>
  </si>
  <si>
    <t>Residuos ordinarios: Generados, reciclados, reúso, enviados al relleno sanitario o vertedero, utilizados para compostaje,  usados para coprocesamiento, no recolectados y con disposición final no adecuada, dispuestos en sitios no controlados y no tratados (se entierra, se quema o se deposita en lotes baldíos, quebradas, ríos, etc.).</t>
  </si>
  <si>
    <t>Por provincia</t>
  </si>
  <si>
    <t>Residuos ordinarios: Generados, exportados,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</si>
  <si>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Radiológica y Salud Ambiental (DPRSA)</t>
  </si>
  <si>
    <t>Levantamiento y captura de los datos por medio de cuestionarios de residuos ordinarios en línea con internet por medio de instrumentos elaborados con bases de datos a los que se ingresa por medio de un enlace electrónico.</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</si>
  <si>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Se estiman los residuos que son utilizados en los hogares y comercios y otros con base al numero de cursos impartidos y a la cantidad de participantes en estos y a un estimado del porcentaje que recibe el curso y que aplica los conocimientos adquiridos, así como a la cantidad de residuos utilizados en cada hogar, todos estos  con base en un criterio de experto  de conformidad con el conocimiento que tiene cada uno de los técnicos que laboran en este tema en cada cantón y Concejo Municipal de Distrito.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</si>
  <si>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El Ministerio de Salud dispone de información sobre los gestores que recolectan residuos ordinarios y que pueden gestionarse adecuadamente a nivel nacional y por provincia</t>
  </si>
  <si>
    <t>Ing. Adrián Rojas Mata M.B.A.</t>
  </si>
  <si>
    <t xml:space="preserve">Profesional 3 del Servicios Civil. </t>
  </si>
  <si>
    <t>Ministerio de Salud.</t>
  </si>
  <si>
    <t xml:space="preserve">teléfono celular 87204499 </t>
  </si>
  <si>
    <t>adrian.rojas@misalud.go.cr</t>
  </si>
  <si>
    <t xml:space="preserve">Costa Rica: Niveles medios anuales de partículas finas (por ejemplo, PM2.5 y PM10) en las ciudades (ponderados según la población) </t>
  </si>
  <si>
    <t>PARTÍCULAS PM10</t>
  </si>
  <si>
    <t>PARTÍCULAS PM2.5</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</si>
  <si>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</si>
  <si>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</si>
  <si>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</si>
  <si>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</si>
  <si>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</si>
  <si>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</si>
  <si>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</si>
  <si>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</si>
  <si>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</si>
  <si>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</si>
  <si>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</si>
  <si>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EPA, Belén (BE-02)</t>
  </si>
  <si>
    <t>N.D</t>
  </si>
  <si>
    <t>N.D. No disponible</t>
  </si>
  <si>
    <t>NOTA: El punto ES-01 fue movido a un nuevo lugar en el 2019.</t>
  </si>
  <si>
    <t>NOTA: El sitio SJO-05 fue movido al SJO-06.</t>
  </si>
  <si>
    <t>Fuente: Ministerio de Salud y Universidad Nacional, Informes de Calidad del Aire, 2020</t>
  </si>
  <si>
    <t>https://unstats.un.org/sdgs/metadata/files/Metadata-11-06-02.pdf</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</si>
  <si>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</si>
  <si>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</si>
  <si>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</si>
  <si>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 Concentración de partículas.</t>
  </si>
  <si>
    <t>Gran Área Metropolitana (GAM)</t>
  </si>
  <si>
    <t>Semanal</t>
  </si>
  <si>
    <t>Ministerio deSalud  y Universidad Nacional de Costa Rica</t>
  </si>
  <si>
    <t>Informe de Calidad de Aire de la Gran Área Metropolitana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</si>
  <si>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</si>
  <si>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</si>
  <si>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</si>
  <si>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</si>
  <si>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</si>
  <si>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</si>
  <si>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https://unstats.un.org/sdgs/metadata/files/Metadata-11-07-01.pdf</t>
  </si>
  <si>
    <t xml:space="preserve">Sylvia Mora Zamora    </t>
  </si>
  <si>
    <t>Secretaria de Planificación Institucional y Sectorial (SEPLA)</t>
  </si>
  <si>
    <t>MCJ, Cuenta Satélite de Cultura</t>
  </si>
  <si>
    <t>22553188   Ext: 193   / 2256-8225</t>
  </si>
  <si>
    <t xml:space="preserve">smora@mcj.go.cr  </t>
  </si>
  <si>
    <t>Costa Rica: 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</si>
  <si>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</si>
  <si>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</si>
  <si>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</si>
  <si>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</si>
  <si>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</si>
  <si>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</si>
  <si>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</si>
  <si>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</si>
  <si>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</si>
  <si>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</si>
  <si>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</si>
  <si>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</si>
  <si>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</si>
  <si>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</si>
  <si>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</si>
  <si>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</si>
  <si>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Total del País</t>
  </si>
  <si>
    <t>Fuente: Ministerio de Salud, Dirección de Vigilancia de la Salud, Boleta VE-01, 2023</t>
  </si>
  <si>
    <t>Costa Rica: Tasa de casos de violencia intrafamiliar por cada 100 000 habitantes, por sexo 2019-2023</t>
  </si>
  <si>
    <t>Tasa de casos de violencia intrafamiliar por sexo y grupos de edad, provincias y causa específica por sexo por cada 100 000 habitantes</t>
  </si>
  <si>
    <r>
      <t xml:space="preserve">Violencia intrafamiliar corresponde a las códigos T74, X85 y Y09 de la Clasificación Estadística Internacional de Enfermedades y Problema relacionados con la Salud CIE 10.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</si>
  <si>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</si>
  <si>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</si>
  <si>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</si>
  <si>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</si>
  <si>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Boleta VE-01 sobre Enfermedades de Notificación Obligatoria</t>
  </si>
  <si>
    <t>Igual al 16.1.3</t>
  </si>
  <si>
    <t>Sandra Delgado Jiménez</t>
  </si>
  <si>
    <t>Unidad Indicadores de la Salud, Dirección Vigilancia de la Salud.</t>
  </si>
  <si>
    <t>(506) 4003-5568</t>
  </si>
  <si>
    <t>sandra.delgado@misalud.go.cr</t>
  </si>
  <si>
    <t>La encuesta mundial de UN-Habitat Global sobre políticas urbanas se utiliza para obtener este indicador</t>
  </si>
  <si>
    <t>Población residente en los cantones que disponen de planes de ordenamiento urbano</t>
  </si>
  <si>
    <t>El indicador se reporta directamente a la Oficina de Las Naciones Unidades de Reducción de Riesgo de Desastres, por medio del Monitor Sendai.</t>
  </si>
  <si>
    <t>https://unstats.un.org/sdgs/metadata/files/Metadata-11-0B-01.pdf</t>
  </si>
  <si>
    <t>Costa Rica: Porcentaje de gobiernos locales que adoptan y aplican estrategias de reducción del riesgo de desastres a nivel local, por provincia</t>
  </si>
  <si>
    <t>https://unstats.un.org/sdgs/metadata/files/Metadata-11-0b-02.pdf</t>
  </si>
  <si>
    <t xml:space="preserve">Objetivo 12. Garantizar modalidades de consumo y producción sostenibles </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</si>
  <si>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</si>
  <si>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12.1.1</t>
  </si>
  <si>
    <t>12.1.1 Número de países que elaboran, adoptan o aplican instrumentos de política destinados a apoyar la transición hacia modalidades de consumo y producción sostenibles</t>
  </si>
  <si>
    <t>12.2 De aquí a 2030, lograr la gestión sostenible y el uso eficiente de los recursos naturales</t>
  </si>
  <si>
    <t>12.2.1</t>
  </si>
  <si>
    <t>12.2.1 Huella material en términos absolutos, huella material per cápita y huella material por PIB</t>
  </si>
  <si>
    <t>12.2.2</t>
  </si>
  <si>
    <t>12.2.2 Consumo material interno en términos absolutos, consumo material interno per cápita y consumo material interno por PIB</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</si>
  <si>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</si>
  <si>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12.3.1</t>
  </si>
  <si>
    <t>12.3.1 a) Índice de pérdidas de alimentos y b) índice de desperdicio de alimentos</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</si>
  <si>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</si>
  <si>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12.4.1</t>
  </si>
  <si>
    <t>12.4.1 Número de partes en los acuerdos ambientales multilaterales internacionales sobre desechos peligrosos y otros productos químicos que cumplen sus compromisos y obligaciones de transmitir información como se exige en cada uno de esos acuerdos</t>
  </si>
  <si>
    <t>12.4.2</t>
  </si>
  <si>
    <t>12.4.2 a) Desechos peligrosos generados per cápita y b) proporción de desechos peligrosos tratados, desglosados por tipo de tratamiento</t>
  </si>
  <si>
    <t>12.5 De aquí a 2030, reducir considerablemente la generación de desechos mediante actividades de prevención, reducción, reciclado y reutilización</t>
  </si>
  <si>
    <t>12.5.1</t>
  </si>
  <si>
    <t>12.5.1 Tasa nacional de reciclado, en toneladas de material reciclado</t>
  </si>
  <si>
    <t>12.6 Alentar a las empresas, en especial las grandes empresas y las empresas transnacionales, a que adopten prácticas sostenibles e incorporen información sobre la sostenibilidad en su ciclo de presentación de informes</t>
  </si>
  <si>
    <t>12.6.1</t>
  </si>
  <si>
    <t>12.6.1 Número de empresas que publican informes sobre sostenibilidad</t>
  </si>
  <si>
    <t>12.7 Promover prácticas de adquisición pública que sean sostenibles, de conformidad con las políticas y prioridades nacionales</t>
  </si>
  <si>
    <t>12.7.1</t>
  </si>
  <si>
    <t>12.7.1 Número de países que aplican políticas y planes de acción sostenibles en materia de adquisiciones públicas</t>
  </si>
  <si>
    <t>12.8 De aquí a 2030, asegurar que las personas de todo el mundo tengan la información y los conocimientos pertinentes para el desarrollo sostenible y los estilos de vida en armonía con la naturaleza</t>
  </si>
  <si>
    <t>12.8.1</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</si>
  <si>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</si>
  <si>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 Ayudar a los países en desarrollo a fortalecer su capacidad científica y tecnológica para avanzar hacia modalidades de consumo y producción más sostenibles</t>
  </si>
  <si>
    <t>12.a.1</t>
  </si>
  <si>
    <t>12.a.1 Capacidad instalada de generación de energía renovable en los países en desarrollo (expresada en vatios per cápita)</t>
  </si>
  <si>
    <t>12.b Elaborar y aplicar instrumentos para vigilar los efectos en el desarrollo sostenible, a fin de lograr un turismo sostenible que cree puestos de trabajo y promueva la cultura y los productos locales</t>
  </si>
  <si>
    <t>12.b.1</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</si>
  <si>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</si>
  <si>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</si>
  <si>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12.c.1</t>
  </si>
  <si>
    <t>12.c.1 Cantidad de subsidios a los combustibles fósiles por unidad de PIB (producción y consumo)i</t>
  </si>
  <si>
    <t xml:space="preserve">La fuente de datos para este indicador es el Programa de Marco de 10 Años (10YFP) a través de los Puntos Focales Nacionales. En ausencia de un Punto Focal Nacional del 10YFP, se envía la encuesta al Punto Focal del Programa de las Naciones Unidas para el Medio Ambiente (PNUMA). </t>
  </si>
  <si>
    <t>Objetivo 12. Garantizar modalidades de consumo y producción sostenibles</t>
  </si>
  <si>
    <t>https://unstats.un.org/sdgs/metadata/files/Metadata-12-01-01.pdf</t>
  </si>
  <si>
    <t>https://unstats.un.org/sdgs/metadata/files/Metadata-12-02-01.pdf</t>
  </si>
  <si>
    <t>Fuente: Banco Central de Costa Rica, Cuenta de Flujo de Materiales y datos de población del Instituto Nacional de Estadística y Censos, 2024</t>
  </si>
  <si>
    <t>https://unstats.un.org/sdgs/metadata/files/Metadata-12-02-02.pdf</t>
  </si>
  <si>
    <t>Banco Central de Costa Rica, área de Estadísticas Ambientales, Cuenta de Flujo de Materiales (próxima a publicar)</t>
  </si>
  <si>
    <t>Encuesta Nacional Agropecuaria</t>
  </si>
  <si>
    <t>Xinia Andrade Ruiz</t>
  </si>
  <si>
    <t>(506) 2280-9280  Ext: 359</t>
  </si>
  <si>
    <t>xinia.andrade@inec.go.cr</t>
  </si>
  <si>
    <t xml:space="preserve"> La Contraloría Ambiental de Costa Rica ofrece información en su plataforma SIGREP sobre gestión de residuos peligrosos y menciona el Convenio de Basilea, que es relevante para este indicador.</t>
  </si>
  <si>
    <t>https://unstats.un.org/sdgs/metadata/files/Metadata-12-04-01.pdf</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</si>
  <si>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</si>
  <si>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Costa Rica: Cantidad de residuos peligrosos gestionados por año</t>
  </si>
  <si>
    <t>Costa Rica: Cantidad de residuos peligrosos gestionados por año, 2016-2023</t>
  </si>
  <si>
    <t>Cantidad den Kg</t>
  </si>
  <si>
    <t>Fuente:Ministerio de Salud, Informe Anual  2022 Sistema de Gestión de Residuos Peligrosos (SIGREP) 2023</t>
  </si>
  <si>
    <t>Costa Rica: Empresas generadoras de residuos peligrosos por provincia</t>
  </si>
  <si>
    <t>Fuente: Ministerio de Salud, Sistema de Gestión de Residuos Peligrosos, consulta pública agosto 2024</t>
  </si>
  <si>
    <t>Costa Rica: Toneladas de residuos generados por cantón</t>
  </si>
  <si>
    <t>Limon</t>
  </si>
  <si>
    <t>Fuente: Sigrep. Residuos Gestionados 2023</t>
  </si>
  <si>
    <t>Costa Rica: Cantidad de Gestores inscritos por Cantón</t>
  </si>
  <si>
    <t>Desamaprados</t>
  </si>
  <si>
    <t>Goicochea</t>
  </si>
  <si>
    <t>San Marcos</t>
  </si>
  <si>
    <t>San Pedro</t>
  </si>
  <si>
    <t>Vazquez de Coronado</t>
  </si>
  <si>
    <t>Fuente: Ministerio de Salud, VUI Diciembre 2023</t>
  </si>
  <si>
    <t>Costa Rica: Cantidad de gestores por tipo de gestión autorizada por el Ministerio de Salud</t>
  </si>
  <si>
    <t>Tipo de gestión</t>
  </si>
  <si>
    <t>Acopio</t>
  </si>
  <si>
    <t>Co-Precesamiento</t>
  </si>
  <si>
    <t>Exportación</t>
  </si>
  <si>
    <t>Reparación</t>
  </si>
  <si>
    <t>Recolección</t>
  </si>
  <si>
    <t>Transporte</t>
  </si>
  <si>
    <t>Importación</t>
  </si>
  <si>
    <t>Tratamiento</t>
  </si>
  <si>
    <t xml:space="preserve">Valorización </t>
  </si>
  <si>
    <t>Disposición Final</t>
  </si>
  <si>
    <t>Preparación para la valorización</t>
  </si>
  <si>
    <t>Gran total</t>
  </si>
  <si>
    <t>Fuente: Ministerio de Salud, Base de Datos de Gestores del Ministerio de Salud, Dic 2022</t>
  </si>
  <si>
    <t>Costa Rica: Desechos peligrosos generados per cápita</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</si>
  <si>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</si>
  <si>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</si>
  <si>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</si>
  <si>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</si>
  <si>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</si>
  <si>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</si>
  <si>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</si>
  <si>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</si>
  <si>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</si>
  <si>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</si>
  <si>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Fuente: Ministerio de Salud con base en información generada en inventario 2016-2019</t>
  </si>
  <si>
    <t>Costa Rica: Proporción de desechos peligrosos tratados, desglosados por tipo de tratamiento</t>
  </si>
  <si>
    <t>Cantidad de residuos peligrosos tratados</t>
  </si>
  <si>
    <t>Total residuos tratados</t>
  </si>
  <si>
    <t>Cantidad de residuos peligrosos generados</t>
  </si>
  <si>
    <t>Proporción de residuos tratados</t>
  </si>
  <si>
    <t>Fuente: Ministerio de Salud, con base en información generada en inventario (2019)</t>
  </si>
  <si>
    <t>Costa Rica: Capacidad para el tratamiento adecuado de residuos peligrosos propios dentro del país</t>
  </si>
  <si>
    <t>Total residuos tratados de manera  ambientalmente adecuada (kg)</t>
  </si>
  <si>
    <t>Cantidad de residuos peligrosos generados (kg)</t>
  </si>
  <si>
    <t>Capacidad para el tratamiento adecuado de residuos peligrosos propios dentro del país</t>
  </si>
  <si>
    <t>Costa Rica: Residuos generado según sector económico</t>
  </si>
  <si>
    <t>Codigo CIIU</t>
  </si>
  <si>
    <t>Sector económico</t>
  </si>
  <si>
    <t>A (01-03)</t>
  </si>
  <si>
    <t>Agricultura, ganadería, silvicultura y pesca</t>
  </si>
  <si>
    <t>C (10-33)</t>
  </si>
  <si>
    <t>Industrias manufactureras</t>
  </si>
  <si>
    <t>D (35)</t>
  </si>
  <si>
    <t>Suministro de electricidad, gas, vapor y aire acondicionado</t>
  </si>
  <si>
    <t>F (41-43)</t>
  </si>
  <si>
    <t>Construcción</t>
  </si>
  <si>
    <t>NR</t>
  </si>
  <si>
    <t>Otros</t>
  </si>
  <si>
    <t>Otros sectores</t>
  </si>
  <si>
    <t>NR: Código CIIU no reportado por el generador. Se excluyó el código 38</t>
  </si>
  <si>
    <t>Fuente: Ministerio de Salud, Sistema de Gestión de Residuos Peligrosos (SIGREP), 2019.</t>
  </si>
  <si>
    <t>Costa Rica: Residuos peligrosos por operación de eliminación, en kilogramos</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</si>
  <si>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</si>
  <si>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</si>
  <si>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</si>
  <si>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</si>
  <si>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</si>
  <si>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</si>
  <si>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Fuente:  Ministerio de Salud, Sistema de Gestión de Residuos Peligrosos, 2019.</t>
  </si>
  <si>
    <t>Costa Rica: Cantidad (en kg) de residuos peligrosos gestionados en hornos cementeros como combustible.</t>
  </si>
  <si>
    <t>Cantidad</t>
  </si>
  <si>
    <t>Fuente: Ministerio de Salud, Sistema de Gestión de Residuos Peligrosos, 2019.</t>
  </si>
  <si>
    <t>Costa Rica: Cantidad (en kg) de residuos peligrosos dispuestos en rellenos sanitarios.</t>
  </si>
  <si>
    <t>Residuo</t>
  </si>
  <si>
    <t>Escombro contaminado</t>
  </si>
  <si>
    <t>Hule contaminado</t>
  </si>
  <si>
    <t>Asbesto cemento</t>
  </si>
  <si>
    <t>Lodos y biosólidos</t>
  </si>
  <si>
    <t>Eléctricos y electrónicos</t>
  </si>
  <si>
    <t>Medicamentos</t>
  </si>
  <si>
    <t>a) Desechos peligrosos generados per cápita 
b) proporción de desechos peligrosos tratados, desglosados por tipo de tratamiento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</si>
  <si>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</si>
  <si>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La cantidad de generadores inscritos en el SIGREP son 690; no obstante, los que presentan
movimientos son 202.</t>
  </si>
  <si>
    <t>Naciona</t>
  </si>
  <si>
    <t>Contraloría Ambiental del MINAE</t>
  </si>
  <si>
    <t>Sistema de Gestión de Residuos Peligrosos (SIGREP)</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</si>
  <si>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</si>
  <si>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Eugenio Androvetto</t>
  </si>
  <si>
    <t>Ricardo Morales</t>
  </si>
  <si>
    <t>Jefe Unidad de Salud Ambiental</t>
  </si>
  <si>
    <t>ricardo.morales@misalud.go.cr</t>
  </si>
  <si>
    <t xml:space="preserve">12.5 De aquí a 2030, reducir considerablemente la generación de desechos mediante actividades de prevención, reducción, reciclado y reutilización </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</si>
  <si>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</si>
  <si>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 xml:space="preserve">Costa Rica: Residuos valorizables ordinarios en Kilogramos y porcentajes reciclados por Centros de Recuperación de Residuos Valorizables Privados </t>
  </si>
  <si>
    <t>Costa Rica: Porcentaje de residuos valorizables reciclados por Centros privados de recuperación, 2017-2022</t>
  </si>
  <si>
    <t>Tipo de residuo valorizable ordinarios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</si>
  <si>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</si>
  <si>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</si>
  <si>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</si>
  <si>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</si>
  <si>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</si>
  <si>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</si>
  <si>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7. Eco-bloques (Plásticos)</t>
  </si>
  <si>
    <t>8.  Otros residuos ordinarios.</t>
  </si>
  <si>
    <t>Residuos ordinarios reciclados.</t>
  </si>
  <si>
    <t>Nota: Las Municipalidades no reciclan solo recolectan los residuos valorizables y algunas de estas los separan en su Centro de Recuperación de Residuos Valorizables Municipal.</t>
  </si>
  <si>
    <t>Fuente: Ministerio de Salud, 2017-2022</t>
  </si>
  <si>
    <t xml:space="preserve">             </t>
  </si>
  <si>
    <t xml:space="preserve">Residuos ordinarios generados  </t>
  </si>
  <si>
    <t xml:space="preserve">Recuperación;  </t>
  </si>
  <si>
    <t>173 243</t>
  </si>
  <si>
    <t xml:space="preserve">     Reciclaje;  </t>
  </si>
  <si>
    <t>75 983</t>
  </si>
  <si>
    <t xml:space="preserve">     Compostaje;  </t>
  </si>
  <si>
    <t>45 525</t>
  </si>
  <si>
    <t xml:space="preserve">     Co procesamiento; </t>
  </si>
  <si>
    <t>51 735</t>
  </si>
  <si>
    <t>Costa Rica: Proporción de residuos ordinarios  generados y con descarga final adecuada y con descarga final no adecuada (no controlada y no tratada en instalaciones)</t>
  </si>
  <si>
    <t xml:space="preserve">Población </t>
  </si>
  <si>
    <t>Residuos ordinarios generados;</t>
  </si>
  <si>
    <t xml:space="preserve">  a) Hogares  </t>
  </si>
  <si>
    <t xml:space="preserve">  b) Otros (Comercios, Escuelas, Colegios, Universidades, etc.)</t>
  </si>
  <si>
    <t>Tratamiento designado y disposición final</t>
  </si>
  <si>
    <t>Tratamiento designado;</t>
  </si>
  <si>
    <t>1 497 235</t>
  </si>
  <si>
    <t xml:space="preserve">   Recuperación  </t>
  </si>
  <si>
    <t xml:space="preserve">     Reciclaje  </t>
  </si>
  <si>
    <t xml:space="preserve">     Compostaje  </t>
  </si>
  <si>
    <t xml:space="preserve">     Co procesamiento </t>
  </si>
  <si>
    <t xml:space="preserve">Disposición final: </t>
  </si>
  <si>
    <t>1 442 534</t>
  </si>
  <si>
    <t xml:space="preserve">    Rellenos Sanitarios y Vertederos  </t>
  </si>
  <si>
    <t>1 323 992</t>
  </si>
  <si>
    <t xml:space="preserve">   Otra disposición final de residuos ordinarios no adecuada (no tratada en instalaciones y no controlada) </t>
  </si>
  <si>
    <t>118 542</t>
  </si>
  <si>
    <t>Residuos con descarga final adecuada (tratados y controlados):</t>
  </si>
  <si>
    <t>Residuos con descarga final  No adecuada (no tratados en instalaciones)</t>
  </si>
  <si>
    <t>Meta a establecer  por el Ministerio de Salud.</t>
  </si>
  <si>
    <t xml:space="preserve">Residuos valorizables ordinarios en toneladas y porcentajes reciclados por Centros de Recuperación de Residuos Valorizables Privados, Centros de Compostaje Municipales y Privados que reciben residuos ordinarios, elaboración de compostaje "In Situ" por medio de composteras caseras en hogares, comercios y otros y residuos ordinarios que son enviados para coprocesamiento. 
Proporción de residuos sólidos urbanos generados y con descarga final adecuada </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</si>
  <si>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12.5.1  se tomó en consideración los siguientes hechos:
a. La recolección de los residuos valorizables y para compostaje la realizan las Municipalidades y Concejos Municipales de Distrito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para el indicador 2.5.1, lo estimé con base en los residuos ordinarios reciclados, compostaje y co procesamiento  por provincia, tomando en cuenta las siguientes consideraciones:
1. Algunas Municipalidades y Concejos Municipales de Distrito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Municipales de Distrito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Municipales de Distrito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cada año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 tanto a nivel nacional, como por provincia, coinciden con los datos reportados a OCDE, CENIGA MINAE. 
</t>
  </si>
  <si>
    <t xml:space="preserve">Tasa Nacional de reciclado de residuos ordinarios =  (toneladas recicladas de residuos ordinarios/toneladas generadas de residuos ordinarios ) * 100.  
Toneladas recicladas de residuos ordinarios= toneladas recicladas por centros de recuperación de residuos valorizables privados que reciben residuos ordinarios y los reciclan o exportan, residuos utilizados para la elaboración de Compostaje en Centros de Compostaje Municipales y Privados, residuos utilizados para elaboración de Compostaje "In Situ" por medio de la disposición de residuos ordinarios en composteras caseras en Hogares, Comercios y Otros, residuos ordinarios enviados para coprocesameinto.  En la actualidad los centros de residuos valorizables Municipales solamente realizan la separación de los residuos valorizables ordinarios y ninguno a la fecha los recicla, sino que los envía a un Centro de reciclaje  Privado.   
</t>
  </si>
  <si>
    <t xml:space="preserve">Porcentajes con base en toneladas. </t>
  </si>
  <si>
    <r>
      <t>Tasa Nacional de reciclado de residuos ordinarios</t>
    </r>
    <r>
      <rPr>
        <sz val="10"/>
        <color theme="1"/>
        <rFont val="Open Sans Condensed"/>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0"/>
        <color theme="1"/>
        <rFont val="Open Sans Condensed"/>
      </rPr>
      <t xml:space="preserve">esiduo valorizable ordinario que </t>
    </r>
    <r>
      <rPr>
        <sz val="10"/>
        <color theme="1"/>
        <rFont val="Open Sans Condensed"/>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</si>
  <si>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1. Envases (recipientes plásticos y tetra pack, bolsas) compactados en kilogramos, 
2. Envases (recipientes plásticos) sin compactar para reúso en kilogramos. 
3. Aluminio (latas de aluminio, latón y hojalata), en Kilogramos), 
4. Papel y cartón en Kilogramos, 
5. Vidrio (envases) quebrado para reciclar en kilogramos. 
6. Vidrio (envases) sin quebrar para reúso en kilogramos.  7. Eco bloques. 8 Otros ordinarios. 9. Residuos ordinarios  utilizados para elaboración de Compostaje en Centros de Compostaje Municipales y Privados. 10. Residuos ordinarios utilizados para la elaboración de Compostaje "In Situ" por medio de composteras caseras en casas, comercios y otros. 11. Residuos ordinarios enviados a coprocesamiento.</t>
  </si>
  <si>
    <t>A nivel nacional</t>
  </si>
  <si>
    <t>Residuos valorizables ordinarios reciclados, re uso de Residuos valorizables ordinarios, utilizados para la elaboración de Compostaje en Centros de Compostaje Municipales y Privados y los utilizados en composteras caseras para elaboración de compostaje In Situ en los hogares, comercios y otros.</t>
  </si>
  <si>
    <t>Centros de Recuperación de Residuos Valorizables Municipales y Centros de Recuperación de Residuos Valorizables Privados que reciben residuos ordinarios. Centros de Compostaje Municipales y Privados que reciben residuos ordinarios orgánicos. Áreas Rectoras de Salud, Municipalidades y Concejos Municipales de Distrito.</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</si>
  <si>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 asi como los residuos ordinarios utilizados para la elaboración de compostaje en Centros de Compostaje Municipales y Privados y por medio de composteras caseras In Situ en los hogares, comercios y otros, asi como los residuos ordinarios enviados para coprocesamiento.</t>
  </si>
  <si>
    <t>Elaboración de cuestionarios para la captura de  los datos a los Gestores de Residuos ordinarios Privados,  Municipales y Concejos Distritales que Recolectan Residuos ordinarios.</t>
  </si>
  <si>
    <t>Algunos Centros de Recuperación de residuos valorizables no poseen equipo para el pasaje ("romanas") por lo que se recurre a estimaciones. Las estimaciones para la elaboración del compostaje por medio de Composteras caseras en hogares, comercios y otros son estimadas con base a criterios de Experto reportado por las Municipalidades y Concejos Municipales de Distrito, con base en la cantidad de cursos impartidos y la cantidad de participantes en cada uno de estos.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</si>
  <si>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</si>
  <si>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Profesional 3 del Servicio Civil.</t>
  </si>
  <si>
    <t xml:space="preserve">Teléfono celular 87204499 </t>
  </si>
  <si>
    <t>Costa Rica: Número de empresas que publican informes sobre sostenibilidad según calidad del reporte, por tamaño de empresas, naturaleza y por sectores</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</si>
  <si>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</si>
  <si>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</si>
  <si>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</si>
  <si>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Proporcion de empresas que han realizado verificación del reporte completo*</t>
  </si>
  <si>
    <t>Por tamaño de empresas</t>
  </si>
  <si>
    <t>Empresa Grande (más 250)</t>
  </si>
  <si>
    <t>Empresas medianas o pequeñas (menos 250 personas)</t>
  </si>
  <si>
    <t>Naturaleza</t>
  </si>
  <si>
    <t>Nacionales</t>
  </si>
  <si>
    <t>Multinacional (reporta a nivel CR)</t>
  </si>
  <si>
    <t>Por sectores</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</si>
  <si>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</si>
  <si>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</si>
  <si>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</si>
  <si>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</si>
  <si>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</si>
  <si>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</si>
  <si>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*Accepted assurance standards and tools to be defined (metadata 12.6)</t>
  </si>
  <si>
    <t>Fuente: Alianza Empresarial para el Desarrollo, AED</t>
  </si>
  <si>
    <t>Meta Nacional no identificada o no establecida. 
Se podría plantear una vez se haga la primera medición</t>
  </si>
  <si>
    <t xml:space="preserve"> Número de empresas que publican informes sobre sostenibilidad según calidad del reporte, por tamaño de empresas, naturaleza y por sectores</t>
  </si>
  <si>
    <t>Indicador  propuesto  por  Naciones  Unidas</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</si>
  <si>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</si>
  <si>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 xml:space="preserve">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2021-junio2020) que cumplieran con los requisitos básicos y/o avanzados.
Se utilizó la metodología permitida "report or comply" en donde se indica si alguna información no está disponible pero la empresa explica el por qué, se acepta la información.
</t>
  </si>
  <si>
    <t>En Costa Rica existen X cantidad de empresas que reportan información tanto ambiental, social y de gobernanza, ya sea a través de sus reportes de sostenibilidad o a través de otros medios de reportaje; y que cumplen con la calidad mínima establecida por los lineamientos de la ficha metodológica del indicador 12.6.1</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</si>
  <si>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</si>
  <si>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</si>
  <si>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</si>
  <si>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</si>
  <si>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</si>
  <si>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</si>
  <si>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La evaluación depende de el criterio experto de la(s) persona(s) que realicen la revisión de los informes.</t>
  </si>
  <si>
    <t>Para definir una meta sería interesante revisar las metas que se planteen otros países. El interés de reportaje está creciendo, se podría promover desde el MEIC inclusive que ya había hecho un estudio al respecto. 
En Costa Rica, 24 empresas publicaron reportes o memorias de sostenibilidad relacionados con su operación local en el periodo que va del 1 de Julio 2022 al 30 de Junio del 2023. De esas empresas, 8 reportaban el período 2021 y 16 el período 2022.  De las primeras 24 empresas, 15 cumplen con los requerimientos mínimos de reportaje según los lineamientos del indicador 12.6.1 de los ODS y 8 con los requerimientos avanzados de reportaje.  De las que reportan con requerimientos avanzados, 60% se denominan empresas grandes (más de 250 personas colaboradoras) y 40% empresas pequeñas (menos de 250 personas); 87% son nacionales y 13% multinacionales. La distribución por sector de esas 15 empresas es de 13% manufactura, 27% financieras o de seguros, 13% inmobiliarias y 47% otras actividades de servicios.
Es importante destacar que un total de 10 empresas, que han reportado regularmente en los últimos años, aún no han publicado su reporte 2022, e indicaron que lo estarían publicando en el transcurso de los próximos dos meses.</t>
  </si>
  <si>
    <t xml:space="preserve">https://unstats.un.org/sdgs/metadata/files/Metadata-12-06-01.pdf </t>
  </si>
  <si>
    <t>Imre Janos Petry</t>
  </si>
  <si>
    <t>Director Dimensión Económica</t>
  </si>
  <si>
    <t>Asociación Empresarial para el Desarrollo</t>
  </si>
  <si>
    <t>40016698 ext.117 o 88485141</t>
  </si>
  <si>
    <t>imrepetry@aedcr.com</t>
  </si>
  <si>
    <t xml:space="preserve">Costa Rica: Evaluación de implementación de compras públicas sostenibles por criterio de evaluación, 2023
Costa Rica: Valor de la contratación pública, 2023 
Costa Rica: implementación de políticas y planes de acción de Compras Públicas Sostenibles en el gobierno nacional  </t>
  </si>
  <si>
    <t>Costa Rica: Evaluación de implementación de compras públicas sostenibles por criterio de evaluación, 2023</t>
  </si>
  <si>
    <t>Criterio</t>
  </si>
  <si>
    <t>Puntaje</t>
  </si>
  <si>
    <t>Puntaje general de implementación de Compras Públicas Sostenibles</t>
  </si>
  <si>
    <t>A. Política de Compras Públicas Sostenibles / Plan de acción</t>
  </si>
  <si>
    <t>B(a). Disposiciones sobre contratación pública sostenible</t>
  </si>
  <si>
    <t>B(b). Compras Públicas Sostenibles Obligatorias/ Voluntarias</t>
  </si>
  <si>
    <t>B. Marco Legal</t>
  </si>
  <si>
    <t>C. Apoyo práctico</t>
  </si>
  <si>
    <t>D(a). Criterios ambientales</t>
  </si>
  <si>
    <t>D(b). Preocupaciones sociales, económicas y gubernamentales</t>
  </si>
  <si>
    <t>D(c). Evaluación de riesgos</t>
  </si>
  <si>
    <t>D. Criterios de Compra Pública Sostenible</t>
  </si>
  <si>
    <t>E. Monitoreo</t>
  </si>
  <si>
    <t>F. Porcentaje de Compras Publicas Sostenibles</t>
  </si>
  <si>
    <t>Fuente: Ministerio de Hacienda, 2023</t>
  </si>
  <si>
    <t>Costa Rica: Valor de la contratación pública, 2023</t>
  </si>
  <si>
    <t>Valor total de la contratación pública</t>
  </si>
  <si>
    <t>Porcentaje representado en la Contratación pública total a nivel de país</t>
  </si>
  <si>
    <t>Contratación pública total a nivel de país</t>
  </si>
  <si>
    <t>Gobierno federal / nacional</t>
  </si>
  <si>
    <t>* (Corresponde a Gobierno Central)</t>
  </si>
  <si>
    <t xml:space="preserve">Costa Rica: implementación de políticas y planes de acción de Compras Públicas Sostenibles en el gobierno nacional </t>
  </si>
  <si>
    <t>Subindicadores y detalles de la puntuación</t>
  </si>
  <si>
    <t xml:space="preserve"> Puntuación maxima</t>
  </si>
  <si>
    <t>Instrucción</t>
  </si>
  <si>
    <t>Referencia a documentos o detalles</t>
  </si>
  <si>
    <t>Información adicional</t>
  </si>
  <si>
    <t>Notas y comentarios</t>
  </si>
  <si>
    <t>A: Existencia de un plan de acción / política de CPS, y/o requisitos reglamentarios de CPS</t>
  </si>
  <si>
    <t>1 punto</t>
  </si>
  <si>
    <t>Por favor, haga clic en las celdas para desplegar las respuestas posibles y
seleccione una respuesta</t>
  </si>
  <si>
    <t xml:space="preserve">Por favor, proporcione más detalles para soportar a su respuesta, e indique referencias o enlaces a documentos oficiales		</t>
  </si>
  <si>
    <t>Un plan de acción (nacional, federal) de CPS, política y/o requisitos reglamentarios de CPS ha sido desarrollado y aprobado por el gobierno.
El plan de acción, los documentos de política y/o los requisitos reglamentarios pertinentes deben ser accesibles en línea.</t>
  </si>
  <si>
    <t>SÍ</t>
  </si>
  <si>
    <t>Ley General de Contratación Pública N°9986, Reglamento a la Ley General de Contratación
Pública N°43808-H,'DE-41032-PLAN-MINAE-RE:"Política Nacional de Producción y Consumo Sostenibles 2018-2030" (Anexo 1); DE-39310- MH - MINAE - MEIC – MTSS: "Política Nacional de Compras Públicas Sustentables y Creación del Comité Directivo Nacional de Compras Sustentable (Anexo 2), −	Ley N° 8262 “Ley de Fortalecimiento de las Pequeñas y Medianas Empresas", −	Ley N° 8839 “Ley para la Gestión Integral de Residuos”, Ley N°9971 “Ley de Creación de la Promotora Costarricense de Innovación e Investigación”, −	Decreto Ejecutivo N° 37168 “Reglamento para el Programa de Fortalecimiento para la Innovación y Desarrollo Tecnológico de las PYME (Fondo PROPYME”), −	Decreto Ejecutivo N° 42709-H-MEIC-MTSS-MICITT, “Medidas para incentivar la participación de empresas, pyme y empresas de la economía social en las compras públicas de la administración, según criterios de localización y sostenibilidad”,−	Decreto Ejecutivo N° 43714-MTSS-H “ Crea el Sistema de Reconocimientos Sociolaborales (SIRESOL)”, Decreto N°43946-H Reglamento de organización y funciones de la Dirección de Contratación Pública Decreto 43807-H, Reglamento del Modelo Tarifario para el uso del Sistema Digital Unificado , Reglamento para el Funcionamiento de las Proveedurías Institucionales de los Ministerios de Gobierno Decreto 44027-H, Actualización de la información en el Registro Electrónico Oficial de Proveedores y Subcontratistas Gaceta No. 94 Ministerio de Hacienda- DCoP. Decreto Ejecutivo N° 41527-S MINAE Reglamento general para la clasificación y manejo de residuos peligrosos.</t>
  </si>
  <si>
    <t>El valor de los 3 002 296 012 065,38 corresponde a las compras registradas en SICOP para el año 2023, con la nueva LGCP N°9986.       'https://www.hacienda.go.cr/docs/1-Leyesyreglamentos-Normativa.pdf</t>
  </si>
  <si>
    <t>Política Nacional de Producción y Consumo Sostenibles 2018-2030
4.3.4. Compras Públicas Sustentables
Política Nacional de Compras Públicas
Sustentables y Creación del Comité Directivo Nacional de Compras Sustentables</t>
  </si>
  <si>
    <t>B. El marco normativo de la contratación pública es favorable a la contratación pública sostenible</t>
  </si>
  <si>
    <t>B a) Las disposiciones del marco legal y reglamentario permiten incorporar consideraciones de sostenibilidad (ambiental y/o social) en las siguientes etapas del proceso de adquisición:</t>
  </si>
  <si>
    <t xml:space="preserve"> 0.70 pts</t>
  </si>
  <si>
    <t>1/ Definición de especificaciones técnicas</t>
  </si>
  <si>
    <t>Al definir requisitos de sostenibilidad de contratos, las administraciones publicas pueden recurrir a:</t>
  </si>
  <si>
    <t>o Requisitos de sostenibilidad (ambientales y/o sociales) pueden incluirse en las especificaciones técnicas, a traves de criterios mínimos de cumplimiento de un contrato.
Por ejemplo: uso de materias primas sostenibles/recicladas; biodegradabilidad de los productos; evitar el uso de sustancias nocivas; embalaje ecológico; nivel de consumo de energía; garantía y durabilidad; garantía de disponibilidad de piezas y componentes.
Y / O
o Se puede referirse a sellos ambientales de tipo I, a etiquetas sociales o a normas de sostenibilidad equivalentes para especificar el nivel mínimo de cumplimiento.</t>
  </si>
  <si>
    <t>SÍ, los requisitos de sostenibilidad pueden incluirse en las especificaciones técnicas</t>
  </si>
  <si>
    <t xml:space="preserve">En los pliegos de condiciones de los procedimientos de contratación pueden incluirse los criterios de compra pública estratégoca: ambientales, sociales, económicos e innovadores. Documento: Ley General de Contratación Pública N°9986, y su Decreto N°43808-H.
***
Va a depender de las condiciones técnicas del producto y marco jurídico del pliego de condiciones. Los terminos de referencia específicos, tales como tamaños, colores y demás aspectos técnicos están en la "FICHA TÉCNICA" respectiva en SICOP. Así como lo encontrado en estudio de mercado del bien, servicio u obra. https://www.sicop.go.cr/index.jsp    </t>
  </si>
  <si>
    <t>Por ejemplo se adjunta el enlace para el   archivo “Tabla 1 Fichas Luminarias”, https://www.sicop.go.cr/ en la sección Avisos (este archivo se actualiza por mes por el grupo de trabajo de la Directric 011-MINAE). En la página Web de la DCoP-MH, se actualiza información referentes a la compra pública sostenible o estratégica: https://www.hacienda.go.cr/docs/CompraPublicasSostenibles.pdf</t>
  </si>
  <si>
    <t>Ley GCP: ARTÍCULO 21- Incorporación de criterios sociales, económicos, ambientales y de innovación en los pliegos de condiciones y en el Reglamento a la Ley General de CP: Artículo 55. Incorporación de criterios de compra pública estratégica en los pliegos de condiciones. (Hasta un 25% de CPE a discrecionalidad de la Administración). LGCP: ARTÍCULO 23- Estrategias y políticas para fomentar la participación de las pymes y en su reglamento: Artículo 72. Fomento a las PYMES. (la aplicación del criterio de desarrollo regional para asignar un puntaje en el sistema de calificación de ofertas de hasta un diez por ciento (10%) para las PYMES de la región).                                                                                                                                         LEY 8839, articulo 39
"Autorízase a las instituciones de la Administración Pública, empresas públicas y municipalidades para que promuevan la compra y la utilización de materiales reutilizables, reciclables, biodegradables y valorizables, así como de productos fabricados con material reciclado bajo procesos ambientalmente amigables que cumplan las especificaciones técnicas requeridas por la Administración Pública; dicha condición podrá comprobarse por medio de certificaciones ambientales y otro mecanismo válido establecido vía reglamento. "
y su Reglamento:
https://vlex.co.cr/vid/reglamento-general-ley-integral-residuos-484911022</t>
  </si>
  <si>
    <t>o Se pueden utilizar especificaciones basadas en funciones / resultados / desempeño.
Este tipo de especificaciones indican lo que los productos o servicios adquiridos deben lograr en términos de funciones realizadas, de nivel de desempeño alcanzado, o los productos/resultados entregados (por ejemplo, bombillas con un consumo de energía limitado o vehículos con emisiones de CO2 limitadas).</t>
  </si>
  <si>
    <t>SÍ, se pueden utilizar especificaciones funcionales, basadas en los resultados y/o en el desempeño</t>
  </si>
  <si>
    <t xml:space="preserve">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</si>
  <si>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el procedimiento de contratación realizado para el Convenio Marco de Materiales de limpieza 2019LN-000005-0009100001  el cual puede ser verificado en el siguiente enlace: https://www.sicop.go.cr/index.jsp. Además en la página Web de la DCoP se muestran los otros Convenios Marcos en ejecución: 2020LN-000003-0009100001 Convenio Marco Adquisición de Materiales de Construcción, Electricidad, ferretería y Herramientas. 2020LN-000009-0009100001 Convenio Marco para la Adquisición de Mobiliario de Oficina y Escolar. 2018LN-000006-0009100001 Convenio Marco Adquisición de Llantas para Vehículos. https://www.hacienda.go.cr/docs/2.ConevenioMarcoVigenteCatalogo.pdf</t>
  </si>
  <si>
    <t xml:space="preserve">
Sin indicaciones precisas, los criterios funcionales o basados en el desempeño no podrían encontrarse en el ejemplo de oferta proporcionado; sin embargo, dichos criterios basados en la eficiencia energética / desempeño se mencionan en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</si>
  <si>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2/ Selección de proveedores</t>
  </si>
  <si>
    <t>¿Se pueden aplicar criterios de selección o exclusión relacionados con la sostenibilidad al seleccionar proveedores?</t>
  </si>
  <si>
    <t>o Requisitos de sostenibilidad pueden incluirse en los criterios de precalificación / selección:
Los criterios de selección evalúan la idoneidad de un operador económico para llevar a cabo un contrato. Por ejemplo, se puede pedir a los proveedores que presenten pruebas de cumplimiento de las normas sociales o ambientales, pruebas de que han adoptado un enfoque de sistema de ordenación ambiental o un sistema de gestión y seguimiento de la cadena de suministro.</t>
  </si>
  <si>
    <t>SÍ, los requisitos de sostenibilidad pueden incluirse en  criterios de precalificación / selección</t>
  </si>
  <si>
    <t>Ley General de Contratación Pública N°9986, Reglamento a la Ley General de Contratación
Pública N°43808-H</t>
  </si>
  <si>
    <t>Por ejemplo el procedimiento de contratación realizado para el Convenio Marco de Materiales de limpieza el cual puede ser verificado en el siguiente link: https://www.sicop.go.cr/moduloOferta/search/EP_SEJ_COQ625.jsp?isView=Y&amp;progId=coq603&amp;cartelNo=20190702618&amp;cartelSeq=00&amp;isPopup=Y</t>
  </si>
  <si>
    <t>Desafortunadamente, no se proporcionó indicación específica sobre dónde encontrar la información en la página web mencionada, sin embargo, en el acuerdo marco mencionado en la pregunta B.a.4, la siguiente mención demuestra que a los proveedores necesitan presentar certificados o cumplir con los criterios de sostenibilidad. Además, la 'Guía de compras sustentables' muestra en la página 32 prerrequisitos segun los cuales prohíben el trabajo infantil. 
***
1.11. RESPONSABILIDAD DEL OFERENTE
Por el solo hecho de presentar su oferta el oferente admite:
a) Conocer completamente las condiciones del concurso, sus aclaraciones o modificaciones, y que acepta todos los términos y condiciones que en ellos constan, salvo declaración expresa en contrario.
b) Cumplir estrictamente con las obligaciones laborales y de seguridad social de sus trabajadores.
c) Que el eventual contrato entre las partes no generará responsabilidad alguna para la Administración respecto de materia de seguridad social.
d) Someterse a la jurisdicción de los tribunales nacionales.
e) Que deben mantenerse informados de todas las incidencias que se den en el proceso de selección del(os) contratista(s) y para ello, deben verificar con frecuencia en el SICOP, todos los anuncios y notificaciones con respecto al procedimiento, en atención a lo establecido en la normativa que rige la materia.
f) La responsabilidad de mantener su información actualizada en el Registro de Proveedores de conformidad con el Reglamento de Uso del Sistema.
g) Aceptar cumplir durante la ejecución contractual, con todas las condiciones incluidas en su plica.
h) Estar inscrito en una Unidad de Cumplimiento ante el Ministerio de Salud de acuerdo con lo establecido en el Artículo N°1 del Decreto N°38933-S “Criterios Ambientales establecidos en la Ley para la Gestión Integral de Residuos para la Compra de Llantas para las entidades que componen la Administración Pública” así como los Artículos N°2, 13 y 14 del Decreto N°38272-S “Reglamento para la Declaratoria de Residuos de Manejo Especial”, deberá presentar el Certificado por parte del Ministerio de Salud en la cual indican que pertenecen a dicha Unidad de Cumplimiento. Este requisito es obligatorio para todas las ofertas que participen en el concurso y la no presentación de la misma será motivo para descalificar la oferta</t>
  </si>
  <si>
    <t>o Requisitos de sostenibilidad pueden incluirse en los criterios de exclusión: 
Los proveedores que infrinjan las leyes ambientales o sociales o que no cumplan con determinadas normas ambientales o sociales (como los convenios básicos de la OIT) pueden ser excluidos del proceso de adquisición.</t>
  </si>
  <si>
    <t>SÍ, los requisitos de sostenibilidad pueden incluirse en criterios de exclusión</t>
  </si>
  <si>
    <t xml:space="preserve">Va a depender de las condiciones técnicas del producto y marco jurídico del pliego de condiciones. Los términos de refrencia específicos van a estar ligados al contrato correspondiente de cada procedimiento de contratación. 
Por ejemplo: Convenio Marco de Productos de Limpieza. https://www.sicop.go.cr/moduloPcont/pcont/ctract/es/CE_SCJ_GSQ003_C.jsp?isPopup=Y&amp;contract_req_no=SC201907002586 </t>
  </si>
  <si>
    <t xml:space="preserve">Por ejemplo ver el archivo adjunto “Anexo al Pliego Sum y Mat Limpieza”. En el Capítulo III Condiciones Técnicas a partir de la página 17. </t>
  </si>
  <si>
    <t>Convenio marco de Productos de Limpieza 
p22: "Póliza de Riesgo Laboral: El oferente debe aportar documentación probatoria de disponer de una póliza de Riesgo Laboral para la actividad económica en la que oferte, al día y que ésta incluya a todos los empleados. Debe presentar copia de la última factura pagada o certificación del ente asegurador en la que se indique tanto las condiciones de la póliza como su vigencia y pago al día."</t>
  </si>
  <si>
    <t>3/ Criterios de adjudicación</t>
  </si>
  <si>
    <t>o El marco legal y reglamentario permite que la adjudicación de contratos se base en criterios distintos del precio (incluidos los criterios de sostenibilidad), por ejemplo, recurriendo a los enfoques de la "mejor relación calidad-precio" o de la "oferta más ventajosa económicamente".</t>
  </si>
  <si>
    <t>SÍ, la adjudicación del contrato puede basarse en tales enfoques / criterios</t>
  </si>
  <si>
    <t xml:space="preserve">Estas condiciones se pueden incluir en la parte de evaluacuón del Pliego de condiciones de un procedimiento de contratación Administrativa. Por ejemplo: la matriz del Convenio Marco de Productos de Limpieza. https://www.sicop.go.cr/moduloPcont/pcont/ctract/es/CE_SCJ_GSQ003_C.jsp?isPopup=Y&amp;contract_req_no=SC201907002586 </t>
  </si>
  <si>
    <t>Por ejemplo ver el archivo adjunto “Anexo al Pliego Sum y Mat Limpieza”. En el punto 5.1 Sistema de Evaluación, página 39 y 40.</t>
  </si>
  <si>
    <t xml:space="preserve">Los criterios de sostenibilidad se encontraron en el ejemplo de pliego de condiciones proporcionado, y también en las "Cartes de llantas" proporcionadas, p. 17-18, 5.2.3. CRITERIOS SUSTENTABLES 20%, 5.2.3.1 Matriz de Evaluación de Criterios Sustentables Opciones de Negocio 1 a 86 </t>
  </si>
  <si>
    <r>
      <t xml:space="preserve"> o El marco legal y reglamentario permite utilizar el cálculo del Costo del ciclo de vida en la evaluación de  ofertas.
Por Costo del ciclo de vida se entiende la consideración de todos los costos en que se incurrirá durante la vida útil de un producto, obra o servicio (precio de compra, incluida la entrega, los costos de instalación, los costos de funcionamiento y mantenimiento, los costos al final de la vida útil como la eliminación del producto) (cita de </t>
    </r>
    <r>
      <rPr>
        <i/>
        <sz val="10"/>
        <rFont val="Open Sans Condensed"/>
      </rPr>
      <t>Buying Green EU handbook on GPP</t>
    </r>
    <r>
      <rPr>
        <sz val="10"/>
        <rFont val="Open Sans Condensed"/>
      </rPr>
      <t>)</t>
    </r>
  </si>
  <si>
    <t>SÍ, se puede utilizar el coste del ciclo de vida</t>
  </si>
  <si>
    <t>RLGCP: Artículo 46. Objetivos de Contratación Pública Estratégica. La contratación pública estratégica deberá articular los objetivos de política pública en materia social, ambiental,económica y de innovación, en los términos dispuestos por el artículo 20 de la Ley General de Contratación Pública y según se disponga en el Plan Nacional de Compra Pública, considerando lo siguiente: c) La protección ambiental, mediante la promoción de enfoques de ciclo de vida debienes, servicios y obras, utilización de energías renovables, certificados deproducto y eco-etiquetas</t>
  </si>
  <si>
    <t>RLGCP: Artículo 47. Aplicación del principio de valor por el dinero en la compra pública estratégica De conformidad con lo establecido en el artículo 8 de la Ley General de Contratación Pública toda contratación pública incluidas las compras públicas estratégicas debe estar orientada a maximizar el valor de los recursos públicos que se invierten y a promover la actuación bajo el enfoque de gestión por resultados en las contrataciones, tomando en consideración el principio de sostenibilidad social y ambiental, de tal forma que se realicen en forma oportuna y bajo las mejores condiciones de precio y calidad, durante todo el ciclo de vida.  Artículo 68. Criterios de evaluación de la compra pública innovadora.Inciso c) Evaluación del costo en el ciclo de vida del producto o servicio, conforme al principiode valor por el dinero. Se deberá considerar que la oferta sea económicamenteventajosa en su conjunto, valorando para ello la calidad, los costos actuales y ladisminución en los costos de mantenimiento, según corresponda. Adicionalmente,podrán valorarse las posibles mejoras para el medio ambiente y el ahorro energéticoque se obtendría con la innovación. El costo por ciclo de vida incluye todos los costos que pueden surgir durante el ciclo de vida del producto, el coste de compra y todos los costes asociados con su funcionamiento y hasta su disposición final.</t>
  </si>
  <si>
    <t>4/ Ejecución del contrato:
o Requisitos de sostenibilidad pueden incluirse en las cláusulas de ejecución del contrato.
Por ejemplo: exigir el cumplimiento de los derechos laborales en la cadena de suministro (por ejemplo, las normas básicas de la OIT); exigir un uso eficiente de recursos como la electricidad y el agua en las obras de construcción; la reducción de las emisiones de CO2 asociadas al transporte; el retiro de los envases para su reutilización, reciclado o eliminación adecuada</t>
  </si>
  <si>
    <t>SÍ, requisitos de sostenibilidad pueden incluirse en las cláusulas de ejecución de contratos</t>
  </si>
  <si>
    <t xml:space="preserve">Las específicaciones incluídas en las cláusulas pueden ser todos aquellos aspectos técnicos, legales, laborales y ambientales que las partes consideren a bien. </t>
  </si>
  <si>
    <t>Por ejemplo ver el archivo “Cartel de llantas” en el cual se estipula la obligatoriedad con lo detallado en el Decreto N°38933-S “Criterios Ambientales establecidos en la Ley para la Gestión Integral de Residuos para la Compra de Llantas para las entidades que componen la Administración Pública”.</t>
  </si>
  <si>
    <t xml:space="preserve">La referencia proporcionada no respalda claramente esta respuesta, sin embargo, la Guía de Compras sustentables menciona muy claramente p.11 Cláusulas contractuales que pueden incluir requisitos de sustentabilidad. (ver captura de pantalla a la derecha). </t>
  </si>
  <si>
    <t xml:space="preserve">B(a) </t>
  </si>
  <si>
    <t>B b) Las disposiciones del marco legal y reglamentario obligan a la adquisición de alternativas sostenibles</t>
  </si>
  <si>
    <t>0.30 pts</t>
  </si>
  <si>
    <t>La adquisición de alternativas sostenibles es:</t>
  </si>
  <si>
    <t>Es la adquisición de alternativas sostenibles: 
o ¿Voluntaria?: el marco legal y reglamentario permite la adquisición de productos o servicios mas sostenibles por administraciones publicas, pero la adquisición de este tipo de productos no es obligataria.
U
o ¿Obligatoria?: el marco legal y reglamentario exige la adquisición de productos y servicios mas sostenibles, al menos al adquirir ciertas categorías de productos y servicios:
Por ejemplo
-&gt; Ejemplo Nº 1: La adquisición de alternativas sostenibles es obligatoria al comprar ciertas categorías de productos/servicios.
Por ejemplo, la Directiva de la Unión Europea sobre vehículos limpios "obliga a las autoridades contratantes a tener en cuenta los efectos energéticos y ambientales al adquirir vehículos de transporte por carretera".
-&gt; Ejemplo Nº 2: La adquisición de alternativas sostenibles es obligatoria siempre que se adquieran productos pertenecientes a categorías "prioritarias" (grupos de productos para los que se han definido  criterios mínimos de sostenibilidad o se han recomendado etiquetas). Por ejemplo, las administraciones públicas tengan que adquirir obligatoriamente alternativas más sostenibles listados en un catálogo oficial de productos con sello ambiental nacional.</t>
  </si>
  <si>
    <t>SÍ, la adquisición de productos/servicios sostenibles es OBLIGATORIA al menos para algunas categorías</t>
  </si>
  <si>
    <t>Se cuenta con un catálogo de productos oficiales de productos sustentables de uso obligatoria, pero sólo está ligado a los bienes establecidos en la Directriz 11-2014 MINAE. (equipos de iluminación, refrigeración electrómesticos, refrigeración comerciales y equipo de aires acondicionados) Ver anexo No. 4).                                                                                         La inclusión de criterios de compra Pública estratégica en sus cuatro ámbitos; social, eonómica, ambiental y de innovación de acuerdo al art.21 de la Ley GCP y su reglamento art. 55.                                                                                                                                              CONDICIONES GENERALES para contratación del pliego de condiciones del SICOP: 1.2.2. Cumplir estrictamente con las obligaciones laborales y de seguridad social de sus trabajadores y que el contrato que se llegue a suscribir entre las partes no generará responsabilidad alguna para la Administración, en cuanto a dichos rubros.</t>
  </si>
  <si>
    <t>Así las cosas y de acuerdo a su comentario, por favor cambiar la respuesta a SI, en el punto B (b)
SÍ, la adquisición de productos/servicios sostenibles es OBLIGATORIA al menos para algunas categorías.                                                      CONDICIONES GENERALES para contratación del pliego de condiciones del SICOP: https://www.sicop.go.cr/index.jsp</t>
  </si>
  <si>
    <t>Catálogo de productos oficiales de productos sustentables de uso obligatoria, ligado a los bienes establecidos en la Directriz 11-2014 MINAE. (equipos de iluminación, refrigeración electrómesticos, refrigeración comerciales y equipo de aires acondicionados) Ver anexo No. 4)
Ejemplo: Equipos de Iluminación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</si>
  <si>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 xml:space="preserve">B(b) </t>
  </si>
  <si>
    <t>C. Apoyo práctico proporcionado a los profesionales de adquisiciones en la implementación de CPS</t>
  </si>
  <si>
    <r>
      <t xml:space="preserve">o Se han elaborado directrices y herramientas, o un catálogo oficial de productos con sella ambiental o social, que </t>
    </r>
    <r>
      <rPr>
        <u/>
        <sz val="10"/>
        <rFont val="Open Sans Condensed"/>
      </rPr>
      <t>se revisan periódicamente.</t>
    </r>
  </si>
  <si>
    <t>0.20 pts</t>
  </si>
  <si>
    <t>Directrices 011-2014 (Anexo No. 4) y (014-2018, 033-2018 y 050-2019 MINAE, En el siguiente enlace se puede acceder a estas directrices:</t>
  </si>
  <si>
    <t>https://www.hacienda.go.cr/docs/2.DecretoyDirectrices.pdf</t>
  </si>
  <si>
    <t>Los documentos proporcionados no parecen de tipo práctico, pero brindan orientación. También existe este sitio web: 
http://www.digeca.go.cr/areas/compras-publicas-sustentables
1. DIRECTRIZ DIRIGIDA AL SECTOR PÚBLICO PARA LA TRANSICIÓN HACIA UNA FLOTA VEHÍCULAR ELÉCTRICA O CERO EMISIONES EN EL SECTOR PÚBLICO
2. Regula el uso, consumo y etiquetado del plástico de un solo uso N° 014-MINAE
3.Construcción sostenible en el sector público DIRECTRIZ N° 050-MINAE</t>
  </si>
  <si>
    <t>o Se utilizan canales de comunicación específicos (boletín, sitio web, intranet, medios sociales, etc.) para proporcionar información actualizada o herramientas a los profesionales de las adquisiciones, por lo menos dos veces al año.</t>
  </si>
  <si>
    <t>Mediante capacitaciones virtuales en el 2023 en la página de la DCoP. A partir del 2024 se aprueba el Plan Estratégico de  Profesionalización y Acreditación de las Unidades  de Compra: https://www.hacienda.go.cr/docs/PlanesAprobados.pdf</t>
  </si>
  <si>
    <t>En este tema contamos con el sitio web: https://www.hacienda.go.cr/docs/Capacitaciones.pdf http://www.digeca.go.cr/areas/compras-publicas-sustentables</t>
  </si>
  <si>
    <t>Sección de noticias: 
http://www.digeca.go.cr/noticias                                                      DCoP capacitación: https://www.hacienda.go.cr/docs/Capacitaciones.pdf</t>
  </si>
  <si>
    <t>o Se organizan sesiones de capacitación (pueden ser en línea) por lo menos una vez al año para fomentar la capacidad de los profesionales de la contratación pública en la implementación de CPS.</t>
  </si>
  <si>
    <t>Mediante capacitaciones virtuales en el 2022-2023 en la página de la DCoP. A partir del 2024 se aprueba el Plan Estratégico de  Profesionalización y Acreditación de las Unidades  de Compra: https://www.hacienda.go.cr/docs/PlanesAprobados.pdf</t>
  </si>
  <si>
    <t>https://www.hacienda.go.cr/docs/Capacitaciones.pdf</t>
  </si>
  <si>
    <t>Capacitaciones virtuales en el 2023</t>
  </si>
  <si>
    <t>o Se comparten mejores prácticas o estudios de casos (por lo menos 3) con los profesionales de la contratación pública (estudios elaborados en los últimos 3 años), que pueden incluir la traducción de documentos pertinentes elaborados por otros países.</t>
  </si>
  <si>
    <t>NO</t>
  </si>
  <si>
    <t>o Un servicio de soporte técnico (helpdesk) se propone a los profesionales de adquisiciones públicas.</t>
  </si>
  <si>
    <t>En la Dirección de Contratación Pública tiene entre sus funciones la asesoría y atención de consultas en materia de criterios de compra pública estratégicos y contratación pública.</t>
  </si>
  <si>
    <t>La Ley General de Compra Pública N°9986 y su reglamento 43808-H. El mandato establecido para la coordinación de los asuntos relacionados con los Criterios Sostenibles es el DE-39310-H MINAE-MEIC-MTSS que mediante la Secretaría Técnica del Comité de Compras Públicas Sustentables atiende las consultas relacionadas con este tema no obstante no disponemos de estadísticas sobre las mismas ya que muchas de ellas son atendidas en el proceso de contratación correspondiente.
Las consultas las pueden hacer mediante el correo electrónico: comprasostenible@hacienda.go.cr y en su página Web: https://www.hacienda.go.cr/docs/DireccionContratacionPublica.pdf</t>
  </si>
  <si>
    <t>Las consultas se pueden hacer mediante el correo electrónico: comprasustentables@hacienda.go.cr</t>
  </si>
  <si>
    <t>D: Criterios / normas / requisitos de compra
D(a) + D(b) + D(c)</t>
  </si>
  <si>
    <t>D(a): CRITERIOS AMBIENTALES</t>
  </si>
  <si>
    <t>0.40 pts</t>
  </si>
  <si>
    <t>Si se han recomendado etiquetas para esos productos, ¿qué tipo de etiqueta?
(Opcional)</t>
  </si>
  <si>
    <t>Categorías de productos y servicios comúnmente encontrados
que se utilizará como referencia para la evaluación</t>
  </si>
  <si>
    <t>¿Se han identificado criterios ambientales o se han recomendado normas o etiquetas ambientales para categorías específicas de productos?
En caso afirmativo, se ruega indicar a continuación para cuales categorías,
seleccionando respuestas en las listas desplegables.
Cada categoria se puede listar SOLO UNA VEZ.</t>
  </si>
  <si>
    <t>Por favor, enumere en detalle a continuación
los nombres de los grupos de productos
que entran en la categoría seleccionada en la columna D</t>
  </si>
  <si>
    <t>Etiquetas / Sellos ambientales
(Por favor, seleccione una etiqueta en la lista desplegable)
Si no se menciona en la lista, por favor escríbalo en la  columna siguiente</t>
  </si>
  <si>
    <t>Otro tipo de etiqueta
(por favor indique el tipo de etiqueta o sello)</t>
  </si>
  <si>
    <t>Se ruega proporcionar enlaces a documentos relacionados con las respuestas proporcionadas</t>
  </si>
  <si>
    <t>Categorías #1 a #18
(Basándose en la lista que figura a continuación, se ruega indicar en la columna D las categorías más cercanas a las para que se han definido criterios)</t>
  </si>
  <si>
    <t>Ejemplo:  electronica de oficina</t>
  </si>
  <si>
    <t>Ejemplo: 
monitores, computadoras,  equipo de imagen</t>
  </si>
  <si>
    <t>Ejemplo: ahorro de energía</t>
  </si>
  <si>
    <t>#1</t>
  </si>
  <si>
    <t xml:space="preserve">o Electrodomésticos </t>
  </si>
  <si>
    <t>Equipos de refrigeración electrodomésticos, equipos de refrigeración comerciales y equipos de aires acondicionados.</t>
  </si>
  <si>
    <t>Ahorro de energía</t>
  </si>
  <si>
    <t>Por ejemplo adjuntamos  archivo “Tabla 1 Fichas Luminarias”. Acutalización del SICOP de las fichas D011, visible en el siguiente enlace: https://www.sicop.go.cr/index.jsp</t>
  </si>
  <si>
    <t xml:space="preserve">Directriz 011 MINAE
Equipos de Refrigeración Electrodomésticos.
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 Equipos de Refrigeración Comerciales.
a)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
</t>
  </si>
  <si>
    <t>#2</t>
  </si>
  <si>
    <t>o Productos y equipos de iluminación (incluyendo bombillas, iluminación interior y exterior).</t>
  </si>
  <si>
    <t>Lámparas, fluorescentes y balastros</t>
  </si>
  <si>
    <t>Anexo 4- Directriz 011-MINAE- EQUIPOS LUMINARIAS BAJA EFICIENCIA
Equipos de Iluminación incluye: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</si>
  <si>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#3</t>
  </si>
  <si>
    <t>o Servicios y vehículos de transporte (incluyendo el mantenimiento de la flota)</t>
  </si>
  <si>
    <t>La Directriz 033-MINAE-MOPT: https://www.hacienda.go.cr/docs/Directriz 033-MINAE-MOPTTransicionHaciaFlotaVehicularElectrica.pdf</t>
  </si>
  <si>
    <t>Criterios relativos a la compra de vehiculos, referiendose a la 
DIRECTRIZ DIRIGIDA AL SECTOR PÚBLICO
PARA LA TRANSICIÓN HACIA UNA FLOTA VEHÍCULAR ELÉCTRICA O CERO
EMISIONES EN EL SECTOR PÚBLICO</t>
  </si>
  <si>
    <t>#4</t>
  </si>
  <si>
    <t>o Productos de calefacción, ventilación y refrigeración</t>
  </si>
  <si>
    <t>Por ejemplo adjuntamos archivo “Tabla 1 Fichas Luminarias”. Acutalización del SICOP de las fichas D011, visible en el siguiente enlace: https://www.sicop.go.cr/index.jsp</t>
  </si>
  <si>
    <t>Criterios relativos a la compra de equipos de Aires Acondicionados, referiendose a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</si>
  <si>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Se emite el Acuerdo -09-2022 -MINAE: EL PROGRAMA NACIONAL DE ETIQUETADO AMBIENTAL Y DE EFICIENCIA ENERGÉTICA DE COSTA RICA, CREACIÓN DEL COMITÉ TÉCNICO DE ETIQUETADO AMBIENTAL Y ENERGÉTICO, Alcance 23 a La Gaceta Nº27, 14-02-2023: http://www.digeca.go.cr/sites/default/files/acuerdo_09-2022_la_gaceta.pdf</t>
  </si>
  <si>
    <t>http://www.digeca.go.cr/sites/default/files/acuerdo_09-2022_la_gaceta.pdf</t>
  </si>
  <si>
    <t>D(a)</t>
  </si>
  <si>
    <t>D(b): CRITERIOS SOCIALES / ECONÓMICOS / DE GOBERNANZA</t>
  </si>
  <si>
    <t>Por favor, elija de la lista propuesta a continuación las cuestiones consideradas en la contratación pública
(10 máximo, 0,04 puntos por consideración)</t>
  </si>
  <si>
    <t>Por favor, haga clic en las celdas de abajo, y seleccione las preocupaciones sociales, de gobierno o económicas apropiadas de la lista desplegable</t>
  </si>
  <si>
    <t xml:space="preserve">Por favor, añada cualquier detalle sobre los criterios exactos que haya podido tener en cuenta al dar su respuesta, y que se mencionan en los contratos.	</t>
  </si>
  <si>
    <t xml:space="preserve">Sírvase dar explicaciones detalladas y ejemplos de contratos en cuanto a la forma en que se consideran y en la adquisición de qué servicios o productos. 	</t>
  </si>
  <si>
    <t>Consideraciones #1 a #9:
Lista propuesta de consideraciones sociales</t>
  </si>
  <si>
    <t>Ejemplo: 
Promoción de la igualdad entre los géneros</t>
  </si>
  <si>
    <t>Ejemplo
- Requiere un porcentaje específico de mujeres en el lugar de trabajo
- Promoción de las empresas dirigidas por mujeres</t>
  </si>
  <si>
    <t>o La protección contra los abusos de los derechos humanos (por ejemplo, la discriminación, las condiciones de trabajo inseguras, el trabajo infantil, el trabajo forzoso y la trata de personas)</t>
  </si>
  <si>
    <t>Promoción  de  derechos humanos y  derechos fundamentales de la OIT</t>
  </si>
  <si>
    <t>En los procesos de compra pública sostenible, dentro de los Criterios sociales se promueve los derechos fundamentales de la OIT,dentro de los cuales se destaca la Eliminación de  las Peores Formas de trabajo infantil , y condiciones de salud ocupacional, . Se cuenta con Guía de Criterios Sostenibles de Costa Rica , en donde existes ejemplos de criterios en este campo por producto.  Ejemplo: Como criterio de Admisibilidad  se establece el recordatorio de  la obligación de la empresa de demostrar que  esta libre de trabajo infantil y en el caso de contratar  adolescentes con edad permitida cumplir con las normas establecidas, libre de trabajo peligroso.  Ejemplo 2: Costa Rica se encuentra elaborando (Etapa avanzada) El Sistema de Reconocimiento Laboral Social en el cual se establece la categoría de Prevencion del trabajo infantil , Discapacidad,  Bienestar y condiciones laborales y Adulto Mayor .  Se pretende que estas buenas prácticas ejecutadas por  las empresas sean reconocidas en los  criterios sociales de las compras públicas.  Costa Rica cuenta con la Red de Empresas contra el Trabajo Infantil y algunas empresas cuenta con buenas prácticas en prevención  del Trabajo Infantil.</t>
  </si>
  <si>
    <t>El MTSS participa en el Comité de Compras Públicas sustentables y desde ese espacio apoyó la elaboración de la guía de compras públicas sustentables que se facilita a las proveedurías. No se cuenta con ejemplos de licitaciones. Cada unidad proveedora realiza los procesos de licitación de manera independiente. Se adjunta la Guía de Criterios Sustentables, en página 32, se visualiza criterio social de admisibilidad relativo a la prevención del trabajo infantil y adolescente peligroso. Y se adjunta la guía de Criterios Sociales, donde se destaca la normativa relevante al tema, específicamente página 13 relativo al trabajo infantil. En el 2024 se aprobaron categroias para criterios Sociales con el Sistema de Reconocimientos Socialaborales Somos + SIRESOL, se puede visualizar en el siguiente enlace: https://www.mtss.go.cr/seguridad-social/siresol.html</t>
  </si>
  <si>
    <t>guía de compras públicas sustentables  p.32. SIRESOL: https://www.mtss.go.cr/seguridad-social/siresol.html</t>
  </si>
  <si>
    <t>o La protección y promoción de los grupos en situación de riesgo (por ejemplo, las minorías, los pueblos indígenas, las personas con discapacidad, los trabajadores migrantes) mediante la inclusión social, que puede incluir oportunidades de empleo.</t>
  </si>
  <si>
    <t>Promoción oportunidades de empleo para personas con discapacidad y en edad media</t>
  </si>
  <si>
    <t>Costa Rica  cuenta con una Politica Nacional en materia compras públicas sostenibles  en el cual se enfatiza en la protección de las personas que elaboran los servicios y productos que compra el Estado. Destacando la importancia de reconocer las buenas prácticas en generación de empleo y no discriminación de grupos vulnerables tales como personas con discapacidad, adulto medio, adulto mayor. Además cuenta con una guía de criterios sustentables donde se incorporan lineamientos generales para promover y proteger población trabajadora con discapacidad, personas trabajadoras  en edad media y adulto  mayor. En los procecos de compra pública sostenible (carteles) se incorporan criterios de  Discapacidad y adulto medio.                                                                                                                                                                              Ejemplo 1 Criterio: Inserción laboral para persona con edad igual o superior a 45 años. Mecanismo de Verificación: La empresa oferente deberá demostrar que durante los seis meses anteriores a la fecha de apertura de las ofertas, ha contado en su nómina,  con personas con edad igual o superior a 45 años,  en un porcentaje de al menos el 15% de su planilla durante ese periodo, de manera consecutiva. Ejemplo 2: Criterio:  Empresa o institución contempla en sus políticas de contratación personas con discapacidad. Mecanismo de Verificación: Mediante certificación del Consejo Nacional de Personas con Discapacidad (CONAPDIS) deberá demostrar que durante los  seis meses anteriores a  la fecha de la apertura de las oferta , ha contado con personal con discapacidad . Demostrar  la continuidad de la relación laboral de las personas en esa condición .</t>
  </si>
  <si>
    <t>Se adjunta la Guía de Criterios Sustentables, en página 35, se visualiza criterio social relativo a la contratación de personas con discapacidad. No se cuenta con ejemplos de licitaciones de las poblaciones mencionadas.
El criterio de Adulto medio fue promovido por el Ministerio de Hacienda posterior a la construcción de la guía, por lo cual no está contemplado en ese instrumento .
Por ejemplo para la promoción del adulto mayor se puede ver el archivo “Cartel de llantas” en la página 18, en el cual se estipula el porcentaje otorgado a las empresas por cumplir con la Inserción laboral para personas con edad igual o superior a los 40 años.</t>
  </si>
  <si>
    <t>guía de compras públicas sustentables  p.35</t>
  </si>
  <si>
    <t>o La promoción del respecto de las normas de la OIT y el trabajo decente</t>
  </si>
  <si>
    <t>Promoción  del trabajo decente en las empresas y  derecho a la seguridad social en el marco convenio 102, ratificado por el país.</t>
  </si>
  <si>
    <t xml:space="preserve">En los procesos de compras públicas se incorporan criterios de admisibilidad garantes de los derechos fundamentales y trabajo digno de los trabajadores que elaboran los productos y servicios que compra el Estado. Garantizando el acceso a salario mínimo, pagar cargas sociales de la Caja Costarricense de Seguro Social (CCSS).(seguro enfermedad, maternidad, vejez). Fondo de Desarrollo y Asignaciones Familiares. Seguro de riesgos del Trabajo. Incorporación de cláusulas en el Contrato(cartel)  que fomentan  condiciones laborales dignas, tanto desde el tipo de empresas que ofertarán, como  durante la administración del contrato, incluidas las empresas subcontratistas. En los  Criterios de Admisibilidad, se indica a la Empresa las Obligaciones laborales y de seguridad social, como parte del cumplimiento de la legislación laboral del país. Así como asegurar el cumplimiento por parte de las empresas subcontratadas. Se cuenta como apoyo de la “Guía de criterios sociales en los procesos de contratación”.  En la cual se brindan ejemplos de obligaciones laborales y de seguridad social que deben considerarse en la contratación.
El MTSS a petición de la empresa otorga certificaciones de cumplimiento de legislación laboral.
</t>
  </si>
  <si>
    <t>Se adjunta la Guía de Criterios Sustentables, en página 21 se dan ejemplos de criterios sociales de admisibilidad relativos a obligaciones laborales y sociales en temas como póliza de riesgos y pago de pago de sus obligaciones con el Fondo de Desarrollo y Asignaciones Familiares (FODESAF).
Y se adjunta la guía de Criterios Sociales, donde se destaca la normativa laboral y social obligatoria referente a cargas sociales como seguro obligatorio (CCSS) páginas 9 y 10.</t>
  </si>
  <si>
    <t>guía de compras públicas sustentables  p.21</t>
  </si>
  <si>
    <t>o La promoción de la igualdad de género (por ejemplo, mediante la promoción de empresas dirigidas por mujeres, o exigiendo un determinado porcentaje de mujeres en el lugar de trabajo)</t>
  </si>
  <si>
    <t>Promoción de Buenas Prácticas de Equidad de Género</t>
  </si>
  <si>
    <t>Se incluye en los procesos de compras públicas sostenibles  de Costa Rica  en criterios sociales ,la Equidad de género El “Sello de Igualdad de Género” del INAMU se otorga a organizaciones, públicas o privadas, con o sin fines de lucro e independientemente de su tamaño y actividades, que cuente con un Sistema de Gestión certificado con respecto a la norma INTE 38-01-01 Sistema de Gestión para la Igualdad de Género en el Ámbito Laboral y con el Esquema para la Certificación de los Sistemas de Gestión para la Igualdad de Género en el Ámbito Laboral. Mecanismo de Verificación: Presentación de Certificado de Norma INTE 38-01-01:2013 Sistema de Gestión de Igualdad y Equidad de Género)</t>
  </si>
  <si>
    <t xml:space="preserve">Se adjunta la Guía de Criterios Sustentables, en página 35 se visualiza  criterio social relativos al sello de igualdad y Equidad de Género. </t>
  </si>
  <si>
    <t>#5</t>
  </si>
  <si>
    <t>o La promoción de las PYMES</t>
  </si>
  <si>
    <t xml:space="preserve">−	Decreto Ejecutivo N° 42709-H-MEIC-MTSS-MICITT, “Medidas para incentivar la participación de empresas, pyme y empresas de la economía social en las compras públicas de la administración, según criterios de localización y sostenibilidad”, 09 de octubre de 2020: en el numeral primero se indica el objetivo del decreto, el cual busca incentivar a las empresas, formalmente constituidas, a participar en las compras públicas según su ubicación geográfica, de manera que puedan generar empleo y progreso en regiones de menor desarrollo socioeconómico. </t>
  </si>
  <si>
    <t>Ley General de Compra Pública N°9986 y su reglamento fomenta la participación de las pymes en procesos de compra pública</t>
  </si>
  <si>
    <t>Ley GCP: SECCIÓN 11
Participación de las pequeñas y medianas empresas (pymes)
ARTÍCULO 23- pymes Estrategias y políticas para fomentar la participación de las pymes. Reglamento LGCP: Artículo 46. Objetivos de Contratación Pública Estratégica, inciso a) El desarrollo social equitativo nacional y local, promoviendo entre otros, el accesode las PYMES a la contratación pública, la reducción de la pobreza y la generaciónde empleo local y nacional. y SECCIÓN III PARTICIPACIÓN DE LAS PEQUEÑAS Y MEDIANAS EMPRESAS (PYMES) Artículo 72. Fomento a las PYMES. Decreto Ejecutivo 
N°37783-MP Fondo de fomento de a productivas y de organización de las mujeres (FOMUJERES).</t>
  </si>
  <si>
    <t>https://www.hacienda.go.cr/docs/ReglamentoaLeyGeneralContratacionPublicaN43808.pdf</t>
  </si>
  <si>
    <t>#6</t>
  </si>
  <si>
    <t>o La promoción de una conducta comercial responsable de parte de los proveedores</t>
  </si>
  <si>
    <t>Promoción  de la compras públicas sustentables  y de incorporación de criterios sociales</t>
  </si>
  <si>
    <t xml:space="preserve">Para el periodo 2023 la DCoP logró  capacitar en materia de compras públicas estratégicas a 10 730 personas capacitadas (14 eventos)
https://www.hacienda.go.cr/docs/ 2.EstadisticasParticipacion2023.pdf
 </t>
  </si>
  <si>
    <t>RLGCP Artículo 46. Objetivos de Contratación Pública Estratégica, La Autoridad de Contratación Pública deberá impulsar las estrategias y normas para fomentar la conducta empresarial responsable, en coordinación con el Ministerio de Economía, Industria y Comercio, asimismo se contará con un Comité de Compra Pública Estratégica el cual fungirá como órgano asesor de la Autoridad de Contratación Pública y coadyuvante de la Dirección de Contratación Pública en materia de compra pública estratégica y se regulará mediante Decreto.</t>
  </si>
  <si>
    <t>Guia Criterios Sociales en los Procesos de Contratacion Pulica de Costa Rica , CEGESTI, Ministerio de Hacienda (2014) -Tabla de contenido
1.1 Alcance de la guía
2. Obligaciones laborales y de seguridad social
2.1 Obligaciones laborales y de seguridad social
2.2 Riesgos del trabajo
3. Condiciones laborales
3.1 Salud ocupacional
2.5 Salarios
2.6 Duración de jornadas laborales
2.7 Trabajo infantil y adolescente
2.8 Discriminación
2.10 Acceso a formación
2.13 Contratación de extranjeros en condición irregular
2.12 Apoyo a Pymes
2.12 Seguimiento durante la administración del contrato
3. Promoción de oportunidades de empleo</t>
  </si>
  <si>
    <t>#7</t>
  </si>
  <si>
    <t>#8</t>
  </si>
  <si>
    <t>#9</t>
  </si>
  <si>
    <t>Consideración #10:
Se puede agregar un ítem de la lista anterior, u otra consideración, que no caiga dentro de las ya listadas (por favor escriba el nombre de esa consideración en la celda #D71)</t>
  </si>
  <si>
    <t>#10</t>
  </si>
  <si>
    <t>D(b)</t>
  </si>
  <si>
    <t>D(c): EVALUACIÓN DEL RIESGO Y PRIORIZACIÓN DEL IMPACTO</t>
  </si>
  <si>
    <t>Proporcione por favor enlaces a documentos relevantes que detallen la evaluación de riesgos o el proceso de priorización de impactos</t>
  </si>
  <si>
    <t>Se ha realizado un análisis de evaluación de riesgos para determinar qué producto o servicio mostraría el mayor potencial de impacto ambiental (y/o social), y se ha dado prioridad al establecimiento de criterios para esas categorías en primer lugar.</t>
  </si>
  <si>
    <t>NO, no se ha realizado ningún análisis de evaluación de riesgos</t>
  </si>
  <si>
    <t>Información suministrada por DIGECA, MINAE.</t>
  </si>
  <si>
    <t>D(c)</t>
  </si>
  <si>
    <t>D</t>
  </si>
  <si>
    <t>E: Existencia de un sistema de monitoreo de CPS</t>
  </si>
  <si>
    <t>Proporcione más detalles para E (a) y E (b) en esta columna:</t>
  </si>
  <si>
    <t>Please add links or references to relevant proofs</t>
  </si>
  <si>
    <t>E a) Supervisión de la implementación de la política / plan de acción de la CPS</t>
  </si>
  <si>
    <t>Please indicate the aspects of the action plan / policy monitored, and the set target (if applicable)</t>
  </si>
  <si>
    <t xml:space="preserve"> 1. ¿Se supervisa el progreso de la  implementación de la política / del plan de acción de CPS?
(En caso afirmativo,  proporcione por favor más detalles en la columna E)</t>
  </si>
  <si>
    <t>SÍ, se monitorea el progreso del plan de acción / política de CPS</t>
  </si>
  <si>
    <t>Se realizó a través del Plan de Trabajo del Comité Directivo Nacional de Compras Públicas Sustentables en forma semestral (Ver Anexo No. 7)</t>
  </si>
  <si>
    <t>INFORME DE CONTRATACIONES CON CRITERIOS DE COMPRA
PÚBLICA ESTRÁTEGICA AL I SEMESTRE DEL 2023</t>
  </si>
  <si>
    <t>https://www.hacienda.go.cr/docs/InformeCPEConcriteriossosteniblesISemestre2023.pdf</t>
  </si>
  <si>
    <t>2. ¿Se ha fijado una meta específica para la implementación de las adquisiciones sostenibles?
(por ejemplo, el porcentaje de contratos "verdes" o socialmente responsables)</t>
  </si>
  <si>
    <t>Se realizan estudios exploratorios para identificar el uso de los criterios de compra pública estratégica.</t>
  </si>
  <si>
    <t>3.¿Se supervisa el progreso hacia el logro de esta meta?</t>
  </si>
  <si>
    <t>E b) Monitoreo de la  implementación de CPS</t>
  </si>
  <si>
    <t>0.60 pts</t>
  </si>
  <si>
    <t>Please indicate the data monitored (Which information do you monitor? does monitoring apply to all categories of products/services?)
 and how monitoring is carried out.</t>
  </si>
  <si>
    <t>1. ¿Se monitorea el número y/o el valor de los contratos que incluyen requisitos de sostenibilidad?
(En caso afirmativo, proporcione por favor más detalles sobre los datos supervisados, en la columna E)</t>
  </si>
  <si>
    <t>2. ¿El monitoreo también incluye la medición de los impactos de sostenibilidad?
(como el monitoreo de la reducción de las emisiones de CO2, o la creación de empleos verdes)</t>
  </si>
  <si>
    <t>3. ¿Cómo se monitorean los datos? (Elija la opción más adecuada)
o A través de encuestas, autoevaluación o informes tradicionales a la jerarquía, O;
o A través de auditoría interna / externa, O;
o A través de un sistema de información, O;
o A través de una elaborada plataforma de contratación electrónica.</t>
  </si>
  <si>
    <t>NO monitoreo</t>
  </si>
  <si>
    <t>E</t>
  </si>
  <si>
    <t>F: Porcentaje de adquisiciones públicas sostenibles</t>
  </si>
  <si>
    <t>Año de referencia
(se puede cambiar  si es diferente)</t>
  </si>
  <si>
    <t>Por favor, introduzca los valores solicitados en las celdas de abajo</t>
  </si>
  <si>
    <t>CATEGORÍAS DE ADQUISICIONES
****
Por favor, copie/pegue debajo las categorías de gastos de adquisición pública utilizadas por su gobierno</t>
  </si>
  <si>
    <t>Por favor indique el valor total de los contratos
que incluyeron requisitos de sostenibilidad al adquirir las categorías de adquisición que enumeró en la columna B en el año 2018 o en 2019, si los datos ya están disponibles</t>
  </si>
  <si>
    <t>Indique por favor el valor total de todos los contratos de adquisición
(no sostenible + "sostenible") correspondiendo a la categoría que figura en la columna B
(PREGUNTA OPCIONAL)</t>
  </si>
  <si>
    <t>Proporcione por favor más detalles sobre lo que se considera una adquisición pública "sostenible"</t>
  </si>
  <si>
    <t>Porcentaje indicativo de CPS por categoría de adquisición
(este porcentaje no se utiliza en el cálculo,
sólo se muestra a título informativo)</t>
  </si>
  <si>
    <t xml:space="preserve">Se aplicaría a los 3 Convenios Marco que estaban en ejecución en el 2018 los cuales son los siguientes:
-	Convenio Marco para la adquisición de Útiles y materiales de oficina.
-	Convenio Marco para la adquisición de suministro de papel, cartón y litografía
-	Convenio Marco para la adquisición de mobiliario de oficina y equipo escolar. </t>
  </si>
  <si>
    <t>1. Servicios de Seguridad y Vigilancia Física N° 2018LN-000007-0009100001</t>
  </si>
  <si>
    <t>Los datos corresponden solamente a las  transacciones  realizadas por las Instituciones Usuarias que han  utilizado los convenios marco durante el año 2023., por cuanto se disponia de la información correspondiente Compra por catálogo / Convenios Marco Gobierno Central se puede visualizar: https://www.sicop.go.cr.</t>
  </si>
  <si>
    <t>2. Servicios de Infraectructura con Fondos Propios  N°  2020LN-000002-0009100001</t>
  </si>
  <si>
    <t>3. Convenio Marco de Servicios Generales de Limpieza N°  2018LN-000008-0009100001</t>
  </si>
  <si>
    <t>4. Adquisición Mobiliario de Oficina y Escolar N° 2020LN-000009-0009100001</t>
  </si>
  <si>
    <t>5.. Adquisición de Suministros y Mat. De Limpieza  N° 2019LN-000005-0009100001</t>
  </si>
  <si>
    <t>6. Llantas para vehículos, camiones y motocicletas N° 2018LN-000006-0009100001</t>
  </si>
  <si>
    <t>7. Adquisición Mat. Construcción, Eléct. Ferr.y Herram.  N° 2020LN-000003-0009100001</t>
  </si>
  <si>
    <t>8. Adquisión de Papel, Cartón y Litografía N° 2017LN-000004-0009100001</t>
  </si>
  <si>
    <t>9. Suministro de Útiles de Oficina N° 2017LN-000005-0009100001</t>
  </si>
  <si>
    <t>10.  ------u.l.---------</t>
  </si>
  <si>
    <t>Valor de la
Contratación pública sostenible
(Federal / Nacional)</t>
  </si>
  <si>
    <t>Valor total de la
Contratación Pública Federal / Nacional
(proporcionado en la hoja "Página de inicio", celda # C18)</t>
  </si>
  <si>
    <t>Fuente: Ministerio de Hacienda</t>
  </si>
  <si>
    <t>12.7.1 Grado de aplicación de políticas y planes de acción sostenibles en materia de adquisiciones públicas</t>
  </si>
  <si>
    <t xml:space="preserve">Costa Rica: Evaluación de implementación de compras públicas sostenibles por criterio de evaluación, 2023 
Costa Rica: Valor de la contratación pública, 2023 
Costa Rica: implementación de políticas y planes de acción de Compras Públicas Sostenibles en el gobierno nacional  </t>
  </si>
  <si>
    <t>Contratación Pública Sostenible (SPP): La Contratación Pública Sostenible es un "Un proceso mediante el cual las organizaciones públicas satisfacen sus necesidades de bienes, servicios, obras y servicios públicos de una manera que logra una buena relación calidad-precio en todo el ciclo de vida en términos de generar beneficios no solo para la organización, sino también para la sociedad y la economía, al tiempo que reduce significativamente los impactos negativos en el medio ambiente" (Definición actualizada por el Comité Asesor de Múltiples Partes Interesadas del Programa 10YFP SPP) .</t>
  </si>
  <si>
    <t xml:space="preserve">Sobre la base de la lista de contactos de puntos focales identificados en la redacción de las fichas informativas nacionales de SPP 2017 y del marco de programas de 10 años de One Planet sobre patrones de consumo y producción sostenibles,  se estableció contacto con representantes de más de 70 países de  septiembre a noviembre de 2020 para identificar puntos focales relevantes para la recopilación de datos del ODS 12.7.1
Para facilitar el esfuerzo de recopilación de datos y el proceso de informes,  se diseñó una herramienta de cálculo basada en Microsoft Excel® para recopilar entradas, junto con instrucciones de informes en PDF y preguntas frecuentes. Este formulario basado en Excel® proporciona un conjunto de respuestas para cada pregunta, que deben estar respaldadas por evidencia (documento de política, directrices de adquisición que incluyen criterios de sostenibilidad, legislación habilitante, capacitaciones,  contratos "verdes", etc.). 
A fin de evaluar el "número de países que implementan una política y planes de acción de contratación pública sostenibles",  se ha establecido un umbral específico por encima del cual se considerará que un país tiene una política o plan de acción de SPP sólido  , para determinar si este país se considerará que cumple con el indicador en el cálculo final del indicador 12.7.1 de los ODS  .
Se propone que esta evaluación se base en la evaluación del nivel, alcance y exhaustividad de implementación de SPP de un gobierno nacional, a través  de la evaluación de 6 parámetros específicos (descritos en la tabla a continuación), que conducirá al cálculo de un puntaje de implementación de SPP del gobierno.
Descripción de los parámetros y puntuación utilizados para la evaluación de la implementación de SPP
Parámetros y subindicadores
A	Existencia de un plan de acción/política de SPP y/o requisitos reglamentarios de SPP.
0 significa que no existe una política de SPP, 1 significa la existencia de un plan de acción de SPP, una política y / o requisitos reglamentarios de SPP a nivel nacional, local o ambos.
B	Marco normativo de la contratación pública propicio para la contratación pública sostenible.
C	Apoyo práctico brindado a los profesionales de la contratación pública en la implementación de SPP.
D	Criterios de compra de SPP / estándares de compra / requisitos.
E	Existencia de un sistema de monitoreo SPP.
F	Porcentaje de compra sostenible de productos/servicios prioritarios.
Grupos de clasificación de implementación de SPP
Nivel 0: Datosinsuficientes o implementación insuficiente de  la política/plan de acción de SPP (puntuación de implementación de  SPP  inferior a 1), por lo tanto, no cumple con el nivel de  implementación establecido  esperado  .
------------------------------------------                     Umbral         --------------------------------------------------------
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</si>
  <si>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 xml:space="preserve">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</si>
  <si>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Gobierno central (Ministerios y órganos adscritos)</t>
  </si>
  <si>
    <t>Ministerio de Hacienda/ SICOP</t>
  </si>
  <si>
    <t>Finales del año 2022 entrá en vigencia la nueva Ley de Contratación Pública con la incorporación de criterios de compra pública estrátegica (ambientales, económicos, sociales, innovación)</t>
  </si>
  <si>
    <t>David Morales Lezcano</t>
  </si>
  <si>
    <t>Jefe, Departamento de Compra Pública Estratégica</t>
  </si>
  <si>
    <t>Ministerio de Hacienda-Dirección de Contratación Pública (DCoP)</t>
  </si>
  <si>
    <t>2539 6216</t>
  </si>
  <si>
    <t>moralesld@hacienda.go.cr</t>
  </si>
  <si>
    <t xml:space="preserve">Costa Rica: Inclusión o no de la educación cívica, el desarrollo sostenible (Ambiente), en  las políticas nacionales, planes de estudio, formación de profesorado y evaluación de estudiantes. </t>
  </si>
  <si>
    <t xml:space="preserve">Costa Rica: Inclusión o no de la educación cívica, el desarrollo sostenible (Ambiente), en  las políticas nacionales, </t>
  </si>
  <si>
    <t>planes de estudio, formación de profesorado y evaluación de estudiantes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</si>
  <si>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</si>
  <si>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</si>
  <si>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r>
      <rPr>
        <b/>
        <sz val="11"/>
        <rFont val="Open Sans Condensed"/>
      </rPr>
      <t>EN CONCORDANCIA CON EL INDICADOR</t>
    </r>
    <r>
      <rPr>
        <sz val="11"/>
        <rFont val="Open Sans Condensed"/>
      </rPr>
      <t xml:space="preserve"> 4.7.1</t>
    </r>
  </si>
  <si>
    <t>Las cuatro temáticas principales: ciudadanía mundial, desarrollo sostenible, igualdad de géneros y derechos humanos se abordan en los cuatro fines las políticas nacionales de educación, los planes de estudio, la formación del Y CERTIFICACIÓN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ABORDADOS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</si>
  <si>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rFont val="Open Sans Condensed"/>
      </rPr>
      <t xml:space="preserve">  
i = </t>
    </r>
    <r>
      <rPr>
        <sz val="11"/>
        <rFont val="Open Sans Condensed"/>
      </rPr>
      <t>representa la</t>
    </r>
    <r>
      <rPr>
        <b/>
        <sz val="11"/>
        <rFont val="Open Sans Condensed"/>
      </rPr>
      <t xml:space="preserve"> Temática</t>
    </r>
    <r>
      <rPr>
        <sz val="11"/>
        <rFont val="Open Sans Condensed"/>
      </rPr>
      <t xml:space="preserve">, las cuales son:
• Ciudadanía mundial
• Desarrollo sostenible
• Igual de géneros 
• Derechos humanos.
</t>
    </r>
    <r>
      <rPr>
        <b/>
        <sz val="11"/>
        <rFont val="Open Sans Condensed"/>
      </rPr>
      <t xml:space="preserve">n = </t>
    </r>
    <r>
      <rPr>
        <sz val="11"/>
        <rFont val="Open Sans Condensed"/>
      </rPr>
      <t>representa</t>
    </r>
    <r>
      <rPr>
        <b/>
        <sz val="11"/>
        <rFont val="Open Sans Condensed"/>
      </rPr>
      <t xml:space="preserve"> </t>
    </r>
    <r>
      <rPr>
        <sz val="11"/>
        <rFont val="Open Sans Condensed"/>
      </rPr>
      <t>los</t>
    </r>
    <r>
      <rPr>
        <b/>
        <sz val="11"/>
        <rFont val="Open Sans Condensed"/>
      </rPr>
      <t xml:space="preserve"> Fines,</t>
    </r>
    <r>
      <rPr>
        <sz val="11"/>
        <rFont val="Open Sans Condensed"/>
      </rPr>
      <t xml:space="preserve"> las cuales son:
• Políticas nacionales de educación 
• Planes de estudio 
• Formación del profesorado 
• Evaluación de los estudiantes.</t>
    </r>
  </si>
  <si>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Grado en que i) la educación para la ciudadanía mundial y ii) la educación para el desarrollo sostenible se incorpora en a) las políticas nacionales de educación, b) los planes de estudio, c) la formación del profesorado y d) la evaluación de los estudiantes.</t>
  </si>
  <si>
    <t xml:space="preserve">Costa Rica: Capacidad instalada en generación de energía </t>
  </si>
  <si>
    <t>Costa Rica: Capacidad instalada en generación de energía renovable, 2012-2023</t>
  </si>
  <si>
    <t>renovable, vatios per cápita</t>
  </si>
  <si>
    <t>Fuente: Banco Central de Costa Rica, con datos del Centro Nacional de Control de Energía, Instituto Costarricense de Electricidad (ICE), Instituto Nacional de Estadística y Censo (INEC).</t>
  </si>
  <si>
    <t>Costa Rica: Número de intervenciones públicas (políticas o planes) de turismo sostenible que incluyen instrumentos de seguimiento y evaluación</t>
  </si>
  <si>
    <t xml:space="preserve">Costa Rica: Número de intervenciones públicas </t>
  </si>
  <si>
    <t xml:space="preserve">(políticas o planes) de turismo sostenible que </t>
  </si>
  <si>
    <t>incluyen instrumentos de seguimiento y evaluación</t>
  </si>
  <si>
    <t>2017-2021</t>
  </si>
  <si>
    <t>2022-2027</t>
  </si>
  <si>
    <t>Nota: Plan Nacional de Desarrollo Turístico 2017-2021
Plan Nacional de Turismo de Costa Rica 2022-2027</t>
  </si>
  <si>
    <t>https://www.ict.go.cr/en/documents/plan-nacional-y-planes-generales/plan-nacional-de-desarrollo/1071-plan-nacional-de-desarrollo-turistico-2017-2021/file.html</t>
  </si>
  <si>
    <t>https://www.ict.go.cr/pdf/Plan%20nacional%20de%20turismo%202022-2027.pdf</t>
  </si>
  <si>
    <t>Fuente: Instituto Costarricense de Turismo, 2021</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</si>
  <si>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</si>
  <si>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</si>
  <si>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</si>
  <si>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Cada 4 años, según administración presidencial.</t>
  </si>
  <si>
    <t>Instituto Costarricense de Turismo</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</si>
  <si>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</si>
  <si>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</si>
  <si>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</si>
  <si>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</si>
  <si>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</si>
  <si>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</si>
  <si>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12.c.1 Cantidad de subsidios a los combustibles fósiles por unidad de PIB (producción y consumo)</t>
  </si>
  <si>
    <t>Costa Rica: Cantidad de Subsidios a los combustibles fósiles por unidad de PIB</t>
  </si>
  <si>
    <t>(moneda local, nominal, millones)</t>
  </si>
  <si>
    <t>Rubro</t>
  </si>
  <si>
    <t>2016</t>
  </si>
  <si>
    <t>2017</t>
  </si>
  <si>
    <t>2018</t>
  </si>
  <si>
    <t>2019</t>
  </si>
  <si>
    <t>2020</t>
  </si>
  <si>
    <t>2021</t>
  </si>
  <si>
    <t>Monto total en subsidios</t>
  </si>
  <si>
    <t>PIB</t>
  </si>
  <si>
    <t>Subsidios a los combustibles fósiles como porcentaje del PIB</t>
  </si>
  <si>
    <t>Fuente: Ministerio de Ambiente y Energía, Secretaría de Planificación Sectorial de Energía</t>
  </si>
  <si>
    <t>https://unstats.un.org/sdgs/metadata/files/Metadata-12-0c-01.pdf</t>
  </si>
  <si>
    <t>Cantidad de Subsidios a los combustibles fósiles por unidad de PIB</t>
  </si>
  <si>
    <t>1.	Nombre del subsidio: Exención del Impuesto Único a los combustibles a bunkeres internacionales. 
Descripción del subsidio: La Ley 8114, "Ley de Simplificación y Eficiencia Tributarias", establece un impuesto único por tipo de combustible, tanto de producción nacional como importado, en colones por litro. Se exceptúa del pago de este impuesto a líneas aéreas y los buques mercantes o de pasajeros en líneas comerciales, todas de servicio internacional.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volúmenes de combustible usados para el cálculo en este sector: https://www.recope.go.cr/productos/ventas/ . Estudio sobre gasto tributario: https://www.hacienda.go.cr/Documentos/MasDetalles/DocumentosVarios/Estudio%20Gasto%20Tributario%20Costa%20Rica%202020.pdf"	
Alcance de los datos informados: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Combustible para aviones tipo queroseno	
Destinatario: Consumo 	
Incidencia: Consumo Directo	
Comentario: 
Millones de colones
2.	Nombre del subsidio: Exención del Impuesto Único a los combustibles a la Asociación Cruz Roja Costarricense	
Descripción: La Ley 8114, ""Ley de Simplificación y Eficiencia Tributarias"", establace un impuesto único por tipo de combustible, tanto de producción nacional como importado, en colones por litro. Se exceptúa del pago de este impuesto a la Asociación Cruz Roja Costarricense.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3.	Nombre del subsidio: Exención del Impuesto Único a los combustibles a la a Flota de pescadores nacionales de pesca no deportiva Ley 7384	
Descripción: La Ley 8114, ""Ley de Simplificación y Eficiencia Tributarias"", establace un impuesto único por tipo de combustible, tanto de producción nacional como importado, en colones por litro. Se exceptúa del pago de este impuesto a la Flota de pescadores nacionales de pesca no deportiva.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cálculo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4.	Nombre del subsidio: Exención del Impuesto Único a los combustibles destinados a la exportación	
Descripción: La Ley 8114, ""Ley de Simplificación y Eficiencia Tributarias"", establace un impuesto único por tipo de combustible, tanto de producción nacional como importado, en colones por litro. Se exceptúa del pago de este impuesto a los combustibles destinados a la exportación.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5.	Nombre del subsidio: Exención del Impuesto Único a los combustibles destinados a misiones diplomáticas y organismos internacionales	
Descripción: La Ley 8114, ""Ley de Simplificación y Eficiencia Tributarias"", establace un impuesto único por tipo de combustible, tanto de producción nacional como importado, en colones por litro. Se exceptúa del pago de este impuesto a los combustibles destinados a misiones diplomáticas y organismos internacionales.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6.	Nombre del subsidio: Exención del Impuesto Único a los combustibles destinados a la Refinadora Costarricense de Petróleo (RECOPE)	
Descripción: La Ley 8114, ""Ley de Simplificación y Eficiencia Tributarias"", establace un impuesto único por tipo de combustible, tanto de producción nacional como importado, en colones por litro. Se exceptúa del pago de este impuesto a los combustibles destinados a la Refinadora Costarricense de Petróleo (RECOPE).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Incluir informacion de por que no hay datos aquí
7.	Nombre del subsidio: Exención de combustibles para empresas constructoras
Descripción: Exoneración del impuesto único a los combustibles a empresas constructoras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Comentarios: Millones de colones
8.	Nombre del subsidio: Exención en otros usos de combustibles	
Descripción: Exoneración del impuesto único a los combustibles a otros usos.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Comentarios: Millones de colones
9.	Nombre del subsidio: Exención en combustibles para bomberos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 Millones de colones
10.	Nombre del subsidio: Exención de combustibles para instituciones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 Millones de colones
11.	Nombre del subsidio: Diferencial del cálculo base de facturación real al diésel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Subtipos de combustibles: Aceites de petróleo y aceites obtenidos de materias bituminosas, excepto crudos; preparaciones n.c.p. con un contenido de estos aceites superior o igual al 70 % en peso, siendo estos aceites los constituyentes básicos de los preparados	
Destinatario: Consumo 	
Incidencia: Consumo Directo	
Comentario: Millones de colones
12.	Nombre del subsidio: Diferencial del cálculo base de facturación real a la gasolina regular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 de combustible: gasolina de motor	
Destinatario: Consumo 	
Incidencia: Consumo Directo	
Comentarios: Millones de colones
13.	Nombre de subsidio: Diferencial de precios del Fuel Oil No.6 (búnker C)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calculo de la exoneración se debe utilizar el valor exonerado en el siguiente enlace: https://aresep.go.cr/datos-abiertos/tarifas-de-combustibles  Y los volumenes de venta bunker C: https://www.recope.go.cr/productos/ventas/"	
Estado: En curso	
Tipología / Categoría / Subcategoría: Transferencias inducidas	TRANSFERENCIAS INDUCIDAS - Apoyo a los precios, incluso a través de la regulación del mercado	
Tipo de combustibles: Productos derivados del petróleo	
Subtipo de combustibles: Aceites combustibles n.c.o.p.	
Destinatario: Consumo 	
Incidencia: Consumo Directo	
Comentarios: Millones de colones
14.	Nombre del subsidio: Diferencial de precios de gas licuado de petróleo (GLP)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cálculo de la exoneración se debe utilizar el valor exonerado en el siguiente enlace: https://aresep.go.cr/datos-abiertos/tarifas-de-combustibles Y los volumenes de venta GLP: https://www.recope.go.cr/productos/ventas/"	
Estado: En curso	
Tipología / Categoría / Subcategoría: Transferencias inducidas	TRANSFERENCIAS INDUCIDAS - Apoyo a los precios, incluso a través de la regulación del mercado	
Tipo de combustible: Productos derivados del petróleo	
Subtipo de combustible: Propano y butanos, licuados	
Destinatario: Consumo 	
Incidencia: Consumo Directo	
Comentarios: Millones de colones
15.	Nombre del Subsidio: Subsidio a la electricidad para consumidores de menos de 280 kwh - Mes facturado	
Descripción: La Ley No. 9635"Ley del Fortalecimiento de las finanzas públicas", se genera la exenciones al pago del impuesto sobre el valor agregado en la venta de bienes y en la prestación de servicios, al suministro de energía eléctrica residencial, siempre que el consumo mensual sea igual o inferior a 280 kW/h (por mes facturado); cuando el consumo mensual exceda de los 280 kW/h, el impuesto se aplicará al total de kW/h consumido. 	
Nivel: Central/ Federal	
Fuentes: La Ley No. 9635""Ley del Fortalecimiento de las finanzas públicas"  http://www.pgrweb.go.cr/scij/Busqueda/Normativa/Normas/nrm_texto_completo.aspx?param1=NRTC&amp;nValor1=1&amp;nValor2=87720&amp;nValor3=130860&amp;param2=2&amp;strTipM=TC&amp;lResultado=19&amp;strSim=simp Estudio sobre gasto tributario: https://www.hacienda.go.cr/Documentos/MasDetalles/DocumentosVarios/Estudio%20Gasto%20Tributario%20Costa%20Rica%202020.pdf
Nivel: En curso	
Tipología / Categoría / Subcategoría: Gastos tributarios	GASTOS FISCALES - Exenciones fiscales e ingresos no percibidos	
Tipo de combustible: Electricity	
Subtipo de combustible: Energía eléctrica	
Destinatario: Consumo 	
Incidencia: Consumo Directo	
Comentario: Es un ingreso no percibido, dado que no se cobra el impuesto a los usuarios de electricidad con bajo consumo. En Costa Rica la generación de electricidad se hace partir de energías renovables y sólo un pequeño porcentaje con combustibles fósiles (menos del 2 % en los últimos 5 año), por lo que esta exención es pequeña. Before the enactment of Law No. 9635, electricity was exempt up to a consumption of 250 kWh and now the exempt consumption rises to 280 kWh, when the monthly consumption exceeds this amount, the tax rate is applied to the total consumed."
16.	Nombre del subsidio: Deducción fiscal en el impuesto de la propiedad para algunos vehículos	
Descripción: Este tipo de subsidio puede ser cuestionado, pero bueno incluirlo. Aquí hay que determinar que tipo de vehículos recibe este subsidio, cual es la base de calculo (de cuanto es la deducción y respecto a que base), la base regulatoria, etc.
Nivel: Central/ Federal			
Estado: En curso			
Tipo de combustible: Productos derivados del petróleo		
Destinatario: Consumo 	
Incidencia: Consumo Directo	
Comentario: Incluir información de por qué no hay datos aquí
17.	Nombre del subsidio: Impuesto menor para el diésel en comparación al de la gasolina	
Descripción: La Ley 8114 "Ley de Simplificación y Eficiencia Tributarias" fija que los combustibles van a estar tasados con un único impuesto especial sobre el consumo (excise tax) y de forma arbitraria asigna un valor por combustible, cuyo crecimiento está indexado a la variación en el índice de precios al consumidor. En el caso específico del diésel, el valor asignado es aproximadamente un 60 % del valor asignado a las gasolinas. Muy buen caso. De nuevo, dar más información sobre los valores aplicables a cada tipo de combustible y la base para la definición (regulación) y calculo	
Nivel: Central/ Federal	 	
Fuentes: https://aresep.go.cr/transparencia/datos-abiertos/tarifas-de-combustibles
Estado: En curso
Tipo de combustible: Productos derivados del petróleo		
Destinatario: Consumo 	
Incidencia: Consumo Directo	
Comentarios: Incluir información de por qué no hay datos aquí</t>
  </si>
  <si>
    <t>(Total de subsidios a los combustibles fósiles / PIB )*100</t>
  </si>
  <si>
    <t>Total de subsidios a los combustibles fósiles 
PIB</t>
  </si>
  <si>
    <t>Laura Lizano</t>
  </si>
  <si>
    <t>Objetivo 13. Adoptar medidas urgentes para combatir el cambio climático y sus efectos</t>
  </si>
  <si>
    <t>13.1 Fortalecer la resiliencia y la capacidad de adaptación a los riesgos relacionados con el clima y los desastres naturales en todos los países</t>
  </si>
  <si>
    <t>13.1.1</t>
  </si>
  <si>
    <t>13.1.1 Número de personas muertas, desaparecidas y afectadas directamente atribuido a desastres por cada 100.000 personas</t>
  </si>
  <si>
    <t>13.1.2</t>
  </si>
  <si>
    <t>13.1.2 Número de países que adoptan y aplican estrategias nacionales de reducción del riesgo de desastres en consonancia con el Marco de Sendái para la Reducción del Riesgo de Desastres 2015‑2030</t>
  </si>
  <si>
    <t>13.1.3</t>
  </si>
  <si>
    <t>13.1.3 Proporción de gobiernos locales que adoptan y aplican estrategias locales de reducción del riesgo de desastres en consonancia con las estrategias nacionales de reducción del riesgo de desastres</t>
  </si>
  <si>
    <t>13.2 Incorporar medidas relativas al cambio climático en las políticas, estrategias y planes nacionales</t>
  </si>
  <si>
    <t>13.2.1</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</si>
  <si>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</si>
  <si>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</si>
  <si>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</si>
  <si>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 Mejorar la educación, la sensibilización y la capacidad humana e institucional respecto de la mitigación del cambio climático, la adaptación a él, la reducción de sus efectos y la alerta temprana</t>
  </si>
  <si>
    <t>13.3.1</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</si>
  <si>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</si>
  <si>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</si>
  <si>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t>
  </si>
  <si>
    <t>13.a.1 Cantidades proporcionadas y movilizadas en dólares de los Estados Unidos al año en relación con el objetivo actual mantenido de movilización colectiva de 100.000 millones de dólares de aquí a 2025</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</si>
  <si>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</si>
  <si>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13.b.1</t>
  </si>
  <si>
    <t>13.b.1 Número de países menos adelantados y pequeños Estados insulares en desarrollo con contribuciones determinadas a nivel nacional, estrategias a largo plazo y planes, estrategias nacionales de adaptación y estrategias indicadas en comunicaciones sobre</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</si>
  <si>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</si>
  <si>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</si>
  <si>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</si>
  <si>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Objetivo 13. Adoptar medidas urgentes para combatir el cambio climático y sus efectosa</t>
  </si>
  <si>
    <t>https://unstats.un.org/sdgs/metadata/files/Metadata-13-01-01.pdf</t>
  </si>
  <si>
    <t>Este indicador es igual al indicador 1.5.1 y 11.5.1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</si>
  <si>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Fuente: Comisión Nacional de Emergencias</t>
  </si>
  <si>
    <t>https://unstats.un.org/sdgs/metadata/files/Metadata-13-01-02.pdf</t>
  </si>
  <si>
    <t>Costa Rica: Porcentaje de gobiernos locales que adoptan y aplican estrategias de la reducción de riesgo de desastres a nivel local, año 2023</t>
  </si>
  <si>
    <t>Adoptan y aplican estrategias de reducción del riesgo</t>
  </si>
  <si>
    <t>No adoptan estrategias</t>
  </si>
  <si>
    <t>Fuente: Comisión Nacional de Atención y Prevención de Emergencias, Unidad de Desarrollo Estratégico, 2023</t>
  </si>
  <si>
    <t>https://unstats.un.org/sdgs/metadata/files/Metadata-13-01-03.pdf</t>
  </si>
  <si>
    <t>Costa Rica: Evolución de las emisiones totales de CO2</t>
  </si>
  <si>
    <r>
      <t>Costa Rica: Evolución de las emisiones totales de CO</t>
    </r>
    <r>
      <rPr>
        <b/>
        <vertAlign val="subscript"/>
        <sz val="12"/>
        <rFont val="Open Sans Condensed"/>
      </rPr>
      <t>2</t>
    </r>
  </si>
  <si>
    <t>Emisiones totales de CO2 asociadas a la combustión, por año</t>
  </si>
  <si>
    <t xml:space="preserve">Emisiones totales de dióxido de carbono (CO2): se refiere a las emisiones generadas por el consumo de combustibles fósiles con fines energéticos, a nivel nacional. 
</t>
  </si>
  <si>
    <t>Emisiones de CO2.</t>
  </si>
  <si>
    <t xml:space="preserve">Costa Rica: Inclusión o no de la educación cívica, el desarrollo sostenible (Ambiente), </t>
  </si>
  <si>
    <t xml:space="preserve">en  las políticas nacionales, planes de estudio, formación de profesorado y evaluación de estudiantes. </t>
  </si>
  <si>
    <t xml:space="preserve">Inclusión o no de la educación cívica, el desarrollo sostenible (Ambiente), en  las políticas nacionales, planes de estudio, formación de profesorado y evaluación de estudiantes. </t>
  </si>
  <si>
    <t>Las cuatro temáticas principales: ciudadanía mundial, desarrollo sostenible, igualdad de géneros y derechos humanos se abordan en los cuatro fines las políticas nacionales de educación, los planes de estudio, la formación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relacionadas con la docencia, de todas las universidades que brindan estas carreras (públicas y privadas) lo cual es información no disponible y que además escapa al alcance del Departamento de Análisis Estadístico del MEP.</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</si>
  <si>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que con que se incluyó en dicho documento. 
Es el mismo indicador que el 12.8.1</t>
  </si>
  <si>
    <t>El indicador no es aplicable a Costa Rica porque el país no brinda asistencia al exterior.</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</si>
  <si>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</si>
  <si>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 xml:space="preserve">Objetivo 14. Conservar y utilizar sosteniblemente los océanos, los mares y los recursos marinos  para el desarrollo sostenible </t>
  </si>
  <si>
    <t>14.1 De aquí a 2025, prevenir y reducir significativamente la contaminación marina de todo tipo, en particular la producida por actividades realizadas en tierra, incluidos los detritos marinos y la polución por nutrientes</t>
  </si>
  <si>
    <t>14.1.1</t>
  </si>
  <si>
    <t>14.1.1 a) Índice de eutrofización costera; y b) densidad de detritos plásticosi</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</si>
  <si>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</si>
  <si>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14.2.1</t>
  </si>
  <si>
    <t>14.2.1 Número de países que aplican enfoques basados en los ecosistemas para gestionar las zonas marinas</t>
  </si>
  <si>
    <t>14.3 Minimizar y abordar los efectos de la acidificación de los océanos, incluso mediante una mayor cooperación científica a todos los niveles</t>
  </si>
  <si>
    <t>14.3.1</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</si>
  <si>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</si>
  <si>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</si>
  <si>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t>
  </si>
  <si>
    <t>14.4.1 Proporción de poblaciones de peces cuyos niveles son biológicamente sostenibles</t>
  </si>
  <si>
    <t>14.5 De aquí a 2020, conservar al menos el 10% de las zonas costeras y marinas, de conformidad con las leyes nacionales y el derecho internacional y sobre la base de la mejor información científica disponible</t>
  </si>
  <si>
    <t>14.5.1</t>
  </si>
  <si>
    <t>14.5.1 Cobertura de las zonas protegidas en relación con las zonas marinas</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</si>
  <si>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2"/>
        <color theme="1"/>
        <rFont val="Open Sans SemiCondensed"/>
      </rPr>
      <t>4</t>
    </r>
  </si>
  <si>
    <t>14.6.1</t>
  </si>
  <si>
    <t>14.6.1 Grado de aplicación de instrumentos internacionales cuyo objetivo es combatir la pesca ilegal, no declarada y no reglamentada</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</si>
  <si>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</si>
  <si>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14.7.1</t>
  </si>
  <si>
    <t>14.7.1 Proporción del PIB correspondiente a la pesca sostenible en los pequeños Estados insulares en desarrollo, en los países menos adelantados y en todos los países</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</si>
  <si>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</si>
  <si>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14.a.1</t>
  </si>
  <si>
    <t>14.a.1 Proporción del presupuesto total de investigación asignada a la investigación en el campo de la tecnología marina</t>
  </si>
  <si>
    <t>14.b Facilitar el acceso de los pescadores artesanales a los recursos marinos y los mercados</t>
  </si>
  <si>
    <t>14.b.1</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</si>
  <si>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</si>
  <si>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</si>
  <si>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t>
  </si>
  <si>
    <t>14.c.1 Número de países que, mediante marcos jurídicos, normativos e institucionales, avanzan en la ratificación, la aceptación y la implementación de los instrumentos relacionados con los océanos que aplican el derecho internacional reflejado en la Conve</t>
  </si>
  <si>
    <t>Objetivo 14. Conservar y utilizar sosteniblemente los océanos, los mares y los recursos marinos para el desarrollo sostenible</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</si>
  <si>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</si>
  <si>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</si>
  <si>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</si>
  <si>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</si>
  <si>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</si>
  <si>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</si>
  <si>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</si>
  <si>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</si>
  <si>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</si>
  <si>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</si>
  <si>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</si>
  <si>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</si>
  <si>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</si>
  <si>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</si>
  <si>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</si>
  <si>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</si>
  <si>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</si>
  <si>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</si>
  <si>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</si>
  <si>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</si>
  <si>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</si>
  <si>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</si>
  <si>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 xml:space="preserve">14.2.1 Número de países que aplican enfoques basados en los ecosistemas para gestionar las zonas marinas  </t>
  </si>
  <si>
    <t xml:space="preserve">Miguel Duran Delgado </t>
  </si>
  <si>
    <t>Departamento de Estadísticas Pesqueras</t>
  </si>
  <si>
    <t>Instituto Costarricense de Pesca y Acuicultura</t>
  </si>
  <si>
    <t>(506) 2630-0600</t>
  </si>
  <si>
    <t xml:space="preserve">mduran@incopesca.go.cr </t>
  </si>
  <si>
    <t>https://unstats.un.org/sdgs/metadata/files/Metadata-14-03-01.pdf</t>
  </si>
  <si>
    <t>pH</t>
  </si>
  <si>
    <t>Según CIMAR, aún no se ha desarrollado un equipo que pueda medir el pH del agua del mar</t>
  </si>
  <si>
    <t xml:space="preserve">Costa Rica: Poblaciones de peces que están dentro de niveles biológicamente sostenibles </t>
  </si>
  <si>
    <t>ID Stock</t>
  </si>
  <si>
    <t>Nombre científico  acuerdo con la Lista de especies de ASFIS</t>
  </si>
  <si>
    <t>Nombre de stock</t>
  </si>
  <si>
    <t>Nombre común de la especie en inglés</t>
  </si>
  <si>
    <t>Zona de pesca principal de la FAO</t>
  </si>
  <si>
    <t xml:space="preserve">Distribución jurisdiccional de stock
</t>
  </si>
  <si>
    <t>Stock evaluado (Sí) o (No)</t>
  </si>
  <si>
    <t>Stock es biológicamente sostenible</t>
  </si>
  <si>
    <t>Desembarques totales para todo el stock</t>
  </si>
  <si>
    <t>Stock se considera</t>
  </si>
  <si>
    <r>
      <t>Abundancia</t>
    </r>
    <r>
      <rPr>
        <b/>
        <vertAlign val="superscript"/>
        <sz val="11"/>
        <rFont val="Open Sans Condensed"/>
      </rPr>
      <t>d/</t>
    </r>
  </si>
  <si>
    <r>
      <t>Mortalidad por pesca</t>
    </r>
    <r>
      <rPr>
        <b/>
        <vertAlign val="superscript"/>
        <sz val="11"/>
        <rFont val="Open Sans Condensed"/>
      </rPr>
      <t>d/</t>
    </r>
  </si>
  <si>
    <r>
      <t>Valor actual de la captura (en toneladas)</t>
    </r>
    <r>
      <rPr>
        <b/>
        <vertAlign val="superscript"/>
        <sz val="11"/>
        <rFont val="Open Sans Condensed"/>
      </rPr>
      <t>d/</t>
    </r>
  </si>
  <si>
    <t xml:space="preserve">Sobrepesca </t>
  </si>
  <si>
    <r>
      <t>Desembarques (en toneladas)</t>
    </r>
    <r>
      <rPr>
        <b/>
        <vertAlign val="superscript"/>
        <sz val="11"/>
        <rFont val="Open Sans Condensed"/>
      </rPr>
      <t>d/</t>
    </r>
  </si>
  <si>
    <t>Proporción del total de desembarques del total de desembarques nacionales (excluidos los desembarques de poblaciones transzonales) (en porcentaje</t>
  </si>
  <si>
    <t>... Unidad de evaluación</t>
  </si>
  <si>
    <t xml:space="preserve">... Unidad de gestión </t>
  </si>
  <si>
    <t>... Otra unidad</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</si>
  <si>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</si>
  <si>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</si>
  <si>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</si>
  <si>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</si>
  <si>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La mortalidad por pesca más reciente (F) o la tasa de explotación (U)</t>
  </si>
  <si>
    <t xml:space="preserve">Valor del punto de referencia </t>
  </si>
  <si>
    <t xml:space="preserve">Tipo de punto de referencia </t>
  </si>
  <si>
    <t xml:space="preserve">Último año de datos de entrada utilizados </t>
  </si>
  <si>
    <t>Stock de peces 1</t>
  </si>
  <si>
    <t>Ophistonema sp.
12105042XX</t>
  </si>
  <si>
    <t>Sardina gallera</t>
  </si>
  <si>
    <t>Thread herrings nei</t>
  </si>
  <si>
    <t>Desconocido</t>
  </si>
  <si>
    <t>X</t>
  </si>
  <si>
    <t>7486
(1981)</t>
  </si>
  <si>
    <t>Stock de peces 2</t>
  </si>
  <si>
    <t>Cynoscion albus
1703701602</t>
  </si>
  <si>
    <t>Corvina reina</t>
  </si>
  <si>
    <t>Whitefin weakfish</t>
  </si>
  <si>
    <t>Stock de peces 3</t>
  </si>
  <si>
    <t>Cynoscion squamipinnis
1703701635</t>
  </si>
  <si>
    <t>Corvina aguada</t>
  </si>
  <si>
    <t>Scalyfin weakfish</t>
  </si>
  <si>
    <t>Stock de peces 4</t>
  </si>
  <si>
    <t>Cynoscion phoxocephalus
1703701613</t>
  </si>
  <si>
    <t>Corvina picuda</t>
  </si>
  <si>
    <t>Cachema weakfish</t>
  </si>
  <si>
    <t>Stock de peces 5</t>
  </si>
  <si>
    <t>Lutjanus guttatus
1703202729</t>
  </si>
  <si>
    <t>Pargo mancha</t>
  </si>
  <si>
    <t>Spotted rose snapper</t>
  </si>
  <si>
    <t>Stock de peces 6</t>
  </si>
  <si>
    <t>Lutjanus peru
1703202757</t>
  </si>
  <si>
    <t>Pargo seda</t>
  </si>
  <si>
    <t>Pacific red snapper</t>
  </si>
  <si>
    <t>Stock de peces 7</t>
  </si>
  <si>
    <t>Thunnus albacares 
1750102610</t>
  </si>
  <si>
    <t>Atún aleta amarilla</t>
  </si>
  <si>
    <t>Yellowfin tuna</t>
  </si>
  <si>
    <t>Compartido entre naciones*</t>
  </si>
  <si>
    <r>
      <t>Si</t>
    </r>
    <r>
      <rPr>
        <vertAlign val="superscript"/>
        <sz val="11"/>
        <rFont val="Open Sans Condensed"/>
      </rPr>
      <t>a/b/</t>
    </r>
  </si>
  <si>
    <t>560.713
Pac. Oriental</t>
  </si>
  <si>
    <t>376.696 TM
Pac. Oriental</t>
  </si>
  <si>
    <t>BMSY</t>
  </si>
  <si>
    <t>FMSY</t>
  </si>
  <si>
    <t>Stock de peces 8</t>
  </si>
  <si>
    <t>Coryphaena hippurus
1702807101</t>
  </si>
  <si>
    <t>Dorado</t>
  </si>
  <si>
    <t>Common dophin fish</t>
  </si>
  <si>
    <r>
      <t>Desconocido</t>
    </r>
    <r>
      <rPr>
        <vertAlign val="superscript"/>
        <sz val="11"/>
        <rFont val="Open Sans Condensed"/>
      </rPr>
      <t>c/</t>
    </r>
  </si>
  <si>
    <t>Stock de peces 9</t>
  </si>
  <si>
    <t>Xiphias gladius
1750400301</t>
  </si>
  <si>
    <t>Pez espada</t>
  </si>
  <si>
    <t>Swordfish</t>
  </si>
  <si>
    <t xml:space="preserve">X </t>
  </si>
  <si>
    <t>Stock de peces 10</t>
  </si>
  <si>
    <t>Carcharinus falciformis
1080201017</t>
  </si>
  <si>
    <t>Tiburón gris</t>
  </si>
  <si>
    <t>Silky shark</t>
  </si>
  <si>
    <t>Stock de peces 11</t>
  </si>
  <si>
    <t>Alopias sp
10606006XX</t>
  </si>
  <si>
    <t>Tiburón Thesher</t>
  </si>
  <si>
    <t>Thresher  shark nei</t>
  </si>
  <si>
    <t>Nota: * De Estados Unidos a Panamá (costa del Pacífico)</t>
  </si>
  <si>
    <t>a/</t>
  </si>
  <si>
    <t>https://www.iattc.org/Meetings/Meetings2018/SAC-09/PDFs/Docs/_English/SAC-09-06-EN_Yellowfin-tuna-assessment-for-2017.pdf</t>
  </si>
  <si>
    <t>b/</t>
  </si>
  <si>
    <t>Año de evaluación 2018</t>
  </si>
  <si>
    <t>c/</t>
  </si>
  <si>
    <t xml:space="preserve">CIAT está
 desarrollando la metodología en conjunto con los paises miembros </t>
  </si>
  <si>
    <t>d/</t>
  </si>
  <si>
    <t>Año de referencia 2016</t>
  </si>
  <si>
    <t>Fuente: Instituto Costarricense de Pesca y Acuicultura, 2019</t>
  </si>
  <si>
    <t>https://unstats.un.org/sdgs/metadata/files/Metadata-14-04-01.pdf</t>
  </si>
  <si>
    <t>No indentificada o no definida</t>
  </si>
  <si>
    <t xml:space="preserve"> Poblaciones de peces que están dentro de niveles biológicamente sostenibles </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</si>
  <si>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</si>
  <si>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Se suman la captura total anual de todos los stocks evaluados (indistintamente del grupo comercial en el que se reporten) en toneladas, comparandose con la captura nacional total reportada para ese año: la proporción en porcentaje de los stocks evaluados es lo reportado: (∑ [Spp. evaluadas (TON) / Total Spp. (TON)]) * 100</t>
  </si>
  <si>
    <t>Porcentaje (%)</t>
  </si>
  <si>
    <t>Las especies evaluadas permiten conocer el estado del stock de forma tal que se pueda incorporar un manejo pesquero adecuado a las condiciones actuales de la pesqueria.</t>
  </si>
  <si>
    <t>Especies evaluadas, especies capturadas, pesos de las capturas</t>
  </si>
  <si>
    <t>Oceano pacifico y Mar Caribe. Zona costera y Zona Economica Exclusiva</t>
  </si>
  <si>
    <t>Stock de peces</t>
  </si>
  <si>
    <t>Proporcion de especies de interes pesquero con evaluacion pesquera</t>
  </si>
  <si>
    <t>En el caso de las especies pesqueras, existen estadísticas y muestras biológicas de varios años. Además, el M.Sc. Fernando Mejía tomo en 2019 el curso de evaluación con datos limitados, impartido por la FAO en Panamá; en 2022/2023 se participo del Taller mundial en linea sobre el indicador 14.4.1 de los ODS, impartido por FAO; en 2024 se participo del Taller técnico regional para la revisión del estado de los recursos pesqueros marinos en el Área 77 de la FAO (Pacífico Centro-Oriental), impartido por FAO. El Incopesca cuenta con recurso humano limitado, para dedicar a los biólogos solo a la evaluación, por lo cual no ha sido posible realizar un incremento en los procesos de manejo de una forma más expedita.</t>
  </si>
  <si>
    <t>Jose Miguel Carvajal Rodriguez</t>
  </si>
  <si>
    <t>Jefatura Departamento Investigación</t>
  </si>
  <si>
    <t>Instituto Costarricense de Pesca y Acuicultura (INCOPESCA)</t>
  </si>
  <si>
    <t>26300600</t>
  </si>
  <si>
    <t>jcarvajal@incopesca.go.cr</t>
  </si>
  <si>
    <t>Fernando Mejía Arana</t>
  </si>
  <si>
    <t>Funcionario, Departmamento de Investigación</t>
  </si>
  <si>
    <t>fmejia@incopesca.go.cr</t>
  </si>
  <si>
    <t xml:space="preserve">14.5 De aquí a 2020, conservar al menos el 10% de las zonas costeras y marinas, de conformidad con las leyes nacionales y el derecho internacional y sobre la base de la mejor información científica disponible </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</si>
  <si>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</si>
  <si>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t xml:space="preserve">Costa Rica: Áreas silvestres protegidas (ASP) respecto al territorio nacional y aguas territoriales, según tipo de </t>
  </si>
  <si>
    <r>
      <t>Costa Rica: Cantidad de</t>
    </r>
    <r>
      <rPr>
        <sz val="12"/>
        <rFont val="Open Sans Condensed"/>
      </rPr>
      <t xml:space="preserve"> </t>
    </r>
    <r>
      <rPr>
        <b/>
        <sz val="12"/>
        <rFont val="Open Sans Condensed"/>
      </rPr>
      <t>Áreas Silvestres Protegidas (ASP) por categoría de manejo según tipo de área silvestre protegida, Año 2022</t>
    </r>
  </si>
  <si>
    <t>ASP
2022</t>
  </si>
  <si>
    <t>Tipo de Área Silvestre Protegida</t>
  </si>
  <si>
    <t>ASP Total</t>
  </si>
  <si>
    <t xml:space="preserve">Área Terrestre Protegida  </t>
  </si>
  <si>
    <t>Área Marina Protegida</t>
  </si>
  <si>
    <t>Cantidad de ASP</t>
  </si>
  <si>
    <r>
      <t>Área total protegida
Km2</t>
    </r>
    <r>
      <rPr>
        <b/>
        <vertAlign val="superscript"/>
        <sz val="11"/>
        <rFont val="Open Sans Condensed"/>
      </rPr>
      <t>1/</t>
    </r>
  </si>
  <si>
    <t>Total 
(ha)</t>
  </si>
  <si>
    <r>
      <t>Respecto al territorio nacional</t>
    </r>
    <r>
      <rPr>
        <b/>
        <vertAlign val="superscript"/>
        <sz val="11"/>
        <rFont val="Open Sans Condensed"/>
      </rPr>
      <t>2/</t>
    </r>
  </si>
  <si>
    <r>
      <t>Respecto a aguas territoriales</t>
    </r>
    <r>
      <rPr>
        <b/>
        <vertAlign val="superscript"/>
        <sz val="11"/>
        <rFont val="Open Sans Condensed"/>
      </rPr>
      <t>3/</t>
    </r>
  </si>
  <si>
    <t>Area Marina de Manejo</t>
  </si>
  <si>
    <t>Humedal</t>
  </si>
  <si>
    <t>Monumento Nacional</t>
  </si>
  <si>
    <t>Parque Nacional</t>
  </si>
  <si>
    <t>Refugio Nacional de Vida Silvestre</t>
  </si>
  <si>
    <t>Reserva Biologica</t>
  </si>
  <si>
    <t>Reserva Forestal</t>
  </si>
  <si>
    <t>Reserva Natural Absoluta</t>
  </si>
  <si>
    <t>Zona Protectora</t>
  </si>
  <si>
    <r>
      <t xml:space="preserve">2/ </t>
    </r>
    <r>
      <rPr>
        <sz val="11"/>
        <rFont val="Open Sans Condensed"/>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</si>
  <si>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11"/>
        <rFont val="Open Sans Condensed"/>
      </rPr>
      <t xml:space="preserve"> </t>
    </r>
  </si>
  <si>
    <t xml:space="preserve"> Esta proporción disminuye drásticamente si se hace respecto al Territorio Marino total= 543 794,91 km2</t>
  </si>
  <si>
    <t>Fuente: Ministerio de Ambiente y Energía, Sistema Nacional de Áreas de Conservación, Mapa ASP 2022
Instituto Geografico Nacional_2022</t>
  </si>
  <si>
    <t>Fuente: Ministerio de Ambiente y Energía, Sistema Nacional de Áreas de Conservación, Departamento de Información y Regularización Territorial, 2022</t>
  </si>
  <si>
    <t>Instituto Geográfico Nacional_2022</t>
  </si>
  <si>
    <t>Costa Rica: Áreas silvestres protegidas (ASP) respecto al territorio nacional y aguas territoriales, según tipo de ASP
2021</t>
  </si>
  <si>
    <r>
      <t>Costa Rica: Cantidad de</t>
    </r>
    <r>
      <rPr>
        <sz val="12"/>
        <rFont val="Open Sans Condensed"/>
      </rPr>
      <t xml:space="preserve"> </t>
    </r>
    <r>
      <rPr>
        <b/>
        <sz val="12"/>
        <rFont val="Open Sans Condensed"/>
      </rPr>
      <t>Áreas Silvestres Protegidas (ASP) por categoría de manejo según tipo de área silvestre protegida, Año 2021</t>
    </r>
  </si>
  <si>
    <r>
      <t xml:space="preserve">2/ </t>
    </r>
    <r>
      <rPr>
        <sz val="11"/>
        <rFont val="Open Sans Condensed"/>
      </rPr>
      <t>Territorio Nacional=  51 100 km</t>
    </r>
    <r>
      <rPr>
        <vertAlign val="superscript"/>
        <sz val="11"/>
        <rFont val="Open Sans Condensed"/>
      </rPr>
      <t>2</t>
    </r>
  </si>
  <si>
    <r>
      <t>3/  El Porcentaje aguas marinas protegidas respecto a aguas territoriales se elabora respecto a la superficie del mar territorial de Costa Rica = 30 308 km2.</t>
    </r>
    <r>
      <rPr>
        <b/>
        <sz val="11"/>
        <rFont val="Open Sans Condensed"/>
      </rPr>
      <t xml:space="preserve"> </t>
    </r>
  </si>
  <si>
    <t xml:space="preserve"> Esta proporción disminuye drásticamente si se hace respecto al Territorio Marino total= 589 682 km2</t>
  </si>
  <si>
    <t>Fuente: Ministerio de Ambiente y Energía, Sistema Nacional de Áreas de Conservación, Departamento de Información y Regularización Territorial, 2021</t>
  </si>
  <si>
    <t>Fuente: Ministerio de Ambiente y Energía, Sistema Nacional de Áreas de Conservación, Mapa ASP 2021</t>
  </si>
  <si>
    <t>Costa Rica: Áreas silvestres protegidas (ASP) respecto al territorio nacional y aguas territoriales, según tipo de ASP
2019</t>
  </si>
  <si>
    <r>
      <t>Área total protegida
(ha)</t>
    </r>
    <r>
      <rPr>
        <b/>
        <vertAlign val="superscript"/>
        <sz val="11"/>
        <rFont val="Open Sans Condensed"/>
      </rPr>
      <t>1/</t>
    </r>
  </si>
  <si>
    <t>Fuente: Ministerio de Ambiente y Energía, Sistema Nacional de Áreas de Conservación, Mapa ASP 2019</t>
  </si>
  <si>
    <t>Costa Rica: Áreas silvestres protegidas (ASP) respecto al territorio nacional y aguas territoriales, según tipo de ASP
2018</t>
  </si>
  <si>
    <t>Categoría de manejo</t>
  </si>
  <si>
    <t>Total de Áreas Silvestres protegidas</t>
  </si>
  <si>
    <t>Área terrestre e insular protegida (Km2)</t>
  </si>
  <si>
    <t>Area marina protegida (Km2)</t>
  </si>
  <si>
    <t xml:space="preserve">Kilometros cuadrados </t>
  </si>
  <si>
    <t>Estatal</t>
  </si>
  <si>
    <t>Mixto</t>
  </si>
  <si>
    <t>Fuente: Ministerio de Ambiente y Energía, Sistema Nacional de Áreas de Conservación, Departamento de Información y Regularización Territorial, 2019</t>
  </si>
  <si>
    <t>https://unstats.un.org/sdgs/metadata/files/Metadata-14-05-01.pdf</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</si>
  <si>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</si>
  <si>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</si>
  <si>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</si>
  <si>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</si>
  <si>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Ministerio de Ambiente y Energía, Sistema Nacional de Área de Conservación </t>
  </si>
  <si>
    <t>Base de datos Áreas Silvestres Protegidas</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</si>
  <si>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</si>
  <si>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Mauricio Castillo</t>
  </si>
  <si>
    <t xml:space="preserve">Jefe Departamento de Información y Regularización Territorial, Sistema Nacional de Áreas de Conservación </t>
  </si>
  <si>
    <t>(506) 2522-6500 Ext: 302</t>
  </si>
  <si>
    <t>mauricio.castillo@sinac.go.cr</t>
  </si>
  <si>
    <t>Daniel Villavicencio Serrano</t>
  </si>
  <si>
    <t xml:space="preserve"> Departamento de Información y Regularización Territorial, Sistema Nacional de Áreas de Conservación </t>
  </si>
  <si>
    <t>(506) 2522-6500 Ext: 356</t>
  </si>
  <si>
    <t>daniel.villavincencio@sinac.go.cr</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</si>
  <si>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</si>
  <si>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Indicador no disponible</t>
  </si>
  <si>
    <t>https://unstats.un.org/sdgs/metadata/files/Metadata-14-0a-01.pdf</t>
  </si>
  <si>
    <t>https://unstats.un.org/sdgs/metadata/files/Metadata-14-0b-01.pdf</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</si>
  <si>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</si>
  <si>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</si>
  <si>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</si>
  <si>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15.1.1</t>
  </si>
  <si>
    <t>15.1.1 Superficie forestal en proporción a la superficie total</t>
  </si>
  <si>
    <t>15.1.2</t>
  </si>
  <si>
    <t>15.1.2 Proporción de lugares importantes para la biodiversidad terrestre y del agua dulce incluidos en zonas protegidas, desglosada por tipo de ecosistema</t>
  </si>
  <si>
    <t>15.2 De aquí a 2020, promover la puesta en práctica de la gestión sostenible de todos los tipos de bosques, detener la deforestación, recuperar los bosques degradados y aumentar considerablemente la forestación y la reforestación a nivel mundial</t>
  </si>
  <si>
    <t>15.2.1</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</si>
  <si>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</si>
  <si>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</si>
  <si>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t>
  </si>
  <si>
    <t>15.3.1 Proporción de tierras degradadas en comparación con la superficie total</t>
  </si>
  <si>
    <t>15.4 De aquí a 2030, asegurar la conservación de los ecosistemas montañosos, incluida su diversidad biológica, a fin de mejorar su capacidad de proporcionar beneficios esenciales para el desarrollo sostenible</t>
  </si>
  <si>
    <t>15.4.1</t>
  </si>
  <si>
    <t>15.4.1 Lugares importantes para la biodiversidad de las montañas incluidos en zonas protegidas</t>
  </si>
  <si>
    <t>15.4.2</t>
  </si>
  <si>
    <t>15.4.2 Índice de cobertura verde de las montañas</t>
  </si>
  <si>
    <t>15.5 Adoptar medidas urgentes y significativas para reducir la degradación de los hábitats naturales, detener la pérdida de biodiversidad y, de aquí a 2020, proteger las especies amenazadas y evitar su extinción</t>
  </si>
  <si>
    <t>15.5.1</t>
  </si>
  <si>
    <t>15.5.1 Índice de la Lista Roja</t>
  </si>
  <si>
    <t>15.6 Promover la participación justa y equitativa en los beneficios derivados de la utilización de los recursos genéticos y promover el acceso adecuado a esos recursos, según lo convenido internacionalmente</t>
  </si>
  <si>
    <t>15.6.1</t>
  </si>
  <si>
    <t>15.6.1 Número de países que han adoptado marcos legislativos, administrativos y normativos para asegurar una distribución justa y equitativa de los beneficios</t>
  </si>
  <si>
    <t>15.7 Adoptar medidas urgentes para poner fin a la caza furtiva y el tráfico de especies protegidas de flora y fauna y abordar tanto la demanda como la oferta de productos ilegales de flora y fauna silvestres</t>
  </si>
  <si>
    <t>15.7.1</t>
  </si>
  <si>
    <t>15.7.1 Proporción de especímenes de flora y fauna silvestre comercializados procedentes de la caza furtiva o el tráfico ilícito</t>
  </si>
  <si>
    <t>15.8 De aquí a 2020, adoptar medidas para prevenir la introducción de especies exóticas invasoras y reducir significativamente sus efectos en los ecosistemas terrestres y acuáticos y controlar o erradicar las especies prioritarias</t>
  </si>
  <si>
    <t>15.8.1</t>
  </si>
  <si>
    <t>15.8.1 Proporción de países que han aprobado la legislación nacional pertinente y han destinado recursos suficientes para la prevención o el control de las especies exóticas invasoras</t>
  </si>
  <si>
    <t>15.9 De aquí a 2020, integrar los valores de los ecosistemas y la biodiversidad en la planificación, los procesos de desarrollo, las estrategias de reducción de la pobreza y la contabilidad nacionales y locales</t>
  </si>
  <si>
    <t>15.9.1</t>
  </si>
  <si>
    <t>15.9.1 a) Número de países que han establecido metas nacionales de conformidad con la segunda Meta de Aichi del Plan Estratégico para la Diversidad Biológica 2011-2020 o metas similares en sus estrategias y planes de acción nacionales en materia de divers</t>
  </si>
  <si>
    <t>15.a Movilizar y aumentar significativamente los recursos financieros procedentes de todas las fuentes para conservar y utilizar de forma sostenible la biodiversidad y los ecosistemas</t>
  </si>
  <si>
    <t>15.a.1</t>
  </si>
  <si>
    <t>15.a.1 a) Asistencia oficial para el desarrollo destinada concretamente a la conservación y el uso sostenible de la biodiversidad y b) ingresos generados y financiación movilizada mediante instrumentos económicos pertinentes para la biodiversidad</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</si>
  <si>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</si>
  <si>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15.b.1</t>
  </si>
  <si>
    <t>15.b.1 a) Asistencia oficial para el desarrollo destinada concretamente a la conservación y el uso sostenible de la biodiversidad y b) ingresos generados y financiación movilizada mediante instrumentos económicos pertinentes para la biodiversidad</t>
  </si>
  <si>
    <t>15.c Aumentar el apoyo mundial a la lucha contra la caza furtiva y el tráfico de especies protegidas, incluso aumentando la capacidad de las comunidades locales para perseguir oportunidades de subsistencia sostenibles</t>
  </si>
  <si>
    <t>15.c.1</t>
  </si>
  <si>
    <t>15.c.1 Proporción de especímenes de flora y fauna silvestre comercializados procedentes de la caza furtiva o el tráfico ilícito</t>
  </si>
  <si>
    <t>Costa Rica: Porcentaje de cobertura forestal respecto a la superficie total 
Costa Rica: Superficie forestal como proporción de la superficie total</t>
  </si>
  <si>
    <t>Porcentaje de cobertura forestal respecto a la superficie total</t>
  </si>
  <si>
    <t>Costa Rica: Porcentaje de cobertura forestal, Año 2023</t>
  </si>
  <si>
    <t>(Hectáreas y porcentaje)</t>
  </si>
  <si>
    <t>Tipo de uso-cobertura</t>
  </si>
  <si>
    <t>Área con cobertura forestal</t>
  </si>
  <si>
    <t>Área sin cobertura forestal</t>
  </si>
  <si>
    <t>Notas: 1) Importante resaltar que la metodología empleada permitió eliminar el factor de incertidumbre con respecto a la cobertura con presencia de nubes, por lo que la información brindada es el dato más cercano a la realidad para el año 2023. 2) Adicionalmente, la metodología permitió realizar los cálculos con una incertidumbre de ± 0.68%, utilizando para el presente informe un enfoque consevador con el rango más bajo.</t>
  </si>
  <si>
    <t>Fuente: Ministerio de Ambiente y Energía, Sistema Nacional de Áreas de Conservación, Mapa Tipos de Bosque y Otras Tierras de Costa Rica, 2023.  (Mapa de cobertura Forestal)</t>
  </si>
  <si>
    <t>Fuente: Ministerio de Ambiente y Energía y Sistema Nacional de Áreas de Conservación.  Mapa tipos de bosque y otras tierras de Costa Rica, 2021. (Mapa de cobertura Forestal)</t>
  </si>
  <si>
    <t>Costa Rica: Porcentaje de cobertura forestal respecto a la superficie total</t>
  </si>
  <si>
    <t>Bosques</t>
  </si>
  <si>
    <t>No bosques</t>
  </si>
  <si>
    <t xml:space="preserve">Fuente: Ministerio de Ambiente y Energía, Sistema Nacional </t>
  </si>
  <si>
    <t xml:space="preserve">de Áreas de Conservación, Inventario Forestal Nacional 2014 </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</si>
  <si>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</si>
  <si>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Costa Rica: Superficie forestal como proporción de la superficie total</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</si>
  <si>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</si>
  <si>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</si>
  <si>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</si>
  <si>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Fuente: Ministerio de Ambiente y Energía, Sistema Nacional de Áreas de Conservación,2019 . Informe FRA-FAO 2020</t>
  </si>
  <si>
    <t>Objetivo 15. Proteger, restablecer y promover el uso sostenible de los ecosistemas terrestres, gestionar sosteniblemente los bosques, luchar contra la desertificación, detener e invertir la degradación de las tierras y detener la pérdida de biodiversidad</t>
  </si>
  <si>
    <t>https://unstats.un.org/sdgs/metadata/files/Metadata-15-01-01.pdf</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</si>
  <si>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</si>
  <si>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r>
      <t xml:space="preserve">Se entenderá por cobertura forestal los siguientes estratos:                                         </t>
    </r>
    <r>
      <rPr>
        <b/>
        <sz val="11"/>
        <rFont val="Open Sans Condensed"/>
      </rPr>
      <t>Bosque maduro</t>
    </r>
    <r>
      <rPr>
        <sz val="11"/>
        <rFont val="Open Sans Condensed"/>
      </rPr>
      <t xml:space="preserve">: Ecosistema nativo o autóctono, intervenido o no, regenerado por sucesión natural u otras técnicas forestales, que ocupa una superficie de dos o más hectáreas, caracterizada por la presencia de árboles maduros de diferentes edades, especies y porte variado, con uno o más doseles que cubran más del setenta por ciento (70%) de esa superficie y donde existan más de sesenta árboles por hectárea de quince o más centímetros de diámetro medido a la altura del pecho (DAP) (Ley Forestal 7575, artículo 3, inciso d). El  bosque maduro podría estar intervenido con actividades de manejo forestal sostenible de acuerdo a los principios, criterios e indicadores descritos en la normativa.                                                                                                                                                                                                       </t>
    </r>
    <r>
      <rPr>
        <b/>
        <sz val="11"/>
        <rFont val="Open Sans Condensed"/>
      </rPr>
      <t>Bosque secundario:</t>
    </r>
    <r>
      <rPr>
        <sz val="11"/>
        <rFont val="Open Sans Condensed"/>
      </rPr>
      <t xml:space="preserve"> Tierra con vegetación leñosa de carácter sucesional secundario, que se desarrolló una vez que la vegetación original fue eliminada por actividades humanas y/o fenómenos naturales, con una superficie mínima de 0,5 ha y una densidad no menor a 500 árboles por hectárea de todas las especies, con diámetro mínimo a la altura del pecho de 5 cm (Decreto ejecutivo 39952-MINAE, artículo 39) . Al igual que el bosque maduro y de acuerdo al marco legal costarricense, podría estar intevenido con actividades de manejo forestal sostenible  de acuerdo a los principios, criterios e indicadores descritos en la normativa.                                                                                                                                                                                                                                                                                                                                           </t>
    </r>
    <r>
      <rPr>
        <b/>
        <sz val="11"/>
        <rFont val="Open Sans Condensed"/>
      </rPr>
      <t>Bosque deciduo:</t>
    </r>
    <r>
      <rPr>
        <sz val="11"/>
        <rFont val="Open Sans Condensed"/>
      </rPr>
      <t xml:space="preserve"> Formación vegetal en la que la mayoría de los árboles pierden sus hojas simultáneamente en la época seca de cada año. Hay especies siempre verdes en el sotobosque; por ejemplo, pequeños árboles de los géneros Eugenia sp y Clusia sp, así como varias especies suculentas (IFN-MINAE, 2015). 
</t>
    </r>
    <r>
      <rPr>
        <b/>
        <sz val="11"/>
        <rFont val="Open Sans Condensed"/>
      </rPr>
      <t>Manglar</t>
    </r>
    <r>
      <rPr>
        <sz val="11"/>
        <rFont val="Open Sans Condensed"/>
      </rPr>
      <t xml:space="preserve">: Ecosistema dominado por grupos de especies vegetales pantropicales y típicamente arbóreas, arbustivas y vegetación asociada, las cuales cuentan con adaptaciones morfológicas, fisiológicas y reproductivas que permiten colonizar áreas sujetas al intercambio de mareas. El paisaje general está dominado por la presencia de bosques de diferentes especies de mangle, esteros y canales. Las concentraciones de salinidad varían según la estación climática y al aporte de aguas continentales, encontrándose valores de concentración de sales desde muy bajos hasta muy altos" (Decreto Ejecutivo Nº 32633, Reglamento a la Ley de Vida Silvestre Nº 7317) y D. E. 35803 07/01/2010 "Criterios Técnicos para la Identificación, Clasificación y Conservación de Humedales". 
</t>
    </r>
    <r>
      <rPr>
        <b/>
        <sz val="11"/>
        <rFont val="Open Sans Condensed"/>
      </rPr>
      <t>Yolilla</t>
    </r>
    <r>
      <rPr>
        <sz val="11"/>
        <rFont val="Open Sans Condensed"/>
      </rPr>
      <t xml:space="preserve">l (bosque de palmas): Humedal palustrino dominada por palma de yolillo (Raphia taedigera) y asociado con otras especies arbóreas. (Decreto ejecutivo 35803-MINAE "Criterios Técnicos para la Identificación, Clasificación y Conservación de Humedales")      
</t>
    </r>
    <r>
      <rPr>
        <b/>
        <sz val="11"/>
        <rFont val="Open Sans Condensed"/>
      </rPr>
      <t>Plantación forestal:</t>
    </r>
    <r>
      <rPr>
        <sz val="11"/>
        <rFont val="Open Sans Condensed"/>
      </rPr>
      <t xml:space="preserve"> Terreno de una o más hectáreas, cultivado de una o más especies forestales cuyo objetivo principal, pero no único, será la producción de madera.” (Ley Forestal 7575, artículo 2). Terreno plantado inferior a una hectárea, de una o más especies forestales cuyo objetivo principal, pero no único será la producción de madera (PSA-FONAFIFO).                                                                                                                                                                                                                                                
                  </t>
    </r>
  </si>
  <si>
    <t>(Sumatoria de la Cobertura Forestal en Hectáreas/Territorio Nacional en Hectáreas) *100</t>
  </si>
  <si>
    <t xml:space="preserve">• Bosque.
• Área total del país. </t>
  </si>
  <si>
    <t>Cobertura forestal</t>
  </si>
  <si>
    <t>Cada dos años</t>
  </si>
  <si>
    <t>Ministerio de Ambiente y Energía, Sistema Nacional en Áreas de Conservación. 2014-2023 y SNIT</t>
  </si>
  <si>
    <t>Sistema de Monitoreo</t>
  </si>
  <si>
    <t xml:space="preserve">Inventario Forestal Nacional de Costa Rica, 2013-2014, (realizado mediante muestreo sistemático estratificado).                                                                                                                                                                                                                                                               Mapa de Tipos de Bosque y Otras Tierras de Costa Rica, 2021. Disponible en: https://www.snitcr.go.cr/Visor/visor?k=Y2FwYTo6U0lOQUM6OmNvYmVydHVyYV9mb3Jlc3RhbF8yMDIx                                                                                            Mapa de Tipos de Bosque y Otras Tierras de Costa Rica, 2023. Disponible en: https://www.snitcr.go.cr/Visor/visor?k=Y2FwYTo6U0lOQUM6OmNvYmVydHVyYV9mb3Jlc3RhbF8yMDIz                                                                                                                                                                                                                                                         </t>
  </si>
  <si>
    <t>Presupuesto. La periodicidad de la información se ve afectada por la disponibilidad de presupuesto para llevar a cabo las mediciones programadas de las diferentes operaciones de monitoreo que tiene a cargo la institución, pues no se cuenta con presupuesto ordinario para atender estas labores y las fuentes de financiamiento extraordinarias no son permanentes.</t>
  </si>
  <si>
    <t>Debido a que el país hoy cuenta con un nuevo producto relacionado con el monitoreo de la cobertura forestal a través de sensores remotos, mediante el Mapa de Tipos de Bosque y Otras Tierras (MTBOT) de Costa Rica, el cual tendrá una periodicidad de dos años y considerando que el segundo ciclo del Inventario Nacional Forestal aún no inicia, se decidió utilizar la información del MTBOT como base para el informe FRA 2025, del cual, a través de los corresponsales nacionales, FAO realiza el reporte oficial del indicador ODS 15.1.1. Por lo que, para homogenizar los reportes que se deben realizar también a nivel interno del país, se actualizó y homologó la información de la presente HM con la información de la metodología utilizada actualmente para el informe FRA.</t>
  </si>
  <si>
    <t xml:space="preserve">www.sirefor.go.cr  , </t>
  </si>
  <si>
    <t>Henry Ramírez</t>
  </si>
  <si>
    <t>(506) 2522-6500 Ext: 352</t>
  </si>
  <si>
    <t>henry.ramirez@sinac.go.cr</t>
  </si>
  <si>
    <t>Milena Gutiérrez Leitón</t>
  </si>
  <si>
    <t>Sistema Nacional de Áreas de Conservación (SINAC)</t>
  </si>
  <si>
    <t>Departamento de Conservación y Uso Sostenible de la Biodiversidad y Servicios Ecosistémicos (CUSBE)</t>
  </si>
  <si>
    <t>milena.gutierrez@sinac.go.cr</t>
  </si>
  <si>
    <t>25226500 ext:350</t>
  </si>
  <si>
    <t>Nota:</t>
  </si>
  <si>
    <t>Con respecto a los conceptos utilizados para describir las distintas categorías de cobertura de la tierra que juntas representan la cobertura forestal, se homologaron los conceptos definidos para la elaboración del MTBOT, los cuales están basados en la normativa legal vigente para el país. Adicionalmente, debido a que el MTBOT es un producto de información geográfica tipo raster, la información cuenta con otras posibilidades de desagregación, limitaciones y posibilidades de abordaje por parte de la institución para el reporte, lo cual se actualizó acorde con esta nueva metodología de monitoreo de la cobertura forestal del país.</t>
  </si>
  <si>
    <t>https://unstats.un.org/sdgs/metadata/files/Metadata-15-01-02.pdf</t>
  </si>
  <si>
    <t>Ministerio de Ambiente y Energía, Sistema Nacional de Información Geoambiental</t>
  </si>
  <si>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</si>
  <si>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Subindicador 1.</t>
  </si>
  <si>
    <t xml:space="preserve">Costa Rica: Progresos en la gestión forestal sostenible: </t>
  </si>
  <si>
    <t>Porcentaje de cambio neto en el área de bosque</t>
  </si>
  <si>
    <t>2000-2010</t>
  </si>
  <si>
    <t>2010-2015</t>
  </si>
  <si>
    <t>0,54*</t>
  </si>
  <si>
    <t>* Estimación de tendencia</t>
  </si>
  <si>
    <t>www.sirefor.go.cr</t>
  </si>
  <si>
    <t>Fuente: Ministerio de Ambiente y Energía, Sistema Nacional de Áreas de Conservación - REDD/CCAD/GIZ,  Inventario Forestal Nacional 2014</t>
  </si>
  <si>
    <t>Subindicador 2:</t>
  </si>
  <si>
    <t xml:space="preserve">Subindicador 3. </t>
  </si>
  <si>
    <t xml:space="preserve">Subindicador 4. </t>
  </si>
  <si>
    <t xml:space="preserve">Subindicador 5. </t>
  </si>
  <si>
    <r>
      <t>Costa Rica: Biomasa forestal (toneladas/ha): Biomasa por encima del suelo de los bosques</t>
    </r>
    <r>
      <rPr>
        <b/>
        <vertAlign val="superscript"/>
        <sz val="11"/>
        <rFont val="Open Sans Condensed"/>
      </rPr>
      <t>a/</t>
    </r>
  </si>
  <si>
    <r>
      <t>Costa Rica: Porcentaje de área de bosque dentro de las áreas protegidas legalmente establecidas</t>
    </r>
    <r>
      <rPr>
        <b/>
        <vertAlign val="superscript"/>
        <sz val="11"/>
        <rFont val="Open Sans Condensed"/>
      </rPr>
      <t>b/</t>
    </r>
  </si>
  <si>
    <r>
      <t>Costa Rica: Porcentaje de área de bosque con plan de gestión a largo plaz</t>
    </r>
    <r>
      <rPr>
        <b/>
        <vertAlign val="superscript"/>
        <sz val="11"/>
        <rFont val="Open Sans Condensed"/>
      </rPr>
      <t>c/</t>
    </r>
  </si>
  <si>
    <r>
      <t>Costa Rica: Área de bosque bajo sistemas de certificación de manejo forestal verificados de forma independiente</t>
    </r>
    <r>
      <rPr>
        <b/>
        <vertAlign val="superscript"/>
        <sz val="11"/>
        <rFont val="Open Sans Condensed"/>
      </rPr>
      <t>d/</t>
    </r>
  </si>
  <si>
    <t>196*</t>
  </si>
  <si>
    <t>44,08*</t>
  </si>
  <si>
    <t>37,03*</t>
  </si>
  <si>
    <t>37,58*</t>
  </si>
  <si>
    <r>
      <t xml:space="preserve">Fuente: </t>
    </r>
    <r>
      <rPr>
        <vertAlign val="superscript"/>
        <sz val="11"/>
        <rFont val="Open Sans Condensed"/>
      </rPr>
      <t>a/</t>
    </r>
    <r>
      <rPr>
        <sz val="11"/>
        <rFont val="Open Sans Condensed"/>
      </rPr>
      <t>Sistema Nacional de Áreas de Conservación - REDD/CCAD/GIZ,  Inventario Forestal Nacional 2014</t>
    </r>
  </si>
  <si>
    <r>
      <t xml:space="preserve">Fuente: </t>
    </r>
    <r>
      <rPr>
        <vertAlign val="superscript"/>
        <sz val="11"/>
        <rFont val="Open Sans Condensed"/>
      </rPr>
      <t>b/</t>
    </r>
    <r>
      <rPr>
        <sz val="11"/>
        <rFont val="Open Sans Condensed"/>
      </rPr>
      <t>Sistema Nacional de Áreas de Conservación 2018, información geoestadística de Áreas Silvestres Protegidas 2018</t>
    </r>
  </si>
  <si>
    <r>
      <t xml:space="preserve">Fuente: </t>
    </r>
    <r>
      <rPr>
        <vertAlign val="superscript"/>
        <sz val="11"/>
        <rFont val="Open Sans Condensed"/>
      </rPr>
      <t>c/</t>
    </r>
    <r>
      <rPr>
        <sz val="11"/>
        <rFont val="Open Sans Condensed"/>
      </rPr>
      <t>Sistema Nacional de Áreas de Conservación, Departamento de Conservación y uso de biodiversidad 2019.</t>
    </r>
  </si>
  <si>
    <r>
      <t xml:space="preserve">Fuente: </t>
    </r>
    <r>
      <rPr>
        <vertAlign val="superscript"/>
        <sz val="11"/>
        <rFont val="Open Sans Condensed"/>
      </rPr>
      <t>d/</t>
    </r>
    <r>
      <rPr>
        <sz val="11"/>
        <rFont val="Open Sans Condensed"/>
      </rPr>
      <t>Sistema Nacional de Áreas de Conservación, Departamento de Conservación y uso de biodiversidad 2017.</t>
    </r>
  </si>
  <si>
    <t>https://unstats.un.org/sdgs/metadata/files/Metadata-15-02-01.pdf</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</si>
  <si>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</si>
  <si>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</si>
  <si>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</si>
  <si>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</si>
  <si>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</si>
  <si>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</si>
  <si>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</si>
  <si>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</si>
  <si>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</si>
  <si>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</si>
  <si>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</si>
  <si>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r>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r>
    <r>
      <rPr>
        <sz val="11"/>
        <color rgb="FFFF0000"/>
        <rFont val="Open Sans Condensed"/>
      </rPr>
      <t>El cual ya cuenta con la aprobación a nivel nacional y está en las últimas revisiones por parte del equipo FRA en Roma. El informe será publicado para inicios del 2025 (de acuerdo a su ciclo oficial por quinquenio). Considerando lo anterior la actualización de la HM podría estar lista entre los meses de julio o agosto del 2025.</t>
    </r>
  </si>
  <si>
    <t>Henry Ramirez</t>
  </si>
  <si>
    <t>Departamento Conservación y Uso Sostenible de la Biodiversidad y los Servicios Ecosistémicos</t>
  </si>
  <si>
    <t>Sistema Nacional de Áreas de Conservación</t>
  </si>
  <si>
    <t>(506) 25226500 ext 306</t>
  </si>
  <si>
    <t xml:space="preserve">henry.ramirez@sinac.go.cr </t>
  </si>
  <si>
    <t xml:space="preserve">Milena Gutiérrez Leitón </t>
  </si>
  <si>
    <t>(506) 25226500</t>
  </si>
  <si>
    <t>https://unstats.un.org/sdgs/metadata/files/Metadata-15-03-01.pdf</t>
  </si>
  <si>
    <t>Adriana Aguilar</t>
  </si>
  <si>
    <t>Sistema Nacional de Áreas de Conservación - CUSBE</t>
  </si>
  <si>
    <t>(506) 2522-6500</t>
  </si>
  <si>
    <t>adriana.aguilar@sinac.go.cr</t>
  </si>
  <si>
    <t>https://unstats.un.org/sdgs/metadata/files/Metadata-15-04-01.pdf</t>
  </si>
  <si>
    <t>Sonia Lobo</t>
  </si>
  <si>
    <t>(506) 2522-6500 Ext: 306</t>
  </si>
  <si>
    <t>sonia.lobo@sinac.go.cr</t>
  </si>
  <si>
    <t>15.4 De aquí a 2030, asegurar la conservación de los ecosistemas montañosos, incluida su diversidad biológica, a fin de mejorar su capacidad de proporcionar beneficios esenciales para el desarrollo sostenible </t>
  </si>
  <si>
    <t>Costa Rica: Área en km2 y porcentaje de usos de la tierra en las áreas de montaña, por tipo de uso según categorías Kapos</t>
  </si>
  <si>
    <t>Clase</t>
  </si>
  <si>
    <t>Superficie total</t>
  </si>
  <si>
    <t>Forestal</t>
  </si>
  <si>
    <t>Pastizales</t>
  </si>
  <si>
    <t>Humedales</t>
  </si>
  <si>
    <t>Tierras de cultivo</t>
  </si>
  <si>
    <t>Asentamientos</t>
  </si>
  <si>
    <t>Otras tierras</t>
  </si>
  <si>
    <t>Nubes</t>
  </si>
  <si>
    <t>Kapo 1</t>
  </si>
  <si>
    <t>Kapo 2</t>
  </si>
  <si>
    <t>Kapo 3</t>
  </si>
  <si>
    <t>Kapo 4</t>
  </si>
  <si>
    <t>Kapo 5</t>
  </si>
  <si>
    <t>Kapo 6</t>
  </si>
  <si>
    <t>Forestal: Corresponde a bosque secundario, maduro y plantación forestal</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</si>
  <si>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</si>
  <si>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Fuente: Ministerio de Ambiente y Energía, Programa REDD/CCDA-GIZ-SINAC 2015. Inventario Forestal de Costa Rica e Instituto Metereológico Nacional, Inventario Nacional de Gases de Efecto Invernadero y absorción de carbono, 2012</t>
  </si>
  <si>
    <t>Costa Rica: Cobertura verde y área de montañas por clase según clasificación Kapos para Costa Rica, 2017 - 2018</t>
  </si>
  <si>
    <t>Fuente: Ministerio de Ambiente y Energía, Programa REDD/CCDA-GIZ-SINAC 2015.</t>
  </si>
  <si>
    <t xml:space="preserve"> Inventario Forestal de Costa Rica e Instituto Metereológico Nacional, </t>
  </si>
  <si>
    <t>Inventario Nacional de Gases de Efecto Invernadero y absorción de carbono, 2012</t>
  </si>
  <si>
    <t>https://unstats.un.org/sdgs/metadata/files/Metadata-15-04-02.pdf</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</si>
  <si>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</si>
  <si>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</si>
  <si>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</si>
  <si>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Open Sans Condensed"/>
      </rPr>
      <t>umatoria la cobertura de páramos</t>
    </r>
    <r>
      <rPr>
        <sz val="11"/>
        <rFont val="Open Sans Condensed"/>
      </rPr>
      <t xml:space="preserve"> y </t>
    </r>
    <r>
      <rPr>
        <u/>
        <sz val="11"/>
        <rFont val="Open Sans Condensed"/>
      </rPr>
      <t>no se incluye</t>
    </r>
    <r>
      <rPr>
        <sz val="11"/>
        <rFont val="Open Sans Condensed"/>
      </rPr>
      <t xml:space="preserve"> en el cálculo la superficie de "</t>
    </r>
    <r>
      <rPr>
        <u/>
        <sz val="11"/>
        <rFont val="Open Sans Condensed"/>
      </rPr>
      <t>Suelo desnud</t>
    </r>
    <r>
      <rPr>
        <sz val="11"/>
        <rFont val="Open Sans Condensed"/>
      </rPr>
      <t xml:space="preserve">o", contemplada en ésta clase por </t>
    </r>
    <r>
      <rPr>
        <u/>
        <sz val="11"/>
        <rFont val="Open Sans Condensed"/>
      </rPr>
      <t>No ser parte de la Cobertura Verde</t>
    </r>
    <r>
      <rPr>
        <sz val="11"/>
        <rFont val="Open Sans Condensed"/>
      </rPr>
      <t>.
•</t>
    </r>
    <r>
      <rPr>
        <b/>
        <u/>
        <sz val="11"/>
        <rFont val="Open Sans Condensed"/>
      </rPr>
      <t xml:space="preserve"> Para la delimitación de las áreas de montaña</t>
    </r>
    <r>
      <rPr>
        <sz val="11"/>
        <rFont val="Open Sans Condensed"/>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</si>
  <si>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t>Definiciones IPCC</t>
  </si>
  <si>
    <t>Definiciones del IPCC ajustadas para Costa Rica</t>
  </si>
  <si>
    <r>
      <t xml:space="preserve">1.     </t>
    </r>
    <r>
      <rPr>
        <b/>
        <u/>
        <sz val="11"/>
        <rFont val="Open Sans Condensed"/>
      </rPr>
      <t>Tierras forestales</t>
    </r>
    <r>
      <rPr>
        <b/>
        <sz val="11"/>
        <rFont val="Open Sans Condensed"/>
      </rPr>
      <t>:</t>
    </r>
    <r>
      <rPr>
        <sz val="11"/>
        <rFont val="Open Sans Condensed"/>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</si>
  <si>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 xml:space="preserve">1.     </t>
    </r>
    <r>
      <rPr>
        <b/>
        <u/>
        <sz val="11"/>
        <rFont val="Open Sans Condensed"/>
      </rPr>
      <t>Forestal</t>
    </r>
    <r>
      <rPr>
        <sz val="11"/>
        <rFont val="Open Sans Condensed"/>
      </rPr>
      <t>: Para esta categoría se consideró las coberturas forestales constituidas por bosques maduros, bosques secundarios y plantaciones forestales.</t>
    </r>
  </si>
  <si>
    <r>
      <t xml:space="preserve">2.     </t>
    </r>
    <r>
      <rPr>
        <b/>
        <u/>
        <sz val="11"/>
        <rFont val="Open Sans Condensed"/>
      </rPr>
      <t>Tierras de cultivo:</t>
    </r>
    <r>
      <rPr>
        <sz val="11"/>
        <rFont val="Open Sans Condensed"/>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</si>
  <si>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rFont val="Open Sans Condensed"/>
      </rPr>
      <t>Tierras de cultivo</t>
    </r>
  </si>
  <si>
    <r>
      <t xml:space="preserve">3.     </t>
    </r>
    <r>
      <rPr>
        <b/>
        <u/>
        <sz val="11"/>
        <rFont val="Open Sans Condensed"/>
      </rPr>
      <t>Tierras de pasto/matorrales</t>
    </r>
    <r>
      <rPr>
        <b/>
        <sz val="11"/>
        <rFont val="Open Sans Condensed"/>
      </rPr>
      <t xml:space="preserve">: </t>
    </r>
    <r>
      <rPr>
        <sz val="11"/>
        <rFont val="Open Sans Condensed"/>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</si>
  <si>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rFont val="Open Sans Condensed"/>
      </rPr>
      <t>Tierras de pasto/matorrales</t>
    </r>
  </si>
  <si>
    <r>
      <t xml:space="preserve">4.     </t>
    </r>
    <r>
      <rPr>
        <b/>
        <u/>
        <sz val="11"/>
        <rFont val="Open Sans Condensed"/>
      </rPr>
      <t>Humedales</t>
    </r>
    <r>
      <rPr>
        <b/>
        <sz val="11"/>
        <rFont val="Open Sans Condensed"/>
      </rPr>
      <t xml:space="preserve">: </t>
    </r>
    <r>
      <rPr>
        <sz val="11"/>
        <rFont val="Open Sans Condensed"/>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</si>
  <si>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rFont val="Open Sans Condensed"/>
      </rPr>
      <t>Humedales</t>
    </r>
    <r>
      <rPr>
        <sz val="11"/>
        <rFont val="Open Sans Condensed"/>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</si>
  <si>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rFont val="Open Sans Condensed"/>
      </rPr>
      <t>Asentamientos:</t>
    </r>
    <r>
      <rPr>
        <sz val="11"/>
        <rFont val="Open Sans Condensed"/>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</si>
  <si>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rFont val="Open Sans Condensed"/>
      </rPr>
      <t>Asentamientos</t>
    </r>
  </si>
  <si>
    <r>
      <t xml:space="preserve">6.     </t>
    </r>
    <r>
      <rPr>
        <b/>
        <u/>
        <sz val="11"/>
        <rFont val="Open Sans Condensed"/>
      </rPr>
      <t>Otra tierra</t>
    </r>
    <r>
      <rPr>
        <b/>
        <sz val="11"/>
        <rFont val="Open Sans Condensed"/>
      </rPr>
      <t>:</t>
    </r>
    <r>
      <rPr>
        <sz val="11"/>
        <rFont val="Open Sans Condensed"/>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</si>
  <si>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rFont val="Open Sans Condensed"/>
      </rPr>
      <t>Otra tierra</t>
    </r>
    <r>
      <rPr>
        <b/>
        <sz val="11"/>
        <rFont val="Open Sans Condensed"/>
      </rPr>
      <t>:</t>
    </r>
    <r>
      <rPr>
        <sz val="11"/>
        <rFont val="Open Sans Condensed"/>
      </rPr>
      <t xml:space="preserve"> En esta categoría se consideró únicamente la superficie de páramos del país.</t>
    </r>
  </si>
  <si>
    <r>
      <t xml:space="preserve">7.	</t>
    </r>
    <r>
      <rPr>
        <b/>
        <sz val="11"/>
        <rFont val="Open Sans Condensed"/>
      </rPr>
      <t xml:space="preserve">Nubes y sombras: </t>
    </r>
    <r>
      <rPr>
        <sz val="11"/>
        <rFont val="Open Sans Condensed"/>
      </rPr>
      <t>Por limitación de la fuente primaria de datos no se contabiliza la cobertura verde para nubes y sombras.</t>
    </r>
  </si>
  <si>
    <r>
      <t xml:space="preserve">En Costa Rica se registra </t>
    </r>
    <r>
      <rPr>
        <b/>
        <u/>
        <sz val="11"/>
        <rFont val="Open Sans Condensed"/>
      </rPr>
      <t>97,48 %</t>
    </r>
    <r>
      <rPr>
        <sz val="11"/>
        <rFont val="Open Sans Condensed"/>
      </rPr>
      <t xml:space="preserve"> de cobertura verde en áreas de montaña para el año </t>
    </r>
    <r>
      <rPr>
        <b/>
        <u/>
        <sz val="11"/>
        <rFont val="Open Sans Condensed"/>
      </rPr>
      <t>2017 - 2018</t>
    </r>
    <r>
      <rPr>
        <sz val="11"/>
        <rFont val="Open Sans Condensed"/>
      </rPr>
      <t>.</t>
    </r>
  </si>
  <si>
    <t>Área de montaña
Tipos de cobertura</t>
  </si>
  <si>
    <t>Por clase de Kapos y por tipo de cobertura.</t>
  </si>
  <si>
    <t>Cada cinco  años con información del mapa del Inventario de Gases de Efecto Invernadero (GEI), y sujeto al Inventario Forestal Nacional (IFN) que no tiene una periodicidad regular definida</t>
  </si>
  <si>
    <t xml:space="preserve">• Instituto Geográfico Nacional (IGN). Curvas de nivel de las Hojas Cartográficas a escala 1:50000 para Costa Rica. 2015.
• FAO / MPS. Mapa mundial de montañas basado Clasificación de montañas PNUMA-WCMC por Kapos et al. 2015.
• MINAE-IMN, Inventario Nacional de Gases de Efecto Invernadero y absorción de carbono de Costa Rica. 2017/2018
• MINAE-SINAC. Inventario Nacional de Humedales de Costa Rica. 2018
</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</si>
  <si>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</si>
  <si>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</si>
  <si>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</si>
  <si>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Henry Ramírez </t>
  </si>
  <si>
    <t xml:space="preserve">Mauricio Castillo </t>
  </si>
  <si>
    <t xml:space="preserve">Información y Regularización del territorio </t>
  </si>
  <si>
    <t>Marilyn Calvo Méndez</t>
  </si>
  <si>
    <t>Instituto Metereológico Nacional</t>
  </si>
  <si>
    <t>mcalvo@imn.ac.cr</t>
  </si>
  <si>
    <t>Sonia Lobo Valverde</t>
  </si>
  <si>
    <t>Coordinadora Sistema de Información de Recursos Forestales (SIREFOR - SINAC)</t>
  </si>
  <si>
    <t>Costa Rica: Indice de la Lista Roja</t>
  </si>
  <si>
    <t>Costa Rica: Indice de la Lista Roja, 1993-2021</t>
  </si>
  <si>
    <t>Indice Lista Roja</t>
  </si>
  <si>
    <t>Máximo</t>
  </si>
  <si>
    <t>Mínimo</t>
  </si>
  <si>
    <t>https://unstats.un.org/sdgs/indicators/database/?indicator=15.5.1</t>
  </si>
  <si>
    <t xml:space="preserve">Fuente: Ministerio de Ambiente y Energía, Sistema Nacional de Áreas de Conservación, con datos tomados de base de datos de Naciones Unidas, 2021 </t>
  </si>
  <si>
    <t>https://unstats.un.org/sdgs/metadata/files/Metadata-15-05-01.pdf</t>
  </si>
  <si>
    <t>Índice de la Lista Roja</t>
  </si>
  <si>
    <r>
      <t xml:space="preserve">Se refiere a las especies amenazadas por tipo de especie. 
</t>
    </r>
    <r>
      <rPr>
        <b/>
        <sz val="11"/>
        <rFont val="Open Sans Condensed"/>
      </rPr>
      <t>Especies Amenazadas:</t>
    </r>
    <r>
      <rPr>
        <sz val="11"/>
        <rFont val="Open Sans Condensed"/>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</si>
  <si>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</si>
  <si>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</si>
  <si>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</si>
  <si>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</si>
  <si>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</si>
  <si>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</si>
  <si>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Se base en una evaluación del estado de las especies a nivel regional y no nacional</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</si>
  <si>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</si>
  <si>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Eugenia Arguedas</t>
  </si>
  <si>
    <t>eugenia.arguedas@sinac.go.cr</t>
  </si>
  <si>
    <t>Guido Saborío Rodríguez</t>
  </si>
  <si>
    <t>(506) 2775-1210 Ext 140</t>
  </si>
  <si>
    <t>guido.saborio@sinac.go.cr</t>
  </si>
  <si>
    <t>Modificada por:</t>
  </si>
  <si>
    <t>Fecha:</t>
  </si>
  <si>
    <t>Ajustes</t>
  </si>
  <si>
    <t>Guido Saborío, Alexandra Ocampo</t>
  </si>
  <si>
    <t>Indicador, fórmula, Información de contacto</t>
  </si>
  <si>
    <t>https://unstats.un.org/sdgs/metadata/files/Metadata-15-06-01.pdf</t>
  </si>
  <si>
    <t>https://unstats.un.org/sdgs/metadata/files/Metadata-15-07-01.pdf</t>
  </si>
  <si>
    <t>MINAE</t>
  </si>
  <si>
    <t>Benjamin Pavlosky
Angie Sanchez Nuñez</t>
  </si>
  <si>
    <t>Sistema Nacional de Áreas de Conservación - Vida Silvestre</t>
  </si>
  <si>
    <t xml:space="preserve">(506) 2522-6500 Ext: </t>
  </si>
  <si>
    <t>angie.sanchez@sinac.go.cr</t>
  </si>
  <si>
    <t>Costa Rica: Existencia de legislación nacional  para la prevención o el control de las especies exóticas invasoras</t>
  </si>
  <si>
    <t>Preguntas</t>
  </si>
  <si>
    <t>No sabe</t>
  </si>
  <si>
    <t>Nombre del departamento gubernamental, agencia u organismos nacionales (incluidas las instituciones/organizaciones supranacionales, por ejemplo, la UE) responsables de gestionar las EEI que impactan el medio ambiente natural, los sectores económicos (por ejemplo, agricultura, silvicultura, turismo, etc.) o humanos. salud.</t>
  </si>
  <si>
    <t>Sistema Nacional de Áreas de Conservación
Agencia de Planificación Ambiental (SEPLASA) del Ministerio de Medio Ambiente y Energía.</t>
  </si>
  <si>
    <t>Sistema Nacional de Áreas de Conservación 
Agencia de Planificación Ambiental (SEPLASA) del Ministerio de Medio Ambiente y Energía.</t>
  </si>
  <si>
    <t>¿Existen instituciones (incluidas instituciones/organizaciones supranacionales, por ejemplo, la UE) con un mandato legal claro y los poderes necesarios para desarrollar planes y políticas nacionales en relación con las especies exóticas invasoras?</t>
  </si>
  <si>
    <t>Mandato legal claro (autorización, decreto, directiva u orden oficial)</t>
  </si>
  <si>
    <t>x</t>
  </si>
  <si>
    <t>Poderes necesarios (autoridad legal)</t>
  </si>
  <si>
    <t>¿Existen instituciones (incluidas instituciones/organizaciones supranacionales, por ejemplo, la UE) con un mandato legal claro y los poderes necesarios para emprender análisis de riesgo de especies potencialmente invasoras?</t>
  </si>
  <si>
    <t>¿Existen instituciones (incluidas instituciones/organizaciones supranacionales, p. ej., la UE) con un mandato legal claro y la autoridad necesaria para prevenir la introducción intencional de especies evaluadas como potencialmente invasoras (incluida la importación, con fines agrícolas, acuícolas, viveros/comercio ornamental)? , agricultura y cría de animales, comercio de animales de compañía, etc.)?</t>
  </si>
  <si>
    <t>¿Existen instituciones (incluidas instituciones/organizaciones supranacionales, por ejemplo, la UE) con un mandato legal claro y los poderes necesarios para minimizar la introducción no intencional de especies exóticas?</t>
  </si>
  <si>
    <t>¿Existen instituciones (incluidas instituciones/organizaciones supranacionales, por ejemplo, la UE) con un mandato legal claro y los poderes necesarios para promover la conciencia pública sobre los temas de las EEI?</t>
  </si>
  <si>
    <t>¿Existen instituciones (incluidas instituciones/organizaciones supranacionales, por ejemplo, la UE) con un mandato legal claro y los poderes necesarios para monitorear y llevar a cabo programas de vigilancia para detectar poblaciones de EEI introducidas en una etapa temprana?</t>
  </si>
  <si>
    <t>¿Existen instituciones (incluidas instituciones/organizaciones supranacionales, por ejemplo, la UE) con un mandato legal claro y los poderes necesarios para contener y erradicar las poblaciones de EEI dentro del país?</t>
  </si>
  <si>
    <t>¿Existen instituciones (incluidas instituciones/organizaciones supranacionales, por ejemplo, la UE) con un mandato legal claro y los poderes necesarios para registrar y mantener información sobre EEI?</t>
  </si>
  <si>
    <t>¿Existen instituciones (incluidas instituciones/organizaciones supranacionales, por ejemplo, la UE) con un mandato legal claro y los poderes necesarios para hacer cumplir las disposiciones legales pertinentes en relación con el control de especies exóticas invasoras?</t>
  </si>
  <si>
    <t>¿Existen disposiciones legales o arreglos institucionales para facilitar la cooperación entre las diferentes agencias gubernamentales en la toma de decisiones con respecto a las EEI?</t>
  </si>
  <si>
    <t>¿Tiene su país una asignación del presupuesto nacional para manejar la amenaza de EEI?</t>
  </si>
  <si>
    <t>¿Puede proporcionar una estimación de esta asignación?</t>
  </si>
  <si>
    <t>Si su país es receptor de financiamiento global (como el Fondo para el Medio Ambiente Mundial (FMAM), ¿ha accedido su país a algún financiamiento de mecanismos financieros globales para proyectos relacionados con el manejo de EEI?</t>
  </si>
  <si>
    <t>En caso afirmativo, ¿puede enumerarlos?</t>
  </si>
  <si>
    <t>¿Su Estrategia de Biodiversidad (a nivel local, nacional, regional o supranacional) incluye objetivo(s) y acciones relacionadas con el manejo de EEI?</t>
  </si>
  <si>
    <t>En caso afirmativo, ¿se están implementando estas acciones?</t>
  </si>
  <si>
    <t>Implementación parcial</t>
  </si>
  <si>
    <t>¿Existe una asignación de presupuesto o existen herramientas financieras (por ejemplo,
programas financieros) disponibles para esta implementación?"</t>
  </si>
  <si>
    <t>¿Ha desarrollado su país una estrategia y plan de acción nacional sobre especies exóticas invasoras (NISSAP)?</t>
  </si>
  <si>
    <t>¿Existe una asignación de presupuesto o existen herramientas financieras (por ejemplo, programas financieros) disponibles para esta implementación?</t>
  </si>
  <si>
    <t>Si su país no ha desarrollado una estrategia y plan de acción nacional sobre especies exóticas invasoras (NISSAP), ¿bajo qué marco regulatorio o político nacional se realiza actualmente la prevención, el control y el manejo de EEI en su país?</t>
  </si>
  <si>
    <t>A pesar de que no existe una estrategia y un plan de acción nacionales para especies exóticas invasoras, existe un marco legal a través de Vida Silvestre y
Leyes de Biodiversidad relacionadas con el manejo y control de EEI</t>
  </si>
  <si>
    <t>Hasta el momento, la prevención, control y manejo de EEI funciona a través del marco legal nacional</t>
  </si>
  <si>
    <t>¿Conoce alguna agencia no gubernamental (ONG) o grupos de la sociedad civil involucrados en el manejo de EEI en su país?</t>
  </si>
  <si>
    <t>¿Cuál es el nivel de participación?</t>
  </si>
  <si>
    <t>Baja participación</t>
  </si>
  <si>
    <t>¿Toma su gobierno medidas de precaución para evitar que las EEI ingresen al país y, de ser así, cómo intenta gestionar las rutas/los vectores?</t>
  </si>
  <si>
    <t>Aún no. Forma parte de próximos pasos del Grupo IAS del Ministerio de Ambiente y Energía</t>
  </si>
  <si>
    <t>A través de la NBsAP hay algunas acciones relativas a mejorar la coordinación entre las agencias involucradas en la gestión de las vías, como la oficina de aduanas, la oficina de agricultura y otras.</t>
  </si>
  <si>
    <t>¿Existe alguna forma de colaboración con otros países en la que su gobierno participe regularmente?</t>
  </si>
  <si>
    <t>Ha habido algunos vínculos con otros países, por ejemplo, el tema del pez león en los países del Mar Caribe.</t>
  </si>
  <si>
    <t>Sí, por supuesto que CR estará en condiciones de coordinarse con otros países para evitar la entrada de EEI y trabajar juntos.</t>
  </si>
  <si>
    <t>Fuente: Ministerio de Ambiente y Energía, Sistema Nacional de Áreas de Conservación</t>
  </si>
  <si>
    <t>https://unstats.un.org/sdgs/metadata/files/Metadata-15-08-01.pdf</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</si>
  <si>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</si>
  <si>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(506) 2522-6500 Ext:</t>
  </si>
  <si>
    <t>https://unstats.un.org/sdgs/metadata/files/Metadata-15-0a-01.pdf</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</si>
  <si>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</si>
  <si>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https://unstats.un.org/sdgs/metadata/files/Metadata-15-0b-01.pdf</t>
  </si>
  <si>
    <t>https://unstats.un.org/sdgs/metadata/files/Metadata-15-0c-01.pdf</t>
  </si>
  <si>
    <t xml:space="preserve">Objetivo 16. Promover sociedades pacíficas e inclusivas para el desarrollo sostenible, facilitar el acceso  a la justicia para todos y construir a todos los niveles instituciones eficaces e inclusivas que rindan cuentas </t>
  </si>
  <si>
    <t>16.1 Reducir significativamente todas las formas de violencia y las correspondientes tasas de mortalidad en todo el mundo</t>
  </si>
  <si>
    <t>16.1.1</t>
  </si>
  <si>
    <t>16.1.1 Número de víctimas de homicidios intencionales por cada 100.000 habitantes, desglosado por sexo y edad</t>
  </si>
  <si>
    <t>16.1.2</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</si>
  <si>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</si>
  <si>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</si>
  <si>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</si>
  <si>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t>
  </si>
  <si>
    <t>16.1.4 Proporción de la población que se siente segura al caminar sola en su zona de residencia después de que oscurece</t>
  </si>
  <si>
    <t>16.2 Poner fin al maltrato, la explotación, la trata y todas las formas de violencia y tortura contra los niños</t>
  </si>
  <si>
    <t>16.2.1</t>
  </si>
  <si>
    <t>16.2.1 Proporción de niños de entre 1 y 17 años que han sufrido algún castigo físico o agresión psicológica a manos de sus cuidadores en el último mes</t>
  </si>
  <si>
    <t>16.2.2</t>
  </si>
  <si>
    <t>16.2.2 Número de víctimas de la trata de personas por cada 100.000 habitantes, desglosado por sexo, edad y tipo de explotación</t>
  </si>
  <si>
    <t>16.2.3</t>
  </si>
  <si>
    <t>16.2.3 Proporción de mujeres y hombres jóvenes de entre 18 y 29 años que sufrieron violencia sexual antes de cumplir los 18 años</t>
  </si>
  <si>
    <t>16.3 Promover el estado de derecho en los planos nacional e internacional y garantizar la igualdad de acceso a la justicia para todos</t>
  </si>
  <si>
    <t>16.3.1</t>
  </si>
  <si>
    <t>16.3.1 Proporción de víctimas de violencia en los últimos 12 meses que han notificado su victimización a las autoridades competentes u otros mecanismos de resolución de conflictos reconocidos oficialmente</t>
  </si>
  <si>
    <t>16.3.2</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</si>
  <si>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</si>
  <si>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</si>
  <si>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</si>
  <si>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 De aquí a 2030, reducir significativamente las corrientes financieras y de armas ilícitas, fortalecer la recuperación y devolución de los activos robados y luchar contra todas las formas de delincuencia organizada</t>
  </si>
  <si>
    <t>16.4.1</t>
  </si>
  <si>
    <t>16.4.1 Valor total de las corrientes financieras ilícitas entrantes y salientes (en dólares corrientes de los Estados Unidos)</t>
  </si>
  <si>
    <t>16.4.2</t>
  </si>
  <si>
    <t>16.4.2 Proporción de armas incautadas, encontradas o entregadas cuyo origen o contexto ilícitos han sido determinados o establecidos por una autoridad competente, de conformidad con los instrumentos internacionales</t>
  </si>
  <si>
    <t>16.5 Reducir considerablemente la corrupción y el soborno en todas sus formas</t>
  </si>
  <si>
    <t>16.5.1</t>
  </si>
  <si>
    <t>16.5.1 Proporción de personas que han tenido al menos un contacto con un funcionario público y que han pagado un soborno a un funcionario público, o a las que un funcionario público les ha pedido un soborno, durante los últimos 12 meses</t>
  </si>
  <si>
    <t>16.5.2</t>
  </si>
  <si>
    <t>16.5.2 Proporción de negocios que han tenido al menos un contacto con un funcionario público y que han pagado un soborno a un funcionario público, o a los que un funcionario público les ha pedido un soborno, durante los últimos 12 meses</t>
  </si>
  <si>
    <t>16.6 Crear a todos los niveles instituciones eficaces y transparentes que rindan cuentas</t>
  </si>
  <si>
    <t>16.6.1</t>
  </si>
  <si>
    <t>16.6.1 Gastos primarios del gobierno en proporción al presupuesto aprobado originalmente, desglosados por sector (o por códigos presupuestarios o elementos similares)</t>
  </si>
  <si>
    <t>16.6.2</t>
  </si>
  <si>
    <t>16.6.2 Proporción de la población que se siente satisfecha con su última experiencia de los servicios públicos</t>
  </si>
  <si>
    <t>16.7 Garantizar la adopción en todos los niveles de decisiones inclusivas, participativas y representativas que respondan a las necesidades</t>
  </si>
  <si>
    <t>16.7.1</t>
  </si>
  <si>
    <t>16.7.1 Proporciones de plazas en las instituciones nacionales y locales, entre ellas: a) las asambleas legislativas, b) la administración pública y c) el poder judicial, en comparación con la distribución nacional, desglosadas por sexo, edad, personas con</t>
  </si>
  <si>
    <t>16.7.2</t>
  </si>
  <si>
    <t>16.7.2 Proporción de la población que considera que la adopción de decisiones es inclusiva y responde a sus necesidades, desglosada por sexo, edad, discapacidad y grupo de población</t>
  </si>
  <si>
    <t>16.8 Ampliar y fortalecer la participación de los países en desarrollo en las instituciones de gobernanza mundial</t>
  </si>
  <si>
    <t>16.8.1</t>
  </si>
  <si>
    <t>16.8.1 Proporción de miembros y derechos de voto de los países en desarrollo en organizaciones internacionales</t>
  </si>
  <si>
    <t>16.9 De aquí a 2030, proporcionar acceso a una identidad jurídica para todos, en particular mediante el registro de nacimientos</t>
  </si>
  <si>
    <t>16.9.1</t>
  </si>
  <si>
    <t>16.9.1 Proporción de niños menores de 5 años cuyo nacimiento se ha registrado ante una autoridad civil, desglosada por edad</t>
  </si>
  <si>
    <t>16.10 Garantizar el acceso público a la información y proteger las libertades fundamentales, de conformidad con las leyes nacionales y los acuerdos internacionales</t>
  </si>
  <si>
    <t>16.10.1</t>
  </si>
  <si>
    <t>16.10.1 Número de casos verificados de asesinato, secuestro, desaparición forzada, detención arbitraria y tortura de periodistas, miembros asociados de los medios de comunicación, sindicalistas y defensores de los derechos humanos, en los últimos 12 meses</t>
  </si>
  <si>
    <t>16.10.2</t>
  </si>
  <si>
    <t>16.10.2 Número de países que adoptan y aplican garantías constitucionales, legales o normativas para el acceso público a la información</t>
  </si>
  <si>
    <t>16.a Fortalecer las instituciones nacionales pertinentes, incluso mediante la cooperación internacional, para crear a todos los niveles, particularmente en los países en desarrollo, la capacidad de prevenir la violencia y combatir el terrorismo y la delincuencia</t>
  </si>
  <si>
    <t>16.a.1</t>
  </si>
  <si>
    <t>16.a.1 Existencia de instituciones nacionales independientes de derechos humanos, en cumplimiento de los Principios de París</t>
  </si>
  <si>
    <t>16.b Promover y aplicar leyes y políticas no discriminatorias en favor del desarrollo sostenible</t>
  </si>
  <si>
    <t>16.b.1</t>
  </si>
  <si>
    <t>16.b.1 Proporción de la población que declara haberse sentido personalmente discriminada o acosada en los últimos 12 meses por motivos de discriminación prohibidos por el derecho internacional de los derechos humanos</t>
  </si>
  <si>
    <t xml:space="preserve">Costa Rica: Tasa de homicidio doloso en Costa Rica, por sexo, país de origen y grupos de edad </t>
  </si>
  <si>
    <t>País de origen</t>
  </si>
  <si>
    <t>Grupo de Edad (en años cumplidos)</t>
  </si>
  <si>
    <t>Información ignorada</t>
  </si>
  <si>
    <t>Centroamérica</t>
  </si>
  <si>
    <t xml:space="preserve">Norte América </t>
  </si>
  <si>
    <t>Sur</t>
  </si>
  <si>
    <r>
      <t>El Caribe</t>
    </r>
    <r>
      <rPr>
        <b/>
        <vertAlign val="superscript"/>
        <sz val="11"/>
        <rFont val="Open Sans Condensed"/>
      </rPr>
      <t>4/</t>
    </r>
  </si>
  <si>
    <r>
      <t xml:space="preserve">Resto del Mundo </t>
    </r>
    <r>
      <rPr>
        <b/>
        <vertAlign val="superscript"/>
        <sz val="11"/>
        <rFont val="Open Sans Condensed"/>
      </rPr>
      <t>5/</t>
    </r>
  </si>
  <si>
    <t>Panamá</t>
  </si>
  <si>
    <r>
      <t>Resto de Centroamérica</t>
    </r>
    <r>
      <rPr>
        <b/>
        <vertAlign val="superscript"/>
        <sz val="11"/>
        <rFont val="Open Sans Condensed"/>
      </rPr>
      <t>1/</t>
    </r>
    <r>
      <rPr>
        <b/>
        <sz val="11"/>
        <rFont val="Open Sans Condensed"/>
      </rPr>
      <t xml:space="preserve"> </t>
    </r>
  </si>
  <si>
    <r>
      <t>Resto de NorteAmérica</t>
    </r>
    <r>
      <rPr>
        <b/>
        <vertAlign val="superscript"/>
        <sz val="11"/>
        <rFont val="Open Sans Condensed"/>
      </rPr>
      <t>2/</t>
    </r>
  </si>
  <si>
    <r>
      <t xml:space="preserve">Resto de Sur América </t>
    </r>
    <r>
      <rPr>
        <b/>
        <vertAlign val="superscript"/>
        <sz val="11"/>
        <rFont val="Open Sans Condensed"/>
      </rPr>
      <t>3/</t>
    </r>
  </si>
  <si>
    <t>Menos de cinco años</t>
  </si>
  <si>
    <t>De 15 a 17 años</t>
  </si>
  <si>
    <t>De 65 y más años</t>
  </si>
  <si>
    <t>Información Ignorada</t>
  </si>
  <si>
    <r>
      <rPr>
        <vertAlign val="superscript"/>
        <sz val="11"/>
        <rFont val="Open Sans Condensed"/>
      </rPr>
      <t>1/</t>
    </r>
    <r>
      <rPr>
        <sz val="11"/>
        <rFont val="Open Sans Condensed"/>
      </rPr>
      <t>El Salvador, Guatemala y Honduras.</t>
    </r>
  </si>
  <si>
    <r>
      <rPr>
        <vertAlign val="superscript"/>
        <sz val="11"/>
        <rFont val="Open Sans Condensed"/>
      </rPr>
      <t>2/</t>
    </r>
    <r>
      <rPr>
        <sz val="11"/>
        <rFont val="Open Sans Condensed"/>
      </rPr>
      <t>México y Canadá</t>
    </r>
  </si>
  <si>
    <r>
      <rPr>
        <vertAlign val="superscript"/>
        <sz val="11"/>
        <rFont val="Open Sans Condensed"/>
      </rPr>
      <t>3/</t>
    </r>
    <r>
      <rPr>
        <sz val="11"/>
        <rFont val="Open Sans Condensed"/>
      </rPr>
      <t>Ecuador, Argentina, Perú, Venezuela y Uruguay</t>
    </r>
  </si>
  <si>
    <r>
      <rPr>
        <vertAlign val="superscript"/>
        <sz val="11"/>
        <rFont val="Open Sans Condensed"/>
      </rPr>
      <t>4/</t>
    </r>
    <r>
      <rPr>
        <sz val="11"/>
        <rFont val="Open Sans Condensed"/>
      </rPr>
      <t>Cuba, República Dominicana y Jamaica.</t>
    </r>
  </si>
  <si>
    <r>
      <rPr>
        <vertAlign val="superscript"/>
        <sz val="11"/>
        <rFont val="Open Sans Condensed"/>
      </rPr>
      <t>5/</t>
    </r>
    <r>
      <rPr>
        <sz val="11"/>
        <rFont val="Open Sans Condensed"/>
      </rPr>
      <t>Rusia, Francia, Alemania, Austria, Checoslovaquia, China, Granada, Vietnam, Pakistán, Uzbekistan, Holanda, Israel, Italia, España, Rumania, Líbano, Croacia,Iran</t>
    </r>
  </si>
  <si>
    <t>Fuente: Poder judicial, 2023</t>
  </si>
  <si>
    <t>Costa Rica: Tasas de homicidios dolosos por 100 000 habitantes según sexo de la víctima, 2010-2023</t>
  </si>
  <si>
    <t>* Calculada a partir de las denuncias ingresadas al Organismo de Investigación Judicial.</t>
  </si>
  <si>
    <t>Fuente: Poder Judicial, Dirección de Planificación, Subproceso de Estadística e INEC, 2010-2023</t>
  </si>
  <si>
    <t>Informe de homicidios dolosos, Anuario Policial</t>
  </si>
  <si>
    <t>Objetivo 16. Promover sociedades pacíficas e inclusivas para el desarrollo sostenible, facilitar el acceso a la justicia para todos y construir a todos los niveles instituciones eficaces e inclusivas que rindan cuentas</t>
  </si>
  <si>
    <t>https://unstats.un.org/sdgs/metadata/files/Metadata-16-01-01.pdf</t>
  </si>
  <si>
    <t xml:space="preserve">Tasa de homicidio doloso en Costa Rica por 100 000 habitantes, por sexo, país de origen y grupos de edad </t>
  </si>
  <si>
    <r>
      <t xml:space="preserve">Incidencia de aquellas muerte infligido a una persona con la intención de causar la muerte o lesiones graves (Fuente: Clasificación Internacional del Delito A efectos estadísticos, ICCS 2015).
</t>
    </r>
    <r>
      <rPr>
        <b/>
        <sz val="11"/>
        <rFont val="Open Sans Condensed"/>
      </rPr>
      <t>Homicidio doloso:</t>
    </r>
    <r>
      <rPr>
        <sz val="11"/>
        <rFont val="Open Sans Condensed"/>
      </rPr>
      <t xml:space="preserve"> Acción que quebranta el bien jurídico: vida, con animus o intención.
</t>
    </r>
  </si>
  <si>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</si>
  <si>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</si>
  <si>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</si>
  <si>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</si>
  <si>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</si>
  <si>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</si>
  <si>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</si>
  <si>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</si>
  <si>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</si>
  <si>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</si>
  <si>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Zahira Chavarría Garita</t>
  </si>
  <si>
    <t>Cooperación y Relaciones internacionales</t>
  </si>
  <si>
    <t>(506) 2295-4077</t>
  </si>
  <si>
    <t>zchavarria@poder-judicial.go.cr</t>
  </si>
  <si>
    <t xml:space="preserve">Costa Rica: Tasa de casos de violencia intrafamiliar por cada 100 000 habitantes, por sexo y grupos de edad, provincias y causa específica por sexo </t>
  </si>
  <si>
    <t xml:space="preserve">Costa Rica: Tasa de casos por violencia intrafamiliar por cada 100 000 habitantes, por sexo, </t>
  </si>
  <si>
    <t>Año 2012-2023</t>
  </si>
  <si>
    <t>años</t>
  </si>
  <si>
    <t>16.1.3.</t>
  </si>
  <si>
    <t>https://unstats.un.org/sdgs/metadata/files/Metadata-16-01-03.pdf</t>
  </si>
  <si>
    <t>Tasa de casos de violencia intrafamiliar por cada 100 000 habitantes, por sexo y grupos de edad, provincias y causa específica por sexo</t>
  </si>
  <si>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</si>
  <si>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t>Tasa por cada 100.000 habitantes</t>
  </si>
  <si>
    <t>Provincias</t>
  </si>
  <si>
    <t>Igual al indicador 11.7.2</t>
  </si>
  <si>
    <t>Unidad de Indicadores de la Salud, Dirección Vigilancia de la Salud</t>
  </si>
  <si>
    <t>16.1.4 Proporción de la población que se siente segura al caminar sola en su zona de residencia</t>
  </si>
  <si>
    <t>https://unstats.un.org/sdgs/metadata/files/Metadata-16-01-04.pdf</t>
  </si>
  <si>
    <t>Costa Rica: Proporción de niños de entre 1 y 14 años que han sufrido algún castigo físico o agresión psicológica a manos de sus cuidadores en el último mes</t>
  </si>
  <si>
    <t xml:space="preserve">Costa Rica: Proporción de niños de entre 1 y 14 años que han sufrido algún </t>
  </si>
  <si>
    <t>castigo físico o agresión psicológica a manos de sus cuidadores en el último mes, 2018</t>
  </si>
  <si>
    <t>Castigo físico o agresión psicológica</t>
  </si>
  <si>
    <t>1-2</t>
  </si>
  <si>
    <t>3-4</t>
  </si>
  <si>
    <r>
      <t>Dificultades funcionales del niño/a (2-4 años)</t>
    </r>
    <r>
      <rPr>
        <b/>
        <vertAlign val="superscript"/>
        <sz val="11"/>
        <rFont val="Open Sans Condensed"/>
      </rPr>
      <t>B</t>
    </r>
  </si>
  <si>
    <t xml:space="preserve">Dificultades funcionales de la madre (18-49 años)
</t>
  </si>
  <si>
    <t>Sin información</t>
  </si>
  <si>
    <t>B Se excluyen los niños/as de 1 año, ya que las dificultades funcionales solo se recolectan para las edades de 2-14 años.</t>
  </si>
  <si>
    <t>Fuente: Instituto Nacional de Estadística y Censos, Encuesta Mujer, Nuñez y Adolescencia, 2018</t>
  </si>
  <si>
    <t>https://unstats.un.org/sdgs/metadata/files/Metadata-16-02-01.pdf</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</si>
  <si>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</si>
  <si>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</si>
  <si>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</si>
  <si>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</si>
  <si>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</si>
  <si>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</si>
  <si>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Numero de personas tanto nacionales como extranjeras reconocidas o acreditadas como víctimas de trata por el Equipo de Respuesta Inmediata, según tipo de trata y sexo</t>
  </si>
  <si>
    <t>Tipos de trata</t>
  </si>
  <si>
    <t>Servidumbre</t>
  </si>
  <si>
    <t>Explotación Laboral</t>
  </si>
  <si>
    <t>Explotación</t>
  </si>
  <si>
    <t>Explotación sexual</t>
  </si>
  <si>
    <t>Adopción irregular</t>
  </si>
  <si>
    <t>Explotación Laboral / Sexual</t>
  </si>
  <si>
    <t>Matrimonio servil</t>
  </si>
  <si>
    <t>Sexual / Adopción irregular</t>
  </si>
  <si>
    <t>Dependiente</t>
  </si>
  <si>
    <t>Servidumbre doméstica /sexual</t>
  </si>
  <si>
    <t>Explotación sexual/laboral /delectiva</t>
  </si>
  <si>
    <t>Servicios forzados</t>
  </si>
  <si>
    <t>Matrimonio forzado</t>
  </si>
  <si>
    <t>Servidumbre sexual</t>
  </si>
  <si>
    <t>Mendicidad forzada</t>
  </si>
  <si>
    <t>Trabajo o servicios forzados</t>
  </si>
  <si>
    <t xml:space="preserve">Servidumbre domésticas </t>
  </si>
  <si>
    <t>Servidumbre sexual, explotación sexual y laboral</t>
  </si>
  <si>
    <t>Víctima directa *</t>
  </si>
  <si>
    <t>Dependiente *</t>
  </si>
  <si>
    <t>Explotación Laboral y Sexual y Servidumbre doméstica</t>
  </si>
  <si>
    <t>Explotación Laboral y Servidumbre doméstica y laboral</t>
  </si>
  <si>
    <t>Explotación Sexual y Servidumbre Sexual</t>
  </si>
  <si>
    <t>Explotación Sexual y Trabajos y Servicios Forzados</t>
  </si>
  <si>
    <t>Servidumbre doméstica y Explotación Sexual</t>
  </si>
  <si>
    <t>Servidumbre doméstica y Explotación Sexual y Mendicidad Forzada</t>
  </si>
  <si>
    <t>Servidumbre doméstica y Sexual</t>
  </si>
  <si>
    <t>Servidumbre Sexual y Explotación Sexual</t>
  </si>
  <si>
    <t>Servidumbre Sexual, doméstica y explotación sexual</t>
  </si>
  <si>
    <t>Servidumbre Sexual, mendicidad forzada y trabajos o servicios forzados</t>
  </si>
  <si>
    <t>Explotación sexual, servidumbre doméstica y sexual</t>
  </si>
  <si>
    <t>Explotación sexual, servidumbre doméstica y sexual, trabajos o servicios forzados</t>
  </si>
  <si>
    <t xml:space="preserve">Mendicidad forzada y explotación sexual </t>
  </si>
  <si>
    <t>Servidumbre sexual y doméstica</t>
  </si>
  <si>
    <t xml:space="preserve">Servidumbre sexual, doméstica y explotación laboral </t>
  </si>
  <si>
    <t>trabajo o servicios forzados</t>
  </si>
  <si>
    <r>
      <t>2024</t>
    </r>
    <r>
      <rPr>
        <vertAlign val="superscript"/>
        <sz val="11"/>
        <rFont val="Open Sans Condensed"/>
      </rPr>
      <t>a</t>
    </r>
  </si>
  <si>
    <t>Acreditaciones: se refiere a las personas tanto nacionales como extranjeras reconocidas o acreditadas como víctimas de trata por el Equipo de Respuesta Inmediata (ERI).</t>
  </si>
  <si>
    <t>* Victima directa: Termino utilizado por el Equipo de Respuesta Inmediata , ente responsable del reconocimiento de una persona víctima de trata,  para reconocer a el nacimiento de una persona producto de una situación de trata de  personas.</t>
  </si>
  <si>
    <r>
      <rPr>
        <vertAlign val="superscript"/>
        <sz val="11"/>
        <rFont val="Open Sans Condensed"/>
      </rPr>
      <t>a</t>
    </r>
    <r>
      <rPr>
        <sz val="11"/>
        <rFont val="Open Sans Condensed"/>
      </rPr>
      <t>Datos al 30 Junio del 2024</t>
    </r>
  </si>
  <si>
    <t>Fuente: Dirección General de Migración y Extranjería. Planificación Institucional, Cuadro elaborado con información suministrada por la Gestión de Trata Personas y Tráfico Ilícito de Migrantes (GTT), 2024</t>
  </si>
  <si>
    <t xml:space="preserve">Costa Rica: Numero de personas tanto nacionales como extranjeras reconocidas o </t>
  </si>
  <si>
    <t>acreditadas como víctimas de trata por el Equipo de Respuesta Inmediata, según sexo, 2015 a junio 2024</t>
  </si>
  <si>
    <t>Costa Rica: Número de personas nacionales y extranjeras reconocidas como víctimas de trata por el Equipo de Respuesta Inmediata, según país de origen y sexo</t>
  </si>
  <si>
    <t>Albania</t>
  </si>
  <si>
    <t>Republica Dominicana</t>
  </si>
  <si>
    <t>Republica Popular de China</t>
  </si>
  <si>
    <r>
      <rPr>
        <vertAlign val="superscript"/>
        <sz val="11"/>
        <rFont val="Open Sans Condensed"/>
      </rPr>
      <t>a</t>
    </r>
    <r>
      <rPr>
        <sz val="11"/>
        <rFont val="Open Sans Condensed"/>
      </rPr>
      <t>Datos al 30 de junio del 2024</t>
    </r>
  </si>
  <si>
    <t>Nota: * Acreditaciones. Se refiere a las personas tanto nacionales como extranjeras reconocidas o acreditadas como víctimas de trata por el Equipo de Respuesta Inmediata (ERI).</t>
  </si>
  <si>
    <t>Fuente:  Dirección General de Migración y Extranjería,  Planificación Institucional,     Cuadro elaborado con información suministrada por la Gestión de Trata Personas y Tráficos Ilícitos de Migrantes (GTT), 2024</t>
  </si>
  <si>
    <t>https://unstats.un.org/sdgs/metadata/files/Metadata-16-02-02.pdf</t>
  </si>
  <si>
    <t>Número de víctimas detectadas de la trata de personas, desglosado por sexo y tipo de explotación</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</si>
  <si>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</si>
  <si>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</si>
  <si>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</si>
  <si>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</si>
  <si>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</si>
  <si>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Eugenia Victor Sánchez</t>
  </si>
  <si>
    <t>Jefe Planificación Institucional</t>
  </si>
  <si>
    <t>(506)22998128 - (506)22998127 - (506)22998126</t>
  </si>
  <si>
    <t>evictor@migracion.go.cr</t>
  </si>
  <si>
    <t xml:space="preserve">Asesora Planificación Institucional </t>
  </si>
  <si>
    <t>aporras@migracion.go.cr</t>
  </si>
  <si>
    <t>Costa Rica: Porcentaje de Población joven de 18 a 29 años que ha sufrido algún tipo de violencia sexual</t>
  </si>
  <si>
    <t>Costa Rica: Porcentaje de población joven de 18 a 29 años que ha sufrido algún tipo de violencia sexual</t>
  </si>
  <si>
    <t>18 a 29 años</t>
  </si>
  <si>
    <t>18 a 24 años</t>
  </si>
  <si>
    <t>Que ha sufrido algún tipo de violencia sexual</t>
  </si>
  <si>
    <t xml:space="preserve">Porcentaje   que ha sufrido violencia sexual </t>
  </si>
  <si>
    <t>Fuente: Consejo de la Persona Joven, Encuesta Nacional de Juventudes 2013-2018</t>
  </si>
  <si>
    <t>Costa Rica: Porcentaje de población joven de 18 a 29 años que ha sufrido algún tipo de violencia sexual, 2013 y 2018</t>
  </si>
  <si>
    <t>https://unstats.un.org/sdgs/metadata/files/Metadata-16-02-03.pdf</t>
  </si>
  <si>
    <t>Porcentaje de Población joven de 18 a 29 años que ha sufrido algún tipo de violencia sexual</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</si>
  <si>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</si>
  <si>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</si>
  <si>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</si>
  <si>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</si>
  <si>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</si>
  <si>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</si>
  <si>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</si>
  <si>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</si>
  <si>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</si>
  <si>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</si>
  <si>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Costa Rica: Porcentaje de denuncias del total de eventos de victimización experimentados por los hogares durante los últimos 12 meses, según región de planificación</t>
  </si>
  <si>
    <t xml:space="preserve">Costa Rica: Porcentaje de denuncias del total de eventos de victimización experimentados por los hogares durante </t>
  </si>
  <si>
    <t>los últimos 12 meses, según región de planificación</t>
  </si>
  <si>
    <t>Huetar Atlántica</t>
  </si>
  <si>
    <t xml:space="preserve">Fuente: Instituto Nacional de Estadística y Censos. Encuesta de hogares de Propósitos Múltiples. Módulos de Victimización para los años 1989, 1992, </t>
  </si>
  <si>
    <t>1994, 1997 y 2008. Encuesta Nacional de Hogares. Módulos de Victimización para los años 2010, 2014, 2018 y 2022.</t>
  </si>
  <si>
    <t>Costa Rica: Porcentaje de denuncias del total de eventos de victimización experimentados por los hogares durante los últimos 12 meses</t>
  </si>
  <si>
    <t xml:space="preserve">Fuente: Instituto Nacional de Estadística y Censos, Encuesta de Hogares de Propósitos Múltiples 1989, </t>
  </si>
  <si>
    <t>1992, 1994, 1997, 2008 y Encuesta Nacional de Hogares, 2010, 2014, 2018 y 2022.</t>
  </si>
  <si>
    <t>https://unstats.un.org/sdgs/metadata/files/Metadata-16-03-01.pdf</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</si>
  <si>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</si>
  <si>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</si>
  <si>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</si>
  <si>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</si>
  <si>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t>Cuatrienal</t>
  </si>
  <si>
    <r>
      <t xml:space="preserve">De acuerdo a las Naciones Unidas, este indicador se requiere con las siguientes </t>
    </r>
    <r>
      <rPr>
        <i/>
        <sz val="11"/>
        <rFont val="Open Sans Condensed"/>
      </rPr>
      <t>desagregaciones:</t>
    </r>
    <r>
      <rPr>
        <sz val="11"/>
        <rFont val="Open Sans Condensed"/>
      </rPr>
      <t xml:space="preserve"> Desagregación recomendada para este indicador son:
 sexo
 tipo de delito
 etnia
 fondo de la migración
 la ciudadanía</t>
    </r>
  </si>
  <si>
    <t xml:space="preserve">Eddy Madrigal </t>
  </si>
  <si>
    <t xml:space="preserve">Costa Rica: Número de personas detenidas sin sentencia a la orden de las oficinas judiciales por sexo y tiempo de detención </t>
  </si>
  <si>
    <t xml:space="preserve">Tiempo de detención </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</si>
  <si>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</si>
  <si>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</si>
  <si>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</si>
  <si>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</si>
  <si>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</si>
  <si>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</si>
  <si>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</si>
  <si>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</si>
  <si>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</si>
  <si>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Más de 2 año y 6 meses a 4 años</t>
  </si>
  <si>
    <t>Fuente: Poder Judicial, 2023</t>
  </si>
  <si>
    <t>Costa Rica: Número de personas detenidas sin sentencia a la orden de las oficinas judiciales, por sexo, 2010-2023</t>
  </si>
  <si>
    <t>* Cifras preliminares</t>
  </si>
  <si>
    <t>Fuente: Poder Judicial, 2010-2023</t>
  </si>
  <si>
    <t>https://unstats.un.org/sdgs/metadata/files/Metadata-16-03-02.pdf</t>
  </si>
  <si>
    <t xml:space="preserve">Número de personas detenidas sin sentencia a la orden de las oficinas judiciales por sexo y tiempo de detención </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</si>
  <si>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</si>
  <si>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</si>
  <si>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</si>
  <si>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</si>
  <si>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</si>
  <si>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</si>
  <si>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</si>
  <si>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</si>
  <si>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</si>
  <si>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</si>
  <si>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Costa Rica: Armas de fuego decomisadas según tipo</t>
  </si>
  <si>
    <t xml:space="preserve">Costa Rica: Armas de fuego decomisadas según tipo </t>
  </si>
  <si>
    <t>Pistola</t>
  </si>
  <si>
    <t>Revolver</t>
  </si>
  <si>
    <t>Hechiza</t>
  </si>
  <si>
    <t>Escopeta</t>
  </si>
  <si>
    <t xml:space="preserve">Carabina </t>
  </si>
  <si>
    <t>Rifle</t>
  </si>
  <si>
    <t>Subametralladora</t>
  </si>
  <si>
    <t>N/I</t>
  </si>
  <si>
    <t>*</t>
  </si>
  <si>
    <t>Los datos son sujetos a variación debido a que las bases se mantienen en constante depuración y revisión</t>
  </si>
  <si>
    <t>Fuente: Ministerio de Seguridad Pública, Registro de Armas Decomisadas-Halladas, 2010-2023</t>
  </si>
  <si>
    <t>Costa Rica: Número de Armas de fuego decomisadas, 2010-2023</t>
  </si>
  <si>
    <t>Fuente: Ministerio de Seguridad Pública, Registro de Armas Decomisadas, 2010-2023</t>
  </si>
  <si>
    <t>https://unstats.un.org/sdgs/metadata/files/Metadata-16-04-02.pdf</t>
  </si>
  <si>
    <t>Armas de fuego decomisadas según tipo</t>
  </si>
  <si>
    <t>Total de partes policiales (actas de decomiso-hallazgo) del Ministerio de Seguridad Pública emitidos por decomiso-hallazgos de armas.
Las armas de las que se tienen datos de decomisos son pistola, revolver, hechiza, escopeta, carabina, rifle, subametralladora, N/I.</t>
  </si>
  <si>
    <t>• Partes policiales del Ministerio de Seguridad Pública (actas de decomiso-hallazgo) emitidos por decomiso-hallazgos de armas.</t>
  </si>
  <si>
    <t>Por tipo de arma</t>
  </si>
  <si>
    <t>Diaria</t>
  </si>
  <si>
    <t>Ministerio de Seguridad Pública, Inteligencia Policial</t>
  </si>
  <si>
    <t>Registro de Armas Decomisadas- Informes policiales / Actas de decomisos.</t>
  </si>
  <si>
    <t>Paula Martínez Jaén</t>
  </si>
  <si>
    <t>Inteligencia Policial</t>
  </si>
  <si>
    <t>Ministerio de Seguridad Pública</t>
  </si>
  <si>
    <t>(506) 2600-4151 - (506) 2281-0129</t>
  </si>
  <si>
    <t>paula.martinez@fuerzapublica.go.cr</t>
  </si>
  <si>
    <t xml:space="preserve">16.5 Reducir considerablemente la corrupción y el soborno en todas sus formas </t>
  </si>
  <si>
    <t>https://unstats.un.org/sdgs/metadata/files/Metadata-16-05-01.pdf</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</si>
  <si>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</si>
  <si>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</si>
  <si>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</si>
  <si>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https://unstats.un.org/sdgs/metadata/files/Metadata-16-05-02.pdf</t>
  </si>
  <si>
    <t xml:space="preserve">16.6 Crear a todos los niveles instituciones eficaces y transparentes que rindan cuentas </t>
  </si>
  <si>
    <t xml:space="preserve">Costa Rica: Gastos del estado como proporción del presupuesto inicial </t>
  </si>
  <si>
    <t>Costa Rica: Gastos del estado como</t>
  </si>
  <si>
    <t>Costa Rica: Gasto del estado como porcentaje del presupuesto inicial, 2010-2023</t>
  </si>
  <si>
    <t xml:space="preserve">proporción del presupuesto inicial </t>
  </si>
  <si>
    <t>Gasto Total</t>
  </si>
  <si>
    <t>Gasto Total sin Intereses</t>
  </si>
  <si>
    <t>https://unstats.un.org/sdgs/metadata/files/Metadata-16-06-01.pdf</t>
  </si>
  <si>
    <t xml:space="preserve">Gastos del estado como proporción del presupuesto inicial </t>
  </si>
  <si>
    <r>
      <t xml:space="preserve">Proporción del presupuesto nacional que gasto el estado.                                                                                                   </t>
    </r>
    <r>
      <rPr>
        <b/>
        <sz val="11"/>
        <rFont val="Open Sans Condensed"/>
      </rPr>
      <t xml:space="preserve">Gasto total: </t>
    </r>
    <r>
      <rPr>
        <sz val="11"/>
        <rFont val="Open Sans Condensed"/>
      </rPr>
      <t xml:space="preserve">Se compone de los gastos corrientes, los gastos de capital y concesión neta de préstamos.
Los gastos corrientes incluye las remuneraciones (saldos y salarios y cargas sociales), Bienes y Servicios, intereses por deuda interna y deuda externa y transferencias corrientes.
Gasto de capital  incluye inversión y las transferencias de capital al sector público y privado.
Concesión neta de prestamos incluye concesiones y recuperación.
El </t>
    </r>
    <r>
      <rPr>
        <b/>
        <sz val="11"/>
        <rFont val="Open Sans Condensed"/>
      </rPr>
      <t>Presupuesto Nacional</t>
    </r>
    <r>
      <rPr>
        <sz val="11"/>
        <rFont val="Open Sans Condensed"/>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</si>
  <si>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t>• Gasto total.
• Presupuesto nacional inicial.</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</si>
  <si>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</si>
  <si>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</si>
  <si>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</si>
  <si>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</si>
  <si>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</si>
  <si>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</si>
  <si>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Costa Rica: Porcentaje de inconformidades externas e internas presentadas ante la contraloría de servicios, que han sido resueltas por las instituciones públicas que integran el Sistema Nacional de Contralorías de Servicios, según naturaleza jurídica</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</si>
  <si>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</si>
  <si>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2022</t>
  </si>
  <si>
    <t>Institución pública según naraturaleza jurídica</t>
  </si>
  <si>
    <t>Externas</t>
  </si>
  <si>
    <t>Internas</t>
  </si>
  <si>
    <t>Totales</t>
  </si>
  <si>
    <t>Total de inconformidades recibidas</t>
  </si>
  <si>
    <t>Total de inconformidades resueltas</t>
  </si>
  <si>
    <t>Total de inconformidades en proceso</t>
  </si>
  <si>
    <t>Total de inconformidades que no fueron resueltas</t>
  </si>
  <si>
    <t>Total de inconformidades recibidas (Externas / Internas)</t>
  </si>
  <si>
    <t>Total de inconformidades resueltas (Externas / Internas)</t>
  </si>
  <si>
    <t>Porcentaje de disconformidades resueltas (Externas / Internas)</t>
  </si>
  <si>
    <t>Organismo Electoral</t>
  </si>
  <si>
    <t>Poder Ejecutivo-Ministerios</t>
  </si>
  <si>
    <t>Órganos Adscritos a Ministerios</t>
  </si>
  <si>
    <t>Órganos Adscritos a la Presidencia de la República</t>
  </si>
  <si>
    <t xml:space="preserve">Instituciones Autónomas </t>
  </si>
  <si>
    <t>Instituciones Semiautónomas</t>
  </si>
  <si>
    <t>Empresas Públicas Estatales</t>
  </si>
  <si>
    <t>Entes Públicos No Estatales</t>
  </si>
  <si>
    <t xml:space="preserve">Municipalidades </t>
  </si>
  <si>
    <t xml:space="preserve">Organización (Humanitaria)  </t>
  </si>
  <si>
    <t>Fuente: Ministerio de Planificación Nacional y Política Económica - Secretaría Técnica del Sistema Nacional de Contralorías de Servicios, Informe anual de gestión elaborado por la Secretaría Técnica del sistema Nacional de  Contralorías de Servicios</t>
  </si>
  <si>
    <t xml:space="preserve">Costa Rica:  Porcentaje de inconformidades externas e internas presentadas ante la contraloría de servicios, que han sido resueltas por las instituciones públicas que integran el Sistema Nacional de Contralorías de Servicios, </t>
  </si>
  <si>
    <t>según naturaleza jurídica, 2021</t>
  </si>
  <si>
    <t>según naturaleza jurídica, 2020</t>
  </si>
  <si>
    <t xml:space="preserve">Organización </t>
  </si>
  <si>
    <t>según naturaleza jurídica, 2019</t>
  </si>
  <si>
    <t>según naturaleza jurídica, 2018</t>
  </si>
  <si>
    <t>No posee</t>
  </si>
  <si>
    <t>El indicador presenta las incorformidades resueltas sobre el total de incorformidades recibidas en las instituciones públicas por medio de las Contralorías de Servicios, tanto externas (personas usuarias externas a la institución) como internas (personas que laboran dentro de la misma institución).</t>
  </si>
  <si>
    <t xml:space="preserve">Suma de incorformidades resueltas en el año X, sobre el total de incorfomidades presentadas en las instituciones al año X, por 100. </t>
  </si>
  <si>
    <t>Se interpreta como el porcentaje (escala de 0 a 100) de incorformidades presentadas por las personas usuarias de una institución pública que lograron ser resueltas.</t>
  </si>
  <si>
    <t>Registros administrativos de incorformidades presentadas en las instituciones públicas</t>
  </si>
  <si>
    <t>Internas o externas / instituciones públicas que integran el Sistema Nacional de Contralorías de Servicios</t>
  </si>
  <si>
    <t>Ministerio de Planificación Nacional y Política Económica - Secretaría Técnica del Sistema Nacional de Contralorías de Servicios</t>
  </si>
  <si>
    <t>Informe anual de gestión elaborado por la Secretaría Técnica del sistema Nacional de  Contralorías de Servicios</t>
  </si>
  <si>
    <t>Depende del registro administrativo de las 92 instituciones públicas que poseen Contraloría de Servicios.</t>
  </si>
  <si>
    <t>*Nota: Para efetos de este indicador, cabe hacer la observación que la información no se registra con este nivel de especificidad, ello dado que las CS se centran en la problemática que se denuncia y procurar que la institución trabaje por una mejora a esta situación y no tanto en las características o condiciones de la persona que denuncia (y que se describen en los comentarios generales)</t>
  </si>
  <si>
    <t>https://www.mideplan.go.cr/Secretaria-Tecnica-del-SNCS</t>
  </si>
  <si>
    <t>Silvia Calderón Umaña</t>
  </si>
  <si>
    <t>Secretaría Técnica del Sistema Nacional de Contralorías de Servicios</t>
  </si>
  <si>
    <t>22028594</t>
  </si>
  <si>
    <t xml:space="preserve">silvia.calderon@mideplan.go.cr </t>
  </si>
  <si>
    <t>Andrea Marín Montero</t>
  </si>
  <si>
    <t xml:space="preserve">andrea.marin@mideplan.go.cr </t>
  </si>
  <si>
    <t>22028525</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</si>
  <si>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</si>
  <si>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Costa Rica: Porcentaje de personas ocupadas en sector público con respecto a la población total ocupada, por sexo</t>
  </si>
  <si>
    <t xml:space="preserve">Costa Rica: Porcentaje de personas ocupadas en sector público con respecto </t>
  </si>
  <si>
    <t>a la población ocupada total, por sexo</t>
  </si>
  <si>
    <t xml:space="preserve">Hombres </t>
  </si>
  <si>
    <t xml:space="preserve">Rural </t>
  </si>
  <si>
    <t>https://unstats.un.org/sdgs/metadata/files/Metadata-16-07-01A.pdf</t>
  </si>
  <si>
    <t>Porcentaje de personas ocupadas en sector público con respecto a la población ocupada total, por sexo</t>
  </si>
  <si>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rFont val="Open Sans Condensed"/>
      </rPr>
      <t xml:space="preserve">Población Ocupada: </t>
    </r>
    <r>
      <rPr>
        <sz val="11"/>
        <rFont val="Open Sans Condensed"/>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rFont val="Open Sans Condensed"/>
      </rPr>
      <t>Sector Institucional</t>
    </r>
    <r>
      <rPr>
        <sz val="11"/>
        <rFont val="Open Sans Condensed"/>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rFont val="Open Sans Condensed"/>
      </rPr>
      <t xml:space="preserve"> </t>
    </r>
    <r>
      <rPr>
        <sz val="11"/>
        <rFont val="Open Sans Condensed"/>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</si>
  <si>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t>• Número de personas ocupadas en el sector público.
• Población ocupada total.</t>
  </si>
  <si>
    <t xml:space="preserve">Encuesta  de hogares </t>
  </si>
  <si>
    <t>https://unstats.un.org/sdgs/metadata/files/Metadata-16-08-01.pdf</t>
  </si>
  <si>
    <t>De acuerdo a las Naciones Unidas, este indicador se requiere con las siguientes desagregaciones: Puede ser desagregada por organización internacional</t>
  </si>
  <si>
    <t>Costa Rica: Proporción de niños menores de 5 años cuyo nacimiento se ha registrado ante una autoridad civil</t>
  </si>
  <si>
    <t xml:space="preserve">Costa Rica: Proporción de niños </t>
  </si>
  <si>
    <t>Costa Rica: Porcentaje de menores de 5 años cuyo nacimiento se ha registrado ante una autoridad civil, 2011-2023</t>
  </si>
  <si>
    <t xml:space="preserve">menores de 5 años cuyo nacimiento </t>
  </si>
  <si>
    <t>se ha registrado ante una autoridad civil</t>
  </si>
  <si>
    <t>Fuente:  Tribunal Supremo de Elecciones, Base de datos de nacimientos junio 2024 y Estimaciones y proyecciones de población INEC 2024</t>
  </si>
  <si>
    <t>Nota: Se tomaron los nacimientos inscritos de costarricenses nacidos en el territorio nacional (excluye personas naturalizados y nacidas en el extranjero).</t>
  </si>
  <si>
    <t>Fuente:  Tribunal Supremo de Elecciones, Base de datos de nacimientos junio 2024 y Estimaciones y proyecciones de pablacion INEC -2024.</t>
  </si>
  <si>
    <t>https://inec.cr/tematicas/listado?topics=91%252C646</t>
  </si>
  <si>
    <t>https://unstats.un.org/sdgs/metadata/files/Metadata-16-09-01.pdf</t>
  </si>
  <si>
    <t>Proporción de niños menores de 5 años cuyo nacimiento se ha registrado ante una autoridad civil, desglosada por edad</t>
  </si>
  <si>
    <t>Cobertura registral civil de los niños menores de 5 años</t>
  </si>
  <si>
    <t xml:space="preserve">Cantidad de personas inscritas en el Registro Civil  menores de 5 años dividido entre la proyección de población de 0 a 4 años </t>
  </si>
  <si>
    <t>Cobertura de registración civil de los niños menores a cinco años</t>
  </si>
  <si>
    <t>• Personas menores de cinco años registradas en el Registro Civil, asi como estimaciones y proyecciones de población INEC 2024.
• Población de 0-4 años World Population Prospects 2019 (ONU)</t>
  </si>
  <si>
    <t>No hay</t>
  </si>
  <si>
    <t>Tribunal Supremo de Elecciones - Registro Civil
Estimaciones de población INEC 2024</t>
  </si>
  <si>
    <t>Se depende de las estimaciones de población realizadas por el INEC y presentadas este año</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</si>
  <si>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</si>
  <si>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</si>
  <si>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</si>
  <si>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</si>
  <si>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</si>
  <si>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https://unstats.un.org/sdgs/metadata/files/Metadata-16-10-01.pdf</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</si>
  <si>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</si>
  <si>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https://unstats.un.org/sdgs/metadata/files/Metadata-16-10-02.pdf</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</si>
  <si>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</si>
  <si>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https://unstats.un.org/sdgs/metadata/files/Metadata-16-0A-01.pdf</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</si>
  <si>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</si>
  <si>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</si>
  <si>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 xml:space="preserve">Costa Rica: Porcentaje de la población de 18 años y más por situación de discapacidad, </t>
  </si>
  <si>
    <t>Ver indicador de 16.b.1, fuente Encuesta Nacional Mujer Niñez y Adolescencia, INEC</t>
  </si>
  <si>
    <t>según percepción de discriminación, octubre y noviembre 2018</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</si>
  <si>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</si>
  <si>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</si>
  <si>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17.1 Fortalecer la movilización de recursos internos, incluso mediante la prestación de apoyo internacional a los países en desarrollo, con el fin de mejorar la capacidad nacional para recaudar ingresos fiscales y de otra índole</t>
  </si>
  <si>
    <t>17.1.1</t>
  </si>
  <si>
    <t>17.1.1 Total de ingresos del gobierno en proporción al PIB, desglosado por fuente</t>
  </si>
  <si>
    <t>17.1.2</t>
  </si>
  <si>
    <t>17.1.2 Proporción del presupuesto nacional financiado por impuestos internos</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</si>
  <si>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</si>
  <si>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17.2.1</t>
  </si>
  <si>
    <t>17.2.1 Asistencia oficial para el desarrollo neta, total y para los países menos adelantados en proporción al ingreso nacional bruto (INB) de los donantes del Comité de Asistencia para el Desarrollo de la Organización de Cooperación y Desarrollo Económico</t>
  </si>
  <si>
    <t>17.3 Movilizar recursos financieros adicionales de múltiples fuentes para los países en desarrollo</t>
  </si>
  <si>
    <t>17.3.1</t>
  </si>
  <si>
    <t>17.3.1 Recursos financieros adicionales movilizados para los países en desarrollo procedentes de múltiples fuentes</t>
  </si>
  <si>
    <t>17.3.2</t>
  </si>
  <si>
    <t>17.3.2 Volumen de remesas (en dólares de los Estados Unidos) en proporción al PIB total</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</si>
  <si>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</si>
  <si>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17.4.1</t>
  </si>
  <si>
    <t>17.4.1 Servicio de la deuda en proporción a las exportaciones de bienes y servicios</t>
  </si>
  <si>
    <t>17.5 Adoptar y aplicar sistemas de promoción de las inversiones en favor de los países menos adelantados</t>
  </si>
  <si>
    <t>17.5.1</t>
  </si>
  <si>
    <t>17.5.1 Número de países que adoptan y aplican sistemas de promoción de las inversiones en favor de los países en desarrollo, entre ellos los países menos adelantados</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</si>
  <si>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</si>
  <si>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 xml:space="preserve">17.6.1 </t>
  </si>
  <si>
    <t>17.6.1 Número de abonados a Internet de banda ancha fija por cada 100 habitantes, desglosado por velocidad5</t>
  </si>
  <si>
    <t>17.7 Promover el desarrollo de tecnologías ecológicamente racionales y su transferencia, divulgación y difusión a los países en desarrollo en condiciones favorables, incluso en condiciones concesionarias y preferenciales, según lo convenido de mutuo acuerdo</t>
  </si>
  <si>
    <t xml:space="preserve">17.7.1 </t>
  </si>
  <si>
    <t>17.7.1 Total de los fondos destinados a los países en desarrollo a fin de promover el desarrollo, la transferencia y la difusión de tecnologías ecológicamente racionales</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</si>
  <si>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</si>
  <si>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17.8.1</t>
  </si>
  <si>
    <t>17.8.1 Proporción de personas que utilizan Internet</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</si>
  <si>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</si>
  <si>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17.9.1</t>
  </si>
  <si>
    <t>17.9.1 Valor en dólares de la asistencia financiera y técnica (incluso mediante la cooperación Norte-Sur, Sur‑Sur y triangular) prometida a los países en desarrollo</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</si>
  <si>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</si>
  <si>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17.10.1</t>
  </si>
  <si>
    <t>17.10.1 Promedio arancelario mundial ponderado</t>
  </si>
  <si>
    <t>17.11 Aumentar significativamente las exportaciones de los países en desarrollo, en particular con miras a duplicar la participación de los países menos adelantados en las exportaciones mundiales de aquí a 2020</t>
  </si>
  <si>
    <t>17.11.1</t>
  </si>
  <si>
    <t>17.11.1 Participación de los países en desarrollo y los países menos adelantados en las exportaciones mundiales</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</si>
  <si>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</si>
  <si>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17.12.1</t>
  </si>
  <si>
    <t>17.12.1 Promedio ponderado de los aranceles que enfrentan los países en desarrollo, los países menos adelantados y los pequeños Estados insulares en desarrolloPromedio de los aranceles que enfrentan los países en desarrollo, los países menos adelantados y</t>
  </si>
  <si>
    <t>17.13 Aumentar la estabilidad macroeconómica mundial, incluso mediante la coordinación y coherencia de las políticas</t>
  </si>
  <si>
    <t>17.13.1</t>
  </si>
  <si>
    <t>17.13.1 Tablero macroeconómico</t>
  </si>
  <si>
    <t>17.14 Mejorar la coherencia de las políticas para el desarrollo sostenible</t>
  </si>
  <si>
    <t>17.14.1</t>
  </si>
  <si>
    <t>17.14.1 Número de países que cuentan con mecanismos para mejorar la coherencia de las políticas de desarrollo sostenible</t>
  </si>
  <si>
    <t>17.15 Respetar el margen normativo y el liderazgo de cada país para establecer y aplicar políticas de erradicación de la pobreza y desarrollo sostenible</t>
  </si>
  <si>
    <t>17.15.1</t>
  </si>
  <si>
    <t>17.15.1 Grado de utilización de los marcos de resultados y las herramientas de planificación de los propios países por los proveedores de cooperación para el desarrollo</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</si>
  <si>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</si>
  <si>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17.16.1</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</si>
  <si>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</si>
  <si>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</si>
  <si>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t>
  </si>
  <si>
    <t>17.17.1 Suma en dólares de los Estados Unidos prometida a las alianzas público-privadas centradas en la infraestructura</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</si>
  <si>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</si>
  <si>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17.18.1</t>
  </si>
  <si>
    <t>17.18.1 Indicador de capacidad estadística para el seguimiento de los Objetivos de Desarrollo Sostenible</t>
  </si>
  <si>
    <t>17.18.2</t>
  </si>
  <si>
    <t>17.18.2 Número de países cuya legislación nacional sobre estadísticas cumple los Principios Fundamentales de las Estadísticas Oficiales</t>
  </si>
  <si>
    <t>17.18.3</t>
  </si>
  <si>
    <t>17.18.3 Número de países que cuentan con un plan estadístico nacional plenamente financiado y en proceso de aplicación, desglosado por fuente de financiación</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</si>
  <si>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</si>
  <si>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17.19.1</t>
  </si>
  <si>
    <t>17.19.1 Valor en dólares de todos los recursos proporcionados para fortalecer la capacidad estadística de los países en desarrollo</t>
  </si>
  <si>
    <t>17.19.2</t>
  </si>
  <si>
    <t>17.19.2 Proporción de países que a) han realizado al menos un censo de población y vivienda en los últimos diez años; y b) han registrado el 100% de los nacimientos y el 80% de las defunciones</t>
  </si>
  <si>
    <t>Costa Rica: Porcentaje de los ingresos del gobierno como proporción del PIB, desglosado por fuente según su origen</t>
  </si>
  <si>
    <t xml:space="preserve">Costa Rica: Porcentaje de los ingresos del gobierno como proporción del PIB, desglosado por fuente, según su origen </t>
  </si>
  <si>
    <t>Ingresos Totales</t>
  </si>
  <si>
    <t>I- Ingresos Corrientes:</t>
  </si>
  <si>
    <t>II- Ingresos de Capital</t>
  </si>
  <si>
    <t xml:space="preserve">Total de ingresos corrientes </t>
  </si>
  <si>
    <t>I-1 Ingresos Tributarios</t>
  </si>
  <si>
    <t>I-2 Contribuciones Sociales</t>
  </si>
  <si>
    <t>I-3  Ingresos no Tributarios</t>
  </si>
  <si>
    <t>I-4    Transferencias</t>
  </si>
  <si>
    <t>2021 *</t>
  </si>
  <si>
    <t>2022 *</t>
  </si>
  <si>
    <t>2023 *</t>
  </si>
  <si>
    <t>* Según el PIB publicado por el Banco Central  en enero 2024, proyección 2024-2025 , aprobado por la Junta Directiva en el artículo 9 del acta de la sesión 6164-2024, el 25 de enero de 2024.</t>
  </si>
  <si>
    <t>Fuente: Ministerio de Hacienda, Liquidación de ingresos, 2001-2023</t>
  </si>
  <si>
    <t>Costa Rica: Total de los ingresos del gobierno como proporción del PIB, 2010-2023</t>
  </si>
  <si>
    <t>Fuente: Ministerio de Hacienda, Liquidación de ingresos, 2023</t>
  </si>
  <si>
    <t>Objetivo 17. Fortalecer los medios de implementación y revitalizar la Alianza Mundial para el Desarrollo Sostenible</t>
  </si>
  <si>
    <t>https://unstats.un.org/sdgs/metadata/files/Metadata-17-01-01.pdf</t>
  </si>
  <si>
    <t>Porcentaje de los ingresos del gobierno como proporción del PIB, desglosado según su origen</t>
  </si>
  <si>
    <r>
      <t xml:space="preserve">Los ingresos totales del gobierno Central están compuestos por los ingresos corrientes, capital y financiamiento).
</t>
    </r>
    <r>
      <rPr>
        <b/>
        <sz val="11"/>
        <rFont val="Open Sans Condensed"/>
      </rPr>
      <t>Ingresos Totales=</t>
    </r>
    <r>
      <rPr>
        <sz val="11"/>
        <rFont val="Open Sans Condensed"/>
      </rPr>
      <t xml:space="preserve"> Ingresos Corrientes + Ingresos de Capital
</t>
    </r>
    <r>
      <rPr>
        <b/>
        <sz val="11"/>
        <rFont val="Open Sans Condensed"/>
      </rPr>
      <t>Ingresos Corrientes</t>
    </r>
    <r>
      <rPr>
        <sz val="11"/>
        <rFont val="Open Sans Condensed"/>
      </rPr>
      <t xml:space="preserve">= Ingresos Tributarios + Contribuciones Sociales + Ingresos no Tributarios + Transferencias
</t>
    </r>
    <r>
      <rPr>
        <b/>
        <sz val="11"/>
        <rFont val="Open Sans Condensed"/>
      </rPr>
      <t>Ingresos de Capital</t>
    </r>
    <r>
      <rPr>
        <sz val="11"/>
        <rFont val="Open Sans Condensed"/>
      </rPr>
      <t xml:space="preserve">= Bicsa + Donación + Transferencias + Recuperación de Préstamos + Venta de terrenos 
</t>
    </r>
    <r>
      <rPr>
        <b/>
        <sz val="11"/>
        <rFont val="Open Sans Condensed"/>
      </rPr>
      <t>Ingresos Tributarios</t>
    </r>
    <r>
      <rPr>
        <sz val="11"/>
        <rFont val="Open Sans Condensed"/>
      </rPr>
      <t xml:space="preserve">= Impuesto a los ingresos y utilidades + Impuestos a la Propiedad + Sobre Importaciones + Sobre Exportaciones +  Ventas + Consumo + Aduanas No Distribuidos + Otros Indirectos
</t>
    </r>
    <r>
      <rPr>
        <b/>
        <sz val="11"/>
        <rFont val="Open Sans Condensed"/>
      </rPr>
      <t>Impuesto a los ingresos y utilidades</t>
    </r>
    <r>
      <rPr>
        <sz val="11"/>
        <rFont val="Open Sans Condensed"/>
      </rPr>
      <t xml:space="preserve"> = Impuesto sobre la Renta + Ingresos y Utilidades a Personas Físicas + Ingresos y Utilidades a Personas Jurídicas + Dividendos e Intereses s/ Títulos valores +  Remesas al Exterior + Bancos y Entidades Financ no domiciliadas
</t>
    </r>
    <r>
      <rPr>
        <b/>
        <sz val="11"/>
        <rFont val="Open Sans Condensed"/>
      </rPr>
      <t>Impuestos a la Propiedad</t>
    </r>
    <r>
      <rPr>
        <sz val="11"/>
        <rFont val="Open Sans Condensed"/>
      </rPr>
      <t xml:space="preserve">= Propiedad de vehículos + Impuestos a los activos + Impuesto a las personas jurídicas + Imp Solidario Viviendas
</t>
    </r>
    <r>
      <rPr>
        <b/>
        <sz val="11"/>
        <rFont val="Open Sans Condensed"/>
      </rPr>
      <t>Sobre Importaciones</t>
    </r>
    <r>
      <rPr>
        <sz val="11"/>
        <rFont val="Open Sans Condensed"/>
      </rPr>
      <t xml:space="preserve">= Arancel + 1% Valor Aduanero
</t>
    </r>
    <r>
      <rPr>
        <b/>
        <sz val="11"/>
        <rFont val="Open Sans Condensed"/>
      </rPr>
      <t>Sobre Exportaciones</t>
    </r>
    <r>
      <rPr>
        <sz val="11"/>
        <rFont val="Open Sans Condensed"/>
      </rPr>
      <t xml:space="preserve">= Por Caja Banano Exportada + Der.de Exp.ad/valorem + Impuesto Exportaciones por vía terrestre
</t>
    </r>
    <r>
      <rPr>
        <b/>
        <sz val="11"/>
        <rFont val="Open Sans Condensed"/>
      </rPr>
      <t>Ventas</t>
    </r>
    <r>
      <rPr>
        <sz val="11"/>
        <rFont val="Open Sans Condensed"/>
      </rPr>
      <t xml:space="preserve">= Interno + Aduanas
</t>
    </r>
    <r>
      <rPr>
        <b/>
        <sz val="11"/>
        <rFont val="Open Sans Condensed"/>
      </rPr>
      <t>Consumo=</t>
    </r>
    <r>
      <rPr>
        <sz val="11"/>
        <rFont val="Open Sans Condensed"/>
      </rPr>
      <t xml:space="preserve"> Interno + Aduanas
</t>
    </r>
    <r>
      <rPr>
        <b/>
        <sz val="11"/>
        <rFont val="Open Sans Condensed"/>
      </rPr>
      <t>Otros Indirectos</t>
    </r>
    <r>
      <rPr>
        <sz val="11"/>
        <rFont val="Open Sans Condensed"/>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rFont val="Open Sans Condensed"/>
      </rPr>
      <t>Contribuciones Sociales</t>
    </r>
    <r>
      <rPr>
        <sz val="11"/>
        <rFont val="Open Sans Condensed"/>
      </rPr>
      <t xml:space="preserve">=  ingresan al Presupuesto Nacional provenientes de cotización de funcionarios activos y pensionados de los regímenes con cargo al Presupuesto Nacional. 
</t>
    </r>
    <r>
      <rPr>
        <b/>
        <sz val="11"/>
        <rFont val="Open Sans Condensed"/>
      </rPr>
      <t>Ingresos no tributarios</t>
    </r>
    <r>
      <rPr>
        <sz val="11"/>
        <rFont val="Open Sans Condensed"/>
      </rPr>
      <t xml:space="preserve">= Están conformados por cinco grupos compuestos por rentas de menor recaudación. Ventas de Bienes y Servicios + Ingresos de la propiedad + Multas, Sanciones Remates y Confiscaciones+ Intereses Moratorios y Otros ingresos no tributarios.
</t>
    </r>
    <r>
      <rPr>
        <b/>
        <sz val="11"/>
        <rFont val="Open Sans Condensed"/>
      </rPr>
      <t>Transferencias=</t>
    </r>
    <r>
      <rPr>
        <sz val="11"/>
        <rFont val="Open Sans Condensed"/>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rFont val="Open Sans Condensed"/>
      </rPr>
      <t>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</si>
  <si>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 Total de Ingresos del Gobierno Central. 
• Producto Interno Bruto (PIB).</t>
  </si>
  <si>
    <t>Origen de los ingresos</t>
  </si>
  <si>
    <t>Serie Histórica de los ingresos, según liquidacion anual de ingresos.</t>
  </si>
  <si>
    <t>Serie actualizada según el PIB publicado por el Banco Central, cifras de la programacion macroeconomicas publicadas al mes de Abril 2022.</t>
  </si>
  <si>
    <t xml:space="preserve">17.1 Fortalecer la movilización de recursos internos, incluso mediante la prestación de apoyo internacional a los países en desarrollo, con el fin de mejorar la capacidad nacional para recaudar ingresos fiscales y de otra índole </t>
  </si>
  <si>
    <t>Costa Rica: Porcentaje del gasto total cubierto por los ingresos tributarios</t>
  </si>
  <si>
    <t xml:space="preserve">Costa Rica: Porcentaje del </t>
  </si>
  <si>
    <t>Costa Rica: Porcentaje del gasto total cubierto por los ingresos tributarios, 2010-2023</t>
  </si>
  <si>
    <t>gasto total cubierto por los</t>
  </si>
  <si>
    <t>ingresos tributarios</t>
  </si>
  <si>
    <t>Fuente: Ministerio de Hacienda, Sistema SIGAF, liquidación de ingresos y gastos, 2010-2023</t>
  </si>
  <si>
    <t>Fuente: Ministerio de Hacienda, Sistema SIGAF, liquidación de ingresos y gastos, 2006-2023</t>
  </si>
  <si>
    <t>Objetivo 17. Fortalecer los medios de implementación y revitalizar la Alianza Mundial para el Desarrollo sostenible</t>
  </si>
  <si>
    <t>https://unstats.un.org/sdgs/metadata/files/Metadata-17-01-02.pdf</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</si>
  <si>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</si>
  <si>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</si>
  <si>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 Ingresos Tributarios
• Gasto total del Gobierno Central.</t>
  </si>
  <si>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</si>
  <si>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</si>
  <si>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</si>
  <si>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https://unstats.un.org/sdgs/metadata/files/Metadata-17-02-01.pdf</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</si>
  <si>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</si>
  <si>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Costa Rica: Inversión Extrajera Directa y cooperación internacional por país de origen y organismo</t>
  </si>
  <si>
    <t>País</t>
  </si>
  <si>
    <t>IED</t>
  </si>
  <si>
    <t>CIBT</t>
  </si>
  <si>
    <t>CIBNR</t>
  </si>
  <si>
    <t>CIBR</t>
  </si>
  <si>
    <t>CIB país</t>
  </si>
  <si>
    <t>Total  país</t>
  </si>
  <si>
    <t xml:space="preserve">Reino Unido </t>
  </si>
  <si>
    <t>Uruguay</t>
  </si>
  <si>
    <t xml:space="preserve">Turquía </t>
  </si>
  <si>
    <t xml:space="preserve">Andalucía </t>
  </si>
  <si>
    <t>Estados Unidos de América*</t>
  </si>
  <si>
    <t>México</t>
  </si>
  <si>
    <t>Canadá</t>
  </si>
  <si>
    <t xml:space="preserve">Islas Caimán </t>
  </si>
  <si>
    <t>Islas Vírgenes Británicas</t>
  </si>
  <si>
    <t>Argentina</t>
  </si>
  <si>
    <t>Jamaica</t>
  </si>
  <si>
    <t>Países Bajos</t>
  </si>
  <si>
    <t>España</t>
  </si>
  <si>
    <t>Suiza</t>
  </si>
  <si>
    <t>Irlanda</t>
  </si>
  <si>
    <t>Dinamarca</t>
  </si>
  <si>
    <t>Belgica</t>
  </si>
  <si>
    <t>Alemania</t>
  </si>
  <si>
    <t>Francia</t>
  </si>
  <si>
    <t>Inglaterra</t>
  </si>
  <si>
    <t>Gran Bretaña</t>
  </si>
  <si>
    <t>India</t>
  </si>
  <si>
    <t>Corea del Sur</t>
  </si>
  <si>
    <t>Israel</t>
  </si>
  <si>
    <t>Japon</t>
  </si>
  <si>
    <t>China</t>
  </si>
  <si>
    <t>Luxemburgo</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</si>
  <si>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</si>
  <si>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</si>
  <si>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</si>
  <si>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</si>
  <si>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</si>
  <si>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</si>
  <si>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</si>
  <si>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</si>
  <si>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</si>
  <si>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</si>
  <si>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</si>
  <si>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</si>
  <si>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</si>
  <si>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</si>
  <si>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</si>
  <si>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</si>
  <si>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</si>
  <si>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</si>
  <si>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</si>
  <si>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</si>
  <si>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</si>
  <si>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</si>
  <si>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</si>
  <si>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</si>
  <si>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</si>
  <si>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</si>
  <si>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</si>
  <si>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</si>
  <si>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</si>
  <si>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Fondo Mundial para VIH</t>
  </si>
  <si>
    <t>FMI</t>
  </si>
  <si>
    <t>SICA</t>
  </si>
  <si>
    <t>Países</t>
  </si>
  <si>
    <t>Total IED</t>
  </si>
  <si>
    <t>Total CIBT</t>
  </si>
  <si>
    <t>Total CIBNR</t>
  </si>
  <si>
    <t>Total CIBR</t>
  </si>
  <si>
    <t>Total CIB</t>
  </si>
  <si>
    <t>Organismos</t>
  </si>
  <si>
    <t>Total CIMT</t>
  </si>
  <si>
    <t>Total CIMNR</t>
  </si>
  <si>
    <t>Total CIMR</t>
  </si>
  <si>
    <t>Total CIM</t>
  </si>
  <si>
    <t>Total CI Total</t>
  </si>
  <si>
    <t>Total (IED + CI)</t>
  </si>
  <si>
    <t>PIB m $</t>
  </si>
  <si>
    <t>Relación</t>
  </si>
  <si>
    <t>Datos IV trimestre 2022.</t>
  </si>
  <si>
    <t>* Estados Unidos Americanos incluye Puerto Rico</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</si>
  <si>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</si>
  <si>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</si>
  <si>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</si>
  <si>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</si>
  <si>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</si>
  <si>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</si>
  <si>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</si>
  <si>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</si>
  <si>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</si>
  <si>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</si>
  <si>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</si>
  <si>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Fuente: MIDEPLAN, Unidad de Análisis Prospectivo y Política Pública con datos de Inversión Extranjera Directa y PIB de COMEX y datos de Cooperación Internacional Área de Cooperación Internacional MIDEPLAN, 2023</t>
  </si>
  <si>
    <t>17.3.1 Inversión extranjera directa, asistencia oficial para el desarrollo y cooperación Sur-Sur como proporción del ingreso nacional bruto</t>
  </si>
  <si>
    <t>https://unstats.un.org/sdgs/metadata/files/Metadata-17-03-01.pdf</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</si>
  <si>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</si>
  <si>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</si>
  <si>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</si>
  <si>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</si>
  <si>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</si>
  <si>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Categoría de cooperación - Organismos Internacionales</t>
  </si>
  <si>
    <t>Informes anuales de COMEX y MIDEPLAN</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</si>
  <si>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</si>
  <si>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</si>
  <si>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</si>
  <si>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Estefania Unfried</t>
  </si>
  <si>
    <t>Asesora de Dirección de Inversión</t>
  </si>
  <si>
    <t>Ministerio de Comercio Exterior</t>
  </si>
  <si>
    <t>2505-4110</t>
  </si>
  <si>
    <t>estefania.unfried@comex.go.cr</t>
  </si>
  <si>
    <t>Costa Rica: Porcentaje de transferencias personales (recibidas y enviadas), respecto al PIB</t>
  </si>
  <si>
    <t xml:space="preserve">Costa Rica: Porcentaje de transferencias personales (recibidas y </t>
  </si>
  <si>
    <t>Costa Rica: Porcentaje de transferencias personales (recibidas y enviadas), respecto al PIB, 2010-2024</t>
  </si>
  <si>
    <t>enviadas), respecto al PIB</t>
  </si>
  <si>
    <t>Trimestre</t>
  </si>
  <si>
    <t xml:space="preserve">Valor absoluto en cifras en millones de EUA $ </t>
  </si>
  <si>
    <t>Porcentaje del PIB</t>
  </si>
  <si>
    <t>Recibidas</t>
  </si>
  <si>
    <t>Enviadas</t>
  </si>
  <si>
    <t>Fuente: Banco Central de Costa Rica, 2010-2024</t>
  </si>
  <si>
    <t>Fuente: Banco Central de Costa Rica, 2010-2024  I Trim.</t>
  </si>
  <si>
    <t>https://unstats.un.org/sdgs/metadata/files/Metadata-17-03-02.pdf</t>
  </si>
  <si>
    <t>Porcentaje de transferencias personales (recibidas y enviadas), respecto al PIB</t>
  </si>
  <si>
    <r>
      <t xml:space="preserve">Las </t>
    </r>
    <r>
      <rPr>
        <b/>
        <sz val="11"/>
        <rFont val="Open Sans Condensed"/>
      </rPr>
      <t>transferencias personales</t>
    </r>
    <r>
      <rPr>
        <sz val="11"/>
        <rFont val="Open Sans Condensed"/>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Open Sans Condensed"/>
      </rPr>
      <t xml:space="preserve"> 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</si>
  <si>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t>• Transferencias personales enviadas y recibidas.
• PIB total.</t>
  </si>
  <si>
    <t>Estadísticas del Sector externo</t>
  </si>
  <si>
    <t xml:space="preserve">Manfred Víquez Alcázar - Rosa Serrano López </t>
  </si>
  <si>
    <t>Ejecutivo del Área de Estadística del Sector Externo</t>
  </si>
  <si>
    <t>(506) 2243-3314
(506) 2243-3316</t>
  </si>
  <si>
    <t>viquezam@bccr.fi.cr   
serranolr@bccr.fi.cr</t>
  </si>
  <si>
    <t>Costa Rica: Indicador Servicio Deuda Pública del Gobierno Central - en proporción  a las exportaciones de bienes y servicios</t>
  </si>
  <si>
    <t>Costa Rica: Indicador Servicio Deuda Pública del Gobierno Central</t>
  </si>
  <si>
    <t xml:space="preserve">Costa Rica: Indicador Servicio Deuda Pública del Gobierno Central - en proporción </t>
  </si>
  <si>
    <t xml:space="preserve"> - en proporción a las exportaciones de bienes y servicios</t>
  </si>
  <si>
    <t>a las exportaciones de bienes y servicios, 2010-2023</t>
  </si>
  <si>
    <t xml:space="preserve"> Servicio Deuda pública en millones de colones</t>
  </si>
  <si>
    <t xml:space="preserve">Exportacion de bienes y servicios en millones de colones </t>
  </si>
  <si>
    <t xml:space="preserve">Nota: El servicio de la deuda externa incluye comisiones.
Fuente: Ministerio de Hacienda con datos del Banco Central de Costa Rica, 2010-2016
</t>
  </si>
  <si>
    <t>Fuente: Ministerio de Hacienda, Servicio de Deuda y Banco Central de Costa Rica, Cuentas Nacionales, 2023</t>
  </si>
  <si>
    <t>Notas: 1/ El servicio de deuda tanto interna como externa incluye comisiones y amortizaciones o cancelaciones.</t>
  </si>
  <si>
    <t>2/ El monto del servicio de deuda 2023 no estaba disponible al momento de la actualización.</t>
  </si>
  <si>
    <t>17.4.1 Servicio de la deuda pública en proporción a las exportaciones de bienes y servicios</t>
  </si>
  <si>
    <t>https://unstats.un.org/sdgs/metadata/files/Metadata-17-04-01.pdf</t>
  </si>
  <si>
    <t>Meta país no identificado.</t>
  </si>
  <si>
    <t>Indicador Servicio Deuda Pública del Gobierno Central - en proporción  a las Exportaciones de bienes y servicios.-</t>
  </si>
  <si>
    <r>
      <t xml:space="preserve">El </t>
    </r>
    <r>
      <rPr>
        <b/>
        <sz val="11"/>
        <rFont val="Open Sans Condensed"/>
      </rPr>
      <t>servicio de deuda pública</t>
    </r>
    <r>
      <rPr>
        <sz val="11"/>
        <rFont val="Open Sans Condensed"/>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</si>
  <si>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t>• Servicio de la deuda pública del Gobierno Central.
• Total de exportaciones de bienes y servicios.</t>
  </si>
  <si>
    <t>Ministerio de Hacienda, con datos del Banco Central de Costa Rica, cifras incorporadas en las Cuentas Nacionales</t>
  </si>
  <si>
    <t>Datos del Banco Central,  cifras incorporadas en las Cuentas Nacionales</t>
  </si>
  <si>
    <t>Departamento de Estadística Macroeconómica</t>
  </si>
  <si>
    <t>Objetivo 17. Fortalecer los medios de implementación y revitalizar la Alianza Mundial para el Desarrollo Sostenible / Tecnología</t>
  </si>
  <si>
    <t>17.6.1 Número de abonados a Internet de banda ancha fija por cada 100 habitantes, desglosado por velocidad</t>
  </si>
  <si>
    <t>Costa Rica: Suscripciones a Internet fija por cada 100 habitantes</t>
  </si>
  <si>
    <t>Costa Rica: Suscripciones a Internet de banda ancha fija por cada 100 habitantes, 2010-2023</t>
  </si>
  <si>
    <t>Suscripciones a internet fija</t>
  </si>
  <si>
    <t>Suscripciones por 100 habitantes</t>
  </si>
  <si>
    <t xml:space="preserve">Fuente: Superintendencia de Telecomunicaciones, Informe de estadísticas del sector de telecomunicaciones, 2010-2023. </t>
  </si>
  <si>
    <t xml:space="preserve">Fuente: Superintendencia de Telecomunicaciones, Informe de estadísticas </t>
  </si>
  <si>
    <t xml:space="preserve">del sector de telecomunicaciones, 2010-2023. </t>
  </si>
  <si>
    <t>Suscripciones a Internet fija por cada 100 habitantes</t>
  </si>
  <si>
    <t>17.6.1</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</si>
  <si>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rFont val="Open Sans Condensed"/>
      </rPr>
      <t xml:space="preserve">Internet por redes fijas </t>
    </r>
    <r>
      <rPr>
        <sz val="11"/>
        <rFont val="Open Sans Condensed"/>
      </rPr>
      <t xml:space="preserve">cuenta con la particularidad de que el usuario dispone de distintas plataformas tecnológicas para obtener el acceso, ya sea a través de medios cableados o de medios inalámbricos fijo. 
</t>
    </r>
    <r>
      <rPr>
        <b/>
        <sz val="11"/>
        <rFont val="Open Sans Condensed"/>
      </rPr>
      <t>Internet fijo alámbrico</t>
    </r>
    <r>
      <rPr>
        <sz val="11"/>
        <rFont val="Open Sans Condensed"/>
      </rPr>
      <t xml:space="preserve">: por medio de cable módem, xDSL, fibra, hasta el hogar o edificio y otras tecnologías fijas alámbricas.
</t>
    </r>
    <r>
      <rPr>
        <b/>
        <sz val="11"/>
        <rFont val="Open Sans Condensed"/>
      </rPr>
      <t>Internet fijo inalámbrico</t>
    </r>
    <r>
      <rPr>
        <sz val="11"/>
        <rFont val="Open Sans Condensed"/>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</si>
  <si>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</si>
  <si>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</si>
  <si>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</si>
  <si>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</si>
  <si>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https://unstats.un.org/sdgs/metadata/files/Metadata-17-07-01.pdf</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</si>
  <si>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</si>
  <si>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</si>
  <si>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 xml:space="preserve"> Total</t>
  </si>
  <si>
    <t xml:space="preserve"> Central</t>
  </si>
  <si>
    <t xml:space="preserve"> Chorotega</t>
  </si>
  <si>
    <t xml:space="preserve"> Pacífico Central</t>
  </si>
  <si>
    <t xml:space="preserve"> Brunca</t>
  </si>
  <si>
    <t xml:space="preserve"> Huetar Atlántica</t>
  </si>
  <si>
    <t xml:space="preserve"> Huetar Norte</t>
  </si>
  <si>
    <t>https://unstats.un.org/sdgs/metadata/files/Metadata-17-08-01.pdf</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</si>
  <si>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</si>
  <si>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</si>
  <si>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</si>
  <si>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</si>
  <si>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</si>
  <si>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</si>
  <si>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https://unstats.un.org/sdgs/metadata/files/Metadata-17-09-01.pdf</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</si>
  <si>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</si>
  <si>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Costa Rica: Promedio arancelario ponderado</t>
  </si>
  <si>
    <t>Costa Rica: Promedio arancelario ponderado, 2010-2023</t>
  </si>
  <si>
    <t xml:space="preserve">Fuente: Ministerio de Comercio Exterior, con base en datos de importaciones del Banco Central de </t>
  </si>
  <si>
    <t>Costa Rica y de aranceles de la Organización Mundial del Comercio, 2023</t>
  </si>
  <si>
    <t>Aranceles obtenidos de: http://tariffdata.wto.org/. Consultados el 10 de mayo de 2023</t>
  </si>
  <si>
    <t xml:space="preserve">Nota: se ponderan los aranceles aplicados por el comercio con el socio respectivo a nivel de subpartida y luego se realiza el promedio simple de todas las subpartidas. </t>
  </si>
  <si>
    <t>Fuente: COMEX, con base en datos de importaciones del BCCR y de aranceles de la OMC</t>
  </si>
  <si>
    <t>https://unstats.un.org/sdgs/metadata/files/Metadata-17-10-01.pdf</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</si>
  <si>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</si>
  <si>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</si>
  <si>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El indicador provee el valor promedio de los aranceles aplicados a las importaciones del país, teniendo en cuenta la importancia relativa (o peso) de cada importación por inciso y país de origen.</t>
  </si>
  <si>
    <r>
      <t>arancel</t>
    </r>
    <r>
      <rPr>
        <vertAlign val="subscript"/>
        <sz val="11"/>
        <color theme="1"/>
        <rFont val="Open Sans Condensed"/>
      </rPr>
      <t>i,j</t>
    </r>
    <r>
      <rPr>
        <sz val="11"/>
        <color theme="1"/>
        <rFont val="Open Sans Condensed"/>
      </rPr>
      <t xml:space="preserve"> es el arancel para el inciso </t>
    </r>
    <r>
      <rPr>
        <i/>
        <sz val="11"/>
        <color theme="1"/>
        <rFont val="Open Sans Condensed"/>
      </rPr>
      <t>i</t>
    </r>
    <r>
      <rPr>
        <sz val="11"/>
        <color theme="1"/>
        <rFont val="Open Sans Condensed"/>
      </rPr>
      <t xml:space="preserve"> del país</t>
    </r>
    <r>
      <rPr>
        <i/>
        <sz val="11"/>
        <color theme="1"/>
        <rFont val="Open Sans Condensed"/>
      </rPr>
      <t xml:space="preserve"> j</t>
    </r>
    <r>
      <rPr>
        <sz val="11"/>
        <color theme="1"/>
        <rFont val="Open Sans Condensed"/>
      </rPr>
      <t xml:space="preserve">
importaciones</t>
    </r>
    <r>
      <rPr>
        <vertAlign val="subscript"/>
        <sz val="11"/>
        <color theme="1"/>
        <rFont val="Open Sans Condensed"/>
      </rPr>
      <t>i,j</t>
    </r>
    <r>
      <rPr>
        <sz val="11"/>
        <color theme="1"/>
        <rFont val="Open Sans Condensed"/>
      </rPr>
      <t xml:space="preserve"> es el valor de las importaciones del inciso </t>
    </r>
    <r>
      <rPr>
        <i/>
        <sz val="11"/>
        <color theme="1"/>
        <rFont val="Open Sans Condensed"/>
      </rPr>
      <t>i</t>
    </r>
    <r>
      <rPr>
        <sz val="11"/>
        <color theme="1"/>
        <rFont val="Open Sans Condensed"/>
      </rPr>
      <t xml:space="preserve"> del país </t>
    </r>
    <r>
      <rPr>
        <i/>
        <sz val="11"/>
        <color theme="1"/>
        <rFont val="Open Sans Condensed"/>
      </rPr>
      <t>j</t>
    </r>
  </si>
  <si>
    <t>No aplica.</t>
  </si>
  <si>
    <t>Ministerio de Comercio Exterior,</t>
  </si>
  <si>
    <t>Importaciones del Banco Central de Costa Rica y de aranceles de la Organización Mundial del Comercio</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</si>
  <si>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</si>
  <si>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https://tao.wto.org/welcome.aspx?ReturnUrl=%2f</t>
  </si>
  <si>
    <t>Arlina Gómez</t>
  </si>
  <si>
    <t>Coordinadora Unidad de Monitoreo del Comercio y la Inversión</t>
  </si>
  <si>
    <t>(506) 2505-4135</t>
  </si>
  <si>
    <t>arlina.gomez@comex.go.cr</t>
  </si>
  <si>
    <t>https://unstats.un.org/sdgs/metadata/files/Metadata-17-11-01.pdf</t>
  </si>
  <si>
    <t>De acuerdo a las Naciones Unidas, este indicador se requiere con las siguientes desagregaciones: Este indicador puede desagregarse y se analiza por sectores de productos, por regiones geográficas y por el nivel de desarrollo.</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</si>
  <si>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</si>
  <si>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https://unstats.un.org/sdgs/metadata/files/Metadata-17-12-01.pdf</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</si>
  <si>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</si>
  <si>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</si>
  <si>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https://unstats.un.org/sdgs/metadata/files/Metadata-17-13-01.pdf</t>
  </si>
  <si>
    <t>Se debe construir la definición. Podría ser alguna de las matrices de contabilidad nacional</t>
  </si>
  <si>
    <t xml:space="preserve">17.14.1 Número de países que cuentan con mecanismos para mejorar la coherencia de las políticas de desarrollo sostenible </t>
  </si>
  <si>
    <t xml:space="preserve">17.15 Respetar el margen normativo y el liderazgo de cada país para establecer y aplicar políticas de erradicación de la pobreza y desarrollo sostenible </t>
  </si>
  <si>
    <t>https://unstats.un.org/sdgs/metadata/files/Metadata-17-15-01.pdf</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</si>
  <si>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</si>
  <si>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</si>
  <si>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https://unstats.un.org/sdgs/metadata/files/Metadata-17-16-01.pdf</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</si>
  <si>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</si>
  <si>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</si>
  <si>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Costa Rica: Cantidad de Indicadores de desarrollo sostenible producidos a nivel nacional, con pleno desglose cuando sea pertinente a la meta
Costa Rica: Cantidad de indicadores desagregados, según tipo de desagregación por objetivo</t>
  </si>
  <si>
    <t xml:space="preserve">Costa Rica: Cantidad de Indicadores de desarrollo sostenible producidos a </t>
  </si>
  <si>
    <t>nivel nacional, con pleno desglose cuando sea pertinente a la meta</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</si>
  <si>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</si>
  <si>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</si>
  <si>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</si>
  <si>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</si>
  <si>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</si>
  <si>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</si>
  <si>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</si>
  <si>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Fuente: Instituto Nacional de Estadística y Censos, 2024</t>
  </si>
  <si>
    <t>Costa Rica: Cantidad de indicadores desagregados, según tipo de desagregación por objetivo</t>
  </si>
  <si>
    <t>Objetivos</t>
  </si>
  <si>
    <t xml:space="preserve">Se cuenta con datos </t>
  </si>
  <si>
    <t xml:space="preserve">Desagregación por </t>
  </si>
  <si>
    <t xml:space="preserve">Condición de actividad </t>
  </si>
  <si>
    <t xml:space="preserve">Nivel socioeconómico </t>
  </si>
  <si>
    <t>Otras desagregaciones</t>
  </si>
  <si>
    <t>Objetivo 1.</t>
  </si>
  <si>
    <t>Objetivo 2.</t>
  </si>
  <si>
    <t>Objetivo 3.</t>
  </si>
  <si>
    <t>Objetivo 4.</t>
  </si>
  <si>
    <t>Objetivo 5.</t>
  </si>
  <si>
    <t>Objetivo 6.</t>
  </si>
  <si>
    <t>Objetivo 7.</t>
  </si>
  <si>
    <t>Objetivo 8.</t>
  </si>
  <si>
    <t>Objetivo 9.</t>
  </si>
  <si>
    <t>Objetivo 10.</t>
  </si>
  <si>
    <t>Objetivo 11.</t>
  </si>
  <si>
    <t>Objetivo 12.</t>
  </si>
  <si>
    <t>Objetivo 13.</t>
  </si>
  <si>
    <t>Objetivo 14.</t>
  </si>
  <si>
    <t>Objetivo 15.</t>
  </si>
  <si>
    <t>Objetivo 16.</t>
  </si>
  <si>
    <t>Objetivo 17.</t>
  </si>
  <si>
    <t>Nota: No hay ningún indicador desagregafo por etnia</t>
  </si>
  <si>
    <t>Fuente: Instituto Nacional de Estadística y Censos, Área de Coordinación del Sistema de Estadística Nacional, 2024</t>
  </si>
  <si>
    <t>Cantidad de Indicadores de desarrollo sostenible producidos a nivel nacional, con pleno desglose cuando sea pertinente a la meta</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</si>
  <si>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</si>
  <si>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r>
      <t xml:space="preserve">Indicador a Requiere la desagregación x </t>
    </r>
    <r>
      <rPr>
        <b/>
        <sz val="11"/>
        <rFont val="Open Sans Condensed"/>
      </rPr>
      <t>y</t>
    </r>
    <r>
      <rPr>
        <sz val="11"/>
        <rFont val="Open Sans Condensed"/>
      </rPr>
      <t xml:space="preserve"> si el indicador a cuenta con la desagreación x);</t>
    </r>
    <r>
      <rPr>
        <b/>
        <sz val="11"/>
        <rFont val="Open Sans Condensed"/>
      </rPr>
      <t xml:space="preserve">o </t>
    </r>
    <r>
      <rPr>
        <sz val="11"/>
        <rFont val="Open Sans Condensed"/>
      </rPr>
      <t xml:space="preserve">el Indicador a no requiere la desagregación x </t>
    </r>
    <r>
      <rPr>
        <b/>
        <sz val="11"/>
        <rFont val="Open Sans Condensed"/>
      </rPr>
      <t>y</t>
    </r>
    <r>
      <rPr>
        <sz val="11"/>
        <rFont val="Open Sans Condensed"/>
      </rPr>
      <t xml:space="preserve"> si el indicador a no cuenta con la desagreación 
=SI(O(Y(V2="x";G2="x");Y(V2="";G2=""));"Cumple";"No cumple")
=Y(AD2="Cumple";AE2="Cumple";AF2="Cumple";AG2="Cumple";AH2="Cumple";AI2="Cumple";AJ2="Cumple")
</t>
    </r>
  </si>
  <si>
    <t>Indicadores que cuentan con todas las desagregaciones requeridas y/o no requieren desagregaciones y no cuentan con ellas</t>
  </si>
  <si>
    <t xml:space="preserve">Indicadores disponibles
Indicador requiere o no desagregación
Indicador requiere o no desagregación por tipo de desagregación
Indicador cuenta o no con desagregación
Indicador cuenta o no con desagregación por tipo de desagregación
</t>
  </si>
  <si>
    <t>Tipo de desagregación</t>
  </si>
  <si>
    <t>De acuerdo a las Naciones Unidas, este indicador se requiere con las siguientes desagregaciones: No aplica</t>
  </si>
  <si>
    <t>Katherine Gómez</t>
  </si>
  <si>
    <t>Economista del Área de Coordinación del Sistema de Estadística Nacional</t>
  </si>
  <si>
    <t>2280-9280</t>
  </si>
  <si>
    <t>katherine.gomez@inec.go.cr</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</si>
  <si>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</si>
  <si>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 xml:space="preserve">17.18.2 Número de países que cuentan con legislación nacional sobre las estadísticas acorde con los Principios Fundamentales de las Estadísticas Oficiales </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</si>
  <si>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</si>
  <si>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</si>
  <si>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</si>
  <si>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</si>
  <si>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</si>
  <si>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herramienta de cálculo basada en Microsoft Excel</t>
  </si>
  <si>
    <t xml:space="preserve">Porcentaje de inconformidades externas o internas presentadas ante las Contralorías de Servicios, que han sido resueltas por las instituciones públicas que integran el Sistema Nacional de Contralorías de Servicios, según naturaleza jurídica. </t>
  </si>
  <si>
    <t>No recolectado con descarga final no adecuada (1)</t>
  </si>
  <si>
    <t>Generados</t>
  </si>
  <si>
    <t>Generados con descarga final adecuada</t>
  </si>
  <si>
    <t>Kilotoneladas</t>
  </si>
  <si>
    <t>Nota: (1) (1)	Residuos no tratados y dispuestos en sitios no controlados.</t>
  </si>
  <si>
    <t>Fuente: Ministerio de Salud, Dirección de Protección Radiológica y Salud Ambiental (DPRSA).</t>
  </si>
  <si>
    <t>Toneladas</t>
  </si>
  <si>
    <t>toneladas</t>
  </si>
  <si>
    <t>toneladas/día</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</si>
  <si>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t>
  </si>
  <si>
    <t>Costa Rica: Residuos ordinarios generados por provincia (kilogramos, kilogramos por día y  camiones  por día, kilogramos por persona por día), 2018-2023</t>
  </si>
  <si>
    <t>Costa Rica: Residuos ordinarios por provincia y a nivel nacional recuperados (reciclaje, co-procesamiento y compostaje), 2019-2023</t>
  </si>
  <si>
    <t>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t>
  </si>
  <si>
    <t>Costa Rica: Residuos ordinarios por provincia y a nivel nacional recolectados, no recolectados con descarga final no adecuada (no controlado y no tratados en instalaciones), generados y la proporción de los generados con descarga final adecuada (controlados y tratados en instalaciones) en Kilotoneladas y porcentajes, 2019-2023 
Costa Rica: Residuos ordinarios por provincia y a nivel nacional recolectados y enviados al relleno sanitario, recuperados, no recolectados con descarga final no adecuada (no controlado y no tratado), generados  y la proporcion de los generados con descarga final adecuada (controlados y tratados), 2019-2023 
Costa Rica: Residuos ordinarios por provincia y a nivel nacional recuperados (reciclaje, co-procesamiento y compostaje), 2019-2023
Costa Rica: Residuos ordinarios generados por provincia (kilogramos, kilogramos por día y  camiones  por día, kilogramos por persona por día), 2018-2023</t>
  </si>
  <si>
    <t>Costa Rica: Proporción de residuos ordinarios generados y recuperados (reciclaje, compostaje y coprocesamiento), 2016-2023</t>
  </si>
  <si>
    <t>Fuente: Ministerio de Salud, 2016-2023</t>
  </si>
  <si>
    <t>Fuente: Instituto Nacional de Estadística y Censos, Encuesta Nacional de Hogares 2010-2024.</t>
  </si>
  <si>
    <t>Costa Rica: Porcentaje de población en situación de pobreza determinada 
por el método de línea de pobreza, 2010-2024</t>
  </si>
  <si>
    <t xml:space="preserve">Fuente: INEC, Encuesta Nacional de Hogares, 2010-2024. </t>
  </si>
  <si>
    <t>Costa Rica: Porcentaje de personas que viven en hogares pobres determinado por método de pobreza multidimensional, 2010-2024</t>
  </si>
  <si>
    <t>Fuente: Instituto Nacional de Estadística y Censos, Encuesta Nacional de Hogares 2010-2024</t>
  </si>
  <si>
    <t>Contribución relativa al IPM según dimensión por región de planificación, año 2024</t>
  </si>
  <si>
    <t xml:space="preserve">Fuente: INEC, Encuesta Nacional de Hogares, 2024. </t>
  </si>
  <si>
    <t>Costa Rica: Porcentaje de población que habita en viviendas con servicios básicos óptimos, 2010-2024</t>
  </si>
  <si>
    <t>Fuente: Instituto Nacional de Estadística y Censos, Encuesta Nacional de Hogares, 2010-2024</t>
  </si>
  <si>
    <t>Costa Rica: Porcentaje de población asegurada, por sexo, 2010-2024</t>
  </si>
  <si>
    <t>Fuente: INEC, Encuesta Nacional de Hogares 2010-2024.</t>
  </si>
  <si>
    <t>Costa Rica: Porcentaje de jóvenes y adultos de 15 a 35 años que asisten a la educación regular, según grupo de edad, 2010-2024</t>
  </si>
  <si>
    <r>
      <t>Fuente</t>
    </r>
    <r>
      <rPr>
        <sz val="11"/>
        <color indexed="8"/>
        <rFont val="Open Sans Condensed"/>
      </rPr>
      <t>: Intituto Nacional de Estadística y Censos, Encuesta Nacional de Hogares 2010-2024</t>
    </r>
  </si>
  <si>
    <t>Costa Rica: Porcentaje de jóvenes y adultos de 15 a 35 años que asisten a la educación no regular, según grupo de edad, 2010-2024</t>
  </si>
  <si>
    <t>Costa Rica: Porcentaje de mujeres menores de 18 años que estaban casadas o mantenían una unión estable a la fecha de la encuesta, 2010-2024</t>
  </si>
  <si>
    <t>Fuente: INEC, Encuesta Nacional de Hogares 2015-2024.</t>
  </si>
  <si>
    <t>Costa Rica: Porcentaje de personas de 5 años y más que utilizaron teléfono celular en los últimos tres meses, por sexo, Años 2015 -2024</t>
  </si>
  <si>
    <t>Fuente: Instituto Nacional de Estadística y Censos, Encuesta Nacional de Hogares 2015-2024.</t>
  </si>
  <si>
    <t>Costa Rica: Porcentaje de población que se abastecen de agua por medio de tubería dentro de la vivienda, 2010-2024</t>
  </si>
  <si>
    <t>Costa Rica: Porcentaje de población que se abastece de agua intradomiciliar procedente de un acueducto, por región de planificación, 2010-2024</t>
  </si>
  <si>
    <t>Costa Rica: Porcentaje de población que vive en viviendas con servicio sanitario conectado a alcantarillado o tanque séptico, 2010-2024</t>
  </si>
  <si>
    <t>Costa Rica: Porcentaje de la población con acceso a la electricidad, 2010-2024</t>
  </si>
  <si>
    <t>Fuente: INEC, Encuesta Nacional de Hogares, 2010-2024.</t>
  </si>
  <si>
    <t>Costa Rica: Porcentaje de la población que cocina con gas, electricidad o ambos, 2010-2024</t>
  </si>
  <si>
    <t>Costa Rica: Porcentaje que representa el ingreso de las personas del quintil 1 y 2 respecto al total de ingreso de la población, 2010-2024</t>
  </si>
  <si>
    <t>Fuente: INEC, Encuesta Nacional de Hogares, 2010-2024</t>
  </si>
  <si>
    <t>Costa Rica: Porcentaje de la población que vive por debajo del 50% de la mediana de los ingresos, 2010-2024</t>
  </si>
  <si>
    <r>
      <t xml:space="preserve">Fuente: </t>
    </r>
    <r>
      <rPr>
        <sz val="10"/>
        <color indexed="8"/>
        <rFont val="Calibri"/>
        <family val="2"/>
      </rPr>
      <t>INEC, Encuesta Nacional de Hogares, 2010-2024.</t>
    </r>
  </si>
  <si>
    <t>Costa Rica: Porcentaje de la población que vive por debajo del 50% de la mediana de los ingresos, desglosada por región de planificación, 2016-2024</t>
  </si>
  <si>
    <t>Fuente: Instituto Nacional de Estadística y Censo, Encuesta Nacional de Hogares, 2010-2024</t>
  </si>
  <si>
    <t>Costa Rica: Porcentaje de la población total que vive en viviendas con estado físico de la vivienda malo, 2010-2024</t>
  </si>
  <si>
    <r>
      <t>Fuente:</t>
    </r>
    <r>
      <rPr>
        <sz val="10"/>
        <color indexed="8"/>
        <rFont val="Calibri"/>
        <family val="2"/>
      </rPr>
      <t xml:space="preserve"> INEC, Encuesta Nacional de Hogares, 2010-2024.</t>
    </r>
  </si>
  <si>
    <t>Costa Rica: Porcentaje de la población que habita en tugurio, 2010-2024</t>
  </si>
  <si>
    <r>
      <t>Fuente</t>
    </r>
    <r>
      <rPr>
        <sz val="10"/>
        <color indexed="8"/>
        <rFont val="Calibri"/>
        <family val="2"/>
      </rPr>
      <t>: INEC, Encuesta Nacional de Hogares, 2010-2024.</t>
    </r>
  </si>
  <si>
    <t>Costa Rica: Porcentaje de población que vive en precario, 2010-2024</t>
  </si>
  <si>
    <t>Fuente: Instituto Nacional de Estadísticas y  Censos, Encuesta Nacional de Hogares, 2010-2024</t>
  </si>
  <si>
    <t>Costa Rica: Porcentaje de personas de 5 años y más que utilizaron internet en los últimos 3 meses, por zona, 2010-2024</t>
  </si>
  <si>
    <t>Fuente: INEC, Encuesta Continua de Empleo 2010-2024.</t>
  </si>
  <si>
    <t>Costa Rica: Ingreso promedio por hora de los patronos en el sector agropecuario, por tamaño del establecimiento, 2010-2024</t>
  </si>
  <si>
    <t>Fuente: Instituto Nacional de Estadística y Censos, Encuesta Continua de Empleo 2010-2024.</t>
  </si>
  <si>
    <t>Dianny Hernández Ruiz</t>
  </si>
  <si>
    <t>Coordinadora a.i. en la Encuesta Continua de Empleo</t>
  </si>
  <si>
    <t>(506) 2527-1000</t>
  </si>
  <si>
    <t>dianny.hernandez@inec.go.cr</t>
  </si>
  <si>
    <t>Fuente: Empalme Encuesta de Hogares de Própositos Múltiples (EHPM) de 1990 a 2009 y Encuesta Continua de empleo (ECE) promedio anual de los trimestres del 2010-2024.</t>
  </si>
  <si>
    <t>Costa Rica: Porcentaje de mujeres ocupadas en cargo directivo, 2010-2024</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</si>
  <si>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</si>
  <si>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t>Fuente: BCCR e INEC, Encuesta Continua de empleo, 2024.</t>
  </si>
  <si>
    <t>Costa Rica: Tasas de crecimiento del producto interno bruto, de la población ocupada y de la productividad laboral a volumen de precios del año anterior encadenado por persona empleada por trimestres, 2020-2024</t>
  </si>
  <si>
    <t>Fuente: Instituto Nacional de Estadística y Censos, Encuesta Continua de empleo, y datos del Banco Central de Costa Rica, 2011-2024</t>
  </si>
  <si>
    <t>Fuente: Instituto Nacional de estadística y Censos,  Encuesta Continua de Empleo, 2010-2024</t>
  </si>
  <si>
    <t>Costa Rica: Porcentaje de empleo informal en el empleo no agropecuario, por tipo de producción en el trabajo (posición en el empleo), 2010-2024</t>
  </si>
  <si>
    <t>Fuente: INEC, Encuesta Continua de empleo (ECE), 2024</t>
  </si>
  <si>
    <t>Fuente: Instituto Nacional de Estadística y Censos, Empalme Encuesta de Hogares de Própositos Múltiples (EHPM) de 1990 a 2009 y Encuesta Continua de empleo (ECE) promedio anual de los trimestres del 2010-2024</t>
  </si>
  <si>
    <t>Costa Rica: Tasa de desempleo abierto desglosada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</si>
  <si>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</si>
  <si>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</si>
  <si>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 jóvenes de 15 a 24 años que no estudian ni tienen empleo del total de la población joven, por sexo, 2010-2024</t>
  </si>
  <si>
    <t>Fuente: Instituto Nacional de Estadística y Censos, Encuesta Continua de Empleo 2010-2024</t>
  </si>
  <si>
    <t>Fuente: Instituto Nacional de Estadística y Censos, Empalme Encuesta de Hogares de Própositos Múltiples (EHPM) de 1990 a 2009 y Encuesta Continua de empleo (ECE) promedio anual de los trimestres del 2010-2024.</t>
  </si>
  <si>
    <t>Costa Rica: Porcentaje del empleo en la manufactura respecto de la población ocupada por sexo, 2010-2024</t>
  </si>
  <si>
    <t>Fuente: Instituto Nacional de Estadística y Censos, Empalme Encuesta de Hogares de Propósitos Múltiples (EHPM) de 1991 a 2009 y Encuesta Continua de empleo (ECE) promedio anual del 2010-2024.</t>
  </si>
  <si>
    <t>Costa Rica: Porcentaje de población ocupada en el sector público por sexo y zona, 2010-2024</t>
  </si>
  <si>
    <r>
      <t>2024</t>
    </r>
    <r>
      <rPr>
        <vertAlign val="superscript"/>
        <sz val="11"/>
        <color theme="1"/>
        <rFont val="Open Sans Condensed"/>
      </rPr>
      <t>a/</t>
    </r>
  </si>
  <si>
    <t>1/ La desagregación no está disponible por cuanto está en proceso de cálculo la actualización de las estimaciones y proyecciones de población por provincia, las cuales se publican en junio 2025.</t>
  </si>
  <si>
    <t>Fuente: INEC-Costa Rica. Estadísticas vitales, 2010 - 2024.</t>
  </si>
  <si>
    <r>
      <t>Costa Rica. Razón de mortalidad materna (RMM), 2010 - 2024</t>
    </r>
    <r>
      <rPr>
        <b/>
        <vertAlign val="superscript"/>
        <sz val="12"/>
        <color theme="1"/>
        <rFont val="Open Sans Condensed"/>
      </rPr>
      <t>a/</t>
    </r>
  </si>
  <si>
    <t>a/ Datos preliminares para 2024.</t>
  </si>
  <si>
    <t>Costa Rica. Porcentaje de nacimientos atendidos por personal de salud calificado, 2010 - 2024</t>
  </si>
  <si>
    <t>Costa Rica: Tasa de mortalidad de niños y niñas menores de 5 años por 1 000 nacidos vivos, 2010-2024</t>
  </si>
  <si>
    <t>Fuente: Instituto Nacional de Estadística y Censos, Estadísticas vitales, 2010 - 2024.</t>
  </si>
  <si>
    <t>Costa Rica: Tasa de mortalidad neonatal por 1 000 nacidos vivos, 2010 - 2024</t>
  </si>
  <si>
    <t>Fuente: Instituto Nacional de Estadística y Censo, Estadísticas vitales, 2010 - 2024.</t>
  </si>
  <si>
    <t>N.D.</t>
  </si>
  <si>
    <t>Provincia de residencia 1/</t>
  </si>
  <si>
    <t>el cáncer, la diabetes o las enfermedades respiratorias crónicas (ECNT) por cada 1 000 habitantes, 2010-2024</t>
  </si>
  <si>
    <t>Fuente: Instituto Nacional de Estadística y Censos,  Estadísticas vitales, 2010 - 2024.</t>
  </si>
  <si>
    <t>2/ La desagregación no está disponible por cuanto está en proceso de cálculo la actualización de las estimaciones y proyecciones de población por provincia, las cuales se publican en junio 2025.</t>
  </si>
  <si>
    <t>Provincia de residencia1/</t>
  </si>
  <si>
    <t>Costa Rica. Tasa de mortalidad por suicidio por cada 100 000 habitantes, 2010 - 2024</t>
  </si>
  <si>
    <t>Provincia de residencia 2/</t>
  </si>
  <si>
    <t>Costa Rica: Tasa de mortalidad por lesiones debidas a accidentes de tránsito por cada 100 000 habitantes, 2010 - 2024</t>
  </si>
  <si>
    <t>Costa Rica: Tasa de fecundidad adolescente de mujeres de 10 a 19 años por cada 1 000 mujeres del mismo grupo de edad, 2010 - 2024</t>
  </si>
  <si>
    <t>Costa Rica: Tasa de mortalidad por condiciones atribuidas a la contaminación de los hogares y del aire en el ambiente por 100 000 habitantes, 2010 - 2024</t>
  </si>
  <si>
    <r>
      <t>2024</t>
    </r>
    <r>
      <rPr>
        <vertAlign val="superscript"/>
        <sz val="11"/>
        <color theme="1"/>
        <rFont val="Open Sans Condensed"/>
      </rPr>
      <t>/</t>
    </r>
  </si>
  <si>
    <t>Costa Rica: Tasa de mortalidad por diarrea y gastroenteritis de presunto origen infeccioso por cada 100 000 habitantes, 2010 - 2024</t>
  </si>
  <si>
    <t>Costa Rica: Tasa de mortalidad por envenenamiento accidental por, y exposición a sustancias nocivas, por 100 000 habitantes, 2010-2024</t>
  </si>
  <si>
    <t>Fuente: Instituto Nacional de Estadística y Censos, Estadísticas vitales, 2010 - 2024</t>
  </si>
  <si>
    <t>Costa Rica: Porcentaje de la población que vive con menos de US$1,90 (Paridad de Poder Adquisitivo (PPA)) al día, 2010-2024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</si>
</sst>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3" formatCode="_-* #,##0.00_-;\-* #,##0.00_-;_-* &quot;-&quot;??_-;_-@_-"/>
    <numFmt numFmtId="164" formatCode="0.0"/>
    <numFmt numFmtId="165" formatCode="_-* #,##0.00\ &quot;€&quot;_-;\-* #,##0.00\ &quot;€&quot;_-;_-* &quot;-&quot;??\ &quot;€&quot;_-;_-@_-"/>
    <numFmt numFmtId="166" formatCode="###0.0"/>
    <numFmt numFmtId="167" formatCode="###0.00"/>
    <numFmt numFmtId="168" formatCode="###\ ###\ ###"/>
    <numFmt numFmtId="169" formatCode="#0.00"/>
    <numFmt numFmtId="170" formatCode="###\ ###\ ###\ ###"/>
    <numFmt numFmtId="171" formatCode="_(* #,##0.00_);_(* \(#,##0.00\);_(* &quot;-&quot;??_);_(@_)"/>
    <numFmt numFmtId="172" formatCode="_(* #,##0_);_(* \(#,##0\);_(* &quot;-&quot;??_);_(@_)"/>
    <numFmt numFmtId="173" formatCode="###,###,###.00"/>
    <numFmt numFmtId="174" formatCode="0.0000"/>
    <numFmt numFmtId="175" formatCode="###\ ###\ ###\ ###.00"/>
    <numFmt numFmtId="176" formatCode="0.000"/>
    <numFmt numFmtId="177" formatCode="####.0"/>
    <numFmt numFmtId="178" formatCode="\(##0.0\)"/>
    <numFmt numFmtId="179" formatCode="####"/>
    <numFmt numFmtId="180" formatCode="#\ ###\ ###"/>
    <numFmt numFmtId="181" formatCode="###\ ##0.0"/>
    <numFmt numFmtId="182" formatCode="###,###,###,###"/>
    <numFmt numFmtId="183" formatCode="###,###,###,###.00"/>
    <numFmt numFmtId="184" formatCode="##0.0"/>
    <numFmt numFmtId="185" formatCode="###0"/>
    <numFmt numFmtId="186" formatCode="[h]:mm"/>
    <numFmt numFmtId="187" formatCode="0.0%"/>
    <numFmt numFmtId="188" formatCode="#,##0.0"/>
    <numFmt numFmtId="189" formatCode="#,##0.0;##0.0;&quot;-&quot;"/>
    <numFmt numFmtId="190" formatCode="#,##0;##0;&quot;-&quot;"/>
    <numFmt numFmtId="191" formatCode="#,##0_ ;\-#,##0\ "/>
    <numFmt numFmtId="192" formatCode="###\ ###\ ###\ ###\ "/>
    <numFmt numFmtId="193" formatCode="_-* #,##0_-;\-* #,##0_-;_-* &quot;-&quot;??_-;_-@_-"/>
    <numFmt numFmtId="194" formatCode="_-* #,##0.000_-;\-* #,##0.000_-;_-* &quot;-&quot;??_-;_-@_-"/>
    <numFmt numFmtId="195" formatCode="0.00;[Red]0.00"/>
    <numFmt numFmtId="196" formatCode="###,##0.00"/>
    <numFmt numFmtId="197" formatCode="###\ ##0.00"/>
    <numFmt numFmtId="198" formatCode="###\ ###.00"/>
    <numFmt numFmtId="199" formatCode="General_)"/>
    <numFmt numFmtId="200" formatCode="###\ ###"/>
    <numFmt numFmtId="201" formatCode="###.##"/>
    <numFmt numFmtId="202" formatCode="###,###,###"/>
    <numFmt numFmtId="203" formatCode="_-* #,##0\ _€_-;\-* #,##0\ _€_-;_-* &quot;-&quot;??\ _€_-;_-@_-"/>
    <numFmt numFmtId="204" formatCode="#####\ ###\ ###\ ##0.000"/>
    <numFmt numFmtId="205" formatCode="_(* #,##0.000000_);_(* \(#,##0.000000\);_(* &quot;-&quot;??_);_(@_)"/>
    <numFmt numFmtId="206" formatCode="_-* #,##0.0_-;\-* #,##0.0_-;_-* &quot;-&quot;??_-;_-@_-"/>
    <numFmt numFmtId="207" formatCode=".\ #\ ;#####################################################################################################################################################################################################################"/>
    <numFmt numFmtId="208" formatCode="###.0\ ###\ ###"/>
    <numFmt numFmtId="209" formatCode=".\ #\ ;##"/>
    <numFmt numFmtId="210" formatCode="###\ ###\ ###\ ##0.0"/>
    <numFmt numFmtId="211" formatCode="###\ ###\ ##0"/>
    <numFmt numFmtId="212" formatCode="_(* #,##0.0_);_(* \(#,##0.0\);_(* &quot;-&quot;??_);_(@_)"/>
    <numFmt numFmtId="213" formatCode="[$-10409]#,##0.00;\-#,##0.00"/>
    <numFmt numFmtId="214" formatCode="_(* #,##0.000_);_(* \(#,##0.000\);_(* &quot;-&quot;??_);_(@_)"/>
    <numFmt numFmtId="215" formatCode="###\ ###\ ###.00"/>
    <numFmt numFmtId="216" formatCode=".\ ##\ ;################################################.0"/>
    <numFmt numFmtId="217" formatCode="###\ ###\ ###\ "/>
    <numFmt numFmtId="218" formatCode="0.0000%"/>
    <numFmt numFmtId="219" formatCode="###,###,###,##0.00"/>
    <numFmt numFmtId="220" formatCode="###,###,###,##0.000000000"/>
    <numFmt numFmtId="221" formatCode="###\ ###\ ###\ ##0.00"/>
    <numFmt numFmtId="222" formatCode="###\ ###\ ###\ ###\ ##0"/>
    <numFmt numFmtId="223" formatCode="#\ ###\ ###\ ##0.00"/>
    <numFmt numFmtId="224" formatCode="0.0000000000"/>
    <numFmt numFmtId="225" formatCode="######\ ###\ ###\ ##0.00"/>
    <numFmt numFmtId="226" formatCode="###,###,##0.00"/>
    <numFmt numFmtId="227" formatCode="###,###,##0.0"/>
    <numFmt numFmtId="228" formatCode="_-* #,##0.0000_-;\-* #,##0.0000_-;_-* &quot;-&quot;??_-;_-@_-"/>
    <numFmt numFmtId="229" formatCode="_-* #,##0.0000_-;\-* #,##0.0000_-;_-* &quot;-&quot;????_-;_-@_-"/>
    <numFmt numFmtId="230" formatCode="###\ ###\ ###\ ###\ ###\ ###"/>
    <numFmt numFmtId="231" formatCode="###\ ###\ ###\ ###\ ###"/>
    <numFmt numFmtId="232" formatCode="#,##0.000"/>
  </numFmts>
  <fonts count="155" x14ac:knownFonts="1">
    <font>
      <sz val="11"/>
      <color theme="1"/>
      <name val="Calibri"/>
      <family val="2"/>
      <scheme val="minor"/>
    </font>
    <font>
      <sz val="11"/>
      <color theme="1"/>
      <name val="Calibri"/>
      <family val="2"/>
      <scheme val="minor"/>
    </font>
    <font>
      <b/>
      <sz val="11"/>
      <color theme="1"/>
      <name val="Calibri"/>
      <family val="2"/>
      <scheme val="minor"/>
    </font>
    <font>
      <b/>
      <sz val="18"/>
      <color rgb="FF002F6D"/>
      <name val="Open Sans Condensed"/>
    </font>
    <font>
      <u/>
      <sz val="11"/>
      <color theme="10"/>
      <name val="Calibri"/>
      <family val="2"/>
      <scheme val="minor"/>
    </font>
    <font>
      <b/>
      <u/>
      <sz val="12"/>
      <name val="Open Sans Condensed"/>
    </font>
    <font>
      <sz val="11"/>
      <color theme="1"/>
      <name val="Open Sans Condensed"/>
    </font>
    <font>
      <b/>
      <sz val="20"/>
      <name val="Open Sans Condensed"/>
    </font>
    <font>
      <b/>
      <sz val="14"/>
      <name val="Open Sans SemiCondensed"/>
    </font>
    <font>
      <sz val="11"/>
      <color theme="1"/>
      <name val="Garamond"/>
      <family val="2"/>
    </font>
    <font>
      <sz val="12"/>
      <color theme="1"/>
      <name val="Open Sans SemiCondensed"/>
    </font>
    <font>
      <u/>
      <sz val="12"/>
      <name val="Open Sans SemiCondensed"/>
    </font>
    <font>
      <u/>
      <sz val="12"/>
      <color theme="0" tint="-0.499984740745262"/>
      <name val="Open Sans SemiCondensed"/>
    </font>
    <font>
      <u/>
      <sz val="12"/>
      <name val="Open Sans Condensed"/>
    </font>
    <font>
      <sz val="12"/>
      <color theme="1"/>
      <name val="Open Sans Condensed"/>
    </font>
    <font>
      <sz val="10"/>
      <color theme="1"/>
      <name val="Open Sans Condensed"/>
    </font>
    <font>
      <b/>
      <sz val="12"/>
      <name val="Open Sans Condensed"/>
    </font>
    <font>
      <sz val="10"/>
      <color theme="0"/>
      <name val="Open Sans Condensed"/>
    </font>
    <font>
      <sz val="8"/>
      <color theme="1"/>
      <name val="Open Sans Condensed"/>
    </font>
    <font>
      <b/>
      <sz val="10"/>
      <name val="Open Sans Condensed"/>
    </font>
    <font>
      <b/>
      <sz val="11"/>
      <name val="Open Sans Condensed"/>
    </font>
    <font>
      <sz val="11"/>
      <color theme="1"/>
      <name val="Open Sans SemiCondensed"/>
    </font>
    <font>
      <sz val="11"/>
      <color indexed="8"/>
      <name val="Open Sans SemiCondensed"/>
    </font>
    <font>
      <sz val="11"/>
      <name val="Open Sans SemiCondensed"/>
    </font>
    <font>
      <b/>
      <sz val="12"/>
      <color theme="1"/>
      <name val="Open Sans Condensed"/>
    </font>
    <font>
      <b/>
      <sz val="14"/>
      <color rgb="FFFF0000"/>
      <name val="Open Sans Condensed"/>
    </font>
    <font>
      <u/>
      <sz val="11"/>
      <name val="Open Sans Condensed"/>
    </font>
    <font>
      <b/>
      <sz val="16"/>
      <color theme="1"/>
      <name val="Open Sans Condensed"/>
    </font>
    <font>
      <sz val="11"/>
      <name val="Open Sans Condensed"/>
    </font>
    <font>
      <u/>
      <sz val="11"/>
      <color theme="10"/>
      <name val="Open Sans Condensed"/>
    </font>
    <font>
      <b/>
      <sz val="11"/>
      <color theme="1"/>
      <name val="Open Sans Condensed"/>
    </font>
    <font>
      <b/>
      <sz val="11"/>
      <color indexed="8"/>
      <name val="Open Sans Condensed"/>
    </font>
    <font>
      <sz val="11"/>
      <color indexed="10"/>
      <name val="Open Sans Condensed"/>
    </font>
    <font>
      <b/>
      <sz val="10"/>
      <color theme="0"/>
      <name val="Open Sans Condensed"/>
    </font>
    <font>
      <b/>
      <sz val="10"/>
      <color theme="1"/>
      <name val="Open Sans Condensed"/>
    </font>
    <font>
      <sz val="8"/>
      <color theme="0"/>
      <name val="Open Sans Condensed"/>
    </font>
    <font>
      <sz val="10"/>
      <name val="Arial"/>
      <family val="2"/>
    </font>
    <font>
      <sz val="11"/>
      <color indexed="8"/>
      <name val="Open Sans Condensed"/>
    </font>
    <font>
      <b/>
      <sz val="10"/>
      <color theme="1" tint="0.499984740745262"/>
      <name val="Open Sans Condensed"/>
    </font>
    <font>
      <sz val="10"/>
      <color theme="1" tint="0.499984740745262"/>
      <name val="Open Sans Condensed"/>
    </font>
    <font>
      <sz val="8"/>
      <name val="Open Sans Condensed"/>
    </font>
    <font>
      <sz val="8"/>
      <color theme="1"/>
      <name val="Calibri"/>
      <family val="2"/>
      <scheme val="minor"/>
    </font>
    <font>
      <sz val="11"/>
      <color theme="0"/>
      <name val="Open Sans Condensed"/>
    </font>
    <font>
      <b/>
      <sz val="11"/>
      <name val="Calibri"/>
      <family val="2"/>
      <scheme val="minor"/>
    </font>
    <font>
      <u/>
      <sz val="12"/>
      <color theme="0"/>
      <name val="Open Sans Condensed"/>
    </font>
    <font>
      <b/>
      <sz val="8"/>
      <color theme="1"/>
      <name val="Open Sans Condensed"/>
    </font>
    <font>
      <sz val="11"/>
      <color rgb="FF333333"/>
      <name val="Open Sans Condensed"/>
    </font>
    <font>
      <sz val="11"/>
      <color rgb="FFFF0000"/>
      <name val="Open Sans Condensed"/>
    </font>
    <font>
      <u/>
      <sz val="12"/>
      <color theme="10"/>
      <name val="Open Sans Condensed"/>
    </font>
    <font>
      <sz val="12"/>
      <name val="Calibri"/>
      <family val="2"/>
      <scheme val="minor"/>
    </font>
    <font>
      <b/>
      <sz val="12"/>
      <color theme="0"/>
      <name val="Open Sans Condensed"/>
    </font>
    <font>
      <sz val="12"/>
      <color rgb="FFFF0000"/>
      <name val="Open Sans Condensed"/>
    </font>
    <font>
      <sz val="8"/>
      <color theme="1"/>
      <name val="Open Sans Condensed Medium"/>
    </font>
    <font>
      <sz val="11"/>
      <color theme="4" tint="-0.249977111117893"/>
      <name val="Open Sans Condensed"/>
    </font>
    <font>
      <vertAlign val="superscript"/>
      <sz val="11"/>
      <color theme="1"/>
      <name val="Open Sans Condensed"/>
    </font>
    <font>
      <sz val="11"/>
      <color rgb="FF000000"/>
      <name val="Open Sans Condensed"/>
    </font>
    <font>
      <sz val="12"/>
      <color theme="1"/>
      <name val="Calibri"/>
      <family val="2"/>
      <scheme val="minor"/>
    </font>
    <font>
      <sz val="10"/>
      <color theme="1"/>
      <name val="Open Sans SemiCondensed"/>
    </font>
    <font>
      <sz val="12"/>
      <name val="Open Sans Condensed"/>
    </font>
    <font>
      <sz val="12"/>
      <color theme="0"/>
      <name val="Open Sans Condensed"/>
    </font>
    <font>
      <b/>
      <u/>
      <sz val="10"/>
      <name val="Open Sans Condensed"/>
    </font>
    <font>
      <sz val="11"/>
      <color rgb="FF1F3763"/>
      <name val="Open Sans Condensed"/>
    </font>
    <font>
      <u/>
      <sz val="11"/>
      <color theme="0"/>
      <name val="Open Sans Condensed"/>
    </font>
    <font>
      <b/>
      <sz val="11"/>
      <color theme="0"/>
      <name val="Open Sans Condensed"/>
    </font>
    <font>
      <vertAlign val="superscript"/>
      <sz val="8"/>
      <color theme="1"/>
      <name val="Open Sans Condensed"/>
    </font>
    <font>
      <b/>
      <sz val="9"/>
      <color indexed="81"/>
      <name val="Tahoma"/>
      <family val="2"/>
    </font>
    <font>
      <sz val="9"/>
      <color indexed="81"/>
      <name val="Tahoma"/>
      <family val="2"/>
    </font>
    <font>
      <b/>
      <vertAlign val="superscript"/>
      <sz val="12"/>
      <color theme="1"/>
      <name val="Open Sans Condensed"/>
    </font>
    <font>
      <sz val="9"/>
      <color theme="1"/>
      <name val="Open Sans Condensed"/>
    </font>
    <font>
      <sz val="12"/>
      <color indexed="22"/>
      <name val="Arial"/>
      <family val="2"/>
    </font>
    <font>
      <b/>
      <sz val="11"/>
      <color theme="1"/>
      <name val="Open Sans SemiCondensed"/>
    </font>
    <font>
      <b/>
      <sz val="8"/>
      <color theme="1"/>
      <name val="Calibri"/>
      <family val="2"/>
      <scheme val="minor"/>
    </font>
    <font>
      <vertAlign val="superscript"/>
      <sz val="10"/>
      <color theme="1"/>
      <name val="Open Sans Condensed"/>
    </font>
    <font>
      <b/>
      <sz val="11"/>
      <name val="Open Sans SemiCondensed"/>
    </font>
    <font>
      <b/>
      <sz val="11"/>
      <color rgb="FF000000"/>
      <name val="Open Sans SemiCondensed"/>
    </font>
    <font>
      <sz val="11"/>
      <color rgb="FF000000"/>
      <name val="Open Sans SemiCondensed"/>
    </font>
    <font>
      <sz val="10"/>
      <name val="Open Sans Condensed"/>
    </font>
    <font>
      <b/>
      <sz val="10"/>
      <color theme="4" tint="-0.249977111117893"/>
      <name val="Open Sans Condensed"/>
    </font>
    <font>
      <b/>
      <sz val="16"/>
      <color theme="4" tint="-0.249977111117893"/>
      <name val="Open Sans Condensed"/>
    </font>
    <font>
      <sz val="11"/>
      <color rgb="FF000000"/>
      <name val="Calibri"/>
      <family val="2"/>
      <charset val="1"/>
    </font>
    <font>
      <b/>
      <vertAlign val="superscript"/>
      <sz val="11"/>
      <name val="Open Sans Condensed"/>
    </font>
    <font>
      <sz val="18"/>
      <color rgb="FFFF0000"/>
      <name val="Open Sans Condensed"/>
    </font>
    <font>
      <b/>
      <sz val="11"/>
      <color rgb="FF000000"/>
      <name val="Open Sans Condensed"/>
    </font>
    <font>
      <b/>
      <sz val="12"/>
      <color rgb="FF000000"/>
      <name val="Open Sans Condensed"/>
    </font>
    <font>
      <sz val="10"/>
      <color rgb="FF000000"/>
      <name val="Open Sans Condensed"/>
    </font>
    <font>
      <b/>
      <i/>
      <sz val="11"/>
      <color theme="1"/>
      <name val="Open Sans Condensed"/>
    </font>
    <font>
      <i/>
      <sz val="11"/>
      <color theme="1"/>
      <name val="Open Sans Condensed"/>
    </font>
    <font>
      <sz val="11"/>
      <name val="Calibri"/>
      <family val="2"/>
    </font>
    <font>
      <u/>
      <sz val="11"/>
      <color rgb="FFFF0000"/>
      <name val="Open Sans Condensed"/>
    </font>
    <font>
      <vertAlign val="superscript"/>
      <sz val="11"/>
      <name val="Open Sans Condensed"/>
    </font>
    <font>
      <sz val="11"/>
      <color rgb="FF222222"/>
      <name val="Open Sans Condensed"/>
    </font>
    <font>
      <b/>
      <sz val="11"/>
      <color rgb="FF222222"/>
      <name val="Open Sans Condensed"/>
    </font>
    <font>
      <sz val="10"/>
      <color rgb="FFFF0000"/>
      <name val="Open Sans Condensed"/>
    </font>
    <font>
      <b/>
      <i/>
      <sz val="11"/>
      <name val="Open Sans Condensed"/>
    </font>
    <font>
      <sz val="10"/>
      <color theme="1"/>
      <name val="Calibri"/>
      <family val="2"/>
      <scheme val="minor"/>
    </font>
    <font>
      <sz val="10"/>
      <name val="Calibri"/>
      <family val="2"/>
      <scheme val="minor"/>
    </font>
    <font>
      <sz val="10"/>
      <color rgb="FFFF0000"/>
      <name val="Calibri"/>
      <family val="2"/>
      <scheme val="minor"/>
    </font>
    <font>
      <i/>
      <sz val="11"/>
      <name val="Open Sans Condensed"/>
    </font>
    <font>
      <b/>
      <i/>
      <sz val="11"/>
      <color rgb="FFFF0000"/>
      <name val="Calibri"/>
      <family val="2"/>
      <scheme val="minor"/>
    </font>
    <font>
      <b/>
      <vertAlign val="superscript"/>
      <sz val="12"/>
      <name val="Open Sans Condensed"/>
    </font>
    <font>
      <i/>
      <sz val="10"/>
      <color theme="1"/>
      <name val="Open Sans Condensed"/>
    </font>
    <font>
      <b/>
      <i/>
      <sz val="10"/>
      <color theme="1"/>
      <name val="Open Sans Condensed"/>
    </font>
    <font>
      <b/>
      <i/>
      <sz val="10"/>
      <color theme="0"/>
      <name val="Open Sans Condensed"/>
    </font>
    <font>
      <b/>
      <i/>
      <sz val="10"/>
      <name val="Open Sans Condensed"/>
    </font>
    <font>
      <b/>
      <i/>
      <sz val="11"/>
      <color theme="0"/>
      <name val="Open Sans Condensed"/>
    </font>
    <font>
      <b/>
      <sz val="16"/>
      <name val="Open Sans Condensed"/>
    </font>
    <font>
      <b/>
      <sz val="11"/>
      <color rgb="FFFF0000"/>
      <name val="Open Sans SemiCondensed"/>
    </font>
    <font>
      <b/>
      <sz val="11"/>
      <color rgb="FFFF0000"/>
      <name val="Open Sans Condensed"/>
    </font>
    <font>
      <b/>
      <sz val="10"/>
      <color theme="0"/>
      <name val="Calibri"/>
      <family val="2"/>
      <scheme val="minor"/>
    </font>
    <font>
      <b/>
      <sz val="10"/>
      <color rgb="FF000000"/>
      <name val="Calibri"/>
      <family val="2"/>
      <scheme val="minor"/>
    </font>
    <font>
      <sz val="10"/>
      <color rgb="FF000000"/>
      <name val="Calibri"/>
      <family val="2"/>
      <scheme val="minor"/>
    </font>
    <font>
      <b/>
      <sz val="10"/>
      <color theme="1"/>
      <name val="Calibri"/>
      <family val="2"/>
    </font>
    <font>
      <sz val="10"/>
      <color theme="1"/>
      <name val="Calibri"/>
      <family val="2"/>
    </font>
    <font>
      <sz val="10"/>
      <color rgb="FFFF0000"/>
      <name val="Calibri"/>
      <family val="2"/>
    </font>
    <font>
      <sz val="10"/>
      <name val="Calibri"/>
      <family val="2"/>
    </font>
    <font>
      <b/>
      <sz val="10"/>
      <color rgb="FF000000"/>
      <name val="Calibri"/>
      <family val="2"/>
    </font>
    <font>
      <b/>
      <sz val="10"/>
      <name val="Arial"/>
      <family val="2"/>
    </font>
    <font>
      <sz val="10"/>
      <color theme="1"/>
      <name val="Calibri Light"/>
      <family val="2"/>
      <scheme val="major"/>
    </font>
    <font>
      <sz val="10"/>
      <name val="Calibri Light"/>
      <family val="2"/>
      <scheme val="major"/>
    </font>
    <font>
      <b/>
      <sz val="10"/>
      <color theme="1"/>
      <name val="Calibri"/>
      <family val="2"/>
      <scheme val="minor"/>
    </font>
    <font>
      <sz val="10"/>
      <color rgb="FFFF0000"/>
      <name val="Calibri Light"/>
      <family val="2"/>
      <scheme val="major"/>
    </font>
    <font>
      <sz val="10"/>
      <color theme="4"/>
      <name val="Calibri"/>
      <family val="2"/>
      <scheme val="minor"/>
    </font>
    <font>
      <sz val="10"/>
      <color theme="4"/>
      <name val="Calibri"/>
      <family val="2"/>
    </font>
    <font>
      <b/>
      <sz val="8"/>
      <name val="Open Sans Condensed"/>
    </font>
    <font>
      <u/>
      <sz val="8"/>
      <name val="Open Sans Condensed"/>
    </font>
    <font>
      <b/>
      <vertAlign val="subscript"/>
      <sz val="11"/>
      <name val="Open Sans Condensed"/>
    </font>
    <font>
      <vertAlign val="subscript"/>
      <sz val="11"/>
      <name val="Open Sans Condensed"/>
    </font>
    <font>
      <vertAlign val="superscript"/>
      <sz val="10"/>
      <name val="Open Sans Condensed"/>
    </font>
    <font>
      <i/>
      <sz val="10"/>
      <name val="Open Sans Condensed"/>
    </font>
    <font>
      <b/>
      <sz val="10"/>
      <color rgb="FF000000"/>
      <name val="Open Sans Condensed"/>
    </font>
    <font>
      <vertAlign val="superscript"/>
      <sz val="10"/>
      <color rgb="FF000000"/>
      <name val="Open Sans Condensed"/>
    </font>
    <font>
      <b/>
      <u/>
      <sz val="10"/>
      <color rgb="FF000000"/>
      <name val="Open Sans Condensed"/>
    </font>
    <font>
      <sz val="10"/>
      <name val="Courier"/>
      <family val="3"/>
    </font>
    <font>
      <sz val="11"/>
      <name val="Calibri"/>
      <family val="2"/>
      <scheme val="minor"/>
    </font>
    <font>
      <sz val="11"/>
      <color theme="5"/>
      <name val="Open Sans Condensed"/>
    </font>
    <font>
      <b/>
      <vertAlign val="subscript"/>
      <sz val="12"/>
      <name val="Open Sans Condensed"/>
    </font>
    <font>
      <sz val="10"/>
      <color rgb="FF000000"/>
      <name val="Open Sans SemiCondensed"/>
    </font>
    <font>
      <sz val="8"/>
      <color theme="1"/>
      <name val="Open Sans SemiCondensed"/>
    </font>
    <font>
      <sz val="11"/>
      <color rgb="FFC00000"/>
      <name val="Calibri"/>
      <family val="2"/>
      <scheme val="minor"/>
    </font>
    <font>
      <b/>
      <u/>
      <sz val="11"/>
      <name val="Open Sans Condensed"/>
    </font>
    <font>
      <b/>
      <sz val="16"/>
      <color theme="0"/>
      <name val="Open Sans Condensed"/>
    </font>
    <font>
      <b/>
      <sz val="14"/>
      <name val="Open Sans Condensed"/>
    </font>
    <font>
      <sz val="12"/>
      <name val="Open Sans SemiCondensed"/>
    </font>
    <font>
      <sz val="12"/>
      <color rgb="FF000000"/>
      <name val="Open Sans Condensed"/>
    </font>
    <font>
      <u/>
      <sz val="11"/>
      <color theme="1"/>
      <name val="Open Sans Condensed"/>
    </font>
    <font>
      <u/>
      <sz val="12"/>
      <color theme="1"/>
      <name val="Open Sans Condensed"/>
    </font>
    <font>
      <u/>
      <sz val="10"/>
      <color theme="1"/>
      <name val="Open Sans Condensed"/>
    </font>
    <font>
      <u/>
      <sz val="10"/>
      <name val="Open Sans Condensed"/>
    </font>
    <font>
      <vertAlign val="superscript"/>
      <sz val="12"/>
      <color theme="1"/>
      <name val="Open Sans SemiCondensed"/>
    </font>
    <font>
      <sz val="11"/>
      <color theme="1"/>
      <name val="Calibri"/>
      <family val="2"/>
    </font>
    <font>
      <u/>
      <sz val="11"/>
      <name val="Calibri"/>
      <family val="2"/>
      <scheme val="minor"/>
    </font>
    <font>
      <sz val="10"/>
      <name val="Open Sans SemiCondensed"/>
    </font>
    <font>
      <sz val="9"/>
      <color theme="1"/>
      <name val="Open Sans SemiCondensed"/>
    </font>
    <font>
      <vertAlign val="subscript"/>
      <sz val="11"/>
      <color theme="1"/>
      <name val="Open Sans Condensed"/>
    </font>
    <font>
      <sz val="10"/>
      <color indexed="8"/>
      <name val="Calibri"/>
      <family val="2"/>
    </font>
  </fonts>
  <fills count="80">
    <fill>
      <patternFill patternType="none"/>
    </fill>
    <fill>
      <patternFill patternType="gray125"/>
    </fill>
    <fill>
      <patternFill patternType="solid">
        <fgColor rgb="FFE1E3E2"/>
        <bgColor indexed="64"/>
      </patternFill>
    </fill>
    <fill>
      <patternFill patternType="solid">
        <fgColor rgb="FFFFCCC4"/>
        <bgColor indexed="64"/>
      </patternFill>
    </fill>
    <fill>
      <patternFill patternType="solid">
        <fgColor theme="0"/>
        <bgColor indexed="64"/>
      </patternFill>
    </fill>
    <fill>
      <patternFill patternType="solid">
        <fgColor rgb="FFC1C5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8"/>
        <bgColor indexed="64"/>
      </patternFill>
    </fill>
    <fill>
      <patternFill patternType="solid">
        <fgColor rgb="FFF8E5C7"/>
        <bgColor indexed="64"/>
      </patternFill>
    </fill>
    <fill>
      <patternFill patternType="solid">
        <fgColor rgb="FFE7E6E6"/>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CCE5CD"/>
        <bgColor indexed="64"/>
      </patternFill>
    </fill>
    <fill>
      <patternFill patternType="solid">
        <fgColor theme="2" tint="-9.9978637043366805E-2"/>
        <bgColor indexed="64"/>
      </patternFill>
    </fill>
    <fill>
      <patternFill patternType="solid">
        <fgColor rgb="FFFFFFFF"/>
        <bgColor rgb="FF000000"/>
      </patternFill>
    </fill>
    <fill>
      <patternFill patternType="solid">
        <fgColor theme="2"/>
        <bgColor indexed="64"/>
      </patternFill>
    </fill>
    <fill>
      <patternFill patternType="solid">
        <fgColor theme="2"/>
        <bgColor rgb="FF000000"/>
      </patternFill>
    </fill>
    <fill>
      <patternFill patternType="solid">
        <fgColor theme="0"/>
        <bgColor theme="4" tint="0.79998168889431442"/>
      </patternFill>
    </fill>
    <fill>
      <patternFill patternType="solid">
        <fgColor rgb="FFFF0000"/>
        <bgColor indexed="64"/>
      </patternFill>
    </fill>
    <fill>
      <patternFill patternType="solid">
        <fgColor theme="0" tint="-0.14999847407452621"/>
        <bgColor rgb="FFDBDBDB"/>
      </patternFill>
    </fill>
    <fill>
      <patternFill patternType="solid">
        <fgColor theme="0"/>
        <bgColor rgb="FFF9F9FB"/>
      </patternFill>
    </fill>
    <fill>
      <patternFill patternType="solid">
        <fgColor rgb="FFC1C5E0"/>
        <bgColor rgb="FFD9D9D9"/>
      </patternFill>
    </fill>
    <fill>
      <patternFill patternType="solid">
        <fgColor theme="6" tint="0.59987182226020086"/>
        <bgColor rgb="FFD9D9D9"/>
      </patternFill>
    </fill>
    <fill>
      <patternFill patternType="solid">
        <fgColor rgb="FFCCE5CD"/>
        <bgColor rgb="FFDBDBDB"/>
      </patternFill>
    </fill>
    <fill>
      <patternFill patternType="solid">
        <fgColor theme="0"/>
        <bgColor rgb="FFFFFFCC"/>
      </patternFill>
    </fill>
    <fill>
      <patternFill patternType="solid">
        <fgColor rgb="FFF7C9C5"/>
        <bgColor indexed="64"/>
      </patternFill>
    </fill>
    <fill>
      <patternFill patternType="solid">
        <fgColor rgb="FFF7C9C5"/>
        <bgColor indexed="0"/>
      </patternFill>
    </fill>
    <fill>
      <patternFill patternType="solid">
        <fgColor rgb="FFFFD3C3"/>
        <bgColor indexed="64"/>
      </patternFill>
    </fill>
    <fill>
      <patternFill patternType="solid">
        <fgColor rgb="FFCCEAF4"/>
        <bgColor indexed="64"/>
      </patternFill>
    </fill>
    <fill>
      <patternFill patternType="solid">
        <fgColor theme="0" tint="-0.499984740745262"/>
        <bgColor indexed="64"/>
      </patternFill>
    </fill>
    <fill>
      <patternFill patternType="solid">
        <fgColor rgb="FFFFE699"/>
        <bgColor indexed="64"/>
      </patternFill>
    </fill>
    <fill>
      <patternFill patternType="solid">
        <fgColor rgb="FFF8CBAD"/>
        <bgColor indexed="64"/>
      </patternFill>
    </fill>
    <fill>
      <patternFill patternType="solid">
        <fgColor rgb="FFC6E0B4"/>
        <bgColor indexed="64"/>
      </patternFill>
    </fill>
    <fill>
      <patternFill patternType="solid">
        <fgColor rgb="FFDDEBF7"/>
        <bgColor indexed="64"/>
      </patternFill>
    </fill>
    <fill>
      <patternFill patternType="solid">
        <fgColor theme="4" tint="0.79998168889431442"/>
        <bgColor indexed="64"/>
      </patternFill>
    </fill>
    <fill>
      <patternFill patternType="solid">
        <fgColor rgb="FFFFE598"/>
        <bgColor rgb="FFFFE598"/>
      </patternFill>
    </fill>
    <fill>
      <patternFill patternType="solid">
        <fgColor theme="0"/>
        <bgColor rgb="FFFFE598"/>
      </patternFill>
    </fill>
    <fill>
      <patternFill patternType="solid">
        <fgColor rgb="FFF7CAAC"/>
        <bgColor rgb="FFF7CAAC"/>
      </patternFill>
    </fill>
    <fill>
      <patternFill patternType="solid">
        <fgColor theme="0"/>
        <bgColor rgb="FFF7CAAC"/>
      </patternFill>
    </fill>
    <fill>
      <patternFill patternType="solid">
        <fgColor rgb="FFC5E0B3"/>
        <bgColor rgb="FFC5E0B3"/>
      </patternFill>
    </fill>
    <fill>
      <patternFill patternType="solid">
        <fgColor theme="0"/>
        <bgColor rgb="FFC5E0B3"/>
      </patternFill>
    </fill>
    <fill>
      <patternFill patternType="solid">
        <fgColor rgb="FFBDD6EE"/>
        <bgColor rgb="FFBDD6EE"/>
      </patternFill>
    </fill>
    <fill>
      <patternFill patternType="solid">
        <fgColor theme="0"/>
        <bgColor rgb="FFBDD6EE"/>
      </patternFill>
    </fill>
    <fill>
      <patternFill patternType="solid">
        <fgColor theme="5" tint="0.59999389629810485"/>
        <bgColor rgb="FFF7CAAC"/>
      </patternFill>
    </fill>
    <fill>
      <patternFill patternType="solid">
        <fgColor rgb="FFB4C6E7"/>
        <bgColor rgb="FFB4C6E7"/>
      </patternFill>
    </fill>
    <fill>
      <patternFill patternType="solid">
        <fgColor theme="0"/>
        <bgColor rgb="FFB4C6E7"/>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95B3D7"/>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D5DCE4"/>
        <bgColor indexed="64"/>
      </patternFill>
    </fill>
    <fill>
      <patternFill patternType="solid">
        <fgColor rgb="FFB4C6E7"/>
        <bgColor indexed="64"/>
      </patternFill>
    </fill>
    <fill>
      <patternFill patternType="solid">
        <fgColor rgb="FFDEEAF6"/>
        <bgColor indexed="64"/>
      </patternFill>
    </fill>
    <fill>
      <patternFill patternType="solid">
        <fgColor rgb="FFFFECCA"/>
        <bgColor indexed="64"/>
      </patternFill>
    </fill>
    <fill>
      <patternFill patternType="solid">
        <fgColor rgb="FFFFECCA"/>
        <bgColor rgb="FF000000"/>
      </patternFill>
    </fill>
    <fill>
      <patternFill patternType="solid">
        <fgColor rgb="FFE6C5C7"/>
        <bgColor indexed="64"/>
      </patternFill>
    </fill>
    <fill>
      <patternFill patternType="solid">
        <fgColor rgb="FFFFDBC4"/>
        <bgColor indexed="64"/>
      </patternFill>
    </fill>
    <fill>
      <patternFill patternType="solid">
        <fgColor rgb="FFFDCEDE"/>
        <bgColor indexed="64"/>
      </patternFill>
    </fill>
    <fill>
      <patternFill patternType="solid">
        <fgColor rgb="FFFFE6C8"/>
        <bgColor indexed="64"/>
      </patternFill>
    </fill>
    <fill>
      <patternFill patternType="solid">
        <fgColor theme="6" tint="0.39997558519241921"/>
        <bgColor indexed="64"/>
      </patternFill>
    </fill>
    <fill>
      <patternFill patternType="solid">
        <fgColor theme="0"/>
        <bgColor rgb="FF000000"/>
      </patternFill>
    </fill>
    <fill>
      <patternFill patternType="solid">
        <fgColor rgb="FFF7E0C1"/>
        <bgColor indexed="64"/>
      </patternFill>
    </fill>
    <fill>
      <patternFill patternType="solid">
        <fgColor rgb="FFCEDBCB"/>
        <bgColor indexed="64"/>
      </patternFill>
    </fill>
    <fill>
      <patternFill patternType="solid">
        <fgColor rgb="FFC6DCED"/>
        <bgColor indexed="64"/>
      </patternFill>
    </fill>
    <fill>
      <patternFill patternType="solid">
        <fgColor rgb="FFC6DCED"/>
        <bgColor rgb="FF969696"/>
      </patternFill>
    </fill>
    <fill>
      <patternFill patternType="solid">
        <fgColor rgb="FFC6DCED"/>
        <bgColor rgb="FF0563C1"/>
      </patternFill>
    </fill>
    <fill>
      <patternFill patternType="solid">
        <fgColor rgb="FFE1E3E2"/>
        <bgColor rgb="FFDBDBDB"/>
      </patternFill>
    </fill>
    <fill>
      <patternFill patternType="solid">
        <fgColor rgb="FFFFFFFF"/>
        <bgColor rgb="FFFFFFCC"/>
      </patternFill>
    </fill>
    <fill>
      <patternFill patternType="solid">
        <fgColor rgb="FFE1E3E2"/>
        <bgColor rgb="FFD9D9D9"/>
      </patternFill>
    </fill>
    <fill>
      <patternFill patternType="solid">
        <fgColor rgb="FFD2EACA"/>
        <bgColor indexed="64"/>
      </patternFill>
    </fill>
    <fill>
      <patternFill patternType="solid">
        <fgColor rgb="FFC2D0E1"/>
        <bgColor indexed="64"/>
      </patternFill>
    </fill>
    <fill>
      <patternFill patternType="solid">
        <fgColor rgb="FFBFC5D9"/>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theme="0"/>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right/>
      <top/>
      <bottom style="medium">
        <color auto="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top style="thin">
        <color rgb="FF000000"/>
      </top>
      <bottom style="thin">
        <color indexed="64"/>
      </bottom>
      <diagonal/>
    </border>
    <border>
      <left/>
      <right/>
      <top/>
      <bottom style="thin">
        <color rgb="FF000000"/>
      </bottom>
      <diagonal/>
    </border>
    <border>
      <left/>
      <right/>
      <top/>
      <bottom style="thin">
        <color rgb="FFFFFFFF"/>
      </bottom>
      <diagonal/>
    </border>
    <border>
      <left style="thin">
        <color theme="0"/>
      </left>
      <right style="thin">
        <color theme="0"/>
      </right>
      <top style="thin">
        <color theme="0"/>
      </top>
      <bottom/>
      <diagonal/>
    </border>
    <border>
      <left/>
      <right/>
      <top/>
      <bottom style="medium">
        <color theme="0" tint="-0.34998626667073579"/>
      </bottom>
      <diagonal/>
    </border>
    <border>
      <left/>
      <right/>
      <top style="thin">
        <color rgb="FF000000"/>
      </top>
      <bottom/>
      <diagonal/>
    </border>
    <border>
      <left style="thin">
        <color theme="0"/>
      </left>
      <right/>
      <top/>
      <bottom/>
      <diagonal/>
    </border>
    <border>
      <left style="thin">
        <color rgb="FFFFFFFF"/>
      </left>
      <right style="thin">
        <color rgb="FFFFFFFF"/>
      </right>
      <top/>
      <bottom style="thin">
        <color rgb="FFFFFFFF"/>
      </bottom>
      <diagonal/>
    </border>
    <border>
      <left/>
      <right style="thin">
        <color rgb="FFFFFFFF"/>
      </right>
      <top style="thin">
        <color indexed="64"/>
      </top>
      <bottom style="thin">
        <color indexed="64"/>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bottom style="thick">
        <color indexed="64"/>
      </bottom>
      <diagonal/>
    </border>
    <border>
      <left/>
      <right style="medium">
        <color indexed="64"/>
      </right>
      <top/>
      <bottom style="thick">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thick">
        <color indexed="64"/>
      </top>
      <bottom/>
      <diagonal/>
    </border>
    <border>
      <left/>
      <right/>
      <top style="thick">
        <color indexed="64"/>
      </top>
      <bottom/>
      <diagonal/>
    </border>
    <border>
      <left style="thin">
        <color theme="0"/>
      </left>
      <right/>
      <top style="thin">
        <color theme="0"/>
      </top>
      <bottom/>
      <diagonal/>
    </border>
    <border>
      <left/>
      <right/>
      <top/>
      <bottom style="thin">
        <color theme="3"/>
      </bottom>
      <diagonal/>
    </border>
    <border>
      <left style="thin">
        <color theme="2" tint="-9.9978637043366805E-2"/>
      </left>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top/>
      <bottom style="thin">
        <color indexed="64"/>
      </bottom>
      <diagonal/>
    </border>
    <border>
      <left/>
      <right style="thin">
        <color theme="2" tint="-9.9978637043366805E-2"/>
      </right>
      <top/>
      <bottom style="thin">
        <color indexed="64"/>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style="thin">
        <color indexed="64"/>
      </right>
      <top style="thin">
        <color indexed="64"/>
      </top>
      <bottom style="thin">
        <color indexed="64"/>
      </bottom>
      <diagonal/>
    </border>
    <border>
      <left/>
      <right/>
      <top style="thin">
        <color indexed="64"/>
      </top>
      <bottom style="thin">
        <color rgb="FF000000"/>
      </bottom>
      <diagonal/>
    </border>
    <border>
      <left style="medium">
        <color theme="4" tint="-0.24994659260841701"/>
      </left>
      <right style="thin">
        <color theme="4" tint="0.39994506668294322"/>
      </right>
      <top style="hair">
        <color theme="4" tint="-0.24994659260841701"/>
      </top>
      <bottom style="hair">
        <color theme="4" tint="-0.24994659260841701"/>
      </bottom>
      <diagonal/>
    </border>
    <border>
      <left/>
      <right/>
      <top style="thin">
        <color indexed="64"/>
      </top>
      <bottom style="thin">
        <color rgb="FFFFFFFF"/>
      </bottom>
      <diagonal/>
    </border>
    <border>
      <left/>
      <right/>
      <top style="thin">
        <color rgb="FFFFFFFF"/>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top/>
      <bottom/>
      <diagonal/>
    </border>
    <border>
      <left/>
      <right/>
      <top/>
      <bottom style="double">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medium">
        <color theme="0"/>
      </top>
      <bottom/>
      <diagonal/>
    </border>
    <border>
      <left/>
      <right style="mediumDashed">
        <color indexed="64"/>
      </right>
      <top style="thin">
        <color indexed="64"/>
      </top>
      <bottom style="thin">
        <color indexed="64"/>
      </bottom>
      <diagonal/>
    </border>
    <border>
      <left/>
      <right style="mediumDashed">
        <color indexed="64"/>
      </right>
      <top/>
      <bottom style="thin">
        <color indexed="64"/>
      </bottom>
      <diagonal/>
    </border>
    <border>
      <left/>
      <right style="mediumDashed">
        <color indexed="64"/>
      </right>
      <top/>
      <bottom/>
      <diagonal/>
    </border>
    <border>
      <left style="mediumDashed">
        <color indexed="64"/>
      </left>
      <right/>
      <top style="thin">
        <color indexed="64"/>
      </top>
      <bottom style="thin">
        <color indexed="64"/>
      </bottom>
      <diagonal/>
    </border>
    <border>
      <left style="mediumDashed">
        <color indexed="64"/>
      </left>
      <right/>
      <top/>
      <bottom style="thin">
        <color indexed="64"/>
      </bottom>
      <diagonal/>
    </border>
    <border>
      <left style="mediumDashed">
        <color indexed="64"/>
      </left>
      <right/>
      <top/>
      <bottom/>
      <diagonal/>
    </border>
    <border>
      <left style="thin">
        <color theme="2" tint="-9.9978637043366805E-2"/>
      </left>
      <right/>
      <top style="thin">
        <color theme="0"/>
      </top>
      <bottom/>
      <diagonal/>
    </border>
    <border>
      <left/>
      <right style="thin">
        <color theme="2" tint="-9.9978637043366805E-2"/>
      </right>
      <top style="thin">
        <color theme="0"/>
      </top>
      <bottom/>
      <diagonal/>
    </border>
  </borders>
  <cellStyleXfs count="40">
    <xf numFmtId="0" fontId="0" fillId="0" borderId="0"/>
    <xf numFmtId="17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69" fillId="0" borderId="0"/>
    <xf numFmtId="0" fontId="36" fillId="0" borderId="0"/>
    <xf numFmtId="0" fontId="79" fillId="0" borderId="0"/>
    <xf numFmtId="0" fontId="36" fillId="0" borderId="0"/>
    <xf numFmtId="0" fontId="87" fillId="0" borderId="0"/>
    <xf numFmtId="0" fontId="87" fillId="0" borderId="0"/>
    <xf numFmtId="0" fontId="36" fillId="0" borderId="0"/>
    <xf numFmtId="0" fontId="36" fillId="0" borderId="0"/>
    <xf numFmtId="0" fontId="36" fillId="0" borderId="0"/>
    <xf numFmtId="0" fontId="36" fillId="0" borderId="0"/>
    <xf numFmtId="171" fontId="56" fillId="0" borderId="0" applyFont="0" applyFill="0" applyBorder="0" applyAlignment="0" applyProtection="0"/>
    <xf numFmtId="0" fontId="36" fillId="0" borderId="0"/>
    <xf numFmtId="164" fontId="132" fillId="0" borderId="0"/>
    <xf numFmtId="199" fontId="132" fillId="0" borderId="0"/>
    <xf numFmtId="0" fontId="36" fillId="0" borderId="0"/>
    <xf numFmtId="0" fontId="94" fillId="0" borderId="0"/>
    <xf numFmtId="43" fontId="1"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cellStyleXfs>
  <cellXfs count="3573">
    <xf numFmtId="0" fontId="0" fillId="0" borderId="0" xfId="0"/>
    <xf numFmtId="0" fontId="2" fillId="0" borderId="0" xfId="0" applyFont="1"/>
    <xf numFmtId="0" fontId="0" fillId="0" borderId="0" xfId="0" quotePrefix="1"/>
    <xf numFmtId="0" fontId="6" fillId="0" borderId="0" xfId="0" applyFont="1" applyAlignment="1">
      <alignment vertical="center" wrapText="1"/>
    </xf>
    <xf numFmtId="0" fontId="6" fillId="0" borderId="0" xfId="0" applyFont="1" applyAlignment="1">
      <alignment horizontal="center"/>
    </xf>
    <xf numFmtId="0" fontId="6" fillId="0" borderId="0" xfId="0" applyFont="1"/>
    <xf numFmtId="0" fontId="6" fillId="0" borderId="0" xfId="0" applyFont="1" applyAlignment="1">
      <alignment horizontal="center"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6" fillId="0" borderId="0" xfId="0" applyFont="1" applyAlignment="1">
      <alignment horizontal="left" vertical="center"/>
    </xf>
    <xf numFmtId="0" fontId="10" fillId="0" borderId="1" xfId="5" applyFont="1" applyBorder="1" applyAlignment="1">
      <alignment horizontal="justify" vertical="center" wrapText="1"/>
    </xf>
    <xf numFmtId="0" fontId="11" fillId="0" borderId="1" xfId="4" applyFont="1" applyBorder="1" applyAlignment="1">
      <alignment horizontal="center" vertical="center" wrapText="1"/>
    </xf>
    <xf numFmtId="0" fontId="11" fillId="0" borderId="1" xfId="4" applyNumberFormat="1" applyFont="1" applyBorder="1" applyAlignment="1">
      <alignment horizontal="justify" vertical="center" wrapText="1"/>
    </xf>
    <xf numFmtId="0" fontId="12" fillId="0" borderId="1" xfId="4" applyFont="1" applyBorder="1" applyAlignment="1">
      <alignment horizontal="center" vertical="center" wrapText="1"/>
    </xf>
    <xf numFmtId="0" fontId="12" fillId="0" borderId="1" xfId="4" applyNumberFormat="1" applyFont="1" applyBorder="1" applyAlignment="1">
      <alignment horizontal="justify" vertical="center" wrapText="1"/>
    </xf>
    <xf numFmtId="0" fontId="13" fillId="2" borderId="0" xfId="4" applyFont="1" applyFill="1" applyAlignment="1">
      <alignment horizontal="center"/>
    </xf>
    <xf numFmtId="0" fontId="14" fillId="0" borderId="0" xfId="0" applyFont="1"/>
    <xf numFmtId="0" fontId="15" fillId="0" borderId="0" xfId="0" applyFont="1"/>
    <xf numFmtId="0" fontId="17" fillId="0" borderId="8" xfId="0" applyFont="1" applyBorder="1" applyAlignment="1">
      <alignment vertical="top" wrapText="1"/>
    </xf>
    <xf numFmtId="0" fontId="15" fillId="0" borderId="0" xfId="0" applyFont="1" applyAlignment="1">
      <alignment wrapText="1"/>
    </xf>
    <xf numFmtId="0" fontId="15" fillId="0" borderId="8" xfId="0" applyFont="1" applyBorder="1" applyAlignment="1">
      <alignment vertical="top" wrapText="1"/>
    </xf>
    <xf numFmtId="0" fontId="18" fillId="0" borderId="0" xfId="0" applyFont="1" applyAlignment="1">
      <alignment horizontal="center" wrapText="1"/>
    </xf>
    <xf numFmtId="0" fontId="18" fillId="0" borderId="0" xfId="0" applyFont="1"/>
    <xf numFmtId="0" fontId="18" fillId="0" borderId="0" xfId="0" applyFont="1" applyAlignment="1">
      <alignment horizontal="center"/>
    </xf>
    <xf numFmtId="0" fontId="16" fillId="0" borderId="7" xfId="0" applyFont="1" applyBorder="1" applyAlignment="1">
      <alignment vertical="center"/>
    </xf>
    <xf numFmtId="0" fontId="19" fillId="0" borderId="9" xfId="0" applyFont="1" applyBorder="1" applyAlignment="1">
      <alignment horizontal="left" vertical="center"/>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16" fontId="20" fillId="3" borderId="12" xfId="0" applyNumberFormat="1" applyFont="1" applyFill="1" applyBorder="1" applyAlignment="1">
      <alignment horizontal="center" vertical="center" wrapText="1"/>
    </xf>
    <xf numFmtId="0" fontId="21" fillId="0" borderId="0" xfId="0" applyFont="1" applyAlignment="1">
      <alignment horizontal="center"/>
    </xf>
    <xf numFmtId="164" fontId="22" fillId="0" borderId="0" xfId="6" applyNumberFormat="1" applyFont="1" applyBorder="1" applyAlignment="1">
      <alignment horizontal="center" vertical="top"/>
    </xf>
    <xf numFmtId="164" fontId="22" fillId="0" borderId="0" xfId="6" applyNumberFormat="1" applyFont="1" applyBorder="1" applyAlignment="1">
      <alignment horizontal="center" vertical="center"/>
    </xf>
    <xf numFmtId="164" fontId="22" fillId="0" borderId="0" xfId="6" applyNumberFormat="1" applyFont="1" applyFill="1" applyBorder="1" applyAlignment="1">
      <alignment horizontal="center" vertical="center"/>
    </xf>
    <xf numFmtId="164" fontId="23" fillId="0" borderId="0" xfId="6" applyNumberFormat="1" applyFont="1" applyFill="1" applyBorder="1"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xf>
    <xf numFmtId="0" fontId="6" fillId="0" borderId="0" xfId="0" applyFont="1" applyAlignment="1">
      <alignment vertical="center"/>
    </xf>
    <xf numFmtId="0" fontId="21" fillId="0" borderId="12" xfId="0" applyFont="1" applyBorder="1" applyAlignment="1">
      <alignment horizontal="center"/>
    </xf>
    <xf numFmtId="164" fontId="22" fillId="0" borderId="12" xfId="6" applyNumberFormat="1" applyFont="1" applyBorder="1" applyAlignment="1">
      <alignment horizontal="center" vertical="top"/>
    </xf>
    <xf numFmtId="164" fontId="22" fillId="0" borderId="12" xfId="6" applyNumberFormat="1" applyFont="1" applyBorder="1" applyAlignment="1">
      <alignment horizontal="center" vertical="center"/>
    </xf>
    <xf numFmtId="164" fontId="22" fillId="0" borderId="12" xfId="6" applyNumberFormat="1" applyFont="1" applyFill="1" applyBorder="1" applyAlignment="1">
      <alignment horizontal="center" vertical="center"/>
    </xf>
    <xf numFmtId="0" fontId="21" fillId="0" borderId="0" xfId="0" applyFont="1"/>
    <xf numFmtId="0" fontId="21" fillId="0" borderId="0" xfId="0" applyFont="1" applyAlignment="1">
      <alignment vertical="center" wrapText="1"/>
    </xf>
    <xf numFmtId="0" fontId="24" fillId="0" borderId="0" xfId="0" applyFont="1" applyAlignment="1">
      <alignment vertical="center"/>
    </xf>
    <xf numFmtId="0" fontId="25" fillId="0" borderId="0" xfId="0" applyFont="1" applyAlignment="1">
      <alignment vertical="center" wrapText="1"/>
    </xf>
    <xf numFmtId="0" fontId="18" fillId="0" borderId="0" xfId="0" applyFont="1" applyAlignment="1">
      <alignment vertical="top"/>
    </xf>
    <xf numFmtId="0" fontId="26" fillId="2" borderId="0" xfId="4" applyFont="1" applyFill="1" applyBorder="1" applyAlignment="1">
      <alignment horizontal="center" vertical="top"/>
    </xf>
    <xf numFmtId="0" fontId="27" fillId="0" borderId="13" xfId="0" applyFont="1" applyBorder="1" applyAlignment="1">
      <alignment horizontal="center" vertical="center"/>
    </xf>
    <xf numFmtId="0" fontId="24" fillId="0" borderId="0" xfId="0" applyFont="1" applyAlignment="1">
      <alignment horizontal="center" vertical="top"/>
    </xf>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0" borderId="1" xfId="0" applyFont="1" applyBorder="1" applyAlignment="1">
      <alignment horizontal="justify" vertical="center"/>
    </xf>
    <xf numFmtId="0" fontId="29" fillId="0" borderId="1" xfId="4" applyFont="1" applyBorder="1" applyAlignment="1">
      <alignment horizontal="justify" vertical="center"/>
    </xf>
    <xf numFmtId="0" fontId="30" fillId="5" borderId="1" xfId="0" applyFont="1" applyFill="1" applyBorder="1" applyAlignment="1">
      <alignment horizontal="left" vertical="top" wrapText="1"/>
    </xf>
    <xf numFmtId="0" fontId="28" fillId="0" borderId="1" xfId="0" applyFont="1" applyBorder="1" applyAlignment="1">
      <alignment horizontal="justify" vertical="center" wrapText="1"/>
    </xf>
    <xf numFmtId="0" fontId="28" fillId="0" borderId="1" xfId="0" applyFont="1" applyBorder="1" applyAlignment="1">
      <alignment vertical="top" wrapText="1"/>
    </xf>
    <xf numFmtId="0" fontId="6" fillId="0" borderId="1" xfId="0" applyFont="1" applyBorder="1" applyAlignment="1">
      <alignment vertical="top" wrapText="1"/>
    </xf>
    <xf numFmtId="0" fontId="20" fillId="2" borderId="1" xfId="0" applyFont="1" applyFill="1" applyBorder="1" applyAlignment="1">
      <alignment vertical="top"/>
    </xf>
    <xf numFmtId="0" fontId="20" fillId="2" borderId="1" xfId="0" applyFont="1" applyFill="1" applyBorder="1" applyAlignment="1">
      <alignment horizontal="left" vertical="top"/>
    </xf>
    <xf numFmtId="0" fontId="6" fillId="0" borderId="1" xfId="0" applyFont="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8" fillId="4" borderId="2" xfId="0" applyFont="1" applyFill="1" applyBorder="1" applyAlignment="1">
      <alignment vertical="top" wrapText="1"/>
    </xf>
    <xf numFmtId="0" fontId="20" fillId="0" borderId="11" xfId="0" applyFont="1" applyBorder="1" applyAlignment="1">
      <alignment horizontal="left" vertical="top"/>
    </xf>
    <xf numFmtId="0" fontId="28" fillId="0" borderId="11" xfId="0" applyFont="1" applyBorder="1" applyAlignment="1">
      <alignment vertical="top"/>
    </xf>
    <xf numFmtId="0" fontId="29" fillId="0" borderId="1" xfId="4" applyFont="1" applyFill="1" applyBorder="1" applyAlignment="1">
      <alignment horizontal="left" vertical="top" wrapText="1"/>
    </xf>
    <xf numFmtId="0" fontId="18" fillId="0" borderId="0" xfId="0" applyFont="1" applyAlignment="1">
      <alignment vertical="top" wrapText="1"/>
    </xf>
    <xf numFmtId="165" fontId="18" fillId="0" borderId="0" xfId="0" applyNumberFormat="1" applyFont="1" applyAlignment="1">
      <alignment vertical="top"/>
    </xf>
    <xf numFmtId="0" fontId="13" fillId="2" borderId="0" xfId="4" applyFont="1" applyFill="1" applyAlignment="1">
      <alignment horizontal="center" vertical="center"/>
    </xf>
    <xf numFmtId="0" fontId="33" fillId="0" borderId="8" xfId="0" applyFont="1" applyBorder="1" applyAlignment="1">
      <alignment vertical="top" wrapText="1"/>
    </xf>
    <xf numFmtId="0" fontId="33" fillId="0" borderId="5" xfId="0" applyFont="1" applyBorder="1" applyAlignment="1">
      <alignment vertical="center" wrapText="1"/>
    </xf>
    <xf numFmtId="0" fontId="33" fillId="0" borderId="5" xfId="0" applyFont="1" applyBorder="1" applyAlignment="1">
      <alignment horizontal="left" vertical="center" wrapText="1"/>
    </xf>
    <xf numFmtId="0" fontId="34" fillId="0" borderId="0" xfId="0" applyFont="1"/>
    <xf numFmtId="0" fontId="34" fillId="0" borderId="8" xfId="0" applyFont="1" applyBorder="1" applyAlignment="1">
      <alignment vertical="top" wrapText="1"/>
    </xf>
    <xf numFmtId="0" fontId="34" fillId="0" borderId="0" xfId="0" applyFont="1" applyAlignment="1">
      <alignment vertical="center"/>
    </xf>
    <xf numFmtId="0" fontId="35" fillId="0" borderId="0" xfId="0" applyFont="1" applyAlignment="1">
      <alignment horizontal="center" vertical="center" wrapText="1"/>
    </xf>
    <xf numFmtId="0" fontId="19" fillId="0" borderId="7" xfId="0" applyFont="1" applyBorder="1" applyAlignment="1">
      <alignment vertical="center"/>
    </xf>
    <xf numFmtId="0" fontId="19" fillId="0" borderId="9" xfId="0" applyFont="1" applyBorder="1" applyAlignment="1">
      <alignment vertical="center"/>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166" fontId="37" fillId="0" borderId="0" xfId="7" applyNumberFormat="1" applyFont="1" applyAlignment="1">
      <alignment horizontal="center" vertical="center"/>
    </xf>
    <xf numFmtId="166" fontId="37" fillId="0" borderId="0" xfId="8" applyNumberFormat="1" applyFont="1" applyAlignment="1">
      <alignment horizontal="center" vertical="center"/>
    </xf>
    <xf numFmtId="0" fontId="6" fillId="0" borderId="12" xfId="0" applyFont="1" applyBorder="1" applyAlignment="1">
      <alignment horizontal="center"/>
    </xf>
    <xf numFmtId="166" fontId="37" fillId="0" borderId="12" xfId="8" applyNumberFormat="1" applyFont="1" applyBorder="1" applyAlignment="1">
      <alignment horizontal="center" vertical="center"/>
    </xf>
    <xf numFmtId="0" fontId="33" fillId="0" borderId="0" xfId="0" applyFont="1" applyAlignment="1">
      <alignment vertical="center" wrapText="1"/>
    </xf>
    <xf numFmtId="0" fontId="15" fillId="0" borderId="0" xfId="0" applyFont="1" applyAlignment="1">
      <alignment horizontal="center"/>
    </xf>
    <xf numFmtId="0" fontId="15" fillId="0" borderId="0" xfId="0" applyFont="1" applyAlignment="1">
      <alignment horizontal="right"/>
    </xf>
    <xf numFmtId="164" fontId="15" fillId="0" borderId="0" xfId="0" applyNumberFormat="1" applyFont="1" applyAlignment="1">
      <alignment horizontal="right"/>
    </xf>
    <xf numFmtId="0" fontId="39" fillId="0" borderId="0" xfId="0" applyFont="1" applyAlignment="1">
      <alignment horizontal="center"/>
    </xf>
    <xf numFmtId="0" fontId="18" fillId="0" borderId="0" xfId="0" applyFont="1" applyAlignment="1">
      <alignment wrapText="1"/>
    </xf>
    <xf numFmtId="0" fontId="26" fillId="2" borderId="0" xfId="4" applyFont="1" applyFill="1" applyAlignment="1">
      <alignment horizontal="center"/>
    </xf>
    <xf numFmtId="0" fontId="30" fillId="0" borderId="13" xfId="0" applyFont="1" applyBorder="1" applyAlignment="1">
      <alignment horizontal="center" vertical="center"/>
    </xf>
    <xf numFmtId="0" fontId="30" fillId="0" borderId="0" xfId="0" applyFont="1" applyAlignment="1">
      <alignment horizontal="center" vertical="center"/>
    </xf>
    <xf numFmtId="0" fontId="20" fillId="0" borderId="1" xfId="0" applyFont="1" applyBorder="1" applyAlignment="1">
      <alignment horizontal="justify" vertical="center" wrapText="1"/>
    </xf>
    <xf numFmtId="0" fontId="29" fillId="0" borderId="1" xfId="4" applyFont="1" applyBorder="1" applyAlignment="1">
      <alignment horizontal="justify" vertical="center" wrapText="1"/>
    </xf>
    <xf numFmtId="0" fontId="20" fillId="6" borderId="1" xfId="0" applyFont="1" applyFill="1" applyBorder="1" applyAlignment="1">
      <alignment vertical="top"/>
    </xf>
    <xf numFmtId="0" fontId="20" fillId="6" borderId="1" xfId="0" applyFont="1" applyFill="1" applyBorder="1" applyAlignment="1">
      <alignment horizontal="left" vertical="top"/>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40" fillId="0" borderId="0" xfId="0" applyFont="1" applyAlignment="1">
      <alignment horizontal="left" vertical="center"/>
    </xf>
    <xf numFmtId="0" fontId="34" fillId="0" borderId="0" xfId="0" applyFont="1" applyAlignment="1">
      <alignment horizontal="left" vertical="center"/>
    </xf>
    <xf numFmtId="166" fontId="37" fillId="0" borderId="0" xfId="9" applyNumberFormat="1" applyFont="1" applyAlignment="1">
      <alignment horizontal="center" vertical="center"/>
    </xf>
    <xf numFmtId="166" fontId="37" fillId="0" borderId="0" xfId="9" applyNumberFormat="1" applyFont="1" applyAlignment="1">
      <alignment horizontal="right" vertical="center"/>
    </xf>
    <xf numFmtId="166" fontId="37" fillId="0" borderId="12" xfId="9" applyNumberFormat="1" applyFont="1" applyBorder="1" applyAlignment="1">
      <alignment horizontal="center" vertical="center"/>
    </xf>
    <xf numFmtId="166" fontId="37" fillId="0" borderId="12" xfId="9" applyNumberFormat="1" applyFont="1" applyBorder="1" applyAlignment="1">
      <alignment horizontal="right" vertical="center"/>
    </xf>
    <xf numFmtId="0" fontId="24" fillId="0" borderId="0" xfId="0" applyFont="1" applyAlignment="1">
      <alignment horizontal="left" vertical="center"/>
    </xf>
    <xf numFmtId="0" fontId="15" fillId="0" borderId="0" xfId="0" applyFont="1" applyAlignment="1">
      <alignment vertical="center"/>
    </xf>
    <xf numFmtId="0" fontId="16" fillId="0" borderId="9" xfId="0" applyFont="1" applyBorder="1"/>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8" fillId="4" borderId="0" xfId="11" applyFont="1" applyFill="1" applyAlignment="1">
      <alignment horizontal="left" vertical="center"/>
    </xf>
    <xf numFmtId="164" fontId="28" fillId="0" borderId="0" xfId="11" applyNumberFormat="1" applyFont="1" applyAlignment="1">
      <alignment vertical="center"/>
    </xf>
    <xf numFmtId="0" fontId="28" fillId="4" borderId="0" xfId="11" applyFont="1" applyFill="1" applyAlignment="1">
      <alignment horizontal="left" vertical="center" wrapText="1"/>
    </xf>
    <xf numFmtId="0" fontId="28" fillId="4" borderId="12" xfId="11" applyFont="1" applyFill="1" applyBorder="1" applyAlignment="1">
      <alignment horizontal="left" vertical="center"/>
    </xf>
    <xf numFmtId="164" fontId="28" fillId="0" borderId="12" xfId="11" applyNumberFormat="1" applyFont="1" applyBorder="1" applyAlignment="1">
      <alignment vertical="center"/>
    </xf>
    <xf numFmtId="0" fontId="28" fillId="0" borderId="0" xfId="0" applyFont="1"/>
    <xf numFmtId="0" fontId="16" fillId="0" borderId="9" xfId="0" applyFont="1" applyBorder="1" applyAlignment="1">
      <alignment horizontal="left" vertical="center"/>
    </xf>
    <xf numFmtId="0" fontId="20" fillId="0" borderId="9" xfId="0" applyFont="1" applyBorder="1"/>
    <xf numFmtId="167" fontId="28" fillId="0" borderId="0" xfId="12" applyNumberFormat="1" applyFont="1" applyAlignment="1">
      <alignment horizontal="right" vertical="top"/>
    </xf>
    <xf numFmtId="167" fontId="28" fillId="0" borderId="12" xfId="12" applyNumberFormat="1" applyFont="1" applyBorder="1" applyAlignment="1">
      <alignment horizontal="right" vertical="top"/>
    </xf>
    <xf numFmtId="0" fontId="28" fillId="0" borderId="12" xfId="0" applyFont="1" applyBorder="1"/>
    <xf numFmtId="0" fontId="41" fillId="0" borderId="0" xfId="0" applyFont="1"/>
    <xf numFmtId="0" fontId="6" fillId="0" borderId="0" xfId="0" applyFont="1" applyAlignment="1">
      <alignment horizontal="left" vertical="top"/>
    </xf>
    <xf numFmtId="0" fontId="42" fillId="0" borderId="0" xfId="0" applyFont="1"/>
    <xf numFmtId="0" fontId="28" fillId="4" borderId="1" xfId="0" applyFont="1" applyFill="1" applyBorder="1" applyAlignment="1">
      <alignment horizontal="left" vertical="top" wrapText="1"/>
    </xf>
    <xf numFmtId="0" fontId="20" fillId="0" borderId="1" xfId="0" applyFont="1" applyBorder="1" applyAlignment="1">
      <alignment horizontal="left" vertical="top" wrapText="1"/>
    </xf>
    <xf numFmtId="0" fontId="29" fillId="0" borderId="1" xfId="4" applyFont="1" applyBorder="1" applyAlignment="1">
      <alignment horizontal="left" vertical="top" wrapText="1"/>
    </xf>
    <xf numFmtId="0" fontId="28" fillId="0" borderId="0" xfId="0" applyFont="1" applyAlignment="1">
      <alignment horizontal="left" vertical="top" wrapText="1"/>
    </xf>
    <xf numFmtId="0" fontId="28" fillId="4" borderId="2" xfId="0" applyFont="1" applyFill="1" applyBorder="1" applyAlignment="1">
      <alignment horizontal="left" vertical="top" wrapText="1"/>
    </xf>
    <xf numFmtId="0" fontId="28" fillId="0" borderId="11" xfId="0" applyFont="1" applyBorder="1" applyAlignment="1">
      <alignment horizontal="left" vertical="top"/>
    </xf>
    <xf numFmtId="0" fontId="44" fillId="0" borderId="0" xfId="4" applyFont="1" applyFill="1" applyAlignment="1"/>
    <xf numFmtId="0" fontId="14" fillId="0" borderId="0" xfId="0" applyFont="1" applyAlignment="1">
      <alignment horizontal="left" vertical="center"/>
    </xf>
    <xf numFmtId="0" fontId="33" fillId="0" borderId="7" xfId="0" applyFont="1" applyBorder="1" applyAlignment="1">
      <alignment vertical="top" wrapText="1"/>
    </xf>
    <xf numFmtId="0" fontId="45" fillId="0" borderId="0" xfId="0" applyFont="1"/>
    <xf numFmtId="0" fontId="30" fillId="0" borderId="7" xfId="0" applyFont="1" applyBorder="1" applyAlignment="1">
      <alignment vertical="top" wrapText="1"/>
    </xf>
    <xf numFmtId="0" fontId="30" fillId="0" borderId="8" xfId="0" applyFont="1" applyBorder="1" applyAlignment="1">
      <alignment vertical="top" wrapText="1"/>
    </xf>
    <xf numFmtId="0" fontId="18" fillId="0" borderId="0" xfId="0" applyFont="1" applyAlignment="1">
      <alignment horizontal="left" vertical="top"/>
    </xf>
    <xf numFmtId="0" fontId="18" fillId="0" borderId="0" xfId="0" applyFont="1" applyAlignment="1">
      <alignment horizontal="left" vertical="center"/>
    </xf>
    <xf numFmtId="0" fontId="16" fillId="0" borderId="0" xfId="0" applyFont="1" applyAlignment="1">
      <alignment vertical="center"/>
    </xf>
    <xf numFmtId="0" fontId="19" fillId="0" borderId="0" xfId="0" applyFont="1" applyAlignment="1">
      <alignment vertical="center"/>
    </xf>
    <xf numFmtId="0" fontId="20" fillId="3" borderId="10" xfId="0" applyFont="1" applyFill="1" applyBorder="1" applyAlignment="1">
      <alignment horizontal="left" vertical="center" wrapText="1"/>
    </xf>
    <xf numFmtId="0" fontId="28" fillId="0" borderId="0" xfId="0" applyFont="1" applyAlignment="1">
      <alignment horizontal="center" vertical="center" wrapText="1"/>
    </xf>
    <xf numFmtId="2" fontId="28" fillId="0" borderId="0" xfId="0" applyNumberFormat="1" applyFont="1" applyAlignment="1">
      <alignment horizontal="center" vertical="center" wrapText="1"/>
    </xf>
    <xf numFmtId="168" fontId="28" fillId="0" borderId="0" xfId="0" applyNumberFormat="1" applyFont="1" applyAlignment="1">
      <alignment horizontal="center" vertical="center" wrapText="1"/>
    </xf>
    <xf numFmtId="168" fontId="46" fillId="0" borderId="0" xfId="0" applyNumberFormat="1" applyFont="1" applyAlignment="1">
      <alignment horizontal="center" vertical="center" wrapText="1"/>
    </xf>
    <xf numFmtId="0" fontId="6" fillId="0" borderId="0" xfId="0" applyFont="1" applyAlignment="1">
      <alignment horizontal="center" vertical="center" wrapText="1"/>
    </xf>
    <xf numFmtId="2" fontId="6" fillId="0" borderId="0" xfId="0" applyNumberFormat="1" applyFont="1" applyAlignment="1">
      <alignment horizontal="center" vertical="center" wrapText="1"/>
    </xf>
    <xf numFmtId="168" fontId="6" fillId="0" borderId="0" xfId="0" applyNumberFormat="1" applyFont="1" applyAlignment="1">
      <alignment horizontal="center" vertical="center" wrapText="1"/>
    </xf>
    <xf numFmtId="0" fontId="6" fillId="0" borderId="12" xfId="0" applyFont="1" applyBorder="1" applyAlignment="1">
      <alignment horizontal="center" vertical="center" wrapText="1"/>
    </xf>
    <xf numFmtId="2" fontId="6"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168" fontId="6" fillId="8" borderId="12" xfId="0" applyNumberFormat="1" applyFont="1" applyFill="1" applyBorder="1" applyAlignment="1">
      <alignment horizontal="center" vertical="center" wrapText="1"/>
    </xf>
    <xf numFmtId="3" fontId="6" fillId="0" borderId="12" xfId="0" applyNumberFormat="1" applyFont="1" applyBorder="1" applyAlignment="1">
      <alignment horizontal="center" vertical="center" wrapText="1"/>
    </xf>
    <xf numFmtId="0" fontId="6" fillId="0" borderId="12" xfId="0" applyFont="1" applyBorder="1"/>
    <xf numFmtId="0" fontId="30" fillId="0" borderId="0" xfId="0" applyFont="1"/>
    <xf numFmtId="0" fontId="28" fillId="0" borderId="0" xfId="0" applyFont="1" applyAlignment="1">
      <alignment vertical="center"/>
    </xf>
    <xf numFmtId="168" fontId="6" fillId="0" borderId="0" xfId="0" applyNumberFormat="1" applyFont="1"/>
    <xf numFmtId="168" fontId="18" fillId="0" borderId="0" xfId="0" applyNumberFormat="1" applyFont="1"/>
    <xf numFmtId="0" fontId="26" fillId="2" borderId="0" xfId="4" applyFont="1" applyFill="1" applyAlignment="1">
      <alignment horizontal="center" vertical="center"/>
    </xf>
    <xf numFmtId="0" fontId="47" fillId="4" borderId="1" xfId="0" applyFont="1" applyFill="1" applyBorder="1" applyAlignment="1">
      <alignment vertical="top" wrapText="1"/>
    </xf>
    <xf numFmtId="0" fontId="28" fillId="0" borderId="2" xfId="0" applyFont="1" applyBorder="1" applyAlignment="1">
      <alignment vertical="top" wrapText="1"/>
    </xf>
    <xf numFmtId="0" fontId="48" fillId="0" borderId="0" xfId="4" applyFont="1"/>
    <xf numFmtId="0" fontId="14" fillId="0" borderId="0" xfId="0" applyFont="1" applyAlignment="1">
      <alignment vertical="center"/>
    </xf>
    <xf numFmtId="0" fontId="16" fillId="0" borderId="24" xfId="0" applyFont="1" applyBorder="1" applyAlignment="1">
      <alignment vertical="center"/>
    </xf>
    <xf numFmtId="0" fontId="6" fillId="0" borderId="0" xfId="0" applyFont="1" applyAlignment="1">
      <alignment horizontal="left"/>
    </xf>
    <xf numFmtId="166" fontId="37" fillId="0" borderId="0" xfId="13" applyNumberFormat="1" applyFont="1" applyAlignment="1">
      <alignment horizontal="right" vertical="center"/>
    </xf>
    <xf numFmtId="0" fontId="6" fillId="0" borderId="12" xfId="0" applyFont="1" applyBorder="1" applyAlignment="1">
      <alignment horizontal="left"/>
    </xf>
    <xf numFmtId="166" fontId="37" fillId="0" borderId="12" xfId="13" applyNumberFormat="1" applyFont="1" applyBorder="1" applyAlignment="1">
      <alignment horizontal="right" vertical="center"/>
    </xf>
    <xf numFmtId="0" fontId="30" fillId="0" borderId="0" xfId="0" applyFont="1" applyAlignment="1">
      <alignment horizontal="left" vertical="center"/>
    </xf>
    <xf numFmtId="0" fontId="30" fillId="5" borderId="1" xfId="0" applyFont="1" applyFill="1" applyBorder="1" applyAlignment="1">
      <alignment vertical="top" wrapText="1"/>
    </xf>
    <xf numFmtId="0" fontId="28" fillId="3" borderId="0" xfId="0" applyFont="1" applyFill="1"/>
    <xf numFmtId="0" fontId="48" fillId="0" borderId="0" xfId="4"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8" fillId="0" borderId="0" xfId="0" applyFont="1" applyAlignment="1">
      <alignment vertical="center"/>
    </xf>
    <xf numFmtId="0" fontId="51" fillId="0" borderId="0" xfId="0" applyFont="1" applyAlignment="1">
      <alignment horizontal="left" vertical="center"/>
    </xf>
    <xf numFmtId="0" fontId="52" fillId="0" borderId="0" xfId="0" applyFont="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52" fillId="0" borderId="0" xfId="0" applyFont="1"/>
    <xf numFmtId="0" fontId="41" fillId="0" borderId="0" xfId="0" applyFont="1" applyAlignment="1">
      <alignment horizontal="center" vertical="center"/>
    </xf>
    <xf numFmtId="0" fontId="41" fillId="0" borderId="0" xfId="0" applyFont="1" applyAlignment="1">
      <alignment vertical="center"/>
    </xf>
    <xf numFmtId="0" fontId="41" fillId="0" borderId="0" xfId="0" applyFont="1" applyAlignment="1">
      <alignment vertical="center" wrapText="1"/>
    </xf>
    <xf numFmtId="0" fontId="20" fillId="5" borderId="1" xfId="0" applyFont="1" applyFill="1" applyBorder="1" applyAlignment="1">
      <alignment vertical="top" wrapText="1"/>
    </xf>
    <xf numFmtId="0" fontId="53" fillId="0" borderId="1" xfId="0" applyFont="1" applyBorder="1" applyAlignment="1">
      <alignment vertical="top" wrapText="1"/>
    </xf>
    <xf numFmtId="49" fontId="53" fillId="0" borderId="1" xfId="0" applyNumberFormat="1" applyFont="1" applyBorder="1" applyAlignment="1">
      <alignment vertical="top" wrapText="1"/>
    </xf>
    <xf numFmtId="0" fontId="16" fillId="0" borderId="24" xfId="0" applyFont="1" applyBorder="1"/>
    <xf numFmtId="0" fontId="19" fillId="0" borderId="24" xfId="0" applyFont="1" applyBorder="1"/>
    <xf numFmtId="0" fontId="19" fillId="0" borderId="0" xfId="0" applyFont="1"/>
    <xf numFmtId="0" fontId="20" fillId="3" borderId="11" xfId="0" applyFont="1" applyFill="1" applyBorder="1" applyAlignment="1">
      <alignment horizontal="center" vertical="center" wrapText="1"/>
    </xf>
    <xf numFmtId="168" fontId="6" fillId="0" borderId="0" xfId="0" applyNumberFormat="1" applyFont="1" applyAlignment="1">
      <alignment horizontal="right"/>
    </xf>
    <xf numFmtId="169" fontId="6" fillId="0" borderId="0" xfId="0" applyNumberFormat="1" applyFont="1" applyAlignment="1">
      <alignment horizontal="center"/>
    </xf>
    <xf numFmtId="168" fontId="6" fillId="0" borderId="0" xfId="0" applyNumberFormat="1" applyFont="1" applyAlignment="1">
      <alignment horizontal="center"/>
    </xf>
    <xf numFmtId="169" fontId="6" fillId="0" borderId="0" xfId="0" applyNumberFormat="1" applyFont="1" applyAlignment="1">
      <alignment horizontal="right"/>
    </xf>
    <xf numFmtId="169" fontId="6" fillId="0" borderId="0" xfId="0" applyNumberFormat="1" applyFont="1"/>
    <xf numFmtId="168" fontId="28" fillId="0" borderId="0" xfId="0" applyNumberFormat="1" applyFont="1"/>
    <xf numFmtId="168" fontId="28" fillId="0" borderId="0" xfId="0" applyNumberFormat="1" applyFont="1" applyAlignment="1">
      <alignment horizontal="right"/>
    </xf>
    <xf numFmtId="0" fontId="28" fillId="0" borderId="0" xfId="0" applyFont="1" applyAlignment="1">
      <alignment horizontal="left"/>
    </xf>
    <xf numFmtId="169" fontId="28" fillId="0" borderId="0" xfId="0" applyNumberFormat="1" applyFont="1" applyAlignment="1">
      <alignment horizontal="center"/>
    </xf>
    <xf numFmtId="168" fontId="28" fillId="0" borderId="0" xfId="0" applyNumberFormat="1" applyFont="1" applyAlignment="1">
      <alignment horizontal="center"/>
    </xf>
    <xf numFmtId="169" fontId="28" fillId="0" borderId="0" xfId="0" applyNumberFormat="1" applyFont="1"/>
    <xf numFmtId="0" fontId="29" fillId="0" borderId="1" xfId="4"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vertical="center" wrapText="1"/>
    </xf>
    <xf numFmtId="0" fontId="6" fillId="0" borderId="1" xfId="0" applyFont="1" applyBorder="1" applyAlignment="1">
      <alignment horizontal="left"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29" fillId="0" borderId="1" xfId="4" applyFont="1" applyFill="1" applyBorder="1" applyAlignment="1">
      <alignment horizontal="left" wrapText="1"/>
    </xf>
    <xf numFmtId="0" fontId="33" fillId="0" borderId="7" xfId="0" applyFont="1" applyBorder="1" applyAlignment="1">
      <alignment vertical="center" wrapText="1"/>
    </xf>
    <xf numFmtId="49" fontId="6" fillId="0" borderId="0" xfId="0" applyNumberFormat="1" applyFont="1" applyAlignment="1">
      <alignment horizontal="center"/>
    </xf>
    <xf numFmtId="170" fontId="6" fillId="0" borderId="0" xfId="0" applyNumberFormat="1" applyFont="1"/>
    <xf numFmtId="172" fontId="6" fillId="0" borderId="0" xfId="1" applyNumberFormat="1" applyFont="1"/>
    <xf numFmtId="170" fontId="6" fillId="0" borderId="0" xfId="0" applyNumberFormat="1" applyFont="1" applyAlignment="1">
      <alignment horizontal="left"/>
    </xf>
    <xf numFmtId="0" fontId="30" fillId="5" borderId="1" xfId="0" applyFont="1" applyFill="1" applyBorder="1" applyAlignment="1">
      <alignment vertical="center" wrapText="1"/>
    </xf>
    <xf numFmtId="0" fontId="47" fillId="0" borderId="0" xfId="0" applyFont="1"/>
    <xf numFmtId="0" fontId="48" fillId="0" borderId="0" xfId="4" applyFont="1" applyAlignment="1">
      <alignment horizontal="center"/>
    </xf>
    <xf numFmtId="0" fontId="14" fillId="0" borderId="0" xfId="0" applyFont="1" applyAlignment="1">
      <alignment horizontal="center"/>
    </xf>
    <xf numFmtId="0" fontId="14" fillId="0" borderId="0" xfId="0" applyFont="1" applyAlignment="1">
      <alignment wrapText="1"/>
    </xf>
    <xf numFmtId="0" fontId="56" fillId="0" borderId="0" xfId="0" applyFont="1" applyAlignment="1">
      <alignment horizontal="center"/>
    </xf>
    <xf numFmtId="0" fontId="56" fillId="0" borderId="0" xfId="0" applyFont="1"/>
    <xf numFmtId="0" fontId="56" fillId="0" borderId="0" xfId="0" applyFont="1" applyAlignment="1">
      <alignment wrapText="1"/>
    </xf>
    <xf numFmtId="0" fontId="6" fillId="0" borderId="0" xfId="0" applyFont="1" applyAlignment="1">
      <alignment vertical="top"/>
    </xf>
    <xf numFmtId="0" fontId="26" fillId="2" borderId="0" xfId="4" applyFont="1" applyFill="1" applyAlignment="1">
      <alignment horizontal="center" vertical="top"/>
    </xf>
    <xf numFmtId="0" fontId="30" fillId="0" borderId="0" xfId="0" applyFont="1" applyAlignment="1">
      <alignment horizontal="center" vertical="top"/>
    </xf>
    <xf numFmtId="0" fontId="19" fillId="0" borderId="24" xfId="0" applyFont="1" applyBorder="1" applyAlignment="1">
      <alignment vertical="center"/>
    </xf>
    <xf numFmtId="0" fontId="20" fillId="0" borderId="0" xfId="0" applyFont="1" applyAlignment="1">
      <alignment vertical="center"/>
    </xf>
    <xf numFmtId="0" fontId="20" fillId="3" borderId="10" xfId="0" applyFont="1" applyFill="1" applyBorder="1" applyAlignment="1">
      <alignment horizontal="center" vertical="center"/>
    </xf>
    <xf numFmtId="0" fontId="20" fillId="3" borderId="0" xfId="0" applyFont="1" applyFill="1" applyAlignment="1">
      <alignment horizontal="center" vertical="center" wrapText="1"/>
    </xf>
    <xf numFmtId="0" fontId="18" fillId="0" borderId="7" xfId="0" applyFont="1" applyBorder="1"/>
    <xf numFmtId="0" fontId="20" fillId="3" borderId="12" xfId="0" applyFont="1" applyFill="1" applyBorder="1" applyAlignment="1">
      <alignment horizontal="center" vertical="center"/>
    </xf>
    <xf numFmtId="2" fontId="6" fillId="0" borderId="0" xfId="0" applyNumberFormat="1" applyFont="1" applyAlignment="1">
      <alignment horizontal="center" vertical="center"/>
    </xf>
    <xf numFmtId="0" fontId="28" fillId="0" borderId="0" xfId="0" applyFont="1" applyAlignment="1">
      <alignment horizontal="center" vertical="center"/>
    </xf>
    <xf numFmtId="0" fontId="6" fillId="0" borderId="12" xfId="0" applyFont="1" applyBorder="1" applyAlignment="1">
      <alignment horizontal="center" vertical="center"/>
    </xf>
    <xf numFmtId="2" fontId="6" fillId="0" borderId="12" xfId="0" applyNumberFormat="1" applyFont="1" applyBorder="1" applyAlignment="1">
      <alignment horizontal="center" vertical="center"/>
    </xf>
    <xf numFmtId="0" fontId="26" fillId="0" borderId="0" xfId="0" applyFont="1" applyAlignment="1">
      <alignment vertical="top"/>
    </xf>
    <xf numFmtId="0" fontId="24" fillId="0" borderId="0" xfId="0" applyFont="1"/>
    <xf numFmtId="0" fontId="20" fillId="3" borderId="11" xfId="0" applyFont="1" applyFill="1" applyBorder="1" applyAlignment="1">
      <alignment horizontal="center" vertical="center"/>
    </xf>
    <xf numFmtId="173" fontId="6" fillId="0" borderId="0" xfId="0" applyNumberFormat="1" applyFont="1"/>
    <xf numFmtId="174" fontId="6" fillId="0" borderId="0" xfId="0" applyNumberFormat="1" applyFont="1"/>
    <xf numFmtId="173" fontId="6" fillId="0" borderId="12" xfId="0" applyNumberFormat="1" applyFont="1" applyBorder="1"/>
    <xf numFmtId="174" fontId="6" fillId="0" borderId="12" xfId="0" applyNumberFormat="1" applyFont="1" applyBorder="1"/>
    <xf numFmtId="0" fontId="20" fillId="10" borderId="1" xfId="0" applyFont="1" applyFill="1" applyBorder="1" applyAlignment="1">
      <alignment vertical="top" wrapText="1"/>
    </xf>
    <xf numFmtId="0" fontId="28" fillId="0" borderId="0" xfId="0" applyFont="1" applyAlignment="1">
      <alignment vertical="top"/>
    </xf>
    <xf numFmtId="0" fontId="4" fillId="4" borderId="2" xfId="4" applyFill="1" applyBorder="1" applyAlignment="1">
      <alignment vertical="top" wrapText="1"/>
    </xf>
    <xf numFmtId="0" fontId="28" fillId="0" borderId="1" xfId="0" applyFont="1" applyBorder="1"/>
    <xf numFmtId="49" fontId="28" fillId="0" borderId="1" xfId="0" applyNumberFormat="1" applyFont="1" applyBorder="1" applyAlignment="1">
      <alignment vertical="top" wrapText="1"/>
    </xf>
    <xf numFmtId="0" fontId="26" fillId="0" borderId="1" xfId="4" applyFont="1" applyFill="1" applyBorder="1" applyAlignment="1">
      <alignment vertical="top" wrapText="1"/>
    </xf>
    <xf numFmtId="0" fontId="59" fillId="0" borderId="0" xfId="0" applyFont="1"/>
    <xf numFmtId="0" fontId="50" fillId="0" borderId="0" xfId="0" applyFont="1"/>
    <xf numFmtId="0" fontId="35" fillId="0" borderId="0" xfId="0" applyFont="1"/>
    <xf numFmtId="0" fontId="19" fillId="0" borderId="0" xfId="0" applyFont="1" applyAlignment="1">
      <alignment horizontal="center"/>
    </xf>
    <xf numFmtId="2" fontId="6" fillId="0" borderId="0" xfId="3" applyNumberFormat="1" applyFont="1" applyBorder="1" applyAlignment="1">
      <alignment horizontal="center"/>
    </xf>
    <xf numFmtId="175" fontId="6" fillId="0" borderId="0" xfId="0" applyNumberFormat="1" applyFont="1" applyAlignment="1">
      <alignment horizontal="center"/>
    </xf>
    <xf numFmtId="2" fontId="6" fillId="0" borderId="0" xfId="0" applyNumberFormat="1" applyFont="1" applyAlignment="1">
      <alignment horizontal="center"/>
    </xf>
    <xf numFmtId="10" fontId="60" fillId="0" borderId="0" xfId="0" applyNumberFormat="1" applyFont="1" applyAlignment="1">
      <alignment horizontal="right"/>
    </xf>
    <xf numFmtId="0" fontId="6" fillId="0" borderId="0" xfId="0" applyFont="1" applyAlignment="1">
      <alignment horizontal="center" wrapText="1"/>
    </xf>
    <xf numFmtId="10" fontId="34" fillId="0" borderId="0" xfId="3" applyNumberFormat="1" applyFont="1" applyBorder="1" applyAlignment="1">
      <alignment horizontal="right"/>
    </xf>
    <xf numFmtId="2" fontId="6" fillId="0" borderId="12" xfId="3" applyNumberFormat="1" applyFont="1" applyBorder="1" applyAlignment="1">
      <alignment horizontal="center"/>
    </xf>
    <xf numFmtId="175" fontId="6" fillId="0" borderId="12" xfId="0" applyNumberFormat="1" applyFont="1" applyBorder="1" applyAlignment="1">
      <alignment horizontal="center"/>
    </xf>
    <xf numFmtId="2" fontId="6" fillId="0" borderId="12" xfId="0" applyNumberFormat="1" applyFont="1" applyBorder="1" applyAlignment="1">
      <alignment horizontal="center"/>
    </xf>
    <xf numFmtId="0" fontId="42" fillId="0" borderId="0" xfId="0" applyFont="1" applyAlignment="1">
      <alignment vertical="top"/>
    </xf>
    <xf numFmtId="0" fontId="18" fillId="0" borderId="0" xfId="0" applyFont="1" applyAlignment="1">
      <alignment horizontal="center" vertical="center" wrapText="1"/>
    </xf>
    <xf numFmtId="0" fontId="6" fillId="0" borderId="0" xfId="0" applyFont="1" applyAlignment="1">
      <alignment wrapText="1"/>
    </xf>
    <xf numFmtId="0" fontId="16" fillId="0" borderId="9" xfId="0" applyFont="1" applyBorder="1" applyAlignment="1">
      <alignment vertical="center"/>
    </xf>
    <xf numFmtId="0" fontId="50" fillId="0" borderId="7" xfId="0" applyFont="1" applyBorder="1" applyAlignment="1">
      <alignment vertical="center" wrapText="1"/>
    </xf>
    <xf numFmtId="0" fontId="16" fillId="0" borderId="0" xfId="0" applyFont="1" applyAlignment="1">
      <alignment horizontal="left" vertical="center" readingOrder="1"/>
    </xf>
    <xf numFmtId="0" fontId="50" fillId="0" borderId="0" xfId="0" applyFont="1" applyAlignment="1">
      <alignment vertical="center" wrapText="1"/>
    </xf>
    <xf numFmtId="49" fontId="20" fillId="11" borderId="11" xfId="0" applyNumberFormat="1" applyFont="1" applyFill="1" applyBorder="1" applyAlignment="1">
      <alignment horizontal="center" vertical="center"/>
    </xf>
    <xf numFmtId="49" fontId="20" fillId="11" borderId="11" xfId="0" applyNumberFormat="1" applyFont="1" applyFill="1" applyBorder="1" applyAlignment="1">
      <alignment horizontal="center" vertical="center" wrapText="1"/>
    </xf>
    <xf numFmtId="0" fontId="40" fillId="0" borderId="0" xfId="0" applyFont="1"/>
    <xf numFmtId="0" fontId="47" fillId="0" borderId="0" xfId="0" applyFont="1" applyAlignment="1">
      <alignment vertical="top"/>
    </xf>
    <xf numFmtId="0" fontId="6" fillId="0" borderId="0" xfId="0" applyFont="1" applyAlignment="1">
      <alignment vertical="top" wrapText="1"/>
    </xf>
    <xf numFmtId="0" fontId="28" fillId="4" borderId="1" xfId="0" applyFont="1" applyFill="1" applyBorder="1" applyAlignment="1">
      <alignment wrapText="1"/>
    </xf>
    <xf numFmtId="0" fontId="29" fillId="0" borderId="1" xfId="4" applyFont="1" applyBorder="1" applyAlignment="1">
      <alignment wrapText="1"/>
    </xf>
    <xf numFmtId="0" fontId="16" fillId="0" borderId="0" xfId="0" applyFont="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wrapText="1"/>
    </xf>
    <xf numFmtId="0" fontId="55" fillId="0" borderId="0" xfId="0" applyFont="1" applyAlignment="1">
      <alignment horizontal="center" vertical="center" wrapText="1"/>
    </xf>
    <xf numFmtId="0" fontId="6" fillId="0" borderId="12" xfId="0" applyFont="1" applyBorder="1" applyAlignment="1">
      <alignment vertical="center" wrapText="1"/>
    </xf>
    <xf numFmtId="0" fontId="55" fillId="0" borderId="12" xfId="0" applyFont="1" applyBorder="1" applyAlignment="1">
      <alignment horizontal="center" vertical="center" wrapText="1"/>
    </xf>
    <xf numFmtId="0" fontId="6" fillId="0" borderId="10" xfId="0" applyFont="1" applyBorder="1"/>
    <xf numFmtId="0" fontId="6" fillId="0" borderId="10" xfId="0" applyFont="1" applyBorder="1" applyAlignment="1">
      <alignment horizontal="center" vertical="center"/>
    </xf>
    <xf numFmtId="0" fontId="20" fillId="0" borderId="0" xfId="0" applyFont="1" applyAlignment="1">
      <alignment horizontal="center" vertical="center"/>
    </xf>
    <xf numFmtId="0" fontId="55" fillId="12" borderId="0" xfId="0" applyFont="1" applyFill="1" applyAlignment="1">
      <alignment vertical="center"/>
    </xf>
    <xf numFmtId="2" fontId="55" fillId="12" borderId="0" xfId="0" applyNumberFormat="1" applyFont="1" applyFill="1" applyAlignment="1">
      <alignment horizontal="center" vertical="center"/>
    </xf>
    <xf numFmtId="176" fontId="55" fillId="12" borderId="0" xfId="0" applyNumberFormat="1" applyFont="1" applyFill="1" applyAlignment="1">
      <alignment horizontal="right" vertical="center" wrapText="1"/>
    </xf>
    <xf numFmtId="0" fontId="55" fillId="13" borderId="0" xfId="0" applyFont="1" applyFill="1" applyAlignment="1">
      <alignment vertical="center"/>
    </xf>
    <xf numFmtId="0" fontId="55" fillId="0" borderId="0" xfId="0" applyFont="1" applyAlignment="1">
      <alignment horizontal="center" vertical="center"/>
    </xf>
    <xf numFmtId="10" fontId="55" fillId="0" borderId="0" xfId="0" applyNumberFormat="1" applyFont="1" applyAlignment="1">
      <alignment horizontal="right" vertical="center" wrapText="1"/>
    </xf>
    <xf numFmtId="0" fontId="55" fillId="13" borderId="12" xfId="0" applyFont="1" applyFill="1" applyBorder="1" applyAlignment="1">
      <alignment vertical="center"/>
    </xf>
    <xf numFmtId="0" fontId="55" fillId="0" borderId="12" xfId="0" applyFont="1" applyBorder="1" applyAlignment="1">
      <alignment horizontal="center" vertical="center"/>
    </xf>
    <xf numFmtId="10" fontId="55" fillId="0" borderId="12" xfId="0" applyNumberFormat="1" applyFont="1" applyBorder="1" applyAlignment="1">
      <alignment horizontal="right" vertical="center" wrapText="1"/>
    </xf>
    <xf numFmtId="0" fontId="6" fillId="0" borderId="0" xfId="0" applyFont="1" applyAlignment="1">
      <alignment horizontal="right" vertical="center"/>
    </xf>
    <xf numFmtId="0" fontId="6" fillId="0" borderId="12" xfId="0" applyFont="1" applyBorder="1" applyAlignment="1">
      <alignment vertical="center"/>
    </xf>
    <xf numFmtId="0" fontId="6" fillId="0" borderId="12" xfId="0" applyFont="1" applyBorder="1" applyAlignment="1">
      <alignment horizontal="right" vertical="center"/>
    </xf>
    <xf numFmtId="0" fontId="20" fillId="11" borderId="11" xfId="0" applyFont="1" applyFill="1" applyBorder="1" applyAlignment="1">
      <alignment horizontal="center" vertical="center"/>
    </xf>
    <xf numFmtId="0" fontId="20" fillId="11" borderId="11" xfId="0" applyFont="1" applyFill="1" applyBorder="1" applyAlignment="1">
      <alignment horizontal="center" vertical="center" wrapText="1"/>
    </xf>
    <xf numFmtId="2" fontId="6" fillId="0" borderId="12" xfId="0" applyNumberFormat="1" applyFont="1" applyBorder="1" applyAlignment="1">
      <alignment horizontal="right" vertical="center"/>
    </xf>
    <xf numFmtId="0" fontId="61" fillId="0" borderId="0" xfId="0" applyFont="1" applyAlignment="1">
      <alignment vertical="center"/>
    </xf>
    <xf numFmtId="0" fontId="20" fillId="11" borderId="11" xfId="0" applyFont="1" applyFill="1" applyBorder="1" applyAlignment="1">
      <alignment vertical="center"/>
    </xf>
    <xf numFmtId="0" fontId="28" fillId="0" borderId="0" xfId="0" applyFont="1" applyAlignment="1">
      <alignment horizontal="left" vertical="center"/>
    </xf>
    <xf numFmtId="0" fontId="55" fillId="13" borderId="0" xfId="0" applyFont="1" applyFill="1" applyAlignment="1">
      <alignment horizontal="center" vertical="center"/>
    </xf>
    <xf numFmtId="2" fontId="55" fillId="13" borderId="0" xfId="0" applyNumberFormat="1" applyFont="1" applyFill="1" applyAlignment="1">
      <alignment horizontal="center" vertical="center"/>
    </xf>
    <xf numFmtId="0" fontId="55" fillId="13" borderId="12" xfId="0" applyFont="1" applyFill="1" applyBorder="1" applyAlignment="1">
      <alignment horizontal="center" vertical="center"/>
    </xf>
    <xf numFmtId="164" fontId="55" fillId="13" borderId="0" xfId="0" applyNumberFormat="1" applyFont="1" applyFill="1" applyAlignment="1">
      <alignment horizontal="right" vertical="center"/>
    </xf>
    <xf numFmtId="0" fontId="55" fillId="13" borderId="12" xfId="0" applyFont="1" applyFill="1" applyBorder="1" applyAlignment="1">
      <alignment horizontal="right" vertical="center"/>
    </xf>
    <xf numFmtId="0" fontId="55" fillId="13" borderId="0" xfId="0" applyFont="1" applyFill="1" applyAlignment="1">
      <alignment vertical="center" wrapText="1"/>
    </xf>
    <xf numFmtId="0" fontId="55" fillId="13" borderId="0" xfId="0" applyFont="1" applyFill="1" applyAlignment="1">
      <alignment horizontal="right" vertical="center"/>
    </xf>
    <xf numFmtId="0" fontId="55" fillId="13" borderId="12" xfId="0" applyFont="1" applyFill="1" applyBorder="1" applyAlignment="1">
      <alignment vertical="center" wrapText="1"/>
    </xf>
    <xf numFmtId="0" fontId="29" fillId="0" borderId="15" xfId="4" applyFont="1" applyBorder="1" applyAlignment="1">
      <alignment horizontal="justify" vertical="center" wrapText="1"/>
    </xf>
    <xf numFmtId="0" fontId="29" fillId="4" borderId="2" xfId="4" applyFont="1" applyFill="1" applyBorder="1" applyAlignment="1">
      <alignment vertical="top" wrapText="1"/>
    </xf>
    <xf numFmtId="0" fontId="62" fillId="0" borderId="0" xfId="4" applyFont="1" applyFill="1" applyAlignment="1"/>
    <xf numFmtId="0" fontId="63" fillId="0" borderId="0" xfId="0" applyFont="1" applyAlignment="1">
      <alignment vertical="top"/>
    </xf>
    <xf numFmtId="0" fontId="63" fillId="0" borderId="26" xfId="0" applyFont="1" applyBorder="1" applyAlignment="1">
      <alignment vertical="top"/>
    </xf>
    <xf numFmtId="0" fontId="63" fillId="0" borderId="0" xfId="0" applyFont="1" applyAlignment="1">
      <alignment vertical="top" wrapText="1"/>
    </xf>
    <xf numFmtId="0" fontId="63" fillId="0" borderId="26" xfId="0" applyFont="1" applyBorder="1" applyAlignment="1">
      <alignment vertical="top" wrapText="1"/>
    </xf>
    <xf numFmtId="0" fontId="63" fillId="0" borderId="7"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16" fillId="0" borderId="24" xfId="0" applyFont="1" applyBorder="1" applyAlignment="1">
      <alignment vertical="top"/>
    </xf>
    <xf numFmtId="0" fontId="20" fillId="0" borderId="24" xfId="0" applyFont="1" applyBorder="1" applyAlignment="1">
      <alignment vertical="top"/>
    </xf>
    <xf numFmtId="0" fontId="20" fillId="0" borderId="0" xfId="0" applyFont="1" applyAlignment="1">
      <alignment vertical="top"/>
    </xf>
    <xf numFmtId="49" fontId="20" fillId="11" borderId="0" xfId="0" quotePrefix="1" applyNumberFormat="1" applyFont="1" applyFill="1" applyAlignment="1">
      <alignment horizontal="center" vertical="center"/>
    </xf>
    <xf numFmtId="49" fontId="20" fillId="11" borderId="0" xfId="0" applyNumberFormat="1" applyFont="1" applyFill="1" applyAlignment="1">
      <alignment horizontal="center" vertical="center"/>
    </xf>
    <xf numFmtId="0" fontId="20" fillId="11" borderId="12" xfId="0" applyFont="1" applyFill="1" applyBorder="1" applyAlignment="1">
      <alignment horizontal="left" vertical="center"/>
    </xf>
    <xf numFmtId="0" fontId="20" fillId="11" borderId="12" xfId="0" applyFont="1" applyFill="1" applyBorder="1" applyAlignment="1">
      <alignment horizontal="center" vertical="center"/>
    </xf>
    <xf numFmtId="166" fontId="28" fillId="0" borderId="0" xfId="0" applyNumberFormat="1" applyFont="1" applyAlignment="1">
      <alignment horizontal="center" vertical="center"/>
    </xf>
    <xf numFmtId="177" fontId="28" fillId="0" borderId="0" xfId="0" applyNumberFormat="1" applyFont="1" applyAlignment="1">
      <alignment horizontal="center" vertical="center"/>
    </xf>
    <xf numFmtId="178" fontId="28" fillId="0" borderId="0" xfId="0" applyNumberFormat="1" applyFont="1" applyAlignment="1">
      <alignment horizontal="center" vertical="center"/>
    </xf>
    <xf numFmtId="166" fontId="28" fillId="0" borderId="12" xfId="0" applyNumberFormat="1" applyFont="1" applyBorder="1" applyAlignment="1">
      <alignment horizontal="center" vertical="center"/>
    </xf>
    <xf numFmtId="177" fontId="28" fillId="0" borderId="12" xfId="0" applyNumberFormat="1" applyFont="1" applyBorder="1" applyAlignment="1">
      <alignment horizontal="center" vertical="center"/>
    </xf>
    <xf numFmtId="0" fontId="16" fillId="0" borderId="6" xfId="0" applyFont="1" applyBorder="1" applyAlignment="1">
      <alignment vertical="top"/>
    </xf>
    <xf numFmtId="0" fontId="16" fillId="0" borderId="7" xfId="0" applyFont="1" applyBorder="1" applyAlignment="1">
      <alignment vertical="top"/>
    </xf>
    <xf numFmtId="0" fontId="16" fillId="0" borderId="9" xfId="0" applyFont="1" applyBorder="1" applyAlignment="1">
      <alignment vertical="top"/>
    </xf>
    <xf numFmtId="0" fontId="19" fillId="0" borderId="9" xfId="0" applyFont="1" applyBorder="1" applyAlignment="1">
      <alignment vertical="top"/>
    </xf>
    <xf numFmtId="0" fontId="20" fillId="11" borderId="10" xfId="0" applyFont="1" applyFill="1" applyBorder="1" applyAlignment="1">
      <alignment horizontal="center"/>
    </xf>
    <xf numFmtId="0" fontId="20" fillId="11" borderId="12" xfId="0" applyFont="1" applyFill="1" applyBorder="1" applyAlignment="1">
      <alignment horizontal="center"/>
    </xf>
    <xf numFmtId="0" fontId="20" fillId="11" borderId="12" xfId="0" applyFont="1" applyFill="1" applyBorder="1" applyAlignment="1">
      <alignment horizontal="center" vertical="center" wrapText="1"/>
    </xf>
    <xf numFmtId="0" fontId="20" fillId="0" borderId="0" xfId="0" applyFont="1" applyAlignment="1">
      <alignment horizontal="left" vertical="center"/>
    </xf>
    <xf numFmtId="164" fontId="6" fillId="0" borderId="0" xfId="0" applyNumberFormat="1" applyFont="1"/>
    <xf numFmtId="0" fontId="28" fillId="0" borderId="0" xfId="0" applyFont="1" applyAlignment="1">
      <alignment horizontal="left" vertical="center" indent="1"/>
    </xf>
    <xf numFmtId="0" fontId="28" fillId="0" borderId="0" xfId="0" quotePrefix="1" applyFont="1" applyAlignment="1">
      <alignment horizontal="left" vertical="center" indent="1"/>
    </xf>
    <xf numFmtId="17" fontId="28" fillId="0" borderId="0" xfId="0" quotePrefix="1" applyNumberFormat="1" applyFont="1" applyAlignment="1">
      <alignment horizontal="left" vertical="center" indent="1"/>
    </xf>
    <xf numFmtId="0" fontId="6" fillId="5" borderId="1" xfId="0" applyFont="1" applyFill="1" applyBorder="1" applyAlignment="1">
      <alignment vertical="top" wrapText="1"/>
    </xf>
    <xf numFmtId="0" fontId="58" fillId="2" borderId="0" xfId="0" applyFont="1" applyFill="1"/>
    <xf numFmtId="0" fontId="59" fillId="0" borderId="0" xfId="0" applyFont="1" applyAlignment="1">
      <alignment vertical="top" wrapText="1"/>
    </xf>
    <xf numFmtId="0" fontId="17" fillId="0" borderId="0" xfId="0" applyFont="1" applyAlignment="1">
      <alignment vertical="top" wrapText="1"/>
    </xf>
    <xf numFmtId="0" fontId="20" fillId="11" borderId="0" xfId="0" applyFont="1" applyFill="1" applyAlignment="1">
      <alignment horizontal="center" vertical="center"/>
    </xf>
    <xf numFmtId="0" fontId="17" fillId="0" borderId="0" xfId="0" applyFont="1" applyAlignment="1">
      <alignment vertical="center" wrapText="1"/>
    </xf>
    <xf numFmtId="0" fontId="20" fillId="11" borderId="0" xfId="0" applyFont="1" applyFill="1" applyAlignment="1">
      <alignment horizontal="center" vertical="center" wrapText="1"/>
    </xf>
    <xf numFmtId="0" fontId="17" fillId="0" borderId="0" xfId="0" applyFont="1" applyAlignment="1">
      <alignment horizontal="center" vertical="center" wrapText="1"/>
    </xf>
    <xf numFmtId="0" fontId="17" fillId="0" borderId="0" xfId="0" applyFont="1"/>
    <xf numFmtId="0" fontId="17" fillId="0" borderId="0" xfId="0" applyFont="1" applyAlignment="1">
      <alignment horizontal="center"/>
    </xf>
    <xf numFmtId="0" fontId="28" fillId="4" borderId="0" xfId="14" applyFont="1" applyFill="1" applyAlignment="1">
      <alignment horizontal="center" vertical="center" wrapText="1"/>
    </xf>
    <xf numFmtId="1" fontId="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right" vertical="center"/>
    </xf>
    <xf numFmtId="0" fontId="64" fillId="0" borderId="0" xfId="0" applyFont="1"/>
    <xf numFmtId="0" fontId="28" fillId="4" borderId="3" xfId="0" applyFont="1" applyFill="1" applyBorder="1" applyAlignment="1">
      <alignment vertical="top" wrapText="1"/>
    </xf>
    <xf numFmtId="0" fontId="20" fillId="4" borderId="27" xfId="14" applyFont="1" applyFill="1" applyBorder="1" applyAlignment="1">
      <alignment horizontal="right" vertical="top" wrapText="1"/>
    </xf>
    <xf numFmtId="0" fontId="6" fillId="0" borderId="0" xfId="0" applyFont="1" applyAlignment="1">
      <alignment horizontal="right" vertical="top"/>
    </xf>
    <xf numFmtId="1" fontId="30" fillId="14" borderId="0" xfId="0" applyNumberFormat="1" applyFont="1" applyFill="1" applyAlignment="1">
      <alignment horizontal="right" vertical="top"/>
    </xf>
    <xf numFmtId="0" fontId="14" fillId="0" borderId="0" xfId="0" applyFont="1" applyAlignment="1">
      <alignment horizontal="center" wrapText="1"/>
    </xf>
    <xf numFmtId="0" fontId="29" fillId="0" borderId="1" xfId="4" applyFont="1" applyFill="1" applyBorder="1" applyAlignment="1">
      <alignment vertical="top" wrapText="1"/>
    </xf>
    <xf numFmtId="0" fontId="33" fillId="0" borderId="5" xfId="0" applyFont="1" applyBorder="1" applyAlignment="1">
      <alignment horizontal="left" vertical="top"/>
    </xf>
    <xf numFmtId="0" fontId="33" fillId="0" borderId="5" xfId="0" applyFont="1" applyBorder="1" applyAlignment="1">
      <alignment horizontal="left" vertical="center"/>
    </xf>
    <xf numFmtId="0" fontId="24" fillId="0" borderId="0" xfId="0" applyFont="1" applyAlignment="1">
      <alignment vertical="top"/>
    </xf>
    <xf numFmtId="0" fontId="34" fillId="0" borderId="0" xfId="0" applyFont="1" applyAlignment="1">
      <alignment vertical="top"/>
    </xf>
    <xf numFmtId="179" fontId="6" fillId="0" borderId="0" xfId="0" applyNumberFormat="1" applyFont="1" applyAlignment="1">
      <alignment horizontal="center" vertical="center"/>
    </xf>
    <xf numFmtId="175" fontId="6" fillId="0" borderId="0" xfId="0" applyNumberFormat="1" applyFont="1" applyAlignment="1">
      <alignment horizontal="center" vertical="center"/>
    </xf>
    <xf numFmtId="179" fontId="6" fillId="0" borderId="12" xfId="0" applyNumberFormat="1" applyFont="1" applyBorder="1" applyAlignment="1">
      <alignment horizontal="center" vertical="center"/>
    </xf>
    <xf numFmtId="175" fontId="6" fillId="0" borderId="12" xfId="0" applyNumberFormat="1" applyFont="1" applyBorder="1" applyAlignment="1">
      <alignment horizontal="center" vertical="center"/>
    </xf>
    <xf numFmtId="0" fontId="62" fillId="0" borderId="0" xfId="4" applyFont="1" applyFill="1" applyAlignment="1">
      <alignment horizontal="center" vertical="top"/>
    </xf>
    <xf numFmtId="0" fontId="24" fillId="0" borderId="0" xfId="0" applyFont="1" applyAlignment="1">
      <alignment horizontal="center" vertical="center" wrapText="1"/>
    </xf>
    <xf numFmtId="0" fontId="30" fillId="15" borderId="1" xfId="0" applyFont="1" applyFill="1" applyBorder="1" applyAlignment="1">
      <alignment vertical="top" wrapText="1"/>
    </xf>
    <xf numFmtId="0" fontId="20" fillId="16" borderId="10" xfId="0" applyFont="1" applyFill="1" applyBorder="1" applyAlignment="1">
      <alignment horizontal="center"/>
    </xf>
    <xf numFmtId="0" fontId="20" fillId="16" borderId="0" xfId="0" applyFont="1" applyFill="1" applyAlignment="1">
      <alignment horizontal="center" vertical="center" wrapText="1"/>
    </xf>
    <xf numFmtId="0" fontId="20" fillId="16" borderId="0" xfId="0" applyFont="1" applyFill="1" applyAlignment="1">
      <alignment horizontal="center" vertical="center"/>
    </xf>
    <xf numFmtId="164" fontId="6" fillId="0" borderId="0" xfId="0" applyNumberFormat="1" applyFont="1" applyAlignment="1">
      <alignment horizontal="right" indent="1"/>
    </xf>
    <xf numFmtId="164" fontId="6" fillId="0" borderId="0" xfId="0" applyNumberFormat="1" applyFont="1" applyAlignment="1">
      <alignment horizontal="right" indent="2"/>
    </xf>
    <xf numFmtId="164" fontId="6" fillId="0" borderId="0" xfId="0" applyNumberFormat="1" applyFont="1" applyAlignment="1">
      <alignment horizontal="right" indent="3"/>
    </xf>
    <xf numFmtId="0" fontId="6" fillId="0" borderId="0" xfId="0" applyFont="1" applyAlignment="1">
      <alignment horizontal="left" wrapText="1"/>
    </xf>
    <xf numFmtId="0" fontId="6" fillId="0" borderId="12" xfId="0" applyFont="1" applyBorder="1" applyAlignment="1">
      <alignment horizontal="left" wrapText="1"/>
    </xf>
    <xf numFmtId="164" fontId="6" fillId="0" borderId="12" xfId="0" applyNumberFormat="1" applyFont="1" applyBorder="1" applyAlignment="1">
      <alignment horizontal="right" indent="1"/>
    </xf>
    <xf numFmtId="164" fontId="6" fillId="0" borderId="12" xfId="0" applyNumberFormat="1" applyFont="1" applyBorder="1" applyAlignment="1">
      <alignment horizontal="right" indent="2"/>
    </xf>
    <xf numFmtId="164" fontId="6" fillId="0" borderId="12" xfId="0" applyNumberFormat="1" applyFont="1" applyBorder="1" applyAlignment="1">
      <alignment horizontal="right" indent="3"/>
    </xf>
    <xf numFmtId="0" fontId="68" fillId="0" borderId="0" xfId="0" applyFont="1" applyAlignment="1">
      <alignment vertical="center" wrapText="1"/>
    </xf>
    <xf numFmtId="0" fontId="20" fillId="16" borderId="11" xfId="15" applyFont="1" applyFill="1" applyBorder="1" applyAlignment="1">
      <alignment horizontal="center" vertical="center" wrapText="1"/>
    </xf>
    <xf numFmtId="0" fontId="20" fillId="16" borderId="11" xfId="15" applyFont="1" applyFill="1" applyBorder="1" applyAlignment="1">
      <alignment horizontal="center" vertical="center"/>
    </xf>
    <xf numFmtId="0" fontId="20" fillId="16" borderId="11" xfId="0" applyFont="1" applyFill="1" applyBorder="1" applyAlignment="1">
      <alignment horizontal="center" vertical="center"/>
    </xf>
    <xf numFmtId="0" fontId="6" fillId="0" borderId="0" xfId="15" applyFont="1"/>
    <xf numFmtId="164" fontId="6" fillId="0" borderId="0" xfId="0" applyNumberFormat="1" applyFont="1" applyAlignment="1">
      <alignment horizontal="right"/>
    </xf>
    <xf numFmtId="0" fontId="6" fillId="17" borderId="0" xfId="15" applyFont="1" applyFill="1"/>
    <xf numFmtId="164" fontId="6" fillId="17" borderId="0" xfId="0" applyNumberFormat="1" applyFont="1" applyFill="1" applyAlignment="1">
      <alignment horizontal="right"/>
    </xf>
    <xf numFmtId="0" fontId="6" fillId="0" borderId="12" xfId="15" applyFont="1" applyBorder="1"/>
    <xf numFmtId="164" fontId="6" fillId="0" borderId="12" xfId="0" applyNumberFormat="1" applyFont="1" applyBorder="1" applyAlignment="1">
      <alignment horizontal="right"/>
    </xf>
    <xf numFmtId="164" fontId="6" fillId="0" borderId="12" xfId="0" applyNumberFormat="1" applyFont="1" applyBorder="1"/>
    <xf numFmtId="0" fontId="6" fillId="0" borderId="13" xfId="0" applyFont="1" applyBorder="1" applyAlignment="1">
      <alignment horizontal="center" vertical="center"/>
    </xf>
    <xf numFmtId="0" fontId="6" fillId="0" borderId="0" xfId="0" applyFont="1" applyAlignment="1">
      <alignment horizontal="center" vertical="top"/>
    </xf>
    <xf numFmtId="0" fontId="30" fillId="5" borderId="21" xfId="0" applyFont="1" applyFill="1" applyBorder="1" applyAlignment="1">
      <alignment horizontal="left" vertical="top"/>
    </xf>
    <xf numFmtId="0" fontId="6" fillId="0" borderId="1" xfId="0" applyFont="1" applyBorder="1" applyAlignment="1">
      <alignment vertical="top"/>
    </xf>
    <xf numFmtId="0" fontId="6" fillId="4" borderId="1" xfId="0" applyFont="1" applyFill="1" applyBorder="1" applyAlignment="1">
      <alignment vertical="top" wrapText="1"/>
    </xf>
    <xf numFmtId="0" fontId="28" fillId="6" borderId="1" xfId="0" applyFont="1" applyFill="1" applyBorder="1" applyAlignment="1">
      <alignment vertical="top"/>
    </xf>
    <xf numFmtId="0" fontId="28" fillId="6" borderId="1" xfId="0" applyFont="1" applyFill="1" applyBorder="1" applyAlignment="1">
      <alignment horizontal="left" vertical="top"/>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59" fillId="0" borderId="0" xfId="0" applyFont="1" applyAlignment="1">
      <alignment wrapText="1"/>
    </xf>
    <xf numFmtId="0" fontId="20" fillId="16" borderId="10"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0" xfId="0" applyFont="1" applyFill="1" applyBorder="1" applyAlignment="1">
      <alignment horizontal="center" vertical="center"/>
    </xf>
    <xf numFmtId="49" fontId="20" fillId="16" borderId="12" xfId="0" applyNumberFormat="1" applyFont="1" applyFill="1" applyBorder="1" applyAlignment="1">
      <alignment horizontal="center" vertical="center" wrapText="1"/>
    </xf>
    <xf numFmtId="0" fontId="20" fillId="16" borderId="12" xfId="0" applyFont="1" applyFill="1" applyBorder="1" applyAlignment="1">
      <alignment horizontal="center" vertical="center" wrapText="1"/>
    </xf>
    <xf numFmtId="164" fontId="6" fillId="0" borderId="0" xfId="0" applyNumberFormat="1" applyFont="1" applyAlignment="1">
      <alignment horizontal="center"/>
    </xf>
    <xf numFmtId="164" fontId="6" fillId="0" borderId="0" xfId="0" applyNumberFormat="1" applyFont="1" applyAlignment="1">
      <alignment horizontal="center" wrapText="1"/>
    </xf>
    <xf numFmtId="164" fontId="28" fillId="0" borderId="0" xfId="0" applyNumberFormat="1" applyFont="1" applyAlignment="1">
      <alignment horizontal="right" indent="4"/>
    </xf>
    <xf numFmtId="164" fontId="28" fillId="0" borderId="0" xfId="0" applyNumberFormat="1" applyFont="1" applyAlignment="1">
      <alignment horizontal="center"/>
    </xf>
    <xf numFmtId="164" fontId="28" fillId="0" borderId="0" xfId="0" applyNumberFormat="1" applyFont="1" applyAlignment="1">
      <alignment horizontal="right"/>
    </xf>
    <xf numFmtId="164" fontId="6" fillId="0" borderId="0" xfId="0" applyNumberFormat="1" applyFont="1" applyAlignment="1">
      <alignment horizontal="right" indent="4"/>
    </xf>
    <xf numFmtId="164" fontId="15" fillId="0" borderId="0" xfId="0" applyNumberFormat="1" applyFont="1" applyAlignment="1">
      <alignment horizontal="center"/>
    </xf>
    <xf numFmtId="164" fontId="6" fillId="0" borderId="12" xfId="0" applyNumberFormat="1" applyFont="1" applyBorder="1" applyAlignment="1">
      <alignment horizontal="center"/>
    </xf>
    <xf numFmtId="164" fontId="6" fillId="0" borderId="12" xfId="0" applyNumberFormat="1" applyFont="1" applyBorder="1" applyAlignment="1">
      <alignment horizontal="center" wrapText="1"/>
    </xf>
    <xf numFmtId="164" fontId="6" fillId="0" borderId="12" xfId="0" applyNumberFormat="1" applyFont="1" applyBorder="1" applyAlignment="1">
      <alignment horizontal="right" indent="4"/>
    </xf>
    <xf numFmtId="164" fontId="6" fillId="0" borderId="10" xfId="0" applyNumberFormat="1" applyFont="1" applyBorder="1"/>
    <xf numFmtId="0" fontId="6" fillId="0" borderId="0" xfId="15" applyFont="1" applyAlignment="1">
      <alignment horizontal="center" vertical="center"/>
    </xf>
    <xf numFmtId="0" fontId="6" fillId="0" borderId="1" xfId="0" applyFont="1" applyBorder="1"/>
    <xf numFmtId="0" fontId="6" fillId="4" borderId="1" xfId="0" applyFont="1" applyFill="1" applyBorder="1" applyAlignment="1">
      <alignment horizontal="left" wrapText="1"/>
    </xf>
    <xf numFmtId="0" fontId="13" fillId="2" borderId="0" xfId="4" applyFont="1" applyFill="1" applyAlignment="1">
      <alignment horizontal="center" vertical="top"/>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20" fillId="16" borderId="12" xfId="0" applyFont="1" applyFill="1" applyBorder="1" applyAlignment="1">
      <alignment horizontal="center" vertical="center"/>
    </xf>
    <xf numFmtId="0" fontId="18" fillId="0" borderId="0" xfId="0" applyFont="1" applyAlignment="1">
      <alignment horizontal="center" vertical="top"/>
    </xf>
    <xf numFmtId="0" fontId="30" fillId="0" borderId="0" xfId="0" applyFont="1" applyAlignment="1">
      <alignment vertical="center"/>
    </xf>
    <xf numFmtId="0" fontId="30" fillId="0" borderId="0" xfId="0" applyFont="1" applyAlignment="1">
      <alignment horizontal="left" vertical="center" wrapText="1"/>
    </xf>
    <xf numFmtId="0" fontId="45" fillId="0" borderId="0" xfId="0" applyFont="1" applyAlignment="1">
      <alignment vertical="center"/>
    </xf>
    <xf numFmtId="0" fontId="20" fillId="5" borderId="1" xfId="0" applyFont="1" applyFill="1" applyBorder="1" applyAlignment="1">
      <alignment vertical="top"/>
    </xf>
    <xf numFmtId="0" fontId="20" fillId="16" borderId="10" xfId="0" applyFont="1" applyFill="1" applyBorder="1" applyAlignment="1">
      <alignment horizontal="left" vertical="center"/>
    </xf>
    <xf numFmtId="0" fontId="21" fillId="0" borderId="0" xfId="0" applyFont="1" applyAlignment="1">
      <alignment horizontal="left"/>
    </xf>
    <xf numFmtId="0" fontId="23" fillId="0" borderId="0" xfId="0" applyFont="1" applyAlignment="1">
      <alignment horizontal="center"/>
    </xf>
    <xf numFmtId="164" fontId="23" fillId="0" borderId="0" xfId="0" applyNumberFormat="1" applyFont="1" applyAlignment="1">
      <alignment horizontal="center"/>
    </xf>
    <xf numFmtId="0" fontId="23" fillId="4" borderId="0" xfId="0" applyFont="1" applyFill="1" applyAlignment="1">
      <alignment horizontal="center"/>
    </xf>
    <xf numFmtId="164" fontId="23" fillId="4" borderId="0" xfId="0" applyNumberFormat="1" applyFont="1" applyFill="1" applyAlignment="1">
      <alignment horizontal="center"/>
    </xf>
    <xf numFmtId="164" fontId="21" fillId="4" borderId="0" xfId="0" applyNumberFormat="1" applyFont="1" applyFill="1" applyAlignment="1">
      <alignment horizontal="center"/>
    </xf>
    <xf numFmtId="164" fontId="21" fillId="0" borderId="0" xfId="0" applyNumberFormat="1" applyFont="1" applyAlignment="1">
      <alignment horizontal="center"/>
    </xf>
    <xf numFmtId="0" fontId="21" fillId="4" borderId="0" xfId="0" applyFont="1" applyFill="1" applyAlignment="1">
      <alignment horizontal="center"/>
    </xf>
    <xf numFmtId="0" fontId="21" fillId="4" borderId="0" xfId="0" applyFont="1" applyFill="1" applyAlignment="1">
      <alignment horizontal="left"/>
    </xf>
    <xf numFmtId="0" fontId="21" fillId="4" borderId="12" xfId="0" applyFont="1" applyFill="1" applyBorder="1" applyAlignment="1">
      <alignment horizontal="left"/>
    </xf>
    <xf numFmtId="0" fontId="23" fillId="4" borderId="12" xfId="0" applyFont="1" applyFill="1" applyBorder="1" applyAlignment="1">
      <alignment horizontal="center"/>
    </xf>
    <xf numFmtId="164" fontId="21" fillId="4" borderId="12" xfId="0" applyNumberFormat="1" applyFont="1" applyFill="1" applyBorder="1" applyAlignment="1">
      <alignment horizontal="center"/>
    </xf>
    <xf numFmtId="0" fontId="21" fillId="4" borderId="12" xfId="0" applyFont="1" applyFill="1" applyBorder="1" applyAlignment="1">
      <alignment horizontal="center"/>
    </xf>
    <xf numFmtId="0" fontId="21" fillId="4" borderId="0" xfId="0" applyFont="1" applyFill="1"/>
    <xf numFmtId="164" fontId="21" fillId="4" borderId="0" xfId="0" applyNumberFormat="1" applyFont="1" applyFill="1" applyAlignment="1">
      <alignment horizontal="left"/>
    </xf>
    <xf numFmtId="14" fontId="21" fillId="4" borderId="0" xfId="0" applyNumberFormat="1" applyFont="1" applyFill="1" applyAlignment="1">
      <alignment horizontal="left"/>
    </xf>
    <xf numFmtId="0" fontId="21" fillId="4" borderId="0" xfId="0" applyFont="1" applyFill="1" applyAlignment="1">
      <alignment vertical="top"/>
    </xf>
    <xf numFmtId="0" fontId="21" fillId="4" borderId="0" xfId="0" applyFont="1" applyFill="1" applyAlignment="1">
      <alignment horizontal="center" vertical="top" wrapText="1"/>
    </xf>
    <xf numFmtId="0" fontId="21" fillId="4" borderId="0" xfId="0" applyFont="1" applyFill="1" applyAlignment="1">
      <alignment horizontal="left" vertical="top" wrapText="1"/>
    </xf>
    <xf numFmtId="14" fontId="21" fillId="4" borderId="0" xfId="0" applyNumberFormat="1" applyFont="1" applyFill="1" applyAlignment="1">
      <alignment horizontal="left" wrapText="1"/>
    </xf>
    <xf numFmtId="0" fontId="21" fillId="4" borderId="0" xfId="0" applyFont="1" applyFill="1" applyAlignment="1">
      <alignment wrapText="1"/>
    </xf>
    <xf numFmtId="0" fontId="6" fillId="4" borderId="1" xfId="0" applyFont="1" applyFill="1" applyBorder="1" applyAlignment="1">
      <alignment horizontal="left" vertical="top" wrapText="1"/>
    </xf>
    <xf numFmtId="0" fontId="4" fillId="0" borderId="1" xfId="4" applyFill="1" applyBorder="1" applyAlignment="1">
      <alignment horizontal="left" vertical="top" wrapText="1"/>
    </xf>
    <xf numFmtId="0" fontId="24" fillId="0" borderId="0" xfId="0" applyFont="1" applyAlignment="1">
      <alignment horizontal="left" vertical="top"/>
    </xf>
    <xf numFmtId="0" fontId="30" fillId="0" borderId="0" xfId="0" applyFont="1" applyAlignment="1">
      <alignment horizontal="left" vertical="top"/>
    </xf>
    <xf numFmtId="164" fontId="6" fillId="4" borderId="0" xfId="3" applyNumberFormat="1" applyFont="1" applyFill="1" applyAlignment="1">
      <alignment horizontal="center"/>
    </xf>
    <xf numFmtId="0" fontId="72" fillId="0" borderId="0" xfId="0" applyFont="1" applyAlignment="1">
      <alignment vertical="center"/>
    </xf>
    <xf numFmtId="0" fontId="6" fillId="0" borderId="10" xfId="0" applyFont="1" applyBorder="1" applyAlignment="1">
      <alignment vertical="center"/>
    </xf>
    <xf numFmtId="0" fontId="29" fillId="0" borderId="0" xfId="4" applyFont="1"/>
    <xf numFmtId="0" fontId="6" fillId="4" borderId="0" xfId="0" applyFont="1" applyFill="1"/>
    <xf numFmtId="0" fontId="15" fillId="4" borderId="0" xfId="0" applyFont="1" applyFill="1"/>
    <xf numFmtId="164" fontId="15" fillId="4" borderId="0" xfId="0" applyNumberFormat="1" applyFont="1" applyFill="1"/>
    <xf numFmtId="0" fontId="20" fillId="0" borderId="0" xfId="0" applyFont="1"/>
    <xf numFmtId="164" fontId="20" fillId="0" borderId="0" xfId="0" applyNumberFormat="1" applyFont="1"/>
    <xf numFmtId="0" fontId="73" fillId="16" borderId="12" xfId="0" applyFont="1" applyFill="1" applyBorder="1" applyAlignment="1">
      <alignment horizontal="center"/>
    </xf>
    <xf numFmtId="164" fontId="73" fillId="16" borderId="12" xfId="0" applyNumberFormat="1" applyFont="1" applyFill="1" applyBorder="1" applyAlignment="1">
      <alignment horizontal="center"/>
    </xf>
    <xf numFmtId="164" fontId="21" fillId="0" borderId="0" xfId="0" applyNumberFormat="1" applyFont="1"/>
    <xf numFmtId="0" fontId="70" fillId="4" borderId="0" xfId="0" applyFont="1" applyFill="1"/>
    <xf numFmtId="0" fontId="70" fillId="2" borderId="0" xfId="0" applyFont="1" applyFill="1"/>
    <xf numFmtId="0" fontId="73" fillId="2" borderId="0" xfId="17" applyFont="1" applyFill="1" applyAlignment="1">
      <alignment horizontal="center"/>
    </xf>
    <xf numFmtId="164" fontId="70" fillId="2" borderId="0" xfId="0" applyNumberFormat="1" applyFont="1" applyFill="1" applyAlignment="1">
      <alignment horizontal="center"/>
    </xf>
    <xf numFmtId="0" fontId="70" fillId="2" borderId="0" xfId="0" applyFont="1" applyFill="1" applyAlignment="1">
      <alignment horizontal="center"/>
    </xf>
    <xf numFmtId="164" fontId="70" fillId="2" borderId="0" xfId="3" applyNumberFormat="1" applyFont="1" applyFill="1" applyBorder="1" applyAlignment="1">
      <alignment horizontal="center"/>
    </xf>
    <xf numFmtId="1" fontId="70" fillId="2" borderId="0" xfId="0" applyNumberFormat="1" applyFont="1" applyFill="1" applyAlignment="1" applyProtection="1">
      <alignment horizontal="center"/>
      <protection hidden="1"/>
    </xf>
    <xf numFmtId="1" fontId="70" fillId="2" borderId="0" xfId="3" applyNumberFormat="1" applyFont="1" applyFill="1" applyBorder="1" applyAlignment="1">
      <alignment horizontal="center"/>
    </xf>
    <xf numFmtId="0" fontId="70" fillId="4" borderId="0" xfId="0" applyFont="1" applyFill="1" applyAlignment="1">
      <alignment horizontal="center"/>
    </xf>
    <xf numFmtId="164" fontId="70" fillId="4" borderId="0" xfId="0" applyNumberFormat="1" applyFont="1" applyFill="1" applyAlignment="1">
      <alignment horizontal="center"/>
    </xf>
    <xf numFmtId="164" fontId="70" fillId="4" borderId="0" xfId="3" applyNumberFormat="1" applyFont="1" applyFill="1" applyBorder="1" applyAlignment="1">
      <alignment horizontal="center"/>
    </xf>
    <xf numFmtId="164" fontId="21" fillId="4" borderId="0" xfId="3" applyNumberFormat="1" applyFont="1" applyFill="1" applyBorder="1" applyAlignment="1">
      <alignment horizontal="center"/>
    </xf>
    <xf numFmtId="0" fontId="74" fillId="18" borderId="0" xfId="0" applyFont="1" applyFill="1" applyAlignment="1">
      <alignment horizontal="center"/>
    </xf>
    <xf numFmtId="164" fontId="74" fillId="18" borderId="0" xfId="0" applyNumberFormat="1" applyFont="1" applyFill="1" applyAlignment="1">
      <alignment horizontal="center"/>
    </xf>
    <xf numFmtId="164" fontId="21" fillId="2" borderId="0" xfId="0" applyNumberFormat="1" applyFont="1" applyFill="1" applyAlignment="1">
      <alignment horizontal="center"/>
    </xf>
    <xf numFmtId="0" fontId="23" fillId="4" borderId="0" xfId="17" applyFont="1" applyFill="1" applyAlignment="1">
      <alignment horizontal="center"/>
    </xf>
    <xf numFmtId="1" fontId="21" fillId="4" borderId="0" xfId="0" applyNumberFormat="1" applyFont="1" applyFill="1" applyAlignment="1" applyProtection="1">
      <alignment horizontal="center"/>
      <protection hidden="1"/>
    </xf>
    <xf numFmtId="0" fontId="75" fillId="18" borderId="0" xfId="0" applyFont="1" applyFill="1" applyAlignment="1">
      <alignment horizontal="center"/>
    </xf>
    <xf numFmtId="164" fontId="75" fillId="18" borderId="0" xfId="0" applyNumberFormat="1" applyFont="1" applyFill="1" applyAlignment="1">
      <alignment horizontal="center"/>
    </xf>
    <xf numFmtId="164" fontId="70" fillId="19" borderId="0" xfId="0" applyNumberFormat="1" applyFont="1" applyFill="1" applyAlignment="1" applyProtection="1">
      <alignment horizontal="center"/>
      <protection hidden="1"/>
    </xf>
    <xf numFmtId="0" fontId="74" fillId="20" borderId="0" xfId="0" applyFont="1" applyFill="1" applyAlignment="1">
      <alignment horizontal="center"/>
    </xf>
    <xf numFmtId="164" fontId="74" fillId="20" borderId="0" xfId="0" applyNumberFormat="1" applyFont="1" applyFill="1" applyAlignment="1">
      <alignment horizontal="center"/>
    </xf>
    <xf numFmtId="164" fontId="21" fillId="4" borderId="0" xfId="0" applyNumberFormat="1" applyFont="1" applyFill="1" applyAlignment="1" applyProtection="1">
      <alignment horizontal="center"/>
      <protection hidden="1"/>
    </xf>
    <xf numFmtId="0" fontId="75" fillId="0" borderId="0" xfId="0" applyFont="1" applyAlignment="1">
      <alignment horizontal="center"/>
    </xf>
    <xf numFmtId="164" fontId="75" fillId="0" borderId="0" xfId="0" applyNumberFormat="1" applyFont="1" applyAlignment="1">
      <alignment horizontal="center"/>
    </xf>
    <xf numFmtId="0" fontId="21" fillId="2" borderId="0" xfId="0" applyFont="1" applyFill="1" applyAlignment="1">
      <alignment horizontal="center"/>
    </xf>
    <xf numFmtId="164" fontId="70" fillId="19" borderId="0" xfId="3" applyNumberFormat="1" applyFont="1" applyFill="1" applyBorder="1" applyAlignment="1">
      <alignment horizontal="center"/>
    </xf>
    <xf numFmtId="164" fontId="21" fillId="4" borderId="0" xfId="0" applyNumberFormat="1" applyFont="1" applyFill="1"/>
    <xf numFmtId="0" fontId="21" fillId="4" borderId="12" xfId="0" applyFont="1" applyFill="1" applyBorder="1"/>
    <xf numFmtId="0" fontId="23" fillId="4" borderId="12" xfId="17" applyFont="1" applyFill="1" applyBorder="1" applyAlignment="1">
      <alignment horizontal="center"/>
    </xf>
    <xf numFmtId="164" fontId="21" fillId="4" borderId="12" xfId="0" applyNumberFormat="1" applyFont="1" applyFill="1" applyBorder="1"/>
    <xf numFmtId="0" fontId="73" fillId="0" borderId="0" xfId="0" applyFont="1"/>
    <xf numFmtId="0" fontId="23" fillId="0" borderId="0" xfId="0" applyFont="1"/>
    <xf numFmtId="0" fontId="73" fillId="0" borderId="12" xfId="0" applyFont="1" applyBorder="1" applyAlignment="1">
      <alignment horizontal="left"/>
    </xf>
    <xf numFmtId="0" fontId="23" fillId="0" borderId="12" xfId="0" applyFont="1" applyBorder="1"/>
    <xf numFmtId="1" fontId="73" fillId="16" borderId="11" xfId="0" applyNumberFormat="1" applyFont="1" applyFill="1" applyBorder="1" applyAlignment="1">
      <alignment horizontal="center" vertical="center"/>
    </xf>
    <xf numFmtId="0" fontId="73" fillId="16" borderId="11" xfId="0" applyFont="1" applyFill="1" applyBorder="1" applyAlignment="1">
      <alignment horizontal="center" vertical="center"/>
    </xf>
    <xf numFmtId="0" fontId="73" fillId="16" borderId="12" xfId="0" applyFont="1" applyFill="1" applyBorder="1" applyAlignment="1">
      <alignment horizontal="center" vertical="center"/>
    </xf>
    <xf numFmtId="164" fontId="73" fillId="16" borderId="12" xfId="0" applyNumberFormat="1" applyFont="1" applyFill="1" applyBorder="1" applyAlignment="1">
      <alignment horizontal="center" vertical="center"/>
    </xf>
    <xf numFmtId="164" fontId="73" fillId="16" borderId="30" xfId="0" applyNumberFormat="1" applyFont="1" applyFill="1" applyBorder="1" applyAlignment="1">
      <alignment horizontal="center" vertical="center"/>
    </xf>
    <xf numFmtId="0" fontId="73" fillId="16" borderId="31" xfId="0" applyFont="1" applyFill="1" applyBorder="1" applyAlignment="1">
      <alignment horizontal="center" vertical="center"/>
    </xf>
    <xf numFmtId="2" fontId="73" fillId="16" borderId="12" xfId="0" applyNumberFormat="1" applyFont="1" applyFill="1" applyBorder="1" applyAlignment="1">
      <alignment horizontal="center" vertical="center"/>
    </xf>
    <xf numFmtId="1" fontId="73" fillId="16" borderId="12" xfId="0" applyNumberFormat="1" applyFont="1" applyFill="1" applyBorder="1" applyAlignment="1">
      <alignment horizontal="center" vertical="center"/>
    </xf>
    <xf numFmtId="2" fontId="21" fillId="4" borderId="0" xfId="0" applyNumberFormat="1" applyFont="1" applyFill="1"/>
    <xf numFmtId="1" fontId="21" fillId="4" borderId="0" xfId="0" applyNumberFormat="1" applyFont="1" applyFill="1" applyAlignment="1">
      <alignment horizontal="center"/>
    </xf>
    <xf numFmtId="2" fontId="70" fillId="4" borderId="0" xfId="0" applyNumberFormat="1" applyFont="1" applyFill="1" applyAlignment="1">
      <alignment horizontal="center"/>
    </xf>
    <xf numFmtId="0" fontId="21" fillId="4" borderId="0" xfId="0" applyFont="1" applyFill="1" applyAlignment="1" applyProtection="1">
      <alignment horizontal="center"/>
      <protection hidden="1"/>
    </xf>
    <xf numFmtId="0" fontId="21" fillId="21" borderId="0" xfId="0" applyFont="1" applyFill="1" applyAlignment="1">
      <alignment horizontal="center"/>
    </xf>
    <xf numFmtId="164" fontId="21" fillId="21" borderId="0" xfId="0" applyNumberFormat="1" applyFont="1" applyFill="1" applyAlignment="1">
      <alignment horizontal="center"/>
    </xf>
    <xf numFmtId="2" fontId="21" fillId="21" borderId="0" xfId="0" applyNumberFormat="1" applyFont="1" applyFill="1" applyAlignment="1">
      <alignment horizontal="center"/>
    </xf>
    <xf numFmtId="0" fontId="75" fillId="18" borderId="12" xfId="0" applyFont="1" applyFill="1" applyBorder="1" applyAlignment="1">
      <alignment horizontal="center"/>
    </xf>
    <xf numFmtId="2" fontId="21" fillId="4" borderId="12" xfId="0" applyNumberFormat="1" applyFont="1" applyFill="1" applyBorder="1"/>
    <xf numFmtId="1" fontId="21" fillId="4" borderId="12" xfId="0" applyNumberFormat="1" applyFont="1" applyFill="1" applyBorder="1" applyAlignment="1">
      <alignment horizontal="center"/>
    </xf>
    <xf numFmtId="1" fontId="21" fillId="4" borderId="12" xfId="0" applyNumberFormat="1" applyFont="1" applyFill="1" applyBorder="1" applyAlignment="1" applyProtection="1">
      <alignment horizontal="center"/>
      <protection hidden="1"/>
    </xf>
    <xf numFmtId="0" fontId="50" fillId="0" borderId="5" xfId="0" applyFont="1" applyBorder="1" applyAlignment="1">
      <alignment horizontal="left" vertical="center" wrapText="1"/>
    </xf>
    <xf numFmtId="0" fontId="16" fillId="0" borderId="24" xfId="0" applyFont="1" applyBorder="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9" fillId="16" borderId="11" xfId="0" applyFont="1" applyFill="1" applyBorder="1" applyAlignment="1">
      <alignment horizontal="center" vertical="center" wrapText="1"/>
    </xf>
    <xf numFmtId="0" fontId="19" fillId="0" borderId="7" xfId="0" applyFont="1" applyBorder="1" applyAlignment="1">
      <alignment horizontal="center" vertical="center" wrapText="1"/>
    </xf>
    <xf numFmtId="0" fontId="28" fillId="0" borderId="0" xfId="0" applyFont="1" applyAlignment="1">
      <alignment horizontal="center"/>
    </xf>
    <xf numFmtId="0" fontId="28" fillId="0" borderId="0" xfId="0" applyFont="1" applyAlignment="1">
      <alignment horizontal="right"/>
    </xf>
    <xf numFmtId="0" fontId="76" fillId="0" borderId="0" xfId="0" applyFont="1" applyAlignment="1">
      <alignment horizontal="left"/>
    </xf>
    <xf numFmtId="0" fontId="76" fillId="0" borderId="0" xfId="0" applyFont="1" applyAlignment="1">
      <alignment horizontal="center"/>
    </xf>
    <xf numFmtId="0" fontId="77" fillId="0" borderId="0" xfId="0" applyFont="1" applyAlignment="1">
      <alignment horizontal="center"/>
    </xf>
    <xf numFmtId="0" fontId="28" fillId="0" borderId="0" xfId="0" applyFont="1" applyAlignment="1">
      <alignment horizontal="left" wrapText="1"/>
    </xf>
    <xf numFmtId="164" fontId="28" fillId="0" borderId="0" xfId="0" applyNumberFormat="1" applyFont="1" applyAlignment="1">
      <alignment horizontal="center" vertical="center"/>
    </xf>
    <xf numFmtId="0" fontId="76" fillId="0" borderId="0" xfId="0" applyFont="1" applyAlignment="1">
      <alignment horizontal="left" vertical="center" wrapText="1"/>
    </xf>
    <xf numFmtId="176" fontId="76" fillId="0" borderId="0" xfId="0" applyNumberFormat="1" applyFont="1" applyAlignment="1">
      <alignment horizontal="center"/>
    </xf>
    <xf numFmtId="0" fontId="28" fillId="0" borderId="0" xfId="0" applyFont="1" applyAlignment="1">
      <alignment horizontal="left" vertical="center" wrapText="1"/>
    </xf>
    <xf numFmtId="2" fontId="28" fillId="0" borderId="0" xfId="0" applyNumberFormat="1" applyFont="1" applyAlignment="1">
      <alignment horizontal="center" vertical="center"/>
    </xf>
    <xf numFmtId="176" fontId="28" fillId="0" borderId="0" xfId="0" applyNumberFormat="1" applyFont="1" applyAlignment="1">
      <alignment horizontal="center" vertical="center"/>
    </xf>
    <xf numFmtId="0" fontId="6" fillId="0" borderId="10" xfId="0" applyFont="1" applyBorder="1" applyAlignment="1">
      <alignment vertical="top"/>
    </xf>
    <xf numFmtId="0" fontId="76" fillId="0" borderId="12" xfId="0" applyFont="1" applyBorder="1" applyAlignment="1">
      <alignment horizontal="left" vertical="center" wrapText="1"/>
    </xf>
    <xf numFmtId="176" fontId="28" fillId="0" borderId="12" xfId="0" applyNumberFormat="1" applyFont="1" applyBorder="1" applyAlignment="1">
      <alignment horizontal="center" vertical="center"/>
    </xf>
    <xf numFmtId="0" fontId="40" fillId="0" borderId="0" xfId="0" applyFont="1" applyAlignment="1">
      <alignment vertical="center"/>
    </xf>
    <xf numFmtId="0" fontId="16" fillId="0" borderId="12" xfId="0" applyFont="1" applyBorder="1"/>
    <xf numFmtId="180" fontId="28" fillId="0" borderId="0" xfId="18" applyNumberFormat="1" applyFont="1" applyAlignment="1">
      <alignment horizontal="center" vertical="center"/>
    </xf>
    <xf numFmtId="180" fontId="28" fillId="0" borderId="0" xfId="0" applyNumberFormat="1" applyFont="1" applyAlignment="1">
      <alignment horizontal="center"/>
    </xf>
    <xf numFmtId="0" fontId="28" fillId="0" borderId="12" xfId="0" applyFont="1" applyBorder="1" applyAlignment="1">
      <alignment horizontal="left" vertical="center" wrapText="1"/>
    </xf>
    <xf numFmtId="180" fontId="28" fillId="0" borderId="12" xfId="0" applyNumberFormat="1" applyFont="1" applyBorder="1" applyAlignment="1">
      <alignment horizontal="center"/>
    </xf>
    <xf numFmtId="0" fontId="19" fillId="0" borderId="0" xfId="0" applyFont="1" applyAlignment="1">
      <alignment vertical="top"/>
    </xf>
    <xf numFmtId="2" fontId="6" fillId="0" borderId="0" xfId="0" applyNumberFormat="1" applyFont="1"/>
    <xf numFmtId="2" fontId="6" fillId="4" borderId="0" xfId="0" applyNumberFormat="1" applyFont="1" applyFill="1" applyAlignment="1" applyProtection="1">
      <alignment horizontal="right"/>
      <protection hidden="1"/>
    </xf>
    <xf numFmtId="2" fontId="6" fillId="0" borderId="12" xfId="0" applyNumberFormat="1" applyFont="1" applyBorder="1"/>
    <xf numFmtId="0" fontId="25" fillId="0" borderId="0" xfId="0" applyFont="1" applyAlignment="1">
      <alignment vertical="center"/>
    </xf>
    <xf numFmtId="0" fontId="4" fillId="0" borderId="1" xfId="4" applyBorder="1" applyAlignment="1">
      <alignment horizontal="left" vertical="top" wrapText="1"/>
    </xf>
    <xf numFmtId="0" fontId="20" fillId="16" borderId="12" xfId="0" applyFont="1" applyFill="1" applyBorder="1" applyAlignment="1">
      <alignment vertical="top" wrapText="1"/>
    </xf>
    <xf numFmtId="0" fontId="6" fillId="0" borderId="11" xfId="0" applyFont="1" applyBorder="1" applyAlignment="1">
      <alignment horizontal="left"/>
    </xf>
    <xf numFmtId="0" fontId="6" fillId="0" borderId="11" xfId="0" applyFont="1" applyBorder="1" applyAlignment="1">
      <alignment horizontal="center"/>
    </xf>
    <xf numFmtId="164" fontId="6" fillId="0" borderId="0" xfId="0" applyNumberFormat="1" applyFont="1" applyAlignment="1">
      <alignment horizontal="center" vertical="center"/>
    </xf>
    <xf numFmtId="164" fontId="6" fillId="0" borderId="0" xfId="0" applyNumberFormat="1" applyFont="1" applyAlignment="1">
      <alignment horizontal="right" vertical="center" indent="2"/>
    </xf>
    <xf numFmtId="164" fontId="6" fillId="0" borderId="12" xfId="0" applyNumberFormat="1" applyFont="1" applyBorder="1" applyAlignment="1">
      <alignment horizontal="center" vertical="center"/>
    </xf>
    <xf numFmtId="164" fontId="6" fillId="0" borderId="12" xfId="0" applyNumberFormat="1" applyFont="1" applyBorder="1" applyAlignment="1">
      <alignment horizontal="right" vertical="center" indent="2"/>
    </xf>
    <xf numFmtId="0" fontId="30" fillId="0" borderId="13" xfId="0" applyFont="1" applyBorder="1" applyAlignment="1">
      <alignment horizontal="center" vertical="top"/>
    </xf>
    <xf numFmtId="0" fontId="30" fillId="5" borderId="21" xfId="0" applyFont="1" applyFill="1" applyBorder="1" applyAlignment="1">
      <alignment vertical="top" wrapText="1"/>
    </xf>
    <xf numFmtId="0" fontId="6" fillId="4" borderId="0" xfId="0" applyFont="1" applyFill="1" applyAlignment="1">
      <alignment vertical="top"/>
    </xf>
    <xf numFmtId="0" fontId="6" fillId="22" borderId="0" xfId="0" applyFont="1" applyFill="1" applyAlignment="1">
      <alignment vertical="top"/>
    </xf>
    <xf numFmtId="0" fontId="6" fillId="0" borderId="3" xfId="0" applyFont="1" applyBorder="1" applyAlignment="1">
      <alignment horizontal="left" vertical="top" wrapText="1"/>
    </xf>
    <xf numFmtId="0" fontId="20" fillId="0" borderId="0" xfId="0" applyFont="1" applyAlignment="1">
      <alignment horizontal="left" vertical="center" wrapText="1"/>
    </xf>
    <xf numFmtId="164" fontId="6" fillId="0" borderId="0" xfId="0" applyNumberFormat="1" applyFont="1" applyAlignment="1">
      <alignment horizontal="right" vertical="center" indent="3"/>
    </xf>
    <xf numFmtId="164" fontId="6" fillId="0" borderId="12" xfId="0" applyNumberFormat="1" applyFont="1" applyBorder="1" applyAlignment="1">
      <alignment horizontal="right" vertical="center" indent="3"/>
    </xf>
    <xf numFmtId="0" fontId="30" fillId="5" borderId="1" xfId="0" applyFont="1" applyFill="1" applyBorder="1" applyAlignment="1">
      <alignment horizontal="left" vertical="top"/>
    </xf>
    <xf numFmtId="0" fontId="59" fillId="0" borderId="0" xfId="0" applyFont="1" applyAlignment="1">
      <alignment horizontal="center" vertical="center" wrapText="1"/>
    </xf>
    <xf numFmtId="0" fontId="6" fillId="0" borderId="0" xfId="0" applyFont="1" applyAlignment="1">
      <alignment horizontal="left" vertical="center" wrapText="1"/>
    </xf>
    <xf numFmtId="2" fontId="6" fillId="0" borderId="0" xfId="3" applyNumberFormat="1" applyFont="1" applyFill="1" applyBorder="1" applyAlignment="1">
      <alignment horizontal="right" vertical="center"/>
    </xf>
    <xf numFmtId="0" fontId="81" fillId="0" borderId="0" xfId="0" applyFont="1" applyAlignment="1">
      <alignment vertical="center" wrapText="1"/>
    </xf>
    <xf numFmtId="2" fontId="6" fillId="0" borderId="0" xfId="3" applyNumberFormat="1" applyFont="1" applyBorder="1" applyAlignment="1" applyProtection="1">
      <alignment horizontal="right" vertical="center"/>
    </xf>
    <xf numFmtId="0" fontId="81" fillId="0" borderId="0" xfId="0" applyFont="1" applyAlignment="1">
      <alignment wrapText="1"/>
    </xf>
    <xf numFmtId="0" fontId="6" fillId="0" borderId="12" xfId="0" applyFont="1" applyBorder="1" applyAlignment="1">
      <alignment horizontal="left" vertical="center"/>
    </xf>
    <xf numFmtId="4" fontId="6" fillId="0" borderId="12" xfId="3" applyNumberFormat="1" applyFont="1" applyBorder="1" applyAlignment="1" applyProtection="1">
      <alignment horizontal="right" vertical="center"/>
    </xf>
    <xf numFmtId="2" fontId="6" fillId="0" borderId="12" xfId="3" applyNumberFormat="1" applyFont="1" applyBorder="1" applyAlignment="1" applyProtection="1">
      <alignment horizontal="right" vertical="center"/>
    </xf>
    <xf numFmtId="2" fontId="6" fillId="0" borderId="0" xfId="3" applyNumberFormat="1" applyFont="1" applyBorder="1" applyAlignment="1" applyProtection="1">
      <alignment horizontal="right"/>
    </xf>
    <xf numFmtId="2" fontId="6" fillId="0" borderId="0" xfId="3" applyNumberFormat="1" applyFont="1" applyFill="1" applyBorder="1" applyAlignment="1">
      <alignment horizontal="right"/>
    </xf>
    <xf numFmtId="0" fontId="55" fillId="0" borderId="0" xfId="0" applyFont="1" applyAlignment="1">
      <alignment vertical="center"/>
    </xf>
    <xf numFmtId="0" fontId="55" fillId="0" borderId="0" xfId="0" applyFont="1"/>
    <xf numFmtId="0" fontId="28" fillId="24" borderId="1" xfId="0" applyFont="1" applyFill="1" applyBorder="1" applyAlignment="1">
      <alignment vertical="top" wrapText="1"/>
    </xf>
    <xf numFmtId="0" fontId="30" fillId="25" borderId="1" xfId="0" applyFont="1" applyFill="1" applyBorder="1" applyAlignment="1">
      <alignment vertical="top" wrapText="1"/>
    </xf>
    <xf numFmtId="0" fontId="28" fillId="0" borderId="1" xfId="0" applyFont="1" applyBorder="1" applyAlignment="1">
      <alignment wrapText="1"/>
    </xf>
    <xf numFmtId="0" fontId="20" fillId="23" borderId="1" xfId="0" applyFont="1" applyFill="1" applyBorder="1" applyAlignment="1">
      <alignment vertical="top"/>
    </xf>
    <xf numFmtId="0" fontId="20" fillId="23" borderId="1" xfId="0" applyFont="1" applyFill="1" applyBorder="1" applyAlignment="1">
      <alignment horizontal="left" vertical="top"/>
    </xf>
    <xf numFmtId="0" fontId="20" fillId="26" borderId="14" xfId="0" applyFont="1" applyFill="1" applyBorder="1" applyAlignment="1">
      <alignment horizontal="left" vertical="top"/>
    </xf>
    <xf numFmtId="0" fontId="20" fillId="26" borderId="15" xfId="0" applyFont="1" applyFill="1" applyBorder="1" applyAlignment="1">
      <alignment horizontal="left" vertical="top"/>
    </xf>
    <xf numFmtId="0" fontId="28" fillId="24" borderId="2" xfId="0" applyFont="1" applyFill="1" applyBorder="1" applyAlignment="1">
      <alignment vertical="top" wrapText="1"/>
    </xf>
    <xf numFmtId="0" fontId="29" fillId="0" borderId="1" xfId="4" applyFont="1" applyBorder="1" applyAlignment="1" applyProtection="1">
      <alignment horizontal="left" vertical="top" wrapText="1"/>
    </xf>
    <xf numFmtId="0" fontId="59" fillId="0" borderId="0" xfId="0" applyFont="1" applyAlignment="1">
      <alignment horizontal="center" vertical="center"/>
    </xf>
    <xf numFmtId="0" fontId="19" fillId="0" borderId="0" xfId="0" applyFont="1" applyAlignment="1">
      <alignment horizontal="left" vertical="center"/>
    </xf>
    <xf numFmtId="164" fontId="6" fillId="0" borderId="0" xfId="3" applyNumberFormat="1" applyFont="1" applyBorder="1" applyAlignment="1" applyProtection="1">
      <alignment horizontal="right"/>
    </xf>
    <xf numFmtId="164" fontId="28" fillId="0" borderId="0" xfId="3" applyNumberFormat="1" applyFont="1" applyBorder="1" applyAlignment="1" applyProtection="1">
      <alignment horizontal="right"/>
    </xf>
    <xf numFmtId="164" fontId="18" fillId="0" borderId="0" xfId="0" applyNumberFormat="1" applyFont="1"/>
    <xf numFmtId="0" fontId="28" fillId="0" borderId="12" xfId="0" applyFont="1" applyBorder="1" applyAlignment="1">
      <alignment horizontal="left"/>
    </xf>
    <xf numFmtId="164" fontId="28" fillId="0" borderId="12" xfId="3" applyNumberFormat="1" applyFont="1" applyBorder="1" applyAlignment="1" applyProtection="1">
      <alignment horizontal="right"/>
    </xf>
    <xf numFmtId="0" fontId="15" fillId="0" borderId="0" xfId="0" applyFont="1" applyAlignment="1">
      <alignment horizontal="left" wrapText="1"/>
    </xf>
    <xf numFmtId="2" fontId="28" fillId="0" borderId="0" xfId="3" applyNumberFormat="1" applyFont="1" applyBorder="1" applyAlignment="1">
      <alignment horizontal="right"/>
    </xf>
    <xf numFmtId="0" fontId="30" fillId="0" borderId="1" xfId="0" applyFont="1" applyBorder="1" applyAlignment="1">
      <alignment vertical="top" wrapText="1"/>
    </xf>
    <xf numFmtId="0" fontId="30" fillId="0" borderId="1" xfId="0" applyFont="1" applyBorder="1" applyAlignment="1">
      <alignment vertical="top"/>
    </xf>
    <xf numFmtId="0" fontId="29" fillId="24" borderId="2" xfId="4" applyFont="1" applyFill="1" applyBorder="1" applyAlignment="1" applyProtection="1">
      <alignment vertical="top" wrapText="1"/>
    </xf>
    <xf numFmtId="4" fontId="6" fillId="0" borderId="0" xfId="0" applyNumberFormat="1" applyFont="1" applyAlignment="1">
      <alignment horizontal="center"/>
    </xf>
    <xf numFmtId="4" fontId="6" fillId="0" borderId="0" xfId="0" applyNumberFormat="1" applyFont="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4" fontId="6" fillId="0" borderId="12" xfId="0" applyNumberFormat="1" applyFont="1" applyBorder="1" applyAlignment="1">
      <alignment horizontal="center" vertical="center"/>
    </xf>
    <xf numFmtId="0" fontId="30" fillId="0" borderId="0" xfId="0" applyFont="1" applyAlignment="1">
      <alignment vertical="top"/>
    </xf>
    <xf numFmtId="0" fontId="28" fillId="28" borderId="1" xfId="0" applyFont="1" applyFill="1" applyBorder="1" applyAlignment="1">
      <alignment vertical="top" wrapText="1"/>
    </xf>
    <xf numFmtId="0" fontId="42" fillId="0" borderId="0" xfId="0" applyFont="1" applyAlignment="1">
      <alignment vertical="top" wrapText="1"/>
    </xf>
    <xf numFmtId="0" fontId="42" fillId="0" borderId="0" xfId="0" applyFont="1" applyAlignment="1">
      <alignment horizontal="center" vertical="top" wrapText="1"/>
    </xf>
    <xf numFmtId="0" fontId="6" fillId="0" borderId="0" xfId="0" applyFont="1" applyAlignment="1">
      <alignment horizontal="center" vertical="top" wrapText="1"/>
    </xf>
    <xf numFmtId="4" fontId="6" fillId="0" borderId="0" xfId="0" applyNumberFormat="1" applyFont="1" applyAlignment="1">
      <alignment horizontal="center" vertical="top"/>
    </xf>
    <xf numFmtId="16" fontId="20" fillId="16" borderId="12" xfId="0" applyNumberFormat="1" applyFont="1" applyFill="1" applyBorder="1" applyAlignment="1">
      <alignment horizontal="center" vertical="center" wrapText="1"/>
    </xf>
    <xf numFmtId="164" fontId="6" fillId="0" borderId="0" xfId="0" applyNumberFormat="1" applyFont="1" applyAlignment="1">
      <alignment horizontal="right" indent="5"/>
    </xf>
    <xf numFmtId="164" fontId="6" fillId="0" borderId="12" xfId="0" applyNumberFormat="1" applyFont="1" applyBorder="1" applyAlignment="1">
      <alignment horizontal="right" indent="5"/>
    </xf>
    <xf numFmtId="0" fontId="6" fillId="4" borderId="3" xfId="0" applyFont="1" applyFill="1" applyBorder="1" applyAlignment="1">
      <alignment vertical="top" wrapText="1"/>
    </xf>
    <xf numFmtId="0" fontId="20" fillId="0" borderId="10" xfId="0" applyFont="1" applyBorder="1" applyAlignment="1">
      <alignment horizontal="left" vertical="top"/>
    </xf>
    <xf numFmtId="0" fontId="28" fillId="0" borderId="10" xfId="0" applyFont="1" applyBorder="1" applyAlignment="1">
      <alignment vertical="top"/>
    </xf>
    <xf numFmtId="0" fontId="20" fillId="0" borderId="1" xfId="0" applyFont="1" applyBorder="1" applyAlignment="1">
      <alignment wrapText="1"/>
    </xf>
    <xf numFmtId="0" fontId="14" fillId="0" borderId="0" xfId="0" applyFont="1" applyAlignment="1">
      <alignment horizontal="left"/>
    </xf>
    <xf numFmtId="0" fontId="20" fillId="16" borderId="11" xfId="0" applyFont="1" applyFill="1" applyBorder="1" applyAlignment="1">
      <alignment horizontal="center" wrapText="1"/>
    </xf>
    <xf numFmtId="181" fontId="6" fillId="0" borderId="0" xfId="0" applyNumberFormat="1" applyFont="1" applyAlignment="1">
      <alignment horizontal="right"/>
    </xf>
    <xf numFmtId="0" fontId="28" fillId="0" borderId="12" xfId="0" applyFont="1" applyBorder="1" applyAlignment="1">
      <alignment horizontal="left" wrapText="1"/>
    </xf>
    <xf numFmtId="181" fontId="6" fillId="0" borderId="12" xfId="0" applyNumberFormat="1" applyFont="1" applyBorder="1" applyAlignment="1">
      <alignment horizontal="right"/>
    </xf>
    <xf numFmtId="0" fontId="18" fillId="0" borderId="0" xfId="0" applyFont="1" applyAlignment="1">
      <alignment horizontal="left"/>
    </xf>
    <xf numFmtId="0" fontId="18" fillId="0" borderId="0" xfId="0" applyFont="1" applyAlignment="1">
      <alignment horizontal="left" wrapText="1"/>
    </xf>
    <xf numFmtId="0" fontId="6" fillId="0" borderId="0" xfId="0" applyFont="1" applyAlignment="1">
      <alignment horizontal="left" vertical="top" wrapText="1"/>
    </xf>
    <xf numFmtId="0" fontId="4" fillId="0" borderId="1" xfId="4" applyFill="1" applyBorder="1" applyAlignment="1">
      <alignment horizontal="left" wrapText="1"/>
    </xf>
    <xf numFmtId="0" fontId="28" fillId="16" borderId="10" xfId="0" applyFont="1" applyFill="1" applyBorder="1"/>
    <xf numFmtId="0" fontId="28" fillId="16" borderId="12" xfId="0" applyFont="1" applyFill="1" applyBorder="1"/>
    <xf numFmtId="0" fontId="20" fillId="16" borderId="33" xfId="0" applyFont="1" applyFill="1" applyBorder="1" applyAlignment="1">
      <alignment horizontal="center" vertical="center" wrapText="1"/>
    </xf>
    <xf numFmtId="166" fontId="82" fillId="0" borderId="0" xfId="0" applyNumberFormat="1" applyFont="1" applyAlignment="1">
      <alignment horizontal="right" vertical="center"/>
    </xf>
    <xf numFmtId="166" fontId="55" fillId="0" borderId="0" xfId="0" applyNumberFormat="1" applyFont="1" applyAlignment="1">
      <alignment horizontal="right" vertical="center"/>
    </xf>
    <xf numFmtId="177" fontId="55" fillId="0" borderId="0" xfId="0" applyNumberFormat="1" applyFont="1" applyAlignment="1">
      <alignment horizontal="right" vertical="center"/>
    </xf>
    <xf numFmtId="0" fontId="28" fillId="0" borderId="0" xfId="0" applyFont="1" applyAlignment="1">
      <alignment horizontal="left" vertical="center" wrapText="1" indent="1"/>
    </xf>
    <xf numFmtId="178" fontId="55" fillId="0" borderId="0" xfId="0" applyNumberFormat="1" applyFont="1" applyAlignment="1">
      <alignment horizontal="right" vertical="center"/>
    </xf>
    <xf numFmtId="49" fontId="28" fillId="0" borderId="0" xfId="0" applyNumberFormat="1" applyFont="1" applyAlignment="1">
      <alignment horizontal="left" vertical="center" indent="1"/>
    </xf>
    <xf numFmtId="0" fontId="20" fillId="0" borderId="0" xfId="0" applyFont="1" applyAlignment="1">
      <alignment vertical="center" wrapText="1"/>
    </xf>
    <xf numFmtId="0" fontId="28" fillId="0" borderId="12" xfId="0" applyFont="1" applyBorder="1" applyAlignment="1">
      <alignment horizontal="left" vertical="center" indent="1"/>
    </xf>
    <xf numFmtId="166" fontId="55" fillId="0" borderId="12" xfId="0" applyNumberFormat="1" applyFont="1" applyBorder="1" applyAlignment="1">
      <alignment horizontal="right" vertical="center"/>
    </xf>
    <xf numFmtId="0" fontId="6" fillId="0" borderId="3" xfId="0" applyFont="1" applyBorder="1" applyAlignment="1">
      <alignment horizontal="left" wrapText="1"/>
    </xf>
    <xf numFmtId="0" fontId="16" fillId="0" borderId="0" xfId="0" applyFont="1" applyAlignment="1">
      <alignment vertical="center" wrapText="1"/>
    </xf>
    <xf numFmtId="0" fontId="16" fillId="0" borderId="0" xfId="0" applyFont="1" applyAlignment="1">
      <alignment horizontal="center" vertical="center" wrapText="1"/>
    </xf>
    <xf numFmtId="0" fontId="20" fillId="0" borderId="12" xfId="0" applyFont="1" applyBorder="1" applyAlignment="1">
      <alignment vertical="center"/>
    </xf>
    <xf numFmtId="0" fontId="20" fillId="0" borderId="12" xfId="0" applyFont="1" applyBorder="1" applyAlignment="1">
      <alignment vertical="center" wrapText="1"/>
    </xf>
    <xf numFmtId="0" fontId="20" fillId="0" borderId="12" xfId="0" applyFont="1" applyBorder="1" applyAlignment="1">
      <alignment horizontal="center" vertical="center" wrapText="1"/>
    </xf>
    <xf numFmtId="0" fontId="83" fillId="0" borderId="0" xfId="0" applyFont="1" applyAlignment="1">
      <alignment vertical="top"/>
    </xf>
    <xf numFmtId="0" fontId="82" fillId="0" borderId="0" xfId="0" applyFont="1" applyAlignment="1">
      <alignment vertical="top"/>
    </xf>
    <xf numFmtId="0" fontId="20" fillId="16" borderId="12" xfId="0" applyFont="1" applyFill="1" applyBorder="1"/>
    <xf numFmtId="0" fontId="37" fillId="0" borderId="0" xfId="19" applyFont="1" applyAlignment="1">
      <alignment horizontal="center" vertical="top" wrapText="1"/>
    </xf>
    <xf numFmtId="164" fontId="37" fillId="0" borderId="0" xfId="19" applyNumberFormat="1" applyFont="1" applyAlignment="1">
      <alignment horizontal="center" vertical="center"/>
    </xf>
    <xf numFmtId="0" fontId="37" fillId="0" borderId="12" xfId="19" applyFont="1" applyBorder="1" applyAlignment="1">
      <alignment horizontal="center" vertical="top" wrapText="1"/>
    </xf>
    <xf numFmtId="164" fontId="37" fillId="0" borderId="12" xfId="19" applyNumberFormat="1" applyFont="1" applyBorder="1" applyAlignment="1">
      <alignment horizontal="center" vertical="center"/>
    </xf>
    <xf numFmtId="0" fontId="83" fillId="0" borderId="0" xfId="0" applyFont="1" applyAlignment="1">
      <alignment horizontal="left" vertical="top"/>
    </xf>
    <xf numFmtId="0" fontId="82" fillId="0" borderId="0" xfId="0" applyFont="1" applyAlignment="1">
      <alignment horizontal="left" vertical="top"/>
    </xf>
    <xf numFmtId="0" fontId="20" fillId="0" borderId="1" xfId="0" applyFont="1" applyBorder="1" applyAlignment="1">
      <alignment horizontal="justify" vertical="top" wrapText="1"/>
    </xf>
    <xf numFmtId="0" fontId="30" fillId="5" borderId="0" xfId="0" applyFont="1" applyFill="1" applyAlignment="1">
      <alignment vertical="top" wrapText="1"/>
    </xf>
    <xf numFmtId="0" fontId="16" fillId="0" borderId="34" xfId="0" applyFont="1" applyBorder="1" applyAlignment="1">
      <alignment vertical="center" readingOrder="1"/>
    </xf>
    <xf numFmtId="0" fontId="19" fillId="0" borderId="0" xfId="0" applyFont="1" applyAlignment="1">
      <alignment horizontal="left" vertical="center" readingOrder="1"/>
    </xf>
    <xf numFmtId="0" fontId="20" fillId="16" borderId="11" xfId="0" applyFont="1" applyFill="1" applyBorder="1" applyAlignment="1">
      <alignment horizontal="center" vertical="center" wrapText="1" readingOrder="1"/>
    </xf>
    <xf numFmtId="0" fontId="20" fillId="16" borderId="10" xfId="0" applyFont="1" applyFill="1" applyBorder="1" applyAlignment="1">
      <alignment vertical="center" wrapText="1"/>
    </xf>
    <xf numFmtId="0" fontId="15" fillId="0" borderId="0" xfId="0" applyFont="1" applyAlignment="1">
      <alignment horizontal="center" vertical="center" wrapText="1"/>
    </xf>
    <xf numFmtId="164" fontId="55" fillId="0" borderId="0" xfId="0" applyNumberFormat="1" applyFont="1" applyAlignment="1">
      <alignment horizontal="center" vertical="center"/>
    </xf>
    <xf numFmtId="0" fontId="55" fillId="0" borderId="12" xfId="0" applyFont="1" applyBorder="1" applyAlignment="1">
      <alignment vertical="center"/>
    </xf>
    <xf numFmtId="164" fontId="55" fillId="0" borderId="12" xfId="0" applyNumberFormat="1" applyFont="1" applyBorder="1" applyAlignment="1">
      <alignment horizontal="center" vertical="center"/>
    </xf>
    <xf numFmtId="0" fontId="55" fillId="0" borderId="0" xfId="0" applyFont="1" applyAlignment="1">
      <alignment vertical="top"/>
    </xf>
    <xf numFmtId="0" fontId="55" fillId="0" borderId="0" xfId="0" applyFont="1" applyAlignment="1">
      <alignment horizontal="left" vertical="top"/>
    </xf>
    <xf numFmtId="0" fontId="84" fillId="0" borderId="0" xfId="0" applyFont="1" applyAlignment="1">
      <alignment vertical="top"/>
    </xf>
    <xf numFmtId="0" fontId="84" fillId="0" borderId="0" xfId="0" applyFont="1" applyAlignment="1">
      <alignment horizontal="left" vertical="top"/>
    </xf>
    <xf numFmtId="0" fontId="19" fillId="0" borderId="34" xfId="0" applyFont="1" applyBorder="1" applyAlignment="1">
      <alignment vertical="center" readingOrder="1"/>
    </xf>
    <xf numFmtId="0" fontId="55" fillId="0" borderId="0" xfId="0" applyFont="1" applyAlignment="1">
      <alignment vertical="top" wrapText="1"/>
    </xf>
    <xf numFmtId="0" fontId="84" fillId="0" borderId="0" xfId="0" applyFont="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 xfId="0" applyFont="1" applyBorder="1" applyAlignment="1">
      <alignment wrapText="1"/>
    </xf>
    <xf numFmtId="17" fontId="20" fillId="16" borderId="12" xfId="0" applyNumberFormat="1" applyFont="1" applyFill="1" applyBorder="1" applyAlignment="1">
      <alignment horizontal="center" vertical="center" wrapText="1"/>
    </xf>
    <xf numFmtId="164" fontId="6" fillId="0" borderId="10" xfId="0" applyNumberFormat="1" applyFont="1" applyBorder="1" applyAlignment="1">
      <alignment horizontal="right"/>
    </xf>
    <xf numFmtId="0" fontId="6" fillId="0" borderId="22" xfId="0" applyFont="1" applyBorder="1" applyAlignment="1">
      <alignment vertical="top"/>
    </xf>
    <xf numFmtId="0" fontId="6" fillId="0" borderId="12" xfId="0" applyFont="1" applyBorder="1" applyAlignment="1">
      <alignment vertical="top"/>
    </xf>
    <xf numFmtId="0" fontId="6" fillId="0" borderId="23" xfId="0" applyFont="1" applyBorder="1" applyAlignment="1">
      <alignment vertical="top"/>
    </xf>
    <xf numFmtId="0" fontId="24" fillId="0" borderId="0" xfId="0" applyFont="1" applyAlignment="1">
      <alignment horizontal="left" vertical="top" wrapText="1"/>
    </xf>
    <xf numFmtId="0" fontId="34" fillId="0" borderId="0" xfId="0" applyFont="1" applyAlignment="1">
      <alignment horizontal="left" vertical="top" wrapText="1"/>
    </xf>
    <xf numFmtId="0" fontId="28" fillId="0" borderId="12" xfId="0" applyFont="1" applyBorder="1" applyAlignment="1">
      <alignment horizontal="center" vertical="center" wrapText="1"/>
    </xf>
    <xf numFmtId="2" fontId="28" fillId="0" borderId="12" xfId="0" applyNumberFormat="1" applyFont="1" applyBorder="1" applyAlignment="1">
      <alignment horizontal="center" vertical="center" wrapText="1"/>
    </xf>
    <xf numFmtId="0" fontId="28" fillId="24" borderId="3" xfId="0" applyFont="1" applyFill="1" applyBorder="1" applyAlignment="1">
      <alignment vertical="top" wrapText="1"/>
    </xf>
    <xf numFmtId="0" fontId="29" fillId="0" borderId="1" xfId="4" applyFont="1" applyBorder="1" applyAlignment="1">
      <alignment horizontal="justify" vertical="top" wrapText="1"/>
    </xf>
    <xf numFmtId="0" fontId="6" fillId="0" borderId="1" xfId="0" applyFont="1" applyBorder="1" applyAlignment="1">
      <alignment horizontal="justify" vertical="center" wrapText="1"/>
    </xf>
    <xf numFmtId="0" fontId="6" fillId="0" borderId="1" xfId="0" applyFont="1" applyBorder="1" applyAlignment="1">
      <alignment horizontal="left" vertical="center" wrapText="1"/>
    </xf>
    <xf numFmtId="0" fontId="28" fillId="0" borderId="3" xfId="0" applyFont="1" applyBorder="1" applyAlignment="1">
      <alignment vertical="top" wrapText="1"/>
    </xf>
    <xf numFmtId="0" fontId="20" fillId="16" borderId="11" xfId="0" applyFont="1" applyFill="1" applyBorder="1" applyAlignment="1">
      <alignment horizontal="center"/>
    </xf>
    <xf numFmtId="0" fontId="6" fillId="0" borderId="12" xfId="0" applyFont="1" applyBorder="1" applyAlignment="1">
      <alignment horizontal="left" vertical="center" wrapText="1"/>
    </xf>
    <xf numFmtId="0" fontId="20" fillId="6" borderId="10" xfId="0" applyFont="1" applyFill="1" applyBorder="1" applyAlignment="1">
      <alignment horizontal="left" vertical="top"/>
    </xf>
    <xf numFmtId="0" fontId="28" fillId="4" borderId="10" xfId="0" applyFont="1" applyFill="1" applyBorder="1" applyAlignment="1">
      <alignment vertical="top" wrapText="1"/>
    </xf>
    <xf numFmtId="0" fontId="50" fillId="0" borderId="7" xfId="0" applyFont="1" applyBorder="1" applyAlignment="1">
      <alignment vertical="top" wrapText="1"/>
    </xf>
    <xf numFmtId="0" fontId="50" fillId="0" borderId="8"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24" fillId="0" borderId="0" xfId="0" applyFont="1" applyAlignment="1">
      <alignment horizontal="left"/>
    </xf>
    <xf numFmtId="3" fontId="50" fillId="0" borderId="7" xfId="0" applyNumberFormat="1" applyFont="1" applyBorder="1" applyAlignment="1">
      <alignment horizontal="left" vertical="center" wrapText="1"/>
    </xf>
    <xf numFmtId="0" fontId="45" fillId="0" borderId="0" xfId="0" applyFont="1" applyAlignment="1">
      <alignment horizontal="left"/>
    </xf>
    <xf numFmtId="3" fontId="33" fillId="0" borderId="0" xfId="0" applyNumberFormat="1" applyFont="1" applyAlignment="1">
      <alignment horizontal="left" vertical="center" wrapText="1"/>
    </xf>
    <xf numFmtId="0" fontId="37" fillId="0" borderId="10" xfId="0" applyFont="1" applyBorder="1" applyAlignment="1">
      <alignment horizontal="left" vertical="center"/>
    </xf>
    <xf numFmtId="170" fontId="37" fillId="0" borderId="10" xfId="0" applyNumberFormat="1" applyFont="1" applyBorder="1" applyAlignment="1">
      <alignment horizontal="right" vertical="center"/>
    </xf>
    <xf numFmtId="170" fontId="37" fillId="0" borderId="10" xfId="0" applyNumberFormat="1" applyFont="1" applyBorder="1" applyAlignment="1">
      <alignment horizontal="left" vertical="center"/>
    </xf>
    <xf numFmtId="170" fontId="37" fillId="0" borderId="10" xfId="0" applyNumberFormat="1" applyFont="1" applyBorder="1"/>
    <xf numFmtId="2" fontId="6" fillId="0" borderId="10" xfId="0" applyNumberFormat="1" applyFont="1" applyBorder="1"/>
    <xf numFmtId="182" fontId="37" fillId="0" borderId="10" xfId="0" applyNumberFormat="1" applyFont="1" applyBorder="1"/>
    <xf numFmtId="183" fontId="37" fillId="0" borderId="10" xfId="0" applyNumberFormat="1" applyFont="1" applyBorder="1"/>
    <xf numFmtId="0" fontId="37" fillId="0" borderId="0" xfId="0" applyFont="1" applyAlignment="1">
      <alignment horizontal="left" vertical="center"/>
    </xf>
    <xf numFmtId="170" fontId="37" fillId="0" borderId="0" xfId="0" applyNumberFormat="1" applyFont="1" applyAlignment="1">
      <alignment horizontal="right" vertical="center"/>
    </xf>
    <xf numFmtId="170" fontId="37" fillId="0" borderId="0" xfId="0" applyNumberFormat="1" applyFont="1" applyAlignment="1">
      <alignment horizontal="left" vertical="center"/>
    </xf>
    <xf numFmtId="170" fontId="37" fillId="0" borderId="0" xfId="0" applyNumberFormat="1" applyFont="1"/>
    <xf numFmtId="182" fontId="37" fillId="0" borderId="0" xfId="0" applyNumberFormat="1" applyFont="1"/>
    <xf numFmtId="183" fontId="37" fillId="0" borderId="0" xfId="0" applyNumberFormat="1" applyFont="1"/>
    <xf numFmtId="170" fontId="28" fillId="0" borderId="0" xfId="0" applyNumberFormat="1" applyFont="1" applyAlignment="1">
      <alignment horizontal="right" vertical="center"/>
    </xf>
    <xf numFmtId="170" fontId="28" fillId="0" borderId="0" xfId="0" applyNumberFormat="1" applyFont="1" applyAlignment="1">
      <alignment horizontal="left" vertical="center"/>
    </xf>
    <xf numFmtId="170" fontId="28" fillId="0" borderId="0" xfId="0" applyNumberFormat="1" applyFont="1"/>
    <xf numFmtId="2" fontId="28" fillId="0" borderId="0" xfId="0" applyNumberFormat="1" applyFont="1"/>
    <xf numFmtId="182" fontId="28" fillId="0" borderId="0" xfId="0" applyNumberFormat="1" applyFont="1"/>
    <xf numFmtId="183" fontId="28" fillId="0" borderId="0" xfId="0" applyNumberFormat="1" applyFont="1"/>
    <xf numFmtId="0" fontId="28" fillId="0" borderId="12" xfId="0" applyFont="1" applyBorder="1" applyAlignment="1">
      <alignment horizontal="left" vertical="center"/>
    </xf>
    <xf numFmtId="170" fontId="28" fillId="0" borderId="12" xfId="0" applyNumberFormat="1" applyFont="1" applyBorder="1" applyAlignment="1">
      <alignment horizontal="right" vertical="center"/>
    </xf>
    <xf numFmtId="170" fontId="28" fillId="0" borderId="12" xfId="0" applyNumberFormat="1" applyFont="1" applyBorder="1" applyAlignment="1">
      <alignment horizontal="left" vertical="center"/>
    </xf>
    <xf numFmtId="170" fontId="28" fillId="0" borderId="12" xfId="0" applyNumberFormat="1" applyFont="1" applyBorder="1"/>
    <xf numFmtId="2" fontId="28" fillId="0" borderId="12" xfId="0" applyNumberFormat="1" applyFont="1" applyBorder="1"/>
    <xf numFmtId="182" fontId="28" fillId="0" borderId="12" xfId="0" applyNumberFormat="1" applyFont="1" applyBorder="1"/>
    <xf numFmtId="183" fontId="28" fillId="0" borderId="12" xfId="0" applyNumberFormat="1" applyFont="1" applyBorder="1"/>
    <xf numFmtId="0" fontId="30" fillId="5" borderId="1" xfId="0" applyFont="1" applyFill="1" applyBorder="1" applyAlignment="1">
      <alignment wrapText="1"/>
    </xf>
    <xf numFmtId="9" fontId="6" fillId="0" borderId="0" xfId="0" applyNumberFormat="1" applyFont="1" applyAlignment="1">
      <alignment horizontal="center"/>
    </xf>
    <xf numFmtId="0" fontId="6" fillId="0" borderId="3" xfId="0" applyFont="1" applyBorder="1" applyAlignment="1">
      <alignment horizontal="left" vertical="center" wrapText="1"/>
    </xf>
    <xf numFmtId="0" fontId="29" fillId="0" borderId="1" xfId="4" applyFont="1" applyFill="1" applyBorder="1" applyAlignment="1">
      <alignment horizontal="left" vertical="center" wrapText="1"/>
    </xf>
    <xf numFmtId="0" fontId="20" fillId="29" borderId="12" xfId="20" applyFont="1" applyFill="1" applyBorder="1" applyAlignment="1">
      <alignment horizontal="center" vertical="center" wrapText="1"/>
    </xf>
    <xf numFmtId="0" fontId="28" fillId="0" borderId="0" xfId="20" applyFont="1" applyAlignment="1">
      <alignment horizontal="center" vertical="center"/>
    </xf>
    <xf numFmtId="0" fontId="28" fillId="0" borderId="0" xfId="20" applyFont="1" applyAlignment="1">
      <alignment vertical="center"/>
    </xf>
    <xf numFmtId="0" fontId="28" fillId="0" borderId="12" xfId="20" applyFont="1" applyBorder="1" applyAlignment="1">
      <alignment horizontal="center" vertical="center"/>
    </xf>
    <xf numFmtId="0" fontId="28" fillId="0" borderId="12" xfId="20" applyFont="1" applyBorder="1" applyAlignment="1">
      <alignment vertical="center"/>
    </xf>
    <xf numFmtId="0" fontId="29" fillId="0" borderId="0" xfId="4"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164" fontId="35" fillId="0" borderId="0" xfId="0" applyNumberFormat="1" applyFont="1" applyAlignment="1">
      <alignment vertical="center"/>
    </xf>
    <xf numFmtId="0" fontId="28" fillId="4" borderId="3" xfId="0" applyFont="1" applyFill="1" applyBorder="1" applyAlignment="1">
      <alignment vertical="center" wrapText="1"/>
    </xf>
    <xf numFmtId="0" fontId="28" fillId="4" borderId="1" xfId="0" applyFont="1" applyFill="1" applyBorder="1" applyAlignment="1">
      <alignment vertical="center" wrapText="1"/>
    </xf>
    <xf numFmtId="0" fontId="28" fillId="0" borderId="1" xfId="0" applyFont="1" applyBorder="1" applyAlignment="1">
      <alignment horizontal="left" vertical="center" wrapText="1"/>
    </xf>
    <xf numFmtId="0" fontId="20" fillId="5" borderId="1" xfId="0" applyFont="1" applyFill="1" applyBorder="1" applyAlignment="1">
      <alignment vertical="center" wrapText="1"/>
    </xf>
    <xf numFmtId="0" fontId="28" fillId="0" borderId="1" xfId="0" applyFont="1" applyBorder="1" applyAlignment="1">
      <alignment vertical="center" wrapText="1"/>
    </xf>
    <xf numFmtId="0" fontId="28" fillId="4" borderId="2" xfId="0" applyFont="1" applyFill="1" applyBorder="1" applyAlignment="1">
      <alignment vertical="center" wrapText="1"/>
    </xf>
    <xf numFmtId="0" fontId="6" fillId="0" borderId="3" xfId="0" applyFont="1" applyBorder="1" applyAlignment="1">
      <alignment vertical="top"/>
    </xf>
    <xf numFmtId="0" fontId="20" fillId="29" borderId="11" xfId="0" applyFont="1" applyFill="1" applyBorder="1" applyAlignment="1">
      <alignment horizontal="center" vertical="center"/>
    </xf>
    <xf numFmtId="0" fontId="20" fillId="29" borderId="11" xfId="0" applyFont="1" applyFill="1" applyBorder="1" applyAlignment="1">
      <alignment horizontal="center"/>
    </xf>
    <xf numFmtId="0" fontId="20" fillId="29" borderId="12" xfId="0" applyFont="1" applyFill="1" applyBorder="1" applyAlignment="1">
      <alignment horizontal="center"/>
    </xf>
    <xf numFmtId="0" fontId="28" fillId="0" borderId="0" xfId="0" applyFont="1" applyAlignment="1">
      <alignment horizontal="right" vertical="center" wrapText="1"/>
    </xf>
    <xf numFmtId="0" fontId="28" fillId="0" borderId="12" xfId="0" applyFont="1" applyBorder="1" applyAlignment="1">
      <alignment horizontal="right" vertical="center" wrapText="1"/>
    </xf>
    <xf numFmtId="164" fontId="28" fillId="0" borderId="12" xfId="0" applyNumberFormat="1" applyFont="1" applyBorder="1" applyAlignment="1">
      <alignment horizontal="center" vertical="center"/>
    </xf>
    <xf numFmtId="0" fontId="28" fillId="4" borderId="0" xfId="0" applyFont="1" applyFill="1" applyAlignment="1">
      <alignment vertical="center"/>
    </xf>
    <xf numFmtId="0" fontId="76" fillId="4" borderId="0" xfId="0" applyFont="1" applyFill="1" applyAlignment="1">
      <alignment vertical="center"/>
    </xf>
    <xf numFmtId="0" fontId="28" fillId="0" borderId="3" xfId="0" applyFont="1" applyBorder="1" applyAlignment="1">
      <alignment horizontal="left" vertical="center" wrapText="1"/>
    </xf>
    <xf numFmtId="0" fontId="88" fillId="0" borderId="1" xfId="4" applyFont="1" applyFill="1" applyBorder="1" applyAlignment="1">
      <alignment horizontal="left" vertical="center" wrapText="1"/>
    </xf>
    <xf numFmtId="0" fontId="44" fillId="0" borderId="0" xfId="4" applyFont="1" applyFill="1" applyAlignment="1">
      <alignment horizontal="center"/>
    </xf>
    <xf numFmtId="0" fontId="20" fillId="29" borderId="10" xfId="21" applyFont="1" applyFill="1" applyBorder="1" applyAlignment="1">
      <alignment horizontal="center" wrapText="1"/>
    </xf>
    <xf numFmtId="0" fontId="20" fillId="29" borderId="12" xfId="21" applyFont="1" applyFill="1" applyBorder="1" applyAlignment="1">
      <alignment horizontal="center" wrapText="1"/>
    </xf>
    <xf numFmtId="0" fontId="20" fillId="29" borderId="12" xfId="21" applyFont="1" applyFill="1" applyBorder="1" applyAlignment="1">
      <alignment horizontal="center" vertical="center" wrapText="1"/>
    </xf>
    <xf numFmtId="0" fontId="20" fillId="29" borderId="12" xfId="21" applyFont="1" applyFill="1" applyBorder="1" applyAlignment="1">
      <alignment horizontal="center" vertical="center"/>
    </xf>
    <xf numFmtId="166" fontId="82" fillId="0" borderId="10" xfId="0" applyNumberFormat="1" applyFont="1" applyBorder="1" applyAlignment="1">
      <alignment horizontal="right" vertical="center"/>
    </xf>
    <xf numFmtId="180" fontId="82" fillId="0" borderId="10" xfId="0" applyNumberFormat="1" applyFont="1" applyBorder="1" applyAlignment="1">
      <alignment horizontal="right" vertical="center"/>
    </xf>
    <xf numFmtId="180" fontId="55" fillId="0" borderId="0" xfId="0" applyNumberFormat="1" applyFont="1" applyAlignment="1">
      <alignment horizontal="right" vertical="center"/>
    </xf>
    <xf numFmtId="180" fontId="55" fillId="0" borderId="12" xfId="0" applyNumberFormat="1" applyFont="1" applyBorder="1" applyAlignment="1">
      <alignment horizontal="right" vertical="center"/>
    </xf>
    <xf numFmtId="180" fontId="82" fillId="0" borderId="0" xfId="0" applyNumberFormat="1" applyFont="1" applyAlignment="1">
      <alignment horizontal="right" vertical="center"/>
    </xf>
    <xf numFmtId="0" fontId="55" fillId="0" borderId="0" xfId="0" applyFont="1" applyAlignment="1">
      <alignment horizontal="left" vertical="top" wrapText="1" indent="1"/>
    </xf>
    <xf numFmtId="184" fontId="55" fillId="0" borderId="0" xfId="0" applyNumberFormat="1" applyFont="1" applyAlignment="1">
      <alignment horizontal="right" vertical="center"/>
    </xf>
    <xf numFmtId="0" fontId="20" fillId="0" borderId="0" xfId="0" applyFont="1" applyAlignment="1">
      <alignment horizontal="left" vertical="center" indent="1"/>
    </xf>
    <xf numFmtId="166" fontId="47" fillId="0" borderId="0" xfId="0" applyNumberFormat="1" applyFont="1" applyAlignment="1">
      <alignment horizontal="right" vertical="center"/>
    </xf>
    <xf numFmtId="0" fontId="20" fillId="29" borderId="10" xfId="0" applyFont="1" applyFill="1" applyBorder="1" applyAlignment="1">
      <alignment horizontal="center" vertical="center"/>
    </xf>
    <xf numFmtId="0" fontId="20" fillId="29" borderId="12" xfId="0" applyFont="1" applyFill="1" applyBorder="1" applyAlignment="1">
      <alignment horizontal="center" vertical="center"/>
    </xf>
    <xf numFmtId="1" fontId="28" fillId="0" borderId="0" xfId="0" applyNumberFormat="1" applyFont="1" applyAlignment="1">
      <alignment horizontal="center" vertical="center"/>
    </xf>
    <xf numFmtId="164" fontId="28" fillId="0" borderId="0" xfId="1" applyNumberFormat="1" applyFont="1" applyBorder="1" applyAlignment="1" applyProtection="1">
      <alignment horizontal="center" vertical="center"/>
    </xf>
    <xf numFmtId="164" fontId="28" fillId="0" borderId="0" xfId="1" applyNumberFormat="1" applyFont="1" applyFill="1" applyBorder="1" applyAlignment="1" applyProtection="1">
      <alignment horizontal="center" vertical="center"/>
    </xf>
    <xf numFmtId="1" fontId="28" fillId="0" borderId="12" xfId="0" applyNumberFormat="1" applyFont="1" applyBorder="1" applyAlignment="1">
      <alignment horizontal="center" vertical="center"/>
    </xf>
    <xf numFmtId="164" fontId="28" fillId="0" borderId="12" xfId="1" applyNumberFormat="1" applyFont="1" applyBorder="1" applyAlignment="1" applyProtection="1">
      <alignment horizontal="center" vertical="center"/>
    </xf>
    <xf numFmtId="164" fontId="28" fillId="0" borderId="12" xfId="1" applyNumberFormat="1" applyFont="1" applyFill="1" applyBorder="1" applyAlignment="1" applyProtection="1">
      <alignment horizontal="center" vertical="center"/>
    </xf>
    <xf numFmtId="0" fontId="20" fillId="29" borderId="10" xfId="8" applyFont="1" applyFill="1" applyBorder="1" applyAlignment="1">
      <alignment horizontal="center" vertical="center" wrapText="1"/>
    </xf>
    <xf numFmtId="0" fontId="20" fillId="29" borderId="0" xfId="8" applyFont="1" applyFill="1" applyAlignment="1">
      <alignment horizontal="center" vertical="center" wrapText="1"/>
    </xf>
    <xf numFmtId="0" fontId="20" fillId="29" borderId="12" xfId="8" applyFont="1" applyFill="1" applyBorder="1" applyAlignment="1">
      <alignment horizontal="center" vertical="center" wrapText="1"/>
    </xf>
    <xf numFmtId="166" fontId="28" fillId="0" borderId="0" xfId="22" applyNumberFormat="1" applyFont="1" applyAlignment="1">
      <alignment horizontal="center" vertical="center"/>
    </xf>
    <xf numFmtId="0" fontId="28" fillId="0" borderId="12" xfId="0" applyFont="1" applyBorder="1" applyAlignment="1">
      <alignment horizontal="center" vertical="center"/>
    </xf>
    <xf numFmtId="166" fontId="28" fillId="0" borderId="12" xfId="22" applyNumberFormat="1" applyFont="1" applyBorder="1" applyAlignment="1">
      <alignment horizontal="center" vertical="center"/>
    </xf>
    <xf numFmtId="0" fontId="76" fillId="0" borderId="0" xfId="0" applyFont="1" applyAlignment="1">
      <alignment vertical="center"/>
    </xf>
    <xf numFmtId="0" fontId="24" fillId="0" borderId="0" xfId="0" applyFont="1" applyAlignment="1">
      <alignment horizontal="center" vertical="center"/>
    </xf>
    <xf numFmtId="0" fontId="20" fillId="15" borderId="1" xfId="0" applyFont="1" applyFill="1" applyBorder="1" applyAlignment="1">
      <alignment vertical="top" wrapText="1"/>
    </xf>
    <xf numFmtId="0" fontId="16" fillId="0" borderId="0" xfId="0" applyFont="1"/>
    <xf numFmtId="0" fontId="20" fillId="29" borderId="11" xfId="0" applyFont="1" applyFill="1" applyBorder="1"/>
    <xf numFmtId="0" fontId="90" fillId="0" borderId="0" xfId="0" applyFont="1" applyAlignment="1">
      <alignment horizontal="left" vertical="center"/>
    </xf>
    <xf numFmtId="0" fontId="6" fillId="0" borderId="0" xfId="0" applyFont="1" applyAlignment="1">
      <alignment horizontal="right"/>
    </xf>
    <xf numFmtId="0" fontId="91" fillId="0" borderId="12" xfId="0" applyFont="1" applyBorder="1" applyAlignment="1">
      <alignment horizontal="left" vertical="center"/>
    </xf>
    <xf numFmtId="2" fontId="30" fillId="0" borderId="12" xfId="0" applyNumberFormat="1" applyFont="1" applyBorder="1" applyAlignment="1">
      <alignment horizontal="right"/>
    </xf>
    <xf numFmtId="0" fontId="30" fillId="0" borderId="12" xfId="0" applyFont="1" applyBorder="1" applyAlignment="1">
      <alignment horizontal="right"/>
    </xf>
    <xf numFmtId="0" fontId="20" fillId="29" borderId="10" xfId="0" applyFont="1" applyFill="1" applyBorder="1" applyAlignment="1">
      <alignment vertical="center"/>
    </xf>
    <xf numFmtId="0" fontId="20" fillId="29" borderId="18" xfId="0" applyFont="1" applyFill="1" applyBorder="1" applyAlignment="1">
      <alignment vertical="center"/>
    </xf>
    <xf numFmtId="0" fontId="20" fillId="29" borderId="12" xfId="11" applyFont="1" applyFill="1" applyBorder="1" applyAlignment="1" applyProtection="1">
      <alignment horizontal="center" vertical="center" wrapText="1"/>
      <protection locked="0"/>
    </xf>
    <xf numFmtId="0" fontId="20" fillId="29" borderId="19" xfId="0" applyFont="1" applyFill="1" applyBorder="1" applyAlignment="1">
      <alignment vertical="center"/>
    </xf>
    <xf numFmtId="2" fontId="28" fillId="0" borderId="0" xfId="0" applyNumberFormat="1" applyFont="1" applyAlignment="1" applyProtection="1">
      <alignment horizontal="center" vertical="center"/>
      <protection hidden="1"/>
    </xf>
    <xf numFmtId="2" fontId="28" fillId="0" borderId="12" xfId="0" applyNumberFormat="1" applyFont="1" applyBorder="1" applyAlignment="1" applyProtection="1">
      <alignment horizontal="center" vertical="center"/>
      <protection hidden="1"/>
    </xf>
    <xf numFmtId="0" fontId="30" fillId="0" borderId="0" xfId="0" applyFont="1" applyAlignment="1">
      <alignment vertical="center" wrapText="1"/>
    </xf>
    <xf numFmtId="0" fontId="18" fillId="17" borderId="0" xfId="0" applyFont="1" applyFill="1" applyAlignment="1">
      <alignment vertical="center"/>
    </xf>
    <xf numFmtId="0" fontId="20" fillId="29" borderId="0" xfId="0" applyFont="1" applyFill="1" applyAlignment="1">
      <alignment horizontal="center" vertical="center"/>
    </xf>
    <xf numFmtId="0" fontId="20" fillId="30" borderId="12" xfId="0" applyFont="1" applyFill="1" applyBorder="1" applyAlignment="1" applyProtection="1">
      <alignment horizontal="center" vertical="center" wrapText="1"/>
      <protection locked="0"/>
    </xf>
    <xf numFmtId="0" fontId="20" fillId="29" borderId="12" xfId="0" applyFont="1" applyFill="1" applyBorder="1" applyAlignment="1">
      <alignment vertical="center"/>
    </xf>
    <xf numFmtId="164" fontId="28" fillId="4" borderId="0" xfId="0" applyNumberFormat="1" applyFont="1" applyFill="1" applyAlignment="1">
      <alignment horizontal="center" vertical="center"/>
    </xf>
    <xf numFmtId="164" fontId="6" fillId="4" borderId="0" xfId="0" applyNumberFormat="1" applyFont="1" applyFill="1" applyAlignment="1">
      <alignment horizontal="center" vertical="center"/>
    </xf>
    <xf numFmtId="164" fontId="28" fillId="4" borderId="12"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13" fillId="2" borderId="0" xfId="4" applyFont="1" applyFill="1" applyAlignment="1">
      <alignment horizontal="center" vertical="center" wrapText="1"/>
    </xf>
    <xf numFmtId="0" fontId="20" fillId="29" borderId="11" xfId="0" applyFont="1" applyFill="1" applyBorder="1" applyAlignment="1">
      <alignment horizontal="center" vertical="center" wrapText="1"/>
    </xf>
    <xf numFmtId="0" fontId="28" fillId="0" borderId="12" xfId="0" applyFont="1" applyBorder="1" applyAlignment="1">
      <alignment horizontal="center"/>
    </xf>
    <xf numFmtId="0" fontId="20" fillId="5" borderId="1" xfId="0" applyFont="1" applyFill="1" applyBorder="1" applyAlignment="1">
      <alignment horizontal="left" vertical="center" wrapText="1"/>
    </xf>
    <xf numFmtId="0" fontId="28" fillId="0" borderId="1" xfId="0" applyFont="1" applyBorder="1" applyAlignment="1">
      <alignment horizontal="left" wrapText="1"/>
    </xf>
    <xf numFmtId="0" fontId="28" fillId="0" borderId="3" xfId="0" applyFont="1" applyBorder="1" applyAlignment="1">
      <alignment horizontal="left" wrapText="1"/>
    </xf>
    <xf numFmtId="0" fontId="20" fillId="29" borderId="10" xfId="0" applyFont="1" applyFill="1" applyBorder="1" applyAlignment="1">
      <alignment horizontal="center" vertical="center" wrapText="1"/>
    </xf>
    <xf numFmtId="0" fontId="20" fillId="29" borderId="12" xfId="0" applyFont="1" applyFill="1" applyBorder="1" applyAlignment="1">
      <alignment horizontal="center" vertical="center" wrapText="1"/>
    </xf>
    <xf numFmtId="0" fontId="15" fillId="0" borderId="0" xfId="0" applyFont="1" applyAlignment="1">
      <alignment horizontal="center" wrapText="1"/>
    </xf>
    <xf numFmtId="0" fontId="28" fillId="0" borderId="36" xfId="0" applyFont="1" applyBorder="1" applyAlignment="1">
      <alignment horizontal="center" vertical="center"/>
    </xf>
    <xf numFmtId="2" fontId="28" fillId="0" borderId="36" xfId="0" applyNumberFormat="1" applyFont="1" applyBorder="1" applyAlignment="1">
      <alignment horizontal="center" vertical="center"/>
    </xf>
    <xf numFmtId="2" fontId="47" fillId="0" borderId="36" xfId="0" applyNumberFormat="1" applyFont="1" applyBorder="1" applyAlignment="1">
      <alignment horizontal="center" vertical="center"/>
    </xf>
    <xf numFmtId="0" fontId="20" fillId="0" borderId="0" xfId="0" applyFont="1" applyAlignment="1">
      <alignment horizontal="left" wrapText="1"/>
    </xf>
    <xf numFmtId="0" fontId="28" fillId="0" borderId="0" xfId="0" applyFont="1" applyAlignment="1">
      <alignment horizontal="center" wrapText="1"/>
    </xf>
    <xf numFmtId="0" fontId="28" fillId="0" borderId="0" xfId="11" applyFont="1" applyAlignment="1">
      <alignment vertical="center"/>
    </xf>
    <xf numFmtId="0" fontId="34" fillId="0" borderId="0" xfId="0" applyFont="1" applyAlignment="1">
      <alignment vertical="center" wrapText="1"/>
    </xf>
    <xf numFmtId="0" fontId="33" fillId="0" borderId="0" xfId="0" applyFont="1" applyAlignment="1">
      <alignment vertical="center"/>
    </xf>
    <xf numFmtId="0" fontId="92" fillId="0" borderId="0" xfId="0" applyFont="1"/>
    <xf numFmtId="0" fontId="76" fillId="0" borderId="0" xfId="0" applyFont="1"/>
    <xf numFmtId="0" fontId="17" fillId="0" borderId="0" xfId="0" applyFont="1" applyAlignment="1">
      <alignment vertical="center"/>
    </xf>
    <xf numFmtId="2" fontId="17" fillId="0" borderId="0" xfId="0" applyNumberFormat="1" applyFont="1" applyAlignment="1">
      <alignment horizontal="center" vertical="center"/>
    </xf>
    <xf numFmtId="0" fontId="17" fillId="0" borderId="0" xfId="0" applyFont="1" applyAlignment="1">
      <alignment horizontal="right" vertical="center" wrapText="1"/>
    </xf>
    <xf numFmtId="0" fontId="28" fillId="29" borderId="10" xfId="0" applyFont="1" applyFill="1" applyBorder="1" applyAlignment="1">
      <alignment horizontal="center" vertical="center"/>
    </xf>
    <xf numFmtId="0" fontId="28" fillId="29" borderId="12" xfId="0" applyFont="1" applyFill="1" applyBorder="1" applyAlignment="1">
      <alignment horizontal="center" vertical="center"/>
    </xf>
    <xf numFmtId="3" fontId="6" fillId="0" borderId="0" xfId="0" applyNumberFormat="1" applyFont="1" applyAlignment="1">
      <alignment horizontal="center" vertical="center"/>
    </xf>
    <xf numFmtId="0" fontId="94" fillId="0" borderId="12" xfId="0" applyFont="1" applyBorder="1" applyAlignment="1">
      <alignment horizontal="center" vertical="center"/>
    </xf>
    <xf numFmtId="4" fontId="95" fillId="0" borderId="12" xfId="0" applyNumberFormat="1" applyFont="1" applyBorder="1" applyAlignment="1">
      <alignment horizontal="center" vertical="center"/>
    </xf>
    <xf numFmtId="3" fontId="96" fillId="0" borderId="12" xfId="0" applyNumberFormat="1" applyFont="1" applyBorder="1" applyAlignment="1">
      <alignment horizontal="center" vertical="center"/>
    </xf>
    <xf numFmtId="0" fontId="20" fillId="31" borderId="11" xfId="0" applyFont="1" applyFill="1" applyBorder="1" applyAlignment="1">
      <alignment horizontal="center" vertical="center"/>
    </xf>
    <xf numFmtId="0" fontId="20" fillId="31" borderId="11" xfId="0" applyFont="1" applyFill="1" applyBorder="1" applyAlignment="1">
      <alignment horizontal="center" vertical="center" wrapText="1"/>
    </xf>
    <xf numFmtId="0" fontId="30" fillId="0" borderId="0" xfId="0" applyFont="1" applyAlignment="1">
      <alignment horizontal="left"/>
    </xf>
    <xf numFmtId="0" fontId="30" fillId="6" borderId="14" xfId="0" applyFont="1" applyFill="1" applyBorder="1" applyAlignment="1">
      <alignment vertical="center" wrapText="1"/>
    </xf>
    <xf numFmtId="0" fontId="30" fillId="0" borderId="11" xfId="0" applyFont="1" applyBorder="1" applyAlignment="1">
      <alignment vertical="center" wrapText="1"/>
    </xf>
    <xf numFmtId="0" fontId="30" fillId="0" borderId="20" xfId="0" applyFont="1" applyBorder="1" applyAlignment="1">
      <alignment vertical="center" wrapText="1"/>
    </xf>
    <xf numFmtId="0" fontId="6" fillId="0" borderId="11" xfId="0" applyFont="1" applyBorder="1" applyAlignment="1">
      <alignment horizontal="left" vertical="center" wrapText="1"/>
    </xf>
    <xf numFmtId="0" fontId="30" fillId="6" borderId="11" xfId="0" applyFont="1" applyFill="1" applyBorder="1" applyAlignment="1">
      <alignment vertical="center" wrapText="1"/>
    </xf>
    <xf numFmtId="0" fontId="30" fillId="0" borderId="14" xfId="0" applyFont="1" applyBorder="1" applyAlignment="1">
      <alignment vertical="center" wrapText="1"/>
    </xf>
    <xf numFmtId="0" fontId="30" fillId="0" borderId="14" xfId="0" applyFont="1" applyBorder="1" applyAlignment="1">
      <alignment horizontal="left" vertical="center" wrapText="1"/>
    </xf>
    <xf numFmtId="0" fontId="30" fillId="6" borderId="11" xfId="0" applyFont="1" applyFill="1" applyBorder="1" applyAlignment="1">
      <alignment horizontal="left" vertical="center" wrapText="1"/>
    </xf>
    <xf numFmtId="0" fontId="30" fillId="0" borderId="11" xfId="0" applyFont="1" applyBorder="1" applyAlignment="1">
      <alignment horizontal="left" vertical="center" wrapText="1"/>
    </xf>
    <xf numFmtId="0" fontId="30" fillId="0" borderId="20" xfId="0" applyFont="1" applyBorder="1" applyAlignment="1">
      <alignment horizontal="left" vertical="center" wrapText="1"/>
    </xf>
    <xf numFmtId="0" fontId="59" fillId="0" borderId="0" xfId="0" applyFont="1" applyAlignment="1">
      <alignment horizontal="left" vertical="center" wrapText="1"/>
    </xf>
    <xf numFmtId="0" fontId="44" fillId="0" borderId="0" xfId="4"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top"/>
    </xf>
    <xf numFmtId="0" fontId="16" fillId="0" borderId="0" xfId="0" applyFont="1" applyAlignment="1">
      <alignment horizontal="left" vertical="top" wrapText="1"/>
    </xf>
    <xf numFmtId="0" fontId="24" fillId="0" borderId="0" xfId="0" applyFont="1" applyAlignment="1">
      <alignment horizontal="left" vertical="center" wrapText="1"/>
    </xf>
    <xf numFmtId="0" fontId="18" fillId="0" borderId="0" xfId="0" applyFont="1" applyAlignment="1">
      <alignment horizontal="left" vertical="center" wrapText="1"/>
    </xf>
    <xf numFmtId="0" fontId="20" fillId="31" borderId="11" xfId="19" applyFont="1" applyFill="1" applyBorder="1" applyAlignment="1">
      <alignment horizontal="left" vertical="center" wrapText="1"/>
    </xf>
    <xf numFmtId="0" fontId="20" fillId="31" borderId="11" xfId="19" applyFont="1" applyFill="1" applyBorder="1" applyAlignment="1">
      <alignment horizontal="center" vertical="center" wrapText="1"/>
    </xf>
    <xf numFmtId="0" fontId="37" fillId="0" borderId="0" xfId="19" applyFont="1" applyAlignment="1">
      <alignment horizontal="left" vertical="center" wrapText="1"/>
    </xf>
    <xf numFmtId="166" fontId="37" fillId="0" borderId="0" xfId="19" applyNumberFormat="1" applyFont="1" applyAlignment="1">
      <alignment horizontal="center" vertical="center" wrapText="1"/>
    </xf>
    <xf numFmtId="0" fontId="37" fillId="0" borderId="12" xfId="19" applyFont="1" applyBorder="1" applyAlignment="1">
      <alignment horizontal="left" vertical="center" wrapText="1"/>
    </xf>
    <xf numFmtId="166" fontId="37" fillId="0" borderId="12" xfId="19" applyNumberFormat="1" applyFont="1" applyBorder="1" applyAlignment="1">
      <alignment horizontal="center" vertical="center" wrapText="1"/>
    </xf>
    <xf numFmtId="0" fontId="30" fillId="0" borderId="13" xfId="0" applyFont="1" applyBorder="1" applyAlignment="1">
      <alignment horizontal="center" vertical="center" wrapText="1"/>
    </xf>
    <xf numFmtId="0" fontId="20" fillId="5" borderId="1" xfId="0" applyFont="1" applyFill="1" applyBorder="1" applyAlignment="1">
      <alignment horizontal="left" vertical="top" wrapText="1"/>
    </xf>
    <xf numFmtId="0" fontId="20" fillId="31" borderId="11" xfId="19" applyFont="1" applyFill="1" applyBorder="1" applyAlignment="1">
      <alignment horizontal="left" wrapText="1"/>
    </xf>
    <xf numFmtId="0" fontId="37" fillId="0" borderId="0" xfId="19" applyFont="1" applyAlignment="1">
      <alignment horizontal="left" vertical="top"/>
    </xf>
    <xf numFmtId="166" fontId="37" fillId="0" borderId="0" xfId="19" applyNumberFormat="1" applyFont="1" applyAlignment="1">
      <alignment horizontal="center" vertical="center"/>
    </xf>
    <xf numFmtId="0" fontId="37" fillId="0" borderId="12" xfId="19" applyFont="1" applyBorder="1" applyAlignment="1">
      <alignment horizontal="left" vertical="top"/>
    </xf>
    <xf numFmtId="166" fontId="37" fillId="0" borderId="12" xfId="19" applyNumberFormat="1" applyFont="1" applyBorder="1" applyAlignment="1">
      <alignment horizontal="center" vertical="center"/>
    </xf>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1" borderId="11" xfId="18" applyFont="1" applyFill="1" applyBorder="1" applyAlignment="1">
      <alignment horizontal="center" wrapText="1"/>
    </xf>
    <xf numFmtId="0" fontId="20" fillId="0" borderId="0" xfId="18" applyFont="1" applyAlignment="1">
      <alignment vertical="center"/>
    </xf>
    <xf numFmtId="185" fontId="82" fillId="0" borderId="0" xfId="18" applyNumberFormat="1" applyFont="1" applyAlignment="1">
      <alignment horizontal="right" vertical="center"/>
    </xf>
    <xf numFmtId="166" fontId="82" fillId="0" borderId="0" xfId="18" applyNumberFormat="1" applyFont="1" applyAlignment="1">
      <alignment horizontal="right" vertical="center"/>
    </xf>
    <xf numFmtId="185" fontId="55" fillId="0" borderId="0" xfId="18" applyNumberFormat="1" applyFont="1" applyAlignment="1">
      <alignment horizontal="right" vertical="center"/>
    </xf>
    <xf numFmtId="166" fontId="55" fillId="0" borderId="0" xfId="18" applyNumberFormat="1" applyFont="1" applyAlignment="1">
      <alignment horizontal="right" vertical="center"/>
    </xf>
    <xf numFmtId="0" fontId="28" fillId="0" borderId="0" xfId="18" applyFont="1" applyAlignment="1">
      <alignment horizontal="left" vertical="center" indent="1"/>
    </xf>
    <xf numFmtId="0" fontId="55" fillId="0" borderId="0" xfId="18" applyFont="1" applyAlignment="1">
      <alignment horizontal="right" vertical="center" wrapText="1"/>
    </xf>
    <xf numFmtId="0" fontId="28" fillId="0" borderId="0" xfId="18" applyFont="1" applyAlignment="1">
      <alignment horizontal="left" vertical="center" indent="2"/>
    </xf>
    <xf numFmtId="0" fontId="20" fillId="0" borderId="0" xfId="18" applyFont="1" applyAlignment="1">
      <alignment horizontal="left" vertical="center" wrapText="1"/>
    </xf>
    <xf numFmtId="0" fontId="6" fillId="0" borderId="37" xfId="0" applyFont="1" applyBorder="1"/>
    <xf numFmtId="0" fontId="28" fillId="0" borderId="0" xfId="18" applyFont="1" applyAlignment="1">
      <alignment horizontal="left" vertical="center"/>
    </xf>
    <xf numFmtId="0" fontId="20" fillId="31" borderId="10" xfId="8" applyFont="1" applyFill="1" applyBorder="1" applyAlignment="1">
      <alignment horizontal="center" vertical="center" wrapText="1"/>
    </xf>
    <xf numFmtId="0" fontId="20" fillId="31" borderId="12" xfId="8" applyFont="1" applyFill="1" applyBorder="1" applyAlignment="1">
      <alignment horizontal="center" vertical="center" wrapText="1"/>
    </xf>
    <xf numFmtId="166" fontId="6" fillId="0" borderId="0" xfId="0" applyNumberFormat="1" applyFont="1" applyAlignment="1">
      <alignment horizontal="center" vertical="center"/>
    </xf>
    <xf numFmtId="166" fontId="6" fillId="0" borderId="12" xfId="0" applyNumberFormat="1" applyFont="1" applyBorder="1" applyAlignment="1">
      <alignment horizontal="center" vertical="center"/>
    </xf>
    <xf numFmtId="0" fontId="20" fillId="31" borderId="12" xfId="0" applyFont="1" applyFill="1" applyBorder="1" applyAlignment="1">
      <alignment horizontal="center" vertical="center" wrapText="1"/>
    </xf>
    <xf numFmtId="0" fontId="6" fillId="0" borderId="0" xfId="0" applyFont="1" applyAlignment="1">
      <alignment horizontal="right" vertical="center" wrapText="1"/>
    </xf>
    <xf numFmtId="20" fontId="28" fillId="4" borderId="0" xfId="0" applyNumberFormat="1" applyFont="1" applyFill="1" applyAlignment="1">
      <alignment horizontal="right" vertical="center"/>
    </xf>
    <xf numFmtId="186" fontId="28" fillId="4" borderId="0" xfId="0" applyNumberFormat="1" applyFont="1" applyFill="1" applyAlignment="1">
      <alignment horizontal="right" vertical="center"/>
    </xf>
    <xf numFmtId="49" fontId="6" fillId="0" borderId="0" xfId="0" applyNumberFormat="1" applyFont="1" applyAlignment="1">
      <alignment horizontal="right" vertical="center" wrapText="1"/>
    </xf>
    <xf numFmtId="0" fontId="6" fillId="0" borderId="0" xfId="0" applyFont="1" applyAlignment="1">
      <alignment horizontal="left" vertical="center" wrapText="1" indent="1"/>
    </xf>
    <xf numFmtId="0" fontId="6" fillId="0" borderId="0" xfId="0" applyFont="1" applyAlignment="1">
      <alignment horizontal="left" vertical="center" wrapText="1" indent="2"/>
    </xf>
    <xf numFmtId="0" fontId="37" fillId="4" borderId="12" xfId="19" applyFont="1" applyFill="1" applyBorder="1" applyAlignment="1">
      <alignment horizontal="left" vertical="top" wrapText="1" indent="1"/>
    </xf>
    <xf numFmtId="0" fontId="6" fillId="0" borderId="12" xfId="0" applyFont="1" applyBorder="1" applyAlignment="1">
      <alignment horizontal="left" vertical="center" wrapText="1" indent="1"/>
    </xf>
    <xf numFmtId="49" fontId="6" fillId="0" borderId="12" xfId="0" applyNumberFormat="1" applyFont="1" applyBorder="1" applyAlignment="1">
      <alignment horizontal="right" vertical="center" wrapText="1"/>
    </xf>
    <xf numFmtId="49" fontId="6" fillId="0" borderId="0" xfId="0" applyNumberFormat="1" applyFont="1" applyAlignment="1">
      <alignment horizontal="center" vertical="center" wrapText="1"/>
    </xf>
    <xf numFmtId="0" fontId="6" fillId="0" borderId="12" xfId="0" applyFont="1" applyBorder="1" applyAlignment="1">
      <alignment horizontal="left" vertical="center" wrapText="1" indent="2"/>
    </xf>
    <xf numFmtId="49" fontId="6" fillId="0" borderId="12" xfId="0" applyNumberFormat="1" applyFont="1" applyBorder="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vertical="center" wrapText="1"/>
    </xf>
    <xf numFmtId="49" fontId="30" fillId="0" borderId="0" xfId="0" applyNumberFormat="1" applyFont="1" applyAlignment="1">
      <alignment horizontal="center" vertical="center"/>
    </xf>
    <xf numFmtId="20" fontId="6" fillId="0" borderId="0" xfId="0" applyNumberFormat="1" applyFont="1" applyAlignment="1">
      <alignment horizontal="center" vertical="center"/>
    </xf>
    <xf numFmtId="49" fontId="6" fillId="0" borderId="0" xfId="0" applyNumberFormat="1" applyFont="1" applyAlignment="1">
      <alignment horizontal="center" vertical="center"/>
    </xf>
    <xf numFmtId="0" fontId="16" fillId="0" borderId="12" xfId="0" applyFont="1" applyBorder="1" applyAlignment="1">
      <alignment horizontal="left" wrapText="1"/>
    </xf>
    <xf numFmtId="0" fontId="20" fillId="31" borderId="11" xfId="0" applyFont="1" applyFill="1" applyBorder="1" applyAlignment="1">
      <alignment vertical="center" wrapText="1"/>
    </xf>
    <xf numFmtId="164" fontId="6" fillId="0" borderId="0" xfId="3" applyNumberFormat="1" applyFont="1" applyFill="1" applyBorder="1" applyAlignment="1">
      <alignment horizontal="center" vertical="center"/>
    </xf>
    <xf numFmtId="164" fontId="6" fillId="0" borderId="0" xfId="3" applyNumberFormat="1" applyFont="1" applyBorder="1" applyAlignment="1">
      <alignment horizontal="center" vertical="center"/>
    </xf>
    <xf numFmtId="187" fontId="18" fillId="0" borderId="0" xfId="3" applyNumberFormat="1" applyFont="1"/>
    <xf numFmtId="187" fontId="18" fillId="0" borderId="0" xfId="3" applyNumberFormat="1" applyFont="1" applyBorder="1"/>
    <xf numFmtId="164" fontId="6" fillId="0" borderId="12" xfId="3" applyNumberFormat="1" applyFont="1" applyFill="1" applyBorder="1" applyAlignment="1">
      <alignment horizontal="center" vertical="center"/>
    </xf>
    <xf numFmtId="0" fontId="33" fillId="0" borderId="24" xfId="23" applyFont="1" applyBorder="1" applyAlignment="1">
      <alignment horizontal="left"/>
    </xf>
    <xf numFmtId="0" fontId="16" fillId="0" borderId="0" xfId="23" applyFont="1"/>
    <xf numFmtId="0" fontId="20" fillId="31" borderId="12" xfId="23" applyFont="1" applyFill="1" applyBorder="1" applyAlignment="1">
      <alignment horizontal="center" vertical="center"/>
    </xf>
    <xf numFmtId="0" fontId="28" fillId="4" borderId="0" xfId="23" applyFont="1" applyFill="1" applyAlignment="1">
      <alignment horizontal="center" vertical="center" wrapText="1"/>
    </xf>
    <xf numFmtId="184" fontId="28" fillId="4" borderId="0" xfId="2" applyNumberFormat="1" applyFont="1" applyFill="1" applyBorder="1" applyAlignment="1">
      <alignment horizontal="center" vertical="center"/>
    </xf>
    <xf numFmtId="0" fontId="28" fillId="4" borderId="12" xfId="23" applyFont="1" applyFill="1" applyBorder="1" applyAlignment="1">
      <alignment horizontal="center" vertical="center" wrapText="1"/>
    </xf>
    <xf numFmtId="184" fontId="28" fillId="4" borderId="12" xfId="2" applyNumberFormat="1" applyFont="1" applyFill="1" applyBorder="1" applyAlignment="1">
      <alignment horizontal="center" vertical="center"/>
    </xf>
    <xf numFmtId="0" fontId="28" fillId="4" borderId="0" xfId="23" applyFont="1" applyFill="1"/>
    <xf numFmtId="0" fontId="33" fillId="0" borderId="24" xfId="0" applyFont="1" applyBorder="1" applyAlignment="1">
      <alignment horizontal="left"/>
    </xf>
    <xf numFmtId="0" fontId="20" fillId="31" borderId="12" xfId="23" applyFont="1" applyFill="1" applyBorder="1" applyAlignment="1">
      <alignment horizontal="center" vertical="center" wrapText="1"/>
    </xf>
    <xf numFmtId="0" fontId="20" fillId="4" borderId="0" xfId="23" applyFont="1" applyFill="1" applyAlignment="1">
      <alignment horizontal="center" vertical="center" wrapText="1"/>
    </xf>
    <xf numFmtId="0" fontId="6" fillId="4" borderId="10" xfId="0" applyFont="1" applyFill="1" applyBorder="1"/>
    <xf numFmtId="0" fontId="6" fillId="4" borderId="16" xfId="0" applyFont="1" applyFill="1" applyBorder="1"/>
    <xf numFmtId="0" fontId="6" fillId="4" borderId="17" xfId="0" applyFont="1" applyFill="1" applyBorder="1"/>
    <xf numFmtId="188" fontId="28" fillId="4" borderId="0" xfId="2" applyNumberFormat="1" applyFont="1" applyFill="1" applyAlignment="1">
      <alignment horizontal="right" vertical="center" indent="2"/>
    </xf>
    <xf numFmtId="188" fontId="28" fillId="4" borderId="0" xfId="2" applyNumberFormat="1" applyFont="1" applyFill="1" applyBorder="1" applyAlignment="1">
      <alignment horizontal="right" vertical="center" indent="2"/>
    </xf>
    <xf numFmtId="188" fontId="28" fillId="4" borderId="21" xfId="2" applyNumberFormat="1" applyFont="1" applyFill="1" applyBorder="1" applyAlignment="1">
      <alignment horizontal="right" vertical="center" indent="2"/>
    </xf>
    <xf numFmtId="188" fontId="28" fillId="4" borderId="20" xfId="2" applyNumberFormat="1" applyFont="1" applyFill="1" applyBorder="1" applyAlignment="1">
      <alignment horizontal="right" vertical="center" indent="2"/>
    </xf>
    <xf numFmtId="0" fontId="6" fillId="6" borderId="0" xfId="0" applyFont="1" applyFill="1"/>
    <xf numFmtId="188" fontId="28" fillId="6" borderId="0" xfId="2" applyNumberFormat="1" applyFont="1" applyFill="1" applyAlignment="1">
      <alignment horizontal="right" vertical="center" indent="2"/>
    </xf>
    <xf numFmtId="188" fontId="28" fillId="6" borderId="0" xfId="2" applyNumberFormat="1" applyFont="1" applyFill="1" applyBorder="1" applyAlignment="1">
      <alignment horizontal="right" vertical="center" indent="2"/>
    </xf>
    <xf numFmtId="188" fontId="28" fillId="6" borderId="21" xfId="2" applyNumberFormat="1" applyFont="1" applyFill="1" applyBorder="1" applyAlignment="1">
      <alignment horizontal="right" vertical="center" indent="2"/>
    </xf>
    <xf numFmtId="188" fontId="28" fillId="6" borderId="20" xfId="2" applyNumberFormat="1" applyFont="1" applyFill="1" applyBorder="1" applyAlignment="1">
      <alignment horizontal="right" vertical="center" indent="2"/>
    </xf>
    <xf numFmtId="0" fontId="6" fillId="4" borderId="0" xfId="0" applyFont="1" applyFill="1" applyAlignment="1">
      <alignment horizontal="left" indent="2"/>
    </xf>
    <xf numFmtId="188" fontId="28" fillId="0" borderId="0" xfId="2" applyNumberFormat="1" applyFont="1" applyFill="1" applyBorder="1" applyAlignment="1">
      <alignment horizontal="right" vertical="center" indent="2"/>
    </xf>
    <xf numFmtId="0" fontId="6" fillId="4" borderId="12" xfId="0" applyFont="1" applyFill="1" applyBorder="1" applyAlignment="1">
      <alignment horizontal="left" indent="2"/>
    </xf>
    <xf numFmtId="188" fontId="28" fillId="4" borderId="12" xfId="2" applyNumberFormat="1" applyFont="1" applyFill="1" applyBorder="1" applyAlignment="1">
      <alignment horizontal="right" vertical="center" indent="2"/>
    </xf>
    <xf numFmtId="188" fontId="28" fillId="4" borderId="23" xfId="2" applyNumberFormat="1" applyFont="1" applyFill="1" applyBorder="1" applyAlignment="1">
      <alignment horizontal="right" vertical="center" indent="2"/>
    </xf>
    <xf numFmtId="188" fontId="28" fillId="4" borderId="22" xfId="2" applyNumberFormat="1" applyFont="1" applyFill="1" applyBorder="1" applyAlignment="1">
      <alignment horizontal="right" vertical="center" indent="2"/>
    </xf>
    <xf numFmtId="189" fontId="28" fillId="4" borderId="0" xfId="2" applyNumberFormat="1" applyFont="1" applyFill="1" applyAlignment="1">
      <alignment horizontal="right" vertical="center" indent="2"/>
    </xf>
    <xf numFmtId="0" fontId="76" fillId="4" borderId="0" xfId="23" applyFont="1" applyFill="1" applyAlignment="1">
      <alignment horizontal="left" vertical="center"/>
    </xf>
    <xf numFmtId="190" fontId="76" fillId="4" borderId="0" xfId="2" applyNumberFormat="1" applyFont="1" applyFill="1" applyAlignment="1">
      <alignment horizontal="right" vertical="center" indent="5"/>
    </xf>
    <xf numFmtId="0" fontId="16" fillId="0" borderId="0" xfId="23" applyFont="1" applyAlignment="1">
      <alignment vertical="center"/>
    </xf>
    <xf numFmtId="0" fontId="20" fillId="31" borderId="11" xfId="23" applyFont="1" applyFill="1" applyBorder="1" applyAlignment="1">
      <alignment horizontal="center" vertical="center" wrapText="1"/>
    </xf>
    <xf numFmtId="0" fontId="20" fillId="0" borderId="0" xfId="23" applyFont="1" applyAlignment="1">
      <alignment horizontal="center" vertical="center" wrapText="1"/>
    </xf>
    <xf numFmtId="0" fontId="20" fillId="4" borderId="0" xfId="23" applyFont="1" applyFill="1" applyAlignment="1">
      <alignment vertical="center"/>
    </xf>
    <xf numFmtId="190" fontId="20" fillId="4" borderId="0" xfId="2" applyNumberFormat="1" applyFont="1" applyFill="1" applyAlignment="1">
      <alignment horizontal="right" vertical="center" indent="3"/>
    </xf>
    <xf numFmtId="190" fontId="20" fillId="4" borderId="0" xfId="2" applyNumberFormat="1" applyFont="1" applyFill="1" applyAlignment="1">
      <alignment horizontal="right" vertical="center" indent="4"/>
    </xf>
    <xf numFmtId="0" fontId="28" fillId="4" borderId="0" xfId="23" applyFont="1" applyFill="1" applyAlignment="1">
      <alignment horizontal="left" vertical="center"/>
    </xf>
    <xf numFmtId="190" fontId="28" fillId="4" borderId="0" xfId="2" applyNumberFormat="1" applyFont="1" applyFill="1" applyAlignment="1">
      <alignment horizontal="right" vertical="center" indent="3"/>
    </xf>
    <xf numFmtId="190" fontId="28" fillId="4" borderId="0" xfId="2" applyNumberFormat="1" applyFont="1" applyFill="1" applyAlignment="1">
      <alignment horizontal="right" vertical="center" indent="4"/>
    </xf>
    <xf numFmtId="0" fontId="28" fillId="4" borderId="12" xfId="23" applyFont="1" applyFill="1" applyBorder="1" applyAlignment="1">
      <alignment horizontal="left" vertical="center"/>
    </xf>
    <xf numFmtId="190" fontId="28" fillId="4" borderId="12" xfId="2" applyNumberFormat="1" applyFont="1" applyFill="1" applyBorder="1" applyAlignment="1">
      <alignment horizontal="right" vertical="center" indent="3"/>
    </xf>
    <xf numFmtId="190" fontId="28" fillId="4" borderId="0" xfId="2" applyNumberFormat="1" applyFont="1" applyFill="1" applyBorder="1" applyAlignment="1">
      <alignment horizontal="right" vertical="center" indent="4"/>
    </xf>
    <xf numFmtId="0" fontId="33" fillId="0" borderId="0" xfId="0" applyFont="1" applyAlignment="1">
      <alignment horizontal="left"/>
    </xf>
    <xf numFmtId="0" fontId="33" fillId="0" borderId="0" xfId="0" applyFont="1" applyAlignment="1">
      <alignment horizontal="center"/>
    </xf>
    <xf numFmtId="0" fontId="19" fillId="4" borderId="0" xfId="23" applyFont="1" applyFill="1" applyAlignment="1">
      <alignment vertical="center"/>
    </xf>
    <xf numFmtId="41" fontId="19" fillId="4" borderId="0" xfId="2" applyFont="1" applyFill="1" applyAlignment="1">
      <alignment vertical="center"/>
    </xf>
    <xf numFmtId="41" fontId="19" fillId="4" borderId="0" xfId="2" applyFont="1" applyFill="1" applyBorder="1" applyAlignment="1">
      <alignment vertical="center"/>
    </xf>
    <xf numFmtId="41" fontId="19" fillId="0" borderId="0" xfId="2" applyFont="1" applyFill="1" applyBorder="1" applyAlignment="1">
      <alignment vertical="center"/>
    </xf>
    <xf numFmtId="41" fontId="76" fillId="4" borderId="0" xfId="2" applyFont="1" applyFill="1" applyAlignment="1">
      <alignment vertical="center"/>
    </xf>
    <xf numFmtId="41" fontId="76" fillId="4" borderId="0" xfId="2" applyFont="1" applyFill="1" applyBorder="1" applyAlignment="1">
      <alignment vertical="center"/>
    </xf>
    <xf numFmtId="0" fontId="20" fillId="31" borderId="23" xfId="23" applyFont="1" applyFill="1" applyBorder="1" applyAlignment="1">
      <alignment horizontal="center" vertical="center" wrapText="1"/>
    </xf>
    <xf numFmtId="0" fontId="20" fillId="31" borderId="1" xfId="23" applyFont="1" applyFill="1" applyBorder="1" applyAlignment="1">
      <alignment horizontal="center" vertical="center" wrapText="1"/>
    </xf>
    <xf numFmtId="191" fontId="20" fillId="4" borderId="0" xfId="2" applyNumberFormat="1" applyFont="1" applyFill="1" applyAlignment="1">
      <alignment horizontal="right" vertical="center" indent="2"/>
    </xf>
    <xf numFmtId="191" fontId="20" fillId="4" borderId="20" xfId="2" applyNumberFormat="1" applyFont="1" applyFill="1" applyBorder="1" applyAlignment="1">
      <alignment horizontal="right" vertical="center" indent="2"/>
    </xf>
    <xf numFmtId="191" fontId="20" fillId="4" borderId="10" xfId="2" applyNumberFormat="1" applyFont="1" applyFill="1" applyBorder="1" applyAlignment="1">
      <alignment horizontal="right" vertical="center" indent="2"/>
    </xf>
    <xf numFmtId="191" fontId="28" fillId="4" borderId="0" xfId="2" applyNumberFormat="1" applyFont="1" applyFill="1" applyAlignment="1">
      <alignment horizontal="right" vertical="center" indent="2"/>
    </xf>
    <xf numFmtId="191" fontId="28" fillId="4" borderId="20" xfId="2" applyNumberFormat="1" applyFont="1" applyFill="1" applyBorder="1" applyAlignment="1">
      <alignment horizontal="right" vertical="center" indent="2"/>
    </xf>
    <xf numFmtId="191" fontId="28" fillId="4" borderId="0" xfId="2" applyNumberFormat="1" applyFont="1" applyFill="1" applyBorder="1" applyAlignment="1">
      <alignment horizontal="right" vertical="center" indent="2"/>
    </xf>
    <xf numFmtId="191" fontId="20" fillId="4" borderId="0" xfId="2" applyNumberFormat="1" applyFont="1" applyFill="1" applyBorder="1" applyAlignment="1">
      <alignment horizontal="right" vertical="center" indent="2"/>
    </xf>
    <xf numFmtId="191" fontId="28" fillId="4" borderId="0" xfId="23" applyNumberFormat="1" applyFont="1" applyFill="1" applyAlignment="1">
      <alignment horizontal="right" indent="2"/>
    </xf>
    <xf numFmtId="191" fontId="28" fillId="4" borderId="12" xfId="2" applyNumberFormat="1" applyFont="1" applyFill="1" applyBorder="1" applyAlignment="1">
      <alignment horizontal="right" vertical="center" indent="2"/>
    </xf>
    <xf numFmtId="191" fontId="28" fillId="4" borderId="23" xfId="2" applyNumberFormat="1" applyFont="1" applyFill="1" applyBorder="1" applyAlignment="1">
      <alignment horizontal="right" vertical="center" indent="2"/>
    </xf>
    <xf numFmtId="191" fontId="28" fillId="4" borderId="22" xfId="2" applyNumberFormat="1" applyFont="1" applyFill="1" applyBorder="1" applyAlignment="1">
      <alignment horizontal="right" vertical="center" indent="2"/>
    </xf>
    <xf numFmtId="191" fontId="28" fillId="4" borderId="12" xfId="23" applyNumberFormat="1" applyFont="1" applyFill="1" applyBorder="1" applyAlignment="1">
      <alignment horizontal="right" indent="2"/>
    </xf>
    <xf numFmtId="187" fontId="6" fillId="4" borderId="0" xfId="3" applyNumberFormat="1" applyFont="1" applyFill="1"/>
    <xf numFmtId="0" fontId="15" fillId="0" borderId="1" xfId="0" applyFont="1" applyBorder="1" applyAlignment="1">
      <alignment vertical="top" wrapText="1"/>
    </xf>
    <xf numFmtId="0" fontId="16" fillId="0" borderId="12" xfId="0" applyFont="1" applyBorder="1" applyAlignment="1">
      <alignment vertical="center"/>
    </xf>
    <xf numFmtId="164" fontId="6" fillId="0" borderId="0" xfId="0" applyNumberFormat="1" applyFont="1" applyAlignment="1">
      <alignment horizontal="right" vertical="center" wrapText="1"/>
    </xf>
    <xf numFmtId="164" fontId="6" fillId="0" borderId="0" xfId="0" applyNumberFormat="1" applyFont="1" applyAlignment="1">
      <alignment horizontal="right" vertical="center"/>
    </xf>
    <xf numFmtId="0" fontId="31" fillId="5" borderId="1" xfId="0" applyFont="1" applyFill="1" applyBorder="1" applyAlignment="1">
      <alignment vertical="top" wrapText="1"/>
    </xf>
    <xf numFmtId="2" fontId="20" fillId="31" borderId="12" xfId="0" applyNumberFormat="1" applyFont="1" applyFill="1" applyBorder="1" applyAlignment="1">
      <alignment horizontal="center" vertical="center" wrapText="1"/>
    </xf>
    <xf numFmtId="1" fontId="28" fillId="0" borderId="12" xfId="0" applyNumberFormat="1" applyFont="1" applyBorder="1" applyAlignment="1">
      <alignment horizontal="center" wrapText="1"/>
    </xf>
    <xf numFmtId="2" fontId="15" fillId="0" borderId="0" xfId="0" applyNumberFormat="1" applyFont="1"/>
    <xf numFmtId="1" fontId="17" fillId="0" borderId="0" xfId="0" applyNumberFormat="1" applyFont="1" applyAlignment="1">
      <alignment horizontal="center"/>
    </xf>
    <xf numFmtId="2" fontId="17" fillId="0" borderId="0" xfId="0" applyNumberFormat="1" applyFont="1" applyAlignment="1">
      <alignment horizontal="center"/>
    </xf>
    <xf numFmtId="0" fontId="100" fillId="0" borderId="0" xfId="0" applyFont="1" applyAlignment="1">
      <alignment wrapText="1"/>
    </xf>
    <xf numFmtId="2" fontId="15" fillId="0" borderId="0" xfId="0" applyNumberFormat="1" applyFont="1" applyAlignment="1">
      <alignment horizontal="center"/>
    </xf>
    <xf numFmtId="0" fontId="101" fillId="0" borderId="0" xfId="0" applyFont="1"/>
    <xf numFmtId="2" fontId="101" fillId="0" borderId="0" xfId="0" applyNumberFormat="1" applyFont="1"/>
    <xf numFmtId="0" fontId="102" fillId="0" borderId="0" xfId="0" applyFont="1"/>
    <xf numFmtId="0" fontId="100" fillId="0" borderId="0" xfId="0" applyFont="1"/>
    <xf numFmtId="0" fontId="103" fillId="0" borderId="0" xfId="0" applyFont="1"/>
    <xf numFmtId="2" fontId="42" fillId="0" borderId="0" xfId="0" applyNumberFormat="1" applyFont="1" applyAlignment="1">
      <alignment vertical="top" wrapText="1"/>
    </xf>
    <xf numFmtId="1" fontId="42" fillId="0" borderId="0" xfId="0" applyNumberFormat="1" applyFont="1" applyAlignment="1">
      <alignment vertical="top"/>
    </xf>
    <xf numFmtId="1" fontId="42" fillId="0" borderId="0" xfId="0" applyNumberFormat="1" applyFont="1" applyAlignment="1">
      <alignment horizontal="center" vertical="top"/>
    </xf>
    <xf numFmtId="2" fontId="42" fillId="0" borderId="0" xfId="0" applyNumberFormat="1" applyFont="1" applyAlignment="1">
      <alignment horizontal="center" vertical="top"/>
    </xf>
    <xf numFmtId="0" fontId="86" fillId="0" borderId="0" xfId="0" applyFont="1" applyAlignment="1">
      <alignment vertical="top" wrapText="1"/>
    </xf>
    <xf numFmtId="2" fontId="6" fillId="0" borderId="0" xfId="0" applyNumberFormat="1" applyFont="1" applyAlignment="1">
      <alignment horizontal="center" vertical="top"/>
    </xf>
    <xf numFmtId="0" fontId="42" fillId="0" borderId="0" xfId="0" applyFont="1" applyAlignment="1">
      <alignment horizontal="center" vertical="top"/>
    </xf>
    <xf numFmtId="0" fontId="85" fillId="0" borderId="0" xfId="0" applyFont="1" applyAlignment="1">
      <alignment vertical="top"/>
    </xf>
    <xf numFmtId="2" fontId="85" fillId="0" borderId="0" xfId="0" applyNumberFormat="1" applyFont="1" applyAlignment="1">
      <alignment vertical="top"/>
    </xf>
    <xf numFmtId="0" fontId="104" fillId="0" borderId="0" xfId="0" applyFont="1" applyAlignment="1">
      <alignment vertical="top"/>
    </xf>
    <xf numFmtId="2" fontId="6" fillId="0" borderId="0" xfId="0" applyNumberFormat="1" applyFont="1" applyAlignment="1">
      <alignment vertical="top"/>
    </xf>
    <xf numFmtId="0" fontId="86" fillId="0" borderId="0" xfId="0" applyFont="1" applyAlignment="1">
      <alignment vertical="top"/>
    </xf>
    <xf numFmtId="0" fontId="93" fillId="0" borderId="0" xfId="0" applyFont="1" applyAlignment="1">
      <alignment vertical="top"/>
    </xf>
    <xf numFmtId="2" fontId="28" fillId="0" borderId="0" xfId="0" applyNumberFormat="1" applyFont="1" applyAlignment="1">
      <alignment vertical="top"/>
    </xf>
    <xf numFmtId="0" fontId="20" fillId="31" borderId="10" xfId="24" applyFont="1" applyFill="1" applyBorder="1" applyAlignment="1">
      <alignment horizontal="center" wrapText="1"/>
    </xf>
    <xf numFmtId="0" fontId="20" fillId="31" borderId="12" xfId="24" applyFont="1" applyFill="1" applyBorder="1" applyAlignment="1">
      <alignment horizontal="center" vertical="center" wrapText="1"/>
    </xf>
    <xf numFmtId="0" fontId="37" fillId="0" borderId="0" xfId="24" applyFont="1" applyAlignment="1">
      <alignment horizontal="left" vertical="center" wrapText="1"/>
    </xf>
    <xf numFmtId="166" fontId="37" fillId="0" borderId="0" xfId="24" applyNumberFormat="1" applyFont="1" applyAlignment="1">
      <alignment horizontal="right" vertical="center"/>
    </xf>
    <xf numFmtId="0" fontId="37" fillId="0" borderId="0" xfId="25" applyFont="1" applyAlignment="1">
      <alignment horizontal="left" vertical="top" wrapText="1"/>
    </xf>
    <xf numFmtId="166" fontId="37" fillId="0" borderId="0" xfId="25" applyNumberFormat="1" applyFont="1" applyAlignment="1">
      <alignment horizontal="right" vertical="center"/>
    </xf>
    <xf numFmtId="0" fontId="37" fillId="0" borderId="12" xfId="25" applyFont="1" applyBorder="1" applyAlignment="1">
      <alignment horizontal="left" vertical="top" wrapText="1"/>
    </xf>
    <xf numFmtId="166" fontId="37" fillId="0" borderId="12" xfId="25" applyNumberFormat="1" applyFont="1" applyBorder="1" applyAlignment="1">
      <alignment horizontal="right" vertical="center"/>
    </xf>
    <xf numFmtId="0" fontId="58" fillId="0" borderId="0" xfId="0" applyFont="1"/>
    <xf numFmtId="0" fontId="16" fillId="0" borderId="9" xfId="0" applyFont="1" applyBorder="1" applyAlignment="1">
      <alignment horizontal="left" vertical="center" wrapText="1"/>
    </xf>
    <xf numFmtId="0" fontId="16" fillId="0" borderId="0" xfId="0" applyFont="1" applyAlignment="1">
      <alignment horizontal="left" wrapText="1"/>
    </xf>
    <xf numFmtId="0" fontId="20" fillId="32" borderId="10" xfId="0" applyFont="1" applyFill="1" applyBorder="1" applyAlignment="1">
      <alignment horizontal="center" vertical="center" wrapText="1"/>
    </xf>
    <xf numFmtId="0" fontId="20" fillId="32" borderId="0" xfId="0" applyFont="1" applyFill="1" applyAlignment="1">
      <alignment horizontal="center" vertical="center" wrapText="1"/>
    </xf>
    <xf numFmtId="16" fontId="20" fillId="32" borderId="0" xfId="0" applyNumberFormat="1" applyFont="1" applyFill="1" applyAlignment="1">
      <alignment horizontal="center" vertical="center" wrapText="1"/>
    </xf>
    <xf numFmtId="0" fontId="20" fillId="32" borderId="12" xfId="0" applyFont="1" applyFill="1" applyBorder="1" applyAlignment="1">
      <alignment horizontal="center" vertical="center" wrapText="1"/>
    </xf>
    <xf numFmtId="192" fontId="28" fillId="0" borderId="0" xfId="26" applyNumberFormat="1" applyFont="1" applyBorder="1" applyAlignment="1">
      <alignment horizontal="center"/>
    </xf>
    <xf numFmtId="2" fontId="28" fillId="0" borderId="0" xfId="3" applyNumberFormat="1" applyFont="1" applyBorder="1" applyAlignment="1">
      <alignment horizontal="center"/>
    </xf>
    <xf numFmtId="187" fontId="28" fillId="0" borderId="0" xfId="3" applyNumberFormat="1" applyFont="1" applyBorder="1" applyAlignment="1">
      <alignment horizontal="center"/>
    </xf>
    <xf numFmtId="192" fontId="28" fillId="0" borderId="12" xfId="26" applyNumberFormat="1" applyFont="1" applyBorder="1" applyAlignment="1">
      <alignment horizontal="center"/>
    </xf>
    <xf numFmtId="2" fontId="28" fillId="0" borderId="12" xfId="3" applyNumberFormat="1" applyFont="1" applyBorder="1" applyAlignment="1">
      <alignment horizontal="center"/>
    </xf>
    <xf numFmtId="187" fontId="28" fillId="0" borderId="12" xfId="3" applyNumberFormat="1" applyFont="1" applyBorder="1" applyAlignment="1">
      <alignment horizontal="center"/>
    </xf>
    <xf numFmtId="0" fontId="16" fillId="0" borderId="0" xfId="0" applyFont="1" applyAlignment="1">
      <alignment vertical="center" readingOrder="1"/>
    </xf>
    <xf numFmtId="0" fontId="20" fillId="0" borderId="13" xfId="0" applyFont="1" applyBorder="1" applyAlignment="1">
      <alignment horizontal="center" vertical="center"/>
    </xf>
    <xf numFmtId="0" fontId="26" fillId="0" borderId="1" xfId="4" applyFont="1" applyBorder="1" applyAlignment="1">
      <alignment horizontal="justify" vertical="center" wrapText="1"/>
    </xf>
    <xf numFmtId="0" fontId="28" fillId="0" borderId="0" xfId="0" applyFont="1" applyAlignment="1">
      <alignment wrapText="1"/>
    </xf>
    <xf numFmtId="16" fontId="20" fillId="32" borderId="12" xfId="0" applyNumberFormat="1" applyFont="1" applyFill="1" applyBorder="1" applyAlignment="1">
      <alignment horizontal="center" vertical="center" wrapText="1"/>
    </xf>
    <xf numFmtId="2" fontId="28" fillId="0" borderId="0" xfId="0" applyNumberFormat="1" applyFont="1" applyAlignment="1">
      <alignment horizontal="center" wrapText="1"/>
    </xf>
    <xf numFmtId="2" fontId="28" fillId="0" borderId="12" xfId="0" applyNumberFormat="1" applyFont="1" applyBorder="1" applyAlignment="1">
      <alignment horizontal="center" vertical="center"/>
    </xf>
    <xf numFmtId="0" fontId="40" fillId="0" borderId="0" xfId="0" applyFont="1" applyAlignment="1">
      <alignment wrapText="1"/>
    </xf>
    <xf numFmtId="0" fontId="105" fillId="0" borderId="13" xfId="0" applyFont="1" applyBorder="1" applyAlignment="1">
      <alignment horizontal="center" vertical="center"/>
    </xf>
    <xf numFmtId="0" fontId="40" fillId="0" borderId="12" xfId="0" applyFont="1" applyBorder="1"/>
    <xf numFmtId="0" fontId="20" fillId="32" borderId="11" xfId="0" applyFont="1" applyFill="1" applyBorder="1" applyAlignment="1">
      <alignment horizontal="center" vertical="center" wrapText="1"/>
    </xf>
    <xf numFmtId="0" fontId="28" fillId="0" borderId="38" xfId="0" applyFont="1" applyBorder="1"/>
    <xf numFmtId="0" fontId="28" fillId="0" borderId="24" xfId="0" applyFont="1" applyBorder="1"/>
    <xf numFmtId="166" fontId="28" fillId="0" borderId="0" xfId="0" applyNumberFormat="1" applyFont="1" applyAlignment="1">
      <alignment horizontal="center" vertical="center" wrapText="1"/>
    </xf>
    <xf numFmtId="0" fontId="13" fillId="0" borderId="0" xfId="4" applyFont="1" applyAlignment="1">
      <alignment vertical="center"/>
    </xf>
    <xf numFmtId="0" fontId="13" fillId="0" borderId="0" xfId="4" applyFont="1" applyFill="1" applyAlignment="1">
      <alignment vertical="center" wrapText="1"/>
    </xf>
    <xf numFmtId="0" fontId="58" fillId="0" borderId="0" xfId="0" applyFont="1" applyAlignment="1">
      <alignment wrapText="1"/>
    </xf>
    <xf numFmtId="0" fontId="16" fillId="0" borderId="0" xfId="0" applyFont="1" applyAlignment="1">
      <alignment vertical="top"/>
    </xf>
    <xf numFmtId="0" fontId="28" fillId="0" borderId="0" xfId="0" applyFont="1" applyAlignment="1">
      <alignment vertical="center" wrapText="1"/>
    </xf>
    <xf numFmtId="0" fontId="20" fillId="32" borderId="0" xfId="0" applyFont="1" applyFill="1" applyAlignment="1">
      <alignment horizontal="center" vertical="top"/>
    </xf>
    <xf numFmtId="0" fontId="23" fillId="4" borderId="0" xfId="0" applyFont="1" applyFill="1" applyAlignment="1">
      <alignment horizontal="center" vertical="top"/>
    </xf>
    <xf numFmtId="2" fontId="23" fillId="0" borderId="0" xfId="0" applyNumberFormat="1" applyFont="1" applyAlignment="1">
      <alignment horizontal="center" vertical="top"/>
    </xf>
    <xf numFmtId="0" fontId="23" fillId="0" borderId="0" xfId="0" applyFont="1" applyAlignment="1">
      <alignment horizontal="center" vertical="top"/>
    </xf>
    <xf numFmtId="0" fontId="106" fillId="0" borderId="0" xfId="0" applyFont="1"/>
    <xf numFmtId="0" fontId="23" fillId="4" borderId="12" xfId="0" applyFont="1" applyFill="1" applyBorder="1" applyAlignment="1">
      <alignment horizontal="center" vertical="top"/>
    </xf>
    <xf numFmtId="2" fontId="21" fillId="4" borderId="12" xfId="0" applyNumberFormat="1" applyFont="1" applyFill="1" applyBorder="1" applyAlignment="1">
      <alignment horizontal="center"/>
    </xf>
    <xf numFmtId="2" fontId="23" fillId="4" borderId="12" xfId="18" applyNumberFormat="1" applyFont="1" applyFill="1" applyBorder="1" applyAlignment="1">
      <alignment horizontal="center" vertical="center" wrapText="1"/>
    </xf>
    <xf numFmtId="0" fontId="107"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wrapText="1"/>
    </xf>
    <xf numFmtId="0" fontId="63" fillId="0" borderId="0" xfId="0" applyFont="1" applyAlignment="1">
      <alignment vertical="center" wrapText="1"/>
    </xf>
    <xf numFmtId="0" fontId="63" fillId="0" borderId="0" xfId="0" applyFont="1" applyAlignment="1">
      <alignment horizontal="center" vertical="center"/>
    </xf>
    <xf numFmtId="164" fontId="42" fillId="0" borderId="0" xfId="0" applyNumberFormat="1" applyFont="1" applyAlignment="1">
      <alignment horizontal="center" vertical="center"/>
    </xf>
    <xf numFmtId="0" fontId="63" fillId="0" borderId="0" xfId="0" applyFont="1" applyAlignment="1">
      <alignment horizontal="center"/>
    </xf>
    <xf numFmtId="0" fontId="20" fillId="0" borderId="0" xfId="0" applyFont="1" applyAlignment="1">
      <alignment horizontal="center" vertical="top"/>
    </xf>
    <xf numFmtId="0" fontId="13" fillId="0" borderId="0" xfId="4" applyFont="1"/>
    <xf numFmtId="0" fontId="16" fillId="0" borderId="7" xfId="0" applyFont="1" applyBorder="1" applyAlignment="1">
      <alignment vertical="top" wrapText="1"/>
    </xf>
    <xf numFmtId="0" fontId="16" fillId="0" borderId="8" xfId="0" applyFont="1" applyBorder="1" applyAlignment="1">
      <alignment vertical="top" wrapText="1"/>
    </xf>
    <xf numFmtId="0" fontId="58" fillId="0" borderId="8" xfId="0" applyFont="1" applyBorder="1" applyAlignment="1">
      <alignment vertical="top" wrapText="1"/>
    </xf>
    <xf numFmtId="0" fontId="58" fillId="0" borderId="0" xfId="0" applyFont="1" applyAlignment="1">
      <alignment horizontal="center"/>
    </xf>
    <xf numFmtId="0" fontId="28" fillId="0" borderId="10" xfId="0" applyFont="1" applyBorder="1" applyAlignment="1">
      <alignment horizontal="left" vertical="center" wrapText="1"/>
    </xf>
    <xf numFmtId="0" fontId="28" fillId="0" borderId="10" xfId="0" applyFont="1" applyBorder="1" applyAlignment="1">
      <alignment horizontal="center" vertical="center" wrapText="1"/>
    </xf>
    <xf numFmtId="9" fontId="28" fillId="0" borderId="0" xfId="0" applyNumberFormat="1" applyFont="1" applyAlignment="1">
      <alignment horizontal="center" vertical="center" wrapText="1"/>
    </xf>
    <xf numFmtId="9" fontId="28" fillId="0" borderId="12" xfId="0" applyNumberFormat="1" applyFont="1" applyBorder="1" applyAlignment="1">
      <alignment horizontal="center" vertical="center" wrapText="1"/>
    </xf>
    <xf numFmtId="0" fontId="20" fillId="0" borderId="0" xfId="0" applyFont="1" applyAlignment="1">
      <alignment horizontal="center" vertical="center" wrapText="1"/>
    </xf>
    <xf numFmtId="0" fontId="108" fillId="33" borderId="0" xfId="0" applyFont="1" applyFill="1"/>
    <xf numFmtId="0" fontId="108" fillId="33" borderId="0" xfId="0" applyFont="1" applyFill="1" applyAlignment="1">
      <alignment wrapText="1"/>
    </xf>
    <xf numFmtId="0" fontId="108" fillId="33" borderId="9" xfId="0" applyFont="1" applyFill="1" applyBorder="1" applyAlignment="1">
      <alignment horizontal="center" vertical="center" wrapText="1"/>
    </xf>
    <xf numFmtId="0" fontId="108" fillId="33" borderId="0" xfId="0" applyFont="1" applyFill="1" applyAlignment="1">
      <alignment horizontal="center" vertical="center"/>
    </xf>
    <xf numFmtId="0" fontId="108" fillId="33" borderId="0" xfId="0" applyFont="1" applyFill="1" applyAlignment="1">
      <alignment horizontal="center" vertical="center" wrapText="1"/>
    </xf>
    <xf numFmtId="0" fontId="108" fillId="33" borderId="7" xfId="0" applyFont="1" applyFill="1" applyBorder="1" applyAlignment="1">
      <alignment horizontal="center" vertical="center" wrapText="1"/>
    </xf>
    <xf numFmtId="0" fontId="108" fillId="33" borderId="24" xfId="0" applyFont="1" applyFill="1" applyBorder="1" applyAlignment="1">
      <alignment horizontal="center" vertical="center"/>
    </xf>
    <xf numFmtId="0" fontId="108" fillId="33" borderId="24" xfId="0" applyFont="1" applyFill="1" applyBorder="1" applyAlignment="1">
      <alignment horizontal="center" vertical="center" wrapText="1"/>
    </xf>
    <xf numFmtId="49" fontId="108" fillId="33" borderId="24" xfId="0" applyNumberFormat="1" applyFont="1" applyFill="1" applyBorder="1" applyAlignment="1">
      <alignment horizontal="center" vertical="center" wrapText="1"/>
    </xf>
    <xf numFmtId="0" fontId="110" fillId="34" borderId="0" xfId="0" applyFont="1" applyFill="1" applyAlignment="1">
      <alignment horizontal="center" vertical="center"/>
    </xf>
    <xf numFmtId="2" fontId="110" fillId="34" borderId="0" xfId="0" applyNumberFormat="1" applyFont="1" applyFill="1" applyAlignment="1">
      <alignment horizontal="center" vertical="center"/>
    </xf>
    <xf numFmtId="0" fontId="94" fillId="0" borderId="0" xfId="0" applyFont="1" applyAlignment="1">
      <alignment wrapText="1"/>
    </xf>
    <xf numFmtId="0" fontId="94" fillId="0" borderId="0" xfId="0" applyFont="1" applyAlignment="1">
      <alignment vertical="center"/>
    </xf>
    <xf numFmtId="0" fontId="96" fillId="34" borderId="0" xfId="0" applyFont="1" applyFill="1" applyAlignment="1">
      <alignment horizontal="center" vertical="center"/>
    </xf>
    <xf numFmtId="0" fontId="94" fillId="0" borderId="0" xfId="0" applyFont="1"/>
    <xf numFmtId="0" fontId="110" fillId="0" borderId="0" xfId="0" applyFont="1" applyAlignment="1">
      <alignment horizontal="center" vertical="center"/>
    </xf>
    <xf numFmtId="2" fontId="110" fillId="0" borderId="0" xfId="0" applyNumberFormat="1" applyFont="1" applyAlignment="1">
      <alignment horizontal="center" vertical="center"/>
    </xf>
    <xf numFmtId="0" fontId="96" fillId="0" borderId="0" xfId="0" applyFont="1" applyAlignment="1">
      <alignment horizontal="center" vertical="center"/>
    </xf>
    <xf numFmtId="0" fontId="94" fillId="4" borderId="0" xfId="0" applyFont="1" applyFill="1"/>
    <xf numFmtId="0" fontId="110" fillId="35" borderId="0" xfId="0" applyFont="1" applyFill="1" applyAlignment="1">
      <alignment horizontal="center" vertical="center"/>
    </xf>
    <xf numFmtId="2" fontId="110" fillId="35" borderId="0" xfId="0" applyNumberFormat="1" applyFont="1" applyFill="1" applyAlignment="1">
      <alignment horizontal="center" vertical="center"/>
    </xf>
    <xf numFmtId="0" fontId="94" fillId="4" borderId="0" xfId="0" applyFont="1" applyFill="1" applyAlignment="1">
      <alignment wrapText="1"/>
    </xf>
    <xf numFmtId="0" fontId="94" fillId="4" borderId="0" xfId="0" applyFont="1" applyFill="1" applyAlignment="1">
      <alignment vertical="center"/>
    </xf>
    <xf numFmtId="0" fontId="96" fillId="35" borderId="0" xfId="0" applyFont="1" applyFill="1" applyAlignment="1">
      <alignment horizontal="center" vertical="center"/>
    </xf>
    <xf numFmtId="0" fontId="110" fillId="36" borderId="0" xfId="0" applyFont="1" applyFill="1" applyAlignment="1">
      <alignment horizontal="center" vertical="center"/>
    </xf>
    <xf numFmtId="2" fontId="110" fillId="36" borderId="0" xfId="0" applyNumberFormat="1" applyFont="1" applyFill="1" applyAlignment="1">
      <alignment horizontal="center" vertical="center"/>
    </xf>
    <xf numFmtId="0" fontId="96" fillId="36" borderId="0" xfId="0" applyFont="1" applyFill="1" applyAlignment="1">
      <alignment horizontal="center" vertical="center"/>
    </xf>
    <xf numFmtId="0" fontId="110" fillId="38" borderId="0" xfId="0" applyFont="1" applyFill="1" applyAlignment="1">
      <alignment horizontal="center" vertical="center"/>
    </xf>
    <xf numFmtId="2" fontId="110" fillId="38" borderId="0" xfId="0" applyNumberFormat="1" applyFont="1" applyFill="1" applyAlignment="1">
      <alignment horizontal="center" vertical="center"/>
    </xf>
    <xf numFmtId="1" fontId="110" fillId="38" borderId="0" xfId="0" applyNumberFormat="1" applyFont="1" applyFill="1" applyAlignment="1">
      <alignment horizontal="center" vertical="center"/>
    </xf>
    <xf numFmtId="0" fontId="96" fillId="38" borderId="0" xfId="0" applyFont="1" applyFill="1" applyAlignment="1">
      <alignment horizontal="center" vertical="center"/>
    </xf>
    <xf numFmtId="0" fontId="110" fillId="37" borderId="0" xfId="0" applyFont="1" applyFill="1" applyAlignment="1">
      <alignment horizontal="center" vertical="center"/>
    </xf>
    <xf numFmtId="2" fontId="110" fillId="37" borderId="0" xfId="0" applyNumberFormat="1" applyFont="1" applyFill="1" applyAlignment="1">
      <alignment horizontal="center" vertical="center"/>
    </xf>
    <xf numFmtId="1" fontId="110" fillId="37" borderId="0" xfId="0" applyNumberFormat="1" applyFont="1" applyFill="1" applyAlignment="1">
      <alignment horizontal="center" vertical="center"/>
    </xf>
    <xf numFmtId="0" fontId="96" fillId="37" borderId="0" xfId="0" applyFont="1" applyFill="1" applyAlignment="1">
      <alignment horizontal="center" vertical="center"/>
    </xf>
    <xf numFmtId="0" fontId="112" fillId="39" borderId="0" xfId="0" applyFont="1" applyFill="1" applyAlignment="1">
      <alignment horizontal="center" vertical="center" wrapText="1"/>
    </xf>
    <xf numFmtId="0" fontId="112" fillId="39" borderId="0" xfId="0" applyFont="1" applyFill="1" applyAlignment="1">
      <alignment horizontal="center" vertical="center"/>
    </xf>
    <xf numFmtId="2" fontId="112" fillId="39" borderId="0" xfId="0" applyNumberFormat="1" applyFont="1" applyFill="1" applyAlignment="1">
      <alignment horizontal="center" vertical="center"/>
    </xf>
    <xf numFmtId="0" fontId="112" fillId="0" borderId="0" xfId="0" applyFont="1" applyAlignment="1">
      <alignment wrapText="1"/>
    </xf>
    <xf numFmtId="1" fontId="112" fillId="39" borderId="0" xfId="0" applyNumberFormat="1" applyFont="1" applyFill="1" applyAlignment="1">
      <alignment horizontal="center" vertical="center"/>
    </xf>
    <xf numFmtId="0" fontId="112" fillId="0" borderId="0" xfId="0" applyFont="1" applyAlignment="1">
      <alignment vertical="center"/>
    </xf>
    <xf numFmtId="0" fontId="113" fillId="39" borderId="0" xfId="0" applyFont="1" applyFill="1" applyAlignment="1">
      <alignment horizontal="center" vertical="center"/>
    </xf>
    <xf numFmtId="0" fontId="112" fillId="40" borderId="0" xfId="0" applyFont="1" applyFill="1" applyAlignment="1">
      <alignment horizontal="center" vertical="center"/>
    </xf>
    <xf numFmtId="0" fontId="112" fillId="0" borderId="0" xfId="0" applyFont="1" applyAlignment="1">
      <alignment horizontal="center" vertical="center"/>
    </xf>
    <xf numFmtId="0" fontId="112" fillId="0" borderId="0" xfId="0" applyFont="1"/>
    <xf numFmtId="0" fontId="112" fillId="0" borderId="0" xfId="0" applyFont="1" applyAlignment="1">
      <alignment horizontal="center" vertical="center" wrapText="1"/>
    </xf>
    <xf numFmtId="2" fontId="112" fillId="0" borderId="0" xfId="0" applyNumberFormat="1" applyFont="1" applyAlignment="1">
      <alignment horizontal="center" vertical="center"/>
    </xf>
    <xf numFmtId="0" fontId="112" fillId="4" borderId="0" xfId="0" applyFont="1" applyFill="1" applyAlignment="1">
      <alignment wrapText="1"/>
    </xf>
    <xf numFmtId="0" fontId="112" fillId="0" borderId="0" xfId="0" applyFont="1" applyAlignment="1">
      <alignment horizontal="center"/>
    </xf>
    <xf numFmtId="1" fontId="112" fillId="0" borderId="0" xfId="0" applyNumberFormat="1" applyFont="1" applyAlignment="1">
      <alignment horizontal="center"/>
    </xf>
    <xf numFmtId="0" fontId="112" fillId="4" borderId="0" xfId="0" applyFont="1" applyFill="1" applyAlignment="1">
      <alignment horizontal="center"/>
    </xf>
    <xf numFmtId="2" fontId="112" fillId="0" borderId="0" xfId="0" applyNumberFormat="1" applyFont="1" applyAlignment="1">
      <alignment horizontal="center"/>
    </xf>
    <xf numFmtId="0" fontId="113" fillId="0" borderId="0" xfId="0" applyFont="1" applyAlignment="1">
      <alignment horizontal="center"/>
    </xf>
    <xf numFmtId="2" fontId="114" fillId="0" borderId="0" xfId="0" applyNumberFormat="1" applyFont="1" applyAlignment="1">
      <alignment horizontal="center"/>
    </xf>
    <xf numFmtId="0" fontId="112" fillId="41" borderId="0" xfId="0" applyFont="1" applyFill="1" applyAlignment="1">
      <alignment horizontal="center" vertical="center" wrapText="1"/>
    </xf>
    <xf numFmtId="0" fontId="112" fillId="41" borderId="0" xfId="0" applyFont="1" applyFill="1" applyAlignment="1">
      <alignment horizontal="center" vertical="center"/>
    </xf>
    <xf numFmtId="2" fontId="112" fillId="41" borderId="0" xfId="0" applyNumberFormat="1" applyFont="1" applyFill="1" applyAlignment="1">
      <alignment horizontal="center" vertical="center"/>
    </xf>
    <xf numFmtId="1" fontId="112" fillId="41" borderId="0" xfId="0" applyNumberFormat="1" applyFont="1" applyFill="1" applyAlignment="1">
      <alignment horizontal="center" vertical="center"/>
    </xf>
    <xf numFmtId="0" fontId="113" fillId="41" borderId="0" xfId="0" applyFont="1" applyFill="1" applyAlignment="1">
      <alignment horizontal="center" vertical="center"/>
    </xf>
    <xf numFmtId="0" fontId="112" fillId="42" borderId="0" xfId="0" applyFont="1" applyFill="1" applyAlignment="1">
      <alignment horizontal="center" vertical="center"/>
    </xf>
    <xf numFmtId="0" fontId="112" fillId="4" borderId="0" xfId="0" applyFont="1" applyFill="1" applyAlignment="1">
      <alignment horizontal="center" vertical="center"/>
    </xf>
    <xf numFmtId="0" fontId="112" fillId="43" borderId="0" xfId="0" applyFont="1" applyFill="1" applyAlignment="1">
      <alignment horizontal="center" vertical="center" wrapText="1"/>
    </xf>
    <xf numFmtId="0" fontId="112" fillId="43" borderId="0" xfId="0" applyFont="1" applyFill="1" applyAlignment="1">
      <alignment horizontal="center" vertical="center"/>
    </xf>
    <xf numFmtId="2" fontId="112" fillId="43" borderId="0" xfId="0" applyNumberFormat="1" applyFont="1" applyFill="1" applyAlignment="1">
      <alignment horizontal="center" vertical="center"/>
    </xf>
    <xf numFmtId="0" fontId="112" fillId="44" borderId="0" xfId="0" applyFont="1" applyFill="1" applyAlignment="1">
      <alignment horizontal="center" vertical="center"/>
    </xf>
    <xf numFmtId="1" fontId="112" fillId="43" borderId="0" xfId="0" applyNumberFormat="1" applyFont="1" applyFill="1" applyAlignment="1">
      <alignment horizontal="center" vertical="center"/>
    </xf>
    <xf numFmtId="0" fontId="113" fillId="43" borderId="0" xfId="0" applyFont="1" applyFill="1" applyAlignment="1">
      <alignment horizontal="center" vertical="center"/>
    </xf>
    <xf numFmtId="1" fontId="112" fillId="0" borderId="0" xfId="0" applyNumberFormat="1" applyFont="1" applyAlignment="1">
      <alignment horizontal="center" vertical="center"/>
    </xf>
    <xf numFmtId="0" fontId="113" fillId="0" borderId="0" xfId="0" applyFont="1" applyAlignment="1">
      <alignment horizontal="center" vertical="center"/>
    </xf>
    <xf numFmtId="0" fontId="112" fillId="45" borderId="0" xfId="0" applyFont="1" applyFill="1" applyAlignment="1">
      <alignment horizontal="center" vertical="center" wrapText="1"/>
    </xf>
    <xf numFmtId="0" fontId="112" fillId="45" borderId="0" xfId="0" applyFont="1" applyFill="1" applyAlignment="1">
      <alignment horizontal="center" vertical="center"/>
    </xf>
    <xf numFmtId="2" fontId="112" fillId="45" borderId="0" xfId="0" applyNumberFormat="1" applyFont="1" applyFill="1" applyAlignment="1">
      <alignment horizontal="center" vertical="center"/>
    </xf>
    <xf numFmtId="1" fontId="112" fillId="45" borderId="0" xfId="0" applyNumberFormat="1" applyFont="1" applyFill="1" applyAlignment="1">
      <alignment horizontal="center" vertical="center"/>
    </xf>
    <xf numFmtId="0" fontId="113" fillId="45" borderId="0" xfId="0" applyFont="1" applyFill="1" applyAlignment="1">
      <alignment horizontal="center" vertical="center"/>
    </xf>
    <xf numFmtId="0" fontId="112" fillId="46" borderId="0" xfId="0" applyFont="1" applyFill="1" applyAlignment="1">
      <alignment horizontal="center" vertical="center"/>
    </xf>
    <xf numFmtId="1" fontId="113" fillId="0" borderId="0" xfId="0" applyNumberFormat="1" applyFont="1" applyAlignment="1">
      <alignment horizontal="center"/>
    </xf>
    <xf numFmtId="2" fontId="112" fillId="4" borderId="0" xfId="0" applyNumberFormat="1" applyFont="1" applyFill="1" applyAlignment="1">
      <alignment horizontal="center"/>
    </xf>
    <xf numFmtId="0" fontId="112" fillId="47" borderId="0" xfId="0" applyFont="1" applyFill="1" applyAlignment="1">
      <alignment horizontal="center" vertical="center" wrapText="1"/>
    </xf>
    <xf numFmtId="0" fontId="112" fillId="47" borderId="0" xfId="0" applyFont="1" applyFill="1" applyAlignment="1">
      <alignment horizontal="center" vertical="center"/>
    </xf>
    <xf numFmtId="2" fontId="112" fillId="47" borderId="0" xfId="0" applyNumberFormat="1" applyFont="1" applyFill="1" applyAlignment="1">
      <alignment horizontal="center" vertical="center"/>
    </xf>
    <xf numFmtId="1" fontId="112" fillId="47" borderId="0" xfId="0" applyNumberFormat="1" applyFont="1" applyFill="1" applyAlignment="1">
      <alignment horizontal="center" vertical="center"/>
    </xf>
    <xf numFmtId="0" fontId="113" fillId="47" borderId="0" xfId="0" applyFont="1" applyFill="1" applyAlignment="1">
      <alignment horizontal="center" vertical="center"/>
    </xf>
    <xf numFmtId="0" fontId="114" fillId="47" borderId="0" xfId="0" applyFont="1" applyFill="1" applyAlignment="1">
      <alignment horizontal="center" vertical="center"/>
    </xf>
    <xf numFmtId="1" fontId="114" fillId="47" borderId="0" xfId="0" applyNumberFormat="1" applyFont="1" applyFill="1" applyAlignment="1">
      <alignment horizontal="center" vertical="center"/>
    </xf>
    <xf numFmtId="2" fontId="114" fillId="47" borderId="0" xfId="0" applyNumberFormat="1" applyFont="1" applyFill="1" applyAlignment="1">
      <alignment horizontal="center" vertical="center"/>
    </xf>
    <xf numFmtId="1" fontId="112" fillId="0" borderId="0" xfId="0" applyNumberFormat="1" applyFont="1" applyAlignment="1">
      <alignment horizontal="center" vertical="center" wrapText="1"/>
    </xf>
    <xf numFmtId="2" fontId="112" fillId="0" borderId="0" xfId="0" applyNumberFormat="1" applyFont="1" applyAlignment="1">
      <alignment horizontal="center" vertical="center" wrapText="1"/>
    </xf>
    <xf numFmtId="0" fontId="113" fillId="0" borderId="0" xfId="0" applyFont="1" applyAlignment="1">
      <alignment horizontal="center" vertical="center" wrapText="1"/>
    </xf>
    <xf numFmtId="0" fontId="112" fillId="48" borderId="0" xfId="0" applyFont="1" applyFill="1" applyAlignment="1">
      <alignment horizontal="center" vertical="center" wrapText="1"/>
    </xf>
    <xf numFmtId="0" fontId="112" fillId="48" borderId="0" xfId="0" applyFont="1" applyFill="1" applyAlignment="1">
      <alignment horizontal="center" vertical="center"/>
    </xf>
    <xf numFmtId="2" fontId="112" fillId="48" borderId="0" xfId="0" applyNumberFormat="1" applyFont="1" applyFill="1" applyAlignment="1">
      <alignment horizontal="center" vertical="center"/>
    </xf>
    <xf numFmtId="1" fontId="112" fillId="48" borderId="0" xfId="0" applyNumberFormat="1" applyFont="1" applyFill="1" applyAlignment="1">
      <alignment horizontal="center" vertical="center"/>
    </xf>
    <xf numFmtId="0" fontId="113" fillId="48" borderId="0" xfId="0" applyFont="1" applyFill="1" applyAlignment="1">
      <alignment horizontal="center" vertical="center"/>
    </xf>
    <xf numFmtId="0" fontId="112" fillId="49" borderId="0" xfId="0" applyFont="1" applyFill="1" applyAlignment="1">
      <alignment horizontal="center" vertical="center"/>
    </xf>
    <xf numFmtId="0" fontId="112" fillId="4" borderId="0" xfId="0" applyFont="1" applyFill="1" applyAlignment="1">
      <alignment horizontal="center" vertical="center" wrapText="1"/>
    </xf>
    <xf numFmtId="1" fontId="113" fillId="41" borderId="0" xfId="0" applyNumberFormat="1" applyFont="1" applyFill="1" applyAlignment="1">
      <alignment horizontal="center" vertical="center"/>
    </xf>
    <xf numFmtId="2" fontId="95" fillId="0" borderId="0" xfId="0" applyNumberFormat="1" applyFont="1" applyAlignment="1">
      <alignment horizontal="center" vertical="center"/>
    </xf>
    <xf numFmtId="2"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6" fillId="0" borderId="0" xfId="0" applyFont="1" applyAlignment="1">
      <alignment horizontal="center" vertical="center" wrapText="1"/>
    </xf>
    <xf numFmtId="2" fontId="94" fillId="0" borderId="0" xfId="0" applyNumberFormat="1" applyFont="1" applyAlignment="1">
      <alignment horizontal="center"/>
    </xf>
    <xf numFmtId="1" fontId="96" fillId="0" borderId="0" xfId="0" applyNumberFormat="1" applyFont="1" applyAlignment="1">
      <alignment horizontal="center" vertical="center" wrapText="1"/>
    </xf>
    <xf numFmtId="1" fontId="113" fillId="48" borderId="0" xfId="0" applyNumberFormat="1" applyFont="1" applyFill="1" applyAlignment="1">
      <alignment horizontal="center" vertical="center"/>
    </xf>
    <xf numFmtId="0" fontId="95" fillId="0" borderId="0" xfId="0" applyFont="1" applyAlignment="1">
      <alignment horizontal="center" vertical="center"/>
    </xf>
    <xf numFmtId="1" fontId="96" fillId="0" borderId="0" xfId="0" applyNumberFormat="1" applyFont="1" applyAlignment="1">
      <alignment horizontal="center" vertical="center"/>
    </xf>
    <xf numFmtId="1" fontId="113" fillId="43" borderId="0" xfId="0" applyNumberFormat="1" applyFont="1" applyFill="1" applyAlignment="1">
      <alignment horizontal="center" vertical="center"/>
    </xf>
    <xf numFmtId="0" fontId="114" fillId="51" borderId="0" xfId="0" applyFont="1" applyFill="1" applyAlignment="1">
      <alignment horizontal="center" vertical="center" wrapText="1"/>
    </xf>
    <xf numFmtId="0" fontId="112" fillId="51" borderId="0" xfId="0" applyFont="1" applyFill="1" applyAlignment="1">
      <alignment horizontal="center" vertical="center"/>
    </xf>
    <xf numFmtId="2" fontId="112" fillId="51" borderId="0" xfId="0" applyNumberFormat="1" applyFont="1" applyFill="1" applyAlignment="1">
      <alignment horizontal="center" vertical="center"/>
    </xf>
    <xf numFmtId="0" fontId="113" fillId="51" borderId="0" xfId="0" applyFont="1" applyFill="1" applyAlignment="1">
      <alignment horizontal="center" vertical="center"/>
    </xf>
    <xf numFmtId="1" fontId="113" fillId="51" borderId="0" xfId="0" applyNumberFormat="1" applyFont="1" applyFill="1" applyAlignment="1">
      <alignment horizontal="center" vertical="center"/>
    </xf>
    <xf numFmtId="2" fontId="112" fillId="41" borderId="0" xfId="0" applyNumberFormat="1" applyFont="1" applyFill="1" applyAlignment="1">
      <alignment horizontal="center" vertical="center" wrapText="1"/>
    </xf>
    <xf numFmtId="2" fontId="95" fillId="4" borderId="0" xfId="0" applyNumberFormat="1" applyFont="1" applyFill="1" applyAlignment="1">
      <alignment horizontal="center" vertical="center"/>
    </xf>
    <xf numFmtId="2" fontId="112" fillId="48" borderId="0" xfId="0" applyNumberFormat="1" applyFont="1" applyFill="1" applyAlignment="1">
      <alignment horizontal="center" vertical="center" wrapText="1"/>
    </xf>
    <xf numFmtId="0" fontId="113" fillId="48" borderId="0" xfId="0" applyFont="1" applyFill="1" applyAlignment="1">
      <alignment horizontal="center" vertical="center" wrapText="1"/>
    </xf>
    <xf numFmtId="0" fontId="114" fillId="48" borderId="0" xfId="0" applyFont="1" applyFill="1" applyAlignment="1">
      <alignment horizontal="center" vertical="center" wrapText="1"/>
    </xf>
    <xf numFmtId="0" fontId="94" fillId="4" borderId="0" xfId="0" applyFont="1" applyFill="1" applyAlignment="1">
      <alignment horizontal="center"/>
    </xf>
    <xf numFmtId="0" fontId="94" fillId="0" borderId="0" xfId="0" applyFont="1" applyAlignment="1">
      <alignment horizontal="center"/>
    </xf>
    <xf numFmtId="1" fontId="94" fillId="0" borderId="0" xfId="0" applyNumberFormat="1" applyFont="1" applyAlignment="1">
      <alignment horizontal="center"/>
    </xf>
    <xf numFmtId="2" fontId="117" fillId="0" borderId="0" xfId="0" applyNumberFormat="1" applyFont="1" applyAlignment="1">
      <alignment horizontal="center"/>
    </xf>
    <xf numFmtId="0" fontId="96" fillId="0" borderId="0" xfId="0" applyFont="1" applyAlignment="1">
      <alignment horizontal="center"/>
    </xf>
    <xf numFmtId="2" fontId="118" fillId="0" borderId="0" xfId="0" applyNumberFormat="1" applyFont="1" applyAlignment="1">
      <alignment horizontal="center"/>
    </xf>
    <xf numFmtId="1" fontId="120" fillId="0" borderId="0" xfId="0" applyNumberFormat="1" applyFont="1" applyAlignment="1">
      <alignment horizontal="center"/>
    </xf>
    <xf numFmtId="2" fontId="117" fillId="4" borderId="0" xfId="0" applyNumberFormat="1" applyFont="1" applyFill="1" applyAlignment="1">
      <alignment horizontal="center"/>
    </xf>
    <xf numFmtId="0" fontId="95" fillId="13" borderId="0" xfId="0" applyFont="1" applyFill="1" applyAlignment="1">
      <alignment horizontal="center" vertical="center" wrapText="1"/>
    </xf>
    <xf numFmtId="0" fontId="95" fillId="4" borderId="0" xfId="0" applyFont="1" applyFill="1" applyAlignment="1">
      <alignment horizontal="center" vertical="center" wrapText="1"/>
    </xf>
    <xf numFmtId="2" fontId="95" fillId="13" borderId="0" xfId="0" applyNumberFormat="1" applyFont="1" applyFill="1" applyAlignment="1">
      <alignment horizontal="center" vertical="center" wrapText="1"/>
    </xf>
    <xf numFmtId="0" fontId="96" fillId="13" borderId="0" xfId="0" applyFont="1" applyFill="1" applyAlignment="1">
      <alignment horizontal="center" vertical="center" wrapText="1"/>
    </xf>
    <xf numFmtId="2" fontId="95" fillId="4" borderId="0" xfId="0" applyNumberFormat="1" applyFont="1" applyFill="1" applyAlignment="1">
      <alignment horizontal="center" vertical="center" wrapText="1"/>
    </xf>
    <xf numFmtId="1" fontId="96" fillId="13" borderId="0" xfId="0" applyNumberFormat="1" applyFont="1" applyFill="1" applyAlignment="1">
      <alignment horizontal="center" vertical="center" wrapText="1"/>
    </xf>
    <xf numFmtId="0" fontId="95" fillId="4" borderId="0" xfId="0" applyFont="1" applyFill="1" applyAlignment="1">
      <alignment horizontal="center" vertical="center"/>
    </xf>
    <xf numFmtId="2" fontId="96" fillId="0" borderId="0" xfId="0" applyNumberFormat="1" applyFont="1" applyAlignment="1">
      <alignment horizontal="center" vertical="center"/>
    </xf>
    <xf numFmtId="0" fontId="95" fillId="35" borderId="0" xfId="0" applyFont="1" applyFill="1" applyAlignment="1">
      <alignment horizontal="center" vertical="center"/>
    </xf>
    <xf numFmtId="2" fontId="95" fillId="35" borderId="0" xfId="0" applyNumberFormat="1" applyFont="1" applyFill="1" applyAlignment="1">
      <alignment horizontal="center" vertical="center"/>
    </xf>
    <xf numFmtId="2" fontId="121" fillId="35" borderId="0" xfId="0" applyNumberFormat="1" applyFont="1" applyFill="1" applyAlignment="1">
      <alignment horizontal="center" vertical="center"/>
    </xf>
    <xf numFmtId="2" fontId="114" fillId="41" borderId="0" xfId="0" applyNumberFormat="1" applyFont="1" applyFill="1" applyAlignment="1">
      <alignment horizontal="center" vertical="center"/>
    </xf>
    <xf numFmtId="0" fontId="114" fillId="41" borderId="0" xfId="0" applyFont="1" applyFill="1" applyAlignment="1">
      <alignment horizontal="center" vertical="center"/>
    </xf>
    <xf numFmtId="2"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122" fillId="0" borderId="0" xfId="0" applyFont="1" applyAlignment="1">
      <alignment horizontal="center" vertical="center" wrapText="1"/>
    </xf>
    <xf numFmtId="0" fontId="40" fillId="4" borderId="1" xfId="0" applyFont="1" applyFill="1" applyBorder="1" applyAlignment="1">
      <alignment vertical="top" wrapText="1"/>
    </xf>
    <xf numFmtId="0" fontId="123" fillId="5" borderId="1" xfId="0" applyFont="1" applyFill="1" applyBorder="1" applyAlignment="1">
      <alignment vertical="top" wrapText="1"/>
    </xf>
    <xf numFmtId="0" fontId="40" fillId="0" borderId="0" xfId="0" applyFont="1" applyAlignment="1">
      <alignment vertical="top"/>
    </xf>
    <xf numFmtId="0" fontId="40" fillId="0" borderId="1" xfId="0" applyFont="1" applyBorder="1" applyAlignment="1">
      <alignment horizontal="justify" vertical="center" wrapText="1"/>
    </xf>
    <xf numFmtId="0" fontId="40" fillId="4" borderId="2" xfId="0" applyFont="1" applyFill="1" applyBorder="1" applyAlignment="1">
      <alignment vertical="top" wrapText="1"/>
    </xf>
    <xf numFmtId="0" fontId="40" fillId="0" borderId="1" xfId="0" applyFont="1" applyBorder="1" applyAlignment="1">
      <alignment vertical="top" wrapText="1"/>
    </xf>
    <xf numFmtId="0" fontId="40" fillId="4" borderId="3" xfId="0" applyFont="1" applyFill="1" applyBorder="1" applyAlignment="1">
      <alignment vertical="top" wrapText="1"/>
    </xf>
    <xf numFmtId="0" fontId="123" fillId="6" borderId="1" xfId="0" applyFont="1" applyFill="1" applyBorder="1" applyAlignment="1">
      <alignment vertical="top"/>
    </xf>
    <xf numFmtId="0" fontId="123" fillId="6" borderId="1" xfId="0" applyFont="1" applyFill="1" applyBorder="1" applyAlignment="1">
      <alignment horizontal="left" vertical="top"/>
    </xf>
    <xf numFmtId="0" fontId="123" fillId="7" borderId="14" xfId="0" applyFont="1" applyFill="1" applyBorder="1" applyAlignment="1">
      <alignment horizontal="left" vertical="top"/>
    </xf>
    <xf numFmtId="0" fontId="123" fillId="7" borderId="15" xfId="0" applyFont="1" applyFill="1" applyBorder="1" applyAlignment="1">
      <alignment horizontal="left" vertical="top"/>
    </xf>
    <xf numFmtId="0" fontId="123" fillId="0" borderId="11" xfId="0" applyFont="1" applyBorder="1" applyAlignment="1">
      <alignment horizontal="left" vertical="top"/>
    </xf>
    <xf numFmtId="0" fontId="40" fillId="0" borderId="11" xfId="0" applyFont="1" applyBorder="1" applyAlignment="1">
      <alignment vertical="top"/>
    </xf>
    <xf numFmtId="49" fontId="40" fillId="0" borderId="1" xfId="0" applyNumberFormat="1" applyFont="1" applyBorder="1" applyAlignment="1">
      <alignment vertical="top" wrapText="1"/>
    </xf>
    <xf numFmtId="0" fontId="124" fillId="0" borderId="1" xfId="4" applyFont="1" applyFill="1" applyBorder="1" applyAlignment="1">
      <alignment vertical="top" wrapText="1"/>
    </xf>
    <xf numFmtId="0" fontId="16" fillId="0" borderId="0" xfId="0" applyFont="1" applyAlignment="1">
      <alignment horizontal="left" vertical="center" wrapText="1" readingOrder="1"/>
    </xf>
    <xf numFmtId="0" fontId="20" fillId="32" borderId="0" xfId="0" applyFont="1" applyFill="1" applyAlignment="1">
      <alignment horizontal="center" vertical="center" wrapText="1" readingOrder="1"/>
    </xf>
    <xf numFmtId="0" fontId="20" fillId="32" borderId="12" xfId="0" applyFont="1" applyFill="1" applyBorder="1" applyAlignment="1">
      <alignment horizontal="center" vertical="center" wrapText="1" readingOrder="1"/>
    </xf>
    <xf numFmtId="0" fontId="28" fillId="0" borderId="0" xfId="0" applyFont="1" applyAlignment="1">
      <alignment horizontal="center" vertical="center" wrapText="1" readingOrder="1"/>
    </xf>
    <xf numFmtId="193" fontId="28" fillId="0" borderId="0" xfId="6" applyNumberFormat="1" applyFont="1" applyFill="1" applyBorder="1" applyAlignment="1">
      <alignment horizontal="right" vertical="center" wrapText="1" readingOrder="1"/>
    </xf>
    <xf numFmtId="3" fontId="28" fillId="0" borderId="0" xfId="0" applyNumberFormat="1" applyFont="1" applyAlignment="1">
      <alignment horizontal="right" vertical="center" wrapText="1" readingOrder="1"/>
    </xf>
    <xf numFmtId="194" fontId="28" fillId="0" borderId="0" xfId="6" applyNumberFormat="1" applyFont="1" applyFill="1" applyBorder="1" applyAlignment="1">
      <alignment horizontal="right" vertical="center" wrapText="1" readingOrder="1"/>
    </xf>
    <xf numFmtId="9" fontId="28" fillId="0" borderId="0" xfId="3" applyFont="1" applyFill="1" applyBorder="1" applyAlignment="1">
      <alignment horizontal="right" vertical="center" wrapText="1" readingOrder="1"/>
    </xf>
    <xf numFmtId="188" fontId="28" fillId="0" borderId="0" xfId="0" applyNumberFormat="1" applyFont="1" applyAlignment="1">
      <alignment horizontal="right" vertical="center" wrapText="1" readingOrder="1"/>
    </xf>
    <xf numFmtId="0" fontId="28" fillId="0" borderId="12" xfId="0" applyFont="1" applyBorder="1" applyAlignment="1">
      <alignment horizontal="center" vertical="center" wrapText="1" readingOrder="1"/>
    </xf>
    <xf numFmtId="193" fontId="28" fillId="0" borderId="12" xfId="6" applyNumberFormat="1" applyFont="1" applyFill="1" applyBorder="1" applyAlignment="1">
      <alignment horizontal="right" vertical="center" wrapText="1" readingOrder="1"/>
    </xf>
    <xf numFmtId="3" fontId="28" fillId="0" borderId="12" xfId="0" applyNumberFormat="1" applyFont="1" applyBorder="1" applyAlignment="1">
      <alignment horizontal="right" vertical="center" wrapText="1" readingOrder="1"/>
    </xf>
    <xf numFmtId="194" fontId="28" fillId="0" borderId="12" xfId="6" applyNumberFormat="1" applyFont="1" applyFill="1" applyBorder="1" applyAlignment="1">
      <alignment horizontal="right" vertical="center" wrapText="1" readingOrder="1"/>
    </xf>
    <xf numFmtId="9" fontId="28" fillId="0" borderId="12" xfId="3" applyFont="1" applyFill="1" applyBorder="1" applyAlignment="1">
      <alignment horizontal="right" vertical="center" wrapText="1" readingOrder="1"/>
    </xf>
    <xf numFmtId="188" fontId="28" fillId="0" borderId="12" xfId="0" applyNumberFormat="1" applyFont="1" applyBorder="1" applyAlignment="1">
      <alignment horizontal="right" vertical="center" wrapText="1" readingOrder="1"/>
    </xf>
    <xf numFmtId="0" fontId="28" fillId="0" borderId="38" xfId="0" applyFont="1" applyBorder="1" applyAlignment="1">
      <alignment horizontal="left" vertical="center" readingOrder="1"/>
    </xf>
    <xf numFmtId="0" fontId="28" fillId="0" borderId="0" xfId="0" applyFont="1" applyAlignment="1">
      <alignment horizontal="left" vertical="center" readingOrder="1"/>
    </xf>
    <xf numFmtId="0" fontId="28" fillId="0" borderId="0" xfId="0" applyFont="1" applyAlignment="1">
      <alignment vertical="center" readingOrder="1"/>
    </xf>
    <xf numFmtId="0" fontId="20" fillId="0" borderId="0" xfId="0" applyFont="1" applyAlignment="1">
      <alignment horizontal="center" vertical="center" wrapText="1" readingOrder="1"/>
    </xf>
    <xf numFmtId="0" fontId="20" fillId="0" borderId="0" xfId="0" applyFont="1" applyAlignment="1">
      <alignment vertical="center" wrapText="1" readingOrder="1"/>
    </xf>
    <xf numFmtId="0" fontId="16" fillId="0" borderId="12" xfId="0" applyFont="1" applyBorder="1" applyAlignment="1">
      <alignment vertical="center" readingOrder="1"/>
    </xf>
    <xf numFmtId="0" fontId="20" fillId="32" borderId="11"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8" fillId="0" borderId="0" xfId="0" applyFont="1" applyAlignment="1">
      <alignment horizontal="right" vertical="center" wrapText="1" readingOrder="1"/>
    </xf>
    <xf numFmtId="172" fontId="28" fillId="0" borderId="0" xfId="0" applyNumberFormat="1" applyFont="1" applyAlignment="1">
      <alignment horizontal="left" vertical="center" wrapText="1" readingOrder="1"/>
    </xf>
    <xf numFmtId="172" fontId="28" fillId="0" borderId="0" xfId="6" applyNumberFormat="1" applyFont="1" applyFill="1" applyBorder="1" applyAlignment="1">
      <alignment horizontal="left" vertical="center" wrapText="1" readingOrder="1"/>
    </xf>
    <xf numFmtId="0" fontId="28" fillId="0" borderId="0" xfId="0" applyFont="1" applyAlignment="1">
      <alignment vertical="center" wrapText="1" readingOrder="1"/>
    </xf>
    <xf numFmtId="0" fontId="28" fillId="0" borderId="0" xfId="0" applyFont="1" applyAlignment="1">
      <alignment horizontal="left" vertical="top" wrapText="1" readingOrder="1"/>
    </xf>
    <xf numFmtId="0" fontId="16" fillId="0" borderId="0" xfId="0" applyFont="1" applyAlignment="1">
      <alignment vertical="center" wrapText="1" readingOrder="1"/>
    </xf>
    <xf numFmtId="9" fontId="28" fillId="0" borderId="39" xfId="0" applyNumberFormat="1" applyFont="1" applyBorder="1" applyAlignment="1">
      <alignment horizontal="center" vertical="center" wrapText="1" readingOrder="1"/>
    </xf>
    <xf numFmtId="0" fontId="16" fillId="0" borderId="12" xfId="0" applyFont="1" applyBorder="1" applyAlignment="1">
      <alignment vertical="center" wrapText="1" readingOrder="1"/>
    </xf>
    <xf numFmtId="9" fontId="28" fillId="0" borderId="41" xfId="0" applyNumberFormat="1" applyFont="1" applyBorder="1" applyAlignment="1">
      <alignment horizontal="center" vertical="center" wrapText="1" readingOrder="1"/>
    </xf>
    <xf numFmtId="9" fontId="28" fillId="0" borderId="0" xfId="0" applyNumberFormat="1" applyFont="1" applyAlignment="1">
      <alignment horizontal="right" vertical="center" wrapText="1" readingOrder="1"/>
    </xf>
    <xf numFmtId="10" fontId="28" fillId="0" borderId="0" xfId="0" applyNumberFormat="1" applyFont="1" applyAlignment="1">
      <alignment horizontal="right" vertical="center" wrapText="1" readingOrder="1"/>
    </xf>
    <xf numFmtId="9" fontId="28" fillId="0" borderId="42" xfId="0" applyNumberFormat="1" applyFont="1" applyBorder="1" applyAlignment="1">
      <alignment horizontal="center" vertical="center" wrapText="1" readingOrder="1"/>
    </xf>
    <xf numFmtId="9" fontId="28" fillId="0" borderId="43" xfId="0" applyNumberFormat="1" applyFont="1" applyBorder="1" applyAlignment="1">
      <alignment horizontal="center" vertical="center" wrapText="1" readingOrder="1"/>
    </xf>
    <xf numFmtId="9" fontId="28" fillId="0" borderId="44" xfId="0" applyNumberFormat="1" applyFont="1" applyBorder="1" applyAlignment="1">
      <alignment horizontal="center" vertical="center" wrapText="1" readingOrder="1"/>
    </xf>
    <xf numFmtId="9" fontId="28" fillId="0" borderId="45" xfId="0" applyNumberFormat="1" applyFont="1" applyBorder="1" applyAlignment="1">
      <alignment horizontal="center" vertical="center" wrapText="1" readingOrder="1"/>
    </xf>
    <xf numFmtId="9" fontId="28" fillId="0" borderId="0" xfId="0" applyNumberFormat="1" applyFont="1" applyAlignment="1">
      <alignment horizontal="center" vertical="center" wrapText="1" readingOrder="1"/>
    </xf>
    <xf numFmtId="9" fontId="28" fillId="0" borderId="12" xfId="0" applyNumberFormat="1" applyFont="1" applyBorder="1" applyAlignment="1">
      <alignment horizontal="right" vertical="center" wrapText="1" readingOrder="1"/>
    </xf>
    <xf numFmtId="10" fontId="28" fillId="0" borderId="12" xfId="0" applyNumberFormat="1" applyFont="1" applyBorder="1" applyAlignment="1">
      <alignment horizontal="right" vertical="center" wrapText="1" readingOrder="1"/>
    </xf>
    <xf numFmtId="0" fontId="20" fillId="0" borderId="13" xfId="0" applyFont="1" applyBorder="1" applyAlignment="1">
      <alignment horizontal="center" vertical="top"/>
    </xf>
    <xf numFmtId="0" fontId="28" fillId="0" borderId="48" xfId="0" applyFont="1" applyBorder="1" applyAlignment="1">
      <alignment horizontal="left" vertical="top" wrapText="1"/>
    </xf>
    <xf numFmtId="0" fontId="28" fillId="0" borderId="50" xfId="0" applyFont="1" applyBorder="1" applyAlignment="1">
      <alignment horizontal="left" vertical="top" wrapText="1"/>
    </xf>
    <xf numFmtId="0" fontId="26" fillId="0" borderId="53" xfId="4" applyFont="1" applyFill="1" applyBorder="1" applyAlignment="1">
      <alignment horizontal="left" vertical="top" wrapText="1"/>
    </xf>
    <xf numFmtId="0" fontId="4" fillId="0" borderId="53" xfId="4" applyFill="1" applyBorder="1" applyAlignment="1">
      <alignment horizontal="left" vertical="top" wrapText="1"/>
    </xf>
    <xf numFmtId="0" fontId="28" fillId="0" borderId="0" xfId="0" applyFont="1" applyAlignment="1">
      <alignment vertical="top" wrapText="1"/>
    </xf>
    <xf numFmtId="0" fontId="16" fillId="0" borderId="0" xfId="0" applyFont="1" applyAlignment="1">
      <alignment horizontal="left" vertical="top" readingOrder="1"/>
    </xf>
    <xf numFmtId="0" fontId="20" fillId="32" borderId="11" xfId="0" applyFont="1" applyFill="1" applyBorder="1" applyAlignment="1">
      <alignment horizontal="center" vertical="center"/>
    </xf>
    <xf numFmtId="0" fontId="20" fillId="32" borderId="11" xfId="27" applyFont="1" applyFill="1" applyBorder="1" applyAlignment="1">
      <alignment horizontal="center" vertical="center" wrapText="1"/>
    </xf>
    <xf numFmtId="0" fontId="28" fillId="0" borderId="0" xfId="27" applyFont="1" applyAlignment="1">
      <alignment horizontal="left" vertical="center"/>
    </xf>
    <xf numFmtId="175" fontId="28" fillId="0" borderId="0" xfId="0" applyNumberFormat="1" applyFont="1" applyAlignment="1">
      <alignment horizontal="right" vertical="center"/>
    </xf>
    <xf numFmtId="175" fontId="28" fillId="0" borderId="0" xfId="27" applyNumberFormat="1" applyFont="1" applyAlignment="1" applyProtection="1">
      <alignment horizontal="right" vertical="center"/>
      <protection locked="0"/>
    </xf>
    <xf numFmtId="195" fontId="28" fillId="0" borderId="0" xfId="0" applyNumberFormat="1" applyFont="1"/>
    <xf numFmtId="0" fontId="28" fillId="0" borderId="12" xfId="27" applyFont="1" applyBorder="1" applyAlignment="1">
      <alignment horizontal="left" vertical="center"/>
    </xf>
    <xf numFmtId="175" fontId="28" fillId="0" borderId="12" xfId="27" applyNumberFormat="1" applyFont="1" applyBorder="1" applyAlignment="1" applyProtection="1">
      <alignment horizontal="right" vertical="center"/>
      <protection locked="0"/>
    </xf>
    <xf numFmtId="195" fontId="28" fillId="0" borderId="12" xfId="0" applyNumberFormat="1" applyFont="1" applyBorder="1"/>
    <xf numFmtId="0" fontId="20" fillId="32" borderId="11" xfId="27" applyFont="1" applyFill="1" applyBorder="1" applyAlignment="1">
      <alignment vertical="center" wrapText="1"/>
    </xf>
    <xf numFmtId="0" fontId="20" fillId="32" borderId="11" xfId="0" applyFont="1" applyFill="1" applyBorder="1" applyAlignment="1">
      <alignment vertical="center" wrapText="1"/>
    </xf>
    <xf numFmtId="196" fontId="28" fillId="0" borderId="10" xfId="0" applyNumberFormat="1" applyFont="1" applyBorder="1"/>
    <xf numFmtId="196" fontId="28" fillId="0" borderId="0" xfId="0" applyNumberFormat="1" applyFont="1"/>
    <xf numFmtId="0" fontId="28" fillId="0" borderId="12" xfId="0" applyFont="1" applyBorder="1" applyAlignment="1">
      <alignment vertical="center"/>
    </xf>
    <xf numFmtId="196" fontId="28" fillId="0" borderId="12" xfId="0" applyNumberFormat="1" applyFont="1" applyBorder="1"/>
    <xf numFmtId="0" fontId="20" fillId="0" borderId="0" xfId="27" applyFont="1" applyAlignment="1">
      <alignment vertical="center" wrapText="1"/>
    </xf>
    <xf numFmtId="196" fontId="28" fillId="0" borderId="0" xfId="0" applyNumberFormat="1" applyFont="1" applyAlignment="1">
      <alignment horizontal="right" vertical="center"/>
    </xf>
    <xf numFmtId="196" fontId="28" fillId="0" borderId="0" xfId="0" applyNumberFormat="1" applyFont="1" applyAlignment="1">
      <alignment horizontal="right"/>
    </xf>
    <xf numFmtId="0" fontId="26" fillId="0" borderId="0" xfId="4" applyFont="1"/>
    <xf numFmtId="0" fontId="26" fillId="0" borderId="1" xfId="4" applyFont="1" applyFill="1" applyBorder="1" applyAlignment="1">
      <alignment horizontal="left" vertical="top" wrapText="1"/>
    </xf>
    <xf numFmtId="0" fontId="16" fillId="0" borderId="5" xfId="0" applyFont="1" applyBorder="1" applyAlignment="1">
      <alignment vertical="center" wrapText="1"/>
    </xf>
    <xf numFmtId="0" fontId="58" fillId="0" borderId="0" xfId="0" applyFont="1" applyAlignment="1">
      <alignment vertical="center" wrapText="1"/>
    </xf>
    <xf numFmtId="0" fontId="76" fillId="13" borderId="15" xfId="0" applyFont="1" applyFill="1" applyBorder="1" applyAlignment="1">
      <alignment vertical="center" wrapText="1"/>
    </xf>
    <xf numFmtId="0" fontId="76" fillId="13" borderId="1" xfId="0" applyFont="1" applyFill="1" applyBorder="1" applyAlignment="1">
      <alignment vertical="center" wrapText="1"/>
    </xf>
    <xf numFmtId="0" fontId="76" fillId="53" borderId="1" xfId="0" applyFont="1" applyFill="1" applyBorder="1" applyAlignment="1">
      <alignment vertical="center" wrapText="1"/>
    </xf>
    <xf numFmtId="0" fontId="76" fillId="53" borderId="1" xfId="0" applyFont="1" applyFill="1" applyBorder="1" applyAlignment="1">
      <alignment horizontal="center" vertical="center" wrapText="1"/>
    </xf>
    <xf numFmtId="0" fontId="76" fillId="0" borderId="15" xfId="0" applyFont="1" applyBorder="1" applyAlignment="1">
      <alignment vertical="center" wrapText="1"/>
    </xf>
    <xf numFmtId="0" fontId="76" fillId="0" borderId="1" xfId="0" applyFont="1" applyBorder="1" applyAlignment="1">
      <alignment vertical="center" wrapText="1"/>
    </xf>
    <xf numFmtId="0" fontId="76" fillId="55" borderId="1" xfId="0" applyFont="1" applyFill="1" applyBorder="1" applyAlignment="1">
      <alignment vertical="center" wrapText="1"/>
    </xf>
    <xf numFmtId="0" fontId="76" fillId="56" borderId="1" xfId="0" applyFont="1" applyFill="1" applyBorder="1" applyAlignment="1">
      <alignment vertical="center" wrapText="1"/>
    </xf>
    <xf numFmtId="0" fontId="76" fillId="12" borderId="1" xfId="0" applyFont="1" applyFill="1" applyBorder="1" applyAlignment="1">
      <alignment vertical="center" wrapText="1"/>
    </xf>
    <xf numFmtId="0" fontId="127" fillId="0" borderId="0" xfId="0" applyFont="1" applyAlignment="1">
      <alignment vertical="center"/>
    </xf>
    <xf numFmtId="0" fontId="76" fillId="56" borderId="14" xfId="0" applyFont="1" applyFill="1" applyBorder="1" applyAlignment="1">
      <alignment vertical="center" wrapText="1"/>
    </xf>
    <xf numFmtId="1" fontId="76" fillId="56" borderId="3" xfId="0" applyNumberFormat="1" applyFont="1" applyFill="1" applyBorder="1" applyAlignment="1">
      <alignment vertical="center" wrapText="1"/>
    </xf>
    <xf numFmtId="0" fontId="76" fillId="56" borderId="2" xfId="0" applyFont="1" applyFill="1" applyBorder="1" applyAlignment="1">
      <alignment vertical="center" wrapText="1"/>
    </xf>
    <xf numFmtId="1" fontId="76" fillId="56" borderId="1" xfId="0" applyNumberFormat="1" applyFont="1" applyFill="1" applyBorder="1" applyAlignment="1">
      <alignment vertical="center" wrapText="1"/>
    </xf>
    <xf numFmtId="0" fontId="84" fillId="54" borderId="61" xfId="0" applyFont="1" applyFill="1" applyBorder="1" applyAlignment="1">
      <alignment horizontal="right" vertical="center" wrapText="1"/>
    </xf>
    <xf numFmtId="0" fontId="84" fillId="56" borderId="61" xfId="0" applyFont="1" applyFill="1" applyBorder="1" applyAlignment="1">
      <alignment vertical="center" wrapText="1"/>
    </xf>
    <xf numFmtId="0" fontId="129" fillId="56" borderId="61" xfId="0" applyFont="1" applyFill="1" applyBorder="1" applyAlignment="1">
      <alignment vertical="center" wrapText="1"/>
    </xf>
    <xf numFmtId="0" fontId="84" fillId="59" borderId="57" xfId="0" applyFont="1" applyFill="1" applyBorder="1" applyAlignment="1">
      <alignment horizontal="center" vertical="center" wrapText="1"/>
    </xf>
    <xf numFmtId="0" fontId="15" fillId="13" borderId="0" xfId="0" applyFont="1" applyFill="1" applyAlignment="1">
      <alignment vertical="center" wrapText="1"/>
    </xf>
    <xf numFmtId="0" fontId="15" fillId="13" borderId="0" xfId="0" applyFont="1" applyFill="1"/>
    <xf numFmtId="0" fontId="15" fillId="13" borderId="64" xfId="0" applyFont="1" applyFill="1" applyBorder="1"/>
    <xf numFmtId="0" fontId="84" fillId="60" borderId="61" xfId="0" applyFont="1" applyFill="1" applyBorder="1" applyAlignment="1">
      <alignment horizontal="right" vertical="center" wrapText="1"/>
    </xf>
    <xf numFmtId="0" fontId="84" fillId="59" borderId="61" xfId="0" applyFont="1" applyFill="1" applyBorder="1" applyAlignment="1">
      <alignment horizontal="center" vertical="center" wrapText="1"/>
    </xf>
    <xf numFmtId="0" fontId="34" fillId="13" borderId="64" xfId="0" applyFont="1" applyFill="1" applyBorder="1" applyAlignment="1">
      <alignment vertical="center" wrapText="1"/>
    </xf>
    <xf numFmtId="0" fontId="15" fillId="13" borderId="61" xfId="0" applyFont="1" applyFill="1" applyBorder="1" applyAlignment="1">
      <alignment vertical="center" wrapText="1"/>
    </xf>
    <xf numFmtId="0" fontId="84" fillId="53" borderId="61" xfId="0" applyFont="1" applyFill="1" applyBorder="1" applyAlignment="1">
      <alignment horizontal="center" vertical="center" wrapText="1"/>
    </xf>
    <xf numFmtId="0" fontId="84" fillId="53" borderId="57" xfId="0" applyFont="1" applyFill="1" applyBorder="1" applyAlignment="1">
      <alignment horizontal="center" vertical="center" wrapText="1"/>
    </xf>
    <xf numFmtId="0" fontId="15" fillId="13" borderId="64" xfId="0" applyFont="1" applyFill="1" applyBorder="1" applyAlignment="1">
      <alignment vertical="center" wrapText="1"/>
    </xf>
    <xf numFmtId="0" fontId="15" fillId="13" borderId="64" xfId="0" applyFont="1" applyFill="1" applyBorder="1" applyAlignment="1">
      <alignment vertical="top" wrapText="1"/>
    </xf>
    <xf numFmtId="0" fontId="15" fillId="13" borderId="61" xfId="0" applyFont="1" applyFill="1" applyBorder="1" applyAlignment="1">
      <alignment vertical="top" wrapText="1"/>
    </xf>
    <xf numFmtId="0" fontId="26" fillId="0" borderId="1" xfId="4" applyFont="1" applyBorder="1" applyAlignment="1">
      <alignment horizontal="justify" vertical="top" wrapText="1"/>
    </xf>
    <xf numFmtId="10" fontId="28" fillId="0" borderId="0" xfId="0" applyNumberFormat="1" applyFont="1" applyAlignment="1">
      <alignment horizontal="center" vertical="center" wrapText="1"/>
    </xf>
    <xf numFmtId="197" fontId="28" fillId="0" borderId="0" xfId="0" applyNumberFormat="1" applyFont="1" applyAlignment="1">
      <alignment horizontal="center" vertical="center" wrapText="1"/>
    </xf>
    <xf numFmtId="197" fontId="28" fillId="0" borderId="12" xfId="0" applyNumberFormat="1" applyFont="1" applyBorder="1" applyAlignment="1">
      <alignment horizontal="center" vertical="center" wrapText="1"/>
    </xf>
    <xf numFmtId="198" fontId="28" fillId="0" borderId="0" xfId="0" applyNumberFormat="1" applyFont="1"/>
    <xf numFmtId="198" fontId="28" fillId="2" borderId="0" xfId="0" applyNumberFormat="1" applyFont="1" applyFill="1"/>
    <xf numFmtId="0" fontId="28" fillId="2" borderId="0" xfId="0" applyFont="1" applyFill="1"/>
    <xf numFmtId="198" fontId="28" fillId="0" borderId="12" xfId="0" applyNumberFormat="1" applyFont="1" applyBorder="1" applyAlignment="1">
      <alignment vertical="center"/>
    </xf>
    <xf numFmtId="0" fontId="28" fillId="2" borderId="12" xfId="0" applyFont="1" applyFill="1" applyBorder="1"/>
    <xf numFmtId="0" fontId="28" fillId="2" borderId="12" xfId="0" applyFont="1" applyFill="1" applyBorder="1" applyAlignment="1">
      <alignment vertical="center"/>
    </xf>
    <xf numFmtId="0" fontId="20" fillId="0" borderId="24" xfId="0" applyFont="1" applyBorder="1" applyAlignment="1">
      <alignment vertical="center" wrapText="1"/>
    </xf>
    <xf numFmtId="191" fontId="20" fillId="0" borderId="0" xfId="6" applyNumberFormat="1" applyFont="1" applyFill="1" applyBorder="1" applyAlignment="1">
      <alignment horizontal="center"/>
    </xf>
    <xf numFmtId="191" fontId="28" fillId="0" borderId="0" xfId="6" applyNumberFormat="1" applyFont="1" applyFill="1" applyBorder="1" applyAlignment="1">
      <alignment horizontal="center"/>
    </xf>
    <xf numFmtId="191" fontId="28" fillId="0" borderId="0" xfId="6" applyNumberFormat="1" applyFont="1" applyBorder="1" applyAlignment="1">
      <alignment horizontal="center"/>
    </xf>
    <xf numFmtId="191" fontId="28" fillId="0" borderId="12" xfId="6" applyNumberFormat="1" applyFont="1" applyBorder="1" applyAlignment="1">
      <alignment horizontal="center"/>
    </xf>
    <xf numFmtId="0" fontId="26" fillId="0" borderId="1" xfId="4" applyFont="1" applyBorder="1" applyAlignment="1">
      <alignment horizontal="left" vertical="top" wrapText="1"/>
    </xf>
    <xf numFmtId="0" fontId="20" fillId="61" borderId="10" xfId="0" applyFont="1" applyFill="1" applyBorder="1" applyAlignment="1">
      <alignment horizontal="center" vertical="center" wrapText="1"/>
    </xf>
    <xf numFmtId="0" fontId="20" fillId="61" borderId="12" xfId="0" applyFont="1" applyFill="1" applyBorder="1" applyAlignment="1">
      <alignment horizontal="center" vertical="center" wrapText="1"/>
    </xf>
    <xf numFmtId="16" fontId="20" fillId="61" borderId="12" xfId="0" applyNumberFormat="1" applyFont="1" applyFill="1" applyBorder="1" applyAlignment="1">
      <alignment horizontal="center" vertical="center" wrapText="1"/>
    </xf>
    <xf numFmtId="2" fontId="28" fillId="0" borderId="0" xfId="1" applyNumberFormat="1" applyFont="1" applyBorder="1" applyAlignment="1">
      <alignment horizontal="right" vertical="top"/>
    </xf>
    <xf numFmtId="2" fontId="28" fillId="0" borderId="0" xfId="1" applyNumberFormat="1" applyFont="1" applyBorder="1" applyAlignment="1">
      <alignment horizontal="right" vertical="center"/>
    </xf>
    <xf numFmtId="2" fontId="28" fillId="0" borderId="0" xfId="1" applyNumberFormat="1" applyFont="1" applyFill="1" applyBorder="1" applyAlignment="1">
      <alignment horizontal="right" vertical="center"/>
    </xf>
    <xf numFmtId="2" fontId="28" fillId="0" borderId="12" xfId="1" applyNumberFormat="1" applyFont="1" applyBorder="1" applyAlignment="1">
      <alignment horizontal="right" vertical="top"/>
    </xf>
    <xf numFmtId="2" fontId="28" fillId="0" borderId="12" xfId="1" applyNumberFormat="1" applyFont="1" applyBorder="1" applyAlignment="1">
      <alignment horizontal="right" vertical="center"/>
    </xf>
    <xf numFmtId="2" fontId="28" fillId="0" borderId="12" xfId="1" applyNumberFormat="1" applyFont="1" applyFill="1" applyBorder="1" applyAlignment="1">
      <alignment horizontal="right" vertical="center"/>
    </xf>
    <xf numFmtId="0" fontId="26" fillId="0" borderId="1" xfId="4" applyFont="1" applyBorder="1" applyAlignment="1">
      <alignment horizontal="left" vertical="center" wrapText="1"/>
    </xf>
    <xf numFmtId="0" fontId="58" fillId="0" borderId="8" xfId="0" applyFont="1" applyBorder="1" applyAlignment="1">
      <alignment vertical="center"/>
    </xf>
    <xf numFmtId="0" fontId="20" fillId="0" borderId="24" xfId="0" applyFont="1" applyBorder="1" applyAlignment="1">
      <alignment vertical="center"/>
    </xf>
    <xf numFmtId="164" fontId="28" fillId="0" borderId="0" xfId="1" applyNumberFormat="1" applyFont="1" applyBorder="1" applyAlignment="1">
      <alignment horizontal="right" vertical="top"/>
    </xf>
    <xf numFmtId="164" fontId="28" fillId="0" borderId="0" xfId="1" applyNumberFormat="1" applyFont="1" applyBorder="1" applyAlignment="1">
      <alignment horizontal="right" vertical="center"/>
    </xf>
    <xf numFmtId="164" fontId="28" fillId="0" borderId="0" xfId="1" applyNumberFormat="1" applyFont="1" applyFill="1" applyBorder="1" applyAlignment="1">
      <alignment horizontal="right" vertical="center"/>
    </xf>
    <xf numFmtId="164" fontId="28" fillId="0" borderId="12" xfId="1" applyNumberFormat="1" applyFont="1" applyBorder="1" applyAlignment="1">
      <alignment horizontal="right" vertical="top"/>
    </xf>
    <xf numFmtId="164" fontId="28" fillId="0" borderId="12" xfId="1" applyNumberFormat="1" applyFont="1" applyBorder="1" applyAlignment="1">
      <alignment horizontal="right" vertical="center"/>
    </xf>
    <xf numFmtId="164" fontId="28" fillId="0" borderId="12" xfId="1" applyNumberFormat="1" applyFont="1" applyFill="1" applyBorder="1" applyAlignment="1">
      <alignment horizontal="right" vertical="center"/>
    </xf>
    <xf numFmtId="0" fontId="20" fillId="61" borderId="11" xfId="0" applyFont="1" applyFill="1" applyBorder="1" applyAlignment="1">
      <alignment horizontal="left" vertical="center" wrapText="1"/>
    </xf>
    <xf numFmtId="0" fontId="20" fillId="61" borderId="11" xfId="0" applyFont="1" applyFill="1" applyBorder="1" applyAlignment="1">
      <alignment horizontal="center" vertical="center" wrapText="1"/>
    </xf>
    <xf numFmtId="0" fontId="20" fillId="61" borderId="11" xfId="0" applyFont="1" applyFill="1" applyBorder="1" applyAlignment="1">
      <alignment horizontal="center" vertical="center"/>
    </xf>
    <xf numFmtId="2" fontId="28" fillId="0" borderId="0" xfId="0" applyNumberFormat="1" applyFont="1" applyAlignment="1">
      <alignment horizontal="center"/>
    </xf>
    <xf numFmtId="199" fontId="20" fillId="61" borderId="11" xfId="28" applyNumberFormat="1" applyFont="1" applyFill="1" applyBorder="1" applyAlignment="1" applyProtection="1">
      <alignment horizontal="center" vertical="center" wrapText="1"/>
      <protection locked="0"/>
    </xf>
    <xf numFmtId="199" fontId="28" fillId="0" borderId="0" xfId="28" applyNumberFormat="1" applyFont="1" applyAlignment="1" applyProtection="1">
      <alignment horizontal="center" vertical="center"/>
      <protection locked="0"/>
    </xf>
    <xf numFmtId="200" fontId="28" fillId="0" borderId="0" xfId="23" applyNumberFormat="1" applyFont="1" applyAlignment="1">
      <alignment horizontal="center"/>
    </xf>
    <xf numFmtId="199" fontId="28" fillId="0" borderId="12" xfId="28" applyNumberFormat="1" applyFont="1" applyBorder="1" applyAlignment="1" applyProtection="1">
      <alignment horizontal="center" vertical="center"/>
      <protection locked="0"/>
    </xf>
    <xf numFmtId="200" fontId="28" fillId="0" borderId="12" xfId="23" applyNumberFormat="1" applyFont="1" applyBorder="1" applyAlignment="1">
      <alignment horizontal="center"/>
    </xf>
    <xf numFmtId="2" fontId="28" fillId="0" borderId="12" xfId="0" applyNumberFormat="1" applyFont="1" applyBorder="1" applyAlignment="1">
      <alignment horizontal="center"/>
    </xf>
    <xf numFmtId="168" fontId="28" fillId="0" borderId="0" xfId="23" applyNumberFormat="1" applyFont="1"/>
    <xf numFmtId="200" fontId="28" fillId="0" borderId="0" xfId="23" applyNumberFormat="1" applyFont="1"/>
    <xf numFmtId="9" fontId="28" fillId="0" borderId="0" xfId="3" applyFont="1" applyFill="1" applyBorder="1" applyAlignment="1">
      <alignment horizontal="right"/>
    </xf>
    <xf numFmtId="2" fontId="28" fillId="0" borderId="0" xfId="23" applyNumberFormat="1" applyFont="1"/>
    <xf numFmtId="199" fontId="20" fillId="62" borderId="11" xfId="28" applyNumberFormat="1" applyFont="1" applyFill="1" applyBorder="1" applyAlignment="1" applyProtection="1">
      <alignment horizontal="center" vertical="center" wrapText="1"/>
      <protection locked="0"/>
    </xf>
    <xf numFmtId="1" fontId="20" fillId="62" borderId="11" xfId="28" applyNumberFormat="1" applyFont="1" applyFill="1" applyBorder="1" applyAlignment="1" applyProtection="1">
      <alignment horizontal="center" vertical="center"/>
      <protection locked="0"/>
    </xf>
    <xf numFmtId="168" fontId="28" fillId="0" borderId="0" xfId="28" applyNumberFormat="1" applyFont="1" applyAlignment="1">
      <alignment horizontal="right"/>
    </xf>
    <xf numFmtId="201" fontId="28" fillId="0" borderId="0" xfId="28" applyNumberFormat="1" applyFont="1" applyAlignment="1">
      <alignment horizontal="right"/>
    </xf>
    <xf numFmtId="168" fontId="28" fillId="0" borderId="12" xfId="28" applyNumberFormat="1" applyFont="1" applyBorder="1" applyAlignment="1">
      <alignment horizontal="right"/>
    </xf>
    <xf numFmtId="168" fontId="28" fillId="0" borderId="12" xfId="28" applyNumberFormat="1" applyFont="1" applyBorder="1" applyAlignment="1" applyProtection="1">
      <alignment horizontal="right" vertical="center"/>
      <protection locked="0"/>
    </xf>
    <xf numFmtId="2" fontId="28" fillId="0" borderId="12" xfId="0" applyNumberFormat="1" applyFont="1" applyBorder="1" applyAlignment="1">
      <alignment horizontal="right"/>
    </xf>
    <xf numFmtId="0" fontId="28" fillId="0" borderId="0" xfId="23" applyFont="1"/>
    <xf numFmtId="0" fontId="28" fillId="0" borderId="0" xfId="0" applyFont="1" applyAlignment="1">
      <alignment horizontal="center" vertical="top"/>
    </xf>
    <xf numFmtId="0" fontId="20" fillId="0" borderId="0" xfId="0" applyFont="1" applyAlignment="1">
      <alignment vertical="top" wrapText="1"/>
    </xf>
    <xf numFmtId="0" fontId="28" fillId="61" borderId="11" xfId="0" applyFont="1" applyFill="1" applyBorder="1" applyAlignment="1">
      <alignment vertical="center"/>
    </xf>
    <xf numFmtId="0" fontId="28" fillId="0" borderId="10" xfId="0" applyFont="1" applyBorder="1" applyAlignment="1">
      <alignment horizontal="center" vertical="center"/>
    </xf>
    <xf numFmtId="202" fontId="28" fillId="0" borderId="10" xfId="0" applyNumberFormat="1" applyFont="1" applyBorder="1" applyAlignment="1">
      <alignment horizontal="center" vertical="center"/>
    </xf>
    <xf numFmtId="164" fontId="28" fillId="0" borderId="10" xfId="0" applyNumberFormat="1" applyFont="1" applyBorder="1" applyAlignment="1">
      <alignment horizontal="center" vertical="center"/>
    </xf>
    <xf numFmtId="202" fontId="28" fillId="0" borderId="0" xfId="0" applyNumberFormat="1" applyFont="1" applyAlignment="1">
      <alignment horizontal="center" vertical="center"/>
    </xf>
    <xf numFmtId="202" fontId="28" fillId="0" borderId="12" xfId="0" applyNumberFormat="1" applyFont="1" applyBorder="1" applyAlignment="1">
      <alignment horizontal="center" vertical="center"/>
    </xf>
    <xf numFmtId="0" fontId="20" fillId="61" borderId="11" xfId="0" applyFont="1" applyFill="1" applyBorder="1" applyAlignment="1">
      <alignment wrapText="1"/>
    </xf>
    <xf numFmtId="203" fontId="28" fillId="0" borderId="10" xfId="1" applyNumberFormat="1" applyFont="1" applyBorder="1" applyAlignment="1">
      <alignment horizontal="center" vertical="center"/>
    </xf>
    <xf numFmtId="203" fontId="28" fillId="0" borderId="0" xfId="1" applyNumberFormat="1" applyFont="1" applyBorder="1" applyAlignment="1">
      <alignment horizontal="center" vertical="center"/>
    </xf>
    <xf numFmtId="203" fontId="28" fillId="0" borderId="12" xfId="1" applyNumberFormat="1" applyFont="1" applyBorder="1" applyAlignment="1">
      <alignment horizontal="center" vertical="center"/>
    </xf>
    <xf numFmtId="0" fontId="20" fillId="61" borderId="11" xfId="23" applyFont="1" applyFill="1" applyBorder="1" applyAlignment="1">
      <alignment horizontal="left" vertical="center" wrapText="1"/>
    </xf>
    <xf numFmtId="0" fontId="20" fillId="61" borderId="11" xfId="23" applyFont="1" applyFill="1" applyBorder="1" applyAlignment="1">
      <alignment horizontal="center" vertical="center" wrapText="1"/>
    </xf>
    <xf numFmtId="0" fontId="28" fillId="0" borderId="0" xfId="23" applyFont="1" applyAlignment="1">
      <alignment horizontal="center"/>
    </xf>
    <xf numFmtId="170" fontId="28" fillId="0" borderId="0" xfId="29" applyNumberFormat="1" applyFont="1" applyAlignment="1" applyProtection="1">
      <alignment horizontal="center" vertical="center"/>
      <protection locked="0"/>
    </xf>
    <xf numFmtId="204" fontId="28" fillId="0" borderId="0" xfId="0" applyNumberFormat="1" applyFont="1" applyAlignment="1">
      <alignment horizontal="center"/>
    </xf>
    <xf numFmtId="0" fontId="28" fillId="0" borderId="12" xfId="23" applyFont="1" applyBorder="1" applyAlignment="1">
      <alignment horizontal="center"/>
    </xf>
    <xf numFmtId="204" fontId="28" fillId="0" borderId="12" xfId="0" applyNumberFormat="1" applyFont="1" applyBorder="1" applyAlignment="1">
      <alignment horizontal="center"/>
    </xf>
    <xf numFmtId="170" fontId="28" fillId="0" borderId="12" xfId="29" applyNumberFormat="1" applyFont="1" applyBorder="1" applyAlignment="1" applyProtection="1">
      <alignment horizontal="center" vertical="center"/>
      <protection locked="0"/>
    </xf>
    <xf numFmtId="0" fontId="26" fillId="0" borderId="1" xfId="4" applyFont="1" applyBorder="1"/>
    <xf numFmtId="0" fontId="26" fillId="0" borderId="0" xfId="4" applyFont="1" applyFill="1" applyAlignment="1">
      <alignment horizontal="center" vertical="center" wrapText="1"/>
    </xf>
    <xf numFmtId="182" fontId="28" fillId="0" borderId="0" xfId="0" applyNumberFormat="1" applyFont="1" applyAlignment="1">
      <alignment horizontal="center" vertical="center"/>
    </xf>
    <xf numFmtId="174" fontId="28" fillId="0" borderId="0" xfId="0" applyNumberFormat="1" applyFont="1" applyAlignment="1">
      <alignment horizontal="center" vertical="center"/>
    </xf>
    <xf numFmtId="174" fontId="28" fillId="0" borderId="0" xfId="0" applyNumberFormat="1" applyFont="1"/>
    <xf numFmtId="182" fontId="28" fillId="0" borderId="12" xfId="0" applyNumberFormat="1" applyFont="1" applyBorder="1" applyAlignment="1">
      <alignment horizontal="center" vertical="center"/>
    </xf>
    <xf numFmtId="174" fontId="28" fillId="0" borderId="12" xfId="0" applyNumberFormat="1" applyFont="1" applyBorder="1" applyAlignment="1">
      <alignment horizontal="center" vertical="center"/>
    </xf>
    <xf numFmtId="205" fontId="28" fillId="0" borderId="0" xfId="26" applyNumberFormat="1" applyFont="1" applyBorder="1" applyAlignment="1">
      <alignment vertical="center"/>
    </xf>
    <xf numFmtId="205" fontId="28" fillId="0" borderId="0" xfId="26" applyNumberFormat="1" applyFont="1" applyFill="1" applyBorder="1" applyAlignment="1">
      <alignment vertical="center"/>
    </xf>
    <xf numFmtId="0" fontId="133" fillId="0" borderId="48" xfId="0" applyFont="1" applyBorder="1" applyAlignment="1">
      <alignment horizontal="left" vertical="top" wrapText="1"/>
    </xf>
    <xf numFmtId="0" fontId="133" fillId="0" borderId="50" xfId="0" applyFont="1" applyBorder="1" applyAlignment="1">
      <alignment horizontal="left" vertical="top" wrapText="1"/>
    </xf>
    <xf numFmtId="0" fontId="58" fillId="0" borderId="0" xfId="0" applyFont="1" applyAlignment="1">
      <alignment vertical="center"/>
    </xf>
    <xf numFmtId="3" fontId="28" fillId="0" borderId="0" xfId="0" applyNumberFormat="1" applyFont="1"/>
    <xf numFmtId="193" fontId="28" fillId="0" borderId="0" xfId="6" applyNumberFormat="1" applyFont="1" applyBorder="1" applyAlignment="1">
      <alignment horizontal="center" vertical="center"/>
    </xf>
    <xf numFmtId="206" fontId="28" fillId="0" borderId="0" xfId="6" applyNumberFormat="1" applyFont="1" applyBorder="1" applyAlignment="1">
      <alignment horizontal="center" vertical="center"/>
    </xf>
    <xf numFmtId="3" fontId="28" fillId="0" borderId="12" xfId="0" applyNumberFormat="1" applyFont="1" applyBorder="1" applyAlignment="1">
      <alignment horizontal="right"/>
    </xf>
    <xf numFmtId="193" fontId="28" fillId="0" borderId="12" xfId="6" applyNumberFormat="1" applyFont="1" applyBorder="1" applyAlignment="1">
      <alignment horizontal="center" vertical="center"/>
    </xf>
    <xf numFmtId="206" fontId="28" fillId="0" borderId="12" xfId="6" applyNumberFormat="1" applyFont="1" applyBorder="1" applyAlignment="1">
      <alignment horizontal="center" vertical="center"/>
    </xf>
    <xf numFmtId="0" fontId="6" fillId="0" borderId="21" xfId="0" applyFont="1" applyBorder="1" applyAlignment="1">
      <alignment vertical="center" wrapText="1"/>
    </xf>
    <xf numFmtId="0" fontId="16" fillId="0" borderId="0" xfId="0" applyFont="1" applyAlignment="1">
      <alignment horizontal="left"/>
    </xf>
    <xf numFmtId="0" fontId="20" fillId="63" borderId="29" xfId="0" applyFont="1" applyFill="1" applyBorder="1" applyAlignment="1">
      <alignment horizontal="center" vertical="center" wrapText="1"/>
    </xf>
    <xf numFmtId="0" fontId="20" fillId="63" borderId="11" xfId="0" applyFont="1" applyFill="1" applyBorder="1" applyAlignment="1">
      <alignment horizontal="center" vertical="center" wrapText="1"/>
    </xf>
    <xf numFmtId="0" fontId="20" fillId="63" borderId="28" xfId="0" applyFont="1" applyFill="1" applyBorder="1" applyAlignment="1">
      <alignment horizontal="center" vertical="center" wrapText="1"/>
    </xf>
    <xf numFmtId="175" fontId="28" fillId="0" borderId="0" xfId="0" applyNumberFormat="1" applyFont="1"/>
    <xf numFmtId="180" fontId="28" fillId="0" borderId="0" xfId="0" applyNumberFormat="1" applyFont="1" applyAlignment="1">
      <alignment horizontal="right" vertical="center"/>
    </xf>
    <xf numFmtId="164" fontId="28" fillId="0" borderId="0" xfId="0" applyNumberFormat="1" applyFont="1"/>
    <xf numFmtId="180" fontId="28" fillId="0" borderId="0" xfId="0" applyNumberFormat="1" applyFont="1"/>
    <xf numFmtId="188" fontId="28" fillId="0" borderId="0" xfId="0" applyNumberFormat="1" applyFont="1" applyAlignment="1">
      <alignment horizontal="center"/>
    </xf>
    <xf numFmtId="0" fontId="28" fillId="0" borderId="76" xfId="0" applyFont="1" applyBorder="1" applyAlignment="1">
      <alignment horizontal="center"/>
    </xf>
    <xf numFmtId="188" fontId="28" fillId="0" borderId="12" xfId="0" applyNumberFormat="1" applyFont="1" applyBorder="1" applyAlignment="1">
      <alignment horizontal="center"/>
    </xf>
    <xf numFmtId="202" fontId="28" fillId="4" borderId="0" xfId="0" applyNumberFormat="1" applyFont="1" applyFill="1" applyAlignment="1">
      <alignment horizontal="center" vertical="center"/>
    </xf>
    <xf numFmtId="202" fontId="28" fillId="4" borderId="0" xfId="0" applyNumberFormat="1" applyFont="1" applyFill="1" applyAlignment="1">
      <alignment horizontal="center"/>
    </xf>
    <xf numFmtId="164" fontId="28" fillId="0" borderId="12" xfId="0" applyNumberFormat="1" applyFont="1" applyBorder="1" applyAlignment="1">
      <alignment horizontal="center"/>
    </xf>
    <xf numFmtId="0" fontId="20" fillId="63" borderId="10" xfId="0" applyFont="1" applyFill="1" applyBorder="1" applyAlignment="1">
      <alignment horizontal="center" vertical="center" wrapText="1"/>
    </xf>
    <xf numFmtId="0" fontId="20" fillId="63" borderId="0" xfId="0" applyFont="1" applyFill="1" applyAlignment="1">
      <alignment horizontal="center" vertical="center" wrapText="1"/>
    </xf>
    <xf numFmtId="0" fontId="20" fillId="63" borderId="12" xfId="0" applyFont="1" applyFill="1" applyBorder="1" applyAlignment="1">
      <alignment horizontal="center" vertical="center" wrapText="1"/>
    </xf>
    <xf numFmtId="164" fontId="28" fillId="0" borderId="0" xfId="0" applyNumberFormat="1" applyFont="1" applyAlignment="1">
      <alignment horizontal="center" vertical="center" wrapText="1"/>
    </xf>
    <xf numFmtId="164" fontId="28" fillId="0" borderId="12" xfId="0" applyNumberFormat="1" applyFont="1" applyBorder="1" applyAlignment="1">
      <alignment horizontal="center" vertical="center" wrapText="1"/>
    </xf>
    <xf numFmtId="0" fontId="58" fillId="0" borderId="0" xfId="0" applyFont="1" applyAlignment="1">
      <alignment horizontal="center" vertical="center"/>
    </xf>
    <xf numFmtId="0" fontId="58" fillId="0" borderId="0" xfId="0" applyFont="1" applyAlignment="1">
      <alignment horizontal="center" vertical="center" wrapText="1"/>
    </xf>
    <xf numFmtId="0" fontId="16" fillId="0" borderId="0" xfId="0" applyFont="1" applyAlignment="1">
      <alignment horizontal="left" readingOrder="1"/>
    </xf>
    <xf numFmtId="0" fontId="20" fillId="0" borderId="0" xfId="0" applyFont="1" applyAlignment="1">
      <alignment horizontal="left" vertical="top" readingOrder="1"/>
    </xf>
    <xf numFmtId="4" fontId="28" fillId="0" borderId="0" xfId="0" applyNumberFormat="1" applyFont="1"/>
    <xf numFmtId="0" fontId="28" fillId="0" borderId="12" xfId="0" applyFont="1" applyBorder="1" applyAlignment="1">
      <alignment horizontal="center" wrapText="1"/>
    </xf>
    <xf numFmtId="3" fontId="28" fillId="0" borderId="12" xfId="0" applyNumberFormat="1" applyFont="1" applyBorder="1"/>
    <xf numFmtId="4" fontId="28" fillId="0" borderId="12" xfId="0" applyNumberFormat="1" applyFont="1" applyBorder="1"/>
    <xf numFmtId="0" fontId="28" fillId="0" borderId="0" xfId="11" applyFont="1"/>
    <xf numFmtId="0" fontId="20" fillId="63" borderId="12" xfId="30" applyFont="1" applyFill="1" applyBorder="1" applyAlignment="1">
      <alignment horizontal="center" vertical="center" wrapText="1"/>
    </xf>
    <xf numFmtId="0" fontId="20" fillId="63" borderId="79" xfId="30" applyFont="1" applyFill="1" applyBorder="1" applyAlignment="1">
      <alignment horizontal="center" vertical="center" wrapText="1"/>
    </xf>
    <xf numFmtId="0" fontId="20" fillId="63" borderId="80" xfId="0" applyFont="1" applyFill="1" applyBorder="1" applyAlignment="1">
      <alignment horizontal="center" vertical="center" wrapText="1"/>
    </xf>
    <xf numFmtId="164" fontId="28" fillId="0" borderId="0" xfId="0" applyNumberFormat="1" applyFont="1" applyAlignment="1">
      <alignment horizontal="right" vertical="center"/>
    </xf>
    <xf numFmtId="164" fontId="20" fillId="0" borderId="0" xfId="0" applyNumberFormat="1" applyFont="1" applyAlignment="1">
      <alignment horizontal="center" vertical="center"/>
    </xf>
    <xf numFmtId="0" fontId="20" fillId="0" borderId="83" xfId="0" applyFont="1" applyBorder="1" applyAlignment="1">
      <alignment horizontal="justify" vertical="center" wrapText="1"/>
    </xf>
    <xf numFmtId="0" fontId="16" fillId="0" borderId="0" xfId="30" applyFont="1" applyAlignment="1">
      <alignment vertical="center"/>
    </xf>
    <xf numFmtId="0" fontId="28" fillId="4" borderId="0" xfId="14" applyFont="1" applyFill="1" applyAlignment="1">
      <alignment horizontal="left" indent="1"/>
    </xf>
    <xf numFmtId="164" fontId="16" fillId="0" borderId="0" xfId="0" applyNumberFormat="1" applyFont="1" applyAlignment="1">
      <alignment vertical="center"/>
    </xf>
    <xf numFmtId="164" fontId="28" fillId="0" borderId="0" xfId="0" applyNumberFormat="1" applyFont="1" applyAlignment="1">
      <alignment vertical="center" wrapText="1"/>
    </xf>
    <xf numFmtId="164" fontId="28" fillId="0" borderId="0" xfId="0" applyNumberFormat="1" applyFont="1" applyAlignment="1">
      <alignment horizontal="right" vertical="center" wrapText="1"/>
    </xf>
    <xf numFmtId="164" fontId="20" fillId="0" borderId="0" xfId="0" applyNumberFormat="1" applyFont="1" applyAlignment="1">
      <alignment horizontal="left" vertical="center" wrapText="1"/>
    </xf>
    <xf numFmtId="0" fontId="20" fillId="63" borderId="12" xfId="14" applyFont="1" applyFill="1" applyBorder="1" applyAlignment="1">
      <alignment horizontal="center" vertical="center" wrapText="1"/>
    </xf>
    <xf numFmtId="0" fontId="28" fillId="0" borderId="0" xfId="14" applyFont="1" applyAlignment="1">
      <alignment horizontal="left" vertical="center" wrapText="1"/>
    </xf>
    <xf numFmtId="0" fontId="28" fillId="0" borderId="12" xfId="14" applyFont="1" applyBorder="1" applyAlignment="1">
      <alignment horizontal="left" vertical="center" wrapText="1"/>
    </xf>
    <xf numFmtId="164" fontId="28" fillId="0" borderId="12" xfId="0" applyNumberFormat="1" applyFont="1" applyBorder="1" applyAlignment="1">
      <alignment horizontal="right" vertical="center" wrapText="1"/>
    </xf>
    <xf numFmtId="0" fontId="58" fillId="0" borderId="0" xfId="0" applyFont="1" applyAlignment="1">
      <alignment vertical="top"/>
    </xf>
    <xf numFmtId="0" fontId="58" fillId="0" borderId="0" xfId="0" applyFont="1" applyAlignment="1">
      <alignment vertical="top" wrapText="1"/>
    </xf>
    <xf numFmtId="0" fontId="20" fillId="63" borderId="24" xfId="0" applyFont="1" applyFill="1" applyBorder="1" applyAlignment="1">
      <alignment horizontal="left" indent="1"/>
    </xf>
    <xf numFmtId="0" fontId="28" fillId="0" borderId="0" xfId="0" applyFont="1" applyAlignment="1">
      <alignment horizontal="left" vertical="top"/>
    </xf>
    <xf numFmtId="0" fontId="20" fillId="63" borderId="10" xfId="0" applyFont="1" applyFill="1" applyBorder="1" applyAlignment="1">
      <alignment horizontal="center" vertical="center"/>
    </xf>
    <xf numFmtId="0" fontId="20" fillId="63" borderId="0" xfId="0" applyFont="1" applyFill="1" applyAlignment="1">
      <alignment horizontal="center" vertical="center"/>
    </xf>
    <xf numFmtId="0" fontId="20" fillId="63" borderId="0" xfId="0" applyFont="1" applyFill="1"/>
    <xf numFmtId="0" fontId="20" fillId="63" borderId="12" xfId="0" applyFont="1" applyFill="1" applyBorder="1" applyAlignment="1">
      <alignment horizontal="center" vertical="center"/>
    </xf>
    <xf numFmtId="207" fontId="28" fillId="0" borderId="0" xfId="0" applyNumberFormat="1" applyFont="1" applyAlignment="1">
      <alignment horizontal="right"/>
    </xf>
    <xf numFmtId="164" fontId="28" fillId="4" borderId="0" xfId="0" applyNumberFormat="1" applyFont="1" applyFill="1" applyAlignment="1">
      <alignment horizontal="right"/>
    </xf>
    <xf numFmtId="208" fontId="28" fillId="0" borderId="0" xfId="0" applyNumberFormat="1" applyFont="1" applyAlignment="1">
      <alignment horizontal="right"/>
    </xf>
    <xf numFmtId="209" fontId="28" fillId="0" borderId="12" xfId="0" applyNumberFormat="1" applyFont="1" applyBorder="1" applyAlignment="1">
      <alignment horizontal="right"/>
    </xf>
    <xf numFmtId="164" fontId="28" fillId="4" borderId="12" xfId="0" applyNumberFormat="1" applyFont="1" applyFill="1" applyBorder="1" applyAlignment="1">
      <alignment horizontal="right"/>
    </xf>
    <xf numFmtId="0" fontId="28" fillId="0" borderId="12" xfId="0" applyFont="1" applyBorder="1" applyAlignment="1">
      <alignment horizontal="right"/>
    </xf>
    <xf numFmtId="164" fontId="28" fillId="0" borderId="12" xfId="0" applyNumberFormat="1" applyFont="1" applyBorder="1" applyAlignment="1">
      <alignment horizontal="right"/>
    </xf>
    <xf numFmtId="208" fontId="28" fillId="0" borderId="12" xfId="0" applyNumberFormat="1" applyFont="1" applyBorder="1" applyAlignment="1">
      <alignment horizontal="right"/>
    </xf>
    <xf numFmtId="0" fontId="16" fillId="63" borderId="5" xfId="0" applyFont="1" applyFill="1" applyBorder="1" applyAlignment="1">
      <alignment vertical="top"/>
    </xf>
    <xf numFmtId="0" fontId="28" fillId="0" borderId="25" xfId="0" applyFont="1" applyBorder="1" applyAlignment="1">
      <alignment horizontal="center" vertical="center"/>
    </xf>
    <xf numFmtId="170" fontId="28" fillId="0" borderId="24" xfId="0" applyNumberFormat="1" applyFont="1" applyBorder="1"/>
    <xf numFmtId="170" fontId="28" fillId="0" borderId="24" xfId="0" applyNumberFormat="1" applyFont="1" applyBorder="1" applyAlignment="1">
      <alignment horizontal="center"/>
    </xf>
    <xf numFmtId="210" fontId="28" fillId="0" borderId="0" xfId="0" applyNumberFormat="1" applyFont="1" applyAlignment="1">
      <alignment horizontal="center"/>
    </xf>
    <xf numFmtId="210" fontId="28" fillId="0" borderId="24" xfId="0" applyNumberFormat="1" applyFont="1" applyBorder="1" applyAlignment="1">
      <alignment horizontal="center"/>
    </xf>
    <xf numFmtId="193" fontId="28" fillId="0" borderId="0" xfId="6" applyNumberFormat="1" applyFont="1" applyFill="1" applyBorder="1" applyAlignment="1">
      <alignment horizontal="center" vertical="center"/>
    </xf>
    <xf numFmtId="170" fontId="28" fillId="0" borderId="0" xfId="0" applyNumberFormat="1" applyFont="1" applyAlignment="1">
      <alignment horizontal="center"/>
    </xf>
    <xf numFmtId="210" fontId="28" fillId="0" borderId="9" xfId="0" applyNumberFormat="1" applyFont="1" applyBorder="1" applyAlignment="1">
      <alignment horizontal="center"/>
    </xf>
    <xf numFmtId="170" fontId="28" fillId="0" borderId="12" xfId="0" applyNumberFormat="1" applyFont="1" applyBorder="1" applyAlignment="1">
      <alignment horizontal="center"/>
    </xf>
    <xf numFmtId="210" fontId="28" fillId="0" borderId="19" xfId="0" applyNumberFormat="1" applyFont="1" applyBorder="1" applyAlignment="1">
      <alignment horizontal="center"/>
    </xf>
    <xf numFmtId="210" fontId="28" fillId="0" borderId="12" xfId="0" applyNumberFormat="1" applyFont="1" applyBorder="1" applyAlignment="1">
      <alignment horizontal="center"/>
    </xf>
    <xf numFmtId="193" fontId="28" fillId="0" borderId="12" xfId="6" applyNumberFormat="1" applyFont="1" applyFill="1" applyBorder="1" applyAlignment="1">
      <alignment horizontal="center" vertical="center"/>
    </xf>
    <xf numFmtId="193" fontId="28" fillId="0" borderId="12" xfId="6" applyNumberFormat="1" applyFont="1" applyBorder="1"/>
    <xf numFmtId="187" fontId="28" fillId="0" borderId="0" xfId="3" applyNumberFormat="1" applyFont="1"/>
    <xf numFmtId="193" fontId="28" fillId="0" borderId="0" xfId="6" applyNumberFormat="1" applyFont="1" applyBorder="1"/>
    <xf numFmtId="43" fontId="28" fillId="0" borderId="0" xfId="6" applyFont="1" applyBorder="1"/>
    <xf numFmtId="43" fontId="28" fillId="0" borderId="12" xfId="6" applyFont="1" applyBorder="1"/>
    <xf numFmtId="211" fontId="28" fillId="0" borderId="0" xfId="0" applyNumberFormat="1" applyFont="1" applyAlignment="1">
      <alignment vertical="top"/>
    </xf>
    <xf numFmtId="0" fontId="26" fillId="0" borderId="1" xfId="4" applyFont="1" applyBorder="1" applyAlignment="1">
      <alignment vertical="top" wrapText="1"/>
    </xf>
    <xf numFmtId="0" fontId="28" fillId="0" borderId="0" xfId="0" applyFont="1" applyAlignment="1">
      <alignment horizontal="right" wrapText="1"/>
    </xf>
    <xf numFmtId="164" fontId="28" fillId="0" borderId="0" xfId="0" applyNumberFormat="1" applyFont="1" applyAlignment="1">
      <alignment horizontal="right" wrapText="1"/>
    </xf>
    <xf numFmtId="164" fontId="28" fillId="0" borderId="12" xfId="0" applyNumberFormat="1" applyFont="1" applyBorder="1" applyAlignment="1">
      <alignment horizontal="right" wrapText="1"/>
    </xf>
    <xf numFmtId="0" fontId="28" fillId="0" borderId="12" xfId="0" applyFont="1" applyBorder="1" applyAlignment="1">
      <alignment horizontal="right" wrapText="1"/>
    </xf>
    <xf numFmtId="2" fontId="28" fillId="56" borderId="12" xfId="0" applyNumberFormat="1" applyFont="1" applyFill="1" applyBorder="1" applyAlignment="1">
      <alignment horizontal="center"/>
    </xf>
    <xf numFmtId="0" fontId="26" fillId="4" borderId="2" xfId="4" applyFont="1" applyFill="1" applyBorder="1" applyAlignment="1">
      <alignment vertical="top" wrapText="1"/>
    </xf>
    <xf numFmtId="0" fontId="13" fillId="0" borderId="0" xfId="4" applyFont="1" applyFill="1" applyAlignment="1">
      <alignment horizontal="center"/>
    </xf>
    <xf numFmtId="0" fontId="26" fillId="0" borderId="0" xfId="4" applyFont="1" applyAlignment="1">
      <alignment vertical="center"/>
    </xf>
    <xf numFmtId="0" fontId="20" fillId="0" borderId="0" xfId="0" applyFont="1" applyAlignment="1">
      <alignment horizontal="left"/>
    </xf>
    <xf numFmtId="0" fontId="20" fillId="63" borderId="11" xfId="0" applyFont="1" applyFill="1" applyBorder="1"/>
    <xf numFmtId="170" fontId="28" fillId="0" borderId="0" xfId="1" applyNumberFormat="1" applyFont="1" applyBorder="1" applyAlignment="1">
      <alignment horizontal="right"/>
    </xf>
    <xf numFmtId="187" fontId="28" fillId="0" borderId="0" xfId="3" applyNumberFormat="1" applyFont="1" applyBorder="1" applyAlignment="1">
      <alignment horizontal="right"/>
    </xf>
    <xf numFmtId="170" fontId="28" fillId="0" borderId="0" xfId="1" applyNumberFormat="1" applyFont="1" applyBorder="1" applyAlignment="1">
      <alignment horizontal="right" wrapText="1"/>
    </xf>
    <xf numFmtId="187" fontId="28" fillId="0" borderId="0" xfId="3" applyNumberFormat="1" applyFont="1" applyBorder="1" applyAlignment="1">
      <alignment horizontal="right" wrapText="1"/>
    </xf>
    <xf numFmtId="0" fontId="28" fillId="0" borderId="10" xfId="0" applyFont="1" applyBorder="1" applyAlignment="1">
      <alignment vertical="center"/>
    </xf>
    <xf numFmtId="0" fontId="28" fillId="0" borderId="10" xfId="0" applyFont="1" applyBorder="1" applyAlignment="1">
      <alignment vertical="center" wrapText="1"/>
    </xf>
    <xf numFmtId="0" fontId="26" fillId="4" borderId="1" xfId="4" applyFont="1" applyFill="1" applyBorder="1" applyAlignment="1">
      <alignment vertical="top" wrapText="1"/>
    </xf>
    <xf numFmtId="0" fontId="20" fillId="63" borderId="11" xfId="0" applyFont="1" applyFill="1" applyBorder="1" applyAlignment="1">
      <alignment horizontal="center" vertical="center"/>
    </xf>
    <xf numFmtId="0" fontId="28" fillId="0" borderId="0" xfId="0" quotePrefix="1" applyFont="1" applyAlignment="1">
      <alignment horizontal="center" vertical="center"/>
    </xf>
    <xf numFmtId="3" fontId="28" fillId="0" borderId="0" xfId="0" applyNumberFormat="1" applyFont="1" applyAlignment="1">
      <alignment horizontal="center"/>
    </xf>
    <xf numFmtId="170" fontId="28" fillId="0" borderId="0" xfId="1" applyNumberFormat="1" applyFont="1" applyFill="1" applyBorder="1" applyAlignment="1">
      <alignment horizontal="center" vertical="center" wrapText="1"/>
    </xf>
    <xf numFmtId="170" fontId="28" fillId="0" borderId="0" xfId="1" applyNumberFormat="1" applyFont="1" applyBorder="1" applyAlignment="1">
      <alignment horizontal="center"/>
    </xf>
    <xf numFmtId="0" fontId="28" fillId="0" borderId="12" xfId="0" quotePrefix="1" applyFont="1" applyBorder="1" applyAlignment="1">
      <alignment horizontal="center" vertical="center"/>
    </xf>
    <xf numFmtId="170" fontId="28" fillId="0" borderId="12" xfId="1" applyNumberFormat="1" applyFont="1" applyBorder="1" applyAlignment="1">
      <alignment horizontal="center"/>
    </xf>
    <xf numFmtId="172" fontId="28" fillId="0" borderId="0" xfId="1" applyNumberFormat="1" applyFont="1" applyBorder="1"/>
    <xf numFmtId="0" fontId="16" fillId="0" borderId="0" xfId="31" applyFont="1" applyAlignment="1">
      <alignment wrapText="1"/>
    </xf>
    <xf numFmtId="0" fontId="16" fillId="0" borderId="24" xfId="31" applyFont="1" applyBorder="1" applyAlignment="1">
      <alignment vertical="center"/>
    </xf>
    <xf numFmtId="0" fontId="16" fillId="0" borderId="0" xfId="31" applyFont="1" applyAlignment="1">
      <alignment vertical="center"/>
    </xf>
    <xf numFmtId="0" fontId="20" fillId="63" borderId="10" xfId="31" applyFont="1" applyFill="1" applyBorder="1" applyAlignment="1">
      <alignment horizontal="center" vertical="center" wrapText="1"/>
    </xf>
    <xf numFmtId="0" fontId="20" fillId="63" borderId="0" xfId="31" applyFont="1" applyFill="1" applyAlignment="1">
      <alignment horizontal="center" vertical="center" wrapText="1"/>
    </xf>
    <xf numFmtId="0" fontId="20" fillId="63" borderId="12" xfId="0" applyFont="1" applyFill="1" applyBorder="1" applyAlignment="1">
      <alignment vertical="center"/>
    </xf>
    <xf numFmtId="0" fontId="20" fillId="63" borderId="12" xfId="31" applyFont="1" applyFill="1" applyBorder="1" applyAlignment="1">
      <alignment horizontal="center" vertical="center" wrapText="1"/>
    </xf>
    <xf numFmtId="1" fontId="28" fillId="0" borderId="0" xfId="0" applyNumberFormat="1" applyFont="1" applyAlignment="1">
      <alignment horizontal="center"/>
    </xf>
    <xf numFmtId="212" fontId="28" fillId="0" borderId="0" xfId="1" applyNumberFormat="1" applyFont="1" applyBorder="1" applyAlignment="1"/>
    <xf numFmtId="172" fontId="28" fillId="0" borderId="0" xfId="1" applyNumberFormat="1" applyFont="1" applyAlignment="1">
      <alignment wrapText="1"/>
    </xf>
    <xf numFmtId="170" fontId="28" fillId="0" borderId="0" xfId="1" applyNumberFormat="1" applyFont="1" applyFill="1" applyBorder="1" applyAlignment="1">
      <alignment vertical="center" wrapText="1"/>
    </xf>
    <xf numFmtId="212" fontId="134" fillId="0" borderId="0" xfId="1" applyNumberFormat="1" applyFont="1" applyBorder="1" applyAlignment="1"/>
    <xf numFmtId="164" fontId="28" fillId="0" borderId="0" xfId="1" applyNumberFormat="1" applyFont="1" applyBorder="1" applyAlignment="1"/>
    <xf numFmtId="170" fontId="28" fillId="0" borderId="0" xfId="1" applyNumberFormat="1" applyFont="1" applyBorder="1" applyAlignment="1"/>
    <xf numFmtId="0" fontId="20" fillId="0" borderId="9" xfId="0" applyFont="1" applyBorder="1" applyAlignment="1">
      <alignment vertical="top"/>
    </xf>
    <xf numFmtId="0" fontId="20" fillId="63" borderId="11" xfId="0" applyFont="1" applyFill="1" applyBorder="1" applyAlignment="1">
      <alignment vertical="top" wrapText="1"/>
    </xf>
    <xf numFmtId="0" fontId="20" fillId="64" borderId="11" xfId="0" applyFont="1" applyFill="1" applyBorder="1" applyAlignment="1">
      <alignment horizontal="center" vertical="center"/>
    </xf>
    <xf numFmtId="0" fontId="20" fillId="64" borderId="11" xfId="0" applyFont="1" applyFill="1" applyBorder="1" applyAlignment="1">
      <alignment horizontal="center" vertical="center" wrapText="1"/>
    </xf>
    <xf numFmtId="37" fontId="20" fillId="64" borderId="12" xfId="0" applyNumberFormat="1" applyFont="1" applyFill="1" applyBorder="1" applyAlignment="1">
      <alignment horizontal="center" vertical="center" wrapText="1"/>
    </xf>
    <xf numFmtId="164" fontId="28" fillId="4" borderId="0" xfId="0" applyNumberFormat="1" applyFont="1" applyFill="1" applyAlignment="1">
      <alignment horizontal="center" vertical="center" wrapText="1"/>
    </xf>
    <xf numFmtId="0" fontId="28" fillId="56" borderId="1" xfId="0" applyFont="1" applyFill="1" applyBorder="1" applyAlignment="1">
      <alignment vertical="top" wrapText="1"/>
    </xf>
    <xf numFmtId="0" fontId="28" fillId="0" borderId="10" xfId="0" applyFont="1" applyBorder="1"/>
    <xf numFmtId="0" fontId="57" fillId="0" borderId="0" xfId="0" applyFont="1" applyAlignment="1">
      <alignment horizontal="center" vertical="center"/>
    </xf>
    <xf numFmtId="183" fontId="57" fillId="0" borderId="0" xfId="0" applyNumberFormat="1" applyFont="1" applyAlignment="1">
      <alignment horizontal="center" vertical="center"/>
    </xf>
    <xf numFmtId="2" fontId="57" fillId="0" borderId="0" xfId="0" applyNumberFormat="1" applyFont="1" applyAlignment="1">
      <alignment horizontal="center" vertical="center"/>
    </xf>
    <xf numFmtId="0" fontId="57" fillId="0" borderId="12" xfId="0" applyFont="1" applyBorder="1" applyAlignment="1">
      <alignment horizontal="center" vertical="center"/>
    </xf>
    <xf numFmtId="183" fontId="57" fillId="0" borderId="12" xfId="0" applyNumberFormat="1" applyFont="1" applyBorder="1" applyAlignment="1">
      <alignment horizontal="center" vertical="center"/>
    </xf>
    <xf numFmtId="2" fontId="57" fillId="0" borderId="12" xfId="0" applyNumberFormat="1" applyFont="1" applyBorder="1" applyAlignment="1">
      <alignment horizontal="center" vertical="center"/>
    </xf>
    <xf numFmtId="0" fontId="136" fillId="0" borderId="0" xfId="0" applyFont="1" applyAlignment="1">
      <alignment horizontal="center" vertical="center"/>
    </xf>
    <xf numFmtId="210" fontId="136" fillId="0" borderId="0" xfId="0" applyNumberFormat="1" applyFont="1" applyAlignment="1">
      <alignment horizontal="center" vertical="center"/>
    </xf>
    <xf numFmtId="0" fontId="136" fillId="0" borderId="12" xfId="0" applyFont="1" applyBorder="1" applyAlignment="1">
      <alignment horizontal="center" vertical="center"/>
    </xf>
    <xf numFmtId="210" fontId="136" fillId="0" borderId="12" xfId="0" applyNumberFormat="1" applyFont="1" applyBorder="1" applyAlignment="1">
      <alignment horizontal="center" vertical="center"/>
    </xf>
    <xf numFmtId="0" fontId="137" fillId="0" borderId="0" xfId="0" applyFont="1"/>
    <xf numFmtId="0" fontId="28" fillId="4" borderId="0" xfId="0" applyFont="1" applyFill="1" applyAlignment="1">
      <alignment horizontal="center"/>
    </xf>
    <xf numFmtId="37" fontId="20" fillId="64" borderId="10" xfId="0" applyNumberFormat="1" applyFont="1" applyFill="1" applyBorder="1" applyAlignment="1">
      <alignment horizontal="center"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164" fontId="20" fillId="0" borderId="0" xfId="0" applyNumberFormat="1" applyFont="1" applyAlignment="1">
      <alignment horizontal="right" vertical="center"/>
    </xf>
    <xf numFmtId="164" fontId="28" fillId="0" borderId="12" xfId="0" applyNumberFormat="1" applyFont="1" applyBorder="1" applyAlignment="1">
      <alignment horizontal="right" vertical="center"/>
    </xf>
    <xf numFmtId="164" fontId="20" fillId="0" borderId="12" xfId="0" applyNumberFormat="1" applyFont="1" applyBorder="1" applyAlignment="1">
      <alignment horizontal="right" vertical="center"/>
    </xf>
    <xf numFmtId="0" fontId="20" fillId="64" borderId="0" xfId="0" applyFont="1" applyFill="1" applyAlignment="1">
      <alignment horizontal="center" vertical="center" wrapText="1"/>
    </xf>
    <xf numFmtId="0" fontId="20" fillId="64" borderId="12" xfId="0" applyFont="1" applyFill="1" applyBorder="1" applyAlignment="1">
      <alignment horizontal="center" vertical="center" wrapText="1"/>
    </xf>
    <xf numFmtId="170" fontId="28" fillId="0" borderId="0" xfId="0" applyNumberFormat="1" applyFont="1" applyAlignment="1">
      <alignment horizontal="center" vertical="center" wrapText="1"/>
    </xf>
    <xf numFmtId="170" fontId="28" fillId="0" borderId="0" xfId="0" applyNumberFormat="1" applyFont="1" applyAlignment="1">
      <alignment vertical="center" wrapText="1"/>
    </xf>
    <xf numFmtId="170" fontId="28" fillId="0" borderId="0" xfId="0" applyNumberFormat="1" applyFont="1" applyAlignment="1">
      <alignment horizontal="right" vertical="center" wrapText="1"/>
    </xf>
    <xf numFmtId="1" fontId="28" fillId="0" borderId="0" xfId="0" applyNumberFormat="1" applyFont="1" applyAlignment="1">
      <alignment horizontal="center" vertical="center" wrapText="1"/>
    </xf>
    <xf numFmtId="1" fontId="28" fillId="0" borderId="0" xfId="0" applyNumberFormat="1" applyFont="1" applyAlignment="1">
      <alignment horizontal="right" vertical="center" wrapText="1"/>
    </xf>
    <xf numFmtId="9" fontId="28" fillId="0" borderId="0" xfId="0" applyNumberFormat="1" applyFont="1" applyAlignment="1">
      <alignment horizontal="right" vertical="center" wrapText="1"/>
    </xf>
    <xf numFmtId="1" fontId="28" fillId="0" borderId="0" xfId="32" applyNumberFormat="1" applyFont="1" applyFill="1" applyBorder="1" applyAlignment="1">
      <alignment horizontal="center" vertical="center" wrapText="1"/>
    </xf>
    <xf numFmtId="1" fontId="28" fillId="0" borderId="0" xfId="3" applyNumberFormat="1" applyFont="1" applyFill="1" applyBorder="1" applyAlignment="1">
      <alignment horizontal="center" vertical="center" wrapText="1"/>
    </xf>
    <xf numFmtId="170" fontId="28" fillId="0" borderId="12" xfId="0" applyNumberFormat="1" applyFont="1" applyBorder="1" applyAlignment="1">
      <alignment horizontal="center" vertical="center" wrapText="1"/>
    </xf>
    <xf numFmtId="170" fontId="28" fillId="0" borderId="12" xfId="0" applyNumberFormat="1" applyFont="1" applyBorder="1" applyAlignment="1">
      <alignment vertical="center" wrapText="1"/>
    </xf>
    <xf numFmtId="170" fontId="28" fillId="0" borderId="12" xfId="0" applyNumberFormat="1" applyFont="1" applyBorder="1" applyAlignment="1">
      <alignment horizontal="right" vertical="center" wrapText="1"/>
    </xf>
    <xf numFmtId="1" fontId="28" fillId="0" borderId="12" xfId="0" applyNumberFormat="1" applyFont="1" applyBorder="1" applyAlignment="1">
      <alignment horizontal="center" vertical="center" wrapText="1"/>
    </xf>
    <xf numFmtId="1" fontId="28" fillId="0" borderId="12" xfId="0" applyNumberFormat="1" applyFont="1" applyBorder="1" applyAlignment="1">
      <alignment horizontal="center"/>
    </xf>
    <xf numFmtId="1" fontId="28" fillId="0" borderId="12" xfId="3" applyNumberFormat="1" applyFont="1" applyFill="1" applyBorder="1" applyAlignment="1">
      <alignment horizontal="center" vertical="center" wrapText="1"/>
    </xf>
    <xf numFmtId="0" fontId="28" fillId="0" borderId="33" xfId="0" applyFont="1" applyBorder="1" applyAlignment="1">
      <alignment horizontal="center"/>
    </xf>
    <xf numFmtId="1" fontId="28" fillId="0" borderId="12" xfId="0" applyNumberFormat="1" applyFont="1" applyBorder="1" applyAlignment="1">
      <alignment horizontal="right" vertical="center" wrapText="1"/>
    </xf>
    <xf numFmtId="170" fontId="28" fillId="0" borderId="33" xfId="0" applyNumberFormat="1" applyFont="1" applyBorder="1" applyAlignment="1">
      <alignment horizontal="center" vertical="center" wrapText="1"/>
    </xf>
    <xf numFmtId="0" fontId="16" fillId="0" borderId="0" xfId="0" applyFont="1" applyAlignment="1">
      <alignment vertical="top" wrapText="1"/>
    </xf>
    <xf numFmtId="0" fontId="20" fillId="65" borderId="10" xfId="0" applyFont="1" applyFill="1" applyBorder="1" applyAlignment="1">
      <alignment vertical="center" wrapText="1"/>
    </xf>
    <xf numFmtId="0" fontId="20" fillId="65" borderId="10" xfId="0" applyFont="1" applyFill="1" applyBorder="1" applyAlignment="1">
      <alignment horizontal="center" vertical="center"/>
    </xf>
    <xf numFmtId="0" fontId="20" fillId="65" borderId="12" xfId="0" applyFont="1" applyFill="1" applyBorder="1" applyAlignment="1">
      <alignment vertical="center" wrapText="1"/>
    </xf>
    <xf numFmtId="0" fontId="20" fillId="65" borderId="12" xfId="0" applyFont="1" applyFill="1" applyBorder="1" applyAlignment="1">
      <alignment horizontal="center" vertical="center" wrapText="1"/>
    </xf>
    <xf numFmtId="16" fontId="20" fillId="65" borderId="12" xfId="0" applyNumberFormat="1" applyFont="1" applyFill="1" applyBorder="1" applyAlignment="1">
      <alignment horizontal="center" vertical="center" wrapText="1"/>
    </xf>
    <xf numFmtId="166" fontId="28" fillId="0" borderId="0" xfId="33" applyNumberFormat="1" applyFont="1" applyAlignment="1">
      <alignment horizontal="center" vertical="center"/>
    </xf>
    <xf numFmtId="166" fontId="28" fillId="0" borderId="0" xfId="34" applyNumberFormat="1" applyFont="1" applyAlignment="1">
      <alignment horizontal="center" vertical="center"/>
    </xf>
    <xf numFmtId="166" fontId="28" fillId="0" borderId="0" xfId="35" applyNumberFormat="1" applyFont="1" applyAlignment="1">
      <alignment horizontal="center" vertical="center"/>
    </xf>
    <xf numFmtId="166" fontId="28" fillId="0" borderId="12" xfId="33" applyNumberFormat="1" applyFont="1" applyBorder="1" applyAlignment="1">
      <alignment horizontal="center" vertical="center"/>
    </xf>
    <xf numFmtId="166" fontId="28" fillId="0" borderId="12" xfId="34" applyNumberFormat="1" applyFont="1" applyBorder="1" applyAlignment="1">
      <alignment horizontal="center" vertical="center"/>
    </xf>
    <xf numFmtId="166" fontId="28" fillId="0" borderId="12" xfId="35" applyNumberFormat="1" applyFont="1" applyBorder="1" applyAlignment="1">
      <alignment horizontal="center" vertical="center"/>
    </xf>
    <xf numFmtId="0" fontId="20" fillId="65" borderId="10" xfId="0" applyFont="1" applyFill="1" applyBorder="1" applyAlignment="1">
      <alignment horizontal="center" vertical="center" wrapText="1"/>
    </xf>
    <xf numFmtId="0" fontId="28" fillId="0" borderId="4" xfId="0" applyFont="1" applyBorder="1" applyAlignment="1">
      <alignment vertical="top" wrapText="1"/>
    </xf>
    <xf numFmtId="0" fontId="20" fillId="65" borderId="11" xfId="0" applyFont="1" applyFill="1" applyBorder="1" applyAlignment="1">
      <alignment horizontal="center" vertical="center" wrapText="1"/>
    </xf>
    <xf numFmtId="0" fontId="20" fillId="0" borderId="0" xfId="36" applyFont="1" applyAlignment="1">
      <alignment horizontal="left" vertical="top" wrapText="1"/>
    </xf>
    <xf numFmtId="2" fontId="20" fillId="0" borderId="0" xfId="36" applyNumberFormat="1" applyFont="1" applyAlignment="1">
      <alignment horizontal="right" vertical="top"/>
    </xf>
    <xf numFmtId="0" fontId="28" fillId="0" borderId="0" xfId="36" applyFont="1" applyAlignment="1">
      <alignment horizontal="left" vertical="top"/>
    </xf>
    <xf numFmtId="2" fontId="28" fillId="0" borderId="0" xfId="36" applyNumberFormat="1" applyFont="1" applyAlignment="1">
      <alignment horizontal="right" vertical="top"/>
    </xf>
    <xf numFmtId="0" fontId="28" fillId="0" borderId="12" xfId="36" applyFont="1" applyBorder="1" applyAlignment="1">
      <alignment horizontal="left" vertical="top"/>
    </xf>
    <xf numFmtId="2" fontId="28" fillId="0" borderId="12" xfId="36" applyNumberFormat="1" applyFont="1" applyBorder="1" applyAlignment="1">
      <alignment horizontal="right" vertical="top"/>
    </xf>
    <xf numFmtId="0" fontId="28" fillId="0" borderId="0" xfId="36" applyFont="1" applyAlignment="1">
      <alignment vertical="top" wrapText="1"/>
    </xf>
    <xf numFmtId="168" fontId="28" fillId="0" borderId="0" xfId="36" applyNumberFormat="1" applyFont="1" applyAlignment="1">
      <alignment horizontal="right" vertical="top"/>
    </xf>
    <xf numFmtId="0" fontId="28" fillId="0" borderId="12" xfId="36" applyFont="1" applyBorder="1" applyAlignment="1">
      <alignment horizontal="left" vertical="top" wrapText="1"/>
    </xf>
    <xf numFmtId="168" fontId="28" fillId="0" borderId="12" xfId="36" applyNumberFormat="1" applyFont="1" applyBorder="1" applyAlignment="1">
      <alignment horizontal="right" vertical="top"/>
    </xf>
    <xf numFmtId="166" fontId="20" fillId="0" borderId="0" xfId="0" applyNumberFormat="1" applyFont="1" applyAlignment="1">
      <alignment horizontal="right" vertical="center"/>
    </xf>
    <xf numFmtId="180" fontId="20" fillId="0" borderId="0" xfId="0" applyNumberFormat="1" applyFont="1" applyAlignment="1">
      <alignment horizontal="right" vertical="center"/>
    </xf>
    <xf numFmtId="166" fontId="28" fillId="0" borderId="0" xfId="0" applyNumberFormat="1" applyFont="1" applyAlignment="1">
      <alignment horizontal="right" vertical="center"/>
    </xf>
    <xf numFmtId="177" fontId="28" fillId="0" borderId="0" xfId="0" applyNumberFormat="1" applyFont="1" applyAlignment="1">
      <alignment horizontal="right" vertical="center"/>
    </xf>
    <xf numFmtId="0" fontId="28" fillId="0" borderId="0" xfId="0" applyFont="1" applyAlignment="1">
      <alignment horizontal="left" vertical="center" indent="2"/>
    </xf>
    <xf numFmtId="166" fontId="28" fillId="0" borderId="12" xfId="0" applyNumberFormat="1" applyFont="1" applyBorder="1" applyAlignment="1">
      <alignment horizontal="right" vertical="center"/>
    </xf>
    <xf numFmtId="180" fontId="28" fillId="0" borderId="12" xfId="0" applyNumberFormat="1" applyFont="1" applyBorder="1" applyAlignment="1">
      <alignment horizontal="right" vertical="center"/>
    </xf>
    <xf numFmtId="0" fontId="28" fillId="0" borderId="0" xfId="0" applyFont="1" applyAlignment="1" applyProtection="1">
      <alignment horizontal="center" vertical="center" wrapText="1" readingOrder="1"/>
      <protection locked="0"/>
    </xf>
    <xf numFmtId="213" fontId="28" fillId="0" borderId="0" xfId="0" applyNumberFormat="1" applyFont="1" applyAlignment="1" applyProtection="1">
      <alignment horizontal="center" vertical="center" wrapText="1" readingOrder="1"/>
      <protection locked="0"/>
    </xf>
    <xf numFmtId="0" fontId="28" fillId="0" borderId="12" xfId="0" applyFont="1" applyBorder="1" applyAlignment="1" applyProtection="1">
      <alignment horizontal="center" vertical="center" wrapText="1" readingOrder="1"/>
      <protection locked="0"/>
    </xf>
    <xf numFmtId="213" fontId="28" fillId="0" borderId="12" xfId="0" applyNumberFormat="1" applyFont="1" applyBorder="1" applyAlignment="1" applyProtection="1">
      <alignment horizontal="center" vertical="center" wrapText="1" readingOrder="1"/>
      <protection locked="0"/>
    </xf>
    <xf numFmtId="0" fontId="4" fillId="0" borderId="1" xfId="4" applyFill="1" applyBorder="1" applyAlignment="1">
      <alignment vertical="top" wrapText="1"/>
    </xf>
    <xf numFmtId="0" fontId="20" fillId="65" borderId="10" xfId="0" applyFont="1" applyFill="1" applyBorder="1" applyAlignment="1">
      <alignment horizontal="center"/>
    </xf>
    <xf numFmtId="0" fontId="20" fillId="65" borderId="12" xfId="0" applyFont="1" applyFill="1" applyBorder="1" applyAlignment="1">
      <alignment horizontal="center"/>
    </xf>
    <xf numFmtId="0" fontId="20" fillId="65" borderId="0" xfId="0" applyFont="1" applyFill="1" applyAlignment="1">
      <alignment horizontal="center"/>
    </xf>
    <xf numFmtId="49" fontId="28" fillId="0" borderId="0" xfId="0" applyNumberFormat="1" applyFont="1" applyAlignment="1">
      <alignment horizontal="center"/>
    </xf>
    <xf numFmtId="3" fontId="0" fillId="0" borderId="10" xfId="0" applyNumberFormat="1" applyBorder="1"/>
    <xf numFmtId="3" fontId="20" fillId="0" borderId="10" xfId="0" applyNumberFormat="1" applyFont="1" applyBorder="1"/>
    <xf numFmtId="3" fontId="0" fillId="0" borderId="0" xfId="0" applyNumberFormat="1"/>
    <xf numFmtId="3" fontId="20" fillId="0" borderId="0" xfId="0" applyNumberFormat="1" applyFont="1"/>
    <xf numFmtId="0" fontId="20" fillId="0" borderId="12" xfId="0" applyFont="1" applyBorder="1"/>
    <xf numFmtId="3" fontId="20" fillId="0" borderId="12" xfId="0" applyNumberFormat="1" applyFont="1" applyBorder="1"/>
    <xf numFmtId="0" fontId="20" fillId="65" borderId="11" xfId="0" applyFont="1" applyFill="1" applyBorder="1" applyAlignment="1">
      <alignment horizontal="center"/>
    </xf>
    <xf numFmtId="3" fontId="28" fillId="0" borderId="10" xfId="0" applyNumberFormat="1" applyFont="1" applyBorder="1"/>
    <xf numFmtId="0" fontId="20" fillId="0" borderId="12" xfId="0" applyFont="1" applyBorder="1" applyAlignment="1">
      <alignment horizontal="center"/>
    </xf>
    <xf numFmtId="0" fontId="20" fillId="5" borderId="1" xfId="0" applyFont="1" applyFill="1" applyBorder="1" applyAlignment="1">
      <alignment horizontal="justify" vertical="top"/>
    </xf>
    <xf numFmtId="0" fontId="28" fillId="0" borderId="1" xfId="0" applyFont="1" applyBorder="1" applyAlignment="1">
      <alignment horizontal="justify" vertical="top" wrapText="1"/>
    </xf>
    <xf numFmtId="0" fontId="20" fillId="6" borderId="14" xfId="0" applyFont="1" applyFill="1" applyBorder="1" applyAlignment="1">
      <alignment vertical="top"/>
    </xf>
    <xf numFmtId="0" fontId="20" fillId="6" borderId="14" xfId="0" applyFont="1" applyFill="1" applyBorder="1" applyAlignment="1">
      <alignment horizontal="left" vertical="top"/>
    </xf>
    <xf numFmtId="0" fontId="20" fillId="7" borderId="11" xfId="0" applyFont="1" applyFill="1" applyBorder="1" applyAlignment="1">
      <alignment horizontal="left" vertical="top"/>
    </xf>
    <xf numFmtId="0" fontId="28" fillId="4" borderId="4" xfId="0" applyFont="1" applyFill="1" applyBorder="1" applyAlignment="1">
      <alignment vertical="top" wrapText="1"/>
    </xf>
    <xf numFmtId="0" fontId="16" fillId="65" borderId="5" xfId="0" applyFont="1" applyFill="1" applyBorder="1" applyAlignment="1">
      <alignment vertical="top"/>
    </xf>
    <xf numFmtId="0" fontId="16" fillId="65" borderId="6" xfId="0" applyFont="1" applyFill="1" applyBorder="1" applyAlignment="1">
      <alignment vertical="top"/>
    </xf>
    <xf numFmtId="0" fontId="16" fillId="65" borderId="7" xfId="0" applyFont="1" applyFill="1" applyBorder="1" applyAlignment="1">
      <alignment vertical="top"/>
    </xf>
    <xf numFmtId="0" fontId="58" fillId="0" borderId="0" xfId="0" applyFont="1" applyAlignment="1">
      <alignment horizontal="left" wrapText="1"/>
    </xf>
    <xf numFmtId="0" fontId="20" fillId="65" borderId="12" xfId="0" applyFont="1" applyFill="1" applyBorder="1" applyAlignment="1">
      <alignment horizontal="center" vertical="center"/>
    </xf>
    <xf numFmtId="0" fontId="4" fillId="0" borderId="0" xfId="4" applyAlignment="1"/>
    <xf numFmtId="0" fontId="20" fillId="5" borderId="1" xfId="0" applyFont="1" applyFill="1" applyBorder="1" applyAlignment="1">
      <alignment wrapText="1"/>
    </xf>
    <xf numFmtId="0" fontId="26" fillId="0" borderId="1" xfId="4" applyFont="1" applyFill="1" applyBorder="1" applyAlignment="1">
      <alignment horizontal="left" wrapText="1"/>
    </xf>
    <xf numFmtId="0" fontId="26" fillId="0" borderId="1" xfId="4" applyFont="1" applyBorder="1" applyAlignment="1">
      <alignment wrapText="1"/>
    </xf>
    <xf numFmtId="0" fontId="141" fillId="2" borderId="1" xfId="0" applyFont="1" applyFill="1" applyBorder="1" applyAlignment="1">
      <alignment horizontal="center" vertical="center" wrapText="1"/>
    </xf>
    <xf numFmtId="0" fontId="142" fillId="0" borderId="1" xfId="0" applyFont="1" applyBorder="1" applyAlignment="1">
      <alignment horizontal="center" vertical="center" wrapText="1"/>
    </xf>
    <xf numFmtId="0" fontId="20" fillId="66" borderId="10" xfId="0" applyFont="1" applyFill="1" applyBorder="1" applyAlignment="1">
      <alignment horizontal="center" vertical="center" wrapText="1"/>
    </xf>
    <xf numFmtId="0" fontId="20" fillId="66" borderId="12" xfId="0" applyFont="1" applyFill="1" applyBorder="1" applyAlignment="1">
      <alignment horizontal="center" vertical="center" wrapText="1"/>
    </xf>
    <xf numFmtId="16" fontId="20" fillId="66" borderId="12" xfId="0" applyNumberFormat="1" applyFont="1" applyFill="1" applyBorder="1" applyAlignment="1">
      <alignment horizontal="center" vertical="center" wrapText="1"/>
    </xf>
    <xf numFmtId="166" fontId="28" fillId="0" borderId="0" xfId="37" applyNumberFormat="1" applyFont="1" applyAlignment="1">
      <alignment horizontal="right" vertical="center"/>
    </xf>
    <xf numFmtId="0" fontId="20" fillId="0" borderId="5" xfId="0" applyFont="1" applyBorder="1" applyAlignment="1">
      <alignment vertical="center" wrapText="1"/>
    </xf>
    <xf numFmtId="166" fontId="28" fillId="0" borderId="12" xfId="37" applyNumberFormat="1" applyFont="1" applyBorder="1" applyAlignment="1">
      <alignment horizontal="right" vertical="center"/>
    </xf>
    <xf numFmtId="0" fontId="28" fillId="67" borderId="0" xfId="0" applyFont="1" applyFill="1" applyAlignment="1">
      <alignment horizontal="center" vertical="center" wrapText="1"/>
    </xf>
    <xf numFmtId="0" fontId="28" fillId="67" borderId="0" xfId="0" applyFont="1" applyFill="1"/>
    <xf numFmtId="0" fontId="28" fillId="67" borderId="0" xfId="0" applyFont="1" applyFill="1" applyAlignment="1">
      <alignment horizontal="center"/>
    </xf>
    <xf numFmtId="164" fontId="28" fillId="67" borderId="0" xfId="0" applyNumberFormat="1" applyFont="1" applyFill="1" applyAlignment="1">
      <alignment horizontal="right"/>
    </xf>
    <xf numFmtId="164" fontId="28" fillId="67" borderId="0" xfId="0" applyNumberFormat="1" applyFont="1" applyFill="1" applyAlignment="1">
      <alignment horizontal="right" wrapText="1"/>
    </xf>
    <xf numFmtId="0" fontId="28" fillId="67" borderId="0" xfId="0" applyFont="1" applyFill="1" applyAlignment="1">
      <alignment horizontal="center" wrapText="1"/>
    </xf>
    <xf numFmtId="0" fontId="28" fillId="67" borderId="0" xfId="0" applyFont="1" applyFill="1" applyAlignment="1">
      <alignment wrapText="1"/>
    </xf>
    <xf numFmtId="0" fontId="20" fillId="66" borderId="12" xfId="0" applyFont="1" applyFill="1" applyBorder="1" applyAlignment="1">
      <alignment horizontal="right" vertical="center" wrapText="1"/>
    </xf>
    <xf numFmtId="214" fontId="28" fillId="0" borderId="0" xfId="1" applyNumberFormat="1" applyFont="1" applyBorder="1" applyAlignment="1">
      <alignment horizontal="right" vertical="top"/>
    </xf>
    <xf numFmtId="212" fontId="28" fillId="0" borderId="0" xfId="1" applyNumberFormat="1" applyFont="1" applyBorder="1" applyAlignment="1">
      <alignment horizontal="right" vertical="top"/>
    </xf>
    <xf numFmtId="214" fontId="28" fillId="0" borderId="12" xfId="1" applyNumberFormat="1" applyFont="1" applyBorder="1" applyAlignment="1">
      <alignment horizontal="right" vertical="top"/>
    </xf>
    <xf numFmtId="212" fontId="28" fillId="0" borderId="12" xfId="1" applyNumberFormat="1" applyFont="1" applyBorder="1" applyAlignment="1">
      <alignment horizontal="right" vertical="top"/>
    </xf>
    <xf numFmtId="212" fontId="28" fillId="0" borderId="0" xfId="1" applyNumberFormat="1" applyFont="1" applyBorder="1" applyAlignment="1">
      <alignment horizontal="right" vertical="center"/>
    </xf>
    <xf numFmtId="212" fontId="28" fillId="0" borderId="12" xfId="1" applyNumberFormat="1" applyFont="1" applyBorder="1" applyAlignment="1">
      <alignment horizontal="right" vertical="center"/>
    </xf>
    <xf numFmtId="0" fontId="20" fillId="66" borderId="11" xfId="0" applyFont="1" applyFill="1" applyBorder="1" applyAlignment="1">
      <alignment horizontal="center"/>
    </xf>
    <xf numFmtId="0" fontId="28" fillId="4" borderId="0" xfId="0" applyFont="1" applyFill="1" applyAlignment="1">
      <alignment horizontal="left"/>
    </xf>
    <xf numFmtId="0" fontId="28" fillId="4" borderId="12" xfId="0" applyFont="1" applyFill="1" applyBorder="1" applyAlignment="1">
      <alignment horizontal="left"/>
    </xf>
    <xf numFmtId="0" fontId="28" fillId="4" borderId="12" xfId="0" applyFont="1" applyFill="1" applyBorder="1" applyAlignment="1">
      <alignment horizontal="center"/>
    </xf>
    <xf numFmtId="0" fontId="20" fillId="4" borderId="0" xfId="0" applyFont="1" applyFill="1" applyAlignment="1">
      <alignment horizontal="center" vertical="center" wrapText="1"/>
    </xf>
    <xf numFmtId="0" fontId="28" fillId="4" borderId="0" xfId="0" applyFont="1" applyFill="1"/>
    <xf numFmtId="0" fontId="20" fillId="66" borderId="12" xfId="0" applyFont="1" applyFill="1" applyBorder="1" applyAlignment="1">
      <alignment horizontal="center" wrapText="1"/>
    </xf>
    <xf numFmtId="182" fontId="28" fillId="0" borderId="0" xfId="0" applyNumberFormat="1" applyFont="1" applyAlignment="1">
      <alignment vertical="center" wrapText="1"/>
    </xf>
    <xf numFmtId="182" fontId="28" fillId="0" borderId="0" xfId="0" applyNumberFormat="1" applyFont="1" applyAlignment="1">
      <alignment vertical="center"/>
    </xf>
    <xf numFmtId="0" fontId="97" fillId="0" borderId="12" xfId="0" applyFont="1" applyBorder="1" applyAlignment="1">
      <alignment horizontal="left" vertical="center" wrapText="1"/>
    </xf>
    <xf numFmtId="182" fontId="28" fillId="0" borderId="12" xfId="0" applyNumberFormat="1" applyFont="1" applyBorder="1" applyAlignment="1">
      <alignment vertical="center" wrapText="1"/>
    </xf>
    <xf numFmtId="0" fontId="20" fillId="66" borderId="11" xfId="0" applyFont="1" applyFill="1" applyBorder="1" applyAlignment="1">
      <alignment horizontal="center" vertical="center" wrapText="1"/>
    </xf>
    <xf numFmtId="169" fontId="28" fillId="0" borderId="0" xfId="0" applyNumberFormat="1" applyFont="1" applyAlignment="1">
      <alignment horizontal="right"/>
    </xf>
    <xf numFmtId="0" fontId="143" fillId="0" borderId="10" xfId="0" applyFont="1" applyBorder="1" applyAlignment="1">
      <alignment horizontal="center"/>
    </xf>
    <xf numFmtId="41" fontId="143" fillId="68" borderId="10" xfId="0" applyNumberFormat="1" applyFont="1" applyFill="1" applyBorder="1"/>
    <xf numFmtId="0" fontId="28" fillId="0" borderId="10" xfId="0" applyFont="1" applyBorder="1" applyAlignment="1">
      <alignment horizontal="right"/>
    </xf>
    <xf numFmtId="0" fontId="143" fillId="0" borderId="0" xfId="0" applyFont="1" applyAlignment="1">
      <alignment horizontal="center"/>
    </xf>
    <xf numFmtId="41" fontId="143" fillId="68" borderId="0" xfId="0" applyNumberFormat="1" applyFont="1" applyFill="1"/>
    <xf numFmtId="0" fontId="143" fillId="0" borderId="12" xfId="0" applyFont="1" applyBorder="1" applyAlignment="1">
      <alignment horizontal="center"/>
    </xf>
    <xf numFmtId="41" fontId="143" fillId="68" borderId="12" xfId="0" applyNumberFormat="1" applyFont="1" applyFill="1" applyBorder="1"/>
    <xf numFmtId="0" fontId="26" fillId="6" borderId="1" xfId="0" applyFont="1" applyFill="1" applyBorder="1" applyAlignment="1">
      <alignment horizontal="center" vertical="top"/>
    </xf>
    <xf numFmtId="0" fontId="13" fillId="0" borderId="0" xfId="4" applyFont="1" applyFill="1" applyAlignment="1"/>
    <xf numFmtId="0" fontId="20" fillId="66" borderId="12" xfId="0" applyFont="1" applyFill="1" applyBorder="1" applyAlignment="1">
      <alignment horizontal="center" vertical="center"/>
    </xf>
    <xf numFmtId="0" fontId="20" fillId="66" borderId="12" xfId="0" applyFont="1" applyFill="1" applyBorder="1" applyAlignment="1">
      <alignment horizontal="center"/>
    </xf>
    <xf numFmtId="0" fontId="20" fillId="66" borderId="12" xfId="0" applyFont="1" applyFill="1" applyBorder="1" applyAlignment="1">
      <alignment vertical="center"/>
    </xf>
    <xf numFmtId="0" fontId="20" fillId="66" borderId="12" xfId="0" applyFont="1" applyFill="1" applyBorder="1" applyAlignment="1">
      <alignment vertical="center" wrapText="1"/>
    </xf>
    <xf numFmtId="3" fontId="28" fillId="0" borderId="0" xfId="0" applyNumberFormat="1" applyFont="1" applyAlignment="1">
      <alignment horizontal="right" vertical="center" wrapText="1"/>
    </xf>
    <xf numFmtId="3"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3" fontId="28" fillId="0" borderId="0" xfId="0" applyNumberFormat="1" applyFont="1" applyAlignment="1">
      <alignment horizontal="right" vertical="center"/>
    </xf>
    <xf numFmtId="3" fontId="28" fillId="0" borderId="12" xfId="0" applyNumberFormat="1" applyFont="1" applyBorder="1" applyAlignment="1">
      <alignment horizontal="right" vertical="center" wrapText="1"/>
    </xf>
    <xf numFmtId="10" fontId="28" fillId="0" borderId="0" xfId="0" applyNumberFormat="1" applyFont="1" applyAlignment="1">
      <alignment horizontal="right" vertical="center"/>
    </xf>
    <xf numFmtId="9" fontId="28" fillId="0" borderId="0" xfId="0" applyNumberFormat="1" applyFont="1" applyAlignment="1">
      <alignment horizontal="right" vertical="center"/>
    </xf>
    <xf numFmtId="3" fontId="20" fillId="0" borderId="0" xfId="0" applyNumberFormat="1" applyFont="1" applyAlignment="1">
      <alignment horizontal="right" vertical="center"/>
    </xf>
    <xf numFmtId="9" fontId="20" fillId="0" borderId="0" xfId="0" applyNumberFormat="1" applyFont="1" applyAlignment="1">
      <alignment horizontal="right" vertical="center"/>
    </xf>
    <xf numFmtId="0" fontId="28" fillId="0" borderId="12" xfId="0" applyFont="1" applyBorder="1" applyAlignment="1">
      <alignment vertical="center" wrapText="1"/>
    </xf>
    <xf numFmtId="3"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xf>
    <xf numFmtId="9" fontId="28" fillId="0" borderId="12" xfId="0" applyNumberFormat="1" applyFont="1" applyBorder="1" applyAlignment="1">
      <alignment horizontal="right" vertical="center" wrapText="1"/>
    </xf>
    <xf numFmtId="0" fontId="28" fillId="66" borderId="10" xfId="0" applyFont="1" applyFill="1" applyBorder="1"/>
    <xf numFmtId="0" fontId="28" fillId="66" borderId="12" xfId="0" applyFont="1" applyFill="1" applyBorder="1"/>
    <xf numFmtId="0" fontId="20" fillId="66" borderId="11" xfId="0" applyFont="1" applyFill="1" applyBorder="1" applyAlignment="1">
      <alignment wrapText="1"/>
    </xf>
    <xf numFmtId="0" fontId="20" fillId="66" borderId="0" xfId="0" applyFont="1" applyFill="1" applyAlignment="1">
      <alignment horizontal="center" vertical="center" wrapText="1"/>
    </xf>
    <xf numFmtId="0" fontId="20" fillId="66" borderId="10" xfId="0" applyFont="1" applyFill="1" applyBorder="1" applyAlignment="1">
      <alignment horizontal="center" vertical="center"/>
    </xf>
    <xf numFmtId="0" fontId="20" fillId="66" borderId="0" xfId="0" applyFont="1" applyFill="1" applyAlignment="1">
      <alignment horizontal="center" vertical="center"/>
    </xf>
    <xf numFmtId="0" fontId="20" fillId="66" borderId="0" xfId="16" applyFont="1" applyFill="1" applyAlignment="1">
      <alignment horizontal="center" vertical="center"/>
    </xf>
    <xf numFmtId="0" fontId="20" fillId="66" borderId="12" xfId="16" applyFont="1" applyFill="1" applyBorder="1" applyAlignment="1">
      <alignment horizontal="center"/>
    </xf>
    <xf numFmtId="0" fontId="20" fillId="66" borderId="12" xfId="0" applyFont="1" applyFill="1" applyBorder="1" applyAlignment="1">
      <alignment horizontal="left" wrapText="1"/>
    </xf>
    <xf numFmtId="168" fontId="28" fillId="0" borderId="0" xfId="0" applyNumberFormat="1" applyFont="1" applyAlignment="1">
      <alignment horizontal="center" vertical="center"/>
    </xf>
    <xf numFmtId="215" fontId="28" fillId="0" borderId="0" xfId="0" applyNumberFormat="1" applyFont="1" applyAlignment="1">
      <alignment horizontal="center"/>
    </xf>
    <xf numFmtId="216" fontId="28" fillId="0" borderId="0" xfId="0" applyNumberFormat="1" applyFont="1" applyAlignment="1">
      <alignment horizontal="center" vertical="center"/>
    </xf>
    <xf numFmtId="168" fontId="28" fillId="0" borderId="0" xfId="17" applyNumberFormat="1" applyFont="1" applyAlignment="1">
      <alignment horizontal="center" vertical="center"/>
    </xf>
    <xf numFmtId="0" fontId="28" fillId="0" borderId="0" xfId="17" applyFont="1" applyAlignment="1">
      <alignment horizontal="center" vertical="center"/>
    </xf>
    <xf numFmtId="0" fontId="20" fillId="0" borderId="0" xfId="16" applyFont="1" applyAlignment="1">
      <alignment horizontal="center"/>
    </xf>
    <xf numFmtId="168" fontId="28" fillId="4" borderId="0" xfId="17" applyNumberFormat="1" applyFont="1" applyFill="1" applyAlignment="1">
      <alignment horizontal="center" vertical="center"/>
    </xf>
    <xf numFmtId="0" fontId="20" fillId="0" borderId="0" xfId="0" applyFont="1" applyAlignment="1">
      <alignment horizontal="center" wrapText="1"/>
    </xf>
    <xf numFmtId="1" fontId="28" fillId="0" borderId="0" xfId="0" applyNumberFormat="1" applyFont="1" applyAlignment="1">
      <alignment horizontal="center" wrapText="1"/>
    </xf>
    <xf numFmtId="215" fontId="28" fillId="0" borderId="0" xfId="0" applyNumberFormat="1" applyFont="1" applyAlignment="1">
      <alignment horizontal="center" vertical="center"/>
    </xf>
    <xf numFmtId="217" fontId="28" fillId="0" borderId="0" xfId="0" applyNumberFormat="1" applyFont="1" applyAlignment="1">
      <alignment horizontal="center" vertical="center"/>
    </xf>
    <xf numFmtId="217" fontId="28" fillId="4" borderId="0" xfId="0" applyNumberFormat="1" applyFont="1" applyFill="1" applyAlignment="1">
      <alignment horizontal="center" vertical="center"/>
    </xf>
    <xf numFmtId="0" fontId="28" fillId="4" borderId="0" xfId="0" applyFont="1" applyFill="1" applyAlignment="1">
      <alignment horizontal="center" vertical="center"/>
    </xf>
    <xf numFmtId="1" fontId="28" fillId="4" borderId="0" xfId="0" applyNumberFormat="1" applyFont="1" applyFill="1" applyAlignment="1" applyProtection="1">
      <alignment horizontal="center"/>
      <protection hidden="1"/>
    </xf>
    <xf numFmtId="164" fontId="28" fillId="4" borderId="0" xfId="0" applyNumberFormat="1" applyFont="1" applyFill="1" applyAlignment="1" applyProtection="1">
      <alignment horizontal="center"/>
      <protection hidden="1"/>
    </xf>
    <xf numFmtId="2" fontId="28" fillId="4" borderId="0" xfId="0" applyNumberFormat="1" applyFont="1" applyFill="1" applyAlignment="1">
      <alignment horizontal="center" vertical="center"/>
    </xf>
    <xf numFmtId="168" fontId="28" fillId="4" borderId="0" xfId="0" applyNumberFormat="1" applyFont="1" applyFill="1" applyAlignment="1">
      <alignment horizontal="center" vertical="center"/>
    </xf>
    <xf numFmtId="215" fontId="28" fillId="4" borderId="0" xfId="0" applyNumberFormat="1" applyFont="1" applyFill="1" applyAlignment="1">
      <alignment horizontal="center" vertical="center"/>
    </xf>
    <xf numFmtId="1" fontId="28" fillId="4" borderId="0" xfId="0" applyNumberFormat="1" applyFont="1" applyFill="1" applyAlignment="1">
      <alignment horizontal="center"/>
    </xf>
    <xf numFmtId="2" fontId="28" fillId="4" borderId="0" xfId="0" applyNumberFormat="1" applyFont="1" applyFill="1" applyAlignment="1">
      <alignment horizontal="center"/>
    </xf>
    <xf numFmtId="0" fontId="28" fillId="4" borderId="0" xfId="17" applyFont="1" applyFill="1" applyAlignment="1">
      <alignment horizontal="center" vertical="center"/>
    </xf>
    <xf numFmtId="1" fontId="28" fillId="4" borderId="0" xfId="0" applyNumberFormat="1" applyFont="1" applyFill="1" applyAlignment="1">
      <alignment horizontal="center" vertical="center"/>
    </xf>
    <xf numFmtId="0" fontId="28" fillId="4" borderId="12" xfId="0" applyFont="1" applyFill="1" applyBorder="1" applyAlignment="1">
      <alignment horizontal="center" vertical="center"/>
    </xf>
    <xf numFmtId="1" fontId="28" fillId="4" borderId="12" xfId="0" applyNumberFormat="1" applyFont="1" applyFill="1" applyBorder="1" applyAlignment="1" applyProtection="1">
      <alignment horizontal="center"/>
      <protection hidden="1"/>
    </xf>
    <xf numFmtId="164" fontId="28" fillId="4" borderId="12" xfId="0" applyNumberFormat="1" applyFont="1" applyFill="1" applyBorder="1" applyAlignment="1" applyProtection="1">
      <alignment horizontal="center"/>
      <protection hidden="1"/>
    </xf>
    <xf numFmtId="2" fontId="28" fillId="4" borderId="12" xfId="0" applyNumberFormat="1" applyFont="1" applyFill="1" applyBorder="1" applyAlignment="1">
      <alignment horizontal="center" vertical="center"/>
    </xf>
    <xf numFmtId="168" fontId="28" fillId="4" borderId="12" xfId="0" applyNumberFormat="1" applyFont="1" applyFill="1" applyBorder="1" applyAlignment="1">
      <alignment horizontal="center" vertical="center"/>
    </xf>
    <xf numFmtId="215"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xf>
    <xf numFmtId="2" fontId="28" fillId="4" borderId="12" xfId="0" applyNumberFormat="1" applyFont="1" applyFill="1" applyBorder="1" applyAlignment="1">
      <alignment horizontal="center"/>
    </xf>
    <xf numFmtId="168" fontId="28" fillId="4" borderId="12" xfId="17" applyNumberFormat="1" applyFont="1" applyFill="1" applyBorder="1" applyAlignment="1">
      <alignment horizontal="center" vertical="center"/>
    </xf>
    <xf numFmtId="0" fontId="28" fillId="4" borderId="12" xfId="17" applyFont="1" applyFill="1" applyBorder="1" applyAlignment="1">
      <alignment horizontal="center" vertical="center"/>
    </xf>
    <xf numFmtId="217" fontId="28" fillId="4" borderId="12" xfId="0" applyNumberFormat="1" applyFont="1" applyFill="1" applyBorder="1" applyAlignment="1">
      <alignment horizontal="center" vertical="center"/>
    </xf>
    <xf numFmtId="1" fontId="28" fillId="4" borderId="12" xfId="0" applyNumberFormat="1" applyFont="1" applyFill="1" applyBorder="1" applyAlignment="1">
      <alignment horizontal="center" vertical="center"/>
    </xf>
    <xf numFmtId="1" fontId="28" fillId="0" borderId="0" xfId="0" applyNumberFormat="1" applyFont="1"/>
    <xf numFmtId="0" fontId="63" fillId="0" borderId="0" xfId="0" applyFont="1" applyAlignment="1">
      <alignment vertical="center"/>
    </xf>
    <xf numFmtId="0" fontId="42" fillId="0" borderId="0" xfId="0" applyFont="1" applyAlignment="1">
      <alignment horizontal="center" vertical="center"/>
    </xf>
    <xf numFmtId="215" fontId="42" fillId="0" borderId="0" xfId="0" applyNumberFormat="1" applyFont="1" applyAlignment="1">
      <alignment horizontal="center"/>
    </xf>
    <xf numFmtId="164" fontId="42" fillId="0" borderId="0" xfId="0" applyNumberFormat="1" applyFont="1" applyAlignment="1" applyProtection="1">
      <alignment horizontal="center"/>
      <protection hidden="1"/>
    </xf>
    <xf numFmtId="1" fontId="28" fillId="0" borderId="0" xfId="0" applyNumberFormat="1" applyFont="1" applyAlignment="1" applyProtection="1">
      <alignment horizontal="center"/>
      <protection hidden="1"/>
    </xf>
    <xf numFmtId="0" fontId="28" fillId="4" borderId="0" xfId="16" applyFont="1" applyFill="1" applyAlignment="1" applyProtection="1">
      <alignment horizontal="left"/>
      <protection locked="0"/>
    </xf>
    <xf numFmtId="0" fontId="58" fillId="0" borderId="0" xfId="0" applyFont="1" applyAlignment="1">
      <alignment horizontal="center" wrapText="1"/>
    </xf>
    <xf numFmtId="0" fontId="40" fillId="0" borderId="0" xfId="0" applyFont="1" applyAlignment="1">
      <alignment horizontal="center"/>
    </xf>
    <xf numFmtId="0" fontId="40" fillId="0" borderId="0" xfId="0" applyFont="1" applyAlignment="1">
      <alignment horizontal="center" wrapText="1"/>
    </xf>
    <xf numFmtId="0" fontId="16" fillId="0" borderId="7" xfId="0" applyFont="1" applyBorder="1" applyAlignment="1">
      <alignment vertical="center" wrapText="1"/>
    </xf>
    <xf numFmtId="0" fontId="58" fillId="0" borderId="7" xfId="0" applyFont="1" applyBorder="1" applyAlignment="1">
      <alignment vertical="center" wrapText="1"/>
    </xf>
    <xf numFmtId="0" fontId="28" fillId="0" borderId="0" xfId="0" applyFont="1" applyAlignment="1">
      <alignment horizontal="left" vertical="top" readingOrder="1"/>
    </xf>
    <xf numFmtId="0" fontId="20" fillId="69" borderId="11" xfId="0" applyFont="1" applyFill="1" applyBorder="1" applyAlignment="1">
      <alignment horizontal="center" vertical="center" wrapText="1"/>
    </xf>
    <xf numFmtId="0" fontId="124" fillId="0" borderId="0" xfId="4" applyFont="1"/>
    <xf numFmtId="0" fontId="144" fillId="2" borderId="0" xfId="4" applyFont="1" applyFill="1" applyAlignment="1">
      <alignment horizontal="center"/>
    </xf>
    <xf numFmtId="0" fontId="30" fillId="0" borderId="1" xfId="0" applyFont="1" applyBorder="1" applyAlignment="1">
      <alignment horizontal="justify" vertical="center" wrapText="1"/>
    </xf>
    <xf numFmtId="0" fontId="144" fillId="0" borderId="1" xfId="4" applyFont="1" applyBorder="1" applyAlignment="1">
      <alignment horizontal="justify" vertical="center" wrapText="1"/>
    </xf>
    <xf numFmtId="0" fontId="30" fillId="2" borderId="1" xfId="0" applyFont="1" applyFill="1" applyBorder="1" applyAlignment="1">
      <alignment vertical="top"/>
    </xf>
    <xf numFmtId="0" fontId="30" fillId="2" borderId="1" xfId="0" applyFont="1" applyFill="1" applyBorder="1" applyAlignment="1">
      <alignment horizontal="left" vertical="top"/>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6" fillId="4" borderId="2" xfId="0" applyFont="1" applyFill="1" applyBorder="1" applyAlignment="1">
      <alignment vertical="top" wrapText="1"/>
    </xf>
    <xf numFmtId="0" fontId="30" fillId="0" borderId="11" xfId="0" applyFont="1" applyBorder="1" applyAlignment="1">
      <alignment horizontal="left" vertical="top"/>
    </xf>
    <xf numFmtId="0" fontId="6" fillId="0" borderId="11" xfId="0" applyFont="1" applyBorder="1" applyAlignment="1">
      <alignment vertical="top"/>
    </xf>
    <xf numFmtId="0" fontId="144" fillId="0" borderId="1" xfId="4" applyFont="1" applyFill="1" applyBorder="1" applyAlignment="1">
      <alignment horizontal="left" wrapText="1"/>
    </xf>
    <xf numFmtId="0" fontId="144" fillId="0" borderId="0" xfId="4" applyFont="1"/>
    <xf numFmtId="49" fontId="6" fillId="0" borderId="1" xfId="0" applyNumberFormat="1" applyFont="1" applyBorder="1" applyAlignment="1">
      <alignment vertical="top" wrapText="1"/>
    </xf>
    <xf numFmtId="0" fontId="145" fillId="2" borderId="0" xfId="4" applyFont="1" applyFill="1" applyAlignment="1">
      <alignment horizontal="center"/>
    </xf>
    <xf numFmtId="0" fontId="145" fillId="0" borderId="0" xfId="4" applyFont="1"/>
    <xf numFmtId="0" fontId="145" fillId="2" borderId="0" xfId="4" applyFont="1" applyFill="1" applyAlignment="1">
      <alignment horizontal="center" vertical="center"/>
    </xf>
    <xf numFmtId="0" fontId="24" fillId="0" borderId="24" xfId="0" applyFont="1" applyBorder="1" applyAlignment="1">
      <alignment vertical="center"/>
    </xf>
    <xf numFmtId="0" fontId="30" fillId="69" borderId="11" xfId="0" applyFont="1" applyFill="1" applyBorder="1" applyAlignment="1">
      <alignment horizontal="center" vertical="center"/>
    </xf>
    <xf numFmtId="0" fontId="30" fillId="69" borderId="11" xfId="0" applyFont="1" applyFill="1" applyBorder="1" applyAlignment="1">
      <alignment horizontal="center" wrapText="1"/>
    </xf>
    <xf numFmtId="170" fontId="6" fillId="0" borderId="0" xfId="0" applyNumberFormat="1" applyFont="1" applyAlignment="1">
      <alignment vertical="center"/>
    </xf>
    <xf numFmtId="170" fontId="6" fillId="0" borderId="12" xfId="0" applyNumberFormat="1" applyFont="1" applyBorder="1" applyAlignment="1">
      <alignment vertical="center"/>
    </xf>
    <xf numFmtId="0" fontId="6" fillId="0" borderId="24" xfId="0" applyFont="1" applyBorder="1"/>
    <xf numFmtId="0" fontId="24" fillId="0" borderId="24" xfId="0" applyFont="1" applyBorder="1" applyAlignment="1">
      <alignment horizontal="left" vertical="center"/>
    </xf>
    <xf numFmtId="0" fontId="24" fillId="0" borderId="24" xfId="0" applyFont="1" applyBorder="1" applyAlignment="1">
      <alignment horizontal="left" vertical="center" wrapText="1"/>
    </xf>
    <xf numFmtId="0" fontId="30" fillId="69" borderId="11" xfId="0" applyFont="1" applyFill="1" applyBorder="1"/>
    <xf numFmtId="1" fontId="6" fillId="0" borderId="0" xfId="0" applyNumberFormat="1" applyFont="1"/>
    <xf numFmtId="0" fontId="6" fillId="0" borderId="12" xfId="0" applyFont="1" applyBorder="1" applyAlignment="1">
      <alignment wrapText="1"/>
    </xf>
    <xf numFmtId="1" fontId="6" fillId="0" borderId="12" xfId="0" applyNumberFormat="1" applyFont="1" applyBorder="1"/>
    <xf numFmtId="0" fontId="30" fillId="69" borderId="11" xfId="0" applyFont="1" applyFill="1" applyBorder="1" applyAlignment="1">
      <alignment horizontal="center" vertical="center" wrapText="1"/>
    </xf>
    <xf numFmtId="43" fontId="6" fillId="0" borderId="0" xfId="6" applyFont="1"/>
    <xf numFmtId="43" fontId="6" fillId="0" borderId="0" xfId="6" applyFont="1" applyFill="1"/>
    <xf numFmtId="43" fontId="14" fillId="0" borderId="0" xfId="6" applyFont="1"/>
    <xf numFmtId="43" fontId="6" fillId="0" borderId="0" xfId="6" applyFont="1" applyBorder="1"/>
    <xf numFmtId="43" fontId="6" fillId="0" borderId="0" xfId="6" applyFont="1" applyFill="1" applyBorder="1"/>
    <xf numFmtId="43" fontId="6" fillId="0" borderId="12" xfId="6" applyFont="1" applyBorder="1"/>
    <xf numFmtId="43" fontId="6" fillId="0" borderId="12" xfId="6" applyFont="1" applyFill="1" applyBorder="1"/>
    <xf numFmtId="0" fontId="24" fillId="0" borderId="0" xfId="0" applyFont="1" applyAlignment="1">
      <alignment horizontal="center"/>
    </xf>
    <xf numFmtId="193" fontId="6" fillId="0" borderId="0" xfId="6" applyNumberFormat="1" applyFont="1" applyFill="1" applyAlignment="1">
      <alignment horizontal="left"/>
    </xf>
    <xf numFmtId="0" fontId="30" fillId="69" borderId="11" xfId="0" applyFont="1" applyFill="1" applyBorder="1" applyAlignment="1">
      <alignment wrapText="1"/>
    </xf>
    <xf numFmtId="0" fontId="30" fillId="0" borderId="12" xfId="0" applyFont="1" applyBorder="1" applyAlignment="1">
      <alignment horizontal="left"/>
    </xf>
    <xf numFmtId="0" fontId="30" fillId="0" borderId="12" xfId="0" applyFont="1" applyBorder="1"/>
    <xf numFmtId="0" fontId="14" fillId="0" borderId="12" xfId="0" applyFont="1" applyBorder="1"/>
    <xf numFmtId="0" fontId="24" fillId="0" borderId="24" xfId="0" applyFont="1" applyBorder="1"/>
    <xf numFmtId="0" fontId="30" fillId="69" borderId="11" xfId="0" applyFont="1" applyFill="1" applyBorder="1" applyAlignment="1">
      <alignment horizontal="center"/>
    </xf>
    <xf numFmtId="170" fontId="6" fillId="0" borderId="0" xfId="0" applyNumberFormat="1" applyFont="1" applyAlignment="1">
      <alignment horizontal="right" vertical="center"/>
    </xf>
    <xf numFmtId="170" fontId="6" fillId="0" borderId="12" xfId="0" applyNumberFormat="1" applyFont="1" applyBorder="1"/>
    <xf numFmtId="0" fontId="6" fillId="0" borderId="10" xfId="0" applyFont="1" applyBorder="1" applyAlignment="1">
      <alignment horizontal="left" vertical="center"/>
    </xf>
    <xf numFmtId="0" fontId="6" fillId="0" borderId="10" xfId="0" applyFont="1" applyBorder="1" applyAlignment="1">
      <alignment horizontal="left" vertical="center" wrapText="1"/>
    </xf>
    <xf numFmtId="0" fontId="24" fillId="0" borderId="24" xfId="0" applyFont="1" applyBorder="1" applyAlignment="1">
      <alignment horizontal="left"/>
    </xf>
    <xf numFmtId="0" fontId="6" fillId="0" borderId="10" xfId="0" applyFont="1" applyBorder="1" applyAlignment="1">
      <alignment horizontal="left" vertical="top"/>
    </xf>
    <xf numFmtId="0" fontId="6" fillId="0" borderId="10" xfId="0" applyFont="1" applyBorder="1" applyAlignment="1">
      <alignment horizontal="left" vertical="top" wrapText="1"/>
    </xf>
    <xf numFmtId="0" fontId="20" fillId="69" borderId="10" xfId="0" applyFont="1" applyFill="1" applyBorder="1" applyAlignment="1">
      <alignment vertical="center" wrapText="1"/>
    </xf>
    <xf numFmtId="0" fontId="20" fillId="69" borderId="12" xfId="0" applyFont="1" applyFill="1" applyBorder="1" applyAlignment="1">
      <alignment vertical="center" wrapText="1"/>
    </xf>
    <xf numFmtId="2" fontId="28" fillId="0" borderId="0" xfId="0" applyNumberFormat="1" applyFont="1" applyAlignment="1">
      <alignment horizontal="right" vertical="center"/>
    </xf>
    <xf numFmtId="2" fontId="6" fillId="0" borderId="0" xfId="0" applyNumberFormat="1" applyFont="1" applyAlignment="1">
      <alignment horizontal="right" vertical="center"/>
    </xf>
    <xf numFmtId="170" fontId="6" fillId="0" borderId="0" xfId="0" applyNumberFormat="1" applyFont="1" applyAlignment="1">
      <alignment horizontal="center" vertical="center" wrapText="1"/>
    </xf>
    <xf numFmtId="10" fontId="6" fillId="0" borderId="0" xfId="0" applyNumberFormat="1" applyFont="1" applyAlignment="1">
      <alignment horizontal="right" vertical="center"/>
    </xf>
    <xf numFmtId="0" fontId="28" fillId="0" borderId="0" xfId="0" applyFont="1" applyAlignment="1">
      <alignment horizontal="justify" vertical="center" wrapText="1"/>
    </xf>
    <xf numFmtId="0" fontId="28" fillId="0" borderId="12" xfId="0" applyFont="1" applyBorder="1" applyAlignment="1">
      <alignment horizontal="justify" vertical="center" wrapText="1"/>
    </xf>
    <xf numFmtId="2" fontId="28" fillId="0" borderId="12" xfId="0" applyNumberFormat="1" applyFont="1" applyBorder="1" applyAlignment="1">
      <alignment horizontal="right" vertical="center"/>
    </xf>
    <xf numFmtId="9" fontId="6" fillId="0" borderId="12" xfId="0" applyNumberFormat="1" applyFont="1" applyBorder="1" applyAlignment="1">
      <alignment horizontal="right" vertical="center"/>
    </xf>
    <xf numFmtId="170" fontId="6" fillId="0" borderId="12" xfId="0" applyNumberFormat="1" applyFont="1" applyBorder="1" applyAlignment="1">
      <alignment horizontal="center" vertical="center" wrapText="1"/>
    </xf>
    <xf numFmtId="0" fontId="20" fillId="69" borderId="11" xfId="0" applyFont="1" applyFill="1" applyBorder="1" applyAlignment="1">
      <alignment horizontal="center" vertical="center"/>
    </xf>
    <xf numFmtId="0" fontId="20" fillId="69" borderId="11" xfId="0" applyFont="1" applyFill="1" applyBorder="1" applyAlignment="1">
      <alignment vertical="center"/>
    </xf>
    <xf numFmtId="10" fontId="28" fillId="0" borderId="0" xfId="0" applyNumberFormat="1" applyFont="1" applyAlignment="1">
      <alignment vertical="center" wrapText="1"/>
    </xf>
    <xf numFmtId="3" fontId="28" fillId="4" borderId="0" xfId="0" applyNumberFormat="1" applyFont="1" applyFill="1" applyAlignment="1">
      <alignment horizontal="right" vertical="center" wrapText="1"/>
    </xf>
    <xf numFmtId="0" fontId="28" fillId="0" borderId="0" xfId="0" applyFont="1" applyAlignment="1">
      <alignment horizontal="right" vertical="center"/>
    </xf>
    <xf numFmtId="10" fontId="28" fillId="0" borderId="12" xfId="0" applyNumberFormat="1" applyFont="1" applyBorder="1" applyAlignment="1">
      <alignment horizontal="right" vertical="center"/>
    </xf>
    <xf numFmtId="3" fontId="28" fillId="4" borderId="12" xfId="0" applyNumberFormat="1" applyFont="1" applyFill="1" applyBorder="1" applyAlignment="1">
      <alignment horizontal="right" vertical="center"/>
    </xf>
    <xf numFmtId="10" fontId="28" fillId="0" borderId="12" xfId="0" applyNumberFormat="1" applyFont="1" applyBorder="1" applyAlignment="1">
      <alignment vertical="center" wrapText="1"/>
    </xf>
    <xf numFmtId="9" fontId="28" fillId="0" borderId="0" xfId="0" applyNumberFormat="1" applyFont="1"/>
    <xf numFmtId="2" fontId="28" fillId="0" borderId="0" xfId="0" applyNumberFormat="1" applyFont="1" applyAlignment="1">
      <alignment horizontal="right" vertical="center" wrapText="1"/>
    </xf>
    <xf numFmtId="0" fontId="0" fillId="0" borderId="24" xfId="0" applyBorder="1" applyAlignment="1">
      <alignment vertical="center"/>
    </xf>
    <xf numFmtId="0" fontId="20" fillId="0" borderId="24" xfId="0" applyFont="1" applyBorder="1" applyAlignment="1">
      <alignment horizontal="left" vertical="center" wrapText="1"/>
    </xf>
    <xf numFmtId="3" fontId="28" fillId="0" borderId="0" xfId="0" applyNumberFormat="1" applyFont="1" applyAlignment="1">
      <alignment horizontal="center" vertical="center"/>
    </xf>
    <xf numFmtId="3" fontId="55" fillId="0" borderId="0" xfId="0" applyNumberFormat="1" applyFont="1" applyAlignment="1">
      <alignment horizontal="right" vertical="center"/>
    </xf>
    <xf numFmtId="3" fontId="55" fillId="0" borderId="0" xfId="0" applyNumberFormat="1" applyFont="1" applyAlignment="1">
      <alignment horizontal="right" vertical="center" wrapText="1"/>
    </xf>
    <xf numFmtId="187" fontId="28" fillId="0" borderId="0" xfId="0" applyNumberFormat="1" applyFont="1" applyAlignment="1">
      <alignment horizontal="right" vertical="center"/>
    </xf>
    <xf numFmtId="3" fontId="55" fillId="4" borderId="0" xfId="0" applyNumberFormat="1" applyFont="1" applyFill="1" applyAlignment="1">
      <alignment horizontal="right" vertical="center" wrapText="1"/>
    </xf>
    <xf numFmtId="3" fontId="28" fillId="4" borderId="0" xfId="0" applyNumberFormat="1" applyFont="1" applyFill="1" applyAlignment="1">
      <alignment horizontal="right" vertical="center"/>
    </xf>
    <xf numFmtId="3" fontId="6" fillId="4" borderId="0" xfId="0" applyNumberFormat="1" applyFont="1" applyFill="1" applyAlignment="1">
      <alignment horizontal="right" vertical="center"/>
    </xf>
    <xf numFmtId="3" fontId="6" fillId="4" borderId="12" xfId="0" applyNumberFormat="1" applyFont="1" applyFill="1" applyBorder="1" applyAlignment="1">
      <alignment horizontal="right" vertical="center"/>
    </xf>
    <xf numFmtId="3" fontId="55" fillId="0" borderId="12" xfId="0" applyNumberFormat="1" applyFont="1" applyBorder="1" applyAlignment="1">
      <alignment horizontal="right" vertical="center"/>
    </xf>
    <xf numFmtId="10" fontId="28" fillId="0" borderId="0" xfId="0" applyNumberFormat="1" applyFont="1" applyAlignment="1">
      <alignment horizontal="left" vertical="center"/>
    </xf>
    <xf numFmtId="0" fontId="76" fillId="4" borderId="1" xfId="0" applyFont="1" applyFill="1" applyBorder="1" applyAlignment="1">
      <alignment vertical="top" wrapText="1"/>
    </xf>
    <xf numFmtId="0" fontId="60" fillId="4" borderId="1" xfId="0" applyFont="1" applyFill="1" applyBorder="1" applyAlignment="1">
      <alignment vertical="top" wrapText="1"/>
    </xf>
    <xf numFmtId="0" fontId="76" fillId="0" borderId="1" xfId="0" applyFont="1" applyBorder="1" applyAlignment="1">
      <alignment vertical="top" wrapText="1"/>
    </xf>
    <xf numFmtId="0" fontId="15" fillId="0" borderId="1" xfId="0" applyFont="1" applyBorder="1" applyAlignment="1">
      <alignment horizontal="left" wrapText="1"/>
    </xf>
    <xf numFmtId="0" fontId="20" fillId="69" borderId="10" xfId="0" applyFont="1" applyFill="1" applyBorder="1" applyAlignment="1">
      <alignment horizontal="center" vertical="center" wrapText="1"/>
    </xf>
    <xf numFmtId="0" fontId="20" fillId="69" borderId="0" xfId="0" applyFont="1" applyFill="1" applyAlignment="1">
      <alignment horizontal="center" vertical="center" wrapText="1"/>
    </xf>
    <xf numFmtId="0" fontId="20" fillId="69" borderId="12" xfId="0" applyFont="1" applyFill="1" applyBorder="1" applyAlignment="1">
      <alignment horizontal="center" vertical="center" wrapText="1"/>
    </xf>
    <xf numFmtId="9" fontId="28" fillId="0" borderId="0" xfId="3" quotePrefix="1" applyFont="1" applyFill="1" applyBorder="1" applyAlignment="1">
      <alignment horizontal="center" vertical="center"/>
    </xf>
    <xf numFmtId="0" fontId="76" fillId="0" borderId="0" xfId="0" applyFont="1" applyAlignment="1">
      <alignment horizontal="left" vertical="center"/>
    </xf>
    <xf numFmtId="0" fontId="19" fillId="69" borderId="11" xfId="0" applyFont="1" applyFill="1" applyBorder="1" applyAlignment="1">
      <alignment horizontal="center"/>
    </xf>
    <xf numFmtId="174" fontId="76" fillId="0" borderId="0" xfId="0" applyNumberFormat="1" applyFont="1" applyAlignment="1">
      <alignment horizontal="center" vertical="center"/>
    </xf>
    <xf numFmtId="2" fontId="76" fillId="0" borderId="0" xfId="0" applyNumberFormat="1" applyFont="1" applyAlignment="1">
      <alignment horizontal="left"/>
    </xf>
    <xf numFmtId="2" fontId="76" fillId="0" borderId="0" xfId="0" applyNumberFormat="1" applyFont="1" applyAlignment="1">
      <alignment horizontal="center" vertical="center"/>
    </xf>
    <xf numFmtId="0" fontId="76" fillId="0" borderId="12" xfId="0" applyFont="1" applyBorder="1" applyAlignment="1">
      <alignment horizontal="left" vertical="center"/>
    </xf>
    <xf numFmtId="0" fontId="76" fillId="0" borderId="12" xfId="0" applyFont="1" applyBorder="1" applyAlignment="1">
      <alignment horizontal="center" vertical="center"/>
    </xf>
    <xf numFmtId="0" fontId="19" fillId="69" borderId="11" xfId="0" applyFont="1" applyFill="1" applyBorder="1" applyAlignment="1" applyProtection="1">
      <alignment horizontal="left" vertical="center" wrapText="1"/>
      <protection locked="0"/>
    </xf>
    <xf numFmtId="0" fontId="19" fillId="69" borderId="11" xfId="0" applyFont="1" applyFill="1" applyBorder="1" applyAlignment="1">
      <alignment horizontal="center" vertical="center" wrapText="1"/>
    </xf>
    <xf numFmtId="3" fontId="76" fillId="0" borderId="0" xfId="0" applyNumberFormat="1" applyFont="1" applyAlignment="1" applyProtection="1">
      <alignment horizontal="right" vertical="center"/>
      <protection locked="0"/>
    </xf>
    <xf numFmtId="10" fontId="76" fillId="0" borderId="0" xfId="0" applyNumberFormat="1" applyFont="1" applyAlignment="1">
      <alignment horizontal="right" vertical="center"/>
    </xf>
    <xf numFmtId="3" fontId="76" fillId="0" borderId="12" xfId="0" applyNumberFormat="1" applyFont="1" applyBorder="1" applyAlignment="1" applyProtection="1">
      <alignment horizontal="right" vertical="center"/>
      <protection locked="0"/>
    </xf>
    <xf numFmtId="10" fontId="76" fillId="0" borderId="12" xfId="0" applyNumberFormat="1" applyFont="1" applyBorder="1" applyAlignment="1">
      <alignment horizontal="right" vertical="center"/>
    </xf>
    <xf numFmtId="3" fontId="76" fillId="0" borderId="0" xfId="0" applyNumberFormat="1" applyFont="1" applyAlignment="1">
      <alignment horizontal="left" vertical="center"/>
    </xf>
    <xf numFmtId="10" fontId="76" fillId="0" borderId="0" xfId="0" applyNumberFormat="1" applyFont="1" applyAlignment="1">
      <alignment horizontal="left" vertical="center"/>
    </xf>
    <xf numFmtId="218" fontId="76" fillId="0" borderId="0" xfId="0" applyNumberFormat="1" applyFont="1" applyAlignment="1">
      <alignment horizontal="left" vertical="center"/>
    </xf>
    <xf numFmtId="0" fontId="19" fillId="0" borderId="0" xfId="0" applyFont="1" applyAlignment="1">
      <alignment horizontal="left"/>
    </xf>
    <xf numFmtId="0" fontId="19" fillId="69" borderId="14" xfId="0" applyFont="1" applyFill="1" applyBorder="1" applyAlignment="1">
      <alignment horizontal="center" vertical="center" wrapText="1"/>
    </xf>
    <xf numFmtId="0" fontId="19" fillId="69" borderId="11" xfId="0" applyFont="1" applyFill="1" applyBorder="1" applyAlignment="1">
      <alignment horizontal="left" vertical="center" wrapText="1"/>
    </xf>
    <xf numFmtId="0" fontId="19" fillId="69" borderId="11" xfId="0" applyFont="1" applyFill="1" applyBorder="1" applyAlignment="1">
      <alignment horizontal="center" vertical="center"/>
    </xf>
    <xf numFmtId="0" fontId="76" fillId="0" borderId="3" xfId="0" applyFont="1" applyBorder="1" applyAlignment="1">
      <alignment horizontal="left" vertical="center" wrapText="1"/>
    </xf>
    <xf numFmtId="0" fontId="76" fillId="0" borderId="3" xfId="0" applyFont="1" applyBorder="1" applyAlignment="1">
      <alignment horizontal="left" vertical="center"/>
    </xf>
    <xf numFmtId="0" fontId="76" fillId="0" borderId="0" xfId="0" applyFont="1" applyAlignment="1">
      <alignment horizontal="left" wrapText="1"/>
    </xf>
    <xf numFmtId="0" fontId="76" fillId="0" borderId="1" xfId="0" applyFont="1" applyBorder="1" applyAlignment="1">
      <alignment horizontal="left" vertical="center" wrapText="1"/>
    </xf>
    <xf numFmtId="0" fontId="76" fillId="0" borderId="1" xfId="0" quotePrefix="1" applyFont="1" applyBorder="1" applyAlignment="1" applyProtection="1">
      <alignment horizontal="left" vertical="center" wrapText="1"/>
      <protection locked="0"/>
    </xf>
    <xf numFmtId="0" fontId="19" fillId="0" borderId="14" xfId="0" applyFont="1" applyBorder="1" applyAlignment="1">
      <alignment horizontal="center" vertical="center"/>
    </xf>
    <xf numFmtId="0" fontId="19" fillId="0" borderId="1" xfId="0" applyFont="1" applyBorder="1" applyAlignment="1">
      <alignment horizontal="center" vertical="center"/>
    </xf>
    <xf numFmtId="0" fontId="76" fillId="0" borderId="1" xfId="0" applyFont="1" applyBorder="1" applyAlignment="1">
      <alignment horizontal="lef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76" fillId="0" borderId="1" xfId="0" applyFont="1" applyBorder="1" applyAlignment="1" applyProtection="1">
      <alignment horizontal="left" vertical="center" wrapText="1"/>
      <protection locked="0"/>
    </xf>
    <xf numFmtId="0" fontId="76" fillId="0" borderId="1" xfId="0" quotePrefix="1" applyFont="1" applyBorder="1" applyAlignment="1">
      <alignment horizontal="left" vertical="center" wrapText="1"/>
    </xf>
    <xf numFmtId="49" fontId="76" fillId="0" borderId="1" xfId="0" applyNumberFormat="1" applyFont="1" applyBorder="1" applyAlignment="1" applyProtection="1">
      <alignment horizontal="left" vertical="center" wrapText="1"/>
      <protection locked="0"/>
    </xf>
    <xf numFmtId="49" fontId="76" fillId="0" borderId="1" xfId="0" applyNumberFormat="1" applyFont="1" applyBorder="1" applyAlignment="1">
      <alignment horizontal="left" vertical="center" wrapText="1"/>
    </xf>
    <xf numFmtId="0" fontId="19" fillId="0" borderId="1" xfId="0" applyFont="1" applyBorder="1" applyAlignment="1">
      <alignment horizontal="center" vertical="center" wrapText="1"/>
    </xf>
    <xf numFmtId="49" fontId="128" fillId="0" borderId="1" xfId="0" applyNumberFormat="1" applyFont="1" applyBorder="1" applyAlignment="1">
      <alignment horizontal="left" vertical="center" wrapText="1"/>
    </xf>
    <xf numFmtId="2" fontId="76" fillId="0" borderId="1" xfId="0" applyNumberFormat="1" applyFont="1" applyBorder="1" applyAlignment="1">
      <alignment horizontal="left" vertical="center" wrapText="1"/>
    </xf>
    <xf numFmtId="2" fontId="19" fillId="0" borderId="1" xfId="0" applyNumberFormat="1" applyFont="1" applyBorder="1" applyAlignment="1">
      <alignment horizontal="center" vertical="center" wrapText="1"/>
    </xf>
    <xf numFmtId="0" fontId="76" fillId="0" borderId="1" xfId="0" applyFont="1" applyBorder="1" applyAlignment="1" applyProtection="1">
      <alignment horizontal="center" vertical="center" wrapText="1"/>
      <protection locked="0"/>
    </xf>
    <xf numFmtId="3" fontId="128" fillId="4" borderId="85" xfId="0" applyNumberFormat="1" applyFont="1" applyFill="1" applyBorder="1" applyAlignment="1" applyProtection="1">
      <alignment horizontal="left" vertical="center" wrapText="1"/>
      <protection locked="0"/>
    </xf>
    <xf numFmtId="0" fontId="128" fillId="4" borderId="1" xfId="0" applyFont="1" applyFill="1" applyBorder="1" applyAlignment="1">
      <alignment horizontal="center" vertical="center"/>
    </xf>
    <xf numFmtId="3" fontId="128" fillId="4" borderId="1" xfId="0" applyNumberFormat="1" applyFont="1" applyFill="1" applyBorder="1" applyAlignment="1" applyProtection="1">
      <alignment horizontal="center" vertical="center" wrapText="1"/>
      <protection locked="0"/>
    </xf>
    <xf numFmtId="3" fontId="128" fillId="4" borderId="1" xfId="0" applyNumberFormat="1" applyFont="1" applyFill="1" applyBorder="1" applyAlignment="1" applyProtection="1">
      <alignment horizontal="left" vertical="center"/>
      <protection locked="0"/>
    </xf>
    <xf numFmtId="3" fontId="128" fillId="4" borderId="1" xfId="0" applyNumberFormat="1" applyFont="1" applyFill="1" applyBorder="1" applyAlignment="1" applyProtection="1">
      <alignment vertical="center" wrapText="1"/>
      <protection locked="0"/>
    </xf>
    <xf numFmtId="10" fontId="128" fillId="0" borderId="1" xfId="0" applyNumberFormat="1" applyFont="1" applyBorder="1" applyAlignment="1">
      <alignment horizontal="right" vertical="center"/>
    </xf>
    <xf numFmtId="0" fontId="128" fillId="4" borderId="85" xfId="0" applyFont="1" applyFill="1" applyBorder="1" applyAlignment="1" applyProtection="1">
      <alignment horizontal="left" vertical="center" wrapText="1"/>
      <protection locked="0"/>
    </xf>
    <xf numFmtId="0" fontId="128" fillId="4" borderId="1" xfId="0" applyFont="1" applyFill="1" applyBorder="1" applyAlignment="1" applyProtection="1">
      <alignment horizontal="left" vertical="center"/>
      <protection locked="0"/>
    </xf>
    <xf numFmtId="3" fontId="128" fillId="4" borderId="1" xfId="0" applyNumberFormat="1" applyFont="1" applyFill="1" applyBorder="1" applyAlignment="1" applyProtection="1">
      <alignment horizontal="left" vertical="center" wrapText="1"/>
      <protection locked="0"/>
    </xf>
    <xf numFmtId="0" fontId="128" fillId="4" borderId="1" xfId="0" applyFont="1" applyFill="1" applyBorder="1" applyAlignment="1" applyProtection="1">
      <alignment horizontal="right" vertical="center"/>
      <protection locked="0"/>
    </xf>
    <xf numFmtId="3" fontId="76" fillId="0" borderId="1" xfId="0" applyNumberFormat="1" applyFont="1" applyBorder="1" applyAlignment="1">
      <alignment horizontal="center" vertical="center"/>
    </xf>
    <xf numFmtId="3" fontId="76" fillId="0" borderId="1" xfId="0" applyNumberFormat="1" applyFont="1" applyBorder="1" applyAlignment="1">
      <alignment horizontal="left" vertical="center"/>
    </xf>
    <xf numFmtId="10" fontId="128" fillId="0" borderId="1" xfId="0" applyNumberFormat="1" applyFont="1" applyBorder="1" applyAlignment="1">
      <alignment horizontal="left" vertical="center"/>
    </xf>
    <xf numFmtId="3" fontId="128" fillId="0" borderId="1" xfId="0" applyNumberFormat="1" applyFont="1" applyBorder="1" applyAlignment="1">
      <alignment horizontal="center" vertical="center"/>
    </xf>
    <xf numFmtId="0" fontId="19" fillId="17" borderId="1" xfId="0" applyFont="1" applyFill="1" applyBorder="1" applyAlignment="1">
      <alignment horizontal="center" vertical="center" wrapText="1"/>
    </xf>
    <xf numFmtId="174" fontId="19" fillId="17" borderId="1" xfId="0" applyNumberFormat="1" applyFont="1" applyFill="1" applyBorder="1" applyAlignment="1">
      <alignment horizontal="center" vertical="center"/>
    </xf>
    <xf numFmtId="0" fontId="26" fillId="0" borderId="0" xfId="4" applyFont="1" applyFill="1" applyAlignment="1"/>
    <xf numFmtId="0" fontId="20" fillId="0" borderId="9" xfId="0" applyFont="1" applyBorder="1" applyAlignment="1">
      <alignment horizontal="left" vertical="center" wrapText="1"/>
    </xf>
    <xf numFmtId="0" fontId="20" fillId="69" borderId="11" xfId="0" applyFont="1" applyFill="1" applyBorder="1"/>
    <xf numFmtId="0" fontId="26" fillId="0" borderId="0" xfId="4" applyFont="1" applyBorder="1" applyAlignment="1">
      <alignment vertical="center"/>
    </xf>
    <xf numFmtId="0" fontId="26" fillId="0" borderId="0" xfId="4" applyFont="1" applyAlignment="1"/>
    <xf numFmtId="0" fontId="58" fillId="0" borderId="24" xfId="0" applyFont="1" applyBorder="1"/>
    <xf numFmtId="0" fontId="16" fillId="0" borderId="19" xfId="0" applyFont="1" applyBorder="1"/>
    <xf numFmtId="0" fontId="58" fillId="0" borderId="19" xfId="0" applyFont="1" applyBorder="1"/>
    <xf numFmtId="219" fontId="28" fillId="0" borderId="0" xfId="0" applyNumberFormat="1" applyFont="1" applyAlignment="1">
      <alignment vertical="center" wrapText="1"/>
    </xf>
    <xf numFmtId="0" fontId="28" fillId="0" borderId="12" xfId="0" applyFont="1" applyBorder="1" applyAlignment="1">
      <alignment wrapText="1"/>
    </xf>
    <xf numFmtId="220" fontId="28" fillId="0" borderId="12" xfId="0" applyNumberFormat="1" applyFont="1" applyBorder="1" applyAlignment="1">
      <alignment vertical="center" wrapText="1"/>
    </xf>
    <xf numFmtId="0" fontId="20" fillId="70" borderId="11" xfId="0" applyFont="1" applyFill="1" applyBorder="1" applyAlignment="1">
      <alignment horizontal="center" vertical="center" wrapText="1"/>
    </xf>
    <xf numFmtId="0" fontId="20" fillId="70" borderId="12" xfId="0" applyFont="1" applyFill="1" applyBorder="1" applyAlignment="1">
      <alignment horizontal="center" vertical="center" wrapText="1"/>
    </xf>
    <xf numFmtId="168" fontId="28" fillId="0" borderId="12" xfId="0" applyNumberFormat="1" applyFont="1" applyBorder="1"/>
    <xf numFmtId="0" fontId="20" fillId="70" borderId="10" xfId="0" applyFont="1" applyFill="1" applyBorder="1" applyAlignment="1">
      <alignment horizontal="center" vertical="center"/>
    </xf>
    <xf numFmtId="0" fontId="20" fillId="70" borderId="10" xfId="0" applyFont="1" applyFill="1" applyBorder="1" applyAlignment="1">
      <alignment horizontal="center" vertical="center" wrapText="1"/>
    </xf>
    <xf numFmtId="0" fontId="20" fillId="70" borderId="0" xfId="0" applyFont="1" applyFill="1" applyAlignment="1">
      <alignment horizontal="center" vertical="center" wrapText="1"/>
    </xf>
    <xf numFmtId="0" fontId="20" fillId="70" borderId="11" xfId="0" applyFont="1" applyFill="1" applyBorder="1" applyAlignment="1">
      <alignment horizontal="center" vertical="center"/>
    </xf>
    <xf numFmtId="0" fontId="20" fillId="70" borderId="12" xfId="0" applyFont="1" applyFill="1" applyBorder="1" applyAlignment="1">
      <alignment horizontal="center" vertical="center"/>
    </xf>
    <xf numFmtId="0" fontId="42" fillId="0" borderId="0" xfId="0" applyFont="1" applyAlignment="1">
      <alignment wrapText="1"/>
    </xf>
    <xf numFmtId="2" fontId="42" fillId="0" borderId="0" xfId="0" applyNumberFormat="1" applyFont="1"/>
    <xf numFmtId="183" fontId="28" fillId="0" borderId="0" xfId="0" applyNumberFormat="1" applyFont="1" applyAlignment="1">
      <alignment horizontal="center" vertical="center"/>
    </xf>
    <xf numFmtId="183" fontId="28" fillId="0" borderId="12" xfId="0" applyNumberFormat="1" applyFont="1" applyBorder="1" applyAlignment="1">
      <alignment horizontal="center" vertical="center"/>
    </xf>
    <xf numFmtId="0" fontId="20" fillId="70" borderId="11" xfId="0" applyFont="1" applyFill="1" applyBorder="1"/>
    <xf numFmtId="0" fontId="26" fillId="0" borderId="0" xfId="4" applyFont="1" applyFill="1" applyAlignment="1">
      <alignment horizontal="center"/>
    </xf>
    <xf numFmtId="0" fontId="28" fillId="0" borderId="0" xfId="0" applyFont="1" applyAlignment="1">
      <alignment horizontal="center" vertical="top" wrapText="1"/>
    </xf>
    <xf numFmtId="0" fontId="20" fillId="71" borderId="10" xfId="0" applyFont="1" applyFill="1" applyBorder="1" applyAlignment="1">
      <alignment horizontal="center" vertical="center" wrapText="1"/>
    </xf>
    <xf numFmtId="0" fontId="20" fillId="71" borderId="12" xfId="0" applyFont="1" applyFill="1" applyBorder="1" applyAlignment="1">
      <alignment horizontal="center" vertical="center" wrapText="1"/>
    </xf>
    <xf numFmtId="0" fontId="28" fillId="0" borderId="0" xfId="18" applyFont="1" applyAlignment="1">
      <alignment vertical="center" wrapText="1"/>
    </xf>
    <xf numFmtId="0" fontId="28" fillId="0" borderId="0" xfId="18" applyFont="1" applyAlignment="1">
      <alignment horizontal="left" vertical="center" wrapText="1"/>
    </xf>
    <xf numFmtId="0" fontId="28" fillId="0" borderId="0" xfId="18" applyFont="1" applyAlignment="1">
      <alignment horizontal="center" vertical="center" wrapText="1"/>
    </xf>
    <xf numFmtId="221" fontId="28" fillId="0" borderId="0" xfId="18" applyNumberFormat="1" applyFont="1" applyAlignment="1">
      <alignment horizontal="center" vertical="center" wrapText="1"/>
    </xf>
    <xf numFmtId="0" fontId="20" fillId="71" borderId="0" xfId="0" applyFont="1" applyFill="1" applyAlignment="1">
      <alignment horizontal="center" vertical="center" wrapText="1"/>
    </xf>
    <xf numFmtId="0" fontId="28" fillId="0" borderId="0" xfId="18" applyFont="1" applyAlignment="1">
      <alignment horizontal="center" wrapText="1"/>
    </xf>
    <xf numFmtId="0" fontId="28" fillId="0" borderId="0" xfId="18" applyFont="1" applyAlignment="1">
      <alignment horizontal="center" vertical="top" wrapText="1"/>
    </xf>
    <xf numFmtId="0" fontId="28" fillId="0" borderId="12" xfId="18" applyFont="1" applyBorder="1" applyAlignment="1">
      <alignment horizontal="left" vertical="center" wrapText="1"/>
    </xf>
    <xf numFmtId="0" fontId="28" fillId="0" borderId="12" xfId="18" applyFont="1" applyBorder="1" applyAlignment="1">
      <alignment horizontal="center" vertical="center" wrapText="1"/>
    </xf>
    <xf numFmtId="221" fontId="28" fillId="0" borderId="12" xfId="18" applyNumberFormat="1" applyFont="1" applyBorder="1" applyAlignment="1">
      <alignment horizontal="center" vertical="center" wrapText="1"/>
    </xf>
    <xf numFmtId="0" fontId="28" fillId="0" borderId="12" xfId="18" applyFont="1" applyBorder="1" applyAlignment="1">
      <alignment horizontal="center" wrapText="1"/>
    </xf>
    <xf numFmtId="0" fontId="89" fillId="0" borderId="0" xfId="0" applyFont="1" applyAlignment="1">
      <alignment horizontal="center" vertical="center"/>
    </xf>
    <xf numFmtId="0" fontId="89" fillId="0" borderId="0" xfId="0" applyFont="1" applyAlignment="1">
      <alignment horizontal="center" vertical="center" wrapText="1"/>
    </xf>
    <xf numFmtId="0" fontId="89" fillId="0" borderId="0" xfId="0" applyFont="1" applyAlignment="1">
      <alignment wrapText="1"/>
    </xf>
    <xf numFmtId="0" fontId="16" fillId="0" borderId="34" xfId="0" applyFont="1" applyBorder="1" applyAlignment="1">
      <alignment vertical="center"/>
    </xf>
    <xf numFmtId="0" fontId="20" fillId="72" borderId="10" xfId="0" applyFont="1" applyFill="1" applyBorder="1" applyAlignment="1">
      <alignment horizontal="center" vertical="center" wrapText="1"/>
    </xf>
    <xf numFmtId="0" fontId="20" fillId="72" borderId="12" xfId="0" applyFont="1" applyFill="1" applyBorder="1" applyAlignment="1">
      <alignment horizontal="center" vertical="center" wrapText="1"/>
    </xf>
    <xf numFmtId="170" fontId="20" fillId="0" borderId="0" xfId="0" applyNumberFormat="1" applyFont="1" applyAlignment="1">
      <alignment horizontal="center" vertical="center"/>
    </xf>
    <xf numFmtId="222" fontId="20" fillId="0" borderId="0" xfId="0" applyNumberFormat="1" applyFont="1" applyAlignment="1">
      <alignment horizontal="center" vertical="center"/>
    </xf>
    <xf numFmtId="164" fontId="20" fillId="4" borderId="0" xfId="0" applyNumberFormat="1" applyFont="1" applyFill="1" applyAlignment="1">
      <alignment horizontal="center" vertical="center"/>
    </xf>
    <xf numFmtId="1" fontId="20" fillId="0" borderId="0" xfId="0" applyNumberFormat="1" applyFont="1" applyAlignment="1">
      <alignment horizontal="center" vertical="center"/>
    </xf>
    <xf numFmtId="223" fontId="20" fillId="4" borderId="0" xfId="0" applyNumberFormat="1" applyFont="1" applyFill="1" applyAlignment="1">
      <alignment horizontal="center" vertical="center"/>
    </xf>
    <xf numFmtId="170" fontId="28" fillId="0" borderId="0" xfId="0" applyNumberFormat="1" applyFont="1" applyAlignment="1">
      <alignment horizontal="center" vertical="center"/>
    </xf>
    <xf numFmtId="224" fontId="28" fillId="0" borderId="0" xfId="0" applyNumberFormat="1" applyFont="1" applyAlignment="1">
      <alignment horizontal="center" vertical="center"/>
    </xf>
    <xf numFmtId="222" fontId="28" fillId="0" borderId="0" xfId="0" applyNumberFormat="1" applyFont="1" applyAlignment="1">
      <alignment horizontal="center" vertical="center"/>
    </xf>
    <xf numFmtId="223" fontId="28" fillId="0" borderId="0" xfId="0" applyNumberFormat="1" applyFont="1" applyAlignment="1">
      <alignment horizontal="center" vertical="center"/>
    </xf>
    <xf numFmtId="225" fontId="28" fillId="0" borderId="0" xfId="0" applyNumberFormat="1" applyFont="1" applyAlignment="1">
      <alignment horizontal="center" vertical="center"/>
    </xf>
    <xf numFmtId="170" fontId="28" fillId="0" borderId="12" xfId="0" applyNumberFormat="1" applyFont="1" applyBorder="1" applyAlignment="1">
      <alignment horizontal="center" vertical="center"/>
    </xf>
    <xf numFmtId="222" fontId="28" fillId="0" borderId="12" xfId="0" applyNumberFormat="1" applyFont="1" applyBorder="1" applyAlignment="1">
      <alignment horizontal="center" vertical="center"/>
    </xf>
    <xf numFmtId="221" fontId="28" fillId="0" borderId="12" xfId="0" applyNumberFormat="1" applyFont="1" applyBorder="1" applyAlignment="1">
      <alignment horizontal="center" vertical="center"/>
    </xf>
    <xf numFmtId="221" fontId="28" fillId="0" borderId="0" xfId="0" applyNumberFormat="1" applyFont="1" applyAlignment="1">
      <alignment horizontal="center" vertical="center"/>
    </xf>
    <xf numFmtId="0" fontId="89" fillId="0" borderId="0" xfId="0" applyFont="1" applyAlignment="1">
      <alignment vertical="center"/>
    </xf>
    <xf numFmtId="168" fontId="28" fillId="0" borderId="0" xfId="0" applyNumberFormat="1" applyFont="1" applyAlignment="1">
      <alignment horizontal="right" vertical="center"/>
    </xf>
    <xf numFmtId="1" fontId="28" fillId="0" borderId="0" xfId="0" applyNumberFormat="1" applyFont="1" applyAlignment="1">
      <alignment horizontal="right" vertical="center"/>
    </xf>
    <xf numFmtId="4" fontId="28" fillId="0" borderId="0" xfId="0" applyNumberFormat="1" applyFont="1" applyAlignment="1">
      <alignment horizontal="right" vertical="center"/>
    </xf>
    <xf numFmtId="221" fontId="20" fillId="0" borderId="0" xfId="0" applyNumberFormat="1" applyFont="1" applyAlignment="1">
      <alignment horizontal="center" vertical="center"/>
    </xf>
    <xf numFmtId="168" fontId="28" fillId="0" borderId="0" xfId="0" applyNumberFormat="1" applyFont="1" applyAlignment="1">
      <alignment horizontal="right" vertical="center" wrapText="1"/>
    </xf>
    <xf numFmtId="4" fontId="28" fillId="0" borderId="0" xfId="0" applyNumberFormat="1" applyFont="1" applyAlignment="1">
      <alignment horizontal="right" vertical="center" wrapText="1"/>
    </xf>
    <xf numFmtId="0" fontId="28" fillId="71" borderId="10" xfId="0" applyFont="1" applyFill="1" applyBorder="1"/>
    <xf numFmtId="0" fontId="28" fillId="71" borderId="12" xfId="0" applyFont="1" applyFill="1" applyBorder="1"/>
    <xf numFmtId="0" fontId="28" fillId="75" borderId="1" xfId="0" applyFont="1" applyFill="1" applyBorder="1" applyAlignment="1">
      <alignment vertical="top" wrapText="1"/>
    </xf>
    <xf numFmtId="0" fontId="26" fillId="0" borderId="1" xfId="4" applyFont="1" applyBorder="1" applyAlignment="1" applyProtection="1">
      <alignment horizontal="justify" vertical="center" wrapText="1"/>
    </xf>
    <xf numFmtId="0" fontId="20" fillId="25" borderId="1" xfId="0" applyFont="1" applyFill="1" applyBorder="1" applyAlignment="1">
      <alignment vertical="center" wrapText="1"/>
    </xf>
    <xf numFmtId="0" fontId="20" fillId="74" borderId="1" xfId="0" applyFont="1" applyFill="1" applyBorder="1" applyAlignment="1">
      <alignment vertical="top"/>
    </xf>
    <xf numFmtId="0" fontId="20" fillId="74" borderId="1" xfId="0" applyFont="1" applyFill="1" applyBorder="1" applyAlignment="1">
      <alignment horizontal="left" vertical="top"/>
    </xf>
    <xf numFmtId="0" fontId="20" fillId="76" borderId="14" xfId="0" applyFont="1" applyFill="1" applyBorder="1" applyAlignment="1">
      <alignment horizontal="left" vertical="top"/>
    </xf>
    <xf numFmtId="0" fontId="20" fillId="76" borderId="15" xfId="0" applyFont="1" applyFill="1" applyBorder="1" applyAlignment="1">
      <alignment horizontal="left" vertical="top"/>
    </xf>
    <xf numFmtId="0" fontId="28" fillId="75" borderId="2" xfId="0" applyFont="1" applyFill="1" applyBorder="1" applyAlignment="1">
      <alignment vertical="top" wrapText="1"/>
    </xf>
    <xf numFmtId="0" fontId="4" fillId="0" borderId="1" xfId="4" applyBorder="1" applyAlignment="1" applyProtection="1">
      <alignment horizontal="left" wrapText="1"/>
    </xf>
    <xf numFmtId="0" fontId="26" fillId="0" borderId="1" xfId="4" applyFont="1" applyBorder="1" applyProtection="1"/>
    <xf numFmtId="0" fontId="58" fillId="0" borderId="24" xfId="0" applyFont="1" applyBorder="1" applyAlignment="1">
      <alignment vertical="center"/>
    </xf>
    <xf numFmtId="0" fontId="16" fillId="77" borderId="11" xfId="0" applyFont="1" applyFill="1" applyBorder="1" applyAlignment="1">
      <alignment horizontal="center" vertical="center" wrapText="1"/>
    </xf>
    <xf numFmtId="0" fontId="16" fillId="77" borderId="11" xfId="0" applyFont="1" applyFill="1" applyBorder="1" applyAlignment="1">
      <alignment horizontal="center" vertical="center"/>
    </xf>
    <xf numFmtId="2" fontId="16" fillId="77" borderId="11" xfId="0" applyNumberFormat="1" applyFont="1" applyFill="1" applyBorder="1" applyAlignment="1">
      <alignment horizontal="center" vertical="center"/>
    </xf>
    <xf numFmtId="0" fontId="83" fillId="0" borderId="0" xfId="0" applyFont="1" applyAlignment="1">
      <alignment horizontal="left" vertical="center" wrapText="1"/>
    </xf>
    <xf numFmtId="0" fontId="83" fillId="0" borderId="0" xfId="0" applyFont="1" applyAlignment="1">
      <alignment horizontal="center" vertical="center"/>
    </xf>
    <xf numFmtId="2" fontId="83" fillId="0" borderId="0" xfId="0" applyNumberFormat="1" applyFont="1" applyAlignment="1">
      <alignment horizontal="center" vertical="center"/>
    </xf>
    <xf numFmtId="0" fontId="143" fillId="0" borderId="0" xfId="0" applyFont="1" applyAlignment="1">
      <alignment vertical="center"/>
    </xf>
    <xf numFmtId="206" fontId="24" fillId="4" borderId="0" xfId="6" applyNumberFormat="1" applyFont="1" applyFill="1" applyAlignment="1">
      <alignment horizontal="right" vertical="center"/>
    </xf>
    <xf numFmtId="226" fontId="143" fillId="0" borderId="0" xfId="3" applyNumberFormat="1" applyFont="1" applyFill="1" applyBorder="1" applyAlignment="1">
      <alignment horizontal="right" vertical="center"/>
    </xf>
    <xf numFmtId="206" fontId="14" fillId="4" borderId="0" xfId="6" applyNumberFormat="1" applyFont="1" applyFill="1" applyAlignment="1">
      <alignment horizontal="right" vertical="center"/>
    </xf>
    <xf numFmtId="0" fontId="143" fillId="0" borderId="12" xfId="0" applyFont="1" applyBorder="1" applyAlignment="1">
      <alignment vertical="center"/>
    </xf>
    <xf numFmtId="206" fontId="14" fillId="4" borderId="12" xfId="6" applyNumberFormat="1" applyFont="1" applyFill="1" applyBorder="1" applyAlignment="1">
      <alignment horizontal="right" vertical="center"/>
    </xf>
    <xf numFmtId="226" fontId="143" fillId="0" borderId="12" xfId="3" applyNumberFormat="1" applyFont="1" applyFill="1" applyBorder="1" applyAlignment="1">
      <alignment horizontal="right" vertical="center"/>
    </xf>
    <xf numFmtId="0" fontId="58" fillId="0" borderId="0" xfId="0" applyFont="1" applyAlignment="1">
      <alignment horizontal="left" vertical="center"/>
    </xf>
    <xf numFmtId="227" fontId="143" fillId="0" borderId="0" xfId="3" applyNumberFormat="1" applyFont="1" applyFill="1" applyBorder="1" applyAlignment="1">
      <alignment horizontal="right" vertical="center"/>
    </xf>
    <xf numFmtId="206" fontId="14" fillId="4" borderId="0" xfId="6" applyNumberFormat="1" applyFont="1" applyFill="1" applyBorder="1" applyAlignment="1">
      <alignment horizontal="right" vertical="center"/>
    </xf>
    <xf numFmtId="0" fontId="143" fillId="0" borderId="10" xfId="0" applyFont="1" applyBorder="1" applyAlignment="1">
      <alignment vertical="center"/>
    </xf>
    <xf numFmtId="0" fontId="143" fillId="0" borderId="0" xfId="0" applyFont="1" applyAlignment="1">
      <alignment vertical="top" wrapText="1"/>
    </xf>
    <xf numFmtId="0" fontId="143" fillId="0" borderId="0" xfId="0" applyFont="1" applyAlignment="1">
      <alignment horizontal="left" vertical="top" wrapText="1"/>
    </xf>
    <xf numFmtId="2" fontId="16" fillId="0" borderId="0" xfId="0" applyNumberFormat="1" applyFont="1" applyAlignment="1">
      <alignment horizontal="center" vertical="center"/>
    </xf>
    <xf numFmtId="170" fontId="16" fillId="4" borderId="0" xfId="0" applyNumberFormat="1" applyFont="1" applyFill="1" applyAlignment="1">
      <alignment horizontal="right" vertical="center"/>
    </xf>
    <xf numFmtId="226" fontId="58" fillId="0" borderId="0" xfId="3" applyNumberFormat="1" applyFont="1" applyFill="1" applyBorder="1" applyAlignment="1">
      <alignment horizontal="right" vertical="center"/>
    </xf>
    <xf numFmtId="170" fontId="58" fillId="4" borderId="0" xfId="0" applyNumberFormat="1" applyFont="1" applyFill="1" applyAlignment="1">
      <alignment horizontal="right" vertical="center"/>
    </xf>
    <xf numFmtId="0" fontId="58" fillId="0" borderId="12" xfId="0" applyFont="1" applyBorder="1" applyAlignment="1">
      <alignment vertical="center"/>
    </xf>
    <xf numFmtId="170" fontId="58" fillId="4" borderId="12" xfId="0" applyNumberFormat="1" applyFont="1" applyFill="1" applyBorder="1" applyAlignment="1">
      <alignment horizontal="right" vertical="center"/>
    </xf>
    <xf numFmtId="226" fontId="58" fillId="0" borderId="12" xfId="3" applyNumberFormat="1" applyFont="1" applyFill="1" applyBorder="1" applyAlignment="1">
      <alignment horizontal="right" vertical="center"/>
    </xf>
    <xf numFmtId="0" fontId="16" fillId="77" borderId="11" xfId="0" applyFont="1" applyFill="1" applyBorder="1"/>
    <xf numFmtId="0" fontId="58" fillId="0" borderId="0" xfId="0" applyFont="1" applyAlignment="1">
      <alignment horizontal="left"/>
    </xf>
    <xf numFmtId="2" fontId="58" fillId="0" borderId="0" xfId="0" applyNumberFormat="1" applyFont="1"/>
    <xf numFmtId="0" fontId="58" fillId="0" borderId="12" xfId="0" applyFont="1" applyBorder="1" applyAlignment="1">
      <alignment horizontal="left"/>
    </xf>
    <xf numFmtId="2" fontId="58" fillId="0" borderId="12" xfId="0" applyNumberFormat="1" applyFont="1" applyBorder="1"/>
    <xf numFmtId="0" fontId="20" fillId="0" borderId="1" xfId="0" applyFont="1" applyBorder="1" applyAlignment="1">
      <alignment vertical="top" wrapText="1"/>
    </xf>
    <xf numFmtId="0" fontId="20" fillId="77" borderId="11" xfId="0" applyFont="1" applyFill="1" applyBorder="1" applyAlignment="1">
      <alignment horizontal="center"/>
    </xf>
    <xf numFmtId="0" fontId="20" fillId="77" borderId="11" xfId="0" applyFont="1" applyFill="1" applyBorder="1" applyAlignment="1">
      <alignment horizontal="center" vertical="center" wrapText="1"/>
    </xf>
    <xf numFmtId="0" fontId="20" fillId="77" borderId="12" xfId="0" applyFont="1" applyFill="1" applyBorder="1" applyAlignment="1">
      <alignment vertical="center" wrapText="1"/>
    </xf>
    <xf numFmtId="0" fontId="20" fillId="77" borderId="12" xfId="0" applyFont="1" applyFill="1" applyBorder="1" applyAlignment="1">
      <alignment horizontal="left" vertical="center" wrapText="1"/>
    </xf>
    <xf numFmtId="0" fontId="28" fillId="4" borderId="1" xfId="0" applyFont="1" applyFill="1" applyBorder="1" applyAlignment="1">
      <alignment horizontal="justify" vertical="top" wrapText="1"/>
    </xf>
    <xf numFmtId="0" fontId="20" fillId="5" borderId="1" xfId="0" applyFont="1" applyFill="1" applyBorder="1" applyAlignment="1">
      <alignment horizontal="justify" vertical="top" wrapText="1"/>
    </xf>
    <xf numFmtId="0" fontId="28" fillId="0" borderId="0" xfId="0" applyFont="1" applyAlignment="1">
      <alignment vertical="top" wrapText="1" readingOrder="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28" fillId="0" borderId="2" xfId="0" applyFont="1" applyBorder="1" applyAlignment="1">
      <alignment horizontal="justify" vertical="top" wrapText="1"/>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0" borderId="11" xfId="0" applyFont="1" applyBorder="1" applyAlignment="1">
      <alignment horizontal="left" vertical="top" wrapText="1"/>
    </xf>
    <xf numFmtId="0" fontId="28" fillId="0" borderId="11" xfId="0" applyFont="1" applyBorder="1" applyAlignment="1">
      <alignment vertical="top" wrapText="1"/>
    </xf>
    <xf numFmtId="0" fontId="150" fillId="0" borderId="1" xfId="4" applyFont="1" applyBorder="1"/>
    <xf numFmtId="0" fontId="28" fillId="77" borderId="10" xfId="0" applyFont="1" applyFill="1" applyBorder="1"/>
    <xf numFmtId="0" fontId="20" fillId="77" borderId="12" xfId="0" applyFont="1" applyFill="1" applyBorder="1" applyAlignment="1">
      <alignment horizontal="center" vertical="center" wrapText="1"/>
    </xf>
    <xf numFmtId="0" fontId="28" fillId="77" borderId="12" xfId="0" applyFont="1" applyFill="1" applyBorder="1"/>
    <xf numFmtId="228" fontId="28" fillId="0" borderId="0" xfId="6" applyNumberFormat="1" applyFont="1"/>
    <xf numFmtId="229" fontId="28" fillId="0" borderId="0" xfId="0" applyNumberFormat="1" applyFont="1"/>
    <xf numFmtId="228" fontId="28" fillId="0" borderId="0" xfId="0" applyNumberFormat="1" applyFont="1"/>
    <xf numFmtId="228" fontId="20" fillId="0" borderId="12" xfId="0" applyNumberFormat="1" applyFont="1" applyBorder="1"/>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20" fillId="0" borderId="1" xfId="0" applyFont="1" applyBorder="1" applyAlignment="1">
      <alignment horizontal="center" vertical="center" wrapText="1"/>
    </xf>
    <xf numFmtId="0" fontId="28" fillId="0" borderId="13" xfId="0" applyFont="1" applyBorder="1" applyAlignment="1">
      <alignment horizontal="justify" vertical="center" wrapText="1"/>
    </xf>
    <xf numFmtId="0" fontId="20" fillId="0" borderId="57" xfId="0" applyFont="1" applyBorder="1" applyAlignment="1">
      <alignment horizontal="justify" vertical="center" wrapText="1"/>
    </xf>
    <xf numFmtId="0" fontId="28" fillId="0" borderId="57" xfId="0" applyFont="1" applyBorder="1" applyAlignment="1">
      <alignment horizontal="justify" vertical="center" wrapText="1"/>
    </xf>
    <xf numFmtId="0" fontId="20" fillId="2" borderId="14" xfId="0" applyFont="1" applyFill="1" applyBorder="1" applyAlignment="1">
      <alignment horizontal="center" vertical="top"/>
    </xf>
    <xf numFmtId="0" fontId="20" fillId="2" borderId="11" xfId="0" applyFont="1" applyFill="1" applyBorder="1" applyAlignment="1">
      <alignment horizontal="center" vertical="top"/>
    </xf>
    <xf numFmtId="0" fontId="28" fillId="0" borderId="71" xfId="0" applyFont="1" applyBorder="1" applyAlignment="1">
      <alignment horizontal="justify" vertical="center" wrapText="1"/>
    </xf>
    <xf numFmtId="0" fontId="28" fillId="0" borderId="61" xfId="0" applyFont="1" applyBorder="1" applyAlignment="1">
      <alignment horizontal="justify" vertical="center" wrapText="1"/>
    </xf>
    <xf numFmtId="0" fontId="16" fillId="0" borderId="0" xfId="19" applyFont="1" applyAlignment="1">
      <alignment vertical="center"/>
    </xf>
    <xf numFmtId="0" fontId="20" fillId="0" borderId="0" xfId="19" applyFont="1" applyAlignment="1">
      <alignment vertical="center"/>
    </xf>
    <xf numFmtId="0" fontId="16" fillId="0" borderId="0" xfId="19" applyFont="1" applyAlignment="1">
      <alignment horizontal="left" vertical="center"/>
    </xf>
    <xf numFmtId="0" fontId="20" fillId="77" borderId="11" xfId="19" applyFont="1" applyFill="1" applyBorder="1" applyAlignment="1">
      <alignment horizontal="center" vertical="center"/>
    </xf>
    <xf numFmtId="185" fontId="20" fillId="77" borderId="11" xfId="19" applyNumberFormat="1" applyFont="1" applyFill="1" applyBorder="1" applyAlignment="1">
      <alignment horizontal="center" vertical="center"/>
    </xf>
    <xf numFmtId="185" fontId="20" fillId="0" borderId="0" xfId="19" applyNumberFormat="1" applyFont="1" applyAlignment="1">
      <alignment horizontal="center" vertical="center" wrapText="1"/>
    </xf>
    <xf numFmtId="0" fontId="28" fillId="4" borderId="0" xfId="19" applyFont="1" applyFill="1" applyAlignment="1">
      <alignment horizontal="center"/>
    </xf>
    <xf numFmtId="185" fontId="28" fillId="0" borderId="0" xfId="19" applyNumberFormat="1" applyFont="1" applyAlignment="1">
      <alignment horizontal="right" wrapText="1"/>
    </xf>
    <xf numFmtId="0" fontId="28" fillId="4" borderId="0" xfId="0" applyFont="1" applyFill="1" applyAlignment="1">
      <alignment horizontal="center" wrapText="1"/>
    </xf>
    <xf numFmtId="1" fontId="28" fillId="0" borderId="0" xfId="0" applyNumberFormat="1" applyFont="1" applyAlignment="1">
      <alignment horizontal="right"/>
    </xf>
    <xf numFmtId="0" fontId="26" fillId="0" borderId="0" xfId="4" applyFont="1" applyAlignment="1">
      <alignment horizontal="left" vertical="center"/>
    </xf>
    <xf numFmtId="1" fontId="28" fillId="0" borderId="0" xfId="19" applyNumberFormat="1" applyFont="1" applyAlignment="1">
      <alignment horizontal="right" wrapText="1"/>
    </xf>
    <xf numFmtId="0" fontId="28" fillId="4" borderId="12" xfId="0" applyFont="1" applyFill="1" applyBorder="1" applyAlignment="1">
      <alignment horizontal="center" wrapText="1"/>
    </xf>
    <xf numFmtId="16" fontId="28" fillId="0" borderId="1" xfId="0" applyNumberFormat="1" applyFont="1" applyBorder="1" applyAlignment="1">
      <alignment horizontal="left"/>
    </xf>
    <xf numFmtId="0" fontId="16" fillId="0" borderId="19" xfId="0" applyFont="1" applyBorder="1" applyAlignment="1">
      <alignment horizontal="left" vertical="center" wrapText="1"/>
    </xf>
    <xf numFmtId="0" fontId="20" fillId="77" borderId="0" xfId="0" applyFont="1" applyFill="1" applyAlignment="1">
      <alignment horizontal="center" vertical="center" wrapText="1"/>
    </xf>
    <xf numFmtId="0" fontId="20" fillId="77" borderId="10" xfId="0" applyFont="1" applyFill="1" applyBorder="1" applyAlignment="1">
      <alignment horizontal="center" vertical="center" wrapText="1"/>
    </xf>
    <xf numFmtId="0" fontId="28" fillId="0" borderId="7" xfId="0" applyFont="1" applyBorder="1" applyAlignment="1">
      <alignment vertical="center"/>
    </xf>
    <xf numFmtId="0" fontId="28" fillId="0" borderId="8" xfId="0" applyFont="1" applyBorder="1" applyAlignment="1">
      <alignment vertical="center"/>
    </xf>
    <xf numFmtId="0" fontId="20" fillId="78" borderId="10" xfId="0" applyFont="1" applyFill="1" applyBorder="1" applyAlignment="1">
      <alignment horizontal="center" vertical="center"/>
    </xf>
    <xf numFmtId="0" fontId="20" fillId="78" borderId="10" xfId="0" applyFont="1" applyFill="1" applyBorder="1" applyAlignment="1">
      <alignment horizontal="center" vertical="center" wrapText="1"/>
    </xf>
    <xf numFmtId="0" fontId="20" fillId="78" borderId="0" xfId="0" applyFont="1" applyFill="1" applyAlignment="1">
      <alignment horizontal="center" vertical="center" wrapText="1"/>
    </xf>
    <xf numFmtId="0" fontId="20" fillId="78" borderId="11" xfId="0" applyFont="1" applyFill="1" applyBorder="1" applyAlignment="1">
      <alignment horizontal="center" vertical="center" wrapText="1"/>
    </xf>
    <xf numFmtId="0" fontId="20" fillId="78" borderId="0" xfId="0" applyFont="1" applyFill="1" applyAlignment="1">
      <alignment horizontal="center"/>
    </xf>
    <xf numFmtId="0" fontId="20" fillId="78" borderId="12" xfId="0" applyFont="1" applyFill="1" applyBorder="1" applyAlignment="1">
      <alignment vertical="center"/>
    </xf>
    <xf numFmtId="0" fontId="20" fillId="78" borderId="12" xfId="0" applyFont="1" applyFill="1" applyBorder="1" applyAlignment="1">
      <alignment horizontal="center" vertical="center" wrapText="1"/>
    </xf>
    <xf numFmtId="0" fontId="20" fillId="78" borderId="12" xfId="0" applyFont="1" applyFill="1" applyBorder="1" applyAlignment="1">
      <alignment vertical="center" wrapText="1"/>
    </xf>
    <xf numFmtId="0" fontId="20" fillId="78" borderId="12" xfId="0" applyFont="1" applyFill="1" applyBorder="1" applyAlignment="1">
      <alignment horizontal="center" wrapText="1"/>
    </xf>
    <xf numFmtId="0" fontId="28" fillId="0" borderId="12" xfId="0" applyFont="1" applyBorder="1" applyAlignment="1">
      <alignment horizontal="right" vertical="center"/>
    </xf>
    <xf numFmtId="0" fontId="20" fillId="78" borderId="0" xfId="0" applyFont="1" applyFill="1" applyAlignment="1">
      <alignment horizontal="center" vertical="center"/>
    </xf>
    <xf numFmtId="0" fontId="20" fillId="78" borderId="0" xfId="16" applyFont="1" applyFill="1" applyAlignment="1">
      <alignment horizontal="center" vertical="center"/>
    </xf>
    <xf numFmtId="0" fontId="20" fillId="78" borderId="12" xfId="0" applyFont="1" applyFill="1" applyBorder="1" applyAlignment="1">
      <alignment horizontal="center" vertical="center"/>
    </xf>
    <xf numFmtId="1" fontId="20" fillId="78" borderId="12" xfId="0" applyNumberFormat="1" applyFont="1" applyFill="1" applyBorder="1" applyAlignment="1">
      <alignment horizontal="center" vertical="center"/>
    </xf>
    <xf numFmtId="0" fontId="20" fillId="78" borderId="12" xfId="16" applyFont="1" applyFill="1" applyBorder="1" applyAlignment="1">
      <alignment horizontal="center"/>
    </xf>
    <xf numFmtId="0" fontId="20" fillId="78" borderId="12" xfId="0" applyFont="1" applyFill="1" applyBorder="1" applyAlignment="1">
      <alignment horizontal="left" wrapText="1"/>
    </xf>
    <xf numFmtId="215" fontId="28" fillId="0" borderId="0" xfId="0" applyNumberFormat="1" applyFont="1" applyAlignment="1">
      <alignment horizontal="right"/>
    </xf>
    <xf numFmtId="0" fontId="20" fillId="0" borderId="0" xfId="0" applyFont="1" applyAlignment="1">
      <alignment horizontal="right" vertical="center"/>
    </xf>
    <xf numFmtId="216" fontId="28" fillId="0" borderId="0" xfId="0" applyNumberFormat="1" applyFont="1" applyAlignment="1">
      <alignment horizontal="right" vertical="center"/>
    </xf>
    <xf numFmtId="168" fontId="28" fillId="0" borderId="0" xfId="17" applyNumberFormat="1" applyFont="1" applyAlignment="1">
      <alignment horizontal="right" vertical="center"/>
    </xf>
    <xf numFmtId="0" fontId="28" fillId="0" borderId="0" xfId="17" applyFont="1" applyAlignment="1">
      <alignment horizontal="right" vertical="center"/>
    </xf>
    <xf numFmtId="0" fontId="20" fillId="0" borderId="0" xfId="16" applyFont="1" applyAlignment="1">
      <alignment horizontal="right"/>
    </xf>
    <xf numFmtId="0" fontId="20" fillId="0" borderId="0" xfId="0" applyFont="1" applyAlignment="1">
      <alignment horizontal="right" vertical="center" wrapText="1"/>
    </xf>
    <xf numFmtId="0" fontId="20" fillId="0" borderId="0" xfId="0" applyFont="1" applyAlignment="1">
      <alignment horizontal="right" wrapText="1"/>
    </xf>
    <xf numFmtId="215" fontId="28" fillId="0" borderId="0" xfId="0" applyNumberFormat="1" applyFont="1" applyAlignment="1">
      <alignment horizontal="right" vertical="center"/>
    </xf>
    <xf numFmtId="217" fontId="28" fillId="0" borderId="0" xfId="0" applyNumberFormat="1" applyFont="1" applyAlignment="1">
      <alignment horizontal="right" vertical="center"/>
    </xf>
    <xf numFmtId="0" fontId="28" fillId="4" borderId="0" xfId="0" applyFont="1" applyFill="1" applyAlignment="1">
      <alignment horizontal="left" vertical="center"/>
    </xf>
    <xf numFmtId="164" fontId="28" fillId="4" borderId="0" xfId="0" applyNumberFormat="1" applyFont="1" applyFill="1" applyAlignment="1" applyProtection="1">
      <alignment horizontal="right"/>
      <protection hidden="1"/>
    </xf>
    <xf numFmtId="2" fontId="28" fillId="4" borderId="0" xfId="0" applyNumberFormat="1" applyFont="1" applyFill="1" applyAlignment="1">
      <alignment vertical="center"/>
    </xf>
    <xf numFmtId="1" fontId="28" fillId="4" borderId="0" xfId="0" applyNumberFormat="1" applyFont="1" applyFill="1" applyProtection="1">
      <protection hidden="1"/>
    </xf>
    <xf numFmtId="164" fontId="28" fillId="4" borderId="0" xfId="0" applyNumberFormat="1" applyFont="1" applyFill="1" applyProtection="1">
      <protection hidden="1"/>
    </xf>
    <xf numFmtId="2" fontId="28" fillId="4" borderId="0" xfId="0" applyNumberFormat="1" applyFont="1" applyFill="1" applyAlignment="1">
      <alignment horizontal="right" vertical="center"/>
    </xf>
    <xf numFmtId="168" fontId="28" fillId="4" borderId="0" xfId="0" applyNumberFormat="1" applyFont="1" applyFill="1" applyAlignment="1">
      <alignment horizontal="right" vertical="center"/>
    </xf>
    <xf numFmtId="215" fontId="28" fillId="4" borderId="0" xfId="0" applyNumberFormat="1" applyFont="1" applyFill="1" applyAlignment="1">
      <alignment horizontal="right" vertical="center"/>
    </xf>
    <xf numFmtId="2" fontId="28" fillId="4" borderId="0" xfId="0" applyNumberFormat="1" applyFont="1" applyFill="1" applyAlignment="1">
      <alignment horizontal="right"/>
    </xf>
    <xf numFmtId="1" fontId="28" fillId="4" borderId="0" xfId="0" applyNumberFormat="1" applyFont="1" applyFill="1"/>
    <xf numFmtId="0" fontId="28" fillId="4" borderId="0" xfId="0" applyFont="1" applyFill="1" applyAlignment="1">
      <alignment horizontal="right" vertical="center"/>
    </xf>
    <xf numFmtId="168" fontId="28" fillId="4" borderId="0" xfId="17" applyNumberFormat="1" applyFont="1" applyFill="1" applyAlignment="1">
      <alignment horizontal="right" vertical="center"/>
    </xf>
    <xf numFmtId="0" fontId="28" fillId="4" borderId="0" xfId="17" applyFont="1" applyFill="1" applyAlignment="1">
      <alignment horizontal="right" vertical="center"/>
    </xf>
    <xf numFmtId="217" fontId="28" fillId="4" borderId="0" xfId="0" applyNumberFormat="1" applyFont="1" applyFill="1" applyAlignment="1">
      <alignment horizontal="right" vertical="center"/>
    </xf>
    <xf numFmtId="0" fontId="28" fillId="4" borderId="12" xfId="0" applyFont="1" applyFill="1" applyBorder="1" applyAlignment="1">
      <alignment horizontal="left" vertical="center"/>
    </xf>
    <xf numFmtId="164" fontId="28" fillId="4" borderId="12" xfId="0" applyNumberFormat="1" applyFont="1" applyFill="1" applyBorder="1" applyAlignment="1" applyProtection="1">
      <alignment horizontal="right"/>
      <protection hidden="1"/>
    </xf>
    <xf numFmtId="2" fontId="28" fillId="4" borderId="12" xfId="0" applyNumberFormat="1" applyFont="1" applyFill="1" applyBorder="1" applyAlignment="1">
      <alignment vertical="center"/>
    </xf>
    <xf numFmtId="1" fontId="28" fillId="4" borderId="12" xfId="0" applyNumberFormat="1" applyFont="1" applyFill="1" applyBorder="1" applyProtection="1">
      <protection hidden="1"/>
    </xf>
    <xf numFmtId="164" fontId="28" fillId="4" borderId="12" xfId="0" applyNumberFormat="1" applyFont="1" applyFill="1" applyBorder="1" applyProtection="1">
      <protection hidden="1"/>
    </xf>
    <xf numFmtId="2" fontId="28" fillId="4" borderId="12" xfId="0" applyNumberFormat="1" applyFont="1" applyFill="1" applyBorder="1" applyAlignment="1">
      <alignment horizontal="right" vertical="center"/>
    </xf>
    <xf numFmtId="168" fontId="28" fillId="4" borderId="12" xfId="0" applyNumberFormat="1" applyFont="1" applyFill="1" applyBorder="1" applyAlignment="1">
      <alignment horizontal="right" vertical="center"/>
    </xf>
    <xf numFmtId="215" fontId="28" fillId="4" borderId="12" xfId="0" applyNumberFormat="1" applyFont="1" applyFill="1" applyBorder="1" applyAlignment="1">
      <alignment horizontal="right" vertical="center"/>
    </xf>
    <xf numFmtId="2" fontId="28" fillId="4" borderId="12" xfId="0" applyNumberFormat="1" applyFont="1" applyFill="1" applyBorder="1" applyAlignment="1">
      <alignment horizontal="right"/>
    </xf>
    <xf numFmtId="1" fontId="28" fillId="4" borderId="12" xfId="0" applyNumberFormat="1" applyFont="1" applyFill="1" applyBorder="1"/>
    <xf numFmtId="0" fontId="28" fillId="4" borderId="12" xfId="0" applyFont="1" applyFill="1" applyBorder="1" applyAlignment="1">
      <alignment horizontal="right" vertical="center"/>
    </xf>
    <xf numFmtId="168" fontId="28" fillId="4" borderId="12" xfId="17" applyNumberFormat="1" applyFont="1" applyFill="1" applyBorder="1" applyAlignment="1">
      <alignment horizontal="right" vertical="center"/>
    </xf>
    <xf numFmtId="0" fontId="28" fillId="4" borderId="12" xfId="17" applyFont="1" applyFill="1" applyBorder="1" applyAlignment="1">
      <alignment horizontal="right" vertical="center"/>
    </xf>
    <xf numFmtId="217" fontId="28" fillId="4" borderId="12" xfId="0" applyNumberFormat="1" applyFont="1" applyFill="1" applyBorder="1" applyAlignment="1">
      <alignment horizontal="right" vertical="center"/>
    </xf>
    <xf numFmtId="0" fontId="42" fillId="0" borderId="0" xfId="0" applyFont="1" applyAlignment="1">
      <alignment horizontal="left" vertical="center"/>
    </xf>
    <xf numFmtId="215" fontId="42" fillId="0" borderId="0" xfId="0" applyNumberFormat="1" applyFont="1" applyAlignment="1">
      <alignment horizontal="right"/>
    </xf>
    <xf numFmtId="0" fontId="42" fillId="4" borderId="0" xfId="0" applyFont="1" applyFill="1" applyAlignment="1">
      <alignment horizontal="left" vertical="center"/>
    </xf>
    <xf numFmtId="164" fontId="42" fillId="4" borderId="0" xfId="0" applyNumberFormat="1" applyFont="1" applyFill="1" applyAlignment="1" applyProtection="1">
      <alignment horizontal="right"/>
      <protection hidden="1"/>
    </xf>
    <xf numFmtId="164" fontId="42" fillId="4" borderId="0" xfId="0" applyNumberFormat="1" applyFont="1" applyFill="1" applyProtection="1">
      <protection hidden="1"/>
    </xf>
    <xf numFmtId="0" fontId="20" fillId="0" borderId="5" xfId="0" applyFont="1" applyBorder="1" applyAlignment="1">
      <alignment vertical="center"/>
    </xf>
    <xf numFmtId="0" fontId="28" fillId="0" borderId="5" xfId="0" applyFont="1" applyBorder="1" applyAlignment="1">
      <alignment vertical="center"/>
    </xf>
    <xf numFmtId="0" fontId="20" fillId="78" borderId="11" xfId="0" applyFont="1" applyFill="1" applyBorder="1"/>
    <xf numFmtId="0" fontId="20" fillId="78" borderId="11" xfId="0" applyFont="1" applyFill="1" applyBorder="1" applyAlignment="1">
      <alignment horizontal="center" wrapText="1"/>
    </xf>
    <xf numFmtId="0" fontId="20" fillId="78" borderId="11" xfId="0" applyFont="1" applyFill="1" applyBorder="1" applyAlignment="1">
      <alignment vertical="center" wrapText="1"/>
    </xf>
    <xf numFmtId="16" fontId="28" fillId="0" borderId="0" xfId="0" quotePrefix="1" applyNumberFormat="1" applyFont="1" applyAlignment="1">
      <alignment horizontal="left" vertical="center" indent="1"/>
    </xf>
    <xf numFmtId="0" fontId="28" fillId="0" borderId="91" xfId="0" applyFont="1" applyBorder="1" applyAlignment="1">
      <alignment vertical="center" wrapText="1"/>
    </xf>
    <xf numFmtId="0" fontId="20" fillId="78" borderId="11" xfId="0" applyFont="1" applyFill="1" applyBorder="1" applyAlignment="1">
      <alignment vertical="center"/>
    </xf>
    <xf numFmtId="0" fontId="20" fillId="78" borderId="11" xfId="0" applyFont="1" applyFill="1" applyBorder="1" applyAlignment="1">
      <alignment horizontal="center" vertical="center"/>
    </xf>
    <xf numFmtId="0" fontId="20" fillId="78" borderId="10" xfId="0" applyFont="1" applyFill="1" applyBorder="1" applyAlignment="1">
      <alignment vertical="center"/>
    </xf>
    <xf numFmtId="230" fontId="28" fillId="0" borderId="0" xfId="1" applyNumberFormat="1" applyFont="1" applyFill="1" applyBorder="1" applyAlignment="1">
      <alignment horizontal="right" vertical="top"/>
    </xf>
    <xf numFmtId="171" fontId="28" fillId="0" borderId="0" xfId="0" applyNumberFormat="1" applyFont="1"/>
    <xf numFmtId="2" fontId="28" fillId="0" borderId="0" xfId="3" applyNumberFormat="1" applyFont="1" applyFill="1" applyBorder="1" applyAlignment="1">
      <alignment horizontal="right" vertical="top"/>
    </xf>
    <xf numFmtId="230" fontId="28" fillId="0" borderId="12" xfId="1" applyNumberFormat="1" applyFont="1" applyFill="1" applyBorder="1" applyAlignment="1">
      <alignment horizontal="right" vertical="top"/>
    </xf>
    <xf numFmtId="171" fontId="28" fillId="0" borderId="12" xfId="0" applyNumberFormat="1" applyFont="1" applyBorder="1"/>
    <xf numFmtId="2" fontId="28" fillId="0" borderId="12" xfId="3" applyNumberFormat="1" applyFont="1" applyFill="1" applyBorder="1" applyAlignment="1">
      <alignment horizontal="right" vertical="top"/>
    </xf>
    <xf numFmtId="172" fontId="58" fillId="0" borderId="0" xfId="1" applyNumberFormat="1" applyFont="1" applyFill="1" applyBorder="1" applyAlignment="1">
      <alignment horizontal="right" vertical="top"/>
    </xf>
    <xf numFmtId="187" fontId="58" fillId="0" borderId="0" xfId="3" applyNumberFormat="1" applyFont="1" applyFill="1" applyBorder="1" applyAlignment="1">
      <alignment horizontal="right" vertical="top"/>
    </xf>
    <xf numFmtId="0" fontId="28" fillId="0" borderId="0" xfId="38" applyFont="1" applyAlignment="1">
      <alignment horizontal="left" vertical="top" wrapText="1"/>
    </xf>
    <xf numFmtId="0" fontId="28" fillId="0" borderId="0" xfId="39" applyFont="1" applyAlignment="1">
      <alignment horizontal="left" vertical="top" wrapText="1"/>
    </xf>
    <xf numFmtId="164" fontId="28" fillId="0" borderId="12" xfId="0" applyNumberFormat="1" applyFont="1" applyBorder="1"/>
    <xf numFmtId="168" fontId="28" fillId="0" borderId="12" xfId="0" applyNumberFormat="1" applyFont="1" applyBorder="1" applyAlignment="1">
      <alignment horizontal="center" vertical="center"/>
    </xf>
    <xf numFmtId="168" fontId="28" fillId="0" borderId="12" xfId="0" applyNumberFormat="1" applyFont="1" applyBorder="1" applyAlignment="1">
      <alignment horizontal="right" vertical="center"/>
    </xf>
    <xf numFmtId="0" fontId="20" fillId="78" borderId="11" xfId="0" applyFont="1" applyFill="1" applyBorder="1" applyAlignment="1">
      <alignment horizontal="right" vertical="center"/>
    </xf>
    <xf numFmtId="0" fontId="20" fillId="78" borderId="11" xfId="0" applyFont="1" applyFill="1" applyBorder="1" applyAlignment="1">
      <alignment horizontal="right" vertical="center" wrapText="1"/>
    </xf>
    <xf numFmtId="217" fontId="28" fillId="0" borderId="12" xfId="0" applyNumberFormat="1" applyFont="1" applyBorder="1" applyAlignment="1">
      <alignment horizontal="right" vertical="center"/>
    </xf>
    <xf numFmtId="217" fontId="28" fillId="0" borderId="0" xfId="0" applyNumberFormat="1" applyFont="1" applyAlignment="1">
      <alignment horizontal="right"/>
    </xf>
    <xf numFmtId="217" fontId="28" fillId="0" borderId="0" xfId="0" applyNumberFormat="1" applyFont="1" applyAlignment="1">
      <alignment horizontal="center"/>
    </xf>
    <xf numFmtId="188" fontId="20" fillId="78" borderId="12" xfId="0" applyNumberFormat="1" applyFont="1" applyFill="1" applyBorder="1" applyAlignment="1">
      <alignment horizontal="center" vertical="center" wrapText="1"/>
    </xf>
    <xf numFmtId="188" fontId="20" fillId="78" borderId="12" xfId="0" applyNumberFormat="1" applyFont="1" applyFill="1" applyBorder="1" applyAlignment="1">
      <alignment horizontal="center" wrapText="1"/>
    </xf>
    <xf numFmtId="0" fontId="21" fillId="0" borderId="0" xfId="0" applyFont="1" applyAlignment="1">
      <alignment wrapText="1"/>
    </xf>
    <xf numFmtId="0" fontId="21" fillId="0" borderId="12" xfId="0" applyFont="1" applyBorder="1"/>
    <xf numFmtId="164" fontId="70" fillId="0" borderId="12" xfId="0" applyNumberFormat="1" applyFont="1" applyBorder="1"/>
    <xf numFmtId="0" fontId="4" fillId="0" borderId="1" xfId="4" applyBorder="1" applyAlignment="1">
      <alignment vertical="top" wrapText="1"/>
    </xf>
    <xf numFmtId="0" fontId="20" fillId="78" borderId="10" xfId="0" applyFont="1" applyFill="1" applyBorder="1" applyAlignment="1">
      <alignment horizontal="center"/>
    </xf>
    <xf numFmtId="0" fontId="20" fillId="78" borderId="12" xfId="0" applyFont="1" applyFill="1" applyBorder="1" applyAlignment="1">
      <alignment horizontal="left" indent="2"/>
    </xf>
    <xf numFmtId="0" fontId="16" fillId="0" borderId="0" xfId="0" applyFont="1" applyAlignment="1">
      <alignment horizontal="left" vertical="top"/>
    </xf>
    <xf numFmtId="0" fontId="20" fillId="0" borderId="0" xfId="0" applyFont="1" applyAlignment="1">
      <alignment horizontal="left" vertical="top"/>
    </xf>
    <xf numFmtId="0" fontId="4" fillId="0" borderId="0" xfId="4" applyAlignment="1">
      <alignment vertical="top"/>
    </xf>
    <xf numFmtId="0" fontId="28" fillId="0" borderId="0" xfId="36" applyFont="1" applyAlignment="1">
      <alignment vertical="top"/>
    </xf>
    <xf numFmtId="0" fontId="20" fillId="79" borderId="10" xfId="0" applyFont="1" applyFill="1" applyBorder="1" applyAlignment="1">
      <alignment horizontal="center" vertical="center" wrapText="1"/>
    </xf>
    <xf numFmtId="0" fontId="20" fillId="79" borderId="12" xfId="0" applyFont="1" applyFill="1" applyBorder="1" applyAlignment="1">
      <alignment horizontal="center" vertical="center" wrapText="1"/>
    </xf>
    <xf numFmtId="175" fontId="28" fillId="0" borderId="12" xfId="0" applyNumberFormat="1" applyFont="1" applyBorder="1"/>
    <xf numFmtId="0" fontId="20" fillId="79" borderId="11" xfId="0" applyFont="1" applyFill="1" applyBorder="1" applyAlignment="1">
      <alignment horizontal="center" vertical="center"/>
    </xf>
    <xf numFmtId="0" fontId="20" fillId="79" borderId="11" xfId="0" applyFont="1" applyFill="1" applyBorder="1" applyAlignment="1">
      <alignment horizontal="center" vertical="center" wrapText="1"/>
    </xf>
    <xf numFmtId="2" fontId="28" fillId="0" borderId="0" xfId="3" applyNumberFormat="1" applyFont="1" applyBorder="1"/>
    <xf numFmtId="10" fontId="28" fillId="0" borderId="0" xfId="3" applyNumberFormat="1" applyFont="1" applyBorder="1"/>
    <xf numFmtId="0" fontId="28" fillId="0" borderId="0" xfId="0" applyFont="1" applyAlignment="1">
      <alignment horizontal="left" indent="1"/>
    </xf>
    <xf numFmtId="0" fontId="28" fillId="4" borderId="0" xfId="0" applyFont="1" applyFill="1" applyAlignment="1">
      <alignment horizontal="left" indent="1"/>
    </xf>
    <xf numFmtId="188" fontId="28" fillId="4" borderId="0" xfId="0" applyNumberFormat="1" applyFont="1" applyFill="1" applyAlignment="1">
      <alignment horizontal="center"/>
    </xf>
    <xf numFmtId="164" fontId="28" fillId="4" borderId="0" xfId="0" applyNumberFormat="1" applyFont="1" applyFill="1" applyAlignment="1">
      <alignment horizontal="center"/>
    </xf>
    <xf numFmtId="0" fontId="20" fillId="4" borderId="0" xfId="0" applyFont="1" applyFill="1" applyAlignment="1">
      <alignment horizontal="left" indent="1"/>
    </xf>
    <xf numFmtId="188" fontId="20" fillId="4" borderId="0" xfId="0" applyNumberFormat="1" applyFont="1" applyFill="1" applyAlignment="1">
      <alignment horizontal="center"/>
    </xf>
    <xf numFmtId="164" fontId="20" fillId="4" borderId="0" xfId="0" applyNumberFormat="1" applyFont="1" applyFill="1" applyAlignment="1">
      <alignment horizontal="center"/>
    </xf>
    <xf numFmtId="164" fontId="20" fillId="0" borderId="0" xfId="0" applyNumberFormat="1" applyFont="1" applyAlignment="1">
      <alignment horizontal="center"/>
    </xf>
    <xf numFmtId="0" fontId="28" fillId="19" borderId="0" xfId="0" applyFont="1" applyFill="1" applyAlignment="1">
      <alignment horizontal="left" indent="1"/>
    </xf>
    <xf numFmtId="188" fontId="28" fillId="19" borderId="0" xfId="0" applyNumberFormat="1" applyFont="1" applyFill="1" applyAlignment="1">
      <alignment horizontal="center"/>
    </xf>
    <xf numFmtId="2" fontId="28" fillId="19" borderId="0" xfId="0" applyNumberFormat="1" applyFont="1" applyFill="1" applyAlignment="1">
      <alignment horizontal="center"/>
    </xf>
    <xf numFmtId="164" fontId="28" fillId="19" borderId="0" xfId="0" applyNumberFormat="1" applyFont="1" applyFill="1" applyAlignment="1">
      <alignment horizontal="center"/>
    </xf>
    <xf numFmtId="0" fontId="28" fillId="19" borderId="0" xfId="0" applyFont="1" applyFill="1" applyAlignment="1">
      <alignment horizontal="center"/>
    </xf>
    <xf numFmtId="0" fontId="20" fillId="19" borderId="0" xfId="0" applyFont="1" applyFill="1" applyAlignment="1">
      <alignment horizontal="left" indent="1"/>
    </xf>
    <xf numFmtId="188" fontId="20" fillId="19" borderId="0" xfId="0" applyNumberFormat="1" applyFont="1" applyFill="1" applyAlignment="1">
      <alignment horizontal="center"/>
    </xf>
    <xf numFmtId="164" fontId="20" fillId="19" borderId="0" xfId="0" applyNumberFormat="1" applyFont="1" applyFill="1" applyAlignment="1">
      <alignment horizontal="center"/>
    </xf>
    <xf numFmtId="0" fontId="28" fillId="0" borderId="92" xfId="0" applyFont="1" applyBorder="1" applyAlignment="1">
      <alignment horizontal="left" indent="1"/>
    </xf>
    <xf numFmtId="0" fontId="20" fillId="4" borderId="92" xfId="0" applyFont="1" applyFill="1" applyBorder="1" applyAlignment="1">
      <alignment horizontal="left" indent="1"/>
    </xf>
    <xf numFmtId="188" fontId="20" fillId="4" borderId="92" xfId="0" applyNumberFormat="1" applyFont="1" applyFill="1" applyBorder="1" applyAlignment="1">
      <alignment horizontal="center"/>
    </xf>
    <xf numFmtId="164" fontId="20" fillId="4" borderId="92" xfId="0" applyNumberFormat="1" applyFont="1" applyFill="1" applyBorder="1" applyAlignment="1">
      <alignment horizontal="center"/>
    </xf>
    <xf numFmtId="164" fontId="20" fillId="0" borderId="92" xfId="0" applyNumberFormat="1" applyFont="1" applyBorder="1" applyAlignment="1">
      <alignment horizontal="center"/>
    </xf>
    <xf numFmtId="0" fontId="20" fillId="0" borderId="0" xfId="0" applyFont="1" applyAlignment="1">
      <alignment horizontal="left" indent="1"/>
    </xf>
    <xf numFmtId="188" fontId="20" fillId="0" borderId="0" xfId="0" applyNumberFormat="1" applyFont="1" applyAlignment="1">
      <alignment horizontal="center"/>
    </xf>
    <xf numFmtId="0" fontId="20" fillId="19" borderId="27" xfId="0" applyFont="1" applyFill="1" applyBorder="1" applyAlignment="1">
      <alignment horizontal="left" indent="1"/>
    </xf>
    <xf numFmtId="188" fontId="20" fillId="19" borderId="27" xfId="0" applyNumberFormat="1" applyFont="1" applyFill="1" applyBorder="1" applyAlignment="1">
      <alignment horizontal="center"/>
    </xf>
    <xf numFmtId="164" fontId="20" fillId="19" borderId="27" xfId="0" applyNumberFormat="1" applyFont="1" applyFill="1" applyBorder="1" applyAlignment="1">
      <alignment horizontal="center"/>
    </xf>
    <xf numFmtId="0" fontId="28" fillId="0" borderId="12" xfId="0" applyFont="1" applyBorder="1" applyAlignment="1">
      <alignment horizontal="left" indent="1"/>
    </xf>
    <xf numFmtId="0" fontId="20" fillId="0" borderId="12" xfId="0" applyFont="1" applyBorder="1" applyAlignment="1">
      <alignment horizontal="left" indent="1"/>
    </xf>
    <xf numFmtId="188" fontId="20" fillId="0" borderId="12" xfId="0" applyNumberFormat="1" applyFont="1" applyBorder="1" applyAlignment="1">
      <alignment horizontal="center"/>
    </xf>
    <xf numFmtId="188" fontId="28" fillId="0" borderId="0" xfId="0" applyNumberFormat="1" applyFont="1"/>
    <xf numFmtId="0" fontId="4" fillId="0" borderId="1" xfId="4" applyBorder="1"/>
    <xf numFmtId="0" fontId="20" fillId="79" borderId="12" xfId="0" applyFont="1" applyFill="1" applyBorder="1" applyAlignment="1">
      <alignment horizontal="center" vertical="center"/>
    </xf>
    <xf numFmtId="0" fontId="28" fillId="0" borderId="1" xfId="0" applyFont="1" applyBorder="1" applyAlignment="1">
      <alignment horizontal="justify" vertical="justify" wrapText="1"/>
    </xf>
    <xf numFmtId="43" fontId="28" fillId="0" borderId="0" xfId="6" applyFont="1" applyFill="1"/>
    <xf numFmtId="43" fontId="28" fillId="0" borderId="0" xfId="6" applyFont="1" applyFill="1" applyAlignment="1"/>
    <xf numFmtId="2" fontId="28" fillId="0" borderId="0" xfId="3" applyNumberFormat="1" applyFont="1" applyFill="1" applyAlignment="1">
      <alignment horizontal="center" vertical="center"/>
    </xf>
    <xf numFmtId="10" fontId="28" fillId="0" borderId="0" xfId="3" applyNumberFormat="1" applyFont="1" applyBorder="1" applyAlignment="1">
      <alignment horizontal="right"/>
    </xf>
    <xf numFmtId="43" fontId="28" fillId="0" borderId="0" xfId="6" applyFont="1" applyFill="1" applyBorder="1"/>
    <xf numFmtId="2" fontId="28" fillId="0" borderId="0" xfId="3" applyNumberFormat="1" applyFont="1" applyFill="1" applyBorder="1" applyAlignment="1">
      <alignment horizontal="center" vertical="center"/>
    </xf>
    <xf numFmtId="43" fontId="28" fillId="0" borderId="0" xfId="6" applyFont="1" applyFill="1" applyBorder="1" applyAlignment="1"/>
    <xf numFmtId="43" fontId="28" fillId="0" borderId="12" xfId="6" applyFont="1" applyFill="1" applyBorder="1" applyAlignment="1"/>
    <xf numFmtId="0" fontId="20" fillId="79" borderId="11" xfId="0" applyFont="1" applyFill="1" applyBorder="1" applyAlignment="1">
      <alignment vertical="center"/>
    </xf>
    <xf numFmtId="37" fontId="20" fillId="79" borderId="11" xfId="0" applyNumberFormat="1" applyFont="1" applyFill="1" applyBorder="1" applyAlignment="1">
      <alignment horizontal="center" vertical="center" wrapText="1"/>
    </xf>
    <xf numFmtId="231" fontId="28" fillId="0" borderId="0" xfId="0" applyNumberFormat="1" applyFont="1" applyAlignment="1">
      <alignment horizontal="right" vertical="center" wrapText="1"/>
    </xf>
    <xf numFmtId="231" fontId="28" fillId="0" borderId="0" xfId="0" applyNumberFormat="1" applyFont="1" applyAlignment="1">
      <alignment horizontal="right" vertical="center"/>
    </xf>
    <xf numFmtId="0" fontId="28" fillId="79" borderId="11" xfId="0" applyFont="1" applyFill="1" applyBorder="1"/>
    <xf numFmtId="0" fontId="20" fillId="79" borderId="10" xfId="0" applyFont="1" applyFill="1" applyBorder="1" applyAlignment="1">
      <alignment horizontal="center" vertical="center"/>
    </xf>
    <xf numFmtId="164" fontId="28" fillId="0" borderId="0" xfId="0" applyNumberFormat="1" applyFont="1" applyAlignment="1">
      <alignment horizontal="right" vertical="top"/>
    </xf>
    <xf numFmtId="0" fontId="28" fillId="0" borderId="12" xfId="0" applyFont="1" applyBorder="1" applyAlignment="1">
      <alignment horizontal="left" vertical="top"/>
    </xf>
    <xf numFmtId="164" fontId="28" fillId="0" borderId="12" xfId="0" applyNumberFormat="1" applyFont="1" applyBorder="1" applyAlignment="1">
      <alignment horizontal="right" vertical="top"/>
    </xf>
    <xf numFmtId="0" fontId="57" fillId="0" borderId="0" xfId="0" applyFont="1" applyAlignment="1">
      <alignment horizontal="left"/>
    </xf>
    <xf numFmtId="164" fontId="57" fillId="0" borderId="0" xfId="0" applyNumberFormat="1" applyFont="1" applyAlignment="1">
      <alignment horizontal="right"/>
    </xf>
    <xf numFmtId="0" fontId="57" fillId="0" borderId="0" xfId="0" applyFont="1" applyAlignment="1">
      <alignment horizontal="left" wrapText="1"/>
    </xf>
    <xf numFmtId="164" fontId="151" fillId="0" borderId="0" xfId="0" applyNumberFormat="1" applyFont="1" applyAlignment="1">
      <alignment horizontal="right"/>
    </xf>
    <xf numFmtId="0" fontId="57" fillId="0" borderId="12" xfId="0" applyFont="1" applyBorder="1" applyAlignment="1">
      <alignment horizontal="left"/>
    </xf>
    <xf numFmtId="164" fontId="151" fillId="0" borderId="12" xfId="0" applyNumberFormat="1" applyFont="1" applyBorder="1" applyAlignment="1">
      <alignment horizontal="right"/>
    </xf>
    <xf numFmtId="2" fontId="151" fillId="0" borderId="0" xfId="0" applyNumberFormat="1" applyFont="1" applyAlignment="1">
      <alignment horizontal="right"/>
    </xf>
    <xf numFmtId="0" fontId="152" fillId="0" borderId="0" xfId="0" applyFont="1"/>
    <xf numFmtId="0" fontId="47" fillId="4" borderId="1" xfId="0" applyFont="1" applyFill="1" applyBorder="1" applyAlignment="1">
      <alignment horizontal="justify" vertical="top" wrapText="1"/>
    </xf>
    <xf numFmtId="0" fontId="6" fillId="4" borderId="1" xfId="0" applyFont="1" applyFill="1" applyBorder="1" applyAlignment="1">
      <alignment horizontal="justify" vertical="top" wrapText="1"/>
    </xf>
    <xf numFmtId="0" fontId="4" fillId="4" borderId="1" xfId="4" applyFill="1" applyBorder="1" applyAlignment="1">
      <alignment horizontal="justify" vertical="top" wrapText="1"/>
    </xf>
    <xf numFmtId="0" fontId="29" fillId="0" borderId="1" xfId="4" applyFont="1" applyFill="1" applyBorder="1" applyAlignment="1">
      <alignment horizontal="justify" vertical="top" wrapText="1"/>
    </xf>
    <xf numFmtId="0" fontId="16" fillId="0" borderId="24" xfId="0" applyFont="1" applyBorder="1" applyAlignment="1">
      <alignment horizontal="left"/>
    </xf>
    <xf numFmtId="0" fontId="20" fillId="79" borderId="0" xfId="0" applyFont="1" applyFill="1" applyAlignment="1">
      <alignment horizontal="center" vertical="center" wrapText="1"/>
    </xf>
    <xf numFmtId="0" fontId="0" fillId="0" borderId="12" xfId="0" applyBorder="1"/>
    <xf numFmtId="0" fontId="13" fillId="2" borderId="0" xfId="4" applyFont="1" applyFill="1" applyAlignment="1">
      <alignment horizontal="center" vertical="center"/>
    </xf>
    <xf numFmtId="0" fontId="28" fillId="0" borderId="0" xfId="0" applyFont="1"/>
    <xf numFmtId="0" fontId="16" fillId="0" borderId="0" xfId="0" applyFont="1" applyAlignment="1">
      <alignment horizontal="left" vertical="center"/>
    </xf>
    <xf numFmtId="0" fontId="20" fillId="66" borderId="12" xfId="0" applyFont="1" applyFill="1" applyBorder="1" applyAlignment="1">
      <alignment horizontal="center" vertical="center" wrapText="1"/>
    </xf>
    <xf numFmtId="0" fontId="20" fillId="66" borderId="11" xfId="0" applyFont="1" applyFill="1" applyBorder="1" applyAlignment="1">
      <alignment horizontal="center" vertical="center" wrapText="1"/>
    </xf>
    <xf numFmtId="0" fontId="20" fillId="66" borderId="12" xfId="0" applyFont="1" applyFill="1" applyBorder="1" applyAlignment="1">
      <alignment horizontal="center" vertical="center"/>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6" fillId="0" borderId="0" xfId="0" applyFont="1" applyAlignment="1">
      <alignment horizontal="left"/>
    </xf>
    <xf numFmtId="0" fontId="28" fillId="0" borderId="0" xfId="0" applyFont="1" applyAlignment="1">
      <alignment horizontal="left" vertical="center"/>
    </xf>
    <xf numFmtId="0" fontId="28" fillId="0" borderId="0" xfId="0" applyFont="1"/>
    <xf numFmtId="0" fontId="16" fillId="0" borderId="9" xfId="0" applyFont="1" applyBorder="1" applyAlignment="1">
      <alignment horizontal="left" vertical="center"/>
    </xf>
    <xf numFmtId="0" fontId="6" fillId="0" borderId="0" xfId="0" applyFont="1" applyAlignment="1">
      <alignment horizontal="left" vertical="center"/>
    </xf>
    <xf numFmtId="0" fontId="28" fillId="0" borderId="0" xfId="0" applyFont="1" applyAlignment="1">
      <alignment vertical="center"/>
    </xf>
    <xf numFmtId="0" fontId="28" fillId="0" borderId="0" xfId="0" applyFont="1" applyAlignment="1">
      <alignment horizontal="center" vertical="center"/>
    </xf>
    <xf numFmtId="0" fontId="28" fillId="0" borderId="12" xfId="0" applyFont="1" applyBorder="1" applyAlignment="1">
      <alignment horizontal="center" vertical="center"/>
    </xf>
    <xf numFmtId="0" fontId="28" fillId="0" borderId="0" xfId="0" applyFont="1" applyAlignment="1">
      <alignment horizontal="left"/>
    </xf>
    <xf numFmtId="0" fontId="28" fillId="0" borderId="0" xfId="0" applyFont="1" applyAlignment="1">
      <alignment horizontal="left" vertical="top"/>
    </xf>
    <xf numFmtId="0" fontId="0" fillId="0" borderId="0" xfId="0"/>
    <xf numFmtId="0" fontId="28" fillId="0" borderId="12" xfId="0" applyFont="1" applyBorder="1" applyAlignment="1">
      <alignment horizontal="center" vertical="center" wrapText="1"/>
    </xf>
    <xf numFmtId="0" fontId="28" fillId="0" borderId="0" xfId="0" applyFont="1" applyAlignment="1"/>
    <xf numFmtId="0" fontId="28" fillId="0" borderId="0" xfId="0" applyFont="1" applyBorder="1" applyAlignment="1">
      <alignment vertical="center"/>
    </xf>
    <xf numFmtId="232" fontId="28" fillId="0" borderId="0" xfId="0" applyNumberFormat="1" applyFont="1" applyBorder="1" applyAlignment="1">
      <alignment horizontal="right"/>
    </xf>
    <xf numFmtId="187" fontId="28" fillId="0" borderId="0" xfId="0" applyNumberFormat="1" applyFont="1" applyBorder="1" applyAlignment="1">
      <alignment horizontal="center" vertical="center" wrapText="1"/>
    </xf>
    <xf numFmtId="187" fontId="28" fillId="0" borderId="12" xfId="0" applyNumberFormat="1" applyFont="1" applyBorder="1" applyAlignment="1">
      <alignment horizontal="center" vertical="center" wrapText="1"/>
    </xf>
    <xf numFmtId="3" fontId="28" fillId="0" borderId="0" xfId="0" applyNumberFormat="1" applyFont="1" applyBorder="1" applyAlignment="1">
      <alignment horizontal="right"/>
    </xf>
    <xf numFmtId="187" fontId="28" fillId="0" borderId="12" xfId="0" applyNumberFormat="1" applyFont="1" applyBorder="1" applyAlignment="1">
      <alignment horizontal="right" vertical="center" wrapText="1"/>
    </xf>
    <xf numFmtId="0" fontId="28" fillId="0" borderId="0" xfId="0" applyFont="1" applyBorder="1"/>
    <xf numFmtId="3" fontId="6" fillId="0" borderId="0" xfId="0" applyNumberFormat="1" applyFont="1" applyBorder="1"/>
    <xf numFmtId="0" fontId="28" fillId="0" borderId="0" xfId="0" applyFont="1" applyBorder="1" applyAlignment="1">
      <alignment wrapText="1"/>
    </xf>
    <xf numFmtId="0" fontId="20" fillId="66" borderId="97" xfId="0" applyFont="1" applyFill="1" applyBorder="1" applyAlignment="1">
      <alignment horizontal="center" vertical="center" wrapText="1"/>
    </xf>
    <xf numFmtId="187" fontId="20" fillId="66" borderId="98" xfId="0" applyNumberFormat="1" applyFont="1" applyFill="1" applyBorder="1" applyAlignment="1">
      <alignment horizontal="center"/>
    </xf>
    <xf numFmtId="187" fontId="28" fillId="0" borderId="99" xfId="0" applyNumberFormat="1" applyFont="1" applyBorder="1" applyAlignment="1">
      <alignment horizontal="right"/>
    </xf>
    <xf numFmtId="187" fontId="28" fillId="0" borderId="98" xfId="0" applyNumberFormat="1" applyFont="1" applyBorder="1" applyAlignment="1">
      <alignment horizontal="right"/>
    </xf>
    <xf numFmtId="0" fontId="20" fillId="66" borderId="101" xfId="0" applyFont="1" applyFill="1" applyBorder="1" applyAlignment="1">
      <alignment horizontal="center" vertical="center"/>
    </xf>
    <xf numFmtId="232" fontId="28" fillId="0" borderId="102" xfId="0" applyNumberFormat="1" applyFont="1" applyBorder="1" applyAlignment="1">
      <alignment horizontal="right"/>
    </xf>
    <xf numFmtId="3" fontId="28" fillId="0" borderId="0" xfId="0" applyNumberFormat="1" applyFont="1" applyBorder="1"/>
    <xf numFmtId="9" fontId="28" fillId="0" borderId="0" xfId="0" applyNumberFormat="1" applyFont="1" applyBorder="1" applyAlignment="1">
      <alignment horizontal="right" vertical="center" wrapText="1"/>
    </xf>
    <xf numFmtId="3" fontId="28" fillId="0" borderId="0" xfId="0" applyNumberFormat="1" applyFont="1" applyBorder="1" applyAlignment="1">
      <alignment horizontal="right" vertical="center"/>
    </xf>
    <xf numFmtId="10" fontId="28" fillId="0" borderId="0" xfId="0" applyNumberFormat="1" applyFont="1" applyBorder="1" applyAlignment="1">
      <alignment horizontal="right" vertical="center"/>
    </xf>
    <xf numFmtId="0" fontId="20" fillId="66" borderId="98" xfId="0" applyFont="1" applyFill="1" applyBorder="1" applyAlignment="1">
      <alignment horizontal="center" vertical="center" wrapText="1"/>
    </xf>
    <xf numFmtId="4" fontId="6" fillId="0" borderId="99" xfId="0" applyNumberFormat="1" applyFont="1" applyBorder="1"/>
    <xf numFmtId="0" fontId="28" fillId="0" borderId="99" xfId="0" applyFont="1" applyBorder="1"/>
    <xf numFmtId="0" fontId="20" fillId="66" borderId="100" xfId="0" applyFont="1" applyFill="1" applyBorder="1" applyAlignment="1">
      <alignment horizontal="center" vertical="center"/>
    </xf>
    <xf numFmtId="3" fontId="28" fillId="0" borderId="102" xfId="0" applyNumberFormat="1" applyFont="1" applyBorder="1" applyAlignment="1">
      <alignment horizontal="right"/>
    </xf>
    <xf numFmtId="0" fontId="28" fillId="0" borderId="102" xfId="0" applyFont="1" applyBorder="1"/>
    <xf numFmtId="4" fontId="28" fillId="0" borderId="99" xfId="0" applyNumberFormat="1" applyFont="1" applyBorder="1"/>
    <xf numFmtId="0" fontId="28" fillId="0" borderId="99" xfId="0" applyFont="1" applyBorder="1" applyAlignment="1">
      <alignment vertical="center"/>
    </xf>
    <xf numFmtId="0" fontId="28" fillId="0" borderId="98" xfId="0" applyFont="1" applyBorder="1" applyAlignment="1">
      <alignment vertical="center"/>
    </xf>
    <xf numFmtId="170" fontId="28" fillId="0" borderId="0" xfId="0" applyNumberFormat="1" applyFont="1" applyBorder="1" applyAlignment="1">
      <alignment wrapText="1"/>
    </xf>
    <xf numFmtId="170" fontId="28" fillId="0" borderId="0" xfId="0" applyNumberFormat="1" applyFont="1" applyBorder="1" applyAlignment="1">
      <alignment vertical="center" wrapText="1"/>
    </xf>
    <xf numFmtId="0" fontId="28" fillId="0" borderId="0" xfId="0" applyFont="1" applyBorder="1" applyAlignment="1">
      <alignment vertical="center" wrapText="1"/>
    </xf>
    <xf numFmtId="0" fontId="20" fillId="66" borderId="98" xfId="0" applyFont="1" applyFill="1" applyBorder="1" applyAlignment="1">
      <alignment vertical="center" wrapText="1"/>
    </xf>
    <xf numFmtId="9" fontId="28" fillId="0" borderId="0" xfId="0" applyNumberFormat="1" applyFont="1" applyBorder="1" applyAlignment="1">
      <alignment horizontal="right" vertical="center"/>
    </xf>
    <xf numFmtId="3" fontId="28" fillId="0" borderId="0" xfId="0" applyNumberFormat="1" applyFont="1" applyBorder="1" applyAlignment="1">
      <alignment horizontal="right" vertical="center" wrapText="1"/>
    </xf>
    <xf numFmtId="10" fontId="28" fillId="0" borderId="0" xfId="0" applyNumberFormat="1" applyFont="1" applyBorder="1" applyAlignment="1">
      <alignment horizontal="right" vertical="center" wrapText="1"/>
    </xf>
    <xf numFmtId="9" fontId="28" fillId="0" borderId="99" xfId="0" applyNumberFormat="1" applyFont="1" applyBorder="1" applyAlignment="1">
      <alignment horizontal="right" vertical="center" wrapText="1"/>
    </xf>
    <xf numFmtId="0" fontId="28" fillId="0" borderId="0" xfId="0" applyFont="1" applyBorder="1" applyAlignment="1">
      <alignment horizontal="right" vertical="center" wrapText="1"/>
    </xf>
    <xf numFmtId="9" fontId="28" fillId="0" borderId="98" xfId="0" applyNumberFormat="1" applyFont="1" applyBorder="1" applyAlignment="1">
      <alignment horizontal="right" vertical="center" wrapText="1"/>
    </xf>
    <xf numFmtId="0" fontId="20" fillId="66" borderId="101" xfId="0" applyFont="1" applyFill="1" applyBorder="1" applyAlignment="1">
      <alignment vertical="center"/>
    </xf>
    <xf numFmtId="3" fontId="28" fillId="0" borderId="102" xfId="0" applyNumberFormat="1" applyFont="1" applyBorder="1" applyAlignment="1">
      <alignment horizontal="right" vertical="center"/>
    </xf>
    <xf numFmtId="187" fontId="28" fillId="0" borderId="0" xfId="0" applyNumberFormat="1" applyFont="1" applyBorder="1" applyAlignment="1">
      <alignment horizontal="right" vertical="center" wrapText="1"/>
    </xf>
    <xf numFmtId="187" fontId="28" fillId="0" borderId="99" xfId="0" applyNumberFormat="1" applyFont="1" applyBorder="1" applyAlignment="1">
      <alignment horizontal="right" vertical="center" wrapText="1"/>
    </xf>
    <xf numFmtId="0" fontId="20" fillId="66" borderId="98" xfId="0" applyFont="1" applyFill="1" applyBorder="1" applyAlignment="1">
      <alignment horizontal="center"/>
    </xf>
    <xf numFmtId="9" fontId="28" fillId="0" borderId="0" xfId="0" applyNumberFormat="1" applyFont="1" applyBorder="1" applyAlignment="1">
      <alignment horizontal="center"/>
    </xf>
    <xf numFmtId="9" fontId="28" fillId="0" borderId="0" xfId="0" applyNumberFormat="1" applyFont="1" applyBorder="1" applyAlignment="1">
      <alignment horizontal="center" vertical="center" wrapText="1"/>
    </xf>
    <xf numFmtId="9" fontId="28" fillId="0" borderId="99" xfId="0" applyNumberFormat="1" applyFont="1" applyBorder="1" applyAlignment="1">
      <alignment horizontal="center" vertical="center" wrapText="1"/>
    </xf>
    <xf numFmtId="3" fontId="28" fillId="4" borderId="102" xfId="0" applyNumberFormat="1" applyFont="1" applyFill="1" applyBorder="1"/>
    <xf numFmtId="3" fontId="76" fillId="0" borderId="102" xfId="0" applyNumberFormat="1" applyFont="1" applyBorder="1" applyAlignment="1">
      <alignment horizontal="right" vertical="center"/>
    </xf>
    <xf numFmtId="3" fontId="76" fillId="0" borderId="0" xfId="0" applyNumberFormat="1" applyFont="1" applyBorder="1" applyAlignment="1">
      <alignment horizontal="right" vertical="center"/>
    </xf>
    <xf numFmtId="187" fontId="28" fillId="0" borderId="99" xfId="0" applyNumberFormat="1" applyFont="1" applyBorder="1" applyAlignment="1">
      <alignment horizontal="center" vertical="center" wrapText="1"/>
    </xf>
    <xf numFmtId="0" fontId="28" fillId="0" borderId="98" xfId="0" applyFont="1" applyBorder="1"/>
    <xf numFmtId="0" fontId="28" fillId="0" borderId="101" xfId="0" applyFont="1" applyBorder="1"/>
    <xf numFmtId="187" fontId="28" fillId="0" borderId="98" xfId="0" applyNumberFormat="1" applyFont="1" applyBorder="1" applyAlignment="1">
      <alignment horizontal="right" vertical="center" wrapText="1"/>
    </xf>
    <xf numFmtId="187" fontId="28" fillId="0" borderId="10" xfId="0" applyNumberFormat="1" applyFont="1" applyBorder="1" applyAlignment="1">
      <alignment horizontal="right" vertical="center" wrapText="1"/>
    </xf>
    <xf numFmtId="232" fontId="28" fillId="0" borderId="12" xfId="0" applyNumberFormat="1" applyFont="1" applyBorder="1" applyAlignment="1">
      <alignment horizontal="right"/>
    </xf>
    <xf numFmtId="232" fontId="28" fillId="0" borderId="101" xfId="0" applyNumberFormat="1" applyFont="1" applyBorder="1" applyAlignment="1">
      <alignment horizontal="right"/>
    </xf>
    <xf numFmtId="9" fontId="28" fillId="0" borderId="98" xfId="0" applyNumberFormat="1" applyFont="1" applyBorder="1" applyAlignment="1">
      <alignment horizontal="center" vertical="center" wrapText="1"/>
    </xf>
    <xf numFmtId="3" fontId="28" fillId="4" borderId="101" xfId="0" applyNumberFormat="1" applyFont="1" applyFill="1" applyBorder="1"/>
    <xf numFmtId="3" fontId="28" fillId="0" borderId="101" xfId="0" applyNumberFormat="1" applyFont="1" applyBorder="1" applyAlignment="1">
      <alignment horizontal="right"/>
    </xf>
    <xf numFmtId="187" fontId="28" fillId="0" borderId="98" xfId="0" applyNumberFormat="1" applyFont="1" applyBorder="1" applyAlignment="1">
      <alignment horizontal="center" vertical="center" wrapText="1"/>
    </xf>
    <xf numFmtId="3" fontId="28" fillId="0" borderId="101" xfId="0" applyNumberFormat="1" applyFont="1" applyBorder="1" applyAlignment="1">
      <alignment horizontal="right" vertical="center"/>
    </xf>
    <xf numFmtId="3" fontId="28" fillId="0" borderId="102" xfId="0" applyNumberFormat="1" applyFont="1" applyBorder="1" applyAlignment="1">
      <alignment wrapText="1"/>
    </xf>
    <xf numFmtId="0" fontId="20" fillId="69" borderId="0" xfId="0" applyFont="1" applyFill="1" applyBorder="1" applyAlignment="1">
      <alignment horizontal="center" vertical="center"/>
    </xf>
    <xf numFmtId="9" fontId="28" fillId="0" borderId="0" xfId="3" applyFont="1"/>
    <xf numFmtId="9" fontId="28" fillId="0" borderId="0" xfId="3" applyFont="1" applyAlignment="1">
      <alignment horizontal="right" vertical="center"/>
    </xf>
    <xf numFmtId="10" fontId="28" fillId="0" borderId="0" xfId="3" applyNumberFormat="1" applyFont="1"/>
    <xf numFmtId="10" fontId="28" fillId="0" borderId="0" xfId="3" applyNumberFormat="1" applyFont="1" applyAlignment="1">
      <alignment horizontal="right" vertical="center"/>
    </xf>
    <xf numFmtId="10" fontId="28" fillId="0" borderId="12" xfId="3" applyNumberFormat="1" applyFont="1" applyBorder="1" applyAlignment="1">
      <alignment horizontal="right" vertical="center"/>
    </xf>
    <xf numFmtId="0" fontId="6" fillId="0" borderId="0" xfId="0" applyFont="1" applyBorder="1" applyAlignment="1">
      <alignment horizontal="center"/>
    </xf>
    <xf numFmtId="166" fontId="37" fillId="0" borderId="0" xfId="8" applyNumberFormat="1" applyFont="1" applyBorder="1" applyAlignment="1">
      <alignment horizontal="center" vertical="center"/>
    </xf>
    <xf numFmtId="166" fontId="37" fillId="0" borderId="0" xfId="9" applyNumberFormat="1" applyFont="1" applyBorder="1" applyAlignment="1">
      <alignment horizontal="center" vertical="center"/>
    </xf>
    <xf numFmtId="166" fontId="37" fillId="0" borderId="0" xfId="9" applyNumberFormat="1" applyFont="1" applyBorder="1" applyAlignment="1">
      <alignment horizontal="right" vertical="center"/>
    </xf>
    <xf numFmtId="0" fontId="28" fillId="0" borderId="0" xfId="0" applyFont="1" applyBorder="1" applyAlignment="1">
      <alignment horizontal="center" vertical="center"/>
    </xf>
    <xf numFmtId="166" fontId="28" fillId="0" borderId="0" xfId="22" applyNumberFormat="1" applyFont="1" applyBorder="1" applyAlignment="1">
      <alignment horizontal="center" vertical="center"/>
    </xf>
    <xf numFmtId="0" fontId="37" fillId="0" borderId="0" xfId="25" applyFont="1" applyAlignment="1">
      <alignment vertical="top"/>
    </xf>
    <xf numFmtId="0" fontId="28" fillId="0" borderId="0" xfId="0" applyFont="1" applyBorder="1" applyAlignment="1">
      <alignment horizontal="center"/>
    </xf>
    <xf numFmtId="0" fontId="28" fillId="0" borderId="0" xfId="0" applyFont="1" applyBorder="1" applyAlignment="1">
      <alignment horizontal="center" vertical="center" wrapText="1"/>
    </xf>
    <xf numFmtId="2" fontId="28" fillId="0" borderId="0" xfId="0" applyNumberFormat="1" applyFont="1" applyBorder="1" applyAlignment="1">
      <alignment horizontal="center" vertical="center"/>
    </xf>
    <xf numFmtId="0" fontId="28" fillId="0" borderId="0" xfId="0" applyFont="1" applyBorder="1" applyAlignment="1">
      <alignment horizontal="left"/>
    </xf>
    <xf numFmtId="164" fontId="28" fillId="0" borderId="0" xfId="0" applyNumberFormat="1" applyFont="1" applyBorder="1" applyAlignment="1">
      <alignment horizontal="center"/>
    </xf>
    <xf numFmtId="0" fontId="28"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8" fillId="0" borderId="0" xfId="0" applyFont="1" applyAlignment="1">
      <alignment horizontal="left" wrapText="1"/>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top"/>
    </xf>
    <xf numFmtId="0" fontId="28" fillId="0" borderId="0" xfId="0" applyFont="1" applyAlignment="1">
      <alignment horizontal="center" vertical="center" wrapText="1"/>
    </xf>
    <xf numFmtId="0" fontId="6" fillId="0" borderId="0" xfId="0" applyFont="1" applyAlignment="1">
      <alignment horizontal="left"/>
    </xf>
    <xf numFmtId="0" fontId="20" fillId="16" borderId="11" xfId="0" applyFont="1" applyFill="1" applyBorder="1" applyAlignment="1">
      <alignment horizontal="center" vertical="center"/>
    </xf>
    <xf numFmtId="0" fontId="20" fillId="16" borderId="12" xfId="0" applyFont="1" applyFill="1" applyBorder="1" applyAlignment="1">
      <alignment horizontal="center" vertical="center" wrapText="1"/>
    </xf>
    <xf numFmtId="0" fontId="20" fillId="16" borderId="12"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center"/>
    </xf>
    <xf numFmtId="0" fontId="6" fillId="0" borderId="0" xfId="22" applyFont="1" applyAlignment="1">
      <alignment horizontal="left"/>
    </xf>
    <xf numFmtId="164" fontId="6" fillId="0" borderId="9" xfId="0" applyNumberFormat="1" applyFont="1" applyBorder="1" applyAlignment="1">
      <alignment horizontal="center" wrapText="1"/>
    </xf>
    <xf numFmtId="0" fontId="28" fillId="0" borderId="0" xfId="0" applyFont="1" applyBorder="1" applyAlignment="1">
      <alignment horizontal="left" vertical="center"/>
    </xf>
    <xf numFmtId="164" fontId="28" fillId="0" borderId="0" xfId="0" applyNumberFormat="1" applyFont="1" applyBorder="1" applyAlignment="1">
      <alignment horizontal="center" vertical="center" wrapText="1"/>
    </xf>
    <xf numFmtId="0" fontId="41" fillId="0" borderId="10" xfId="0" applyFont="1" applyBorder="1"/>
    <xf numFmtId="164" fontId="6" fillId="0" borderId="9" xfId="0" applyNumberFormat="1" applyFont="1" applyBorder="1" applyAlignment="1">
      <alignment horizontal="right" vertical="center"/>
    </xf>
    <xf numFmtId="164" fontId="6" fillId="0" borderId="103" xfId="0" applyNumberFormat="1" applyFont="1" applyBorder="1" applyAlignment="1">
      <alignment horizontal="right" vertical="center"/>
    </xf>
    <xf numFmtId="164" fontId="6" fillId="0" borderId="104" xfId="0" applyNumberFormat="1" applyFont="1" applyBorder="1" applyAlignment="1">
      <alignment horizontal="right" vertical="center"/>
    </xf>
    <xf numFmtId="164" fontId="6" fillId="0" borderId="81" xfId="0" applyNumberFormat="1" applyFont="1" applyBorder="1" applyAlignment="1">
      <alignment horizontal="right" vertical="center"/>
    </xf>
    <xf numFmtId="164" fontId="6" fillId="0" borderId="82" xfId="0" applyNumberFormat="1" applyFont="1" applyBorder="1" applyAlignment="1">
      <alignment horizontal="right" vertical="center"/>
    </xf>
    <xf numFmtId="0" fontId="6" fillId="6" borderId="0" xfId="22" applyFont="1" applyFill="1" applyAlignment="1">
      <alignment horizontal="left"/>
    </xf>
    <xf numFmtId="164" fontId="6" fillId="6" borderId="0" xfId="0" applyNumberFormat="1" applyFont="1" applyFill="1" applyAlignment="1">
      <alignment horizontal="right" vertical="center"/>
    </xf>
    <xf numFmtId="164" fontId="6" fillId="6" borderId="81" xfId="0" applyNumberFormat="1" applyFont="1" applyFill="1" applyBorder="1" applyAlignment="1">
      <alignment horizontal="right" vertical="center"/>
    </xf>
    <xf numFmtId="164" fontId="6" fillId="6" borderId="82" xfId="0" applyNumberFormat="1" applyFont="1" applyFill="1" applyBorder="1" applyAlignment="1">
      <alignment horizontal="right" vertical="center"/>
    </xf>
    <xf numFmtId="164" fontId="6" fillId="0" borderId="0" xfId="0" applyNumberFormat="1" applyFont="1" applyAlignment="1">
      <alignment vertical="center"/>
    </xf>
    <xf numFmtId="0" fontId="6" fillId="0" borderId="0" xfId="0" applyFont="1" applyAlignment="1">
      <alignment vertical="top"/>
    </xf>
    <xf numFmtId="0" fontId="28" fillId="0" borderId="0" xfId="14" applyFont="1" applyBorder="1" applyAlignment="1">
      <alignment horizontal="left" vertical="center" wrapText="1"/>
    </xf>
    <xf numFmtId="164" fontId="28" fillId="0" borderId="0" xfId="0" applyNumberFormat="1" applyFont="1" applyBorder="1" applyAlignment="1">
      <alignment horizontal="right" vertical="center" wrapText="1"/>
    </xf>
    <xf numFmtId="0" fontId="94" fillId="0" borderId="10" xfId="0" applyFont="1" applyBorder="1" applyAlignment="1">
      <alignment vertical="center"/>
    </xf>
    <xf numFmtId="164" fontId="15" fillId="0" borderId="0" xfId="0" applyNumberFormat="1" applyFont="1"/>
    <xf numFmtId="0" fontId="18" fillId="0" borderId="12" xfId="0" applyFont="1" applyBorder="1"/>
    <xf numFmtId="164" fontId="6" fillId="0" borderId="0" xfId="0" applyNumberFormat="1" applyFont="1" applyAlignment="1">
      <alignment horizontal="center" vertical="center" wrapText="1"/>
    </xf>
    <xf numFmtId="0" fontId="21" fillId="0" borderId="0" xfId="0" applyFont="1" applyBorder="1" applyAlignment="1">
      <alignment horizontal="center"/>
    </xf>
    <xf numFmtId="0" fontId="3" fillId="0" borderId="0" xfId="0" applyFont="1" applyAlignment="1">
      <alignment horizontal="center" vertical="center"/>
    </xf>
    <xf numFmtId="0" fontId="10" fillId="0" borderId="2" xfId="5" applyFont="1" applyBorder="1" applyAlignment="1">
      <alignment horizontal="justify" vertical="center" wrapText="1"/>
    </xf>
    <xf numFmtId="0" fontId="10" fillId="0" borderId="3" xfId="5" applyFont="1" applyBorder="1" applyAlignment="1">
      <alignment horizontal="justify" vertical="center" wrapText="1"/>
    </xf>
    <xf numFmtId="0" fontId="5" fillId="2" borderId="0" xfId="4" applyFont="1" applyFill="1" applyAlignment="1">
      <alignment horizontal="center"/>
    </xf>
    <xf numFmtId="0" fontId="7" fillId="3" borderId="0" xfId="0" applyFont="1" applyFill="1" applyAlignment="1">
      <alignment horizontal="center" vertical="center" wrapText="1"/>
    </xf>
    <xf numFmtId="0" fontId="10" fillId="0" borderId="4" xfId="5" applyFont="1" applyBorder="1" applyAlignment="1">
      <alignment horizontal="justify" vertical="center" wrapText="1"/>
    </xf>
    <xf numFmtId="0" fontId="16" fillId="3" borderId="5" xfId="0" applyFont="1" applyFill="1" applyBorder="1" applyAlignment="1">
      <alignment horizontal="left" vertical="top" wrapText="1"/>
    </xf>
    <xf numFmtId="0" fontId="16" fillId="3" borderId="6" xfId="0" applyFont="1" applyFill="1" applyBorder="1" applyAlignment="1">
      <alignment horizontal="left" vertical="top" wrapText="1"/>
    </xf>
    <xf numFmtId="0" fontId="16" fillId="3" borderId="7" xfId="0" applyFont="1" applyFill="1" applyBorder="1" applyAlignment="1">
      <alignment horizontal="left" vertical="top" wrapText="1"/>
    </xf>
    <xf numFmtId="0" fontId="20" fillId="3" borderId="10"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16" fillId="3" borderId="6" xfId="0" applyFont="1" applyFill="1" applyBorder="1" applyAlignment="1">
      <alignment horizontal="left" vertical="top"/>
    </xf>
    <xf numFmtId="0" fontId="16" fillId="3" borderId="7" xfId="0" applyFont="1" applyFill="1" applyBorder="1" applyAlignment="1">
      <alignment horizontal="left" vertical="top"/>
    </xf>
    <xf numFmtId="0" fontId="13" fillId="2" borderId="0" xfId="4" applyFont="1" applyFill="1" applyAlignment="1">
      <alignment horizontal="center"/>
    </xf>
    <xf numFmtId="0" fontId="30" fillId="2" borderId="14" xfId="0" applyFont="1" applyFill="1" applyBorder="1" applyAlignment="1">
      <alignment horizontal="left" vertical="top"/>
    </xf>
    <xf numFmtId="0" fontId="30" fillId="2" borderId="15" xfId="0" applyFont="1" applyFill="1" applyBorder="1" applyAlignment="1">
      <alignment horizontal="left" vertical="top"/>
    </xf>
    <xf numFmtId="0" fontId="30" fillId="2" borderId="1" xfId="0" applyFont="1" applyFill="1" applyBorder="1" applyAlignment="1">
      <alignment horizontal="left" vertical="top"/>
    </xf>
    <xf numFmtId="0" fontId="20" fillId="2" borderId="1" xfId="0" applyFont="1" applyFill="1" applyBorder="1" applyAlignment="1">
      <alignment horizontal="left" vertical="top"/>
    </xf>
    <xf numFmtId="0" fontId="20" fillId="2" borderId="1" xfId="0" applyFont="1" applyFill="1" applyBorder="1" applyAlignment="1">
      <alignment horizontal="left" vertical="top" wrapText="1"/>
    </xf>
    <xf numFmtId="0" fontId="20" fillId="2" borderId="14" xfId="0" applyFont="1" applyFill="1" applyBorder="1" applyAlignment="1">
      <alignment horizontal="left" vertical="top"/>
    </xf>
    <xf numFmtId="0" fontId="20" fillId="2" borderId="15" xfId="0" applyFont="1" applyFill="1" applyBorder="1" applyAlignment="1">
      <alignment horizontal="left" vertical="top"/>
    </xf>
    <xf numFmtId="0" fontId="20" fillId="2" borderId="16" xfId="0" applyFont="1" applyFill="1" applyBorder="1" applyAlignment="1">
      <alignment horizontal="left" vertical="top"/>
    </xf>
    <xf numFmtId="0" fontId="20" fillId="2" borderId="17" xfId="0" applyFont="1" applyFill="1" applyBorder="1" applyAlignment="1">
      <alignment horizontal="left" vertical="top"/>
    </xf>
    <xf numFmtId="0" fontId="16" fillId="3" borderId="12" xfId="0" applyFont="1" applyFill="1" applyBorder="1" applyAlignment="1">
      <alignment horizontal="center" vertical="center"/>
    </xf>
    <xf numFmtId="0" fontId="20" fillId="2" borderId="2" xfId="0" applyFont="1" applyFill="1" applyBorder="1" applyAlignment="1">
      <alignment horizontal="center" vertical="top"/>
    </xf>
    <xf numFmtId="0" fontId="20" fillId="2" borderId="3" xfId="0" applyFont="1" applyFill="1" applyBorder="1" applyAlignment="1">
      <alignment horizontal="center" vertical="top"/>
    </xf>
    <xf numFmtId="0" fontId="30" fillId="2" borderId="1" xfId="0" applyFont="1" applyFill="1" applyBorder="1" applyAlignment="1">
      <alignment horizontal="left" vertical="top" wrapText="1"/>
    </xf>
    <xf numFmtId="0" fontId="20" fillId="2" borderId="14" xfId="0" applyFont="1" applyFill="1" applyBorder="1" applyAlignment="1">
      <alignment horizontal="left" vertical="top" wrapText="1"/>
    </xf>
    <xf numFmtId="0" fontId="20" fillId="2" borderId="15" xfId="0" applyFont="1" applyFill="1" applyBorder="1" applyAlignment="1">
      <alignment horizontal="left" vertical="top" wrapText="1"/>
    </xf>
    <xf numFmtId="0" fontId="20" fillId="2" borderId="1" xfId="0" applyFont="1" applyFill="1" applyBorder="1" applyAlignment="1">
      <alignment horizontal="left" vertical="center" wrapText="1"/>
    </xf>
    <xf numFmtId="0" fontId="16" fillId="0" borderId="0" xfId="0" applyFont="1" applyAlignment="1">
      <alignment horizontal="left" vertical="top" wrapText="1"/>
    </xf>
    <xf numFmtId="0" fontId="38" fillId="0" borderId="0" xfId="0" applyFont="1" applyAlignment="1">
      <alignment horizontal="center" vertical="center" wrapText="1"/>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30" fillId="7" borderId="14" xfId="0" applyFont="1" applyFill="1" applyBorder="1" applyAlignment="1">
      <alignment horizontal="left" vertical="top"/>
    </xf>
    <xf numFmtId="0" fontId="30" fillId="7" borderId="15" xfId="0" applyFont="1" applyFill="1" applyBorder="1" applyAlignment="1">
      <alignment horizontal="left" vertical="top"/>
    </xf>
    <xf numFmtId="0" fontId="30"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20" fillId="7" borderId="14" xfId="0" applyFont="1" applyFill="1" applyBorder="1" applyAlignment="1">
      <alignment horizontal="left" vertical="top"/>
    </xf>
    <xf numFmtId="0" fontId="20" fillId="7" borderId="15" xfId="0" applyFont="1" applyFill="1" applyBorder="1" applyAlignment="1">
      <alignment horizontal="left" vertical="top"/>
    </xf>
    <xf numFmtId="0" fontId="20" fillId="6" borderId="16" xfId="0" applyFont="1" applyFill="1" applyBorder="1" applyAlignment="1">
      <alignment horizontal="left" vertical="top"/>
    </xf>
    <xf numFmtId="0" fontId="20" fillId="6" borderId="17" xfId="0" applyFont="1" applyFill="1" applyBorder="1" applyAlignment="1">
      <alignment horizontal="left" vertical="top"/>
    </xf>
    <xf numFmtId="0" fontId="20" fillId="6" borderId="2" xfId="0" applyFont="1" applyFill="1" applyBorder="1" applyAlignment="1">
      <alignment horizontal="center" vertical="top"/>
    </xf>
    <xf numFmtId="0" fontId="20" fillId="6" borderId="3" xfId="0" applyFont="1" applyFill="1" applyBorder="1" applyAlignment="1">
      <alignment horizontal="center" vertical="top"/>
    </xf>
    <xf numFmtId="0" fontId="30" fillId="6" borderId="14" xfId="0" applyFont="1" applyFill="1" applyBorder="1" applyAlignment="1">
      <alignment horizontal="left" vertical="top"/>
    </xf>
    <xf numFmtId="0" fontId="30" fillId="6" borderId="15" xfId="0" applyFont="1" applyFill="1" applyBorder="1" applyAlignment="1">
      <alignment horizontal="left" vertical="top"/>
    </xf>
    <xf numFmtId="0" fontId="30" fillId="6" borderId="1" xfId="0" applyFont="1" applyFill="1" applyBorder="1" applyAlignment="1">
      <alignment horizontal="left" vertical="top" wrapText="1"/>
    </xf>
    <xf numFmtId="0" fontId="20" fillId="6" borderId="15" xfId="0" applyFont="1" applyFill="1" applyBorder="1" applyAlignment="1">
      <alignment horizontal="left" vertical="top"/>
    </xf>
    <xf numFmtId="0" fontId="20" fillId="6" borderId="14" xfId="0" applyFont="1" applyFill="1" applyBorder="1" applyAlignment="1">
      <alignment horizontal="left" vertical="top" wrapText="1"/>
    </xf>
    <xf numFmtId="0" fontId="20" fillId="6" borderId="15" xfId="0" applyFont="1" applyFill="1" applyBorder="1" applyAlignment="1">
      <alignment horizontal="left" vertical="top" wrapText="1"/>
    </xf>
    <xf numFmtId="0" fontId="20" fillId="3" borderId="10" xfId="5" applyFont="1" applyFill="1" applyBorder="1" applyAlignment="1">
      <alignment horizontal="center" vertical="center" wrapText="1"/>
    </xf>
    <xf numFmtId="0" fontId="20" fillId="3" borderId="12" xfId="5" applyFont="1" applyFill="1" applyBorder="1" applyAlignment="1">
      <alignment horizontal="center" vertical="center" wrapText="1"/>
    </xf>
    <xf numFmtId="0" fontId="20" fillId="3" borderId="11" xfId="10" applyFont="1" applyFill="1" applyBorder="1" applyAlignment="1">
      <alignment horizontal="center" vertical="center" wrapText="1"/>
    </xf>
    <xf numFmtId="0" fontId="16" fillId="3" borderId="5" xfId="0" applyFont="1" applyFill="1" applyBorder="1" applyAlignment="1">
      <alignment horizontal="left" vertical="center" wrapText="1"/>
    </xf>
    <xf numFmtId="0" fontId="16" fillId="3" borderId="6"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8" xfId="0" applyFont="1" applyFill="1" applyBorder="1" applyAlignment="1">
      <alignment horizontal="left" vertical="center" wrapText="1"/>
    </xf>
    <xf numFmtId="0" fontId="16" fillId="3" borderId="8" xfId="0" applyFont="1" applyFill="1" applyBorder="1" applyAlignment="1">
      <alignment horizontal="left" vertical="top" wrapText="1"/>
    </xf>
    <xf numFmtId="0" fontId="20" fillId="6" borderId="20" xfId="0" applyFont="1" applyFill="1" applyBorder="1" applyAlignment="1">
      <alignment horizontal="left" vertical="top"/>
    </xf>
    <xf numFmtId="0" fontId="20" fillId="6" borderId="21" xfId="0" applyFont="1" applyFill="1" applyBorder="1" applyAlignment="1">
      <alignment horizontal="left" vertical="top"/>
    </xf>
    <xf numFmtId="0" fontId="20" fillId="6" borderId="22" xfId="0" applyFont="1" applyFill="1" applyBorder="1" applyAlignment="1">
      <alignment horizontal="left" vertical="top"/>
    </xf>
    <xf numFmtId="0" fontId="20" fillId="6" borderId="23" xfId="0" applyFont="1" applyFill="1" applyBorder="1" applyAlignment="1">
      <alignment horizontal="left" vertical="top"/>
    </xf>
    <xf numFmtId="0" fontId="28" fillId="0" borderId="2" xfId="0" applyFont="1" applyBorder="1" applyAlignment="1">
      <alignment horizontal="left" vertical="top" wrapText="1"/>
    </xf>
    <xf numFmtId="0" fontId="28" fillId="0" borderId="4" xfId="0" applyFont="1" applyBorder="1" applyAlignment="1">
      <alignment horizontal="left" vertical="top" wrapText="1"/>
    </xf>
    <xf numFmtId="0" fontId="28" fillId="0" borderId="3" xfId="0" applyFont="1" applyBorder="1" applyAlignment="1">
      <alignment horizontal="left" vertical="top" wrapText="1"/>
    </xf>
    <xf numFmtId="0" fontId="20" fillId="6" borderId="1" xfId="0" applyFont="1" applyFill="1" applyBorder="1" applyAlignment="1">
      <alignment horizontal="left" vertical="center" wrapText="1"/>
    </xf>
    <xf numFmtId="0" fontId="16" fillId="3" borderId="25" xfId="0" applyFont="1" applyFill="1" applyBorder="1" applyAlignment="1">
      <alignment horizontal="left" vertical="top" wrapText="1"/>
    </xf>
    <xf numFmtId="0" fontId="16" fillId="3" borderId="24" xfId="0" applyFont="1" applyFill="1" applyBorder="1" applyAlignment="1">
      <alignment horizontal="left" vertical="top" wrapText="1"/>
    </xf>
    <xf numFmtId="0" fontId="49" fillId="3" borderId="24" xfId="0" applyFont="1" applyFill="1" applyBorder="1" applyAlignment="1">
      <alignment horizontal="left" vertical="top" wrapText="1"/>
    </xf>
    <xf numFmtId="0" fontId="50" fillId="9" borderId="0" xfId="0" applyFont="1" applyFill="1" applyAlignment="1">
      <alignment horizontal="center" vertical="center" wrapText="1"/>
    </xf>
    <xf numFmtId="0" fontId="49" fillId="3" borderId="7" xfId="0" applyFont="1" applyFill="1" applyBorder="1" applyAlignment="1">
      <alignment horizontal="left" vertical="top" wrapText="1"/>
    </xf>
    <xf numFmtId="168" fontId="28" fillId="0" borderId="0" xfId="0" applyNumberFormat="1" applyFont="1" applyAlignment="1">
      <alignment horizontal="left" wrapText="1"/>
    </xf>
    <xf numFmtId="168" fontId="28" fillId="0" borderId="0" xfId="0" applyNumberFormat="1" applyFont="1" applyAlignment="1">
      <alignment horizontal="left" vertical="center" wrapText="1"/>
    </xf>
    <xf numFmtId="0" fontId="6" fillId="0" borderId="0" xfId="0" applyFont="1" applyAlignment="1">
      <alignment horizontal="left"/>
    </xf>
    <xf numFmtId="168" fontId="28" fillId="0" borderId="10" xfId="0" applyNumberFormat="1" applyFont="1" applyBorder="1" applyAlignment="1">
      <alignment horizontal="left" vertical="center" wrapText="1"/>
    </xf>
    <xf numFmtId="0" fontId="49" fillId="3" borderId="5" xfId="0" applyFont="1" applyFill="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0" fillId="6" borderId="14" xfId="0" applyFont="1" applyFill="1" applyBorder="1" applyAlignment="1">
      <alignment horizontal="left" vertical="top"/>
    </xf>
    <xf numFmtId="0" fontId="55" fillId="0" borderId="0" xfId="0" applyFont="1" applyAlignment="1">
      <alignment horizontal="left" vertical="center" wrapText="1"/>
    </xf>
    <xf numFmtId="170" fontId="6" fillId="0" borderId="0" xfId="0" applyNumberFormat="1" applyFont="1" applyAlignment="1">
      <alignment horizontal="left"/>
    </xf>
    <xf numFmtId="0" fontId="55" fillId="0" borderId="10" xfId="0" applyFont="1" applyBorder="1" applyAlignment="1">
      <alignment horizontal="left" vertical="center" wrapText="1"/>
    </xf>
    <xf numFmtId="0" fontId="20" fillId="3" borderId="11" xfId="0" applyFont="1" applyFill="1" applyBorder="1" applyAlignment="1">
      <alignment horizontal="center"/>
    </xf>
    <xf numFmtId="0" fontId="26" fillId="2" borderId="0" xfId="4" applyFont="1" applyFill="1" applyAlignment="1">
      <alignment horizontal="center" vertical="center"/>
    </xf>
    <xf numFmtId="0" fontId="24" fillId="0" borderId="1" xfId="0" applyFont="1" applyBorder="1" applyAlignment="1">
      <alignment horizontal="center" vertical="center" wrapText="1"/>
    </xf>
    <xf numFmtId="0" fontId="57" fillId="0" borderId="0" xfId="0" applyFont="1" applyAlignment="1">
      <alignment horizontal="center"/>
    </xf>
    <xf numFmtId="0" fontId="16" fillId="3" borderId="6" xfId="0" applyFont="1" applyFill="1" applyBorder="1" applyAlignment="1">
      <alignment vertical="top" wrapText="1"/>
    </xf>
    <xf numFmtId="0" fontId="16" fillId="3" borderId="7" xfId="0" applyFont="1" applyFill="1" applyBorder="1" applyAlignment="1">
      <alignment vertical="top" wrapText="1"/>
    </xf>
    <xf numFmtId="0" fontId="58" fillId="3" borderId="7" xfId="0" applyFont="1" applyFill="1" applyBorder="1" applyAlignment="1">
      <alignment vertical="top" wrapText="1"/>
    </xf>
    <xf numFmtId="0" fontId="20" fillId="3" borderId="10" xfId="0" applyFont="1" applyFill="1" applyBorder="1" applyAlignment="1">
      <alignment horizontal="center" vertical="center"/>
    </xf>
    <xf numFmtId="0" fontId="20" fillId="3" borderId="0" xfId="0" applyFont="1" applyFill="1" applyAlignment="1">
      <alignment horizontal="center" vertical="center"/>
    </xf>
    <xf numFmtId="0" fontId="20" fillId="3" borderId="12" xfId="0" applyFont="1" applyFill="1" applyBorder="1" applyAlignment="1">
      <alignment horizontal="center" vertical="center"/>
    </xf>
    <xf numFmtId="0" fontId="20" fillId="3" borderId="0" xfId="0" applyFont="1" applyFill="1" applyAlignment="1">
      <alignment horizontal="center" vertical="center" wrapText="1"/>
    </xf>
    <xf numFmtId="0" fontId="16" fillId="3" borderId="6" xfId="0" applyFont="1" applyFill="1" applyBorder="1" applyAlignment="1">
      <alignment vertical="center" wrapText="1"/>
    </xf>
    <xf numFmtId="0" fontId="16" fillId="3" borderId="7" xfId="0" applyFont="1" applyFill="1" applyBorder="1" applyAlignment="1">
      <alignment vertical="center" wrapText="1"/>
    </xf>
    <xf numFmtId="0" fontId="20" fillId="2" borderId="11" xfId="0" applyFont="1" applyFill="1" applyBorder="1" applyAlignment="1">
      <alignment horizontal="left" vertical="top"/>
    </xf>
    <xf numFmtId="0" fontId="58" fillId="3" borderId="7" xfId="0" applyFont="1" applyFill="1" applyBorder="1" applyAlignment="1">
      <alignment horizontal="left" vertical="top" wrapText="1"/>
    </xf>
    <xf numFmtId="0" fontId="16" fillId="2" borderId="0" xfId="0" applyFont="1" applyFill="1" applyAlignment="1">
      <alignment horizontal="center" vertical="center" wrapText="1"/>
    </xf>
    <xf numFmtId="0" fontId="7" fillId="11" borderId="0" xfId="0" applyFont="1" applyFill="1" applyAlignment="1">
      <alignment horizontal="center" vertical="center" wrapText="1"/>
    </xf>
    <xf numFmtId="0" fontId="16" fillId="11" borderId="5" xfId="0" applyFont="1" applyFill="1" applyBorder="1" applyAlignment="1">
      <alignment horizontal="left" vertical="top"/>
    </xf>
    <xf numFmtId="0" fontId="16" fillId="11" borderId="5" xfId="0" applyFont="1" applyFill="1" applyBorder="1" applyAlignment="1">
      <alignment horizontal="left" vertical="top" wrapText="1"/>
    </xf>
    <xf numFmtId="0" fontId="30" fillId="7" borderId="10" xfId="0" applyFont="1" applyFill="1" applyBorder="1" applyAlignment="1">
      <alignment horizontal="left" vertical="top"/>
    </xf>
    <xf numFmtId="0" fontId="30" fillId="7" borderId="17" xfId="0" applyFont="1" applyFill="1" applyBorder="1" applyAlignment="1">
      <alignment horizontal="left" vertical="top"/>
    </xf>
    <xf numFmtId="0" fontId="30" fillId="7" borderId="0" xfId="0" applyFont="1" applyFill="1" applyAlignment="1">
      <alignment horizontal="left" vertical="top"/>
    </xf>
    <xf numFmtId="0" fontId="30" fillId="7" borderId="21" xfId="0" applyFont="1" applyFill="1" applyBorder="1" applyAlignment="1">
      <alignment horizontal="left" vertical="top"/>
    </xf>
    <xf numFmtId="0" fontId="16" fillId="11" borderId="12" xfId="0" applyFont="1" applyFill="1" applyBorder="1" applyAlignment="1">
      <alignment horizontal="center" vertical="center"/>
    </xf>
    <xf numFmtId="0" fontId="20" fillId="11" borderId="10" xfId="0" applyFont="1" applyFill="1" applyBorder="1" applyAlignment="1">
      <alignment vertical="center" wrapText="1"/>
    </xf>
    <xf numFmtId="0" fontId="20" fillId="11" borderId="12" xfId="0" applyFont="1" applyFill="1" applyBorder="1" applyAlignment="1">
      <alignment vertical="center" wrapText="1"/>
    </xf>
    <xf numFmtId="0" fontId="20" fillId="11" borderId="10" xfId="0" applyFont="1" applyFill="1" applyBorder="1" applyAlignment="1">
      <alignment horizontal="center" vertical="center" wrapText="1"/>
    </xf>
    <xf numFmtId="0" fontId="20" fillId="11" borderId="12" xfId="0" applyFont="1" applyFill="1" applyBorder="1" applyAlignment="1">
      <alignment horizontal="center" vertical="center" wrapText="1"/>
    </xf>
    <xf numFmtId="0" fontId="16" fillId="11" borderId="6" xfId="0" applyFont="1" applyFill="1" applyBorder="1" applyAlignment="1">
      <alignment horizontal="left" vertical="top" wrapText="1"/>
    </xf>
    <xf numFmtId="0" fontId="16" fillId="11" borderId="7" xfId="0" applyFont="1" applyFill="1" applyBorder="1" applyAlignment="1">
      <alignment horizontal="left" vertical="top" wrapText="1"/>
    </xf>
    <xf numFmtId="0" fontId="16" fillId="11" borderId="8" xfId="0" applyFont="1" applyFill="1" applyBorder="1" applyAlignment="1">
      <alignment horizontal="left" vertical="top" wrapText="1"/>
    </xf>
    <xf numFmtId="0" fontId="16" fillId="11" borderId="6" xfId="0" applyFont="1" applyFill="1" applyBorder="1" applyAlignment="1">
      <alignment horizontal="left" vertical="top"/>
    </xf>
    <xf numFmtId="0" fontId="16" fillId="11" borderId="7" xfId="0" applyFont="1" applyFill="1" applyBorder="1" applyAlignment="1">
      <alignment horizontal="left" vertical="top"/>
    </xf>
    <xf numFmtId="0" fontId="16" fillId="11" borderId="8" xfId="0" applyFont="1" applyFill="1" applyBorder="1" applyAlignment="1">
      <alignment horizontal="left" vertical="top"/>
    </xf>
    <xf numFmtId="0" fontId="6" fillId="0" borderId="10" xfId="0" applyFont="1" applyBorder="1" applyAlignment="1">
      <alignment horizontal="left" vertical="center" wrapText="1"/>
    </xf>
    <xf numFmtId="0" fontId="28" fillId="0" borderId="0" xfId="0" applyFont="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8" fillId="0" borderId="12" xfId="0" applyFont="1" applyBorder="1" applyAlignment="1">
      <alignment horizontal="left" vertical="center" wrapText="1"/>
    </xf>
    <xf numFmtId="0" fontId="28" fillId="0" borderId="0" xfId="0" quotePrefix="1" applyFont="1" applyAlignment="1">
      <alignment horizontal="left" vertical="center" wrapText="1"/>
    </xf>
    <xf numFmtId="17" fontId="28" fillId="0" borderId="0" xfId="0" quotePrefix="1" applyNumberFormat="1" applyFont="1" applyAlignment="1">
      <alignment horizontal="left" vertical="center" wrapText="1"/>
    </xf>
    <xf numFmtId="0" fontId="20" fillId="11" borderId="5" xfId="0" applyFont="1" applyFill="1" applyBorder="1" applyAlignment="1">
      <alignment horizontal="left" vertical="top"/>
    </xf>
    <xf numFmtId="0" fontId="20" fillId="11" borderId="6" xfId="0" applyFont="1" applyFill="1" applyBorder="1" applyAlignment="1">
      <alignment horizontal="left" vertical="top" wrapText="1"/>
    </xf>
    <xf numFmtId="0" fontId="20" fillId="11" borderId="7" xfId="0" applyFont="1" applyFill="1" applyBorder="1" applyAlignment="1">
      <alignment horizontal="left" vertical="top" wrapText="1"/>
    </xf>
    <xf numFmtId="0" fontId="20" fillId="11" borderId="8" xfId="0" applyFont="1" applyFill="1" applyBorder="1" applyAlignment="1">
      <alignment horizontal="left" vertical="top" wrapText="1"/>
    </xf>
    <xf numFmtId="0" fontId="20" fillId="11" borderId="10" xfId="0" applyFont="1" applyFill="1" applyBorder="1" applyAlignment="1">
      <alignment horizontal="center" vertical="center"/>
    </xf>
    <xf numFmtId="0" fontId="20" fillId="11" borderId="0" xfId="0" applyFont="1" applyFill="1" applyAlignment="1">
      <alignment horizontal="center" vertical="center"/>
    </xf>
    <xf numFmtId="0" fontId="20" fillId="11" borderId="12" xfId="0" applyFont="1" applyFill="1" applyBorder="1" applyAlignment="1">
      <alignment horizontal="center" vertical="center"/>
    </xf>
    <xf numFmtId="0" fontId="20" fillId="11" borderId="11" xfId="0" applyFont="1" applyFill="1" applyBorder="1" applyAlignment="1">
      <alignment horizontal="center" vertical="center" wrapText="1"/>
    </xf>
    <xf numFmtId="0" fontId="20" fillId="0" borderId="0" xfId="0" applyFont="1" applyAlignment="1">
      <alignment horizontal="center" vertical="center" wrapText="1"/>
    </xf>
    <xf numFmtId="0" fontId="26" fillId="2" borderId="0" xfId="4" applyFont="1" applyFill="1" applyAlignment="1">
      <alignment horizontal="center"/>
    </xf>
    <xf numFmtId="0" fontId="20" fillId="11" borderId="6" xfId="0" applyFont="1" applyFill="1" applyBorder="1" applyAlignment="1">
      <alignment horizontal="left" vertical="top"/>
    </xf>
    <xf numFmtId="0" fontId="20" fillId="11" borderId="7" xfId="0" applyFont="1" applyFill="1" applyBorder="1" applyAlignment="1">
      <alignment horizontal="left" vertical="top"/>
    </xf>
    <xf numFmtId="0" fontId="20" fillId="11" borderId="8" xfId="0" applyFont="1" applyFill="1" applyBorder="1" applyAlignment="1">
      <alignment horizontal="left" vertical="top"/>
    </xf>
    <xf numFmtId="0" fontId="20" fillId="0" borderId="10" xfId="0" applyFont="1" applyBorder="1" applyAlignment="1">
      <alignment horizontal="center" vertical="center"/>
    </xf>
    <xf numFmtId="0" fontId="58" fillId="11" borderId="5" xfId="0" applyFont="1" applyFill="1" applyBorder="1" applyAlignment="1">
      <alignment horizontal="left" vertical="top" wrapText="1"/>
    </xf>
    <xf numFmtId="0" fontId="16" fillId="11" borderId="5" xfId="0" applyFont="1" applyFill="1" applyBorder="1" applyAlignment="1">
      <alignment horizontal="left" vertical="center"/>
    </xf>
    <xf numFmtId="0" fontId="16" fillId="11" borderId="5" xfId="0" applyFont="1" applyFill="1" applyBorder="1" applyAlignment="1">
      <alignment horizontal="left"/>
    </xf>
    <xf numFmtId="0" fontId="16" fillId="11" borderId="5" xfId="0" applyFont="1" applyFill="1" applyBorder="1" applyAlignment="1">
      <alignment horizontal="left" vertical="center" wrapText="1"/>
    </xf>
    <xf numFmtId="0" fontId="20" fillId="11" borderId="24" xfId="0" applyFont="1" applyFill="1" applyBorder="1" applyAlignment="1">
      <alignment horizontal="center" vertical="center" wrapText="1"/>
    </xf>
    <xf numFmtId="0" fontId="20" fillId="11" borderId="19" xfId="0" applyFont="1" applyFill="1" applyBorder="1" applyAlignment="1">
      <alignment horizontal="center" vertical="center" wrapText="1"/>
    </xf>
    <xf numFmtId="0" fontId="28" fillId="4" borderId="10" xfId="14" applyFont="1" applyFill="1" applyBorder="1" applyAlignment="1">
      <alignment horizontal="left" vertical="center"/>
    </xf>
    <xf numFmtId="0" fontId="58" fillId="11" borderId="7" xfId="0" applyFont="1" applyFill="1" applyBorder="1" applyAlignment="1">
      <alignment horizontal="left" vertical="top" wrapText="1"/>
    </xf>
    <xf numFmtId="0" fontId="20" fillId="11" borderId="18"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0" fillId="11" borderId="11" xfId="0" applyFont="1" applyFill="1" applyBorder="1" applyAlignment="1">
      <alignment horizontal="center" vertical="center"/>
    </xf>
    <xf numFmtId="0" fontId="20" fillId="11" borderId="24" xfId="0" applyFont="1" applyFill="1" applyBorder="1" applyAlignment="1">
      <alignment horizontal="center" vertical="center"/>
    </xf>
    <xf numFmtId="0" fontId="20" fillId="11" borderId="19" xfId="0" applyFont="1" applyFill="1" applyBorder="1" applyAlignment="1">
      <alignment horizontal="center" vertical="center"/>
    </xf>
    <xf numFmtId="0" fontId="28" fillId="4" borderId="2" xfId="0" applyFont="1" applyFill="1" applyBorder="1" applyAlignment="1">
      <alignment horizontal="left" vertical="top" wrapText="1"/>
    </xf>
    <xf numFmtId="0" fontId="28" fillId="4" borderId="3" xfId="0" applyFont="1" applyFill="1" applyBorder="1" applyAlignment="1">
      <alignment horizontal="left" vertical="top" wrapText="1"/>
    </xf>
    <xf numFmtId="0" fontId="14" fillId="0" borderId="1" xfId="0" applyFont="1" applyBorder="1" applyAlignment="1">
      <alignment horizontal="center" vertical="center" wrapText="1"/>
    </xf>
    <xf numFmtId="0" fontId="13" fillId="2" borderId="0" xfId="4" applyFont="1" applyFill="1" applyAlignment="1">
      <alignment horizontal="center" vertical="center"/>
    </xf>
    <xf numFmtId="0" fontId="7" fillId="16" borderId="0" xfId="0" applyFont="1" applyFill="1" applyAlignment="1">
      <alignment horizontal="center" vertical="center" wrapText="1"/>
    </xf>
    <xf numFmtId="0" fontId="10" fillId="0" borderId="2" xfId="5" applyFont="1" applyBorder="1" applyAlignment="1">
      <alignment horizontal="left" vertical="center" wrapText="1"/>
    </xf>
    <xf numFmtId="0" fontId="10" fillId="0" borderId="4" xfId="5" applyFont="1" applyBorder="1" applyAlignment="1">
      <alignment horizontal="left" vertical="center" wrapText="1"/>
    </xf>
    <xf numFmtId="0" fontId="10" fillId="0" borderId="3" xfId="5" applyFont="1" applyBorder="1" applyAlignment="1">
      <alignment horizontal="left" vertical="center" wrapText="1"/>
    </xf>
    <xf numFmtId="0" fontId="6" fillId="0" borderId="0" xfId="15" applyFont="1" applyAlignment="1">
      <alignment horizontal="center" vertical="center"/>
    </xf>
    <xf numFmtId="0" fontId="6" fillId="0" borderId="12" xfId="15" applyFont="1" applyBorder="1" applyAlignment="1">
      <alignment horizontal="center" vertical="center"/>
    </xf>
    <xf numFmtId="0" fontId="6" fillId="0" borderId="10" xfId="15" applyFont="1" applyBorder="1" applyAlignment="1">
      <alignment horizontal="center" vertical="center"/>
    </xf>
    <xf numFmtId="0" fontId="6" fillId="0" borderId="0" xfId="15" applyFont="1" applyAlignment="1">
      <alignment horizontal="center" vertical="center" wrapText="1"/>
    </xf>
    <xf numFmtId="164" fontId="6" fillId="0" borderId="0"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64" fontId="6" fillId="0" borderId="12" xfId="0" applyNumberFormat="1" applyFont="1" applyBorder="1" applyAlignment="1">
      <alignment horizontal="center" vertical="center" wrapText="1"/>
    </xf>
    <xf numFmtId="0" fontId="16" fillId="16" borderId="5" xfId="0" applyFont="1" applyFill="1" applyBorder="1" applyAlignment="1">
      <alignment horizontal="left" vertical="top" wrapText="1"/>
    </xf>
    <xf numFmtId="0" fontId="58" fillId="16" borderId="5" xfId="0" applyFont="1" applyFill="1" applyBorder="1" applyAlignment="1">
      <alignment horizontal="left" vertical="top" wrapText="1"/>
    </xf>
    <xf numFmtId="0" fontId="20" fillId="16" borderId="10"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20" fillId="16" borderId="10" xfId="0" applyFont="1" applyFill="1" applyBorder="1" applyAlignment="1">
      <alignment horizontal="center" vertical="center" wrapText="1"/>
    </xf>
    <xf numFmtId="0" fontId="20" fillId="16" borderId="12" xfId="0" applyFont="1" applyFill="1" applyBorder="1" applyAlignment="1">
      <alignment horizontal="center" vertical="center" wrapText="1"/>
    </xf>
    <xf numFmtId="0" fontId="20" fillId="16" borderId="11" xfId="0" applyFont="1" applyFill="1" applyBorder="1" applyAlignment="1">
      <alignment horizontal="center" vertical="center"/>
    </xf>
    <xf numFmtId="0" fontId="20" fillId="16" borderId="11" xfId="0" applyFont="1" applyFill="1" applyBorder="1" applyAlignment="1">
      <alignment horizontal="center" vertical="center" wrapText="1"/>
    </xf>
    <xf numFmtId="0" fontId="6" fillId="7" borderId="14" xfId="0" applyFont="1" applyFill="1" applyBorder="1" applyAlignment="1">
      <alignment horizontal="left" vertical="top"/>
    </xf>
    <xf numFmtId="0" fontId="6" fillId="7" borderId="15" xfId="0" applyFont="1" applyFill="1" applyBorder="1" applyAlignment="1">
      <alignment horizontal="left" vertical="top"/>
    </xf>
    <xf numFmtId="0" fontId="6" fillId="6" borderId="1" xfId="0" applyFont="1" applyFill="1" applyBorder="1" applyAlignment="1">
      <alignment horizontal="left" vertical="top"/>
    </xf>
    <xf numFmtId="0" fontId="28" fillId="6" borderId="1" xfId="0" applyFont="1" applyFill="1" applyBorder="1" applyAlignment="1">
      <alignment horizontal="left" vertical="top"/>
    </xf>
    <xf numFmtId="0" fontId="28" fillId="6" borderId="1" xfId="0" applyFont="1" applyFill="1" applyBorder="1" applyAlignment="1">
      <alignment horizontal="left" vertical="top" wrapText="1"/>
    </xf>
    <xf numFmtId="0" fontId="28" fillId="7" borderId="14" xfId="0" applyFont="1" applyFill="1" applyBorder="1" applyAlignment="1">
      <alignment horizontal="left" vertical="top"/>
    </xf>
    <xf numFmtId="0" fontId="28" fillId="7" borderId="15" xfId="0" applyFont="1" applyFill="1" applyBorder="1" applyAlignment="1">
      <alignment horizontal="left" vertical="top"/>
    </xf>
    <xf numFmtId="0" fontId="28" fillId="6" borderId="16" xfId="0" applyFont="1" applyFill="1" applyBorder="1" applyAlignment="1">
      <alignment horizontal="left" vertical="top"/>
    </xf>
    <xf numFmtId="0" fontId="28" fillId="6" borderId="17" xfId="0" applyFont="1" applyFill="1" applyBorder="1" applyAlignment="1">
      <alignment horizontal="left" vertical="top"/>
    </xf>
    <xf numFmtId="0" fontId="16" fillId="16" borderId="14" xfId="0" applyFont="1" applyFill="1" applyBorder="1" applyAlignment="1">
      <alignment horizontal="center" vertical="center"/>
    </xf>
    <xf numFmtId="0" fontId="16" fillId="16" borderId="11" xfId="0" applyFont="1" applyFill="1" applyBorder="1" applyAlignment="1">
      <alignment horizontal="center" vertical="center"/>
    </xf>
    <xf numFmtId="0" fontId="16" fillId="16" borderId="15" xfId="0" applyFont="1" applyFill="1" applyBorder="1" applyAlignment="1">
      <alignment horizontal="center" vertical="center"/>
    </xf>
    <xf numFmtId="0" fontId="28" fillId="6" borderId="2" xfId="0" applyFont="1" applyFill="1" applyBorder="1" applyAlignment="1">
      <alignment horizontal="center" vertical="top"/>
    </xf>
    <xf numFmtId="0" fontId="28" fillId="6" borderId="3" xfId="0" applyFont="1" applyFill="1" applyBorder="1" applyAlignment="1">
      <alignment horizontal="center" vertical="top"/>
    </xf>
    <xf numFmtId="0" fontId="6" fillId="6" borderId="14" xfId="0" applyFont="1" applyFill="1" applyBorder="1" applyAlignment="1">
      <alignment horizontal="left" vertical="top"/>
    </xf>
    <xf numFmtId="0" fontId="6" fillId="6" borderId="15" xfId="0" applyFont="1" applyFill="1" applyBorder="1" applyAlignment="1">
      <alignment horizontal="left" vertical="top"/>
    </xf>
    <xf numFmtId="0" fontId="6" fillId="6" borderId="1" xfId="0" applyFont="1" applyFill="1" applyBorder="1" applyAlignment="1">
      <alignment horizontal="left" vertical="top" wrapText="1"/>
    </xf>
    <xf numFmtId="0" fontId="28" fillId="6" borderId="15" xfId="0" applyFont="1" applyFill="1" applyBorder="1" applyAlignment="1">
      <alignment horizontal="left" vertical="top"/>
    </xf>
    <xf numFmtId="0" fontId="28" fillId="6" borderId="14" xfId="0" applyFont="1" applyFill="1" applyBorder="1" applyAlignment="1">
      <alignment horizontal="left" vertical="top" wrapText="1"/>
    </xf>
    <xf numFmtId="0" fontId="28" fillId="6" borderId="15" xfId="0" applyFont="1" applyFill="1" applyBorder="1" applyAlignment="1">
      <alignment horizontal="left" vertical="top" wrapText="1"/>
    </xf>
    <xf numFmtId="0" fontId="24" fillId="0" borderId="0" xfId="0" applyFont="1" applyAlignment="1">
      <alignment horizontal="left" vertical="center" wrapText="1"/>
    </xf>
    <xf numFmtId="164" fontId="6" fillId="0" borderId="10" xfId="0" applyNumberFormat="1" applyFont="1" applyBorder="1" applyAlignment="1">
      <alignment horizontal="center" vertical="center" wrapText="1"/>
    </xf>
    <xf numFmtId="0" fontId="16" fillId="16" borderId="12" xfId="0" applyFont="1" applyFill="1" applyBorder="1" applyAlignment="1">
      <alignment horizontal="center" vertical="center"/>
    </xf>
    <xf numFmtId="0" fontId="16" fillId="0" borderId="24" xfId="0" applyFont="1" applyBorder="1" applyAlignment="1">
      <alignment horizontal="left" vertical="center"/>
    </xf>
    <xf numFmtId="0" fontId="20" fillId="6" borderId="3" xfId="0" applyFont="1" applyFill="1" applyBorder="1" applyAlignment="1">
      <alignment horizontal="left" vertical="top"/>
    </xf>
    <xf numFmtId="0" fontId="70" fillId="4" borderId="0" xfId="16" applyFont="1" applyFill="1" applyAlignment="1">
      <alignment horizontal="left" vertical="top" wrapText="1"/>
    </xf>
    <xf numFmtId="0" fontId="21" fillId="4" borderId="10" xfId="0" applyFont="1" applyFill="1" applyBorder="1" applyAlignment="1">
      <alignment horizontal="left" wrapText="1"/>
    </xf>
    <xf numFmtId="0" fontId="21" fillId="4" borderId="0" xfId="0" applyFont="1" applyFill="1" applyAlignment="1">
      <alignment horizontal="left" wrapText="1"/>
    </xf>
    <xf numFmtId="0" fontId="16" fillId="0" borderId="7" xfId="0" applyFont="1" applyBorder="1" applyAlignment="1">
      <alignment horizontal="left" vertical="center"/>
    </xf>
    <xf numFmtId="0" fontId="20" fillId="16" borderId="10" xfId="0" applyFont="1" applyFill="1" applyBorder="1" applyAlignment="1">
      <alignment horizontal="center" vertical="center"/>
    </xf>
    <xf numFmtId="0" fontId="20" fillId="16" borderId="12" xfId="0" applyFont="1" applyFill="1" applyBorder="1" applyAlignment="1">
      <alignment horizontal="center" vertical="center"/>
    </xf>
    <xf numFmtId="0" fontId="20" fillId="16" borderId="18" xfId="0" applyFont="1" applyFill="1" applyBorder="1" applyAlignment="1">
      <alignment horizontal="center" vertical="center" wrapText="1"/>
    </xf>
    <xf numFmtId="0" fontId="20" fillId="16" borderId="7" xfId="0" applyFont="1" applyFill="1" applyBorder="1" applyAlignment="1">
      <alignment horizontal="center" vertical="center" wrapText="1"/>
    </xf>
    <xf numFmtId="0" fontId="20" fillId="16" borderId="19" xfId="0" applyFont="1" applyFill="1" applyBorder="1" applyAlignment="1">
      <alignment horizontal="center" vertical="center" wrapText="1"/>
    </xf>
    <xf numFmtId="0" fontId="20" fillId="16" borderId="24" xfId="0" applyFont="1" applyFill="1" applyBorder="1" applyAlignment="1">
      <alignment horizontal="center" vertical="center"/>
    </xf>
    <xf numFmtId="0" fontId="20" fillId="16" borderId="19" xfId="0" applyFont="1" applyFill="1" applyBorder="1" applyAlignment="1">
      <alignment horizontal="center" vertical="center"/>
    </xf>
    <xf numFmtId="0" fontId="73" fillId="16" borderId="29" xfId="0" applyFont="1" applyFill="1" applyBorder="1" applyAlignment="1">
      <alignment horizontal="center" vertical="center"/>
    </xf>
    <xf numFmtId="0" fontId="73" fillId="16" borderId="11" xfId="0" applyFont="1" applyFill="1" applyBorder="1" applyAlignment="1">
      <alignment horizontal="center" vertical="center"/>
    </xf>
    <xf numFmtId="0" fontId="73" fillId="16" borderId="28" xfId="0" applyFont="1" applyFill="1" applyBorder="1" applyAlignment="1">
      <alignment horizontal="center" vertical="center"/>
    </xf>
    <xf numFmtId="0" fontId="73" fillId="16" borderId="11" xfId="0" applyFont="1" applyFill="1" applyBorder="1" applyAlignment="1">
      <alignment horizontal="center"/>
    </xf>
    <xf numFmtId="0" fontId="73" fillId="16" borderId="0" xfId="0" applyFont="1" applyFill="1" applyAlignment="1">
      <alignment horizontal="center" vertical="center" wrapText="1"/>
    </xf>
    <xf numFmtId="0" fontId="73" fillId="16" borderId="12" xfId="0" applyFont="1" applyFill="1" applyBorder="1" applyAlignment="1">
      <alignment horizontal="center" vertical="center" wrapText="1"/>
    </xf>
    <xf numFmtId="0" fontId="73" fillId="16" borderId="10" xfId="0" applyFont="1" applyFill="1" applyBorder="1" applyAlignment="1">
      <alignment horizontal="center" vertical="center" wrapText="1"/>
    </xf>
    <xf numFmtId="0" fontId="78" fillId="0" borderId="0" xfId="0" applyFont="1" applyAlignment="1">
      <alignment horizontal="center" wrapText="1"/>
    </xf>
    <xf numFmtId="0" fontId="28" fillId="0" borderId="0" xfId="0" applyFont="1" applyAlignment="1">
      <alignment horizontal="left" vertical="center"/>
    </xf>
    <xf numFmtId="0" fontId="16" fillId="0" borderId="24" xfId="0" applyFont="1" applyBorder="1" applyAlignment="1">
      <alignment horizontal="left" vertical="center" wrapText="1"/>
    </xf>
    <xf numFmtId="0" fontId="16" fillId="0" borderId="0" xfId="0" applyFont="1" applyAlignment="1">
      <alignment horizontal="left" vertical="center" wrapText="1"/>
    </xf>
    <xf numFmtId="0" fontId="6" fillId="0" borderId="0" xfId="0" applyFont="1" applyAlignment="1">
      <alignment horizontal="left" vertical="center" wrapText="1"/>
    </xf>
    <xf numFmtId="0" fontId="20" fillId="16" borderId="11" xfId="0" applyFont="1" applyFill="1" applyBorder="1" applyAlignment="1">
      <alignment horizontal="center" vertical="top" wrapText="1"/>
    </xf>
    <xf numFmtId="0" fontId="30" fillId="7" borderId="22" xfId="0" applyFont="1" applyFill="1" applyBorder="1" applyAlignment="1">
      <alignment horizontal="left" vertical="top"/>
    </xf>
    <xf numFmtId="0" fontId="30" fillId="7" borderId="23" xfId="0" applyFont="1" applyFill="1" applyBorder="1" applyAlignment="1">
      <alignment horizontal="left" vertical="top"/>
    </xf>
    <xf numFmtId="0" fontId="30" fillId="6" borderId="22" xfId="0" applyFont="1" applyFill="1" applyBorder="1" applyAlignment="1">
      <alignment horizontal="left" vertical="top"/>
    </xf>
    <xf numFmtId="0" fontId="30" fillId="6" borderId="23" xfId="0" applyFont="1" applyFill="1" applyBorder="1" applyAlignment="1">
      <alignment horizontal="left" vertical="top"/>
    </xf>
    <xf numFmtId="0" fontId="16" fillId="16" borderId="6" xfId="0" applyFont="1" applyFill="1" applyBorder="1" applyAlignment="1">
      <alignment horizontal="left" vertical="top" wrapText="1"/>
    </xf>
    <xf numFmtId="0" fontId="58" fillId="16" borderId="7" xfId="0" applyFont="1" applyFill="1" applyBorder="1" applyAlignment="1">
      <alignment horizontal="left" vertical="top" wrapText="1"/>
    </xf>
    <xf numFmtId="0" fontId="16" fillId="16" borderId="7" xfId="0" applyFont="1" applyFill="1" applyBorder="1" applyAlignment="1">
      <alignment horizontal="left" vertical="top" wrapText="1"/>
    </xf>
    <xf numFmtId="0" fontId="6" fillId="0" borderId="0" xfId="0" applyFont="1" applyAlignment="1">
      <alignment horizontal="left" vertical="top" wrapText="1"/>
    </xf>
    <xf numFmtId="0" fontId="16" fillId="27" borderId="12" xfId="0" applyFont="1" applyFill="1" applyBorder="1" applyAlignment="1">
      <alignment horizontal="center" vertical="center"/>
    </xf>
    <xf numFmtId="0" fontId="30" fillId="26" borderId="1" xfId="0" applyFont="1" applyFill="1" applyBorder="1" applyAlignment="1">
      <alignment horizontal="left" vertical="top"/>
    </xf>
    <xf numFmtId="0" fontId="20" fillId="23" borderId="2" xfId="0" applyFont="1" applyFill="1" applyBorder="1" applyAlignment="1">
      <alignment horizontal="left" vertical="top"/>
    </xf>
    <xf numFmtId="0" fontId="20" fillId="23" borderId="1" xfId="0" applyFont="1" applyFill="1" applyBorder="1" applyAlignment="1">
      <alignment horizontal="left" vertical="top"/>
    </xf>
    <xf numFmtId="0" fontId="20" fillId="23" borderId="1" xfId="0" applyFont="1" applyFill="1" applyBorder="1" applyAlignment="1">
      <alignment horizontal="left" vertical="top" wrapText="1"/>
    </xf>
    <xf numFmtId="0" fontId="20" fillId="23" borderId="1" xfId="0" applyFont="1" applyFill="1" applyBorder="1" applyAlignment="1">
      <alignment horizontal="center" vertical="top"/>
    </xf>
    <xf numFmtId="0" fontId="30" fillId="23" borderId="1" xfId="0" applyFont="1" applyFill="1" applyBorder="1" applyAlignment="1">
      <alignment horizontal="left" vertical="top"/>
    </xf>
    <xf numFmtId="0" fontId="20" fillId="26" borderId="1" xfId="0" applyFont="1" applyFill="1" applyBorder="1" applyAlignment="1">
      <alignment horizontal="left" vertical="top"/>
    </xf>
    <xf numFmtId="0" fontId="30" fillId="23" borderId="1" xfId="0" applyFont="1" applyFill="1" applyBorder="1" applyAlignment="1">
      <alignment horizontal="left" vertical="top" wrapText="1"/>
    </xf>
    <xf numFmtId="0" fontId="13" fillId="2" borderId="0" xfId="4" applyFont="1" applyFill="1" applyAlignment="1">
      <alignment horizontal="center" vertical="center" wrapText="1"/>
    </xf>
    <xf numFmtId="0" fontId="30" fillId="0" borderId="0" xfId="0" applyFont="1" applyAlignment="1">
      <alignment horizontal="left" vertical="center" wrapText="1"/>
    </xf>
    <xf numFmtId="0" fontId="20" fillId="16" borderId="32" xfId="0" applyFont="1" applyFill="1" applyBorder="1" applyAlignment="1">
      <alignment horizontal="center" vertical="center"/>
    </xf>
    <xf numFmtId="0" fontId="20" fillId="16" borderId="32" xfId="0" applyFont="1" applyFill="1" applyBorder="1" applyAlignment="1">
      <alignment vertical="center"/>
    </xf>
    <xf numFmtId="0" fontId="20" fillId="16" borderId="0" xfId="0" applyFont="1" applyFill="1" applyAlignment="1">
      <alignment horizontal="left" vertical="center" wrapText="1"/>
    </xf>
    <xf numFmtId="0" fontId="20" fillId="16" borderId="0" xfId="0" applyFont="1" applyFill="1" applyAlignment="1">
      <alignment horizontal="center" vertical="center" wrapText="1"/>
    </xf>
    <xf numFmtId="0" fontId="20" fillId="16" borderId="11" xfId="0" applyFont="1" applyFill="1" applyBorder="1" applyAlignment="1">
      <alignment horizontal="center" vertical="center" wrapText="1" readingOrder="1"/>
    </xf>
    <xf numFmtId="0" fontId="55" fillId="0" borderId="0" xfId="0" applyFont="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35" xfId="0" applyFont="1" applyBorder="1" applyAlignment="1">
      <alignment horizontal="left" vertical="top" wrapText="1"/>
    </xf>
    <xf numFmtId="0" fontId="24" fillId="0" borderId="0" xfId="0" applyFont="1" applyAlignment="1">
      <alignment horizontal="left" vertical="top" wrapText="1"/>
    </xf>
    <xf numFmtId="0" fontId="6" fillId="0" borderId="10" xfId="0" applyFont="1" applyBorder="1" applyAlignment="1">
      <alignment horizontal="left" wrapText="1"/>
    </xf>
    <xf numFmtId="0" fontId="6" fillId="0" borderId="0" xfId="0" applyFont="1" applyAlignment="1">
      <alignment horizontal="left" wrapText="1"/>
    </xf>
    <xf numFmtId="0" fontId="30" fillId="26" borderId="3" xfId="0" applyFont="1" applyFill="1" applyBorder="1" applyAlignment="1">
      <alignment horizontal="left" vertical="top"/>
    </xf>
    <xf numFmtId="0" fontId="30" fillId="23" borderId="3" xfId="0" applyFont="1" applyFill="1" applyBorder="1" applyAlignment="1">
      <alignment horizontal="left" vertical="top"/>
    </xf>
    <xf numFmtId="0" fontId="16" fillId="16" borderId="5" xfId="0" applyFont="1" applyFill="1" applyBorder="1" applyAlignment="1">
      <alignment horizontal="left" vertical="center" wrapText="1"/>
    </xf>
    <xf numFmtId="0" fontId="58" fillId="16" borderId="5" xfId="0" applyFont="1" applyFill="1" applyBorder="1" applyAlignment="1">
      <alignment horizontal="left" vertical="center" wrapText="1"/>
    </xf>
    <xf numFmtId="0" fontId="37" fillId="0" borderId="0" xfId="0" applyFont="1" applyAlignment="1">
      <alignment horizontal="left" wrapText="1"/>
    </xf>
    <xf numFmtId="0" fontId="20" fillId="16" borderId="0" xfId="0" applyFont="1" applyFill="1" applyAlignment="1">
      <alignment horizontal="center" vertical="center"/>
    </xf>
    <xf numFmtId="0" fontId="7" fillId="29" borderId="0" xfId="0" applyFont="1" applyFill="1" applyAlignment="1">
      <alignment horizontal="center" vertical="center" wrapText="1"/>
    </xf>
    <xf numFmtId="0" fontId="35" fillId="0" borderId="0" xfId="0" applyFont="1" applyAlignment="1">
      <alignment horizontal="center" vertical="center"/>
    </xf>
    <xf numFmtId="0" fontId="16" fillId="29" borderId="5" xfId="0" applyFont="1" applyFill="1" applyBorder="1" applyAlignment="1">
      <alignment horizontal="left" vertical="top"/>
    </xf>
    <xf numFmtId="0" fontId="16" fillId="29" borderId="5" xfId="0" applyFont="1" applyFill="1" applyBorder="1" applyAlignment="1">
      <alignment horizontal="left" vertical="top" wrapText="1"/>
    </xf>
    <xf numFmtId="0" fontId="16" fillId="0" borderId="12" xfId="0" applyFont="1" applyBorder="1" applyAlignment="1">
      <alignment horizontal="left" vertical="center" wrapText="1"/>
    </xf>
    <xf numFmtId="0" fontId="20" fillId="29" borderId="18" xfId="0" applyFont="1" applyFill="1" applyBorder="1" applyAlignment="1">
      <alignment horizontal="center" vertical="center" wrapText="1"/>
    </xf>
    <xf numFmtId="0" fontId="20" fillId="29" borderId="7" xfId="0" applyFont="1" applyFill="1" applyBorder="1" applyAlignment="1">
      <alignment horizontal="center" vertical="center" wrapText="1"/>
    </xf>
    <xf numFmtId="0" fontId="20" fillId="29" borderId="19" xfId="0" applyFont="1" applyFill="1" applyBorder="1" applyAlignment="1">
      <alignment horizontal="center" vertical="center" wrapText="1"/>
    </xf>
    <xf numFmtId="0" fontId="20" fillId="29" borderId="11" xfId="20" applyFont="1" applyFill="1" applyBorder="1" applyAlignment="1">
      <alignment horizontal="center" vertical="center" wrapText="1"/>
    </xf>
    <xf numFmtId="0" fontId="16" fillId="29" borderId="12" xfId="0" applyFont="1" applyFill="1" applyBorder="1" applyAlignment="1">
      <alignment horizontal="center" vertical="center"/>
    </xf>
    <xf numFmtId="0" fontId="20" fillId="0" borderId="0" xfId="0" applyFont="1" applyAlignment="1">
      <alignment horizontal="left" vertical="top" wrapText="1"/>
    </xf>
    <xf numFmtId="0" fontId="20" fillId="0" borderId="12" xfId="0" applyFont="1" applyBorder="1" applyAlignment="1">
      <alignment horizontal="left" vertical="top" wrapText="1"/>
    </xf>
    <xf numFmtId="0" fontId="20" fillId="7" borderId="22" xfId="0" applyFont="1" applyFill="1" applyBorder="1" applyAlignment="1">
      <alignment horizontal="left" vertical="top"/>
    </xf>
    <xf numFmtId="0" fontId="20" fillId="7" borderId="23" xfId="0" applyFont="1" applyFill="1" applyBorder="1" applyAlignment="1">
      <alignment horizontal="left" vertical="top"/>
    </xf>
    <xf numFmtId="0" fontId="20" fillId="0" borderId="0" xfId="0" applyFont="1" applyAlignment="1">
      <alignment horizontal="left" vertical="center"/>
    </xf>
    <xf numFmtId="0" fontId="28" fillId="0" borderId="0" xfId="0" applyFont="1"/>
    <xf numFmtId="0" fontId="28" fillId="0" borderId="12" xfId="0" applyFont="1" applyBorder="1" applyAlignment="1">
      <alignment horizontal="left" vertical="center"/>
    </xf>
    <xf numFmtId="0" fontId="20" fillId="29" borderId="10" xfId="21" applyFont="1" applyFill="1" applyBorder="1" applyAlignment="1">
      <alignment horizontal="center" wrapText="1"/>
    </xf>
    <xf numFmtId="0" fontId="20" fillId="29" borderId="12" xfId="21" applyFont="1" applyFill="1" applyBorder="1" applyAlignment="1">
      <alignment horizontal="center" wrapText="1"/>
    </xf>
    <xf numFmtId="0" fontId="20" fillId="29" borderId="11" xfId="21" applyFont="1" applyFill="1" applyBorder="1" applyAlignment="1">
      <alignment horizontal="center" vertical="center" wrapText="1"/>
    </xf>
    <xf numFmtId="0" fontId="20" fillId="29" borderId="10" xfId="21" applyFont="1" applyFill="1" applyBorder="1" applyAlignment="1">
      <alignment horizontal="center" vertical="center" wrapText="1"/>
    </xf>
    <xf numFmtId="0" fontId="20" fillId="29" borderId="12" xfId="21" applyFont="1" applyFill="1" applyBorder="1" applyAlignment="1">
      <alignment horizontal="center" vertical="center" wrapText="1"/>
    </xf>
    <xf numFmtId="0" fontId="20" fillId="0" borderId="10" xfId="0" applyFont="1" applyBorder="1" applyAlignment="1">
      <alignment horizontal="left" vertical="center"/>
    </xf>
    <xf numFmtId="0" fontId="58" fillId="29" borderId="5" xfId="0" applyFont="1" applyFill="1" applyBorder="1" applyAlignment="1">
      <alignment horizontal="left" vertical="top"/>
    </xf>
    <xf numFmtId="0" fontId="20" fillId="29" borderId="18" xfId="0" applyFont="1" applyFill="1" applyBorder="1" applyAlignment="1">
      <alignment horizontal="center" vertical="center"/>
    </xf>
    <xf numFmtId="0" fontId="20" fillId="29" borderId="19" xfId="0" applyFont="1" applyFill="1" applyBorder="1" applyAlignment="1">
      <alignment horizontal="center" vertical="center"/>
    </xf>
    <xf numFmtId="0" fontId="20" fillId="29" borderId="11" xfId="0" applyFont="1" applyFill="1" applyBorder="1" applyAlignment="1">
      <alignment horizontal="center" vertical="center"/>
    </xf>
    <xf numFmtId="0" fontId="20" fillId="29" borderId="12" xfId="0" applyFont="1" applyFill="1" applyBorder="1" applyAlignment="1">
      <alignment horizontal="center" vertical="center"/>
    </xf>
    <xf numFmtId="0" fontId="20" fillId="29" borderId="11" xfId="8" applyFont="1" applyFill="1" applyBorder="1" applyAlignment="1">
      <alignment horizontal="center" vertical="center" wrapText="1"/>
    </xf>
    <xf numFmtId="0" fontId="16" fillId="29" borderId="6" xfId="0" applyFont="1" applyFill="1" applyBorder="1" applyAlignment="1">
      <alignment horizontal="left" vertical="top"/>
    </xf>
    <xf numFmtId="0" fontId="16" fillId="29" borderId="7" xfId="0" applyFont="1" applyFill="1" applyBorder="1" applyAlignment="1">
      <alignment horizontal="left" vertical="top"/>
    </xf>
    <xf numFmtId="0" fontId="58" fillId="29" borderId="7" xfId="0" applyFont="1" applyFill="1" applyBorder="1" applyAlignment="1">
      <alignment horizontal="left" vertical="top"/>
    </xf>
    <xf numFmtId="0" fontId="58" fillId="29" borderId="8" xfId="0" applyFont="1" applyFill="1" applyBorder="1" applyAlignment="1">
      <alignment horizontal="left" vertical="top"/>
    </xf>
    <xf numFmtId="0" fontId="20" fillId="29" borderId="7" xfId="0" applyFont="1" applyFill="1" applyBorder="1" applyAlignment="1">
      <alignment horizontal="center" vertical="center"/>
    </xf>
    <xf numFmtId="0" fontId="20" fillId="29" borderId="0" xfId="8" applyFont="1" applyFill="1" applyAlignment="1">
      <alignment horizontal="center" vertical="center" wrapText="1"/>
    </xf>
    <xf numFmtId="0" fontId="20" fillId="29" borderId="12" xfId="8" applyFont="1" applyFill="1" applyBorder="1" applyAlignment="1">
      <alignment horizontal="center" vertical="center" wrapText="1"/>
    </xf>
    <xf numFmtId="0" fontId="16" fillId="29" borderId="8" xfId="0" applyFont="1" applyFill="1" applyBorder="1" applyAlignment="1">
      <alignment horizontal="left" vertical="top"/>
    </xf>
    <xf numFmtId="0" fontId="6" fillId="0" borderId="10" xfId="0" applyFont="1" applyBorder="1" applyAlignment="1">
      <alignment horizontal="left" vertical="top" wrapText="1"/>
    </xf>
    <xf numFmtId="0" fontId="16" fillId="29" borderId="6" xfId="0" applyFont="1" applyFill="1" applyBorder="1" applyAlignment="1">
      <alignment horizontal="left" vertical="top" wrapText="1"/>
    </xf>
    <xf numFmtId="0" fontId="16" fillId="29" borderId="7" xfId="0" applyFont="1" applyFill="1" applyBorder="1" applyAlignment="1">
      <alignment horizontal="left" vertical="top" wrapText="1"/>
    </xf>
    <xf numFmtId="0" fontId="58" fillId="29" borderId="7" xfId="0" applyFont="1" applyFill="1" applyBorder="1" applyAlignment="1">
      <alignment horizontal="left" vertical="top" wrapText="1"/>
    </xf>
    <xf numFmtId="0" fontId="58" fillId="29" borderId="8" xfId="0" applyFont="1" applyFill="1" applyBorder="1" applyAlignment="1">
      <alignment horizontal="left" vertical="top" wrapText="1"/>
    </xf>
    <xf numFmtId="0" fontId="16" fillId="0" borderId="9" xfId="0" applyFont="1" applyBorder="1" applyAlignment="1">
      <alignment horizontal="left" vertical="center" wrapText="1"/>
    </xf>
    <xf numFmtId="0" fontId="20" fillId="29" borderId="11" xfId="0" applyFont="1" applyFill="1" applyBorder="1" applyAlignment="1">
      <alignment horizontal="center" vertical="center" wrapText="1"/>
    </xf>
    <xf numFmtId="0" fontId="16" fillId="29" borderId="5" xfId="0" applyFont="1" applyFill="1" applyBorder="1" applyAlignment="1">
      <alignment horizontal="left" vertical="center"/>
    </xf>
    <xf numFmtId="0" fontId="58" fillId="29" borderId="5" xfId="0" applyFont="1" applyFill="1" applyBorder="1" applyAlignment="1">
      <alignment horizontal="left" vertical="center"/>
    </xf>
    <xf numFmtId="0" fontId="16" fillId="0" borderId="9" xfId="0" applyFont="1" applyBorder="1" applyAlignment="1">
      <alignment horizontal="left" vertical="center"/>
    </xf>
    <xf numFmtId="0" fontId="20" fillId="29" borderId="10" xfId="0" applyFont="1" applyFill="1" applyBorder="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wrapText="1"/>
    </xf>
    <xf numFmtId="0" fontId="28" fillId="0" borderId="0" xfId="11" applyFont="1" applyAlignment="1">
      <alignment horizontal="left" vertical="center" wrapText="1"/>
    </xf>
    <xf numFmtId="0" fontId="16" fillId="29" borderId="5" xfId="0" applyFont="1" applyFill="1" applyBorder="1" applyAlignment="1">
      <alignment horizontal="left" vertical="center" wrapText="1"/>
    </xf>
    <xf numFmtId="0" fontId="7" fillId="31" borderId="0" xfId="0" applyFont="1" applyFill="1" applyAlignment="1">
      <alignment horizontal="center" vertical="center" wrapText="1"/>
    </xf>
    <xf numFmtId="0" fontId="30" fillId="0" borderId="4" xfId="0" applyFont="1" applyBorder="1" applyAlignment="1">
      <alignment horizontal="center" vertical="center"/>
    </xf>
    <xf numFmtId="0" fontId="30" fillId="0" borderId="1" xfId="0" applyFont="1" applyBorder="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xf numFmtId="0" fontId="30" fillId="0" borderId="14" xfId="0" applyFont="1" applyBorder="1" applyAlignment="1">
      <alignment horizontal="center" vertical="top"/>
    </xf>
    <xf numFmtId="0" fontId="30" fillId="0" borderId="15" xfId="0" applyFont="1" applyBorder="1" applyAlignment="1">
      <alignment horizontal="center" vertical="top"/>
    </xf>
    <xf numFmtId="0" fontId="30" fillId="0" borderId="0" xfId="0" applyFont="1" applyAlignment="1">
      <alignment horizontal="center" vertical="top"/>
    </xf>
    <xf numFmtId="0" fontId="6" fillId="6" borderId="14" xfId="0" applyFont="1" applyFill="1" applyBorder="1" applyAlignment="1">
      <alignment horizontal="center" vertical="top"/>
    </xf>
    <xf numFmtId="0" fontId="6" fillId="6" borderId="11" xfId="0" applyFont="1" applyFill="1" applyBorder="1" applyAlignment="1">
      <alignment horizontal="center" vertical="top"/>
    </xf>
    <xf numFmtId="0" fontId="30" fillId="0" borderId="4" xfId="0" applyFont="1" applyBorder="1" applyAlignment="1">
      <alignment horizontal="center" vertical="top"/>
    </xf>
    <xf numFmtId="0" fontId="30" fillId="6" borderId="14" xfId="0" applyFont="1" applyFill="1" applyBorder="1" applyAlignment="1">
      <alignment horizontal="center" vertical="top"/>
    </xf>
    <xf numFmtId="0" fontId="30" fillId="6" borderId="15" xfId="0" applyFont="1" applyFill="1" applyBorder="1" applyAlignment="1">
      <alignment horizontal="center" vertical="top"/>
    </xf>
    <xf numFmtId="0" fontId="30" fillId="6" borderId="11" xfId="0" applyFont="1" applyFill="1" applyBorder="1" applyAlignment="1">
      <alignment horizontal="center" vertical="top"/>
    </xf>
    <xf numFmtId="0" fontId="30" fillId="0" borderId="1" xfId="0" applyFont="1" applyBorder="1" applyAlignment="1">
      <alignment horizontal="center" vertical="top"/>
    </xf>
    <xf numFmtId="0" fontId="16" fillId="31" borderId="6" xfId="0" applyFont="1" applyFill="1" applyBorder="1" applyAlignment="1">
      <alignment horizontal="left" vertical="top"/>
    </xf>
    <xf numFmtId="0" fontId="58" fillId="31" borderId="8" xfId="0" applyFont="1" applyFill="1" applyBorder="1" applyAlignment="1">
      <alignment horizontal="left" vertical="top"/>
    </xf>
    <xf numFmtId="0" fontId="58" fillId="31" borderId="7" xfId="0" applyFont="1" applyFill="1" applyBorder="1" applyAlignment="1">
      <alignment horizontal="left" vertical="top"/>
    </xf>
    <xf numFmtId="0" fontId="6" fillId="6" borderId="1" xfId="0" applyFont="1" applyFill="1" applyBorder="1" applyAlignment="1">
      <alignment horizontal="center"/>
    </xf>
    <xf numFmtId="0" fontId="6" fillId="0" borderId="20" xfId="0" applyFont="1" applyBorder="1" applyAlignment="1">
      <alignment horizontal="center"/>
    </xf>
    <xf numFmtId="0" fontId="6" fillId="0" borderId="0" xfId="0" applyFont="1" applyAlignment="1">
      <alignment horizontal="center"/>
    </xf>
    <xf numFmtId="0" fontId="30" fillId="0" borderId="11" xfId="0" applyFont="1" applyBorder="1" applyAlignment="1">
      <alignment horizontal="center" vertical="center"/>
    </xf>
    <xf numFmtId="0" fontId="30" fillId="0" borderId="20" xfId="0" applyFont="1" applyBorder="1" applyAlignment="1">
      <alignment horizontal="center" vertical="top"/>
    </xf>
    <xf numFmtId="0" fontId="16" fillId="31" borderId="8" xfId="0" applyFont="1" applyFill="1" applyBorder="1" applyAlignment="1">
      <alignment horizontal="left" vertical="top"/>
    </xf>
    <xf numFmtId="0" fontId="16" fillId="31" borderId="12" xfId="0" applyFont="1" applyFill="1" applyBorder="1" applyAlignment="1">
      <alignment horizontal="center" vertical="center"/>
    </xf>
    <xf numFmtId="0" fontId="16" fillId="31" borderId="6" xfId="0" applyFont="1" applyFill="1" applyBorder="1" applyAlignment="1">
      <alignment vertical="center"/>
    </xf>
    <xf numFmtId="0" fontId="16" fillId="31" borderId="8" xfId="0" applyFont="1" applyFill="1" applyBorder="1" applyAlignment="1">
      <alignment vertical="center"/>
    </xf>
    <xf numFmtId="0" fontId="58" fillId="31" borderId="7" xfId="0" applyFont="1" applyFill="1" applyBorder="1" applyAlignment="1">
      <alignment vertical="center"/>
    </xf>
    <xf numFmtId="0" fontId="58" fillId="31" borderId="8" xfId="0" applyFont="1" applyFill="1" applyBorder="1" applyAlignment="1">
      <alignment vertical="center"/>
    </xf>
    <xf numFmtId="0" fontId="16" fillId="31" borderId="6" xfId="0" applyFont="1" applyFill="1" applyBorder="1" applyAlignment="1">
      <alignment vertical="center" wrapText="1"/>
    </xf>
    <xf numFmtId="0" fontId="58" fillId="31" borderId="7" xfId="0" applyFont="1" applyFill="1" applyBorder="1" applyAlignment="1">
      <alignment vertical="center" wrapText="1"/>
    </xf>
    <xf numFmtId="0" fontId="6" fillId="0" borderId="0" xfId="0" applyFont="1" applyAlignment="1">
      <alignment horizontal="left" vertical="center"/>
    </xf>
    <xf numFmtId="0" fontId="28" fillId="0" borderId="0" xfId="18" applyFont="1" applyAlignment="1">
      <alignment horizontal="left" vertical="center" wrapText="1"/>
    </xf>
    <xf numFmtId="0" fontId="20" fillId="0" borderId="0" xfId="18" applyFont="1" applyAlignment="1">
      <alignment horizontal="left" vertical="center" wrapText="1"/>
    </xf>
    <xf numFmtId="0" fontId="28" fillId="0" borderId="37" xfId="18" applyFont="1" applyBorder="1" applyAlignment="1">
      <alignment horizontal="left"/>
    </xf>
    <xf numFmtId="0" fontId="55" fillId="0" borderId="0" xfId="18" applyFont="1" applyAlignment="1">
      <alignment horizontal="left" vertical="center"/>
    </xf>
    <xf numFmtId="0" fontId="28" fillId="0" borderId="0" xfId="18" applyFont="1"/>
    <xf numFmtId="0" fontId="16" fillId="0" borderId="0" xfId="18" applyFont="1" applyAlignment="1">
      <alignment horizontal="left" vertical="center" wrapText="1"/>
    </xf>
    <xf numFmtId="0" fontId="13" fillId="2" borderId="0" xfId="4" applyFont="1" applyFill="1" applyAlignment="1">
      <alignment horizontal="center" wrapText="1"/>
    </xf>
    <xf numFmtId="0" fontId="20" fillId="31" borderId="11" xfId="18" applyFont="1" applyFill="1" applyBorder="1" applyAlignment="1">
      <alignment horizontal="center" vertical="center"/>
    </xf>
    <xf numFmtId="0" fontId="20" fillId="31" borderId="11" xfId="18" applyFont="1" applyFill="1" applyBorder="1" applyAlignment="1">
      <alignment horizontal="center" vertical="center" wrapText="1"/>
    </xf>
    <xf numFmtId="0" fontId="16" fillId="31" borderId="7" xfId="0" applyFont="1" applyFill="1" applyBorder="1" applyAlignment="1">
      <alignment horizontal="left" vertical="top"/>
    </xf>
    <xf numFmtId="0" fontId="20" fillId="31" borderId="18" xfId="0" applyFont="1" applyFill="1" applyBorder="1" applyAlignment="1">
      <alignment horizontal="center" vertical="center"/>
    </xf>
    <xf numFmtId="0" fontId="20" fillId="31" borderId="19" xfId="0" applyFont="1" applyFill="1" applyBorder="1" applyAlignment="1">
      <alignment horizontal="center" vertical="center"/>
    </xf>
    <xf numFmtId="0" fontId="20" fillId="31" borderId="18" xfId="8" applyFont="1" applyFill="1" applyBorder="1" applyAlignment="1">
      <alignment horizontal="center" vertical="center" wrapText="1"/>
    </xf>
    <xf numFmtId="0" fontId="20" fillId="31" borderId="19" xfId="8" applyFont="1" applyFill="1" applyBorder="1" applyAlignment="1">
      <alignment horizontal="center" vertical="center" wrapText="1"/>
    </xf>
    <xf numFmtId="0" fontId="20" fillId="31" borderId="11" xfId="8" applyFont="1" applyFill="1" applyBorder="1" applyAlignment="1">
      <alignment horizontal="center" vertical="center" wrapText="1"/>
    </xf>
    <xf numFmtId="0" fontId="6" fillId="4" borderId="0" xfId="0" applyFont="1" applyFill="1" applyAlignment="1">
      <alignment horizontal="left" vertical="center" wrapText="1"/>
    </xf>
    <xf numFmtId="0" fontId="28" fillId="4" borderId="0" xfId="0" applyFont="1" applyFill="1" applyAlignment="1">
      <alignment horizontal="left" vertical="center" wrapText="1"/>
    </xf>
    <xf numFmtId="0" fontId="20" fillId="31" borderId="10" xfId="0" applyFont="1" applyFill="1" applyBorder="1" applyAlignment="1">
      <alignment horizontal="center" vertical="center" wrapText="1"/>
    </xf>
    <xf numFmtId="0" fontId="20" fillId="31" borderId="0" xfId="0" applyFont="1" applyFill="1" applyAlignment="1">
      <alignment horizontal="center" vertical="center" wrapText="1"/>
    </xf>
    <xf numFmtId="0" fontId="20" fillId="31" borderId="12" xfId="0" applyFont="1" applyFill="1" applyBorder="1" applyAlignment="1">
      <alignment horizontal="center" vertical="center" wrapText="1"/>
    </xf>
    <xf numFmtId="0" fontId="20" fillId="31" borderId="11" xfId="0" applyFont="1" applyFill="1" applyBorder="1" applyAlignment="1">
      <alignment horizontal="center" vertical="center" wrapText="1"/>
    </xf>
    <xf numFmtId="0" fontId="16" fillId="31" borderId="5" xfId="0" applyFont="1" applyFill="1" applyBorder="1" applyAlignment="1">
      <alignment horizontal="left" vertical="top" wrapText="1"/>
    </xf>
    <xf numFmtId="0" fontId="58" fillId="31" borderId="5" xfId="0" applyFont="1" applyFill="1" applyBorder="1" applyAlignment="1">
      <alignment horizontal="left" vertical="top" wrapText="1"/>
    </xf>
    <xf numFmtId="0" fontId="16" fillId="31" borderId="5" xfId="0" applyFont="1" applyFill="1" applyBorder="1" applyAlignment="1">
      <alignment horizontal="left" vertical="top"/>
    </xf>
    <xf numFmtId="0" fontId="20" fillId="31" borderId="12" xfId="0" applyFont="1" applyFill="1" applyBorder="1" applyAlignment="1">
      <alignment horizontal="center" vertical="center"/>
    </xf>
    <xf numFmtId="0" fontId="20" fillId="31" borderId="11" xfId="0" applyFont="1" applyFill="1" applyBorder="1" applyAlignment="1">
      <alignment horizontal="center"/>
    </xf>
    <xf numFmtId="0" fontId="20" fillId="31" borderId="15" xfId="0" applyFont="1" applyFill="1" applyBorder="1" applyAlignment="1">
      <alignment horizontal="center"/>
    </xf>
    <xf numFmtId="0" fontId="20" fillId="31" borderId="14" xfId="0" applyFont="1" applyFill="1" applyBorder="1" applyAlignment="1">
      <alignment horizontal="center"/>
    </xf>
    <xf numFmtId="0" fontId="16" fillId="31" borderId="6" xfId="0" applyFont="1" applyFill="1" applyBorder="1" applyAlignment="1">
      <alignment horizontal="left" vertical="top" wrapText="1"/>
    </xf>
    <xf numFmtId="0" fontId="16" fillId="0" borderId="0" xfId="0" applyFont="1" applyAlignment="1">
      <alignment horizontal="left" wrapText="1"/>
    </xf>
    <xf numFmtId="0" fontId="20" fillId="31" borderId="10" xfId="23" applyFont="1" applyFill="1" applyBorder="1" applyAlignment="1">
      <alignment horizontal="center" vertical="center"/>
    </xf>
    <xf numFmtId="0" fontId="20" fillId="31" borderId="12" xfId="23" applyFont="1" applyFill="1" applyBorder="1" applyAlignment="1">
      <alignment horizontal="center" vertical="center"/>
    </xf>
    <xf numFmtId="0" fontId="20" fillId="31" borderId="11" xfId="23" applyFont="1" applyFill="1" applyBorder="1" applyAlignment="1">
      <alignment horizontal="center" vertical="center"/>
    </xf>
    <xf numFmtId="0" fontId="19" fillId="0" borderId="0" xfId="0" applyFont="1" applyAlignment="1">
      <alignment horizontal="left"/>
    </xf>
    <xf numFmtId="0" fontId="17" fillId="0" borderId="0" xfId="0" applyFont="1" applyAlignment="1">
      <alignment horizontal="left" vertical="center" wrapText="1"/>
    </xf>
    <xf numFmtId="2" fontId="17" fillId="0" borderId="0" xfId="0" applyNumberFormat="1" applyFont="1" applyAlignment="1">
      <alignment horizontal="left" wrapText="1"/>
    </xf>
    <xf numFmtId="1" fontId="17" fillId="0" borderId="0" xfId="0" applyNumberFormat="1" applyFont="1" applyAlignment="1">
      <alignment horizontal="center"/>
    </xf>
    <xf numFmtId="0" fontId="58" fillId="31" borderId="5" xfId="0" applyFont="1" applyFill="1" applyBorder="1" applyAlignment="1">
      <alignment horizontal="left" vertical="top"/>
    </xf>
    <xf numFmtId="2" fontId="20" fillId="31" borderId="18" xfId="0" applyNumberFormat="1" applyFont="1" applyFill="1" applyBorder="1" applyAlignment="1">
      <alignment horizontal="center" vertical="center" wrapText="1"/>
    </xf>
    <xf numFmtId="2" fontId="20" fillId="31" borderId="19" xfId="0" applyNumberFormat="1" applyFont="1" applyFill="1" applyBorder="1" applyAlignment="1">
      <alignment horizontal="center" vertical="center" wrapText="1"/>
    </xf>
    <xf numFmtId="2" fontId="20" fillId="31" borderId="11" xfId="0" applyNumberFormat="1" applyFont="1" applyFill="1" applyBorder="1" applyAlignment="1">
      <alignment horizontal="center" wrapText="1"/>
    </xf>
    <xf numFmtId="0" fontId="16" fillId="31" borderId="6" xfId="0" applyFont="1" applyFill="1" applyBorder="1" applyAlignment="1">
      <alignment horizontal="center" vertical="top"/>
    </xf>
    <xf numFmtId="0" fontId="16" fillId="31" borderId="7" xfId="0" applyFont="1" applyFill="1" applyBorder="1" applyAlignment="1">
      <alignment horizontal="center" vertical="top"/>
    </xf>
    <xf numFmtId="0" fontId="16" fillId="31" borderId="7" xfId="0" applyFont="1" applyFill="1" applyBorder="1" applyAlignment="1">
      <alignment horizontal="left" vertical="top" wrapText="1"/>
    </xf>
    <xf numFmtId="0" fontId="58" fillId="31" borderId="7" xfId="0" applyFont="1" applyFill="1" applyBorder="1" applyAlignment="1">
      <alignment horizontal="left" vertical="top" wrapText="1"/>
    </xf>
    <xf numFmtId="0" fontId="20" fillId="31" borderId="18" xfId="24" applyFont="1" applyFill="1" applyBorder="1" applyAlignment="1">
      <alignment horizontal="center" vertical="center" wrapText="1"/>
    </xf>
    <xf numFmtId="0" fontId="20" fillId="31" borderId="19" xfId="24" applyFont="1" applyFill="1" applyBorder="1" applyAlignment="1">
      <alignment horizontal="center" vertical="center" wrapText="1"/>
    </xf>
    <xf numFmtId="0" fontId="20" fillId="31" borderId="11" xfId="24" applyFont="1" applyFill="1" applyBorder="1" applyAlignment="1">
      <alignment horizontal="center" wrapText="1"/>
    </xf>
    <xf numFmtId="0" fontId="7" fillId="32" borderId="0" xfId="0" applyFont="1" applyFill="1" applyAlignment="1">
      <alignment horizontal="center" vertical="center" wrapText="1"/>
    </xf>
    <xf numFmtId="0" fontId="20" fillId="32" borderId="11" xfId="0" applyFont="1" applyFill="1" applyBorder="1" applyAlignment="1">
      <alignment horizontal="center" vertical="center" wrapText="1"/>
    </xf>
    <xf numFmtId="16" fontId="20" fillId="32" borderId="11" xfId="0" applyNumberFormat="1" applyFont="1" applyFill="1" applyBorder="1" applyAlignment="1">
      <alignment horizontal="center" vertical="center" wrapText="1"/>
    </xf>
    <xf numFmtId="0" fontId="16" fillId="32" borderId="5" xfId="0" applyFont="1" applyFill="1" applyBorder="1" applyAlignment="1">
      <alignment horizontal="left" vertical="top" wrapText="1"/>
    </xf>
    <xf numFmtId="0" fontId="16" fillId="0" borderId="9" xfId="0" applyFont="1" applyBorder="1" applyAlignment="1">
      <alignment horizontal="left" wrapText="1"/>
    </xf>
    <xf numFmtId="0" fontId="20" fillId="32" borderId="10" xfId="0" applyFont="1" applyFill="1" applyBorder="1" applyAlignment="1">
      <alignment horizontal="center" vertical="center" wrapText="1"/>
    </xf>
    <xf numFmtId="0" fontId="20" fillId="32" borderId="0" xfId="0" applyFont="1" applyFill="1" applyAlignment="1">
      <alignment horizontal="center" vertical="center" wrapText="1"/>
    </xf>
    <xf numFmtId="0" fontId="20" fillId="32" borderId="12" xfId="0" applyFont="1" applyFill="1" applyBorder="1" applyAlignment="1">
      <alignment horizontal="center" vertical="center" wrapText="1"/>
    </xf>
    <xf numFmtId="0" fontId="16" fillId="32" borderId="12" xfId="0" applyFont="1" applyFill="1" applyBorder="1" applyAlignment="1">
      <alignment horizontal="center" vertical="center"/>
    </xf>
    <xf numFmtId="0" fontId="20" fillId="32" borderId="5" xfId="0" applyFont="1" applyFill="1" applyBorder="1" applyAlignment="1">
      <alignment horizontal="left" vertical="top" wrapText="1"/>
    </xf>
    <xf numFmtId="0" fontId="20" fillId="0" borderId="0" xfId="0" applyFont="1" applyAlignment="1">
      <alignment horizontal="left" vertical="center" wrapText="1"/>
    </xf>
    <xf numFmtId="0" fontId="26" fillId="2" borderId="0" xfId="4" applyFont="1" applyFill="1" applyAlignment="1">
      <alignment horizontal="center" vertical="center" wrapText="1"/>
    </xf>
    <xf numFmtId="0" fontId="20" fillId="32" borderId="11" xfId="0" applyFont="1" applyFill="1" applyBorder="1" applyAlignment="1">
      <alignment horizontal="center" vertical="top" wrapText="1"/>
    </xf>
    <xf numFmtId="0" fontId="23" fillId="0" borderId="0" xfId="0" applyFont="1" applyAlignment="1">
      <alignment horizontal="left" vertical="top" wrapText="1"/>
    </xf>
    <xf numFmtId="0" fontId="28" fillId="0" borderId="0" xfId="0" applyFont="1" applyAlignment="1">
      <alignment horizontal="left" wrapText="1"/>
    </xf>
    <xf numFmtId="0" fontId="20" fillId="32" borderId="10" xfId="0" applyFont="1" applyFill="1" applyBorder="1" applyAlignment="1">
      <alignment horizontal="center" vertical="top"/>
    </xf>
    <xf numFmtId="0" fontId="20" fillId="32" borderId="0" xfId="0" applyFont="1" applyFill="1" applyAlignment="1">
      <alignment horizontal="center" vertical="top"/>
    </xf>
    <xf numFmtId="0" fontId="20" fillId="32" borderId="11" xfId="0" applyFont="1" applyFill="1" applyBorder="1" applyAlignment="1">
      <alignment horizontal="center" vertical="top"/>
    </xf>
    <xf numFmtId="0" fontId="20" fillId="0" borderId="14" xfId="0" applyFont="1" applyBorder="1" applyAlignment="1">
      <alignment horizontal="left" vertical="top"/>
    </xf>
    <xf numFmtId="0" fontId="20" fillId="0" borderId="15" xfId="0" applyFont="1" applyBorder="1" applyAlignment="1">
      <alignment horizontal="left" vertical="top"/>
    </xf>
    <xf numFmtId="0" fontId="111" fillId="48" borderId="0" xfId="0" applyFont="1" applyFill="1" applyAlignment="1">
      <alignment horizontal="center" vertical="center" wrapText="1"/>
    </xf>
    <xf numFmtId="0" fontId="111" fillId="48" borderId="0" xfId="0" applyFont="1" applyFill="1" applyAlignment="1">
      <alignment horizontal="center" vertical="center"/>
    </xf>
    <xf numFmtId="0" fontId="36" fillId="0" borderId="0" xfId="0" applyFont="1" applyAlignment="1">
      <alignment horizontal="center"/>
    </xf>
    <xf numFmtId="0" fontId="111" fillId="0" borderId="0" xfId="0" applyFont="1" applyAlignment="1">
      <alignment horizontal="center" vertical="center" wrapText="1"/>
    </xf>
    <xf numFmtId="0" fontId="94" fillId="0" borderId="0" xfId="0" applyFont="1" applyAlignment="1">
      <alignment horizontal="center"/>
    </xf>
    <xf numFmtId="0" fontId="111" fillId="43" borderId="0" xfId="0" applyFont="1" applyFill="1" applyAlignment="1">
      <alignment horizontal="center" vertical="center"/>
    </xf>
    <xf numFmtId="0" fontId="115" fillId="50" borderId="0" xfId="0" applyFont="1" applyFill="1" applyAlignment="1">
      <alignment horizontal="center" vertical="center"/>
    </xf>
    <xf numFmtId="0" fontId="111" fillId="41" borderId="9" xfId="0" applyFont="1" applyFill="1" applyBorder="1" applyAlignment="1">
      <alignment horizontal="center" vertical="center" wrapText="1"/>
    </xf>
    <xf numFmtId="0" fontId="111" fillId="41" borderId="0" xfId="0" applyFont="1" applyFill="1" applyAlignment="1">
      <alignment horizontal="center" vertical="center" wrapText="1"/>
    </xf>
    <xf numFmtId="0" fontId="111" fillId="0" borderId="0" xfId="0" applyFont="1" applyAlignment="1">
      <alignment horizontal="center" vertical="center"/>
    </xf>
    <xf numFmtId="0" fontId="111" fillId="45" borderId="0" xfId="0" applyFont="1" applyFill="1" applyAlignment="1">
      <alignment horizontal="center" vertical="center"/>
    </xf>
    <xf numFmtId="0" fontId="111" fillId="39" borderId="0" xfId="0" applyFont="1" applyFill="1" applyAlignment="1">
      <alignment horizontal="center" vertical="center"/>
    </xf>
    <xf numFmtId="0" fontId="109" fillId="37" borderId="0" xfId="0" applyFont="1" applyFill="1" applyAlignment="1">
      <alignment horizontal="center" vertical="center"/>
    </xf>
    <xf numFmtId="0" fontId="111" fillId="41" borderId="0" xfId="0" applyFont="1" applyFill="1" applyAlignment="1">
      <alignment horizontal="center" vertical="center"/>
    </xf>
    <xf numFmtId="0" fontId="109" fillId="0" borderId="0" xfId="0" applyFont="1" applyAlignment="1">
      <alignment horizontal="center" vertical="center"/>
    </xf>
    <xf numFmtId="0" fontId="109" fillId="35" borderId="0" xfId="0" applyFont="1" applyFill="1" applyAlignment="1">
      <alignment horizontal="center" vertical="center"/>
    </xf>
    <xf numFmtId="0" fontId="109" fillId="36" borderId="0" xfId="0" applyFont="1" applyFill="1" applyAlignment="1">
      <alignment horizontal="center" vertical="center"/>
    </xf>
    <xf numFmtId="0" fontId="109" fillId="34" borderId="0" xfId="0" applyFont="1" applyFill="1" applyAlignment="1">
      <alignment horizontal="center" vertical="center"/>
    </xf>
    <xf numFmtId="0" fontId="108" fillId="33" borderId="9" xfId="0" applyFont="1" applyFill="1" applyBorder="1" applyAlignment="1">
      <alignment horizontal="center" vertical="center" wrapText="1"/>
    </xf>
    <xf numFmtId="0" fontId="108" fillId="33" borderId="24" xfId="0" applyFont="1" applyFill="1" applyBorder="1" applyAlignment="1">
      <alignment horizontal="center" vertical="center" wrapText="1"/>
    </xf>
    <xf numFmtId="0" fontId="108" fillId="33" borderId="24" xfId="0" applyFont="1" applyFill="1" applyBorder="1" applyAlignment="1">
      <alignment horizontal="left"/>
    </xf>
    <xf numFmtId="0" fontId="108" fillId="33" borderId="0" xfId="0" applyFont="1" applyFill="1" applyAlignment="1">
      <alignment horizontal="center" vertical="center" wrapText="1"/>
    </xf>
    <xf numFmtId="0" fontId="108" fillId="33" borderId="0" xfId="0" applyFont="1" applyFill="1" applyAlignment="1">
      <alignment horizontal="center"/>
    </xf>
    <xf numFmtId="0" fontId="108" fillId="33" borderId="0" xfId="0" applyFont="1" applyFill="1" applyAlignment="1">
      <alignment horizontal="center" vertical="center"/>
    </xf>
    <xf numFmtId="0" fontId="108" fillId="33" borderId="24" xfId="0" applyFont="1" applyFill="1" applyBorder="1" applyAlignment="1">
      <alignment horizontal="center" vertical="center"/>
    </xf>
    <xf numFmtId="0" fontId="94" fillId="0" borderId="0" xfId="0" applyFont="1"/>
    <xf numFmtId="0" fontId="36" fillId="0" borderId="0" xfId="0" applyFont="1"/>
    <xf numFmtId="0" fontId="116" fillId="0" borderId="0" xfId="0" applyFont="1" applyAlignment="1">
      <alignment horizontal="center"/>
    </xf>
    <xf numFmtId="0" fontId="119" fillId="0" borderId="0" xfId="0" applyFont="1" applyAlignment="1">
      <alignment horizontal="center" vertical="center" wrapText="1"/>
    </xf>
    <xf numFmtId="0" fontId="119" fillId="0" borderId="0" xfId="0" applyFont="1" applyAlignment="1">
      <alignment horizontal="center"/>
    </xf>
    <xf numFmtId="0" fontId="111" fillId="45" borderId="0" xfId="0" applyFont="1" applyFill="1" applyAlignment="1">
      <alignment horizontal="center" vertical="center" wrapText="1"/>
    </xf>
    <xf numFmtId="0" fontId="109" fillId="35" borderId="0" xfId="0" applyFont="1" applyFill="1" applyAlignment="1">
      <alignment horizontal="center" vertical="center" wrapText="1"/>
    </xf>
    <xf numFmtId="0" fontId="16" fillId="32" borderId="6" xfId="0" applyFont="1" applyFill="1" applyBorder="1" applyAlignment="1">
      <alignment horizontal="left" vertical="top" wrapText="1"/>
    </xf>
    <xf numFmtId="0" fontId="16" fillId="32" borderId="8" xfId="0" applyFont="1" applyFill="1" applyBorder="1" applyAlignment="1">
      <alignment horizontal="left" vertical="top" wrapText="1"/>
    </xf>
    <xf numFmtId="0" fontId="58" fillId="32" borderId="7" xfId="0" applyFont="1" applyFill="1" applyBorder="1" applyAlignment="1">
      <alignment horizontal="left" vertical="top" wrapText="1"/>
    </xf>
    <xf numFmtId="0" fontId="58" fillId="32" borderId="8" xfId="0" applyFont="1" applyFill="1" applyBorder="1" applyAlignment="1">
      <alignment horizontal="left" vertical="top" wrapText="1"/>
    </xf>
    <xf numFmtId="0" fontId="16" fillId="32" borderId="7" xfId="0" applyFont="1" applyFill="1" applyBorder="1" applyAlignment="1">
      <alignment horizontal="left" vertical="top" wrapText="1"/>
    </xf>
    <xf numFmtId="0" fontId="123" fillId="7" borderId="14" xfId="0" applyFont="1" applyFill="1" applyBorder="1" applyAlignment="1">
      <alignment horizontal="left" vertical="top"/>
    </xf>
    <xf numFmtId="0" fontId="123" fillId="7" borderId="15" xfId="0" applyFont="1" applyFill="1" applyBorder="1" applyAlignment="1">
      <alignment horizontal="left" vertical="top"/>
    </xf>
    <xf numFmtId="0" fontId="123" fillId="32" borderId="12" xfId="0" applyFont="1" applyFill="1" applyBorder="1" applyAlignment="1">
      <alignment horizontal="center" vertical="center"/>
    </xf>
    <xf numFmtId="0" fontId="123" fillId="6" borderId="1" xfId="0" applyFont="1" applyFill="1" applyBorder="1" applyAlignment="1">
      <alignment horizontal="left" vertical="top"/>
    </xf>
    <xf numFmtId="0" fontId="123" fillId="6" borderId="1" xfId="0" applyFont="1" applyFill="1" applyBorder="1" applyAlignment="1">
      <alignment horizontal="left" vertical="top" wrapText="1"/>
    </xf>
    <xf numFmtId="0" fontId="123" fillId="6" borderId="14" xfId="0" applyFont="1" applyFill="1" applyBorder="1" applyAlignment="1">
      <alignment horizontal="left" vertical="top" wrapText="1"/>
    </xf>
    <xf numFmtId="0" fontId="123" fillId="6" borderId="15" xfId="0" applyFont="1" applyFill="1" applyBorder="1" applyAlignment="1">
      <alignment horizontal="left" vertical="top" wrapText="1"/>
    </xf>
    <xf numFmtId="0" fontId="123" fillId="6" borderId="2" xfId="0" applyFont="1" applyFill="1" applyBorder="1" applyAlignment="1">
      <alignment horizontal="center" vertical="top"/>
    </xf>
    <xf numFmtId="0" fontId="123" fillId="6" borderId="3" xfId="0" applyFont="1" applyFill="1" applyBorder="1" applyAlignment="1">
      <alignment horizontal="center" vertical="top"/>
    </xf>
    <xf numFmtId="0" fontId="123" fillId="6" borderId="16" xfId="0" applyFont="1" applyFill="1" applyBorder="1" applyAlignment="1">
      <alignment horizontal="left" vertical="top"/>
    </xf>
    <xf numFmtId="0" fontId="123" fillId="6" borderId="17" xfId="0" applyFont="1" applyFill="1" applyBorder="1" applyAlignment="1">
      <alignment horizontal="left" vertical="top"/>
    </xf>
    <xf numFmtId="0" fontId="123" fillId="6" borderId="14" xfId="0" applyFont="1" applyFill="1" applyBorder="1" applyAlignment="1">
      <alignment horizontal="left" vertical="top"/>
    </xf>
    <xf numFmtId="0" fontId="123" fillId="6" borderId="15" xfId="0" applyFont="1" applyFill="1" applyBorder="1" applyAlignment="1">
      <alignment horizontal="left" vertical="top"/>
    </xf>
    <xf numFmtId="0" fontId="20" fillId="32" borderId="11" xfId="0" applyFont="1" applyFill="1" applyBorder="1" applyAlignment="1">
      <alignment horizontal="center" vertical="center" wrapText="1" readingOrder="1"/>
    </xf>
    <xf numFmtId="0" fontId="20" fillId="32" borderId="40" xfId="0" applyFont="1" applyFill="1" applyBorder="1" applyAlignment="1">
      <alignment horizontal="center" vertical="center" wrapText="1" readingOrder="1"/>
    </xf>
    <xf numFmtId="0" fontId="28" fillId="0" borderId="0" xfId="0" applyFont="1" applyAlignment="1">
      <alignment horizontal="left" vertical="center" wrapText="1" readingOrder="1"/>
    </xf>
    <xf numFmtId="0" fontId="20" fillId="32" borderId="0" xfId="0" applyFont="1" applyFill="1" applyAlignment="1">
      <alignment horizontal="center" vertical="center" wrapText="1" readingOrder="1"/>
    </xf>
    <xf numFmtId="0" fontId="20" fillId="32" borderId="12" xfId="0" applyFont="1" applyFill="1" applyBorder="1" applyAlignment="1">
      <alignment horizontal="center" vertical="center" wrapText="1" readingOrder="1"/>
    </xf>
    <xf numFmtId="0" fontId="28" fillId="0" borderId="0" xfId="0" applyFont="1" applyAlignment="1">
      <alignment horizontal="left" vertical="center" readingOrder="1"/>
    </xf>
    <xf numFmtId="0" fontId="28" fillId="0" borderId="10" xfId="0" applyFont="1" applyBorder="1" applyAlignment="1">
      <alignment horizontal="left" vertical="top" wrapText="1" readingOrder="1"/>
    </xf>
    <xf numFmtId="0" fontId="28" fillId="0" borderId="0" xfId="0" applyFont="1" applyAlignment="1">
      <alignment horizontal="left" vertical="top" wrapText="1" readingOrder="1"/>
    </xf>
    <xf numFmtId="0" fontId="20" fillId="32" borderId="10" xfId="0" applyFont="1" applyFill="1" applyBorder="1" applyAlignment="1">
      <alignment horizontal="center" vertical="center"/>
    </xf>
    <xf numFmtId="0" fontId="20" fillId="32" borderId="0" xfId="0" applyFont="1" applyFill="1" applyAlignment="1">
      <alignment horizontal="center" vertical="center"/>
    </xf>
    <xf numFmtId="0" fontId="20" fillId="32" borderId="12" xfId="0" applyFont="1" applyFill="1" applyBorder="1" applyAlignment="1">
      <alignment horizontal="center" vertical="center"/>
    </xf>
    <xf numFmtId="0" fontId="20" fillId="7" borderId="49" xfId="0" applyFont="1" applyFill="1" applyBorder="1" applyAlignment="1">
      <alignment horizontal="left" vertical="top"/>
    </xf>
    <xf numFmtId="0" fontId="20" fillId="7" borderId="51" xfId="0" applyFont="1" applyFill="1" applyBorder="1" applyAlignment="1">
      <alignment horizontal="left" vertical="top"/>
    </xf>
    <xf numFmtId="0" fontId="20" fillId="7" borderId="52" xfId="0" applyFont="1" applyFill="1" applyBorder="1" applyAlignment="1">
      <alignment horizontal="left" vertical="top"/>
    </xf>
    <xf numFmtId="0" fontId="20" fillId="7" borderId="46" xfId="0" applyFont="1" applyFill="1" applyBorder="1" applyAlignment="1">
      <alignment horizontal="left" vertical="top"/>
    </xf>
    <xf numFmtId="0" fontId="20" fillId="7" borderId="47" xfId="0" applyFont="1" applyFill="1" applyBorder="1" applyAlignment="1">
      <alignment horizontal="left" vertical="top"/>
    </xf>
    <xf numFmtId="0" fontId="16" fillId="32" borderId="5" xfId="0" applyFont="1" applyFill="1" applyBorder="1" applyAlignment="1">
      <alignment horizontal="left" vertical="center" wrapText="1"/>
    </xf>
    <xf numFmtId="0" fontId="16" fillId="0" borderId="0" xfId="27" applyFont="1" applyAlignment="1">
      <alignment horizontal="left" vertical="center" wrapText="1"/>
    </xf>
    <xf numFmtId="0" fontId="20" fillId="7" borderId="1" xfId="0" applyFont="1" applyFill="1" applyBorder="1" applyAlignment="1">
      <alignment horizontal="left" vertical="top"/>
    </xf>
    <xf numFmtId="0" fontId="15" fillId="13" borderId="27" xfId="0" applyFont="1" applyFill="1" applyBorder="1" applyAlignment="1">
      <alignment vertical="center" wrapText="1"/>
    </xf>
    <xf numFmtId="0" fontId="15" fillId="13" borderId="61" xfId="0" applyFont="1" applyFill="1" applyBorder="1" applyAlignment="1">
      <alignment vertical="center" wrapText="1"/>
    </xf>
    <xf numFmtId="0" fontId="34" fillId="13" borderId="56" xfId="0" applyFont="1" applyFill="1" applyBorder="1" applyAlignment="1">
      <alignment vertical="center" wrapText="1"/>
    </xf>
    <xf numFmtId="0" fontId="34" fillId="13" borderId="57" xfId="0" applyFont="1" applyFill="1" applyBorder="1" applyAlignment="1">
      <alignment vertical="center" wrapText="1"/>
    </xf>
    <xf numFmtId="0" fontId="15" fillId="13" borderId="0" xfId="0" applyFont="1" applyFill="1" applyAlignment="1">
      <alignment vertical="center" wrapText="1"/>
    </xf>
    <xf numFmtId="0" fontId="15" fillId="13" borderId="64" xfId="0" applyFont="1" applyFill="1" applyBorder="1" applyAlignment="1">
      <alignment vertical="center" wrapText="1"/>
    </xf>
    <xf numFmtId="0" fontId="34" fillId="13" borderId="58" xfId="0" applyFont="1" applyFill="1" applyBorder="1" applyAlignment="1">
      <alignment vertical="center" wrapText="1"/>
    </xf>
    <xf numFmtId="0" fontId="34" fillId="13" borderId="59" xfId="0" applyFont="1" applyFill="1" applyBorder="1" applyAlignment="1">
      <alignment vertical="center" wrapText="1"/>
    </xf>
    <xf numFmtId="0" fontId="84" fillId="56" borderId="54" xfId="0" applyFont="1" applyFill="1" applyBorder="1" applyAlignment="1">
      <alignment vertical="center" wrapText="1"/>
    </xf>
    <xf numFmtId="0" fontId="84" fillId="56" borderId="71" xfId="0" applyFont="1" applyFill="1" applyBorder="1" applyAlignment="1">
      <alignment vertical="center" wrapText="1"/>
    </xf>
    <xf numFmtId="0" fontId="15" fillId="0" borderId="0" xfId="0" applyFont="1"/>
    <xf numFmtId="0" fontId="34" fillId="13" borderId="54" xfId="0" applyFont="1" applyFill="1" applyBorder="1" applyAlignment="1">
      <alignment vertical="center" wrapText="1"/>
    </xf>
    <xf numFmtId="0" fontId="34" fillId="13" borderId="55" xfId="0" applyFont="1" applyFill="1" applyBorder="1" applyAlignment="1">
      <alignment vertical="center" wrapText="1"/>
    </xf>
    <xf numFmtId="0" fontId="34" fillId="13" borderId="71" xfId="0" applyFont="1" applyFill="1" applyBorder="1" applyAlignment="1">
      <alignment vertical="center" wrapText="1"/>
    </xf>
    <xf numFmtId="0" fontId="15" fillId="13" borderId="54" xfId="0" applyFont="1" applyFill="1" applyBorder="1" applyAlignment="1">
      <alignment vertical="center" wrapText="1"/>
    </xf>
    <xf numFmtId="0" fontId="15" fillId="13" borderId="55" xfId="0" applyFont="1" applyFill="1" applyBorder="1" applyAlignment="1">
      <alignment vertical="center" wrapText="1"/>
    </xf>
    <xf numFmtId="0" fontId="15" fillId="13" borderId="71" xfId="0" applyFont="1" applyFill="1" applyBorder="1" applyAlignment="1">
      <alignment vertical="center" wrapText="1"/>
    </xf>
    <xf numFmtId="0" fontId="84" fillId="54" borderId="59" xfId="0" applyFont="1" applyFill="1" applyBorder="1" applyAlignment="1">
      <alignment horizontal="right" vertical="center" wrapText="1"/>
    </xf>
    <xf numFmtId="0" fontId="84" fillId="54" borderId="61" xfId="0" applyFont="1" applyFill="1" applyBorder="1" applyAlignment="1">
      <alignment horizontal="right" vertical="center" wrapText="1"/>
    </xf>
    <xf numFmtId="0" fontId="15" fillId="13" borderId="27" xfId="0" applyFont="1" applyFill="1" applyBorder="1" applyAlignment="1">
      <alignment vertical="top" wrapText="1"/>
    </xf>
    <xf numFmtId="0" fontId="15" fillId="13" borderId="61" xfId="0" applyFont="1" applyFill="1" applyBorder="1" applyAlignment="1">
      <alignment vertical="top" wrapText="1"/>
    </xf>
    <xf numFmtId="0" fontId="84" fillId="54" borderId="56" xfId="0" applyFont="1" applyFill="1" applyBorder="1" applyAlignment="1">
      <alignment horizontal="right" vertical="center" wrapText="1"/>
    </xf>
    <xf numFmtId="0" fontId="84" fillId="54" borderId="57" xfId="0" applyFont="1" applyFill="1" applyBorder="1" applyAlignment="1">
      <alignment horizontal="right" vertical="center" wrapText="1"/>
    </xf>
    <xf numFmtId="0" fontId="84" fillId="56" borderId="60" xfId="0" applyFont="1" applyFill="1" applyBorder="1" applyAlignment="1">
      <alignment vertical="center" wrapText="1"/>
    </xf>
    <xf numFmtId="0" fontId="84" fillId="56" borderId="57" xfId="0" applyFont="1" applyFill="1" applyBorder="1" applyAlignment="1">
      <alignment vertical="center" wrapText="1"/>
    </xf>
    <xf numFmtId="0" fontId="34" fillId="13" borderId="62" xfId="0" applyFont="1" applyFill="1" applyBorder="1" applyAlignment="1">
      <alignment vertical="center" wrapText="1"/>
    </xf>
    <xf numFmtId="0" fontId="34" fillId="13" borderId="63" xfId="0" applyFont="1" applyFill="1" applyBorder="1" applyAlignment="1">
      <alignment vertical="center" wrapText="1"/>
    </xf>
    <xf numFmtId="0" fontId="34" fillId="13" borderId="61" xfId="0" applyFont="1" applyFill="1" applyBorder="1" applyAlignment="1">
      <alignment vertical="center" wrapText="1"/>
    </xf>
    <xf numFmtId="0" fontId="15" fillId="13" borderId="62" xfId="0" applyFont="1" applyFill="1" applyBorder="1" applyAlignment="1">
      <alignment vertical="center" wrapText="1"/>
    </xf>
    <xf numFmtId="0" fontId="15" fillId="13" borderId="59" xfId="0" applyFont="1" applyFill="1" applyBorder="1" applyAlignment="1">
      <alignment vertical="center" wrapText="1"/>
    </xf>
    <xf numFmtId="0" fontId="15" fillId="13" borderId="63" xfId="0" applyFont="1" applyFill="1" applyBorder="1" applyAlignment="1">
      <alignment vertical="center" wrapText="1"/>
    </xf>
    <xf numFmtId="0" fontId="129" fillId="52" borderId="56" xfId="0" applyFont="1" applyFill="1" applyBorder="1" applyAlignment="1">
      <alignment vertical="center" wrapText="1"/>
    </xf>
    <xf numFmtId="0" fontId="129" fillId="52" borderId="57" xfId="0" applyFont="1" applyFill="1" applyBorder="1" applyAlignment="1">
      <alignment vertical="center" wrapText="1"/>
    </xf>
    <xf numFmtId="0" fontId="84" fillId="13" borderId="27" xfId="0" applyFont="1" applyFill="1" applyBorder="1" applyAlignment="1">
      <alignment vertical="top" wrapText="1"/>
    </xf>
    <xf numFmtId="0" fontId="84" fillId="13" borderId="61" xfId="0" applyFont="1" applyFill="1" applyBorder="1" applyAlignment="1">
      <alignment vertical="top" wrapText="1"/>
    </xf>
    <xf numFmtId="0" fontId="84" fillId="53" borderId="60" xfId="0" applyFont="1" applyFill="1" applyBorder="1" applyAlignment="1">
      <alignment horizontal="center" vertical="center" wrapText="1"/>
    </xf>
    <xf numFmtId="0" fontId="84" fillId="53" borderId="57" xfId="0" applyFont="1" applyFill="1" applyBorder="1" applyAlignment="1">
      <alignment horizontal="center" vertical="center" wrapText="1"/>
    </xf>
    <xf numFmtId="0" fontId="15" fillId="13" borderId="58" xfId="0" applyFont="1" applyFill="1" applyBorder="1" applyAlignment="1">
      <alignment vertical="center" wrapText="1"/>
    </xf>
    <xf numFmtId="0" fontId="84" fillId="53" borderId="56" xfId="0" applyFont="1" applyFill="1" applyBorder="1" applyAlignment="1">
      <alignment horizontal="center" vertical="center" wrapText="1"/>
    </xf>
    <xf numFmtId="0" fontId="129" fillId="54" borderId="56" xfId="0" applyFont="1" applyFill="1" applyBorder="1" applyAlignment="1">
      <alignment vertical="center" wrapText="1"/>
    </xf>
    <xf numFmtId="0" fontId="129" fillId="54" borderId="57" xfId="0" applyFont="1" applyFill="1" applyBorder="1" applyAlignment="1">
      <alignment vertical="center" wrapText="1"/>
    </xf>
    <xf numFmtId="0" fontId="34" fillId="52" borderId="56" xfId="0" applyFont="1" applyFill="1" applyBorder="1" applyAlignment="1">
      <alignment vertical="center" wrapText="1"/>
    </xf>
    <xf numFmtId="0" fontId="34" fillId="52" borderId="57" xfId="0" applyFont="1" applyFill="1" applyBorder="1" applyAlignment="1">
      <alignment vertical="center" wrapText="1"/>
    </xf>
    <xf numFmtId="0" fontId="34" fillId="13" borderId="58" xfId="0" applyFont="1" applyFill="1" applyBorder="1" applyAlignment="1">
      <alignment horizontal="left" vertical="center" wrapText="1" indent="1"/>
    </xf>
    <xf numFmtId="0" fontId="34" fillId="13" borderId="59" xfId="0" applyFont="1" applyFill="1" applyBorder="1" applyAlignment="1">
      <alignment horizontal="left" vertical="center" wrapText="1" indent="1"/>
    </xf>
    <xf numFmtId="0" fontId="15" fillId="13" borderId="63" xfId="0" applyFont="1" applyFill="1" applyBorder="1" applyAlignment="1">
      <alignment vertical="top" wrapText="1"/>
    </xf>
    <xf numFmtId="0" fontId="15" fillId="13" borderId="72" xfId="0" applyFont="1" applyFill="1" applyBorder="1" applyAlignment="1">
      <alignment vertical="center" wrapText="1"/>
    </xf>
    <xf numFmtId="0" fontId="15" fillId="13" borderId="72" xfId="0" applyFont="1" applyFill="1" applyBorder="1" applyAlignment="1">
      <alignment vertical="top" wrapText="1"/>
    </xf>
    <xf numFmtId="0" fontId="15" fillId="13" borderId="64" xfId="0" applyFont="1" applyFill="1" applyBorder="1" applyAlignment="1">
      <alignment vertical="top" wrapText="1"/>
    </xf>
    <xf numFmtId="0" fontId="129" fillId="56" borderId="60" xfId="0" applyFont="1" applyFill="1" applyBorder="1" applyAlignment="1">
      <alignment vertical="center" wrapText="1"/>
    </xf>
    <xf numFmtId="0" fontId="129" fillId="56" borderId="57" xfId="0" applyFont="1" applyFill="1" applyBorder="1" applyAlignment="1">
      <alignment vertical="center" wrapText="1"/>
    </xf>
    <xf numFmtId="0" fontId="34" fillId="13" borderId="72" xfId="0" applyFont="1" applyFill="1" applyBorder="1" applyAlignment="1">
      <alignment vertical="center" wrapText="1"/>
    </xf>
    <xf numFmtId="0" fontId="34" fillId="13" borderId="64" xfId="0" applyFont="1" applyFill="1" applyBorder="1" applyAlignment="1">
      <alignment vertical="center" wrapText="1"/>
    </xf>
    <xf numFmtId="0" fontId="15" fillId="13" borderId="65" xfId="0" applyFont="1" applyFill="1" applyBorder="1" applyAlignment="1">
      <alignment vertical="center" wrapText="1"/>
    </xf>
    <xf numFmtId="0" fontId="15" fillId="13" borderId="66" xfId="0" applyFont="1" applyFill="1" applyBorder="1" applyAlignment="1">
      <alignment vertical="center" wrapText="1"/>
    </xf>
    <xf numFmtId="0" fontId="129" fillId="54" borderId="74" xfId="0" applyFont="1" applyFill="1" applyBorder="1" applyAlignment="1">
      <alignment vertical="center" wrapText="1"/>
    </xf>
    <xf numFmtId="0" fontId="129" fillId="54" borderId="70" xfId="0" applyFont="1" applyFill="1" applyBorder="1" applyAlignment="1">
      <alignment vertical="center" wrapText="1"/>
    </xf>
    <xf numFmtId="0" fontId="129" fillId="54" borderId="0" xfId="0" applyFont="1" applyFill="1" applyAlignment="1">
      <alignment vertical="center" wrapText="1"/>
    </xf>
    <xf numFmtId="0" fontId="129" fillId="54" borderId="64" xfId="0" applyFont="1" applyFill="1" applyBorder="1" applyAlignment="1">
      <alignment vertical="center" wrapText="1"/>
    </xf>
    <xf numFmtId="0" fontId="129" fillId="54" borderId="27" xfId="0" applyFont="1" applyFill="1" applyBorder="1" applyAlignment="1">
      <alignment vertical="center" wrapText="1"/>
    </xf>
    <xf numFmtId="0" fontId="129" fillId="54" borderId="61" xfId="0" applyFont="1" applyFill="1" applyBorder="1" applyAlignment="1">
      <alignment vertical="center" wrapText="1"/>
    </xf>
    <xf numFmtId="0" fontId="34" fillId="13" borderId="69" xfId="0" applyFont="1" applyFill="1" applyBorder="1" applyAlignment="1">
      <alignment vertical="center" wrapText="1"/>
    </xf>
    <xf numFmtId="0" fontId="34" fillId="13" borderId="70" xfId="0" applyFont="1" applyFill="1" applyBorder="1" applyAlignment="1">
      <alignment vertical="center" wrapText="1"/>
    </xf>
    <xf numFmtId="0" fontId="15" fillId="13" borderId="69" xfId="0" applyFont="1" applyFill="1" applyBorder="1" applyAlignment="1">
      <alignment vertical="center" wrapText="1"/>
    </xf>
    <xf numFmtId="0" fontId="15" fillId="13" borderId="70" xfId="0" applyFont="1" applyFill="1" applyBorder="1" applyAlignment="1">
      <alignment vertical="center" wrapText="1"/>
    </xf>
    <xf numFmtId="0" fontId="34" fillId="13" borderId="0" xfId="0" applyFont="1" applyFill="1" applyAlignment="1">
      <alignment vertical="center" wrapText="1"/>
    </xf>
    <xf numFmtId="0" fontId="129" fillId="52" borderId="67" xfId="0" applyFont="1" applyFill="1" applyBorder="1" applyAlignment="1">
      <alignment vertical="center" wrapText="1"/>
    </xf>
    <xf numFmtId="0" fontId="129" fillId="52" borderId="68" xfId="0" applyFont="1" applyFill="1" applyBorder="1" applyAlignment="1">
      <alignment vertical="center" wrapText="1"/>
    </xf>
    <xf numFmtId="0" fontId="15" fillId="13" borderId="56" xfId="0" applyFont="1" applyFill="1" applyBorder="1" applyAlignment="1">
      <alignment vertical="center" wrapText="1"/>
    </xf>
    <xf numFmtId="0" fontId="15" fillId="13" borderId="57" xfId="0" applyFont="1" applyFill="1" applyBorder="1" applyAlignment="1">
      <alignment vertical="center" wrapText="1"/>
    </xf>
    <xf numFmtId="0" fontId="15" fillId="13" borderId="27" xfId="0" applyFont="1" applyFill="1" applyBorder="1" applyAlignment="1">
      <alignment horizontal="left" vertical="center" wrapText="1" indent="2"/>
    </xf>
    <xf numFmtId="0" fontId="15" fillId="13" borderId="61" xfId="0" applyFont="1" applyFill="1" applyBorder="1" applyAlignment="1">
      <alignment horizontal="left" vertical="center" wrapText="1" indent="2"/>
    </xf>
    <xf numFmtId="0" fontId="15" fillId="54" borderId="0" xfId="0" applyFont="1" applyFill="1" applyAlignment="1">
      <alignment vertical="top" wrapText="1"/>
    </xf>
    <xf numFmtId="0" fontId="15" fillId="54" borderId="64" xfId="0" applyFont="1" applyFill="1" applyBorder="1" applyAlignment="1">
      <alignment vertical="top" wrapText="1"/>
    </xf>
    <xf numFmtId="0" fontId="15" fillId="54" borderId="27" xfId="0" applyFont="1" applyFill="1" applyBorder="1" applyAlignment="1">
      <alignment vertical="top" wrapText="1"/>
    </xf>
    <xf numFmtId="0" fontId="15" fillId="54" borderId="61" xfId="0" applyFont="1" applyFill="1" applyBorder="1" applyAlignment="1">
      <alignment vertical="top" wrapText="1"/>
    </xf>
    <xf numFmtId="0" fontId="84" fillId="54" borderId="58" xfId="0" applyFont="1" applyFill="1" applyBorder="1" applyAlignment="1">
      <alignment vertical="center" wrapText="1"/>
    </xf>
    <xf numFmtId="0" fontId="84" fillId="54" borderId="59" xfId="0" applyFont="1" applyFill="1" applyBorder="1" applyAlignment="1">
      <alignment vertical="center" wrapText="1"/>
    </xf>
    <xf numFmtId="0" fontId="15" fillId="13" borderId="73" xfId="0" applyFont="1" applyFill="1" applyBorder="1" applyAlignment="1">
      <alignment vertical="center" wrapText="1"/>
    </xf>
    <xf numFmtId="0" fontId="34" fillId="13" borderId="73" xfId="0" applyFont="1" applyFill="1" applyBorder="1" applyAlignment="1">
      <alignment vertical="center" wrapText="1"/>
    </xf>
    <xf numFmtId="0" fontId="15" fillId="13" borderId="0" xfId="0" applyFont="1" applyFill="1" applyAlignment="1">
      <alignment horizontal="left" vertical="center" wrapText="1" indent="4"/>
    </xf>
    <xf numFmtId="0" fontId="15" fillId="13" borderId="64" xfId="0" applyFont="1" applyFill="1" applyBorder="1" applyAlignment="1">
      <alignment horizontal="left" vertical="center" wrapText="1" indent="4"/>
    </xf>
    <xf numFmtId="0" fontId="15" fillId="13" borderId="27" xfId="0" applyFont="1" applyFill="1" applyBorder="1" applyAlignment="1">
      <alignment horizontal="left" vertical="center" wrapText="1" indent="4"/>
    </xf>
    <xf numFmtId="0" fontId="15" fillId="13" borderId="61" xfId="0" applyFont="1" applyFill="1" applyBorder="1" applyAlignment="1">
      <alignment horizontal="left" vertical="center" wrapText="1" indent="4"/>
    </xf>
    <xf numFmtId="0" fontId="84" fillId="59" borderId="60" xfId="0" applyFont="1" applyFill="1" applyBorder="1" applyAlignment="1">
      <alignment horizontal="center" vertical="center" wrapText="1"/>
    </xf>
    <xf numFmtId="0" fontId="84" fillId="59" borderId="57" xfId="0" applyFont="1" applyFill="1" applyBorder="1" applyAlignment="1">
      <alignment horizontal="center" vertical="center" wrapText="1"/>
    </xf>
    <xf numFmtId="0" fontId="34" fillId="13" borderId="58" xfId="0" applyFont="1" applyFill="1" applyBorder="1" applyAlignment="1">
      <alignment horizontal="left" vertical="center" wrapText="1" indent="2"/>
    </xf>
    <xf numFmtId="0" fontId="34" fillId="13" borderId="59" xfId="0" applyFont="1" applyFill="1" applyBorder="1" applyAlignment="1">
      <alignment horizontal="left" vertical="center" wrapText="1" indent="2"/>
    </xf>
    <xf numFmtId="0" fontId="15" fillId="13" borderId="27" xfId="0" applyFont="1" applyFill="1" applyBorder="1" applyAlignment="1">
      <alignment horizontal="left" vertical="center" wrapText="1" indent="1"/>
    </xf>
    <xf numFmtId="0" fontId="15" fillId="13" borderId="61" xfId="0" applyFont="1" applyFill="1" applyBorder="1" applyAlignment="1">
      <alignment horizontal="left" vertical="center" wrapText="1" indent="1"/>
    </xf>
    <xf numFmtId="0" fontId="15" fillId="13" borderId="56" xfId="0" applyFont="1" applyFill="1" applyBorder="1" applyAlignment="1">
      <alignment vertical="top" wrapText="1"/>
    </xf>
    <xf numFmtId="0" fontId="15" fillId="13" borderId="57" xfId="0" applyFont="1" applyFill="1" applyBorder="1" applyAlignment="1">
      <alignment vertical="top" wrapText="1"/>
    </xf>
    <xf numFmtId="0" fontId="84" fillId="59" borderId="56" xfId="0" applyFont="1" applyFill="1" applyBorder="1" applyAlignment="1">
      <alignment horizontal="center" vertical="center" wrapText="1"/>
    </xf>
    <xf numFmtId="0" fontId="129" fillId="54" borderId="67" xfId="0" applyFont="1" applyFill="1" applyBorder="1" applyAlignment="1">
      <alignment vertical="center" wrapText="1"/>
    </xf>
    <xf numFmtId="0" fontId="129" fillId="54" borderId="68" xfId="0" applyFont="1" applyFill="1" applyBorder="1" applyAlignment="1">
      <alignment vertical="center" wrapText="1"/>
    </xf>
    <xf numFmtId="0" fontId="19" fillId="0" borderId="2" xfId="0" applyFont="1" applyBorder="1" applyAlignment="1">
      <alignment horizontal="center" vertical="top"/>
    </xf>
    <xf numFmtId="0" fontId="19" fillId="0" borderId="4" xfId="0" applyFont="1" applyBorder="1" applyAlignment="1">
      <alignment horizontal="center" vertical="top"/>
    </xf>
    <xf numFmtId="0" fontId="19" fillId="0" borderId="3" xfId="0" applyFont="1" applyBorder="1" applyAlignment="1">
      <alignment horizontal="center" vertical="top"/>
    </xf>
    <xf numFmtId="0" fontId="15" fillId="13" borderId="58" xfId="0" applyFont="1" applyFill="1" applyBorder="1" applyAlignment="1">
      <alignment horizontal="left" vertical="center" wrapText="1" indent="1"/>
    </xf>
    <xf numFmtId="0" fontId="15" fillId="13" borderId="59" xfId="0" applyFont="1" applyFill="1" applyBorder="1" applyAlignment="1">
      <alignment horizontal="left" vertical="center" wrapText="1" indent="1"/>
    </xf>
    <xf numFmtId="0" fontId="15" fillId="13" borderId="0" xfId="0" applyFont="1" applyFill="1" applyAlignment="1">
      <alignment vertical="top" wrapText="1"/>
    </xf>
    <xf numFmtId="0" fontId="15" fillId="13" borderId="27" xfId="0" applyFont="1" applyFill="1" applyBorder="1" applyAlignment="1">
      <alignment horizontal="left" vertical="center" wrapText="1" indent="3"/>
    </xf>
    <xf numFmtId="0" fontId="15" fillId="13" borderId="61" xfId="0" applyFont="1" applyFill="1" applyBorder="1" applyAlignment="1">
      <alignment horizontal="left" vertical="center" wrapText="1" indent="3"/>
    </xf>
    <xf numFmtId="0" fontId="76" fillId="13" borderId="1" xfId="0" applyFont="1" applyFill="1" applyBorder="1" applyAlignment="1">
      <alignment vertical="center" wrapText="1"/>
    </xf>
    <xf numFmtId="0" fontId="76" fillId="54" borderId="15" xfId="0" applyFont="1" applyFill="1" applyBorder="1" applyAlignment="1">
      <alignment horizontal="left" vertical="center" wrapText="1"/>
    </xf>
    <xf numFmtId="0" fontId="76" fillId="54" borderId="1" xfId="0" applyFont="1" applyFill="1" applyBorder="1" applyAlignment="1">
      <alignment horizontal="left" vertical="center" wrapText="1"/>
    </xf>
    <xf numFmtId="0" fontId="19" fillId="0" borderId="15" xfId="0" applyFont="1" applyBorder="1" applyAlignment="1">
      <alignment horizontal="left" vertical="center" wrapText="1"/>
    </xf>
    <xf numFmtId="0" fontId="19" fillId="0" borderId="1" xfId="0" applyFont="1" applyBorder="1" applyAlignment="1">
      <alignment horizontal="left" vertical="center" wrapText="1"/>
    </xf>
    <xf numFmtId="0" fontId="76" fillId="52" borderId="11" xfId="0" applyFont="1" applyFill="1" applyBorder="1" applyAlignment="1">
      <alignment horizontal="left" vertical="center" wrapText="1"/>
    </xf>
    <xf numFmtId="0" fontId="76" fillId="52" borderId="15" xfId="0" applyFont="1" applyFill="1" applyBorder="1" applyAlignment="1">
      <alignment horizontal="left" vertical="center" wrapText="1"/>
    </xf>
    <xf numFmtId="0" fontId="76" fillId="55" borderId="14" xfId="0" applyFont="1" applyFill="1" applyBorder="1" applyAlignment="1">
      <alignment horizontal="left" vertical="center" wrapText="1"/>
    </xf>
    <xf numFmtId="0" fontId="76" fillId="55" borderId="11" xfId="0" applyFont="1" applyFill="1" applyBorder="1" applyAlignment="1">
      <alignment horizontal="left" vertical="center" wrapText="1"/>
    </xf>
    <xf numFmtId="0" fontId="76" fillId="55" borderId="15"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2" xfId="0" applyFont="1" applyBorder="1" applyAlignment="1">
      <alignment horizontal="left" vertical="center" wrapText="1"/>
    </xf>
    <xf numFmtId="0" fontId="19" fillId="13" borderId="1" xfId="0" applyFont="1" applyFill="1" applyBorder="1" applyAlignment="1">
      <alignment vertical="center" wrapText="1"/>
    </xf>
    <xf numFmtId="0" fontId="76" fillId="52" borderId="10" xfId="0" applyFont="1" applyFill="1" applyBorder="1" applyAlignment="1">
      <alignment horizontal="left" vertical="center" wrapText="1"/>
    </xf>
    <xf numFmtId="0" fontId="76" fillId="52" borderId="17" xfId="0" applyFont="1" applyFill="1" applyBorder="1" applyAlignment="1">
      <alignment horizontal="left" vertical="center" wrapText="1"/>
    </xf>
    <xf numFmtId="0" fontId="19" fillId="52" borderId="11" xfId="0" applyFont="1" applyFill="1" applyBorder="1" applyAlignment="1">
      <alignment horizontal="left" vertical="center" wrapText="1"/>
    </xf>
    <xf numFmtId="0" fontId="19" fillId="52" borderId="15" xfId="0" applyFont="1" applyFill="1" applyBorder="1" applyAlignment="1">
      <alignment horizontal="left" vertical="center" wrapText="1"/>
    </xf>
    <xf numFmtId="0" fontId="76" fillId="53" borderId="14" xfId="0" applyFont="1" applyFill="1" applyBorder="1" applyAlignment="1">
      <alignment horizontal="left" vertical="center" wrapText="1"/>
    </xf>
    <xf numFmtId="0" fontId="76" fillId="53" borderId="11" xfId="0" applyFont="1" applyFill="1" applyBorder="1" applyAlignment="1">
      <alignment horizontal="left" vertical="center" wrapText="1"/>
    </xf>
    <xf numFmtId="0" fontId="76" fillId="53" borderId="15" xfId="0" applyFont="1" applyFill="1" applyBorder="1" applyAlignment="1">
      <alignment horizontal="left" vertical="center" wrapText="1"/>
    </xf>
    <xf numFmtId="0" fontId="19" fillId="13" borderId="15" xfId="0" applyFont="1" applyFill="1" applyBorder="1" applyAlignment="1">
      <alignment horizontal="left" vertical="center" wrapText="1"/>
    </xf>
    <xf numFmtId="0" fontId="19" fillId="13" borderId="1" xfId="0" applyFont="1" applyFill="1" applyBorder="1" applyAlignment="1">
      <alignment horizontal="left" vertical="center" wrapText="1"/>
    </xf>
    <xf numFmtId="0" fontId="19" fillId="38" borderId="15" xfId="0" applyFont="1" applyFill="1" applyBorder="1" applyAlignment="1">
      <alignment horizontal="left" vertical="center" wrapText="1"/>
    </xf>
    <xf numFmtId="0" fontId="19" fillId="38" borderId="1" xfId="0" applyFont="1" applyFill="1" applyBorder="1" applyAlignment="1">
      <alignment horizontal="left" vertical="center" wrapText="1"/>
    </xf>
    <xf numFmtId="0" fontId="76" fillId="0" borderId="15" xfId="0" applyFont="1" applyBorder="1" applyAlignment="1">
      <alignment horizontal="left" vertical="center" wrapText="1"/>
    </xf>
    <xf numFmtId="0" fontId="76" fillId="0" borderId="1" xfId="0" applyFont="1" applyBorder="1" applyAlignment="1">
      <alignment horizontal="left" vertical="center" wrapText="1"/>
    </xf>
    <xf numFmtId="0" fontId="76" fillId="58" borderId="15" xfId="0" applyFont="1" applyFill="1" applyBorder="1" applyAlignment="1">
      <alignment horizontal="left" vertical="center" wrapText="1"/>
    </xf>
    <xf numFmtId="0" fontId="76" fillId="58" borderId="1" xfId="0" applyFont="1" applyFill="1" applyBorder="1" applyAlignment="1">
      <alignment horizontal="left" vertical="center" wrapText="1"/>
    </xf>
    <xf numFmtId="0" fontId="76" fillId="55" borderId="14" xfId="0" applyFont="1" applyFill="1" applyBorder="1" applyAlignment="1">
      <alignment vertical="center" wrapText="1"/>
    </xf>
    <xf numFmtId="0" fontId="76" fillId="55" borderId="11" xfId="0" applyFont="1" applyFill="1" applyBorder="1" applyAlignment="1">
      <alignment vertical="center" wrapText="1"/>
    </xf>
    <xf numFmtId="0" fontId="76" fillId="54" borderId="15" xfId="0" applyFont="1" applyFill="1" applyBorder="1" applyAlignment="1">
      <alignment horizontal="center" vertical="center" wrapText="1"/>
    </xf>
    <xf numFmtId="0" fontId="76" fillId="54" borderId="1" xfId="0" applyFont="1" applyFill="1" applyBorder="1" applyAlignment="1">
      <alignment horizontal="center" vertical="center" wrapText="1"/>
    </xf>
    <xf numFmtId="0" fontId="76" fillId="13" borderId="1" xfId="0" applyFont="1" applyFill="1" applyBorder="1" applyAlignment="1">
      <alignment horizontal="left" vertical="center" wrapText="1"/>
    </xf>
    <xf numFmtId="0" fontId="76" fillId="54" borderId="11" xfId="0" applyFont="1" applyFill="1" applyBorder="1" applyAlignment="1">
      <alignment horizontal="left" vertical="center" wrapText="1"/>
    </xf>
    <xf numFmtId="0" fontId="19" fillId="0" borderId="15"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19" fillId="13" borderId="2" xfId="0" applyFont="1" applyFill="1" applyBorder="1" applyAlignment="1">
      <alignment horizontal="center" vertical="center" wrapText="1"/>
    </xf>
    <xf numFmtId="0" fontId="19" fillId="13" borderId="3" xfId="0" applyFont="1" applyFill="1" applyBorder="1" applyAlignment="1">
      <alignment horizontal="center" vertical="center" wrapText="1"/>
    </xf>
    <xf numFmtId="0" fontId="76" fillId="54" borderId="10" xfId="0" applyFont="1" applyFill="1" applyBorder="1" applyAlignment="1">
      <alignment horizontal="left" vertical="center" wrapText="1"/>
    </xf>
    <xf numFmtId="0" fontId="76" fillId="54" borderId="17" xfId="0" applyFont="1" applyFill="1" applyBorder="1" applyAlignment="1">
      <alignment horizontal="left" vertical="center" wrapText="1"/>
    </xf>
    <xf numFmtId="0" fontId="19" fillId="13" borderId="54" xfId="0" applyFont="1" applyFill="1" applyBorder="1" applyAlignment="1">
      <alignment vertical="center" wrapText="1"/>
    </xf>
    <xf numFmtId="0" fontId="19" fillId="13" borderId="55" xfId="0" applyFont="1" applyFill="1" applyBorder="1" applyAlignment="1">
      <alignment vertical="center" wrapText="1"/>
    </xf>
    <xf numFmtId="0" fontId="76" fillId="13" borderId="54" xfId="0" applyFont="1" applyFill="1" applyBorder="1" applyAlignment="1">
      <alignment vertical="center" wrapText="1"/>
    </xf>
    <xf numFmtId="0" fontId="76" fillId="13" borderId="55" xfId="0" applyFont="1" applyFill="1" applyBorder="1" applyAlignment="1">
      <alignment vertical="center" wrapText="1"/>
    </xf>
    <xf numFmtId="0" fontId="76" fillId="52" borderId="12" xfId="0" applyFont="1" applyFill="1" applyBorder="1" applyAlignment="1">
      <alignment horizontal="left" vertical="center" wrapText="1"/>
    </xf>
    <xf numFmtId="0" fontId="76" fillId="52" borderId="23" xfId="0" applyFont="1" applyFill="1" applyBorder="1" applyAlignment="1">
      <alignment horizontal="left" vertical="center" wrapText="1"/>
    </xf>
    <xf numFmtId="0" fontId="76" fillId="55" borderId="22" xfId="0" applyFont="1" applyFill="1" applyBorder="1" applyAlignment="1">
      <alignment horizontal="left" vertical="center" wrapText="1"/>
    </xf>
    <xf numFmtId="0" fontId="76" fillId="55" borderId="12" xfId="0" applyFont="1" applyFill="1" applyBorder="1" applyAlignment="1">
      <alignment horizontal="left" vertical="center" wrapText="1"/>
    </xf>
    <xf numFmtId="0" fontId="76" fillId="55" borderId="23" xfId="0" applyFont="1" applyFill="1" applyBorder="1" applyAlignment="1">
      <alignment horizontal="left" vertical="center" wrapText="1"/>
    </xf>
    <xf numFmtId="0" fontId="76" fillId="38" borderId="11" xfId="0" applyFont="1" applyFill="1" applyBorder="1" applyAlignment="1">
      <alignment horizontal="left" vertical="center" wrapText="1"/>
    </xf>
    <xf numFmtId="0" fontId="76" fillId="38" borderId="15" xfId="0" applyFont="1" applyFill="1" applyBorder="1" applyAlignment="1">
      <alignment horizontal="left" vertical="center" wrapText="1"/>
    </xf>
    <xf numFmtId="0" fontId="76" fillId="4" borderId="10" xfId="0" applyFont="1" applyFill="1" applyBorder="1" applyAlignment="1">
      <alignment horizontal="left" vertical="center" wrapText="1"/>
    </xf>
    <xf numFmtId="0" fontId="76" fillId="4" borderId="0" xfId="0" applyFont="1" applyFill="1" applyAlignment="1">
      <alignment horizontal="left" vertical="center" wrapText="1"/>
    </xf>
    <xf numFmtId="0" fontId="76" fillId="4" borderId="21" xfId="0" applyFont="1" applyFill="1" applyBorder="1" applyAlignment="1">
      <alignment horizontal="left" vertical="center" wrapText="1"/>
    </xf>
    <xf numFmtId="0" fontId="76" fillId="13" borderId="10" xfId="0" applyFont="1" applyFill="1" applyBorder="1" applyAlignment="1">
      <alignment horizontal="center" vertical="center" wrapText="1"/>
    </xf>
    <xf numFmtId="0" fontId="76" fillId="13" borderId="17" xfId="0" applyFont="1" applyFill="1" applyBorder="1" applyAlignment="1">
      <alignment horizontal="center" vertical="center" wrapText="1"/>
    </xf>
    <xf numFmtId="0" fontId="76" fillId="13" borderId="12" xfId="0" applyFont="1" applyFill="1" applyBorder="1" applyAlignment="1">
      <alignment horizontal="center" vertical="center" wrapText="1"/>
    </xf>
    <xf numFmtId="0" fontId="76" fillId="13" borderId="23" xfId="0" applyFont="1" applyFill="1" applyBorder="1" applyAlignment="1">
      <alignment horizontal="center" vertical="center" wrapText="1"/>
    </xf>
    <xf numFmtId="0" fontId="19" fillId="52" borderId="10" xfId="0" applyFont="1" applyFill="1" applyBorder="1" applyAlignment="1">
      <alignment horizontal="left" vertical="center" wrapText="1"/>
    </xf>
    <xf numFmtId="0" fontId="19" fillId="52" borderId="17" xfId="0" applyFont="1" applyFill="1" applyBorder="1" applyAlignment="1">
      <alignment horizontal="left" vertical="center" wrapText="1"/>
    </xf>
    <xf numFmtId="0" fontId="76" fillId="54" borderId="11" xfId="0" applyFont="1" applyFill="1" applyBorder="1" applyAlignment="1">
      <alignment horizontal="center" vertical="center" wrapText="1"/>
    </xf>
    <xf numFmtId="0" fontId="76" fillId="12" borderId="14" xfId="0" applyFont="1" applyFill="1" applyBorder="1" applyAlignment="1">
      <alignment horizontal="left" vertical="center" wrapText="1"/>
    </xf>
    <xf numFmtId="0" fontId="76" fillId="12" borderId="11" xfId="0" applyFont="1" applyFill="1" applyBorder="1" applyAlignment="1">
      <alignment horizontal="left" vertical="center" wrapText="1"/>
    </xf>
    <xf numFmtId="0" fontId="76" fillId="12" borderId="15" xfId="0" applyFont="1" applyFill="1" applyBorder="1" applyAlignment="1">
      <alignment horizontal="left" vertical="center" wrapText="1"/>
    </xf>
    <xf numFmtId="0" fontId="76" fillId="54" borderId="14" xfId="0" applyFont="1" applyFill="1" applyBorder="1" applyAlignment="1">
      <alignment horizontal="left" vertical="center" wrapText="1"/>
    </xf>
    <xf numFmtId="0" fontId="76" fillId="58" borderId="14" xfId="0" applyFont="1" applyFill="1" applyBorder="1" applyAlignment="1">
      <alignment horizontal="left" vertical="center" wrapText="1"/>
    </xf>
    <xf numFmtId="0" fontId="76" fillId="58" borderId="11" xfId="0" applyFont="1" applyFill="1" applyBorder="1" applyAlignment="1">
      <alignment horizontal="left" vertical="center" wrapText="1"/>
    </xf>
    <xf numFmtId="0" fontId="76" fillId="12" borderId="14" xfId="0" applyFont="1" applyFill="1" applyBorder="1" applyAlignment="1">
      <alignment horizontal="center" vertical="center" wrapText="1"/>
    </xf>
    <xf numFmtId="0" fontId="76" fillId="12" borderId="11" xfId="0" applyFont="1" applyFill="1" applyBorder="1" applyAlignment="1">
      <alignment horizontal="center" vertical="center" wrapText="1"/>
    </xf>
    <xf numFmtId="0" fontId="76" fillId="57" borderId="14" xfId="0" applyFont="1" applyFill="1" applyBorder="1" applyAlignment="1">
      <alignment horizontal="left" vertical="center" wrapText="1"/>
    </xf>
    <xf numFmtId="0" fontId="76" fillId="57" borderId="11" xfId="0" applyFont="1" applyFill="1" applyBorder="1" applyAlignment="1">
      <alignment horizontal="left" vertical="center" wrapText="1"/>
    </xf>
    <xf numFmtId="0" fontId="76" fillId="57" borderId="15" xfId="0" applyFont="1" applyFill="1" applyBorder="1" applyAlignment="1">
      <alignment horizontal="left" vertical="center" wrapText="1"/>
    </xf>
    <xf numFmtId="0" fontId="16" fillId="0" borderId="0" xfId="0" applyFont="1" applyAlignment="1">
      <alignment horizontal="left" vertical="center"/>
    </xf>
    <xf numFmtId="0" fontId="20" fillId="32" borderId="11" xfId="0" applyFont="1" applyFill="1" applyBorder="1" applyAlignment="1">
      <alignment horizontal="center" vertical="center"/>
    </xf>
    <xf numFmtId="0" fontId="28" fillId="0" borderId="0" xfId="0" applyFont="1" applyAlignment="1">
      <alignment horizontal="left" vertical="top" wrapText="1"/>
    </xf>
    <xf numFmtId="0" fontId="28" fillId="0" borderId="12" xfId="0" applyFont="1" applyBorder="1" applyAlignment="1">
      <alignment horizontal="left" wrapText="1"/>
    </xf>
    <xf numFmtId="0" fontId="16" fillId="0" borderId="1" xfId="0" applyFont="1" applyBorder="1" applyAlignment="1">
      <alignment horizontal="center" vertical="center" wrapText="1"/>
    </xf>
    <xf numFmtId="0" fontId="20" fillId="32" borderId="6" xfId="0" applyFont="1" applyFill="1" applyBorder="1" applyAlignment="1">
      <alignment horizontal="left" vertical="top" wrapText="1"/>
    </xf>
    <xf numFmtId="0" fontId="20" fillId="32" borderId="7" xfId="0" applyFont="1" applyFill="1" applyBorder="1" applyAlignment="1">
      <alignment horizontal="left" vertical="top" wrapText="1"/>
    </xf>
    <xf numFmtId="0" fontId="28" fillId="32" borderId="7" xfId="0" applyFont="1" applyFill="1" applyBorder="1" applyAlignment="1">
      <alignment horizontal="left" vertical="top" wrapText="1"/>
    </xf>
    <xf numFmtId="0" fontId="28" fillId="32" borderId="8" xfId="0" applyFont="1" applyFill="1" applyBorder="1" applyAlignment="1">
      <alignment horizontal="left" vertical="top" wrapText="1"/>
    </xf>
    <xf numFmtId="0" fontId="20" fillId="32" borderId="8" xfId="0" applyFont="1" applyFill="1" applyBorder="1" applyAlignment="1">
      <alignment horizontal="left" vertical="top" wrapText="1"/>
    </xf>
    <xf numFmtId="0" fontId="7" fillId="61" borderId="0" xfId="0" applyFont="1" applyFill="1" applyAlignment="1">
      <alignment horizontal="center" vertical="center" wrapText="1"/>
    </xf>
    <xf numFmtId="0" fontId="16" fillId="61" borderId="6" xfId="0" applyFont="1" applyFill="1" applyBorder="1" applyAlignment="1">
      <alignment horizontal="left" vertical="top"/>
    </xf>
    <xf numFmtId="0" fontId="58" fillId="61" borderId="8" xfId="0" applyFont="1" applyFill="1" applyBorder="1" applyAlignment="1">
      <alignment horizontal="left" vertical="top"/>
    </xf>
    <xf numFmtId="0" fontId="58" fillId="61" borderId="7" xfId="0" applyFont="1" applyFill="1" applyBorder="1" applyAlignment="1">
      <alignment horizontal="left" vertical="top"/>
    </xf>
    <xf numFmtId="0" fontId="20" fillId="61" borderId="10" xfId="0" applyFont="1" applyFill="1" applyBorder="1" applyAlignment="1">
      <alignment horizontal="center" vertical="center" wrapText="1"/>
    </xf>
    <xf numFmtId="0" fontId="20" fillId="61" borderId="12" xfId="0" applyFont="1" applyFill="1" applyBorder="1" applyAlignment="1">
      <alignment horizontal="center" vertical="center" wrapText="1"/>
    </xf>
    <xf numFmtId="0" fontId="20" fillId="61" borderId="11" xfId="0" applyFont="1" applyFill="1" applyBorder="1" applyAlignment="1">
      <alignment horizontal="center" vertical="center" wrapText="1"/>
    </xf>
    <xf numFmtId="0" fontId="16" fillId="61" borderId="8" xfId="0" applyFont="1" applyFill="1" applyBorder="1" applyAlignment="1">
      <alignment horizontal="left" vertical="top"/>
    </xf>
    <xf numFmtId="0" fontId="16" fillId="61" borderId="12" xfId="0" applyFont="1" applyFill="1" applyBorder="1" applyAlignment="1">
      <alignment horizontal="center" vertical="center"/>
    </xf>
    <xf numFmtId="0" fontId="16" fillId="61" borderId="6" xfId="0" applyFont="1" applyFill="1" applyBorder="1" applyAlignment="1">
      <alignment horizontal="left" vertical="top" wrapText="1"/>
    </xf>
    <xf numFmtId="0" fontId="16" fillId="61" borderId="7" xfId="0" applyFont="1" applyFill="1" applyBorder="1" applyAlignment="1">
      <alignment horizontal="left" vertical="top"/>
    </xf>
    <xf numFmtId="0" fontId="20" fillId="6" borderId="16" xfId="0" applyFont="1" applyFill="1" applyBorder="1" applyAlignment="1">
      <alignment horizontal="left" vertical="top" wrapText="1"/>
    </xf>
    <xf numFmtId="0" fontId="20" fillId="6" borderId="17" xfId="0" applyFont="1" applyFill="1" applyBorder="1" applyAlignment="1">
      <alignment horizontal="left" vertical="top" wrapText="1"/>
    </xf>
    <xf numFmtId="199" fontId="20" fillId="0" borderId="0" xfId="28" applyNumberFormat="1" applyFont="1" applyAlignment="1">
      <alignment horizontal="left"/>
    </xf>
    <xf numFmtId="199" fontId="20" fillId="0" borderId="0" xfId="28" applyNumberFormat="1" applyFont="1" applyAlignment="1" applyProtection="1">
      <alignment horizontal="left"/>
      <protection locked="0"/>
    </xf>
    <xf numFmtId="0" fontId="28" fillId="0" borderId="10" xfId="0" applyFont="1" applyBorder="1" applyAlignment="1">
      <alignment horizontal="left" vertical="center" wrapText="1"/>
    </xf>
    <xf numFmtId="0" fontId="28" fillId="0" borderId="0" xfId="0" applyFont="1" applyAlignment="1">
      <alignment vertical="center"/>
    </xf>
    <xf numFmtId="0" fontId="20" fillId="6" borderId="2" xfId="0" applyFont="1" applyFill="1" applyBorder="1" applyAlignment="1">
      <alignment horizontal="left" vertical="center"/>
    </xf>
    <xf numFmtId="0" fontId="20" fillId="6" borderId="3" xfId="0" applyFont="1" applyFill="1" applyBorder="1" applyAlignment="1">
      <alignment horizontal="left" vertical="center"/>
    </xf>
    <xf numFmtId="0" fontId="28" fillId="0" borderId="0" xfId="23" applyFont="1" applyAlignment="1">
      <alignment horizontal="left" wrapText="1"/>
    </xf>
    <xf numFmtId="0" fontId="16" fillId="0" borderId="0" xfId="23" applyFont="1" applyAlignment="1">
      <alignment horizontal="left" vertical="center" wrapText="1"/>
    </xf>
    <xf numFmtId="0" fontId="28" fillId="0" borderId="10" xfId="23" applyFont="1" applyBorder="1" applyAlignment="1">
      <alignment horizontal="left" wrapText="1"/>
    </xf>
    <xf numFmtId="0" fontId="28" fillId="0" borderId="0" xfId="23" applyFont="1" applyAlignment="1">
      <alignment horizontal="left" vertical="center" wrapText="1"/>
    </xf>
    <xf numFmtId="0" fontId="28" fillId="0" borderId="10" xfId="0" applyFont="1" applyBorder="1" applyAlignment="1">
      <alignment horizontal="left" wrapText="1"/>
    </xf>
    <xf numFmtId="0" fontId="28" fillId="0" borderId="0" xfId="23" applyFont="1" applyAlignment="1">
      <alignment horizontal="left" vertical="top" wrapText="1"/>
    </xf>
    <xf numFmtId="0" fontId="20" fillId="61" borderId="6" xfId="0" applyFont="1" applyFill="1" applyBorder="1" applyAlignment="1">
      <alignment horizontal="left" vertical="top"/>
    </xf>
    <xf numFmtId="0" fontId="28" fillId="61" borderId="8" xfId="0" applyFont="1" applyFill="1" applyBorder="1" applyAlignment="1">
      <alignment horizontal="left" vertical="top"/>
    </xf>
    <xf numFmtId="0" fontId="20" fillId="61" borderId="7" xfId="0" applyFont="1" applyFill="1" applyBorder="1" applyAlignment="1">
      <alignment horizontal="left" vertical="top"/>
    </xf>
    <xf numFmtId="0" fontId="20" fillId="61" borderId="8" xfId="0" applyFont="1" applyFill="1" applyBorder="1" applyAlignment="1">
      <alignment horizontal="left" vertical="top"/>
    </xf>
    <xf numFmtId="0" fontId="20" fillId="61" borderId="10" xfId="0" applyFont="1" applyFill="1" applyBorder="1" applyAlignment="1">
      <alignment horizontal="center" vertical="center"/>
    </xf>
    <xf numFmtId="0" fontId="20" fillId="61" borderId="12" xfId="0" applyFont="1" applyFill="1" applyBorder="1" applyAlignment="1">
      <alignment horizontal="center" vertical="center"/>
    </xf>
    <xf numFmtId="0" fontId="16" fillId="61" borderId="6" xfId="0" applyFont="1" applyFill="1" applyBorder="1" applyAlignment="1">
      <alignment horizontal="left" vertical="center" wrapText="1"/>
    </xf>
    <xf numFmtId="0" fontId="58" fillId="61" borderId="8" xfId="0" applyFont="1" applyFill="1" applyBorder="1" applyAlignment="1">
      <alignment horizontal="left" vertical="center" wrapText="1"/>
    </xf>
    <xf numFmtId="0" fontId="16" fillId="61" borderId="7" xfId="0" applyFont="1" applyFill="1" applyBorder="1" applyAlignment="1">
      <alignment horizontal="left" vertical="center" wrapText="1"/>
    </xf>
    <xf numFmtId="0" fontId="16" fillId="61" borderId="7" xfId="0" applyFont="1" applyFill="1" applyBorder="1" applyAlignment="1">
      <alignment horizontal="left" vertical="top" wrapText="1"/>
    </xf>
    <xf numFmtId="0" fontId="16" fillId="61" borderId="11" xfId="0" applyFont="1" applyFill="1" applyBorder="1" applyAlignment="1">
      <alignment horizontal="center" vertical="center"/>
    </xf>
    <xf numFmtId="0" fontId="7" fillId="63" borderId="0" xfId="0" applyFont="1" applyFill="1" applyAlignment="1">
      <alignment horizontal="center" vertical="center" wrapText="1"/>
    </xf>
    <xf numFmtId="0" fontId="20" fillId="0" borderId="75" xfId="0" applyFont="1" applyBorder="1" applyAlignment="1">
      <alignment horizontal="left" vertical="center" wrapText="1"/>
    </xf>
    <xf numFmtId="0" fontId="20" fillId="0" borderId="9" xfId="0" applyFont="1" applyBorder="1" applyAlignment="1">
      <alignment horizontal="left" vertical="center" wrapText="1"/>
    </xf>
    <xf numFmtId="0" fontId="16" fillId="63" borderId="6" xfId="0" applyFont="1" applyFill="1" applyBorder="1" applyAlignment="1">
      <alignment horizontal="left" vertical="top" wrapText="1"/>
    </xf>
    <xf numFmtId="0" fontId="16" fillId="63" borderId="8" xfId="0" applyFont="1" applyFill="1" applyBorder="1" applyAlignment="1">
      <alignment horizontal="left" vertical="top" wrapText="1"/>
    </xf>
    <xf numFmtId="0" fontId="16" fillId="63" borderId="5" xfId="0" applyFont="1" applyFill="1" applyBorder="1" applyAlignment="1">
      <alignment horizontal="left" vertical="top" wrapText="1"/>
    </xf>
    <xf numFmtId="0" fontId="16" fillId="0" borderId="0" xfId="0" applyFont="1" applyAlignment="1">
      <alignment horizontal="left"/>
    </xf>
    <xf numFmtId="0" fontId="16" fillId="63" borderId="12" xfId="0" applyFont="1" applyFill="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vertical="top" wrapText="1"/>
    </xf>
    <xf numFmtId="0" fontId="16" fillId="63" borderId="7" xfId="0" applyFont="1" applyFill="1" applyBorder="1" applyAlignment="1">
      <alignment horizontal="left" vertical="top" wrapText="1"/>
    </xf>
    <xf numFmtId="0" fontId="58" fillId="63" borderId="5" xfId="0" applyFont="1" applyFill="1" applyBorder="1" applyAlignment="1">
      <alignment horizontal="left" vertical="top" wrapText="1"/>
    </xf>
    <xf numFmtId="0" fontId="20" fillId="63" borderId="10" xfId="0" applyFont="1" applyFill="1" applyBorder="1" applyAlignment="1">
      <alignment horizontal="center" vertical="center" wrapText="1"/>
    </xf>
    <xf numFmtId="0" fontId="20" fillId="63" borderId="0" xfId="0" applyFont="1" applyFill="1" applyAlignment="1">
      <alignment horizontal="center" vertical="center" wrapText="1"/>
    </xf>
    <xf numFmtId="0" fontId="20" fillId="63" borderId="12" xfId="0" applyFont="1" applyFill="1" applyBorder="1" applyAlignment="1">
      <alignment horizontal="center" vertical="center" wrapText="1"/>
    </xf>
    <xf numFmtId="0" fontId="20" fillId="63" borderId="10" xfId="0" applyFont="1" applyFill="1" applyBorder="1" applyAlignment="1">
      <alignment horizontal="center" vertical="center"/>
    </xf>
    <xf numFmtId="0" fontId="20" fillId="63" borderId="0" xfId="0" applyFont="1" applyFill="1" applyAlignment="1">
      <alignment horizontal="center" vertical="center"/>
    </xf>
    <xf numFmtId="0" fontId="20" fillId="63" borderId="12" xfId="0" applyFont="1" applyFill="1" applyBorder="1" applyAlignment="1">
      <alignment horizontal="center" vertical="center"/>
    </xf>
    <xf numFmtId="0" fontId="20" fillId="63" borderId="10" xfId="22" applyFont="1" applyFill="1" applyBorder="1" applyAlignment="1">
      <alignment horizontal="center" vertical="center" wrapText="1"/>
    </xf>
    <xf numFmtId="0" fontId="20" fillId="63" borderId="0" xfId="22" applyFont="1" applyFill="1" applyAlignment="1">
      <alignment horizontal="center" vertical="center" wrapText="1"/>
    </xf>
    <xf numFmtId="0" fontId="20" fillId="63" borderId="12" xfId="22" applyFont="1" applyFill="1" applyBorder="1" applyAlignment="1">
      <alignment horizontal="center" vertical="center" wrapText="1"/>
    </xf>
    <xf numFmtId="0" fontId="28" fillId="0" borderId="0" xfId="0" applyFont="1" applyAlignment="1">
      <alignment horizontal="left"/>
    </xf>
    <xf numFmtId="0" fontId="20" fillId="63" borderId="11" xfId="0" applyFont="1" applyFill="1" applyBorder="1" applyAlignment="1">
      <alignment horizontal="center" vertical="center" wrapText="1"/>
    </xf>
    <xf numFmtId="0" fontId="16" fillId="63" borderId="5" xfId="0" applyFont="1" applyFill="1" applyBorder="1" applyAlignment="1">
      <alignment horizontal="left" vertical="top"/>
    </xf>
    <xf numFmtId="0" fontId="16" fillId="63" borderId="5" xfId="0" applyFont="1" applyFill="1" applyBorder="1" applyAlignment="1">
      <alignment horizontal="left" vertical="center" wrapText="1"/>
    </xf>
    <xf numFmtId="0" fontId="28" fillId="0" borderId="0" xfId="11" applyFont="1" applyAlignment="1">
      <alignment horizontal="left" wrapText="1"/>
    </xf>
    <xf numFmtId="0" fontId="6" fillId="0" borderId="0" xfId="0" applyFont="1" applyAlignment="1">
      <alignment horizontal="left" vertical="top"/>
    </xf>
    <xf numFmtId="0" fontId="6" fillId="6" borderId="0" xfId="0" applyFont="1" applyFill="1" applyAlignment="1">
      <alignment horizontal="center" vertical="center"/>
    </xf>
    <xf numFmtId="0" fontId="6" fillId="6" borderId="0" xfId="0" applyFont="1" applyFill="1" applyAlignment="1">
      <alignment horizontal="left" vertical="center"/>
    </xf>
    <xf numFmtId="0" fontId="20" fillId="63" borderId="11" xfId="30" applyFont="1" applyFill="1" applyBorder="1" applyAlignment="1">
      <alignment horizontal="center" vertical="center" wrapText="1"/>
    </xf>
    <xf numFmtId="0" fontId="20" fillId="63" borderId="11" xfId="30" applyFont="1" applyFill="1" applyBorder="1" applyAlignment="1">
      <alignment horizontal="center" vertical="center"/>
    </xf>
    <xf numFmtId="0" fontId="20" fillId="63" borderId="77" xfId="30" applyFont="1" applyFill="1" applyBorder="1" applyAlignment="1">
      <alignment horizontal="center" vertical="center"/>
    </xf>
    <xf numFmtId="0" fontId="20" fillId="63" borderId="78" xfId="30" applyFont="1" applyFill="1" applyBorder="1" applyAlignment="1">
      <alignment horizontal="center" vertical="center" wrapText="1"/>
    </xf>
    <xf numFmtId="0" fontId="20" fillId="63" borderId="5" xfId="0" applyFont="1" applyFill="1" applyBorder="1" applyAlignment="1">
      <alignment horizontal="left" vertical="top" wrapText="1"/>
    </xf>
    <xf numFmtId="0" fontId="20" fillId="0" borderId="0" xfId="30" applyFont="1" applyAlignment="1">
      <alignment horizontal="left" vertical="center" wrapText="1"/>
    </xf>
    <xf numFmtId="0" fontId="20" fillId="63" borderId="10" xfId="30" applyFont="1" applyFill="1" applyBorder="1" applyAlignment="1">
      <alignment horizontal="center" vertical="center" wrapText="1"/>
    </xf>
    <xf numFmtId="0" fontId="20" fillId="63" borderId="0" xfId="30" applyFont="1" applyFill="1" applyAlignment="1">
      <alignment horizontal="center" vertical="center" wrapText="1"/>
    </xf>
    <xf numFmtId="0" fontId="20" fillId="63" borderId="12" xfId="30" applyFont="1" applyFill="1" applyBorder="1" applyAlignment="1">
      <alignment horizontal="center" vertical="center" wrapText="1"/>
    </xf>
    <xf numFmtId="0" fontId="20" fillId="63" borderId="77" xfId="30" applyFont="1" applyFill="1" applyBorder="1" applyAlignment="1">
      <alignment horizontal="center" vertical="center" wrapText="1"/>
    </xf>
    <xf numFmtId="0" fontId="20" fillId="6" borderId="3" xfId="0" applyFont="1" applyFill="1" applyBorder="1" applyAlignment="1">
      <alignment horizontal="left" vertical="top" wrapText="1"/>
    </xf>
    <xf numFmtId="0" fontId="20" fillId="6" borderId="2" xfId="0" applyFont="1" applyFill="1" applyBorder="1" applyAlignment="1">
      <alignment horizontal="left" vertical="top"/>
    </xf>
    <xf numFmtId="0" fontId="20" fillId="6" borderId="81" xfId="0" applyFont="1" applyFill="1" applyBorder="1" applyAlignment="1">
      <alignment horizontal="left" vertical="top" wrapText="1"/>
    </xf>
    <xf numFmtId="0" fontId="20" fillId="6" borderId="82" xfId="0" applyFont="1" applyFill="1" applyBorder="1" applyAlignment="1">
      <alignment horizontal="left" vertical="top" wrapText="1"/>
    </xf>
    <xf numFmtId="0" fontId="6" fillId="0" borderId="10" xfId="0" applyFont="1" applyBorder="1" applyAlignment="1">
      <alignment vertical="top"/>
    </xf>
    <xf numFmtId="0" fontId="6" fillId="0" borderId="0" xfId="0" applyFont="1" applyAlignment="1">
      <alignment vertical="top"/>
    </xf>
    <xf numFmtId="0" fontId="20" fillId="63" borderId="78" xfId="30" applyFont="1" applyFill="1" applyBorder="1" applyAlignment="1">
      <alignment horizontal="center" vertical="center"/>
    </xf>
    <xf numFmtId="0" fontId="20" fillId="63" borderId="0" xfId="14" applyFont="1" applyFill="1" applyAlignment="1">
      <alignment horizontal="center" vertical="center" wrapText="1"/>
    </xf>
    <xf numFmtId="0" fontId="20" fillId="63" borderId="12" xfId="14" applyFont="1" applyFill="1" applyBorder="1" applyAlignment="1">
      <alignment horizontal="center" vertical="center" wrapText="1"/>
    </xf>
    <xf numFmtId="0" fontId="20" fillId="63" borderId="10" xfId="14" applyFont="1" applyFill="1" applyBorder="1" applyAlignment="1">
      <alignment horizontal="center" vertical="center" wrapText="1"/>
    </xf>
    <xf numFmtId="0" fontId="16" fillId="63" borderId="6" xfId="0" applyFont="1" applyFill="1" applyBorder="1" applyAlignment="1">
      <alignment horizontal="left" vertical="center" wrapText="1"/>
    </xf>
    <xf numFmtId="0" fontId="16" fillId="63" borderId="7" xfId="0" applyFont="1" applyFill="1" applyBorder="1" applyAlignment="1">
      <alignment horizontal="left" vertical="center" wrapText="1"/>
    </xf>
    <xf numFmtId="0" fontId="16" fillId="63" borderId="8" xfId="0" applyFont="1" applyFill="1" applyBorder="1" applyAlignment="1">
      <alignment horizontal="left" vertical="center" wrapText="1"/>
    </xf>
    <xf numFmtId="0" fontId="16" fillId="0" borderId="24" xfId="0" applyFont="1" applyBorder="1" applyAlignment="1">
      <alignment horizontal="left" vertical="top" wrapText="1"/>
    </xf>
    <xf numFmtId="0" fontId="20" fillId="63" borderId="9" xfId="0" applyFont="1" applyFill="1" applyBorder="1" applyAlignment="1">
      <alignment horizontal="center" vertical="center" wrapText="1"/>
    </xf>
    <xf numFmtId="0" fontId="20" fillId="63" borderId="24" xfId="0" applyFont="1" applyFill="1" applyBorder="1" applyAlignment="1">
      <alignment horizontal="center" vertical="center" wrapText="1"/>
    </xf>
    <xf numFmtId="0" fontId="20" fillId="63" borderId="7" xfId="0" applyFont="1" applyFill="1" applyBorder="1" applyAlignment="1">
      <alignment horizontal="center"/>
    </xf>
    <xf numFmtId="0" fontId="20" fillId="63" borderId="11" xfId="0" applyFont="1" applyFill="1" applyBorder="1" applyAlignment="1">
      <alignment horizontal="center" vertical="center"/>
    </xf>
    <xf numFmtId="0" fontId="20" fillId="63" borderId="24" xfId="0" applyFont="1" applyFill="1" applyBorder="1" applyAlignment="1">
      <alignment horizontal="center" vertical="center"/>
    </xf>
    <xf numFmtId="0" fontId="20" fillId="63" borderId="19" xfId="0" applyFont="1" applyFill="1" applyBorder="1" applyAlignment="1">
      <alignment horizontal="center" vertical="center"/>
    </xf>
    <xf numFmtId="0" fontId="20" fillId="0" borderId="0" xfId="0" applyFont="1" applyAlignment="1">
      <alignment horizontal="left" wrapText="1"/>
    </xf>
    <xf numFmtId="0" fontId="26" fillId="0" borderId="0" xfId="4" applyFont="1" applyAlignment="1"/>
    <xf numFmtId="0" fontId="0" fillId="0" borderId="0" xfId="0"/>
    <xf numFmtId="0" fontId="20" fillId="63" borderId="18" xfId="0" applyFont="1" applyFill="1" applyBorder="1" applyAlignment="1">
      <alignment horizontal="center"/>
    </xf>
    <xf numFmtId="0" fontId="28" fillId="0" borderId="0" xfId="0" applyFont="1" applyAlignment="1">
      <alignment horizontal="justify" vertical="top" wrapText="1"/>
    </xf>
    <xf numFmtId="0" fontId="26" fillId="0" borderId="0" xfId="4" applyFont="1" applyAlignment="1">
      <alignment vertical="top" wrapText="1"/>
    </xf>
    <xf numFmtId="0" fontId="28" fillId="0" borderId="0" xfId="0" applyFont="1" applyAlignment="1">
      <alignment vertical="top" wrapText="1"/>
    </xf>
    <xf numFmtId="0" fontId="4" fillId="0" borderId="0" xfId="4" applyBorder="1" applyAlignment="1">
      <alignment horizontal="left" vertical="center" wrapText="1"/>
    </xf>
    <xf numFmtId="0" fontId="0" fillId="0" borderId="0" xfId="0" applyAlignment="1">
      <alignment horizontal="left" vertical="center" wrapText="1"/>
    </xf>
    <xf numFmtId="0" fontId="28" fillId="0" borderId="0" xfId="0" applyFont="1" applyAlignment="1">
      <alignment horizontal="justify" vertical="center" wrapText="1"/>
    </xf>
    <xf numFmtId="0" fontId="26" fillId="0" borderId="0" xfId="4" applyFont="1" applyBorder="1" applyAlignment="1">
      <alignment horizontal="left" vertical="center"/>
    </xf>
    <xf numFmtId="0" fontId="4" fillId="0" borderId="0" xfId="4" applyBorder="1" applyAlignment="1">
      <alignment horizontal="left" vertical="center"/>
    </xf>
    <xf numFmtId="0" fontId="0" fillId="0" borderId="0" xfId="0" applyAlignment="1">
      <alignment horizontal="left" vertical="center"/>
    </xf>
    <xf numFmtId="0" fontId="28" fillId="0" borderId="10" xfId="0" applyFont="1" applyBorder="1" applyAlignment="1">
      <alignment horizontal="justify" vertical="center" wrapText="1"/>
    </xf>
    <xf numFmtId="0" fontId="28" fillId="0" borderId="10" xfId="0" applyFont="1" applyBorder="1" applyAlignment="1">
      <alignment horizontal="left" vertical="top" wrapText="1"/>
    </xf>
    <xf numFmtId="0" fontId="26" fillId="2" borderId="0" xfId="4" applyFont="1" applyFill="1" applyBorder="1" applyAlignment="1">
      <alignment horizontal="center" vertical="center" wrapText="1"/>
    </xf>
    <xf numFmtId="0" fontId="20" fillId="63" borderId="11" xfId="31" applyFont="1" applyFill="1" applyBorder="1" applyAlignment="1">
      <alignment horizontal="center" vertical="center" wrapText="1"/>
    </xf>
    <xf numFmtId="0" fontId="20" fillId="63" borderId="5" xfId="0" applyFont="1" applyFill="1" applyBorder="1" applyAlignment="1">
      <alignment horizontal="left" vertical="top"/>
    </xf>
    <xf numFmtId="0" fontId="7" fillId="64" borderId="0" xfId="0" applyFont="1" applyFill="1" applyAlignment="1">
      <alignment horizontal="center" vertical="center" wrapText="1"/>
    </xf>
    <xf numFmtId="0" fontId="16" fillId="64" borderId="6" xfId="0" applyFont="1" applyFill="1" applyBorder="1" applyAlignment="1">
      <alignment horizontal="left" vertical="top" wrapText="1"/>
    </xf>
    <xf numFmtId="0" fontId="58" fillId="64" borderId="8" xfId="0" applyFont="1" applyFill="1" applyBorder="1" applyAlignment="1">
      <alignment horizontal="left" vertical="top" wrapText="1"/>
    </xf>
    <xf numFmtId="0" fontId="58" fillId="64" borderId="7" xfId="0" applyFont="1" applyFill="1" applyBorder="1" applyAlignment="1">
      <alignment horizontal="left" vertical="top" wrapText="1"/>
    </xf>
    <xf numFmtId="0" fontId="16" fillId="64" borderId="8" xfId="0" applyFont="1" applyFill="1" applyBorder="1" applyAlignment="1">
      <alignment horizontal="left" vertical="top" wrapText="1"/>
    </xf>
    <xf numFmtId="0" fontId="16" fillId="64" borderId="12" xfId="0" applyFont="1" applyFill="1" applyBorder="1" applyAlignment="1">
      <alignment horizontal="center" vertical="center"/>
    </xf>
    <xf numFmtId="0" fontId="16" fillId="64" borderId="7" xfId="0" applyFont="1" applyFill="1" applyBorder="1" applyAlignment="1">
      <alignment horizontal="left" vertical="top" wrapText="1"/>
    </xf>
    <xf numFmtId="0" fontId="20" fillId="64" borderId="10" xfId="0" applyFont="1" applyFill="1" applyBorder="1" applyAlignment="1">
      <alignment horizontal="center" vertical="center" wrapText="1"/>
    </xf>
    <xf numFmtId="0" fontId="20" fillId="64" borderId="12" xfId="0" applyFont="1" applyFill="1" applyBorder="1" applyAlignment="1">
      <alignment horizontal="center" vertical="center" wrapText="1"/>
    </xf>
    <xf numFmtId="0" fontId="20" fillId="64" borderId="11" xfId="0" applyFont="1" applyFill="1" applyBorder="1" applyAlignment="1">
      <alignment horizontal="center" vertical="center" wrapText="1"/>
    </xf>
    <xf numFmtId="0" fontId="20" fillId="64" borderId="6" xfId="0" applyFont="1" applyFill="1" applyBorder="1" applyAlignment="1">
      <alignment horizontal="left" vertical="top" wrapText="1"/>
    </xf>
    <xf numFmtId="0" fontId="28" fillId="64" borderId="8" xfId="0" applyFont="1" applyFill="1" applyBorder="1" applyAlignment="1">
      <alignment horizontal="left" vertical="top" wrapText="1"/>
    </xf>
    <xf numFmtId="0" fontId="28" fillId="64" borderId="7" xfId="0" applyFont="1" applyFill="1" applyBorder="1" applyAlignment="1">
      <alignment horizontal="left" vertical="top" wrapText="1"/>
    </xf>
    <xf numFmtId="0" fontId="20" fillId="64" borderId="8" xfId="0" applyFont="1" applyFill="1" applyBorder="1" applyAlignment="1">
      <alignment horizontal="left" vertical="top" wrapText="1"/>
    </xf>
    <xf numFmtId="0" fontId="20" fillId="64" borderId="7" xfId="0" applyFont="1" applyFill="1" applyBorder="1" applyAlignment="1">
      <alignment horizontal="left" vertical="top" wrapText="1"/>
    </xf>
    <xf numFmtId="0" fontId="57" fillId="0" borderId="0" xfId="0" applyFont="1" applyAlignment="1">
      <alignment horizontal="left" vertical="center"/>
    </xf>
    <xf numFmtId="0" fontId="16" fillId="64" borderId="6" xfId="0" applyFont="1" applyFill="1" applyBorder="1" applyAlignment="1">
      <alignment horizontal="left" vertical="center" wrapText="1"/>
    </xf>
    <xf numFmtId="0" fontId="58" fillId="64" borderId="7" xfId="0" applyFont="1" applyFill="1" applyBorder="1" applyAlignment="1">
      <alignment horizontal="left" vertical="center" wrapText="1"/>
    </xf>
    <xf numFmtId="0" fontId="57" fillId="0" borderId="0" xfId="0" applyFont="1" applyAlignment="1">
      <alignment horizontal="left" vertical="center" wrapText="1"/>
    </xf>
    <xf numFmtId="0" fontId="16" fillId="64" borderId="0" xfId="0" applyFont="1" applyFill="1" applyAlignment="1">
      <alignment horizontal="center" vertical="center"/>
    </xf>
    <xf numFmtId="0" fontId="21" fillId="0" borderId="0" xfId="0" applyFont="1" applyAlignment="1">
      <alignment horizontal="left" vertical="center" wrapText="1"/>
    </xf>
    <xf numFmtId="0" fontId="20" fillId="64" borderId="10" xfId="0" applyFont="1" applyFill="1" applyBorder="1" applyAlignment="1">
      <alignment horizontal="center" vertical="center"/>
    </xf>
    <xf numFmtId="0" fontId="20" fillId="64" borderId="12" xfId="0" applyFont="1" applyFill="1" applyBorder="1" applyAlignment="1">
      <alignment horizontal="center" vertical="center"/>
    </xf>
    <xf numFmtId="37" fontId="20" fillId="64" borderId="11" xfId="0" applyNumberFormat="1" applyFont="1" applyFill="1" applyBorder="1" applyAlignment="1">
      <alignment horizontal="center" vertical="center"/>
    </xf>
    <xf numFmtId="37" fontId="20" fillId="64" borderId="11" xfId="0" applyNumberFormat="1" applyFont="1" applyFill="1" applyBorder="1" applyAlignment="1">
      <alignment horizontal="center" vertical="center" wrapText="1"/>
    </xf>
    <xf numFmtId="37" fontId="20" fillId="64" borderId="12" xfId="0" applyNumberFormat="1" applyFont="1" applyFill="1" applyBorder="1" applyAlignment="1">
      <alignment horizontal="center" vertical="center" wrapText="1"/>
    </xf>
    <xf numFmtId="0" fontId="16" fillId="64" borderId="5" xfId="0" applyFont="1" applyFill="1" applyBorder="1" applyAlignment="1">
      <alignment horizontal="left" vertical="top" wrapText="1"/>
    </xf>
    <xf numFmtId="0" fontId="58" fillId="64" borderId="5" xfId="0" applyFont="1" applyFill="1" applyBorder="1" applyAlignment="1">
      <alignment horizontal="left" vertical="top" wrapText="1"/>
    </xf>
    <xf numFmtId="0" fontId="20" fillId="64" borderId="0" xfId="0" applyFont="1" applyFill="1" applyAlignment="1">
      <alignment horizontal="center" vertical="center" wrapText="1"/>
    </xf>
    <xf numFmtId="0" fontId="20" fillId="64" borderId="11" xfId="0" applyFont="1" applyFill="1" applyBorder="1" applyAlignment="1">
      <alignment horizontal="center"/>
    </xf>
    <xf numFmtId="0" fontId="20" fillId="64" borderId="84" xfId="0" applyFont="1" applyFill="1" applyBorder="1" applyAlignment="1">
      <alignment horizontal="center" vertical="center" wrapText="1"/>
    </xf>
    <xf numFmtId="0" fontId="20" fillId="64" borderId="32" xfId="0" applyFont="1" applyFill="1" applyBorder="1" applyAlignment="1">
      <alignment horizontal="center" vertical="center" wrapText="1"/>
    </xf>
    <xf numFmtId="0" fontId="139" fillId="2" borderId="0" xfId="4" applyFont="1" applyFill="1" applyAlignment="1">
      <alignment horizontal="center"/>
    </xf>
    <xf numFmtId="0" fontId="7" fillId="65" borderId="0" xfId="0" applyFont="1" applyFill="1" applyAlignment="1">
      <alignment horizontal="center" vertical="center" wrapText="1"/>
    </xf>
    <xf numFmtId="0" fontId="16" fillId="65" borderId="5" xfId="0" applyFont="1" applyFill="1" applyBorder="1" applyAlignment="1">
      <alignment horizontal="left" vertical="center"/>
    </xf>
    <xf numFmtId="0" fontId="58" fillId="65" borderId="5" xfId="0" applyFont="1" applyFill="1" applyBorder="1" applyAlignment="1">
      <alignment horizontal="left" vertical="center"/>
    </xf>
    <xf numFmtId="0" fontId="16" fillId="0" borderId="0" xfId="0" applyFont="1" applyAlignment="1">
      <alignment vertical="top" wrapText="1"/>
    </xf>
    <xf numFmtId="0" fontId="20" fillId="65" borderId="10" xfId="0" applyFont="1" applyFill="1" applyBorder="1" applyAlignment="1">
      <alignment vertical="center" wrapText="1"/>
    </xf>
    <xf numFmtId="0" fontId="20" fillId="65" borderId="12" xfId="0" applyFont="1" applyFill="1" applyBorder="1" applyAlignment="1">
      <alignment vertical="center" wrapText="1"/>
    </xf>
    <xf numFmtId="0" fontId="20" fillId="65" borderId="11" xfId="0" applyFont="1" applyFill="1" applyBorder="1" applyAlignment="1">
      <alignment horizontal="center" vertical="center"/>
    </xf>
    <xf numFmtId="0" fontId="20" fillId="65" borderId="11" xfId="0" applyFont="1" applyFill="1" applyBorder="1" applyAlignment="1">
      <alignment horizontal="center" vertical="center" wrapText="1"/>
    </xf>
    <xf numFmtId="0" fontId="16" fillId="65" borderId="12" xfId="0" applyFont="1" applyFill="1" applyBorder="1" applyAlignment="1">
      <alignment horizontal="center" vertical="center"/>
    </xf>
    <xf numFmtId="0" fontId="20" fillId="65" borderId="10" xfId="0" applyFont="1" applyFill="1" applyBorder="1" applyAlignment="1">
      <alignment horizontal="center" vertical="center"/>
    </xf>
    <xf numFmtId="0" fontId="20" fillId="65" borderId="12" xfId="0" applyFont="1" applyFill="1" applyBorder="1" applyAlignment="1">
      <alignment horizontal="center" vertical="center"/>
    </xf>
    <xf numFmtId="0" fontId="20" fillId="65" borderId="10" xfId="0" applyFont="1" applyFill="1" applyBorder="1" applyAlignment="1">
      <alignment horizontal="center" vertical="center" wrapText="1"/>
    </xf>
    <xf numFmtId="0" fontId="20" fillId="65" borderId="12" xfId="0" applyFont="1" applyFill="1" applyBorder="1" applyAlignment="1">
      <alignment horizontal="center" vertical="center" wrapText="1"/>
    </xf>
    <xf numFmtId="0" fontId="16" fillId="0" borderId="5" xfId="0" applyFont="1" applyBorder="1" applyAlignment="1">
      <alignment horizontal="left" vertical="center"/>
    </xf>
    <xf numFmtId="0" fontId="58" fillId="0" borderId="5" xfId="0" applyFont="1" applyBorder="1" applyAlignment="1">
      <alignment horizontal="left" vertical="center"/>
    </xf>
    <xf numFmtId="0" fontId="16" fillId="65" borderId="5" xfId="0" applyFont="1" applyFill="1" applyBorder="1" applyAlignment="1">
      <alignment horizontal="left" vertical="center" wrapText="1"/>
    </xf>
    <xf numFmtId="0" fontId="58" fillId="65" borderId="5" xfId="0" applyFont="1" applyFill="1" applyBorder="1" applyAlignment="1">
      <alignment horizontal="left" vertical="center" wrapText="1"/>
    </xf>
    <xf numFmtId="0" fontId="28" fillId="0" borderId="0" xfId="36" applyFont="1" applyAlignment="1">
      <alignment horizontal="left" vertical="top" wrapText="1"/>
    </xf>
    <xf numFmtId="0" fontId="16" fillId="65" borderId="5" xfId="0" applyFont="1" applyFill="1" applyBorder="1" applyAlignment="1">
      <alignment horizontal="left" vertical="top"/>
    </xf>
    <xf numFmtId="0" fontId="58" fillId="65" borderId="5" xfId="0" applyFont="1" applyFill="1" applyBorder="1" applyAlignment="1">
      <alignment horizontal="left" vertical="top"/>
    </xf>
    <xf numFmtId="0" fontId="20" fillId="6" borderId="1" xfId="0" applyFont="1" applyFill="1" applyBorder="1" applyAlignment="1">
      <alignment vertical="top" wrapText="1"/>
    </xf>
    <xf numFmtId="0" fontId="16" fillId="65" borderId="6" xfId="0" applyFont="1" applyFill="1" applyBorder="1" applyAlignment="1">
      <alignment horizontal="left" vertical="top"/>
    </xf>
    <xf numFmtId="0" fontId="58" fillId="65" borderId="7" xfId="0" applyFont="1" applyFill="1" applyBorder="1" applyAlignment="1">
      <alignment horizontal="left" vertical="top"/>
    </xf>
    <xf numFmtId="0" fontId="16" fillId="65" borderId="7" xfId="0" applyFont="1" applyFill="1" applyBorder="1" applyAlignment="1">
      <alignment horizontal="left" vertical="top"/>
    </xf>
    <xf numFmtId="0" fontId="16" fillId="65" borderId="6" xfId="0" applyFont="1" applyFill="1" applyBorder="1" applyAlignment="1">
      <alignment horizontal="left" vertical="top" wrapText="1"/>
    </xf>
    <xf numFmtId="0" fontId="58" fillId="65" borderId="7" xfId="0" applyFont="1" applyFill="1" applyBorder="1" applyAlignment="1">
      <alignment horizontal="left" vertical="top" wrapText="1"/>
    </xf>
    <xf numFmtId="0" fontId="20" fillId="65" borderId="11" xfId="0" applyFont="1" applyFill="1" applyBorder="1" applyAlignment="1">
      <alignment horizontal="center"/>
    </xf>
    <xf numFmtId="2" fontId="20" fillId="65" borderId="10" xfId="0" applyNumberFormat="1" applyFont="1" applyFill="1" applyBorder="1" applyAlignment="1">
      <alignment horizontal="center" vertical="center" wrapText="1"/>
    </xf>
    <xf numFmtId="2" fontId="20" fillId="65" borderId="0" xfId="0" applyNumberFormat="1" applyFont="1" applyFill="1" applyAlignment="1">
      <alignment horizontal="center" vertical="center" wrapText="1"/>
    </xf>
    <xf numFmtId="2" fontId="20" fillId="65" borderId="12" xfId="0" applyNumberFormat="1" applyFont="1" applyFill="1" applyBorder="1" applyAlignment="1">
      <alignment horizontal="center" vertical="center" wrapText="1"/>
    </xf>
    <xf numFmtId="0" fontId="20" fillId="65" borderId="0" xfId="0" applyFont="1" applyFill="1" applyAlignment="1">
      <alignment horizontal="center" vertical="center"/>
    </xf>
    <xf numFmtId="0" fontId="20" fillId="65" borderId="10" xfId="0" applyFont="1" applyFill="1" applyBorder="1" applyAlignment="1">
      <alignment horizontal="center"/>
    </xf>
    <xf numFmtId="0" fontId="20" fillId="7" borderId="11" xfId="0" applyFont="1" applyFill="1" applyBorder="1" applyAlignment="1">
      <alignment horizontal="left" vertical="top"/>
    </xf>
    <xf numFmtId="0" fontId="16" fillId="65" borderId="0" xfId="0" applyFont="1" applyFill="1" applyAlignment="1">
      <alignment horizontal="center" vertical="center"/>
    </xf>
    <xf numFmtId="0" fontId="20" fillId="6" borderId="11" xfId="0" applyFont="1" applyFill="1" applyBorder="1" applyAlignment="1">
      <alignment horizontal="left" vertical="top"/>
    </xf>
    <xf numFmtId="0" fontId="20" fillId="6" borderId="11" xfId="0" applyFont="1" applyFill="1" applyBorder="1" applyAlignment="1">
      <alignment horizontal="left" vertical="top" wrapText="1"/>
    </xf>
    <xf numFmtId="0" fontId="16" fillId="65" borderId="7" xfId="0" applyFont="1" applyFill="1" applyBorder="1" applyAlignment="1">
      <alignment horizontal="left" vertical="top" wrapText="1"/>
    </xf>
    <xf numFmtId="0" fontId="20" fillId="65" borderId="18" xfId="0" applyFont="1" applyFill="1" applyBorder="1" applyAlignment="1">
      <alignment horizontal="center" vertical="center"/>
    </xf>
    <xf numFmtId="0" fontId="20" fillId="65" borderId="19" xfId="0" applyFont="1" applyFill="1" applyBorder="1" applyAlignment="1">
      <alignment horizontal="center" vertical="center"/>
    </xf>
    <xf numFmtId="0" fontId="140" fillId="0" borderId="0" xfId="0" applyFont="1" applyAlignment="1">
      <alignment horizontal="center" vertical="center" wrapText="1"/>
    </xf>
    <xf numFmtId="0" fontId="7" fillId="66" borderId="0" xfId="0" applyFont="1" applyFill="1" applyAlignment="1">
      <alignment horizontal="center" vertical="center" wrapText="1"/>
    </xf>
    <xf numFmtId="0" fontId="16" fillId="66" borderId="6" xfId="0" applyFont="1" applyFill="1" applyBorder="1" applyAlignment="1">
      <alignment horizontal="left" vertical="top"/>
    </xf>
    <xf numFmtId="0" fontId="58" fillId="66" borderId="8" xfId="0" applyFont="1" applyFill="1" applyBorder="1" applyAlignment="1">
      <alignment horizontal="left" vertical="top"/>
    </xf>
    <xf numFmtId="0" fontId="58" fillId="66" borderId="7" xfId="0" applyFont="1" applyFill="1" applyBorder="1" applyAlignment="1">
      <alignment horizontal="left" vertical="top"/>
    </xf>
    <xf numFmtId="0" fontId="20" fillId="66" borderId="10" xfId="0" applyFont="1" applyFill="1" applyBorder="1" applyAlignment="1">
      <alignment horizontal="center" vertical="center" wrapText="1"/>
    </xf>
    <xf numFmtId="0" fontId="20" fillId="66" borderId="12" xfId="0" applyFont="1" applyFill="1" applyBorder="1" applyAlignment="1">
      <alignment horizontal="center" vertical="center" wrapText="1"/>
    </xf>
    <xf numFmtId="0" fontId="20" fillId="66" borderId="11" xfId="0" applyFont="1" applyFill="1" applyBorder="1" applyAlignment="1">
      <alignment horizontal="center" vertical="center" wrapText="1"/>
    </xf>
    <xf numFmtId="0" fontId="16" fillId="66" borderId="8" xfId="0" applyFont="1" applyFill="1" applyBorder="1" applyAlignment="1">
      <alignment horizontal="left" vertical="top"/>
    </xf>
    <xf numFmtId="0" fontId="16" fillId="66" borderId="12" xfId="0" applyFont="1" applyFill="1" applyBorder="1" applyAlignment="1">
      <alignment horizontal="center" vertical="center"/>
    </xf>
    <xf numFmtId="0" fontId="16" fillId="66" borderId="6" xfId="0" applyFont="1" applyFill="1" applyBorder="1" applyAlignment="1">
      <alignment horizontal="left" vertical="top" wrapText="1"/>
    </xf>
    <xf numFmtId="0" fontId="58" fillId="66" borderId="8" xfId="0" applyFont="1" applyFill="1" applyBorder="1" applyAlignment="1">
      <alignment horizontal="left" vertical="top" wrapText="1"/>
    </xf>
    <xf numFmtId="0" fontId="58" fillId="66" borderId="7" xfId="0" applyFont="1" applyFill="1" applyBorder="1" applyAlignment="1">
      <alignment horizontal="left" vertical="top" wrapText="1"/>
    </xf>
    <xf numFmtId="0" fontId="16" fillId="66" borderId="8" xfId="0" applyFont="1" applyFill="1" applyBorder="1" applyAlignment="1">
      <alignment horizontal="left" vertical="top" wrapText="1"/>
    </xf>
    <xf numFmtId="0" fontId="20" fillId="66" borderId="12" xfId="0" applyFont="1" applyFill="1" applyBorder="1" applyAlignment="1">
      <alignment horizontal="center" vertical="center"/>
    </xf>
    <xf numFmtId="0" fontId="20" fillId="4" borderId="0" xfId="0" applyFont="1" applyFill="1" applyAlignment="1">
      <alignment horizontal="center" vertical="center" wrapText="1"/>
    </xf>
    <xf numFmtId="0" fontId="20" fillId="4" borderId="12" xfId="0" applyFont="1" applyFill="1" applyBorder="1" applyAlignment="1">
      <alignment horizontal="center" vertical="center" wrapText="1"/>
    </xf>
    <xf numFmtId="0" fontId="28" fillId="4" borderId="0" xfId="0" applyFont="1" applyFill="1" applyAlignment="1">
      <alignment horizontal="left" wrapText="1"/>
    </xf>
    <xf numFmtId="0" fontId="4" fillId="0" borderId="1" xfId="4" applyFill="1" applyBorder="1" applyAlignment="1">
      <alignment horizontal="left" vertical="center" wrapText="1"/>
    </xf>
    <xf numFmtId="0" fontId="28" fillId="0" borderId="1" xfId="0" applyFont="1" applyBorder="1" applyAlignment="1">
      <alignment horizontal="left" vertical="center" wrapText="1"/>
    </xf>
    <xf numFmtId="0" fontId="20" fillId="66" borderId="6" xfId="0" applyFont="1" applyFill="1" applyBorder="1" applyAlignment="1">
      <alignment horizontal="left" vertical="top" wrapText="1"/>
    </xf>
    <xf numFmtId="0" fontId="28" fillId="66" borderId="8" xfId="0" applyFont="1" applyFill="1" applyBorder="1" applyAlignment="1">
      <alignment horizontal="left" vertical="top" wrapText="1"/>
    </xf>
    <xf numFmtId="0" fontId="28" fillId="66" borderId="7" xfId="0" applyFont="1" applyFill="1" applyBorder="1" applyAlignment="1">
      <alignment horizontal="left" vertical="top" wrapText="1"/>
    </xf>
    <xf numFmtId="0" fontId="20" fillId="66" borderId="10" xfId="0" applyFont="1" applyFill="1" applyBorder="1" applyAlignment="1">
      <alignment horizontal="center" vertical="center"/>
    </xf>
    <xf numFmtId="0" fontId="97" fillId="0" borderId="0" xfId="0" applyFont="1" applyAlignment="1">
      <alignment horizontal="left" vertical="center" wrapText="1"/>
    </xf>
    <xf numFmtId="0" fontId="28" fillId="0" borderId="0" xfId="0" applyFont="1" applyAlignment="1">
      <alignment horizontal="left" vertical="center" wrapText="1" indent="3"/>
    </xf>
    <xf numFmtId="0" fontId="20" fillId="66" borderId="8" xfId="0" applyFont="1" applyFill="1" applyBorder="1" applyAlignment="1">
      <alignment horizontal="left" vertical="top" wrapText="1"/>
    </xf>
    <xf numFmtId="0" fontId="20" fillId="66" borderId="7" xfId="0" applyFont="1" applyFill="1" applyBorder="1" applyAlignment="1">
      <alignment horizontal="left" vertical="top" wrapText="1"/>
    </xf>
    <xf numFmtId="0" fontId="20" fillId="66" borderId="11" xfId="0" applyFont="1" applyFill="1" applyBorder="1" applyAlignment="1">
      <alignment horizontal="center"/>
    </xf>
    <xf numFmtId="0" fontId="20" fillId="6" borderId="1" xfId="0" applyFont="1" applyFill="1" applyBorder="1" applyAlignment="1">
      <alignment horizontal="left" vertical="center"/>
    </xf>
    <xf numFmtId="0" fontId="20" fillId="66" borderId="11" xfId="0" applyFont="1" applyFill="1" applyBorder="1" applyAlignment="1">
      <alignment horizontal="center" vertical="center"/>
    </xf>
    <xf numFmtId="0" fontId="20" fillId="66" borderId="100" xfId="0" applyFont="1" applyFill="1" applyBorder="1" applyAlignment="1">
      <alignment horizontal="center" vertical="center" wrapText="1"/>
    </xf>
    <xf numFmtId="0" fontId="20" fillId="66" borderId="97" xfId="0" applyFont="1" applyFill="1" applyBorder="1" applyAlignment="1">
      <alignment horizontal="center" vertical="center" wrapText="1"/>
    </xf>
    <xf numFmtId="0" fontId="16" fillId="66" borderId="7" xfId="0" applyFont="1" applyFill="1" applyBorder="1" applyAlignment="1">
      <alignment horizontal="left" vertical="top" wrapText="1"/>
    </xf>
    <xf numFmtId="0" fontId="20" fillId="66" borderId="0" xfId="0" applyFont="1" applyFill="1" applyBorder="1" applyAlignment="1">
      <alignment horizontal="center" vertical="center" wrapText="1"/>
    </xf>
    <xf numFmtId="0" fontId="20" fillId="66" borderId="11" xfId="0" applyFont="1" applyFill="1" applyBorder="1" applyAlignment="1">
      <alignment horizontal="center" wrapText="1"/>
    </xf>
    <xf numFmtId="0" fontId="20" fillId="66" borderId="97" xfId="0" applyFont="1" applyFill="1" applyBorder="1" applyAlignment="1">
      <alignment horizontal="center" wrapText="1"/>
    </xf>
    <xf numFmtId="0" fontId="20" fillId="66" borderId="97" xfId="0" applyFont="1" applyFill="1" applyBorder="1" applyAlignment="1">
      <alignment horizontal="center"/>
    </xf>
    <xf numFmtId="0" fontId="20" fillId="66" borderId="100" xfId="0" applyFont="1" applyFill="1" applyBorder="1" applyAlignment="1">
      <alignment horizontal="center"/>
    </xf>
    <xf numFmtId="0" fontId="20" fillId="66" borderId="0" xfId="0" applyFont="1" applyFill="1" applyAlignment="1">
      <alignment horizontal="center" vertical="center" wrapText="1"/>
    </xf>
    <xf numFmtId="0" fontId="20" fillId="66" borderId="29" xfId="0" applyFont="1" applyFill="1" applyBorder="1" applyAlignment="1">
      <alignment horizontal="center" wrapText="1"/>
    </xf>
    <xf numFmtId="0" fontId="20" fillId="66" borderId="0" xfId="0" applyFont="1" applyFill="1" applyAlignment="1">
      <alignment horizontal="center" vertical="center"/>
    </xf>
    <xf numFmtId="0" fontId="20" fillId="66" borderId="11" xfId="16" applyFont="1" applyFill="1" applyBorder="1" applyAlignment="1">
      <alignment horizontal="center" vertical="center"/>
    </xf>
    <xf numFmtId="1" fontId="20" fillId="66" borderId="0" xfId="0" applyNumberFormat="1" applyFont="1" applyFill="1" applyAlignment="1">
      <alignment horizontal="center" vertical="center"/>
    </xf>
    <xf numFmtId="1" fontId="20" fillId="66" borderId="12" xfId="0" applyNumberFormat="1" applyFont="1" applyFill="1" applyBorder="1" applyAlignment="1">
      <alignment horizontal="center" vertical="center"/>
    </xf>
    <xf numFmtId="0" fontId="16" fillId="9" borderId="0" xfId="0" applyFont="1" applyFill="1" applyAlignment="1">
      <alignment horizontal="center" vertical="center" wrapText="1"/>
    </xf>
    <xf numFmtId="0" fontId="7" fillId="69" borderId="0" xfId="0" applyFont="1" applyFill="1" applyAlignment="1">
      <alignment horizontal="center" vertical="center" wrapText="1"/>
    </xf>
    <xf numFmtId="0" fontId="16" fillId="69" borderId="6" xfId="0" applyFont="1" applyFill="1" applyBorder="1" applyAlignment="1">
      <alignment horizontal="left" vertical="top"/>
    </xf>
    <xf numFmtId="0" fontId="58" fillId="69" borderId="8" xfId="0" applyFont="1" applyFill="1" applyBorder="1" applyAlignment="1">
      <alignment horizontal="left" vertical="top"/>
    </xf>
    <xf numFmtId="0" fontId="58" fillId="69" borderId="7" xfId="0" applyFont="1" applyFill="1" applyBorder="1" applyAlignment="1">
      <alignment horizontal="left" vertical="top"/>
    </xf>
    <xf numFmtId="0" fontId="16" fillId="69" borderId="8" xfId="0" applyFont="1" applyFill="1" applyBorder="1" applyAlignment="1">
      <alignment horizontal="left" vertical="top"/>
    </xf>
    <xf numFmtId="0" fontId="16" fillId="69" borderId="6" xfId="0" applyFont="1" applyFill="1" applyBorder="1" applyAlignment="1">
      <alignment horizontal="left" vertical="top" wrapText="1"/>
    </xf>
    <xf numFmtId="0" fontId="58" fillId="69" borderId="7" xfId="0" applyFont="1" applyFill="1" applyBorder="1" applyAlignment="1">
      <alignment horizontal="left" vertical="top" wrapText="1"/>
    </xf>
    <xf numFmtId="0" fontId="16" fillId="69" borderId="12" xfId="0" applyFont="1" applyFill="1" applyBorder="1" applyAlignment="1">
      <alignment horizontal="center" vertical="center"/>
    </xf>
    <xf numFmtId="0" fontId="16" fillId="69" borderId="5" xfId="0" applyFont="1" applyFill="1" applyBorder="1" applyAlignment="1">
      <alignment horizontal="left" vertical="top"/>
    </xf>
    <xf numFmtId="0" fontId="58" fillId="69" borderId="5" xfId="0" applyFont="1" applyFill="1" applyBorder="1" applyAlignment="1">
      <alignment horizontal="left" vertical="top"/>
    </xf>
    <xf numFmtId="0" fontId="16" fillId="69" borderId="0" xfId="0" applyFont="1" applyFill="1" applyAlignment="1">
      <alignment horizontal="center" vertical="center"/>
    </xf>
    <xf numFmtId="0" fontId="58" fillId="69" borderId="8" xfId="0" applyFont="1" applyFill="1" applyBorder="1" applyAlignment="1">
      <alignment horizontal="left" vertical="top" wrapText="1"/>
    </xf>
    <xf numFmtId="0" fontId="30" fillId="2" borderId="16" xfId="0" applyFont="1" applyFill="1" applyBorder="1" applyAlignment="1">
      <alignment horizontal="left" vertical="top"/>
    </xf>
    <xf numFmtId="0" fontId="30" fillId="2" borderId="17" xfId="0" applyFont="1" applyFill="1" applyBorder="1" applyAlignment="1">
      <alignment horizontal="left" vertical="top"/>
    </xf>
    <xf numFmtId="0" fontId="24" fillId="69" borderId="12" xfId="0" applyFont="1" applyFill="1" applyBorder="1" applyAlignment="1">
      <alignment horizontal="center" vertical="center"/>
    </xf>
    <xf numFmtId="0" fontId="30" fillId="2" borderId="2" xfId="0" applyFont="1" applyFill="1" applyBorder="1" applyAlignment="1">
      <alignment horizontal="center" vertical="top"/>
    </xf>
    <xf numFmtId="0" fontId="30" fillId="2" borderId="3" xfId="0" applyFont="1" applyFill="1" applyBorder="1" applyAlignment="1">
      <alignment horizontal="center" vertical="top"/>
    </xf>
    <xf numFmtId="0" fontId="30" fillId="2" borderId="14" xfId="0" applyFont="1" applyFill="1" applyBorder="1" applyAlignment="1">
      <alignment horizontal="left" vertical="top" wrapText="1"/>
    </xf>
    <xf numFmtId="0" fontId="30" fillId="2" borderId="15" xfId="0" applyFont="1" applyFill="1" applyBorder="1" applyAlignment="1">
      <alignment horizontal="left" vertical="top" wrapText="1"/>
    </xf>
    <xf numFmtId="0" fontId="24" fillId="69" borderId="5" xfId="0" applyFont="1" applyFill="1" applyBorder="1" applyAlignment="1">
      <alignment horizontal="left" vertical="top"/>
    </xf>
    <xf numFmtId="0" fontId="14" fillId="69" borderId="5" xfId="0" applyFont="1" applyFill="1" applyBorder="1" applyAlignment="1">
      <alignment horizontal="left" vertical="top"/>
    </xf>
    <xf numFmtId="0" fontId="24" fillId="2" borderId="0" xfId="0" applyFont="1" applyFill="1" applyAlignment="1">
      <alignment horizontal="center" vertical="center" wrapText="1"/>
    </xf>
    <xf numFmtId="0" fontId="24" fillId="69" borderId="5" xfId="0" applyFont="1" applyFill="1" applyBorder="1" applyAlignment="1">
      <alignment horizontal="left" vertical="top" wrapText="1"/>
    </xf>
    <xf numFmtId="0" fontId="14" fillId="69" borderId="5" xfId="0" applyFont="1" applyFill="1" applyBorder="1" applyAlignment="1">
      <alignment horizontal="left" vertical="top" wrapText="1"/>
    </xf>
    <xf numFmtId="0" fontId="144" fillId="2" borderId="0" xfId="4" applyFont="1" applyFill="1" applyAlignment="1">
      <alignment horizontal="center"/>
    </xf>
    <xf numFmtId="0" fontId="24" fillId="69" borderId="6" xfId="0" applyFont="1" applyFill="1" applyBorder="1" applyAlignment="1">
      <alignment horizontal="left" vertical="top" wrapText="1"/>
    </xf>
    <xf numFmtId="0" fontId="14" fillId="69" borderId="7" xfId="0" applyFont="1" applyFill="1" applyBorder="1" applyAlignment="1">
      <alignment horizontal="left" vertical="top"/>
    </xf>
    <xf numFmtId="0" fontId="14" fillId="69" borderId="8" xfId="0" applyFont="1" applyFill="1" applyBorder="1" applyAlignment="1">
      <alignment horizontal="left" vertical="top"/>
    </xf>
    <xf numFmtId="0" fontId="24" fillId="0" borderId="24" xfId="0" applyFont="1" applyBorder="1" applyAlignment="1">
      <alignment horizontal="left" vertical="center" wrapText="1"/>
    </xf>
    <xf numFmtId="0" fontId="20" fillId="69" borderId="11" xfId="0" applyFont="1" applyFill="1" applyBorder="1" applyAlignment="1">
      <alignment horizontal="center" vertical="center"/>
    </xf>
    <xf numFmtId="3" fontId="28" fillId="0" borderId="0" xfId="0" applyNumberFormat="1" applyFont="1" applyAlignment="1">
      <alignment horizontal="center" vertical="center"/>
    </xf>
    <xf numFmtId="3" fontId="55" fillId="0" borderId="0" xfId="0" applyNumberFormat="1" applyFont="1" applyAlignment="1">
      <alignment horizontal="center" vertical="center"/>
    </xf>
    <xf numFmtId="0" fontId="20" fillId="69" borderId="10" xfId="0" applyFont="1" applyFill="1" applyBorder="1" applyAlignment="1">
      <alignment horizontal="center" vertical="center" wrapText="1"/>
    </xf>
    <xf numFmtId="0" fontId="16" fillId="69" borderId="5" xfId="0" applyFont="1" applyFill="1" applyBorder="1" applyAlignment="1">
      <alignment horizontal="left" vertical="top" wrapText="1"/>
    </xf>
    <xf numFmtId="0" fontId="58" fillId="69" borderId="5" xfId="0" applyFont="1" applyFill="1" applyBorder="1" applyAlignment="1">
      <alignment horizontal="left" vertical="top" wrapText="1"/>
    </xf>
    <xf numFmtId="0" fontId="28" fillId="0" borderId="0" xfId="0" applyFont="1" applyAlignment="1">
      <alignment horizontal="center" vertical="center"/>
    </xf>
    <xf numFmtId="0" fontId="20" fillId="0" borderId="12" xfId="0" applyFont="1" applyBorder="1" applyAlignment="1">
      <alignment horizontal="left" vertical="center" wrapText="1"/>
    </xf>
    <xf numFmtId="0" fontId="20" fillId="0" borderId="12" xfId="0" applyFont="1" applyBorder="1" applyAlignment="1">
      <alignment horizontal="left" vertical="center"/>
    </xf>
    <xf numFmtId="0" fontId="20" fillId="69" borderId="0" xfId="0" applyFont="1" applyFill="1" applyAlignment="1">
      <alignment horizontal="center" vertical="center" wrapText="1"/>
    </xf>
    <xf numFmtId="0" fontId="20" fillId="69" borderId="12" xfId="0" applyFont="1" applyFill="1" applyBorder="1" applyAlignment="1">
      <alignment horizontal="center" vertical="center" wrapText="1"/>
    </xf>
    <xf numFmtId="3" fontId="76" fillId="0" borderId="1" xfId="0" applyNumberFormat="1" applyFont="1" applyBorder="1" applyAlignment="1">
      <alignment horizontal="left" vertical="center"/>
    </xf>
    <xf numFmtId="0" fontId="128" fillId="0" borderId="1" xfId="0" applyFont="1" applyBorder="1" applyAlignment="1">
      <alignment horizontal="left" vertical="center"/>
    </xf>
    <xf numFmtId="0" fontId="76" fillId="17" borderId="1" xfId="0" applyFont="1" applyFill="1" applyBorder="1" applyAlignment="1">
      <alignment horizontal="center"/>
    </xf>
    <xf numFmtId="0" fontId="76" fillId="0" borderId="1" xfId="0" applyFont="1" applyBorder="1" applyAlignment="1" applyProtection="1">
      <alignment horizontal="left" vertical="center" wrapText="1"/>
      <protection locked="0"/>
    </xf>
    <xf numFmtId="0" fontId="76" fillId="0" borderId="14" xfId="0" applyFont="1" applyBorder="1" applyAlignment="1">
      <alignment horizontal="center"/>
    </xf>
    <xf numFmtId="0" fontId="76" fillId="0" borderId="11" xfId="0" applyFont="1" applyBorder="1" applyAlignment="1">
      <alignment horizontal="center"/>
    </xf>
    <xf numFmtId="0" fontId="76" fillId="0" borderId="15" xfId="0" applyFont="1" applyBorder="1" applyAlignment="1">
      <alignment horizontal="center"/>
    </xf>
    <xf numFmtId="10" fontId="128" fillId="0" borderId="2" xfId="0" applyNumberFormat="1" applyFont="1" applyBorder="1" applyAlignment="1">
      <alignment horizontal="center" vertical="center" wrapText="1"/>
    </xf>
    <xf numFmtId="10" fontId="128" fillId="0" borderId="4" xfId="0" applyNumberFormat="1" applyFont="1" applyBorder="1" applyAlignment="1">
      <alignment horizontal="center" vertical="center" wrapText="1"/>
    </xf>
    <xf numFmtId="10" fontId="128" fillId="0" borderId="3" xfId="0" applyNumberFormat="1" applyFont="1" applyBorder="1" applyAlignment="1">
      <alignment horizontal="center" vertical="center" wrapText="1"/>
    </xf>
    <xf numFmtId="2" fontId="76" fillId="0" borderId="1" xfId="0" applyNumberFormat="1" applyFont="1" applyBorder="1" applyAlignment="1">
      <alignment horizontal="left" vertical="center" wrapText="1"/>
    </xf>
    <xf numFmtId="49" fontId="76" fillId="0" borderId="1" xfId="0" quotePrefix="1" applyNumberFormat="1" applyFont="1" applyBorder="1" applyAlignment="1">
      <alignment horizontal="left" vertical="center" wrapText="1"/>
    </xf>
    <xf numFmtId="49" fontId="76" fillId="0" borderId="1" xfId="0" applyNumberFormat="1" applyFont="1" applyBorder="1" applyAlignment="1">
      <alignment horizontal="left" vertical="center" wrapText="1"/>
    </xf>
    <xf numFmtId="49" fontId="128" fillId="0" borderId="1" xfId="0" applyNumberFormat="1" applyFont="1" applyBorder="1" applyAlignment="1">
      <alignment horizontal="left" vertical="center" wrapText="1"/>
    </xf>
    <xf numFmtId="0" fontId="76" fillId="0" borderId="1" xfId="0" applyFont="1" applyBorder="1" applyAlignment="1">
      <alignment horizontal="left" vertical="center"/>
    </xf>
    <xf numFmtId="0" fontId="76" fillId="0" borderId="14" xfId="0" applyFont="1" applyBorder="1" applyAlignment="1">
      <alignment horizontal="center" vertical="center"/>
    </xf>
    <xf numFmtId="0" fontId="76" fillId="0" borderId="11" xfId="0" applyFont="1" applyBorder="1" applyAlignment="1">
      <alignment horizontal="center" vertical="center"/>
    </xf>
    <xf numFmtId="0" fontId="76" fillId="0" borderId="15" xfId="0" applyFont="1" applyBorder="1" applyAlignment="1">
      <alignment horizontal="center" vertical="center"/>
    </xf>
    <xf numFmtId="0" fontId="19" fillId="69" borderId="11" xfId="0" applyFont="1" applyFill="1" applyBorder="1" applyAlignment="1">
      <alignment horizontal="center" vertical="center"/>
    </xf>
    <xf numFmtId="0" fontId="76" fillId="0" borderId="3" xfId="0" applyFont="1" applyBorder="1" applyAlignment="1">
      <alignment horizontal="left" vertical="center" wrapText="1"/>
    </xf>
    <xf numFmtId="0" fontId="76" fillId="0" borderId="14" xfId="0" quotePrefix="1" applyFont="1" applyBorder="1" applyAlignment="1" applyProtection="1">
      <alignment horizontal="left" vertical="center" wrapText="1"/>
      <protection locked="0"/>
    </xf>
    <xf numFmtId="0" fontId="76" fillId="0" borderId="11" xfId="0" quotePrefix="1" applyFont="1" applyBorder="1" applyAlignment="1" applyProtection="1">
      <alignment horizontal="left" vertical="center" wrapText="1"/>
      <protection locked="0"/>
    </xf>
    <xf numFmtId="0" fontId="76" fillId="0" borderId="15" xfId="0" quotePrefix="1" applyFont="1" applyBorder="1" applyAlignment="1" applyProtection="1">
      <alignment horizontal="left" vertical="center" wrapText="1"/>
      <protection locked="0"/>
    </xf>
    <xf numFmtId="0" fontId="20" fillId="2" borderId="49" xfId="0" applyFont="1" applyFill="1" applyBorder="1" applyAlignment="1">
      <alignment horizontal="left" vertical="top"/>
    </xf>
    <xf numFmtId="0" fontId="20" fillId="2" borderId="51" xfId="0" applyFont="1" applyFill="1" applyBorder="1" applyAlignment="1">
      <alignment horizontal="left" vertical="top"/>
    </xf>
    <xf numFmtId="0" fontId="20" fillId="2" borderId="52" xfId="0" applyFont="1" applyFill="1" applyBorder="1" applyAlignment="1">
      <alignment horizontal="left" vertical="top"/>
    </xf>
    <xf numFmtId="0" fontId="20" fillId="2" borderId="46" xfId="0" applyFont="1" applyFill="1" applyBorder="1" applyAlignment="1">
      <alignment horizontal="left" vertical="top"/>
    </xf>
    <xf numFmtId="0" fontId="20" fillId="2" borderId="47" xfId="0" applyFont="1" applyFill="1" applyBorder="1" applyAlignment="1">
      <alignment horizontal="left" vertical="top"/>
    </xf>
    <xf numFmtId="0" fontId="16" fillId="69" borderId="11" xfId="0" applyFont="1" applyFill="1" applyBorder="1" applyAlignment="1">
      <alignment horizontal="center" vertical="center"/>
    </xf>
    <xf numFmtId="0" fontId="7" fillId="70" borderId="0" xfId="0" applyFont="1" applyFill="1" applyAlignment="1">
      <alignment horizontal="center" vertical="center" wrapText="1"/>
    </xf>
    <xf numFmtId="0" fontId="20" fillId="70" borderId="12" xfId="0" applyFont="1" applyFill="1" applyBorder="1" applyAlignment="1">
      <alignment horizontal="center" vertical="center" wrapText="1"/>
    </xf>
    <xf numFmtId="0" fontId="20" fillId="70" borderId="11" xfId="0" applyFont="1" applyFill="1" applyBorder="1" applyAlignment="1">
      <alignment horizontal="center" vertical="center" wrapText="1"/>
    </xf>
    <xf numFmtId="0" fontId="16" fillId="70" borderId="6" xfId="0" applyFont="1" applyFill="1" applyBorder="1" applyAlignment="1">
      <alignment horizontal="left" vertical="top"/>
    </xf>
    <xf numFmtId="0" fontId="58" fillId="70" borderId="8" xfId="0" applyFont="1" applyFill="1" applyBorder="1" applyAlignment="1">
      <alignment horizontal="left" vertical="top"/>
    </xf>
    <xf numFmtId="0" fontId="58" fillId="70" borderId="7" xfId="0" applyFont="1" applyFill="1" applyBorder="1" applyAlignment="1">
      <alignment horizontal="left" vertical="top"/>
    </xf>
    <xf numFmtId="0" fontId="20" fillId="70" borderId="10" xfId="0" applyFont="1" applyFill="1" applyBorder="1" applyAlignment="1">
      <alignment horizontal="center" vertical="center" wrapText="1"/>
    </xf>
    <xf numFmtId="0" fontId="16" fillId="70" borderId="8" xfId="0" applyFont="1" applyFill="1" applyBorder="1" applyAlignment="1">
      <alignment horizontal="left" vertical="top"/>
    </xf>
    <xf numFmtId="0" fontId="16" fillId="70" borderId="7" xfId="0" applyFont="1" applyFill="1" applyBorder="1" applyAlignment="1">
      <alignment horizontal="left" vertical="top"/>
    </xf>
    <xf numFmtId="0" fontId="16" fillId="70" borderId="12" xfId="0" applyFont="1" applyFill="1" applyBorder="1" applyAlignment="1">
      <alignment horizontal="center" vertical="center"/>
    </xf>
    <xf numFmtId="0" fontId="16" fillId="70" borderId="5" xfId="0" applyFont="1" applyFill="1" applyBorder="1" applyAlignment="1">
      <alignment horizontal="left" vertical="top" wrapText="1"/>
    </xf>
    <xf numFmtId="0" fontId="58" fillId="70" borderId="5" xfId="0" applyFont="1" applyFill="1" applyBorder="1" applyAlignment="1">
      <alignment horizontal="left" vertical="top" wrapText="1"/>
    </xf>
    <xf numFmtId="0" fontId="16" fillId="70" borderId="6" xfId="0" applyFont="1" applyFill="1" applyBorder="1" applyAlignment="1">
      <alignment horizontal="left" vertical="center"/>
    </xf>
    <xf numFmtId="0" fontId="58" fillId="70" borderId="8" xfId="0" applyFont="1" applyFill="1" applyBorder="1" applyAlignment="1">
      <alignment horizontal="left" vertical="center"/>
    </xf>
    <xf numFmtId="0" fontId="58" fillId="70" borderId="7" xfId="0" applyFont="1" applyFill="1" applyBorder="1" applyAlignment="1">
      <alignment horizontal="left" vertical="center"/>
    </xf>
    <xf numFmtId="0" fontId="20" fillId="70" borderId="10" xfId="0" applyFont="1" applyFill="1" applyBorder="1" applyAlignment="1">
      <alignment horizontal="center" vertical="center"/>
    </xf>
    <xf numFmtId="0" fontId="20" fillId="70" borderId="0" xfId="0" applyFont="1" applyFill="1" applyAlignment="1">
      <alignment horizontal="center" vertical="center"/>
    </xf>
    <xf numFmtId="0" fontId="20" fillId="70" borderId="12" xfId="0" applyFont="1" applyFill="1" applyBorder="1" applyAlignment="1">
      <alignment horizontal="center" vertical="center"/>
    </xf>
    <xf numFmtId="0" fontId="20" fillId="70" borderId="0" xfId="0" applyFont="1" applyFill="1" applyAlignment="1">
      <alignment horizontal="center" vertical="center" wrapText="1"/>
    </xf>
    <xf numFmtId="0" fontId="16" fillId="70" borderId="8" xfId="0" applyFont="1" applyFill="1" applyBorder="1" applyAlignment="1">
      <alignment horizontal="left" vertical="center"/>
    </xf>
    <xf numFmtId="0" fontId="16" fillId="70" borderId="7" xfId="0" applyFont="1" applyFill="1" applyBorder="1" applyAlignment="1">
      <alignment horizontal="left" vertical="center"/>
    </xf>
    <xf numFmtId="0" fontId="16" fillId="70" borderId="6" xfId="0" applyFont="1" applyFill="1" applyBorder="1" applyAlignment="1">
      <alignment horizontal="left" vertical="top" wrapText="1"/>
    </xf>
    <xf numFmtId="0" fontId="58" fillId="70" borderId="8" xfId="0" applyFont="1" applyFill="1" applyBorder="1" applyAlignment="1">
      <alignment horizontal="left" vertical="top" wrapText="1"/>
    </xf>
    <xf numFmtId="0" fontId="58" fillId="70" borderId="7" xfId="0" applyFont="1" applyFill="1" applyBorder="1" applyAlignment="1">
      <alignment horizontal="left" vertical="top" wrapText="1"/>
    </xf>
    <xf numFmtId="0" fontId="16" fillId="70" borderId="8" xfId="0" applyFont="1" applyFill="1" applyBorder="1" applyAlignment="1">
      <alignment horizontal="left" vertical="top" wrapText="1"/>
    </xf>
    <xf numFmtId="0" fontId="16" fillId="70" borderId="7" xfId="0" applyFont="1" applyFill="1" applyBorder="1" applyAlignment="1">
      <alignment horizontal="left" vertical="top" wrapText="1"/>
    </xf>
    <xf numFmtId="0" fontId="16" fillId="70" borderId="0" xfId="0" applyFont="1" applyFill="1" applyAlignment="1">
      <alignment horizontal="center" vertical="center"/>
    </xf>
    <xf numFmtId="0" fontId="20" fillId="2" borderId="2" xfId="0" applyFont="1" applyFill="1" applyBorder="1" applyAlignment="1">
      <alignment horizontal="left" vertical="center"/>
    </xf>
    <xf numFmtId="0" fontId="20" fillId="2" borderId="3" xfId="0" applyFont="1" applyFill="1" applyBorder="1" applyAlignment="1">
      <alignment horizontal="left" vertical="center"/>
    </xf>
    <xf numFmtId="0" fontId="105" fillId="71" borderId="0" xfId="0" applyFont="1" applyFill="1" applyAlignment="1">
      <alignment horizontal="center" vertical="center" wrapText="1"/>
    </xf>
    <xf numFmtId="0" fontId="16" fillId="71" borderId="6" xfId="0" applyFont="1" applyFill="1" applyBorder="1" applyAlignment="1">
      <alignment horizontal="left" vertical="top"/>
    </xf>
    <xf numFmtId="0" fontId="58" fillId="71" borderId="8" xfId="0" applyFont="1" applyFill="1" applyBorder="1" applyAlignment="1">
      <alignment horizontal="left" vertical="top"/>
    </xf>
    <xf numFmtId="0" fontId="16" fillId="71" borderId="5" xfId="0" applyFont="1" applyFill="1" applyBorder="1" applyAlignment="1">
      <alignment horizontal="left" vertical="top"/>
    </xf>
    <xf numFmtId="0" fontId="58" fillId="71" borderId="5" xfId="0" applyFont="1" applyFill="1" applyBorder="1" applyAlignment="1">
      <alignment horizontal="left" vertical="top"/>
    </xf>
    <xf numFmtId="0" fontId="16" fillId="71" borderId="8" xfId="0" applyFont="1" applyFill="1" applyBorder="1" applyAlignment="1">
      <alignment horizontal="left" vertical="top"/>
    </xf>
    <xf numFmtId="0" fontId="16" fillId="71" borderId="5" xfId="0" applyFont="1" applyFill="1" applyBorder="1" applyAlignment="1">
      <alignment horizontal="left" vertical="top" wrapText="1"/>
    </xf>
    <xf numFmtId="0" fontId="58" fillId="71" borderId="5" xfId="0" applyFont="1" applyFill="1" applyBorder="1" applyAlignment="1">
      <alignment horizontal="left" vertical="top" wrapText="1"/>
    </xf>
    <xf numFmtId="0" fontId="16" fillId="71" borderId="12" xfId="0" applyFont="1" applyFill="1" applyBorder="1" applyAlignment="1">
      <alignment horizontal="center" vertical="center"/>
    </xf>
    <xf numFmtId="0" fontId="20" fillId="2" borderId="2" xfId="0" applyFont="1" applyFill="1" applyBorder="1" applyAlignment="1">
      <alignment horizontal="left" vertical="top"/>
    </xf>
    <xf numFmtId="0" fontId="20" fillId="2" borderId="3" xfId="0" applyFont="1" applyFill="1" applyBorder="1" applyAlignment="1">
      <alignment horizontal="left" vertical="top"/>
    </xf>
    <xf numFmtId="0" fontId="20" fillId="71" borderId="11" xfId="0" applyFont="1" applyFill="1" applyBorder="1" applyAlignment="1">
      <alignment horizontal="center" vertical="center" wrapText="1"/>
    </xf>
    <xf numFmtId="0" fontId="28" fillId="0" borderId="0" xfId="0" applyFont="1" applyAlignment="1">
      <alignment horizontal="center" wrapText="1"/>
    </xf>
    <xf numFmtId="0" fontId="28" fillId="0" borderId="0" xfId="0" applyFont="1" applyAlignment="1">
      <alignment horizontal="center" vertical="top" wrapText="1"/>
    </xf>
    <xf numFmtId="0" fontId="20" fillId="71" borderId="10" xfId="0" applyFont="1" applyFill="1" applyBorder="1" applyAlignment="1">
      <alignment horizontal="center" vertical="center" wrapText="1"/>
    </xf>
    <xf numFmtId="0" fontId="20" fillId="71" borderId="12" xfId="0" applyFont="1" applyFill="1" applyBorder="1" applyAlignment="1">
      <alignment horizontal="center" vertical="center" wrapText="1"/>
    </xf>
    <xf numFmtId="2" fontId="28" fillId="4" borderId="12" xfId="0" applyNumberFormat="1" applyFont="1" applyFill="1" applyBorder="1" applyAlignment="1">
      <alignment horizontal="center"/>
    </xf>
    <xf numFmtId="2" fontId="28" fillId="4" borderId="0" xfId="0" applyNumberFormat="1" applyFont="1" applyFill="1" applyAlignment="1">
      <alignment horizontal="center"/>
    </xf>
    <xf numFmtId="0" fontId="20" fillId="72" borderId="10" xfId="0" applyFont="1" applyFill="1" applyBorder="1" applyAlignment="1">
      <alignment horizontal="center" vertical="center" wrapText="1"/>
    </xf>
    <xf numFmtId="0" fontId="20" fillId="72" borderId="87" xfId="0" applyFont="1" applyFill="1" applyBorder="1" applyAlignment="1">
      <alignment horizontal="center" vertical="center" wrapText="1"/>
    </xf>
    <xf numFmtId="0" fontId="20" fillId="72" borderId="12" xfId="0" applyFont="1" applyFill="1" applyBorder="1" applyAlignment="1">
      <alignment horizontal="center" vertical="center" wrapText="1"/>
    </xf>
    <xf numFmtId="0" fontId="20" fillId="72" borderId="11" xfId="0" applyFont="1" applyFill="1" applyBorder="1" applyAlignment="1">
      <alignment horizontal="center" vertical="center" wrapText="1"/>
    </xf>
    <xf numFmtId="0" fontId="20" fillId="72" borderId="86" xfId="0" applyFont="1" applyFill="1" applyBorder="1" applyAlignment="1">
      <alignment horizontal="center" vertical="center" wrapText="1"/>
    </xf>
    <xf numFmtId="0" fontId="20" fillId="76" borderId="1" xfId="0" applyFont="1" applyFill="1" applyBorder="1" applyAlignment="1">
      <alignment horizontal="left" vertical="top"/>
    </xf>
    <xf numFmtId="0" fontId="20" fillId="74" borderId="1" xfId="0" applyFont="1" applyFill="1" applyBorder="1" applyAlignment="1">
      <alignment horizontal="left" vertical="top"/>
    </xf>
    <xf numFmtId="0" fontId="20" fillId="74" borderId="1" xfId="0" applyFont="1" applyFill="1" applyBorder="1" applyAlignment="1">
      <alignment horizontal="left" vertical="top" wrapText="1"/>
    </xf>
    <xf numFmtId="0" fontId="20" fillId="74" borderId="2" xfId="0" applyFont="1" applyFill="1" applyBorder="1" applyAlignment="1">
      <alignment horizontal="left" vertical="top"/>
    </xf>
    <xf numFmtId="0" fontId="16" fillId="73" borderId="12" xfId="0" applyFont="1" applyFill="1" applyBorder="1" applyAlignment="1">
      <alignment horizontal="center" vertical="center"/>
    </xf>
    <xf numFmtId="0" fontId="20" fillId="74" borderId="1" xfId="0" applyFont="1" applyFill="1" applyBorder="1" applyAlignment="1">
      <alignment horizontal="center" vertical="top"/>
    </xf>
    <xf numFmtId="0" fontId="20" fillId="74" borderId="17" xfId="0" applyFont="1" applyFill="1" applyBorder="1" applyAlignment="1">
      <alignment horizontal="left" vertical="top" wrapText="1"/>
    </xf>
    <xf numFmtId="0" fontId="16" fillId="71" borderId="6" xfId="0" applyFont="1" applyFill="1" applyBorder="1" applyAlignment="1">
      <alignment horizontal="left" vertical="center"/>
    </xf>
    <xf numFmtId="0" fontId="58" fillId="71" borderId="8" xfId="0" applyFont="1" applyFill="1" applyBorder="1" applyAlignment="1">
      <alignment horizontal="left" vertical="center"/>
    </xf>
    <xf numFmtId="0" fontId="16" fillId="71" borderId="5" xfId="0" applyFont="1" applyFill="1" applyBorder="1" applyAlignment="1">
      <alignment horizontal="left" vertical="center"/>
    </xf>
    <xf numFmtId="0" fontId="58" fillId="71" borderId="5" xfId="0" applyFont="1" applyFill="1" applyBorder="1" applyAlignment="1">
      <alignment horizontal="left" vertical="center"/>
    </xf>
    <xf numFmtId="0" fontId="16" fillId="71" borderId="8" xfId="0" applyFont="1" applyFill="1" applyBorder="1" applyAlignment="1">
      <alignment horizontal="left" vertical="center"/>
    </xf>
    <xf numFmtId="0" fontId="16" fillId="71" borderId="5" xfId="0" applyFont="1" applyFill="1" applyBorder="1" applyAlignment="1">
      <alignment horizontal="left" vertical="center" wrapText="1"/>
    </xf>
    <xf numFmtId="0" fontId="58" fillId="71" borderId="5" xfId="0" applyFont="1" applyFill="1" applyBorder="1" applyAlignment="1">
      <alignment horizontal="left" vertical="center" wrapText="1"/>
    </xf>
    <xf numFmtId="0" fontId="7" fillId="77" borderId="0" xfId="0" applyFont="1" applyFill="1" applyAlignment="1">
      <alignment horizontal="center" vertical="center" wrapText="1"/>
    </xf>
    <xf numFmtId="0" fontId="16" fillId="77" borderId="6" xfId="0" applyFont="1" applyFill="1" applyBorder="1" applyAlignment="1">
      <alignment horizontal="left" vertical="top"/>
    </xf>
    <xf numFmtId="0" fontId="58" fillId="77" borderId="8" xfId="0" applyFont="1" applyFill="1" applyBorder="1" applyAlignment="1">
      <alignment horizontal="left" vertical="top"/>
    </xf>
    <xf numFmtId="0" fontId="16" fillId="77" borderId="6" xfId="0" applyFont="1" applyFill="1" applyBorder="1" applyAlignment="1">
      <alignment horizontal="left" vertical="top" wrapText="1"/>
    </xf>
    <xf numFmtId="0" fontId="58" fillId="77" borderId="7" xfId="0" applyFont="1" applyFill="1" applyBorder="1" applyAlignment="1">
      <alignment horizontal="left" vertical="top"/>
    </xf>
    <xf numFmtId="0" fontId="143" fillId="0" borderId="0" xfId="0" applyFont="1" applyAlignment="1">
      <alignment horizontal="left" vertical="top" wrapText="1"/>
    </xf>
    <xf numFmtId="0" fontId="58" fillId="0" borderId="0" xfId="0" applyFont="1" applyAlignment="1">
      <alignment horizontal="left" vertical="top" wrapText="1"/>
    </xf>
    <xf numFmtId="0" fontId="16" fillId="77" borderId="8" xfId="0" applyFont="1" applyFill="1" applyBorder="1" applyAlignment="1">
      <alignment horizontal="left" vertical="top"/>
    </xf>
    <xf numFmtId="0" fontId="58" fillId="77" borderId="7" xfId="0" applyFont="1" applyFill="1" applyBorder="1" applyAlignment="1">
      <alignment horizontal="left" vertical="top" wrapText="1"/>
    </xf>
    <xf numFmtId="0" fontId="58" fillId="77" borderId="8" xfId="0" applyFont="1" applyFill="1" applyBorder="1" applyAlignment="1">
      <alignment horizontal="left" vertical="top" wrapText="1"/>
    </xf>
    <xf numFmtId="0" fontId="0" fillId="0" borderId="15" xfId="0" applyBorder="1" applyAlignment="1">
      <alignment horizontal="left"/>
    </xf>
    <xf numFmtId="0" fontId="149" fillId="0" borderId="1" xfId="0" applyFont="1" applyBorder="1" applyAlignment="1">
      <alignment horizontal="left" vertical="center" wrapText="1"/>
    </xf>
    <xf numFmtId="0" fontId="16" fillId="77" borderId="12" xfId="0" applyFont="1" applyFill="1" applyBorder="1" applyAlignment="1">
      <alignment horizontal="center" vertical="center"/>
    </xf>
    <xf numFmtId="0" fontId="149" fillId="0" borderId="1" xfId="0" applyFont="1" applyBorder="1" applyAlignment="1">
      <alignment vertical="top" wrapText="1"/>
    </xf>
    <xf numFmtId="0" fontId="20" fillId="2" borderId="22" xfId="0" applyFont="1" applyFill="1" applyBorder="1" applyAlignment="1">
      <alignment horizontal="left" vertical="top"/>
    </xf>
    <xf numFmtId="0" fontId="20" fillId="2" borderId="23" xfId="0" applyFont="1" applyFill="1" applyBorder="1" applyAlignment="1">
      <alignment horizontal="left" vertical="top"/>
    </xf>
    <xf numFmtId="0" fontId="20" fillId="77" borderId="10" xfId="0" applyFont="1" applyFill="1" applyBorder="1" applyAlignment="1">
      <alignment horizontal="center" vertical="center"/>
    </xf>
    <xf numFmtId="0" fontId="20" fillId="77" borderId="12" xfId="0" applyFont="1" applyFill="1" applyBorder="1" applyAlignment="1">
      <alignment horizontal="center" vertical="center"/>
    </xf>
    <xf numFmtId="0" fontId="20" fillId="2" borderId="1" xfId="0" applyFont="1" applyFill="1" applyBorder="1" applyAlignment="1">
      <alignment horizontal="justify" vertical="top" wrapText="1"/>
    </xf>
    <xf numFmtId="0" fontId="20" fillId="2" borderId="14" xfId="0" applyFont="1" applyFill="1" applyBorder="1" applyAlignment="1">
      <alignment horizontal="justify" vertical="top" wrapText="1"/>
    </xf>
    <xf numFmtId="0" fontId="20" fillId="2" borderId="15" xfId="0" applyFont="1" applyFill="1" applyBorder="1" applyAlignment="1">
      <alignment horizontal="justify" vertical="top" wrapText="1"/>
    </xf>
    <xf numFmtId="0" fontId="20" fillId="2" borderId="16" xfId="0" applyFont="1" applyFill="1" applyBorder="1" applyAlignment="1">
      <alignment horizontal="justify" vertical="top" wrapText="1"/>
    </xf>
    <xf numFmtId="0" fontId="20" fillId="2" borderId="17" xfId="0" applyFont="1" applyFill="1" applyBorder="1" applyAlignment="1">
      <alignment horizontal="justify" vertical="top" wrapText="1"/>
    </xf>
    <xf numFmtId="0" fontId="16" fillId="77" borderId="12" xfId="0" applyFont="1" applyFill="1" applyBorder="1" applyAlignment="1">
      <alignment horizontal="center" vertical="center" wrapText="1"/>
    </xf>
    <xf numFmtId="0" fontId="20" fillId="2" borderId="2" xfId="0" applyFont="1" applyFill="1" applyBorder="1" applyAlignment="1">
      <alignment horizontal="justify" vertical="top" wrapText="1"/>
    </xf>
    <xf numFmtId="0" fontId="20" fillId="2" borderId="3" xfId="0" applyFont="1" applyFill="1" applyBorder="1" applyAlignment="1">
      <alignment horizontal="justify" vertical="top" wrapText="1"/>
    </xf>
    <xf numFmtId="0" fontId="20" fillId="77" borderId="11" xfId="0" applyFont="1" applyFill="1" applyBorder="1" applyAlignment="1">
      <alignment horizontal="center" vertical="center" wrapText="1"/>
    </xf>
    <xf numFmtId="0" fontId="20" fillId="77" borderId="10" xfId="0" applyFont="1" applyFill="1" applyBorder="1" applyAlignment="1">
      <alignment horizontal="center" vertical="center" wrapText="1"/>
    </xf>
    <xf numFmtId="0" fontId="20" fillId="77" borderId="12" xfId="0" applyFont="1" applyFill="1" applyBorder="1" applyAlignment="1">
      <alignment horizontal="center" vertical="center" wrapText="1"/>
    </xf>
    <xf numFmtId="0" fontId="20" fillId="77" borderId="11" xfId="0" applyFont="1" applyFill="1" applyBorder="1" applyAlignment="1">
      <alignment horizontal="center" vertical="center"/>
    </xf>
    <xf numFmtId="0" fontId="26" fillId="0" borderId="1" xfId="4" applyFont="1" applyFill="1" applyBorder="1" applyAlignment="1">
      <alignment horizontal="justify" vertical="top" wrapText="1"/>
    </xf>
    <xf numFmtId="0" fontId="28" fillId="0" borderId="1" xfId="0" applyFont="1" applyBorder="1" applyAlignment="1">
      <alignment horizontal="justify" vertical="top" wrapText="1"/>
    </xf>
    <xf numFmtId="0" fontId="26" fillId="0" borderId="1" xfId="4" applyFont="1" applyBorder="1" applyAlignment="1">
      <alignment horizontal="justify"/>
    </xf>
    <xf numFmtId="49" fontId="28" fillId="0" borderId="1" xfId="0" applyNumberFormat="1" applyFont="1" applyBorder="1" applyAlignment="1">
      <alignment horizontal="justify" vertical="top" wrapText="1"/>
    </xf>
    <xf numFmtId="0" fontId="16" fillId="77" borderId="11" xfId="0" applyFont="1" applyFill="1" applyBorder="1" applyAlignment="1">
      <alignment horizontal="center" vertical="center"/>
    </xf>
    <xf numFmtId="0" fontId="28" fillId="4" borderId="14" xfId="0" applyFont="1" applyFill="1" applyBorder="1" applyAlignment="1">
      <alignment horizontal="justify" vertical="top" wrapText="1"/>
    </xf>
    <xf numFmtId="0" fontId="28" fillId="4" borderId="15" xfId="0" applyFont="1" applyFill="1" applyBorder="1" applyAlignment="1">
      <alignment horizontal="justify" vertical="top" wrapText="1"/>
    </xf>
    <xf numFmtId="0" fontId="28" fillId="0" borderId="10" xfId="0" applyFont="1" applyBorder="1" applyAlignment="1">
      <alignment horizontal="center" vertical="top"/>
    </xf>
    <xf numFmtId="0" fontId="28" fillId="0" borderId="14" xfId="0" applyFont="1" applyBorder="1" applyAlignment="1">
      <alignment horizontal="justify" vertical="top" wrapText="1"/>
    </xf>
    <xf numFmtId="0" fontId="28" fillId="0" borderId="15" xfId="0" applyFont="1" applyBorder="1" applyAlignment="1">
      <alignment horizontal="justify" vertical="top" wrapText="1"/>
    </xf>
    <xf numFmtId="0" fontId="28" fillId="0" borderId="90" xfId="0" applyFont="1" applyBorder="1" applyAlignment="1">
      <alignment horizontal="justify" vertical="top" wrapText="1"/>
    </xf>
    <xf numFmtId="0" fontId="28" fillId="0" borderId="47" xfId="0" applyFont="1" applyBorder="1" applyAlignment="1">
      <alignment horizontal="justify" vertical="top" wrapText="1"/>
    </xf>
    <xf numFmtId="0" fontId="20" fillId="2" borderId="14" xfId="0" applyFont="1" applyFill="1" applyBorder="1" applyAlignment="1">
      <alignment horizontal="center" vertical="top"/>
    </xf>
    <xf numFmtId="0" fontId="20" fillId="2" borderId="89" xfId="0" applyFont="1" applyFill="1" applyBorder="1" applyAlignment="1">
      <alignment horizontal="center" vertical="top"/>
    </xf>
    <xf numFmtId="0" fontId="20" fillId="2" borderId="15" xfId="0" applyFont="1" applyFill="1" applyBorder="1" applyAlignment="1">
      <alignment horizontal="center" vertical="top"/>
    </xf>
    <xf numFmtId="0" fontId="28" fillId="0" borderId="14" xfId="0" applyFont="1" applyBorder="1" applyAlignment="1">
      <alignment horizontal="justify" vertical="center" wrapText="1"/>
    </xf>
    <xf numFmtId="0" fontId="28" fillId="0" borderId="15" xfId="0" applyFont="1" applyBorder="1" applyAlignment="1">
      <alignment horizontal="justify" vertical="center" wrapText="1"/>
    </xf>
    <xf numFmtId="0" fontId="20" fillId="0" borderId="1" xfId="0" applyFont="1" applyBorder="1" applyAlignment="1">
      <alignment horizontal="justify" vertical="center" wrapText="1"/>
    </xf>
    <xf numFmtId="0" fontId="0" fillId="0" borderId="1" xfId="0" applyBorder="1"/>
    <xf numFmtId="0" fontId="26" fillId="0" borderId="1" xfId="4" applyFont="1" applyBorder="1" applyAlignment="1">
      <alignment horizontal="justify" vertical="center" wrapText="1"/>
    </xf>
    <xf numFmtId="0" fontId="56" fillId="77" borderId="12" xfId="0" applyFont="1" applyFill="1" applyBorder="1"/>
    <xf numFmtId="0" fontId="56" fillId="77" borderId="88" xfId="0" applyFont="1" applyFill="1" applyBorder="1"/>
    <xf numFmtId="0" fontId="28" fillId="4" borderId="1" xfId="0" applyFont="1" applyFill="1" applyBorder="1" applyAlignment="1">
      <alignment vertical="top" wrapText="1"/>
    </xf>
    <xf numFmtId="0" fontId="28" fillId="0" borderId="1" xfId="0" applyFont="1" applyBorder="1" applyAlignment="1">
      <alignment horizontal="left" vertical="top" wrapText="1"/>
    </xf>
    <xf numFmtId="0" fontId="20" fillId="5" borderId="14" xfId="0" applyFont="1" applyFill="1" applyBorder="1" applyAlignment="1">
      <alignment horizontal="justify" vertical="top" wrapText="1"/>
    </xf>
    <xf numFmtId="0" fontId="20" fillId="5" borderId="15" xfId="0" applyFont="1" applyFill="1" applyBorder="1" applyAlignment="1">
      <alignment horizontal="justify" vertical="top"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16" fillId="2" borderId="20" xfId="0" applyFont="1" applyFill="1" applyBorder="1" applyAlignment="1">
      <alignment horizontal="center" vertical="center" wrapText="1"/>
    </xf>
    <xf numFmtId="0" fontId="7" fillId="78" borderId="0" xfId="0" applyFont="1" applyFill="1" applyAlignment="1">
      <alignment horizontal="center" vertical="center" wrapText="1"/>
    </xf>
    <xf numFmtId="0" fontId="20" fillId="78" borderId="10" xfId="0" applyFont="1" applyFill="1" applyBorder="1" applyAlignment="1">
      <alignment horizontal="center" vertical="center"/>
    </xf>
    <xf numFmtId="0" fontId="20" fillId="78" borderId="12" xfId="0" applyFont="1" applyFill="1" applyBorder="1" applyAlignment="1">
      <alignment horizontal="center" vertical="center"/>
    </xf>
    <xf numFmtId="0" fontId="20" fillId="78" borderId="11" xfId="0" applyFont="1" applyFill="1" applyBorder="1" applyAlignment="1">
      <alignment horizontal="center" vertical="center" wrapText="1"/>
    </xf>
    <xf numFmtId="0" fontId="20" fillId="78" borderId="11" xfId="0" applyFont="1" applyFill="1" applyBorder="1" applyAlignment="1">
      <alignment horizontal="center"/>
    </xf>
    <xf numFmtId="0" fontId="20" fillId="78" borderId="0" xfId="0" applyFont="1" applyFill="1" applyAlignment="1">
      <alignment horizontal="center" vertical="center" wrapText="1"/>
    </xf>
    <xf numFmtId="0" fontId="20" fillId="78" borderId="12" xfId="0" applyFont="1" applyFill="1" applyBorder="1" applyAlignment="1">
      <alignment horizontal="center" vertical="center" wrapText="1"/>
    </xf>
    <xf numFmtId="0" fontId="16" fillId="78" borderId="6" xfId="0" applyFont="1" applyFill="1" applyBorder="1" applyAlignment="1">
      <alignment horizontal="left" vertical="top"/>
    </xf>
    <xf numFmtId="0" fontId="58" fillId="78" borderId="8" xfId="0" applyFont="1" applyFill="1" applyBorder="1" applyAlignment="1">
      <alignment horizontal="left" vertical="top"/>
    </xf>
    <xf numFmtId="0" fontId="16" fillId="78" borderId="7" xfId="0" applyFont="1" applyFill="1" applyBorder="1" applyAlignment="1">
      <alignment horizontal="left" vertical="top"/>
    </xf>
    <xf numFmtId="0" fontId="20" fillId="78" borderId="0" xfId="0" applyFont="1" applyFill="1" applyAlignment="1">
      <alignment horizontal="center" vertical="center"/>
    </xf>
    <xf numFmtId="0" fontId="20" fillId="78" borderId="11" xfId="0" applyFont="1" applyFill="1" applyBorder="1" applyAlignment="1">
      <alignment horizontal="center" vertical="center"/>
    </xf>
    <xf numFmtId="0" fontId="16" fillId="78" borderId="8" xfId="0" applyFont="1" applyFill="1" applyBorder="1" applyAlignment="1">
      <alignment horizontal="left" vertical="top"/>
    </xf>
    <xf numFmtId="0" fontId="16" fillId="78" borderId="12" xfId="0" applyFont="1" applyFill="1" applyBorder="1" applyAlignment="1">
      <alignment horizontal="center" vertical="center"/>
    </xf>
    <xf numFmtId="0" fontId="20" fillId="2" borderId="14"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58" fillId="78" borderId="7" xfId="0" applyFont="1" applyFill="1" applyBorder="1" applyAlignment="1">
      <alignment horizontal="left" vertical="top"/>
    </xf>
    <xf numFmtId="0" fontId="16" fillId="78" borderId="6" xfId="0" applyFont="1" applyFill="1" applyBorder="1" applyAlignment="1">
      <alignment horizontal="left" vertical="top" wrapText="1"/>
    </xf>
    <xf numFmtId="0" fontId="58" fillId="78" borderId="7" xfId="0" applyFont="1" applyFill="1" applyBorder="1" applyAlignment="1">
      <alignment horizontal="left" vertical="top" wrapText="1"/>
    </xf>
    <xf numFmtId="1" fontId="20" fillId="78" borderId="0" xfId="0" applyNumberFormat="1" applyFont="1" applyFill="1" applyAlignment="1">
      <alignment horizontal="center" vertical="center"/>
    </xf>
    <xf numFmtId="1" fontId="20" fillId="78" borderId="12" xfId="0" applyNumberFormat="1" applyFont="1" applyFill="1" applyBorder="1" applyAlignment="1">
      <alignment horizontal="center" vertical="center"/>
    </xf>
    <xf numFmtId="0" fontId="20" fillId="78" borderId="11" xfId="16" applyFont="1" applyFill="1" applyBorder="1" applyAlignment="1">
      <alignment horizontal="center" vertical="center"/>
    </xf>
    <xf numFmtId="0" fontId="139" fillId="78" borderId="11" xfId="16" applyFont="1" applyFill="1" applyBorder="1" applyAlignment="1">
      <alignment horizontal="center" vertical="center"/>
    </xf>
    <xf numFmtId="0" fontId="20" fillId="78" borderId="10" xfId="0" applyFont="1" applyFill="1" applyBorder="1" applyAlignment="1">
      <alignment horizontal="center" vertical="center" wrapText="1"/>
    </xf>
    <xf numFmtId="0" fontId="16" fillId="78" borderId="5" xfId="0" applyFont="1" applyFill="1" applyBorder="1" applyAlignment="1">
      <alignment horizontal="left" vertical="top" wrapText="1"/>
    </xf>
    <xf numFmtId="0" fontId="16" fillId="78" borderId="5" xfId="0" applyFont="1" applyFill="1" applyBorder="1" applyAlignment="1">
      <alignment horizontal="left" vertical="top"/>
    </xf>
    <xf numFmtId="0" fontId="16" fillId="78" borderId="7" xfId="0" applyFont="1" applyFill="1" applyBorder="1" applyAlignment="1">
      <alignment horizontal="left" vertical="top" wrapText="1"/>
    </xf>
    <xf numFmtId="0" fontId="20" fillId="2" borderId="3" xfId="0" applyFont="1" applyFill="1" applyBorder="1" applyAlignment="1">
      <alignment horizontal="left" vertical="top" wrapText="1"/>
    </xf>
    <xf numFmtId="0" fontId="58" fillId="78" borderId="5" xfId="0" applyFont="1" applyFill="1" applyBorder="1" applyAlignment="1">
      <alignment horizontal="left" vertical="top"/>
    </xf>
    <xf numFmtId="0" fontId="16" fillId="78" borderId="8" xfId="0" applyFont="1" applyFill="1" applyBorder="1" applyAlignment="1">
      <alignment horizontal="left" vertical="top" wrapText="1"/>
    </xf>
    <xf numFmtId="0" fontId="58" fillId="78" borderId="8" xfId="0" applyFont="1" applyFill="1" applyBorder="1" applyAlignment="1">
      <alignment horizontal="left" vertical="top" wrapText="1"/>
    </xf>
    <xf numFmtId="0" fontId="58" fillId="78" borderId="5" xfId="0" applyFont="1" applyFill="1" applyBorder="1" applyAlignment="1">
      <alignment horizontal="left" vertical="top" wrapText="1"/>
    </xf>
    <xf numFmtId="0" fontId="0" fillId="0" borderId="7" xfId="0" applyBorder="1" applyAlignment="1">
      <alignment horizontal="left" vertical="top" wrapText="1"/>
    </xf>
    <xf numFmtId="0" fontId="16" fillId="78" borderId="6" xfId="0" applyFont="1" applyFill="1" applyBorder="1" applyAlignment="1">
      <alignment horizontal="left" vertical="center"/>
    </xf>
    <xf numFmtId="0" fontId="58" fillId="78" borderId="7" xfId="0" applyFont="1" applyFill="1" applyBorder="1" applyAlignment="1">
      <alignment horizontal="left" vertical="center"/>
    </xf>
    <xf numFmtId="0" fontId="16" fillId="78" borderId="5" xfId="0" applyFont="1" applyFill="1" applyBorder="1" applyAlignment="1">
      <alignment horizontal="left" vertical="center"/>
    </xf>
    <xf numFmtId="0" fontId="58" fillId="78" borderId="5" xfId="0" applyFont="1" applyFill="1" applyBorder="1" applyAlignment="1">
      <alignment horizontal="left" vertical="center"/>
    </xf>
    <xf numFmtId="0" fontId="16" fillId="78" borderId="7" xfId="0" applyFont="1" applyFill="1" applyBorder="1" applyAlignment="1">
      <alignment horizontal="left" vertical="center"/>
    </xf>
    <xf numFmtId="0" fontId="16" fillId="78" borderId="6" xfId="0" applyFont="1" applyFill="1" applyBorder="1" applyAlignment="1">
      <alignment horizontal="left" vertical="center" wrapText="1"/>
    </xf>
    <xf numFmtId="0" fontId="16" fillId="78" borderId="7" xfId="0" applyFont="1" applyFill="1" applyBorder="1" applyAlignment="1">
      <alignment horizontal="left" vertical="center" wrapText="1"/>
    </xf>
    <xf numFmtId="0" fontId="16" fillId="78" borderId="8" xfId="0" applyFont="1" applyFill="1" applyBorder="1" applyAlignment="1">
      <alignment horizontal="left" vertical="center" wrapText="1"/>
    </xf>
    <xf numFmtId="0" fontId="16" fillId="78" borderId="5" xfId="0" applyFont="1" applyFill="1" applyBorder="1" applyAlignment="1">
      <alignment horizontal="left" vertical="center" wrapText="1"/>
    </xf>
    <xf numFmtId="0" fontId="58" fillId="78" borderId="5" xfId="0" applyFont="1" applyFill="1" applyBorder="1" applyAlignment="1">
      <alignment horizontal="left" vertical="center" wrapText="1"/>
    </xf>
    <xf numFmtId="0" fontId="7" fillId="79" borderId="0" xfId="0" applyFont="1" applyFill="1" applyAlignment="1">
      <alignment horizontal="center" vertical="center" wrapText="1"/>
    </xf>
    <xf numFmtId="0" fontId="16" fillId="79" borderId="5" xfId="0" applyFont="1" applyFill="1" applyBorder="1" applyAlignment="1">
      <alignment horizontal="left" vertical="top"/>
    </xf>
    <xf numFmtId="0" fontId="58" fillId="79" borderId="5" xfId="0" applyFont="1" applyFill="1" applyBorder="1" applyAlignment="1">
      <alignment horizontal="left" vertical="top"/>
    </xf>
    <xf numFmtId="0" fontId="20" fillId="79" borderId="10" xfId="0" applyFont="1" applyFill="1" applyBorder="1" applyAlignment="1">
      <alignment horizontal="center" vertical="center" wrapText="1"/>
    </xf>
    <xf numFmtId="0" fontId="20" fillId="79" borderId="12" xfId="0" applyFont="1" applyFill="1" applyBorder="1" applyAlignment="1">
      <alignment horizontal="center" vertical="center" wrapText="1"/>
    </xf>
    <xf numFmtId="0" fontId="20" fillId="79" borderId="11" xfId="0" applyFont="1" applyFill="1" applyBorder="1" applyAlignment="1">
      <alignment horizontal="center" vertical="center" wrapText="1"/>
    </xf>
    <xf numFmtId="0" fontId="16" fillId="79" borderId="6" xfId="0" applyFont="1" applyFill="1" applyBorder="1" applyAlignment="1">
      <alignment horizontal="left" vertical="top" wrapText="1"/>
    </xf>
    <xf numFmtId="0" fontId="16" fillId="79" borderId="7" xfId="0" applyFont="1" applyFill="1" applyBorder="1" applyAlignment="1">
      <alignment horizontal="left" vertical="top" wrapText="1"/>
    </xf>
    <xf numFmtId="0" fontId="0" fillId="79" borderId="7" xfId="0" applyFill="1" applyBorder="1" applyAlignment="1">
      <alignment horizontal="left" vertical="top" wrapText="1"/>
    </xf>
    <xf numFmtId="0" fontId="16" fillId="79" borderId="12" xfId="0" applyFont="1" applyFill="1" applyBorder="1" applyAlignment="1">
      <alignment horizontal="center" vertical="center"/>
    </xf>
    <xf numFmtId="0" fontId="16" fillId="79" borderId="5" xfId="0" applyFont="1" applyFill="1" applyBorder="1" applyAlignment="1">
      <alignment horizontal="left" vertical="center"/>
    </xf>
    <xf numFmtId="0" fontId="58" fillId="79" borderId="5" xfId="0" applyFont="1" applyFill="1" applyBorder="1" applyAlignment="1">
      <alignment horizontal="left" vertical="center"/>
    </xf>
    <xf numFmtId="0" fontId="16" fillId="79" borderId="5" xfId="0" applyFont="1" applyFill="1" applyBorder="1" applyAlignment="1">
      <alignment horizontal="left" vertical="top" wrapText="1"/>
    </xf>
    <xf numFmtId="0" fontId="58" fillId="79" borderId="5" xfId="0" applyFont="1" applyFill="1" applyBorder="1" applyAlignment="1">
      <alignment horizontal="left" vertical="top" wrapText="1"/>
    </xf>
    <xf numFmtId="0" fontId="28" fillId="19" borderId="96" xfId="0" applyFont="1" applyFill="1" applyBorder="1" applyAlignment="1">
      <alignment horizontal="center" vertical="center"/>
    </xf>
    <xf numFmtId="0" fontId="28" fillId="19" borderId="0" xfId="0" applyFont="1" applyFill="1" applyAlignment="1">
      <alignment horizontal="center" vertical="center"/>
    </xf>
    <xf numFmtId="0" fontId="20" fillId="79" borderId="11" xfId="0" applyFont="1" applyFill="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vertical="center"/>
    </xf>
    <xf numFmtId="0" fontId="28" fillId="0" borderId="95" xfId="0" applyFont="1" applyBorder="1" applyAlignment="1">
      <alignment horizontal="center" vertical="center"/>
    </xf>
    <xf numFmtId="0" fontId="20" fillId="79" borderId="10" xfId="0" applyFont="1" applyFill="1" applyBorder="1" applyAlignment="1">
      <alignment horizontal="center" vertical="center"/>
    </xf>
    <xf numFmtId="0" fontId="20" fillId="79" borderId="12" xfId="0" applyFont="1" applyFill="1" applyBorder="1" applyAlignment="1">
      <alignment horizontal="center" vertical="center"/>
    </xf>
    <xf numFmtId="0" fontId="16" fillId="79" borderId="12" xfId="0" applyFont="1" applyFill="1" applyBorder="1" applyAlignment="1">
      <alignment horizontal="center" vertical="top"/>
    </xf>
    <xf numFmtId="0" fontId="28" fillId="0" borderId="0" xfId="0" applyFont="1" applyAlignment="1">
      <alignment horizontal="left" vertical="center" wrapText="1" indent="2"/>
    </xf>
    <xf numFmtId="0" fontId="20" fillId="79" borderId="0" xfId="0" applyFont="1" applyFill="1" applyAlignment="1">
      <alignment horizontal="center" vertical="center"/>
    </xf>
    <xf numFmtId="0" fontId="20" fillId="79" borderId="11" xfId="0" applyFont="1" applyFill="1" applyBorder="1" applyAlignment="1">
      <alignment horizontal="center"/>
    </xf>
    <xf numFmtId="0" fontId="16" fillId="79" borderId="5" xfId="0" applyFont="1" applyFill="1" applyBorder="1" applyAlignment="1">
      <alignment horizontal="left" vertical="center" wrapText="1"/>
    </xf>
  </cellXfs>
  <cellStyles count="40">
    <cellStyle name="Hipervínculo" xfId="4" builtinId="8"/>
    <cellStyle name="Millares" xfId="1" builtinId="3"/>
    <cellStyle name="Millares [0]" xfId="2" builtinId="6"/>
    <cellStyle name="Millares 2 2" xfId="26" xr:uid="{8A90391A-D47A-428F-A19A-F108D699A1B5}"/>
    <cellStyle name="Millares 3" xfId="6" xr:uid="{61D8A912-8CEC-454A-B982-878CFCF4650A}"/>
    <cellStyle name="Millares 3 5" xfId="32" xr:uid="{F4664F78-551C-4C53-AF7F-B0A9E31F31AD}"/>
    <cellStyle name="Normal" xfId="0" builtinId="0"/>
    <cellStyle name="Normal 10" xfId="20" xr:uid="{C1EDE16E-A6E5-4068-84F4-D65DAC1E8D58}"/>
    <cellStyle name="Normal 11" xfId="21" xr:uid="{4C48EE43-8335-4774-B6D7-7F13AA944F00}"/>
    <cellStyle name="Normal 2" xfId="5" xr:uid="{412B1EED-F603-45F6-9C33-495F3A369AC7}"/>
    <cellStyle name="Normal 2 2" xfId="11" xr:uid="{D48A49A2-D03B-4708-A89F-1D88A2B0A5DC}"/>
    <cellStyle name="Normal 2 2 2" xfId="23" xr:uid="{860619AD-22E9-47AA-B64E-02F13D0FC875}"/>
    <cellStyle name="Normal 2 3" xfId="31" xr:uid="{0244DF72-CABF-4761-B630-D85CFA457354}"/>
    <cellStyle name="Normal 3" xfId="18" xr:uid="{6ED7BB20-3597-410D-86A1-6F91B4D6C1C0}"/>
    <cellStyle name="Normal 4" xfId="15" xr:uid="{D523A9CF-6EF9-47D4-9B1C-2700D9D7FCC3}"/>
    <cellStyle name="Normal 5" xfId="27" xr:uid="{E85EDEFE-7EE6-4EBC-8C6A-AA7AF01F220C}"/>
    <cellStyle name="Normal_10.1" xfId="33" xr:uid="{9ADB80D4-5122-4E9F-87FD-F75B3D61A0A1}"/>
    <cellStyle name="Normal_10.2" xfId="34" xr:uid="{34D35A5D-CA61-463F-AD06-ADA3EF8A153A}"/>
    <cellStyle name="Normal_10.3" xfId="35" xr:uid="{76622765-1AED-4FA5-9CC9-3B78338EFB6D}"/>
    <cellStyle name="Normal_11.1" xfId="37" xr:uid="{0D26F657-CBA9-4C22-9764-1DC296598489}"/>
    <cellStyle name="Normal_2" xfId="7" xr:uid="{987745E8-5FF9-476B-BA59-8AECF8F6C3BD}"/>
    <cellStyle name="Normal_3" xfId="9" xr:uid="{58C603CA-D047-47AD-9940-2427D9291F26}"/>
    <cellStyle name="Normal_4" xfId="13" xr:uid="{DD4C5CBF-15D6-4D70-8531-F4321299DD16}"/>
    <cellStyle name="Normal_4mortalidad CANTONES 02" xfId="16" xr:uid="{11AF7BB7-0983-4A9D-83B6-0580E2F01009}"/>
    <cellStyle name="Normal_76" xfId="24" xr:uid="{D9104D4A-3D31-4F28-9FBB-A312FDEAE8A6}"/>
    <cellStyle name="Normal_76_1" xfId="25" xr:uid="{7BF6396D-7583-4564-810B-A70E2458942C}"/>
    <cellStyle name="Normal_C1Total" xfId="14" xr:uid="{ED3A4182-D1C6-4747-A87C-9C20AAF5D243}"/>
    <cellStyle name="Normal_C6-11" xfId="29" xr:uid="{BF119317-74AA-4B54-B2DB-B96407A678B0}"/>
    <cellStyle name="Normal_C6-9" xfId="28" xr:uid="{1891113B-671A-40D3-9A8D-7A348E07C90D}"/>
    <cellStyle name="Normal_GRAFICO 2" xfId="12" xr:uid="{C1456071-887D-4F4F-B722-F8432B9A12B8}"/>
    <cellStyle name="Normal_Hoja1" xfId="19" xr:uid="{C13F8A9B-7E6F-44C8-8350-98501FD4DB27}"/>
    <cellStyle name="Normal_Hoja2" xfId="8" xr:uid="{5823B83A-5546-4374-881E-BD647907115B}"/>
    <cellStyle name="Normal_Hoja2_1" xfId="10" xr:uid="{D3946726-4701-4454-843E-BCCE1D3E0A7B}"/>
    <cellStyle name="Normal_Hoja3" xfId="22" xr:uid="{CA33D23F-08EC-4925-A7E8-87BBFC46CBF3}"/>
    <cellStyle name="Normal_ingre med xH en el SP" xfId="30" xr:uid="{2496FB49-3187-4A8F-BB58-DEEE9DD868B5}"/>
    <cellStyle name="Normal_MORTA edad02" xfId="17" xr:uid="{1F9075A8-B8C4-473E-94D1-D2004446EF7B}"/>
    <cellStyle name="Normal_O1 - O2_1" xfId="36" xr:uid="{57B79294-FE0E-43A3-A85D-44E83F45B50B}"/>
    <cellStyle name="Porcentaje" xfId="3" builtinId="5"/>
    <cellStyle name="style1540232781508" xfId="38" xr:uid="{51E23914-2C3F-4B6B-AF39-2FEBD9D2CAE2}"/>
    <cellStyle name="style1540232781774" xfId="39" xr:uid="{A2033E1F-7F26-46DC-BDED-4F4D2F9A6608}"/>
  </cellStyles>
  <dxfs count="1086">
    <dxf>
      <font>
        <color rgb="FF006100"/>
      </font>
      <fill>
        <patternFill>
          <bgColor theme="9" tint="0.59996337778862885"/>
        </patternFill>
      </fill>
    </dxf>
    <dxf>
      <fill>
        <patternFill>
          <bgColor rgb="FFD6E9C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theme" Target="theme/theme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sharedStrings" Target="sharedStrings.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calcChain" Target="calcChain.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styles" Target="styles.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sheetMetadata" Target="metadata.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291.xml"/><Relationship Id="rId2" Type="http://schemas.microsoft.com/office/2011/relationships/chartColorStyle" Target="colors92.xml"/><Relationship Id="rId1" Type="http://schemas.microsoft.com/office/2011/relationships/chartStyle" Target="style92.xml"/></Relationships>
</file>

<file path=xl/charts/_rels/chart11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12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7.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325.xml"/><Relationship Id="rId2" Type="http://schemas.microsoft.com/office/2011/relationships/chartColorStyle" Target="colors101.xml"/><Relationship Id="rId1" Type="http://schemas.microsoft.com/office/2011/relationships/chartStyle" Target="style101.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326.xml"/><Relationship Id="rId2" Type="http://schemas.microsoft.com/office/2011/relationships/chartColorStyle" Target="colors102.xml"/><Relationship Id="rId1" Type="http://schemas.microsoft.com/office/2011/relationships/chartStyle" Target="style102.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31.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2.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52.xml"/><Relationship Id="rId1" Type="http://schemas.microsoft.com/office/2011/relationships/chartStyle" Target="style52.xml"/></Relationships>
</file>

<file path=xl/charts/_rels/chart6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68.xml"/><Relationship Id="rId1" Type="http://schemas.microsoft.com/office/2011/relationships/chartStyle" Target="style6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69.xml"/><Relationship Id="rId1" Type="http://schemas.microsoft.com/office/2011/relationships/chartStyle" Target="style69.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'1.2.1'!$D$13:$D$27</c:f>
              <c:numCache>
                <c:formatCode>###0.0</c:formatCode>
                <c:ptCount val="15"/>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pt idx="12">
                  <c:v>25.535939857825241</c:v>
                </c:pt>
                <c:pt idx="13">
                  <c:v>24.367090052239703</c:v>
                </c:pt>
                <c:pt idx="14">
                  <c:v>20.324118560060416</c:v>
                </c:pt>
              </c:numCache>
            </c:numRef>
          </c:val>
          <c:smooth val="0"/>
          <c:extLst>
            <c:ext xmlns:c16="http://schemas.microsoft.com/office/drawing/2014/chart" uri="{C3380CC4-5D6E-409C-BE32-E72D297353CC}">
              <c16:uniqueId val="{00000000-1378-46BB-A6DD-F76A385022B4}"/>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22703412073476E-2"/>
          <c:y val="0.125"/>
          <c:w val="0.87382174103237098"/>
          <c:h val="0.70183654126567507"/>
        </c:manualLayout>
      </c:layout>
      <c:lineChart>
        <c:grouping val="standard"/>
        <c:varyColors val="0"/>
        <c:ser>
          <c:idx val="0"/>
          <c:order val="0"/>
          <c:tx>
            <c:strRef>
              <c:f>'3.1.2'!$D$11:$D$12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'3.1.2'!$D$13:$D$27</c:f>
              <c:numCache>
                <c:formatCode>0.0</c:formatCode>
                <c:ptCount val="15"/>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pt idx="13">
                  <c:v>98.866646748331846</c:v>
                </c:pt>
                <c:pt idx="14">
                  <c:v>98.904528096017458</c:v>
                </c:pt>
              </c:numCache>
            </c:numRef>
          </c:val>
          <c:smooth val="0"/>
          <c:extLst>
            <c:ext xmlns:c16="http://schemas.microsoft.com/office/drawing/2014/chart" uri="{C3380CC4-5D6E-409C-BE32-E72D297353CC}">
              <c16:uniqueId val="{00000000-2C30-42DA-A432-DE1650130D28}"/>
            </c:ext>
          </c:extLst>
        </c:ser>
        <c:dLbls>
          <c:dLblPos val="t"/>
          <c:showLegendKey val="0"/>
          <c:showVal val="1"/>
          <c:showCatName val="0"/>
          <c:showSerName val="0"/>
          <c:showPercent val="0"/>
          <c:showBubbleSize val="0"/>
        </c:dLbls>
        <c:marker val="1"/>
        <c:smooth val="0"/>
        <c:axId val="222149632"/>
        <c:axId val="221648512"/>
      </c:lineChart>
      <c:catAx>
        <c:axId val="2221496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Años</a:t>
                </a:r>
              </a:p>
            </c:rich>
          </c:tx>
          <c:layout>
            <c:manualLayout>
              <c:xMode val="edge"/>
              <c:yMode val="edge"/>
              <c:x val="0.47805446194225731"/>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1648512"/>
        <c:crosses val="autoZero"/>
        <c:auto val="1"/>
        <c:lblAlgn val="ctr"/>
        <c:lblOffset val="100"/>
        <c:noMultiLvlLbl val="0"/>
      </c:catAx>
      <c:valAx>
        <c:axId val="221648512"/>
        <c:scaling>
          <c:orientation val="minMax"/>
          <c:max val="110"/>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Porcentaje</a:t>
                </a:r>
              </a:p>
            </c:rich>
          </c:tx>
          <c:layout>
            <c:manualLayout>
              <c:xMode val="edge"/>
              <c:yMode val="edge"/>
              <c:x val="2.2222222222222223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214963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'11.1.1.a'!$E$11:$E$12</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'11.1.1.a'!$E$13:$E$27</c:f>
              <c:numCache>
                <c:formatCode>###0.0</c:formatCode>
                <c:ptCount val="15"/>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pt idx="12">
                  <c:v>7.0601535310960699</c:v>
                </c:pt>
                <c:pt idx="13">
                  <c:v>6.7941815223310646</c:v>
                </c:pt>
                <c:pt idx="14">
                  <c:v>5.2618678570582924</c:v>
                </c:pt>
              </c:numCache>
            </c:numRef>
          </c:val>
          <c:extLst>
            <c:ext xmlns:c16="http://schemas.microsoft.com/office/drawing/2014/chart" uri="{C3380CC4-5D6E-409C-BE32-E72D297353CC}">
              <c16:uniqueId val="{00000000-ED71-43A8-A0CF-A2C219C35D56}"/>
            </c:ext>
          </c:extLst>
        </c:ser>
        <c:ser>
          <c:idx val="2"/>
          <c:order val="2"/>
          <c:tx>
            <c:strRef>
              <c:f>'11.1.1.a'!$F$11:$F$12</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'11.1.1.a'!$F$13:$F$27</c:f>
              <c:numCache>
                <c:formatCode>###0.0</c:formatCode>
                <c:ptCount val="15"/>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pt idx="12">
                  <c:v>10.793757984398441</c:v>
                </c:pt>
                <c:pt idx="13">
                  <c:v>10.169208957424265</c:v>
                </c:pt>
                <c:pt idx="14">
                  <c:v>10.015514824974233</c:v>
                </c:pt>
              </c:numCache>
            </c:numRef>
          </c:val>
          <c:extLst>
            <c:ext xmlns:c16="http://schemas.microsoft.com/office/drawing/2014/chart" uri="{C3380CC4-5D6E-409C-BE32-E72D297353CC}">
              <c16:uniqueId val="{00000001-ED71-43A8-A0CF-A2C219C35D56}"/>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'11.1.1.a'!$D$11:$D$12</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71-43A8-A0CF-A2C219C35D56}"/>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1-43A8-A0CF-A2C219C35D56}"/>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71-43A8-A0CF-A2C219C35D56}"/>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1-43A8-A0CF-A2C219C35D56}"/>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71-43A8-A0CF-A2C219C35D56}"/>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71-43A8-A0CF-A2C219C35D56}"/>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71-43A8-A0CF-A2C219C35D5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'11.1.1.a'!$D$13:$D$27</c:f>
              <c:numCache>
                <c:formatCode>###0.0</c:formatCode>
                <c:ptCount val="15"/>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pt idx="12">
                  <c:v>8.0888197518739879</c:v>
                </c:pt>
                <c:pt idx="13">
                  <c:v>7.7252443198242133</c:v>
                </c:pt>
                <c:pt idx="14">
                  <c:v>6.5750995112991015</c:v>
                </c:pt>
              </c:numCache>
            </c:numRef>
          </c:val>
          <c:smooth val="0"/>
          <c:extLst>
            <c:ext xmlns:c16="http://schemas.microsoft.com/office/drawing/2014/chart" uri="{C3380CC4-5D6E-409C-BE32-E72D297353CC}">
              <c16:uniqueId val="{00000009-ED71-43A8-A0CF-A2C219C35D56}"/>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'11.1.1.b'!$D$13:$D$27</c:f>
              <c:numCache>
                <c:formatCode>_(* #\ ##0.000_);_(* \(#\ ##0.000\);_(* "-"??_);_(@_)</c:formatCode>
                <c:ptCount val="15"/>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pt idx="12">
                  <c:v>0.13162033804675571</c:v>
                </c:pt>
                <c:pt idx="13">
                  <c:v>0.21477224848356655</c:v>
                </c:pt>
                <c:pt idx="14">
                  <c:v>0.17204621821283225</c:v>
                </c:pt>
              </c:numCache>
            </c:numRef>
          </c:val>
          <c:smooth val="0"/>
          <c:extLst>
            <c:ext xmlns:c16="http://schemas.microsoft.com/office/drawing/2014/chart" uri="{C3380CC4-5D6E-409C-BE32-E72D297353CC}">
              <c16:uniqueId val="{00000000-BC9F-4E38-9778-DC20464DF53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'11.1.1.c'!$D$13:$D$27</c:f>
              <c:numCache>
                <c:formatCode>_(* #\ ##0.0_);_(* \(#\ ##0.0\);_(* "-"??_);_(@_)</c:formatCode>
                <c:ptCount val="15"/>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pt idx="12">
                  <c:v>0.88169514412638017</c:v>
                </c:pt>
                <c:pt idx="13">
                  <c:v>1.0790495287496629</c:v>
                </c:pt>
                <c:pt idx="14">
                  <c:v>1.3334711812227069</c:v>
                </c:pt>
              </c:numCache>
            </c:numRef>
          </c:val>
          <c:smooth val="0"/>
          <c:extLst>
            <c:ext xmlns:c16="http://schemas.microsoft.com/office/drawing/2014/chart" uri="{C3380CC4-5D6E-409C-BE32-E72D297353CC}">
              <c16:uniqueId val="{00000000-DDDC-4954-BA39-F3F8B9FC0A2E}"/>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D199-4F91-A9AD-9CDA45A7742B}"/>
            </c:ext>
          </c:extLst>
        </c:ser>
        <c:ser>
          <c:idx val="1"/>
          <c:order val="1"/>
          <c:tx>
            <c:v>2021</c:v>
          </c:tx>
          <c:spPr>
            <a:solidFill>
              <a:srgbClr val="FD9D24"/>
            </a:solidFill>
            <a:ln>
              <a:noFill/>
            </a:ln>
            <a:effectLst/>
          </c:spPr>
          <c:invertIfNegative val="0"/>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D199-4F91-A9AD-9CDA45A7742B}"/>
            </c:ext>
          </c:extLst>
        </c:ser>
        <c:ser>
          <c:idx val="2"/>
          <c:order val="2"/>
          <c:tx>
            <c:strRef>
              <c:f>'11.3.2'!$C$17:$C$19</c:f>
              <c:strCache>
                <c:ptCount val="3"/>
                <c:pt idx="0">
                  <c:v>2022</c:v>
                </c:pt>
              </c:strCache>
            </c:strRef>
          </c:tx>
          <c:spPr>
            <a:solidFill>
              <a:schemeClr val="accent3"/>
            </a:solidFill>
            <a:ln>
              <a:noFill/>
            </a:ln>
            <a:effectLst/>
          </c:spPr>
          <c:invertIfNegative val="0"/>
          <c:cat>
            <c:strRef>
              <c:f>'11.3.2'!$D$11:$D$13</c:f>
              <c:strCache>
                <c:ptCount val="3"/>
                <c:pt idx="0">
                  <c:v>Con PR cantonal</c:v>
                </c:pt>
                <c:pt idx="1">
                  <c:v>Con PR parcial</c:v>
                </c:pt>
                <c:pt idx="2">
                  <c:v>Sin PR</c:v>
                </c:pt>
              </c:strCache>
            </c:strRef>
          </c:cat>
          <c:val>
            <c:numRef>
              <c:f>'11.3.2'!$E$17:$E$19</c:f>
              <c:numCache>
                <c:formatCode>General</c:formatCode>
                <c:ptCount val="3"/>
                <c:pt idx="0">
                  <c:v>17</c:v>
                </c:pt>
                <c:pt idx="1">
                  <c:v>25</c:v>
                </c:pt>
                <c:pt idx="2">
                  <c:v>40</c:v>
                </c:pt>
              </c:numCache>
            </c:numRef>
          </c:val>
          <c:extLst>
            <c:ext xmlns:c16="http://schemas.microsoft.com/office/drawing/2014/chart" uri="{C3380CC4-5D6E-409C-BE32-E72D297353CC}">
              <c16:uniqueId val="{00000002-D199-4F91-A9AD-9CDA45A7742B}"/>
            </c:ext>
          </c:extLst>
        </c:ser>
        <c:ser>
          <c:idx val="3"/>
          <c:order val="3"/>
          <c:tx>
            <c:strRef>
              <c:f>'11.3.2'!$C$20:$C$22</c:f>
              <c:strCache>
                <c:ptCount val="3"/>
                <c:pt idx="0">
                  <c:v>2023</c:v>
                </c:pt>
              </c:strCache>
            </c:strRef>
          </c:tx>
          <c:spPr>
            <a:solidFill>
              <a:schemeClr val="accent4"/>
            </a:solidFill>
            <a:ln>
              <a:noFill/>
            </a:ln>
            <a:effectLst/>
          </c:spPr>
          <c:invertIfNegative val="0"/>
          <c:cat>
            <c:strRef>
              <c:f>'11.3.2'!$D$11:$D$13</c:f>
              <c:strCache>
                <c:ptCount val="3"/>
                <c:pt idx="0">
                  <c:v>Con PR cantonal</c:v>
                </c:pt>
                <c:pt idx="1">
                  <c:v>Con PR parcial</c:v>
                </c:pt>
                <c:pt idx="2">
                  <c:v>Sin PR</c:v>
                </c:pt>
              </c:strCache>
            </c:strRef>
          </c:cat>
          <c:val>
            <c:numRef>
              <c:f>'11.3.2'!$E$20:$E$22</c:f>
              <c:numCache>
                <c:formatCode>General</c:formatCode>
                <c:ptCount val="3"/>
                <c:pt idx="0">
                  <c:v>22</c:v>
                </c:pt>
                <c:pt idx="1">
                  <c:v>21</c:v>
                </c:pt>
                <c:pt idx="2">
                  <c:v>41</c:v>
                </c:pt>
              </c:numCache>
            </c:numRef>
          </c:val>
          <c:extLst>
            <c:ext xmlns:c16="http://schemas.microsoft.com/office/drawing/2014/chart" uri="{C3380CC4-5D6E-409C-BE32-E72D297353CC}">
              <c16:uniqueId val="{00000003-D199-4F91-A9AD-9CDA45A7742B}"/>
            </c:ext>
          </c:extLst>
        </c:ser>
        <c:ser>
          <c:idx val="4"/>
          <c:order val="4"/>
          <c:tx>
            <c:strRef>
              <c:f>'11.3.2'!$C$23:$C$25</c:f>
              <c:strCache>
                <c:ptCount val="3"/>
                <c:pt idx="0">
                  <c:v>2024</c:v>
                </c:pt>
              </c:strCache>
            </c:strRef>
          </c:tx>
          <c:spPr>
            <a:solidFill>
              <a:schemeClr val="accent5"/>
            </a:solidFill>
            <a:ln>
              <a:noFill/>
            </a:ln>
            <a:effectLst/>
          </c:spPr>
          <c:invertIfNegative val="0"/>
          <c:cat>
            <c:strRef>
              <c:f>'11.3.2'!$D$11:$D$13</c:f>
              <c:strCache>
                <c:ptCount val="3"/>
                <c:pt idx="0">
                  <c:v>Con PR cantonal</c:v>
                </c:pt>
                <c:pt idx="1">
                  <c:v>Con PR parcial</c:v>
                </c:pt>
                <c:pt idx="2">
                  <c:v>Sin PR</c:v>
                </c:pt>
              </c:strCache>
            </c:strRef>
          </c:cat>
          <c:val>
            <c:numRef>
              <c:f>'11.3.2'!$E$23:$E$25</c:f>
              <c:numCache>
                <c:formatCode>General</c:formatCode>
                <c:ptCount val="3"/>
                <c:pt idx="0">
                  <c:v>22</c:v>
                </c:pt>
                <c:pt idx="1">
                  <c:v>21</c:v>
                </c:pt>
                <c:pt idx="2">
                  <c:v>41</c:v>
                </c:pt>
              </c:numCache>
            </c:numRef>
          </c:val>
          <c:extLst>
            <c:ext xmlns:c16="http://schemas.microsoft.com/office/drawing/2014/chart" uri="{C3380CC4-5D6E-409C-BE32-E72D297353CC}">
              <c16:uniqueId val="{00000004-D199-4F91-A9AD-9CDA45A7742B}"/>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Estado de Planes Reguladores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Cantidad de cantones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60950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'11.7.2'!$O$30</c:f>
              <c:strCache>
                <c:ptCount val="1"/>
                <c:pt idx="0">
                  <c:v>Hombres</c:v>
                </c:pt>
              </c:strCache>
            </c:strRef>
          </c:tx>
          <c:spPr>
            <a:solidFill>
              <a:schemeClr val="bg1">
                <a:lumMod val="65000"/>
              </a:schemeClr>
            </a:solidFill>
            <a:ln>
              <a:noFill/>
            </a:ln>
            <a:effectLst/>
          </c:spPr>
          <c:invertIfNegative val="0"/>
          <c:cat>
            <c:numRef>
              <c:f>'11.7.2'!$C$15:$C$24</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'11.7.2'!$O$31:$O$40</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469A-473D-B3CE-B94975F773A9}"/>
            </c:ext>
          </c:extLst>
        </c:ser>
        <c:ser>
          <c:idx val="1"/>
          <c:order val="1"/>
          <c:tx>
            <c:strRef>
              <c:f>'11.7.2'!$P$30</c:f>
              <c:strCache>
                <c:ptCount val="1"/>
                <c:pt idx="0">
                  <c:v>Mujeres</c:v>
                </c:pt>
              </c:strCache>
            </c:strRef>
          </c:tx>
          <c:spPr>
            <a:solidFill>
              <a:srgbClr val="FD9D24"/>
            </a:solidFill>
            <a:ln>
              <a:noFill/>
            </a:ln>
            <a:effectLst/>
          </c:spPr>
          <c:invertIfNegative val="0"/>
          <c:cat>
            <c:numRef>
              <c:f>'11.7.2'!$C$15:$C$24</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'11.7.2'!$P$31:$P$40</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469A-473D-B3CE-B94975F773A9}"/>
            </c:ext>
          </c:extLst>
        </c:ser>
        <c:dLbls>
          <c:showLegendKey val="0"/>
          <c:showVal val="0"/>
          <c:showCatName val="0"/>
          <c:showSerName val="0"/>
          <c:showPercent val="0"/>
          <c:showBubbleSize val="0"/>
        </c:dLbls>
        <c:gapWidth val="219"/>
        <c:overlap val="-27"/>
        <c:axId val="354515344"/>
        <c:axId val="354523664"/>
      </c:barChart>
      <c:catAx>
        <c:axId val="35451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23664"/>
        <c:crosses val="autoZero"/>
        <c:auto val="1"/>
        <c:lblAlgn val="ctr"/>
        <c:lblOffset val="100"/>
        <c:noMultiLvlLbl val="0"/>
      </c:catAx>
      <c:valAx>
        <c:axId val="354523664"/>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5451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'12.2.2'!$D$11</c:f>
              <c:strCache>
                <c:ptCount val="1"/>
                <c:pt idx="0">
                  <c:v>Términos absolutos
(miles de toneladas)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Pt>
            <c:idx val="1"/>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1-7FA9-49CD-8D43-E954F7FF9AE7}"/>
              </c:ext>
            </c:extLst>
          </c:dPt>
          <c:dPt>
            <c:idx val="2"/>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3-7FA9-49CD-8D43-E954F7FF9AE7}"/>
              </c:ext>
            </c:extLst>
          </c:dPt>
          <c:dPt>
            <c:idx val="3"/>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5-7FA9-49CD-8D43-E954F7FF9AE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'12.2.2'!$D$12:$D$21</c:f>
              <c:numCache>
                <c:formatCode>#,##0</c:formatCode>
                <c:ptCount val="10"/>
                <c:pt idx="0">
                  <c:v>46306.819999999992</c:v>
                </c:pt>
                <c:pt idx="1">
                  <c:v>46710.9</c:v>
                </c:pt>
                <c:pt idx="2">
                  <c:v>46189.009999999995</c:v>
                </c:pt>
                <c:pt idx="3">
                  <c:v>48126.97</c:v>
                </c:pt>
                <c:pt idx="4">
                  <c:v>48671.73</c:v>
                </c:pt>
                <c:pt idx="5">
                  <c:v>48153.05</c:v>
                </c:pt>
                <c:pt idx="6">
                  <c:v>46822.855848227002</c:v>
                </c:pt>
                <c:pt idx="7">
                  <c:v>47711.408668375007</c:v>
                </c:pt>
                <c:pt idx="8">
                  <c:v>47758.535003682795</c:v>
                </c:pt>
                <c:pt idx="9">
                  <c:v>48604.38922165351</c:v>
                </c:pt>
              </c:numCache>
            </c:numRef>
          </c:val>
          <c:smooth val="0"/>
          <c:extLst>
            <c:ext xmlns:c16="http://schemas.microsoft.com/office/drawing/2014/chart" uri="{C3380CC4-5D6E-409C-BE32-E72D297353CC}">
              <c16:uniqueId val="{00000006-7FA9-49CD-8D43-E954F7FF9AE7}"/>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'12.2.2'!$E$11</c:f>
              <c:strCache>
                <c:ptCount val="1"/>
                <c:pt idx="0">
                  <c:v>Per cápita
(toneladas per cápita)</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'12.2.2'!$E$12:$E$21</c:f>
              <c:numCache>
                <c:formatCode>0.00</c:formatCode>
                <c:ptCount val="10"/>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9.1607728514552758</c:v>
                </c:pt>
                <c:pt idx="9">
                  <c:v>9.2364500537800769</c:v>
                </c:pt>
              </c:numCache>
            </c:numRef>
          </c:val>
          <c:smooth val="0"/>
          <c:extLst>
            <c:ext xmlns:c16="http://schemas.microsoft.com/office/drawing/2014/chart" uri="{C3380CC4-5D6E-409C-BE32-E72D297353CC}">
              <c16:uniqueId val="{00000000-2BC7-4E33-82A1-A652199559B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'12.2.2'!$F$11</c:f>
              <c:strCache>
                <c:ptCount val="1"/>
                <c:pt idx="0">
                  <c:v>Por PIB
(Kg por millones de colones*)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'12.2.2'!$F$12:$F$21</c:f>
              <c:numCache>
                <c:formatCode>#,##0.00</c:formatCode>
                <c:ptCount val="10"/>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1.2248622292298053</c:v>
                </c:pt>
                <c:pt idx="9">
                  <c:v>1.1859319232005228</c:v>
                </c:pt>
              </c:numCache>
            </c:numRef>
          </c:val>
          <c:smooth val="0"/>
          <c:extLst>
            <c:ext xmlns:c16="http://schemas.microsoft.com/office/drawing/2014/chart" uri="{C3380CC4-5D6E-409C-BE32-E72D297353CC}">
              <c16:uniqueId val="{00000000-C625-4C2A-B411-FBAA53F23A5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rgbClr val="CC8900"/>
              </a:solidFill>
              <a:round/>
            </a:ln>
            <a:effectLst/>
          </c:spPr>
          <c:marker>
            <c:symbol val="circle"/>
            <c:size val="5"/>
            <c:spPr>
              <a:solidFill>
                <a:srgbClr val="CC8900"/>
              </a:solidFill>
              <a:ln w="9525">
                <a:solidFill>
                  <a:srgbClr val="CC8900"/>
                </a:solidFill>
              </a:ln>
              <a:effectLst/>
            </c:spPr>
          </c:marker>
          <c:cat>
            <c:numRef>
              <c:f>'12.4.2'!$C$12:$C$19</c:f>
              <c:numCache>
                <c:formatCode>General</c:formatCode>
                <c:ptCount val="8"/>
                <c:pt idx="0">
                  <c:v>2016</c:v>
                </c:pt>
                <c:pt idx="1">
                  <c:v>2017</c:v>
                </c:pt>
                <c:pt idx="2">
                  <c:v>2018</c:v>
                </c:pt>
                <c:pt idx="3">
                  <c:v>2019</c:v>
                </c:pt>
                <c:pt idx="4">
                  <c:v>2020</c:v>
                </c:pt>
                <c:pt idx="5">
                  <c:v>2021</c:v>
                </c:pt>
                <c:pt idx="6">
                  <c:v>2022</c:v>
                </c:pt>
                <c:pt idx="7">
                  <c:v>2023</c:v>
                </c:pt>
              </c:numCache>
            </c:numRef>
          </c:cat>
          <c:val>
            <c:numRef>
              <c:f>'12.4.2'!$D$12:$D$19</c:f>
              <c:numCache>
                <c:formatCode>###\ ###\ ###\ ###</c:formatCode>
                <c:ptCount val="8"/>
                <c:pt idx="0">
                  <c:v>28928955</c:v>
                </c:pt>
                <c:pt idx="1">
                  <c:v>31971645</c:v>
                </c:pt>
                <c:pt idx="2">
                  <c:v>31342355.66</c:v>
                </c:pt>
                <c:pt idx="3">
                  <c:v>31267741.890000001</c:v>
                </c:pt>
                <c:pt idx="4">
                  <c:v>29825114.300000001</c:v>
                </c:pt>
                <c:pt idx="5">
                  <c:v>57281577.960000001</c:v>
                </c:pt>
                <c:pt idx="6">
                  <c:v>33291766.969999999</c:v>
                </c:pt>
                <c:pt idx="7">
                  <c:v>33866423.390000001</c:v>
                </c:pt>
              </c:numCache>
            </c:numRef>
          </c:val>
          <c:smooth val="0"/>
          <c:extLst>
            <c:ext xmlns:c16="http://schemas.microsoft.com/office/drawing/2014/chart" uri="{C3380CC4-5D6E-409C-BE32-E72D297353CC}">
              <c16:uniqueId val="{00000000-4997-46E5-81B6-9F296E5C73DF}"/>
            </c:ext>
          </c:extLst>
        </c:ser>
        <c:dLbls>
          <c:showLegendKey val="0"/>
          <c:showVal val="0"/>
          <c:showCatName val="0"/>
          <c:showSerName val="0"/>
          <c:showPercent val="0"/>
          <c:showBubbleSize val="0"/>
        </c:dLbls>
        <c:marker val="1"/>
        <c:smooth val="0"/>
        <c:axId val="1980678112"/>
        <c:axId val="1980671872"/>
      </c:lineChart>
      <c:catAx>
        <c:axId val="198067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1872"/>
        <c:crossesAt val="0"/>
        <c:auto val="1"/>
        <c:lblAlgn val="ctr"/>
        <c:lblOffset val="100"/>
        <c:noMultiLvlLbl val="0"/>
      </c:catAx>
      <c:valAx>
        <c:axId val="1980671872"/>
        <c:scaling>
          <c:orientation val="minMax"/>
        </c:scaling>
        <c:delete val="0"/>
        <c:axPos val="l"/>
        <c:numFmt formatCode="####\ ###\ ##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'12.5.1'!$D$12:$E$12</c:f>
              <c:strCache>
                <c:ptCount val="1"/>
                <c:pt idx="0">
                  <c:v>2017</c:v>
                </c:pt>
              </c:strCache>
            </c:strRef>
          </c:tx>
          <c:spPr>
            <a:solidFill>
              <a:schemeClr val="bg1">
                <a:lumMod val="65000"/>
              </a:schemeClr>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'12.5.1'!$D$14:$D$21</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15B-44F4-9CD5-17463E7AE0FC}"/>
            </c:ext>
          </c:extLst>
        </c:ser>
        <c:ser>
          <c:idx val="2"/>
          <c:order val="1"/>
          <c:tx>
            <c:strRef>
              <c:f>'12.5.1'!$F$12:$G$12</c:f>
              <c:strCache>
                <c:ptCount val="1"/>
                <c:pt idx="0">
                  <c:v>2018</c:v>
                </c:pt>
              </c:strCache>
            </c:strRef>
          </c:tx>
          <c:spPr>
            <a:solidFill>
              <a:srgbClr val="BF8B2E"/>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'12.5.1'!$F$14:$F$21</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15B-44F4-9CD5-17463E7AE0FC}"/>
            </c:ext>
          </c:extLst>
        </c:ser>
        <c:ser>
          <c:idx val="1"/>
          <c:order val="2"/>
          <c:tx>
            <c:strRef>
              <c:f>'12.5.1'!$H$12:$I$12</c:f>
              <c:strCache>
                <c:ptCount val="1"/>
                <c:pt idx="0">
                  <c:v>2019</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'12.5.1'!$H$14:$H$21</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2-315B-44F4-9CD5-17463E7AE0FC}"/>
            </c:ext>
          </c:extLst>
        </c:ser>
        <c:ser>
          <c:idx val="3"/>
          <c:order val="3"/>
          <c:tx>
            <c:strRef>
              <c:f>'12.5.1'!$J$12:$K$12</c:f>
              <c:strCache>
                <c:ptCount val="1"/>
                <c:pt idx="0">
                  <c:v>2020</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'12.5.1'!$J$14:$J$21</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3-315B-44F4-9CD5-17463E7AE0FC}"/>
            </c:ext>
          </c:extLst>
        </c:ser>
        <c:ser>
          <c:idx val="4"/>
          <c:order val="4"/>
          <c:tx>
            <c:strRef>
              <c:f>'12.5.1'!$L$12:$M$12</c:f>
              <c:strCache>
                <c:ptCount val="1"/>
                <c:pt idx="0">
                  <c:v>2021</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'12.5.1'!$L$14:$L$21</c:f>
              <c:numCache>
                <c:formatCode>0.00</c:formatCode>
                <c:ptCount val="8"/>
                <c:pt idx="0">
                  <c:v>12.2</c:v>
                </c:pt>
                <c:pt idx="1">
                  <c:v>4.4800000000000004</c:v>
                </c:pt>
                <c:pt idx="2">
                  <c:v>32.76</c:v>
                </c:pt>
                <c:pt idx="3">
                  <c:v>32.630000000000003</c:v>
                </c:pt>
                <c:pt idx="4">
                  <c:v>12.19</c:v>
                </c:pt>
                <c:pt idx="5">
                  <c:v>2.56</c:v>
                </c:pt>
                <c:pt idx="6">
                  <c:v>0.09</c:v>
                </c:pt>
                <c:pt idx="7">
                  <c:v>3.09</c:v>
                </c:pt>
              </c:numCache>
            </c:numRef>
          </c:val>
          <c:extLst>
            <c:ext xmlns:c16="http://schemas.microsoft.com/office/drawing/2014/chart" uri="{C3380CC4-5D6E-409C-BE32-E72D297353CC}">
              <c16:uniqueId val="{00000004-315B-44F4-9CD5-17463E7AE0FC}"/>
            </c:ext>
          </c:extLst>
        </c:ser>
        <c:ser>
          <c:idx val="5"/>
          <c:order val="5"/>
          <c:tx>
            <c:strRef>
              <c:f>'12.5.1'!$N$12:$O$12</c:f>
              <c:strCache>
                <c:ptCount val="1"/>
                <c:pt idx="0">
                  <c:v>2022</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'12.5.1'!$N$14:$N$21</c:f>
              <c:numCache>
                <c:formatCode>0.00%</c:formatCode>
                <c:ptCount val="8"/>
                <c:pt idx="0">
                  <c:v>0.16500000000000001</c:v>
                </c:pt>
                <c:pt idx="1">
                  <c:v>1E-3</c:v>
                </c:pt>
                <c:pt idx="2">
                  <c:v>5.2999999999999999E-2</c:v>
                </c:pt>
                <c:pt idx="3">
                  <c:v>0.58199999999999996</c:v>
                </c:pt>
                <c:pt idx="4">
                  <c:v>0.13800000000000001</c:v>
                </c:pt>
                <c:pt idx="5">
                  <c:v>5.0000000000000001E-3</c:v>
                </c:pt>
                <c:pt idx="6">
                  <c:v>1.7999999999999999E-2</c:v>
                </c:pt>
                <c:pt idx="7">
                  <c:v>3.6999999999999998E-2</c:v>
                </c:pt>
              </c:numCache>
            </c:numRef>
          </c:val>
          <c:extLst>
            <c:ext xmlns:c16="http://schemas.microsoft.com/office/drawing/2014/chart" uri="{C3380CC4-5D6E-409C-BE32-E72D297353CC}">
              <c16:uniqueId val="{00000005-315B-44F4-9CD5-17463E7AE0FC}"/>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71828521451E-2"/>
          <c:y val="0.10185185185185185"/>
          <c:w val="0.88116907261592314"/>
          <c:h val="0.69257728200641588"/>
        </c:manualLayout>
      </c:layout>
      <c:lineChart>
        <c:grouping val="standard"/>
        <c:varyColors val="0"/>
        <c:ser>
          <c:idx val="0"/>
          <c:order val="0"/>
          <c:tx>
            <c:strRef>
              <c:f>'3.2.1'!$D$11:$D$12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'3.2.1'!$D$13:$D$27</c:f>
              <c:numCache>
                <c:formatCode>0.0</c:formatCode>
                <c:ptCount val="15"/>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10.779451670253579</c:v>
                </c:pt>
                <c:pt idx="13">
                  <c:v>11.114430833582313</c:v>
                </c:pt>
                <c:pt idx="14">
                  <c:v>11.674849972722313</c:v>
                </c:pt>
              </c:numCache>
            </c:numRef>
          </c:val>
          <c:smooth val="0"/>
          <c:extLst>
            <c:ext xmlns:c16="http://schemas.microsoft.com/office/drawing/2014/chart" uri="{C3380CC4-5D6E-409C-BE32-E72D297353CC}">
              <c16:uniqueId val="{00000000-0704-4471-8870-9DCB78158CC1}"/>
            </c:ext>
          </c:extLst>
        </c:ser>
        <c:dLbls>
          <c:dLblPos val="t"/>
          <c:showLegendKey val="0"/>
          <c:showVal val="1"/>
          <c:showCatName val="0"/>
          <c:showSerName val="0"/>
          <c:showPercent val="0"/>
          <c:showBubbleSize val="0"/>
        </c:dLbls>
        <c:marker val="1"/>
        <c:smooth val="0"/>
        <c:axId val="224323072"/>
        <c:axId val="223379456"/>
      </c:lineChart>
      <c:catAx>
        <c:axId val="2243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79456"/>
        <c:crosses val="autoZero"/>
        <c:auto val="1"/>
        <c:lblAlgn val="ctr"/>
        <c:lblOffset val="100"/>
        <c:noMultiLvlLbl val="0"/>
      </c:catAx>
      <c:valAx>
        <c:axId val="223379456"/>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323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'12.a.1'!$F$12</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'12.a.1'!$C$13:$C$24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'12.a.1'!$F$13:$F$24</c:f>
              <c:numCache>
                <c:formatCode>_-* #\ ##0.0_-;\-* #\ ##0.0_-;_-* "-"??_-;_-@_-</c:formatCode>
                <c:ptCount val="12"/>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numCache>
            </c:numRef>
          </c:val>
          <c:smooth val="0"/>
          <c:extLst>
            <c:ext xmlns:c16="http://schemas.microsoft.com/office/drawing/2014/chart" uri="{C3380CC4-5D6E-409C-BE32-E72D297353CC}">
              <c16:uniqueId val="{00000000-B03D-481B-86D9-255F6F54D808}"/>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9814-49F9-96A1-49EC4035137C}"/>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9814-49F9-96A1-49EC4035137C}"/>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'13.1.3'!$N$31:$N$32</c:f>
              <c:strCache>
                <c:ptCount val="2"/>
                <c:pt idx="0">
                  <c:v>Adoptan y aplican estrategias de reducción del riesgo</c:v>
                </c:pt>
                <c:pt idx="1">
                  <c:v>No adoptan estrategias</c:v>
                </c:pt>
              </c:strCache>
            </c:strRef>
          </c:cat>
          <c:val>
            <c:numRef>
              <c:f>'13.1.3'!$O$31:$O$32</c:f>
              <c:numCache>
                <c:formatCode>0.00</c:formatCode>
                <c:ptCount val="2"/>
                <c:pt idx="0">
                  <c:v>96.428571428571431</c:v>
                </c:pt>
                <c:pt idx="1">
                  <c:v>3.5714285714285694</c:v>
                </c:pt>
              </c:numCache>
            </c:numRef>
          </c:val>
          <c:extLst>
            <c:ext xmlns:c16="http://schemas.microsoft.com/office/drawing/2014/chart" uri="{C3380CC4-5D6E-409C-BE32-E72D297353CC}">
              <c16:uniqueId val="{00000004-9814-49F9-96A1-49EC403513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Entry>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'14.5.1'!$D$38:$D$46</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A87-4C22-9CDB-145F60C301CA}"/>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sz="1100"/>
                  <a:t>Cantidad</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'14.5.1'!$D$15:$D$23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390C-4383-B3A2-7C4BEB02A0B5}"/>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Cantidad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'15.1.1'!$E$14:$E$15</c:f>
              <c:strCache>
                <c:ptCount val="2"/>
                <c:pt idx="0">
                  <c:v>58,14</c:v>
                </c:pt>
                <c:pt idx="1">
                  <c:v>41,86</c:v>
                </c:pt>
              </c:strCache>
            </c:strRef>
          </c:tx>
          <c:dPt>
            <c:idx val="0"/>
            <c:bubble3D val="0"/>
            <c:spPr>
              <a:solidFill>
                <a:srgbClr val="56C02B"/>
              </a:solidFill>
              <a:ln w="19050">
                <a:solidFill>
                  <a:schemeClr val="lt1"/>
                </a:solidFill>
              </a:ln>
              <a:effectLst/>
            </c:spPr>
            <c:extLst>
              <c:ext xmlns:c16="http://schemas.microsoft.com/office/drawing/2014/chart" uri="{C3380CC4-5D6E-409C-BE32-E72D297353CC}">
                <c16:uniqueId val="{00000001-1C89-480B-9AFE-0B60EEDCF7D0}"/>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1C89-480B-9AFE-0B60EEDCF7D0}"/>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9-480B-9AFE-0B60EEDCF7D0}"/>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9-480B-9AFE-0B60EEDCF7D0}"/>
                </c:ext>
              </c:extLst>
            </c:dLbl>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'15.1.1'!$C$25:$C$26</c:f>
              <c:strCache>
                <c:ptCount val="2"/>
                <c:pt idx="0">
                  <c:v>Área con cobertura forestal</c:v>
                </c:pt>
                <c:pt idx="1">
                  <c:v>Área sin cobertura forestal</c:v>
                </c:pt>
              </c:strCache>
            </c:strRef>
          </c:cat>
          <c:val>
            <c:numRef>
              <c:f>'15.1.1'!$E$36:$E$37</c:f>
              <c:numCache>
                <c:formatCode>###\ ###\ ##0.00</c:formatCode>
                <c:ptCount val="2"/>
                <c:pt idx="0">
                  <c:v>57.46</c:v>
                </c:pt>
                <c:pt idx="1">
                  <c:v>42.54</c:v>
                </c:pt>
              </c:numCache>
            </c:numRef>
          </c:val>
          <c:extLst>
            <c:ext xmlns:c16="http://schemas.microsoft.com/office/drawing/2014/chart" uri="{C3380CC4-5D6E-409C-BE32-E72D297353CC}">
              <c16:uniqueId val="{00000004-1C89-480B-9AFE-0B60EEDCF7D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1787228692221861"/>
          <c:y val="0.72005799879439913"/>
          <c:w val="0.24954751913495843"/>
          <c:h val="0.23159578258644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'15.4.2'!$G$11:$H$11</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'15.4.2'!$G$13:$G$19</c15:sqref>
                  </c15:fullRef>
                </c:ext>
              </c:extLst>
              <c:f>'15.4.2'!$G$14:$G$18</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A92C-477C-8BD2-2FFD53013BD9}"/>
            </c:ext>
          </c:extLst>
        </c:ser>
        <c:ser>
          <c:idx val="6"/>
          <c:order val="1"/>
          <c:tx>
            <c:strRef>
              <c:f>'15.4.2'!$J$11:$K$11</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'15.4.2'!$J$13:$J$19</c15:sqref>
                  </c15:fullRef>
                </c:ext>
              </c:extLst>
              <c:f>'15.4.2'!$J$14:$J$18</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A92C-477C-8BD2-2FFD53013BD9}"/>
            </c:ext>
          </c:extLst>
        </c:ser>
        <c:ser>
          <c:idx val="9"/>
          <c:order val="2"/>
          <c:tx>
            <c:strRef>
              <c:f>'15.4.2'!$M$11:$N$11</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'15.4.2'!$M$13:$M$19</c15:sqref>
                  </c15:fullRef>
                </c:ext>
              </c:extLst>
              <c:f>'15.4.2'!$M$14:$M$18</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A92C-477C-8BD2-2FFD53013BD9}"/>
            </c:ext>
          </c:extLst>
        </c:ser>
        <c:ser>
          <c:idx val="12"/>
          <c:order val="3"/>
          <c:tx>
            <c:strRef>
              <c:f>'15.4.2'!$P$11:$Q$11</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'15.4.2'!$P$13:$P$19</c15:sqref>
                  </c15:fullRef>
                </c:ext>
              </c:extLst>
              <c:f>'15.4.2'!$P$14:$P$18</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A92C-477C-8BD2-2FFD53013BD9}"/>
            </c:ext>
          </c:extLst>
        </c:ser>
        <c:ser>
          <c:idx val="15"/>
          <c:order val="4"/>
          <c:tx>
            <c:strRef>
              <c:f>'15.4.2'!$S$11:$T$11</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'15.4.2'!$S$13:$S$19</c15:sqref>
                  </c15:fullRef>
                </c:ext>
              </c:extLst>
              <c:f>'15.4.2'!$S$14:$S$18</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A92C-477C-8BD2-2FFD53013BD9}"/>
            </c:ext>
          </c:extLst>
        </c:ser>
        <c:ser>
          <c:idx val="18"/>
          <c:order val="5"/>
          <c:tx>
            <c:strRef>
              <c:f>'15.4.2'!$V$11:$W$11</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'15.4.2'!$V$13:$V$19</c15:sqref>
                  </c15:fullRef>
                </c:ext>
              </c:extLst>
              <c:f>'15.4.2'!$V$14:$V$18</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A92C-477C-8BD2-2FFD53013BD9}"/>
            </c:ext>
          </c:extLst>
        </c:ser>
        <c:ser>
          <c:idx val="1"/>
          <c:order val="6"/>
          <c:tx>
            <c:strRef>
              <c:f>'15.4.2'!$Y$11:$Z$11</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'15.4.2'!$Y$13:$Y$19</c15:sqref>
                  </c15:fullRef>
                </c:ext>
              </c:extLst>
              <c:f>'15.4.2'!$Y$14:$Y$18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A92C-477C-8BD2-2FFD53013BD9}"/>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Categoría Kapos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'15.5.1'!$D$11</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'15.5.1'!$D$12:$D$40</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38FB-4EFC-9F13-1551D6D1274F}"/>
            </c:ext>
          </c:extLst>
        </c:ser>
        <c:ser>
          <c:idx val="1"/>
          <c:order val="1"/>
          <c:tx>
            <c:strRef>
              <c:f>'15.5.1'!$E$11</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'15.5.1'!$E$12:$E$40</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38FB-4EFC-9F13-1551D6D1274F}"/>
            </c:ext>
          </c:extLst>
        </c:ser>
        <c:ser>
          <c:idx val="2"/>
          <c:order val="2"/>
          <c:tx>
            <c:strRef>
              <c:f>'15.5.1'!$F$11</c:f>
              <c:strCache>
                <c:ptCount val="1"/>
                <c:pt idx="0">
                  <c:v>Mínimo</c:v>
                </c:pt>
              </c:strCache>
            </c:strRef>
          </c:tx>
          <c:spPr>
            <a:ln w="31750" cap="rnd">
              <a:solidFill>
                <a:schemeClr val="accent3"/>
              </a:solidFill>
              <a:round/>
            </a:ln>
            <a:effectLst/>
          </c:spPr>
          <c:marker>
            <c:symbol val="triangle"/>
            <c:size val="4"/>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'15.5.1'!$F$12:$F$40</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38FB-4EFC-9F13-1551D6D1274F}"/>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a:lstStyle/>
              <a:p>
                <a:pPr>
                  <a:defRPr/>
                </a:pPr>
                <a:r>
                  <a:rPr lang="es-CR"/>
                  <a:t>Índice </a:t>
                </a: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vert="horz"/>
          <a:lstStyle/>
          <a:p>
            <a:pPr>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'16.1.1'!$D$11</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vert="horz"/>
              <a:lstStyle/>
              <a:p>
                <a:pPr>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'16.1.1'!$E$14:$E$27</c:f>
              <c:numCache>
                <c:formatCode>General</c:formatCode>
                <c:ptCount val="14"/>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pt idx="12" formatCode="0.0">
                  <c:v>12.583051013913861</c:v>
                </c:pt>
                <c:pt idx="13" formatCode="0.0">
                  <c:v>17.2</c:v>
                </c:pt>
              </c:numCache>
            </c:numRef>
          </c:val>
          <c:smooth val="0"/>
          <c:extLst>
            <c:ext xmlns:c16="http://schemas.microsoft.com/office/drawing/2014/chart" uri="{C3380CC4-5D6E-409C-BE32-E72D297353CC}">
              <c16:uniqueId val="{00000000-7AF4-49B1-B40D-2F3FD68643AF}"/>
            </c:ext>
          </c:extLst>
        </c:ser>
        <c:ser>
          <c:idx val="1"/>
          <c:order val="1"/>
          <c:tx>
            <c:strRef>
              <c:f>'16.1.1'!$F$12:$G$12</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'16.1.1'!$G$14:$G$27</c:f>
              <c:numCache>
                <c:formatCode>General</c:formatCode>
                <c:ptCount val="14"/>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pt idx="12" formatCode="0.0">
                  <c:v>23.200150248592088</c:v>
                </c:pt>
                <c:pt idx="13" formatCode="0.0">
                  <c:v>31.2</c:v>
                </c:pt>
              </c:numCache>
            </c:numRef>
          </c:val>
          <c:smooth val="0"/>
          <c:extLst>
            <c:ext xmlns:c16="http://schemas.microsoft.com/office/drawing/2014/chart" uri="{C3380CC4-5D6E-409C-BE32-E72D297353CC}">
              <c16:uniqueId val="{00000001-7AF4-49B1-B40D-2F3FD68643AF}"/>
            </c:ext>
          </c:extLst>
        </c:ser>
        <c:ser>
          <c:idx val="2"/>
          <c:order val="2"/>
          <c:tx>
            <c:strRef>
              <c:f>'16.1.1'!$I$12:$J$12</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'16.1.1'!$J$14:$J$27</c:f>
              <c:numCache>
                <c:formatCode>General</c:formatCode>
                <c:ptCount val="14"/>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pt idx="12" formatCode="0.0">
                  <c:v>1.8158082722816093</c:v>
                </c:pt>
                <c:pt idx="13" formatCode="0.0">
                  <c:v>2.7</c:v>
                </c:pt>
              </c:numCache>
            </c:numRef>
          </c:val>
          <c:smooth val="0"/>
          <c:extLst>
            <c:ext xmlns:c16="http://schemas.microsoft.com/office/drawing/2014/chart" uri="{C3380CC4-5D6E-409C-BE32-E72D297353CC}">
              <c16:uniqueId val="{00000002-7AF4-49B1-B40D-2F3FD68643AF}"/>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vert="horz"/>
              <a:lstStyle/>
              <a:p>
                <a:pPr>
                  <a:defRPr/>
                </a:pPr>
                <a:r>
                  <a:rPr lang="en-US"/>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a:lstStyle/>
              <a:p>
                <a:pPr>
                  <a:defRPr/>
                </a:pPr>
                <a:r>
                  <a:rPr lang="es-C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'16.1.3'!$Q$29</c:f>
              <c:strCache>
                <c:ptCount val="1"/>
                <c:pt idx="0">
                  <c:v>Hombres</c:v>
                </c:pt>
              </c:strCache>
            </c:strRef>
          </c:tx>
          <c:spPr>
            <a:solidFill>
              <a:schemeClr val="bg1">
                <a:lumMod val="65000"/>
              </a:schemeClr>
            </a:solidFill>
            <a:ln>
              <a:noFill/>
            </a:ln>
            <a:effectLst/>
          </c:spPr>
          <c:invertIfNegative val="0"/>
          <c:cat>
            <c:numRef>
              <c:f>'16.1.3'!$P$30:$P$39</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'16.1.3'!$Q$30:$Q$39</c:f>
              <c:numCache>
                <c:formatCode>###\ ###\ ###.00</c:formatCode>
                <c:ptCount val="10"/>
                <c:pt idx="0">
                  <c:v>84.424574864981992</c:v>
                </c:pt>
                <c:pt idx="1">
                  <c:v>88.538521100644886</c:v>
                </c:pt>
                <c:pt idx="2">
                  <c:v>117.82692303703043</c:v>
                </c:pt>
                <c:pt idx="3">
                  <c:v>150.4105235712845</c:v>
                </c:pt>
                <c:pt idx="4">
                  <c:v>149.72698631385936</c:v>
                </c:pt>
                <c:pt idx="5">
                  <c:v>109.1</c:v>
                </c:pt>
                <c:pt idx="6">
                  <c:v>59.5</c:v>
                </c:pt>
                <c:pt idx="7" formatCode="0.0">
                  <c:v>89.746656033443898</c:v>
                </c:pt>
                <c:pt idx="8" formatCode="0.0">
                  <c:v>112.00072533803075</c:v>
                </c:pt>
                <c:pt idx="9" formatCode="0.0">
                  <c:v>216.79983507807736</c:v>
                </c:pt>
              </c:numCache>
            </c:numRef>
          </c:val>
          <c:extLst>
            <c:ext xmlns:c16="http://schemas.microsoft.com/office/drawing/2014/chart" uri="{C3380CC4-5D6E-409C-BE32-E72D297353CC}">
              <c16:uniqueId val="{00000000-6F51-48A2-86F8-94A51065D579}"/>
            </c:ext>
          </c:extLst>
        </c:ser>
        <c:ser>
          <c:idx val="1"/>
          <c:order val="1"/>
          <c:tx>
            <c:strRef>
              <c:f>'16.1.3'!$R$29</c:f>
              <c:strCache>
                <c:ptCount val="1"/>
                <c:pt idx="0">
                  <c:v>Mujeres</c:v>
                </c:pt>
              </c:strCache>
            </c:strRef>
          </c:tx>
          <c:spPr>
            <a:solidFill>
              <a:srgbClr val="00689D"/>
            </a:solidFill>
            <a:ln>
              <a:noFill/>
            </a:ln>
            <a:effectLst/>
          </c:spPr>
          <c:invertIfNegative val="0"/>
          <c:cat>
            <c:numRef>
              <c:f>'16.1.3'!$P$30:$P$39</c:f>
              <c:numCache>
                <c:formatCode>General</c:formatCode>
                <c:ptCount val="10"/>
                <c:pt idx="0">
                  <c:v>2012</c:v>
                </c:pt>
                <c:pt idx="1">
                  <c:v>2013</c:v>
                </c:pt>
                <c:pt idx="2">
                  <c:v>2014</c:v>
                </c:pt>
                <c:pt idx="3">
                  <c:v>2015</c:v>
                </c:pt>
                <c:pt idx="4">
                  <c:v>2016</c:v>
                </c:pt>
                <c:pt idx="5">
                  <c:v>2019</c:v>
                </c:pt>
                <c:pt idx="6">
                  <c:v>2020</c:v>
                </c:pt>
                <c:pt idx="7">
                  <c:v>2021</c:v>
                </c:pt>
                <c:pt idx="8">
                  <c:v>2022</c:v>
                </c:pt>
                <c:pt idx="9">
                  <c:v>2023</c:v>
                </c:pt>
              </c:numCache>
            </c:numRef>
          </c:cat>
          <c:val>
            <c:numRef>
              <c:f>'16.1.3'!$R$30:$R$39</c:f>
              <c:numCache>
                <c:formatCode>###\ ###\ ###.00</c:formatCode>
                <c:ptCount val="10"/>
                <c:pt idx="0">
                  <c:v>342.96821743854792</c:v>
                </c:pt>
                <c:pt idx="1">
                  <c:v>299.89289685037005</c:v>
                </c:pt>
                <c:pt idx="2">
                  <c:v>342.51677244494249</c:v>
                </c:pt>
                <c:pt idx="3">
                  <c:v>368.673531689333</c:v>
                </c:pt>
                <c:pt idx="4">
                  <c:v>385.6271931979029</c:v>
                </c:pt>
                <c:pt idx="5">
                  <c:v>319.89999999999998</c:v>
                </c:pt>
                <c:pt idx="6">
                  <c:v>168.8</c:v>
                </c:pt>
                <c:pt idx="7" formatCode="0.0">
                  <c:v>275.99481260881049</c:v>
                </c:pt>
                <c:pt idx="8" formatCode="0.0">
                  <c:v>316.1051762512368</c:v>
                </c:pt>
                <c:pt idx="9" formatCode="0.0">
                  <c:v>504.68703550026231</c:v>
                </c:pt>
              </c:numCache>
            </c:numRef>
          </c:val>
          <c:extLst>
            <c:ext xmlns:c16="http://schemas.microsoft.com/office/drawing/2014/chart" uri="{C3380CC4-5D6E-409C-BE32-E72D297353CC}">
              <c16:uniqueId val="{00000001-6F51-48A2-86F8-94A51065D579}"/>
            </c:ext>
          </c:extLst>
        </c:ser>
        <c:dLbls>
          <c:showLegendKey val="0"/>
          <c:showVal val="0"/>
          <c:showCatName val="0"/>
          <c:showSerName val="0"/>
          <c:showPercent val="0"/>
          <c:showBubbleSize val="0"/>
        </c:dLbls>
        <c:gapWidth val="219"/>
        <c:overlap val="-27"/>
        <c:axId val="1700886288"/>
        <c:axId val="1700872976"/>
      </c:barChart>
      <c:catAx>
        <c:axId val="170088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72976"/>
        <c:crosses val="autoZero"/>
        <c:auto val="1"/>
        <c:lblAlgn val="ctr"/>
        <c:lblOffset val="100"/>
        <c:noMultiLvlLbl val="0"/>
      </c:catAx>
      <c:valAx>
        <c:axId val="1700872976"/>
        <c:scaling>
          <c:orientation val="minMax"/>
        </c:scaling>
        <c:delete val="0"/>
        <c:axPos val="l"/>
        <c:majorGridlines>
          <c:spPr>
            <a:ln w="9525" cap="flat" cmpd="sng" algn="ctr">
              <a:solidFill>
                <a:schemeClr val="tx1">
                  <a:lumMod val="15000"/>
                  <a:lumOff val="85000"/>
                </a:schemeClr>
              </a:solidFill>
              <a:round/>
            </a:ln>
            <a:effectLst/>
          </c:spPr>
        </c:majorGridlines>
        <c:numFmt formatCode="###\ ###\ ###\ ##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170088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'16.2.2'!$D$13:$D$14</c:f>
              <c:strCache>
                <c:ptCount val="2"/>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'16.2.2'!$D$15:$D$24</c:f>
              <c:numCache>
                <c:formatCode>General</c:formatCode>
                <c:ptCount val="10"/>
                <c:pt idx="0">
                  <c:v>5</c:v>
                </c:pt>
                <c:pt idx="1">
                  <c:v>20</c:v>
                </c:pt>
                <c:pt idx="2">
                  <c:v>39</c:v>
                </c:pt>
                <c:pt idx="3">
                  <c:v>30</c:v>
                </c:pt>
                <c:pt idx="4">
                  <c:v>53</c:v>
                </c:pt>
                <c:pt idx="5">
                  <c:v>51</c:v>
                </c:pt>
                <c:pt idx="6">
                  <c:v>16</c:v>
                </c:pt>
                <c:pt idx="7">
                  <c:v>43</c:v>
                </c:pt>
                <c:pt idx="8">
                  <c:v>56</c:v>
                </c:pt>
                <c:pt idx="9">
                  <c:v>45</c:v>
                </c:pt>
              </c:numCache>
            </c:numRef>
          </c:val>
          <c:smooth val="0"/>
          <c:extLst>
            <c:ext xmlns:c16="http://schemas.microsoft.com/office/drawing/2014/chart" uri="{C3380CC4-5D6E-409C-BE32-E72D297353CC}">
              <c16:uniqueId val="{00000000-E303-47BC-B92C-B93535D9DF3F}"/>
            </c:ext>
          </c:extLst>
        </c:ser>
        <c:ser>
          <c:idx val="1"/>
          <c:order val="1"/>
          <c:tx>
            <c:strRef>
              <c:f>'16.2.2'!$E$14</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'16.2.2'!$E$15:$E$24</c:f>
              <c:numCache>
                <c:formatCode>General</c:formatCode>
                <c:ptCount val="10"/>
                <c:pt idx="0">
                  <c:v>0</c:v>
                </c:pt>
                <c:pt idx="1">
                  <c:v>2</c:v>
                </c:pt>
                <c:pt idx="2">
                  <c:v>7</c:v>
                </c:pt>
                <c:pt idx="3">
                  <c:v>10</c:v>
                </c:pt>
                <c:pt idx="4">
                  <c:v>22</c:v>
                </c:pt>
                <c:pt idx="5">
                  <c:v>6</c:v>
                </c:pt>
                <c:pt idx="6">
                  <c:v>0</c:v>
                </c:pt>
                <c:pt idx="7">
                  <c:v>9</c:v>
                </c:pt>
                <c:pt idx="8">
                  <c:v>11</c:v>
                </c:pt>
                <c:pt idx="9">
                  <c:v>10</c:v>
                </c:pt>
              </c:numCache>
            </c:numRef>
          </c:val>
          <c:smooth val="0"/>
          <c:extLst>
            <c:ext xmlns:c16="http://schemas.microsoft.com/office/drawing/2014/chart" uri="{C3380CC4-5D6E-409C-BE32-E72D297353CC}">
              <c16:uniqueId val="{00000001-E303-47BC-B92C-B93535D9DF3F}"/>
            </c:ext>
          </c:extLst>
        </c:ser>
        <c:ser>
          <c:idx val="2"/>
          <c:order val="2"/>
          <c:tx>
            <c:strRef>
              <c:f>'16.2.2'!$F$14</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03-47BC-B92C-B93535D9DF3F}"/>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'16.2.2'!$C$15:$C$24</c:f>
              <c:strCache>
                <c:ptCount val="10"/>
                <c:pt idx="0">
                  <c:v>2015</c:v>
                </c:pt>
                <c:pt idx="1">
                  <c:v>2016</c:v>
                </c:pt>
                <c:pt idx="2">
                  <c:v>2017</c:v>
                </c:pt>
                <c:pt idx="3">
                  <c:v>2018</c:v>
                </c:pt>
                <c:pt idx="4">
                  <c:v>2019</c:v>
                </c:pt>
                <c:pt idx="5">
                  <c:v>2020</c:v>
                </c:pt>
                <c:pt idx="6">
                  <c:v>2021</c:v>
                </c:pt>
                <c:pt idx="7">
                  <c:v>2022</c:v>
                </c:pt>
                <c:pt idx="8">
                  <c:v>2023</c:v>
                </c:pt>
                <c:pt idx="9">
                  <c:v>2024a</c:v>
                </c:pt>
              </c:strCache>
            </c:strRef>
          </c:cat>
          <c:val>
            <c:numRef>
              <c:f>'16.2.2'!$F$15:$F$24</c:f>
              <c:numCache>
                <c:formatCode>General</c:formatCode>
                <c:ptCount val="10"/>
                <c:pt idx="0">
                  <c:v>5</c:v>
                </c:pt>
                <c:pt idx="1">
                  <c:v>18</c:v>
                </c:pt>
                <c:pt idx="2">
                  <c:v>32</c:v>
                </c:pt>
                <c:pt idx="3">
                  <c:v>20</c:v>
                </c:pt>
                <c:pt idx="4">
                  <c:v>31</c:v>
                </c:pt>
                <c:pt idx="5">
                  <c:v>45</c:v>
                </c:pt>
                <c:pt idx="6">
                  <c:v>16</c:v>
                </c:pt>
                <c:pt idx="7">
                  <c:v>34</c:v>
                </c:pt>
                <c:pt idx="8">
                  <c:v>45</c:v>
                </c:pt>
                <c:pt idx="9">
                  <c:v>35</c:v>
                </c:pt>
              </c:numCache>
            </c:numRef>
          </c:val>
          <c:smooth val="0"/>
          <c:extLst>
            <c:ext xmlns:c16="http://schemas.microsoft.com/office/drawing/2014/chart" uri="{C3380CC4-5D6E-409C-BE32-E72D297353CC}">
              <c16:uniqueId val="{00000003-E303-47BC-B92C-B93535D9DF3F}"/>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0729143055229E-2"/>
          <c:y val="0.1069233965101096"/>
          <c:w val="0.89790293927663689"/>
          <c:h val="0.70602421556601902"/>
        </c:manualLayout>
      </c:layout>
      <c:lineChart>
        <c:grouping val="standard"/>
        <c:varyColors val="0"/>
        <c:ser>
          <c:idx val="0"/>
          <c:order val="0"/>
          <c:tx>
            <c:strRef>
              <c:f>'3.2.2'!$D$11:$D$12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'3.2.2'!$D$13:$D$27</c:f>
              <c:numCache>
                <c:formatCode>0.0</c:formatCode>
                <c:ptCount val="15"/>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7.373444371666511</c:v>
                </c:pt>
                <c:pt idx="13">
                  <c:v>6.652723832287621</c:v>
                </c:pt>
                <c:pt idx="14">
                  <c:v>7.4195308237861433</c:v>
                </c:pt>
              </c:numCache>
            </c:numRef>
          </c:val>
          <c:smooth val="0"/>
          <c:extLst>
            <c:ext xmlns:c16="http://schemas.microsoft.com/office/drawing/2014/chart" uri="{C3380CC4-5D6E-409C-BE32-E72D297353CC}">
              <c16:uniqueId val="{00000000-D302-45D1-815A-26D4DD8F02C3}"/>
            </c:ext>
          </c:extLst>
        </c:ser>
        <c:dLbls>
          <c:showLegendKey val="0"/>
          <c:showVal val="0"/>
          <c:showCatName val="0"/>
          <c:showSerName val="0"/>
          <c:showPercent val="0"/>
          <c:showBubbleSize val="0"/>
        </c:dLbls>
        <c:marker val="1"/>
        <c:smooth val="0"/>
        <c:axId val="223237632"/>
        <c:axId val="223381760"/>
      </c:lineChart>
      <c:catAx>
        <c:axId val="223237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6681124234470689"/>
              <c:y val="0.901828521434820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1760"/>
        <c:crosses val="autoZero"/>
        <c:auto val="1"/>
        <c:lblAlgn val="ctr"/>
        <c:lblOffset val="100"/>
        <c:noMultiLvlLbl val="0"/>
      </c:catAx>
      <c:valAx>
        <c:axId val="223381760"/>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8669843163584287E-2"/>
              <c:y val="3.5973832416676392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237632"/>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'16.2.3'!$D$11:$F$11</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'16.2.3'!$F$13:$F$14</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1901-4517-9594-3345D14C8911}"/>
            </c:ext>
          </c:extLst>
        </c:ser>
        <c:ser>
          <c:idx val="1"/>
          <c:order val="1"/>
          <c:tx>
            <c:strRef>
              <c:f>'16.2.3'!$G$11:$I$11</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'16.2.3'!$I$13:$I$14</c:f>
              <c:numCache>
                <c:formatCode>0.00</c:formatCode>
                <c:ptCount val="2"/>
                <c:pt idx="0">
                  <c:v>30.485131821088164</c:v>
                </c:pt>
                <c:pt idx="1">
                  <c:v>42.085834452113566</c:v>
                </c:pt>
              </c:numCache>
            </c:numRef>
          </c:val>
          <c:extLst>
            <c:ext xmlns:c16="http://schemas.microsoft.com/office/drawing/2014/chart" uri="{C3380CC4-5D6E-409C-BE32-E72D297353CC}">
              <c16:uniqueId val="{00000001-1901-4517-9594-3345D14C8911}"/>
            </c:ext>
          </c:extLst>
        </c:ser>
        <c:ser>
          <c:idx val="2"/>
          <c:order val="2"/>
          <c:tx>
            <c:strRef>
              <c:f>'16.2.3'!$J$11:$L$11</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'16.2.3'!$L$13:$L$14</c:f>
              <c:numCache>
                <c:formatCode>0.00</c:formatCode>
                <c:ptCount val="2"/>
                <c:pt idx="0">
                  <c:v>41.169099385189298</c:v>
                </c:pt>
                <c:pt idx="1">
                  <c:v>49.075033543392486</c:v>
                </c:pt>
              </c:numCache>
            </c:numRef>
          </c:val>
          <c:extLst>
            <c:ext xmlns:c16="http://schemas.microsoft.com/office/drawing/2014/chart" uri="{C3380CC4-5D6E-409C-BE32-E72D297353CC}">
              <c16:uniqueId val="{00000002-1901-4517-9594-3345D14C8911}"/>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'16.2.3'!$M$11:$O$11</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'16.2.3'!$O$13:$O$14</c:f>
              <c:numCache>
                <c:formatCode>0.00</c:formatCode>
                <c:ptCount val="2"/>
                <c:pt idx="0">
                  <c:v>29.861252732205106</c:v>
                </c:pt>
                <c:pt idx="1">
                  <c:v>45.668460904121488</c:v>
                </c:pt>
              </c:numCache>
            </c:numRef>
          </c:val>
          <c:extLst>
            <c:ext xmlns:c16="http://schemas.microsoft.com/office/drawing/2014/chart" uri="{C3380CC4-5D6E-409C-BE32-E72D297353CC}">
              <c16:uniqueId val="{00000000-4D55-4862-AF27-5D0EEF671561}"/>
            </c:ext>
          </c:extLst>
        </c:ser>
        <c:ser>
          <c:idx val="1"/>
          <c:order val="1"/>
          <c:tx>
            <c:strRef>
              <c:f>'16.2.3'!$P$11:$R$11</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'16.2.3'!$R$13:$R$14</c:f>
              <c:numCache>
                <c:formatCode>0.00</c:formatCode>
                <c:ptCount val="2"/>
                <c:pt idx="0">
                  <c:v>39.412829689782583</c:v>
                </c:pt>
                <c:pt idx="1">
                  <c:v>44.141510921497826</c:v>
                </c:pt>
              </c:numCache>
            </c:numRef>
          </c:val>
          <c:extLst>
            <c:ext xmlns:c16="http://schemas.microsoft.com/office/drawing/2014/chart" uri="{C3380CC4-5D6E-409C-BE32-E72D297353CC}">
              <c16:uniqueId val="{00000001-4D55-4862-AF27-5D0EEF671561}"/>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0989667183796"/>
          <c:y val="0.11111138878802276"/>
          <c:w val="0.87055796150481191"/>
          <c:h val="0.72153008663991614"/>
        </c:manualLayout>
      </c:layout>
      <c:barChart>
        <c:barDir val="col"/>
        <c:grouping val="clustered"/>
        <c:varyColors val="0"/>
        <c:ser>
          <c:idx val="0"/>
          <c:order val="0"/>
          <c:tx>
            <c:strRef>
              <c:f>'16.3.1'!$D$12</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'16.3.1'!$C$13:$C$21</c:f>
              <c:numCache>
                <c:formatCode>General</c:formatCode>
                <c:ptCount val="9"/>
                <c:pt idx="0">
                  <c:v>1989</c:v>
                </c:pt>
                <c:pt idx="1">
                  <c:v>1992</c:v>
                </c:pt>
                <c:pt idx="2">
                  <c:v>1994</c:v>
                </c:pt>
                <c:pt idx="3">
                  <c:v>1997</c:v>
                </c:pt>
                <c:pt idx="4">
                  <c:v>2008</c:v>
                </c:pt>
                <c:pt idx="5">
                  <c:v>2010</c:v>
                </c:pt>
                <c:pt idx="6">
                  <c:v>2014</c:v>
                </c:pt>
                <c:pt idx="7">
                  <c:v>2018</c:v>
                </c:pt>
                <c:pt idx="8">
                  <c:v>2022</c:v>
                </c:pt>
              </c:numCache>
            </c:numRef>
          </c:cat>
          <c:val>
            <c:numRef>
              <c:f>'16.3.1'!$D$13:$D$21</c:f>
              <c:numCache>
                <c:formatCode>0.0</c:formatCode>
                <c:ptCount val="9"/>
                <c:pt idx="0">
                  <c:v>28.6</c:v>
                </c:pt>
                <c:pt idx="1">
                  <c:v>26.6</c:v>
                </c:pt>
                <c:pt idx="2">
                  <c:v>20.5</c:v>
                </c:pt>
                <c:pt idx="3">
                  <c:v>26.9</c:v>
                </c:pt>
                <c:pt idx="4">
                  <c:v>23.1</c:v>
                </c:pt>
                <c:pt idx="5">
                  <c:v>23.7</c:v>
                </c:pt>
                <c:pt idx="6">
                  <c:v>29.65682665406004</c:v>
                </c:pt>
                <c:pt idx="7">
                  <c:v>25.975524704558584</c:v>
                </c:pt>
                <c:pt idx="8">
                  <c:v>16.856958375659854</c:v>
                </c:pt>
              </c:numCache>
            </c:numRef>
          </c:val>
          <c:extLst>
            <c:ext xmlns:c16="http://schemas.microsoft.com/office/drawing/2014/chart" uri="{C3380CC4-5D6E-409C-BE32-E72D297353CC}">
              <c16:uniqueId val="{00000000-A7EF-48E5-B0BF-B5B9EE02642A}"/>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'16.3.2'!$D$12</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'16.3.2'!$D$13:$D$26</c:f>
              <c:numCache>
                <c:formatCode>###\ ###\ ###</c:formatCode>
                <c:ptCount val="14"/>
                <c:pt idx="0">
                  <c:v>1658</c:v>
                </c:pt>
                <c:pt idx="1">
                  <c:v>1808</c:v>
                </c:pt>
                <c:pt idx="2">
                  <c:v>1769</c:v>
                </c:pt>
                <c:pt idx="3">
                  <c:v>1536</c:v>
                </c:pt>
                <c:pt idx="4">
                  <c:v>1775</c:v>
                </c:pt>
                <c:pt idx="5">
                  <c:v>1586</c:v>
                </c:pt>
                <c:pt idx="6">
                  <c:v>1588</c:v>
                </c:pt>
                <c:pt idx="7">
                  <c:v>1865</c:v>
                </c:pt>
                <c:pt idx="8">
                  <c:v>2293</c:v>
                </c:pt>
                <c:pt idx="9">
                  <c:v>2440</c:v>
                </c:pt>
                <c:pt idx="10">
                  <c:v>2178</c:v>
                </c:pt>
                <c:pt idx="11">
                  <c:v>1789</c:v>
                </c:pt>
                <c:pt idx="12">
                  <c:v>2038</c:v>
                </c:pt>
                <c:pt idx="13">
                  <c:v>1712</c:v>
                </c:pt>
              </c:numCache>
            </c:numRef>
          </c:val>
          <c:smooth val="0"/>
          <c:extLst>
            <c:ext xmlns:c16="http://schemas.microsoft.com/office/drawing/2014/chart" uri="{C3380CC4-5D6E-409C-BE32-E72D297353CC}">
              <c16:uniqueId val="{00000000-11DF-4E16-B2D4-908BBD36C688}"/>
            </c:ext>
          </c:extLst>
        </c:ser>
        <c:ser>
          <c:idx val="1"/>
          <c:order val="1"/>
          <c:tx>
            <c:strRef>
              <c:f>'16.3.2'!$E$12</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'16.3.2'!$E$13:$E$26</c:f>
              <c:numCache>
                <c:formatCode>###\ ###\ ###</c:formatCode>
                <c:ptCount val="14"/>
                <c:pt idx="0">
                  <c:v>1577</c:v>
                </c:pt>
                <c:pt idx="1">
                  <c:v>1694</c:v>
                </c:pt>
                <c:pt idx="2">
                  <c:v>1664</c:v>
                </c:pt>
                <c:pt idx="3">
                  <c:v>1453</c:v>
                </c:pt>
                <c:pt idx="4">
                  <c:v>1676</c:v>
                </c:pt>
                <c:pt idx="5">
                  <c:v>1488</c:v>
                </c:pt>
                <c:pt idx="6">
                  <c:v>1489</c:v>
                </c:pt>
                <c:pt idx="7">
                  <c:v>1727</c:v>
                </c:pt>
                <c:pt idx="8">
                  <c:v>2125</c:v>
                </c:pt>
                <c:pt idx="9">
                  <c:v>2245</c:v>
                </c:pt>
                <c:pt idx="10">
                  <c:v>2052</c:v>
                </c:pt>
                <c:pt idx="11">
                  <c:v>1670</c:v>
                </c:pt>
                <c:pt idx="12">
                  <c:v>1905</c:v>
                </c:pt>
                <c:pt idx="13">
                  <c:v>1581</c:v>
                </c:pt>
              </c:numCache>
            </c:numRef>
          </c:val>
          <c:smooth val="0"/>
          <c:extLst>
            <c:ext xmlns:c16="http://schemas.microsoft.com/office/drawing/2014/chart" uri="{C3380CC4-5D6E-409C-BE32-E72D297353CC}">
              <c16:uniqueId val="{00000001-11DF-4E16-B2D4-908BBD36C688}"/>
            </c:ext>
          </c:extLst>
        </c:ser>
        <c:ser>
          <c:idx val="2"/>
          <c:order val="2"/>
          <c:tx>
            <c:strRef>
              <c:f>'16.3.2'!$F$12</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'16.3.2'!$F$13:$F$26</c:f>
              <c:numCache>
                <c:formatCode>###\ ###\ ###</c:formatCode>
                <c:ptCount val="14"/>
                <c:pt idx="0">
                  <c:v>81</c:v>
                </c:pt>
                <c:pt idx="1">
                  <c:v>114</c:v>
                </c:pt>
                <c:pt idx="2">
                  <c:v>105</c:v>
                </c:pt>
                <c:pt idx="3">
                  <c:v>83</c:v>
                </c:pt>
                <c:pt idx="4">
                  <c:v>99</c:v>
                </c:pt>
                <c:pt idx="5">
                  <c:v>98</c:v>
                </c:pt>
                <c:pt idx="6">
                  <c:v>99</c:v>
                </c:pt>
                <c:pt idx="7">
                  <c:v>138</c:v>
                </c:pt>
                <c:pt idx="8">
                  <c:v>168</c:v>
                </c:pt>
                <c:pt idx="9">
                  <c:v>195</c:v>
                </c:pt>
                <c:pt idx="10">
                  <c:v>126</c:v>
                </c:pt>
                <c:pt idx="11">
                  <c:v>119</c:v>
                </c:pt>
                <c:pt idx="12">
                  <c:v>133</c:v>
                </c:pt>
                <c:pt idx="13">
                  <c:v>131</c:v>
                </c:pt>
              </c:numCache>
            </c:numRef>
          </c:val>
          <c:smooth val="0"/>
          <c:extLst>
            <c:ext xmlns:c16="http://schemas.microsoft.com/office/drawing/2014/chart" uri="{C3380CC4-5D6E-409C-BE32-E72D297353CC}">
              <c16:uniqueId val="{00000002-11DF-4E16-B2D4-908BBD36C68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'16.4.2'!$D$12:$D$25</c:f>
              <c:numCache>
                <c:formatCode>###\ ###\ ###\ </c:formatCode>
                <c:ptCount val="14"/>
                <c:pt idx="0">
                  <c:v>2765</c:v>
                </c:pt>
                <c:pt idx="1">
                  <c:v>2275</c:v>
                </c:pt>
                <c:pt idx="2">
                  <c:v>2047</c:v>
                </c:pt>
                <c:pt idx="3">
                  <c:v>2032</c:v>
                </c:pt>
                <c:pt idx="4">
                  <c:v>1976</c:v>
                </c:pt>
                <c:pt idx="5">
                  <c:v>1712</c:v>
                </c:pt>
                <c:pt idx="6">
                  <c:v>2010</c:v>
                </c:pt>
                <c:pt idx="7">
                  <c:v>2056</c:v>
                </c:pt>
                <c:pt idx="8">
                  <c:v>2321</c:v>
                </c:pt>
                <c:pt idx="9">
                  <c:v>2498</c:v>
                </c:pt>
                <c:pt idx="10">
                  <c:v>2087</c:v>
                </c:pt>
                <c:pt idx="11">
                  <c:v>2037</c:v>
                </c:pt>
                <c:pt idx="12">
                  <c:v>2082</c:v>
                </c:pt>
                <c:pt idx="13">
                  <c:v>2411</c:v>
                </c:pt>
              </c:numCache>
            </c:numRef>
          </c:val>
          <c:smooth val="0"/>
          <c:extLst>
            <c:ext xmlns:c16="http://schemas.microsoft.com/office/drawing/2014/chart" uri="{C3380CC4-5D6E-409C-BE32-E72D297353CC}">
              <c16:uniqueId val="{00000000-FB93-45A9-8774-C3D03FB6DDD2}"/>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'16.6.1'!$D$13</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54-44BF-8FE4-136693C0FB63}"/>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'16.6.1'!$C$18:$C$31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'16.6.1'!$D$18:$D$31</c:f>
              <c:numCache>
                <c:formatCode>0.00</c:formatCode>
                <c:ptCount val="14"/>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pt idx="12">
                  <c:v>96.8</c:v>
                </c:pt>
                <c:pt idx="13">
                  <c:v>96.84</c:v>
                </c:pt>
              </c:numCache>
            </c:numRef>
          </c:val>
          <c:smooth val="0"/>
          <c:extLst>
            <c:ext xmlns:c16="http://schemas.microsoft.com/office/drawing/2014/chart" uri="{C3380CC4-5D6E-409C-BE32-E72D297353CC}">
              <c16:uniqueId val="{00000001-1954-44BF-8FE4-136693C0FB63}"/>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'16.7.1'!$D$12:$D$13</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'16.7.1'!$D$33:$D$47</c:f>
              <c:numCache>
                <c:formatCode>0.0</c:formatCode>
                <c:ptCount val="15"/>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pt idx="12">
                  <c:v>12.878204026478329</c:v>
                </c:pt>
                <c:pt idx="13">
                  <c:v>13.776945096244889</c:v>
                </c:pt>
                <c:pt idx="14">
                  <c:v>14.30427703035558</c:v>
                </c:pt>
              </c:numCache>
            </c:numRef>
          </c:val>
          <c:smooth val="0"/>
          <c:extLst>
            <c:ext xmlns:c16="http://schemas.microsoft.com/office/drawing/2014/chart" uri="{C3380CC4-5D6E-409C-BE32-E72D297353CC}">
              <c16:uniqueId val="{00000000-7BDB-4E8E-A893-8C030860D7C0}"/>
            </c:ext>
          </c:extLst>
        </c:ser>
        <c:ser>
          <c:idx val="1"/>
          <c:order val="1"/>
          <c:tx>
            <c:strRef>
              <c:f>'16.7.1'!$E$13</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'16.7.1'!$E$33:$E$47</c:f>
              <c:numCache>
                <c:formatCode>0.0</c:formatCode>
                <c:ptCount val="15"/>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pt idx="12">
                  <c:v>9.2917793866987761</c:v>
                </c:pt>
                <c:pt idx="13">
                  <c:v>10.280185136071591</c:v>
                </c:pt>
                <c:pt idx="14">
                  <c:v>10.677260009547265</c:v>
                </c:pt>
              </c:numCache>
            </c:numRef>
          </c:val>
          <c:smooth val="0"/>
          <c:extLst>
            <c:ext xmlns:c16="http://schemas.microsoft.com/office/drawing/2014/chart" uri="{C3380CC4-5D6E-409C-BE32-E72D297353CC}">
              <c16:uniqueId val="{00000001-7BDB-4E8E-A893-8C030860D7C0}"/>
            </c:ext>
          </c:extLst>
        </c:ser>
        <c:ser>
          <c:idx val="2"/>
          <c:order val="2"/>
          <c:tx>
            <c:strRef>
              <c:f>'16.7.1'!$F$13</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'16.7.1'!$F$33:$F$47</c:f>
              <c:numCache>
                <c:formatCode>0.0</c:formatCode>
                <c:ptCount val="15"/>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pt idx="12">
                  <c:v>18.630550440251874</c:v>
                </c:pt>
                <c:pt idx="13">
                  <c:v>19.673088654722854</c:v>
                </c:pt>
                <c:pt idx="14">
                  <c:v>19.982912789348681</c:v>
                </c:pt>
              </c:numCache>
            </c:numRef>
          </c:val>
          <c:smooth val="0"/>
          <c:extLst>
            <c:ext xmlns:c16="http://schemas.microsoft.com/office/drawing/2014/chart" uri="{C3380CC4-5D6E-409C-BE32-E72D297353CC}">
              <c16:uniqueId val="{00000002-7BDB-4E8E-A893-8C030860D7C0}"/>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'16.9.1'!$D$14:$D$26</c:f>
              <c:numCache>
                <c:formatCode>0.00</c:formatCode>
                <c:ptCount val="13"/>
                <c:pt idx="0">
                  <c:v>95.906606730525141</c:v>
                </c:pt>
                <c:pt idx="1">
                  <c:v>96.186166726506386</c:v>
                </c:pt>
                <c:pt idx="2">
                  <c:v>95.578746261957548</c:v>
                </c:pt>
                <c:pt idx="3">
                  <c:v>94.582733172809213</c:v>
                </c:pt>
                <c:pt idx="4">
                  <c:v>94.587114951921833</c:v>
                </c:pt>
                <c:pt idx="5">
                  <c:v>94.675143923758796</c:v>
                </c:pt>
                <c:pt idx="6">
                  <c:v>94.904941348830917</c:v>
                </c:pt>
                <c:pt idx="7">
                  <c:v>96.268135451343724</c:v>
                </c:pt>
                <c:pt idx="8">
                  <c:v>97.979777692020193</c:v>
                </c:pt>
                <c:pt idx="9">
                  <c:v>99.391100167079287</c:v>
                </c:pt>
                <c:pt idx="10">
                  <c:v>100.57013322602401</c:v>
                </c:pt>
                <c:pt idx="11">
                  <c:v>100.95622550538401</c:v>
                </c:pt>
                <c:pt idx="12">
                  <c:v>99.913528699617515</c:v>
                </c:pt>
              </c:numCache>
            </c:numRef>
          </c:val>
          <c:extLst>
            <c:ext xmlns:c16="http://schemas.microsoft.com/office/drawing/2014/chart" uri="{C3380CC4-5D6E-409C-BE32-E72D297353CC}">
              <c16:uniqueId val="{00000000-DBD1-4ECE-8CC1-E5F74190A720}"/>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'17.1.1'!$D$22:$D$35</c:f>
              <c:numCache>
                <c:formatCode>###\ ###\ ###\ ###.00</c:formatCode>
                <c:ptCount val="14"/>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numCache>
            </c:numRef>
          </c:val>
          <c:smooth val="0"/>
          <c:extLst>
            <c:ext xmlns:c16="http://schemas.microsoft.com/office/drawing/2014/chart" uri="{C3380CC4-5D6E-409C-BE32-E72D297353CC}">
              <c16:uniqueId val="{00000000-CD52-452E-BBAA-6F8654F4FA18}"/>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landscape"/>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'17.1.1'!$F$12</c:f>
              <c:strCache>
                <c:ptCount val="1"/>
                <c:pt idx="0">
                  <c:v>I-1 Ingresos Tributarios</c:v>
                </c:pt>
              </c:strCache>
            </c:strRef>
          </c:tx>
          <c:spPr>
            <a:solidFill>
              <a:srgbClr val="19486A"/>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'17.1.1'!$F$22:$F$35</c:f>
              <c:numCache>
                <c:formatCode>###\ ###\ ###\ ###.00</c:formatCode>
                <c:ptCount val="14"/>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11.895600177217574</c:v>
                </c:pt>
                <c:pt idx="11">
                  <c:v>13.802904305875485</c:v>
                </c:pt>
                <c:pt idx="12">
                  <c:v>14.085960635477807</c:v>
                </c:pt>
                <c:pt idx="13">
                  <c:v>13.649151452867283</c:v>
                </c:pt>
              </c:numCache>
            </c:numRef>
          </c:val>
          <c:extLst>
            <c:ext xmlns:c16="http://schemas.microsoft.com/office/drawing/2014/chart" uri="{C3380CC4-5D6E-409C-BE32-E72D297353CC}">
              <c16:uniqueId val="{00000000-ED93-427C-B0E1-CF26EA9A0849}"/>
            </c:ext>
          </c:extLst>
        </c:ser>
        <c:ser>
          <c:idx val="1"/>
          <c:order val="1"/>
          <c:tx>
            <c:strRef>
              <c:f>'17.1.1'!$G$12</c:f>
              <c:strCache>
                <c:ptCount val="1"/>
                <c:pt idx="0">
                  <c:v>I-2 Contribuciones Sociales</c:v>
                </c:pt>
              </c:strCache>
            </c:strRef>
          </c:tx>
          <c:spPr>
            <a:pattFill prst="wdDnDiag">
              <a:fgClr>
                <a:srgbClr val="1F4E78"/>
              </a:fgClr>
              <a:bgClr>
                <a:schemeClr val="bg1"/>
              </a:bgClr>
            </a:patt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'17.1.1'!$G$22:$G$35</c:f>
              <c:numCache>
                <c:formatCode>0.00</c:formatCode>
                <c:ptCount val="14"/>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0.21764028609811184</c:v>
                </c:pt>
                <c:pt idx="11">
                  <c:v>1.163487699461933</c:v>
                </c:pt>
                <c:pt idx="12">
                  <c:v>1.1509288880304847</c:v>
                </c:pt>
                <c:pt idx="13">
                  <c:v>1.1777559974951759</c:v>
                </c:pt>
              </c:numCache>
            </c:numRef>
          </c:val>
          <c:extLst>
            <c:ext xmlns:c16="http://schemas.microsoft.com/office/drawing/2014/chart" uri="{C3380CC4-5D6E-409C-BE32-E72D297353CC}">
              <c16:uniqueId val="{00000001-ED93-427C-B0E1-CF26EA9A0849}"/>
            </c:ext>
          </c:extLst>
        </c:ser>
        <c:ser>
          <c:idx val="2"/>
          <c:order val="2"/>
          <c:tx>
            <c:strRef>
              <c:f>'17.1.1'!$H$12</c:f>
              <c:strCache>
                <c:ptCount val="1"/>
                <c:pt idx="0">
                  <c:v>I-3  Ingresos no Tributarios</c:v>
                </c:pt>
              </c:strCache>
            </c:strRef>
          </c:tx>
          <c:spPr>
            <a:solidFill>
              <a:schemeClr val="accent3">
                <a:lumMod val="7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'17.1.1'!$H$22:$H$35</c:f>
              <c:numCache>
                <c:formatCode>0.00</c:formatCode>
                <c:ptCount val="14"/>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0.13884663003913816</c:v>
                </c:pt>
                <c:pt idx="11">
                  <c:v>0.37925394970636511</c:v>
                </c:pt>
                <c:pt idx="12">
                  <c:v>0.61196012796965149</c:v>
                </c:pt>
                <c:pt idx="13">
                  <c:v>0.34339102068087224</c:v>
                </c:pt>
              </c:numCache>
            </c:numRef>
          </c:val>
          <c:extLst>
            <c:ext xmlns:c16="http://schemas.microsoft.com/office/drawing/2014/chart" uri="{C3380CC4-5D6E-409C-BE32-E72D297353CC}">
              <c16:uniqueId val="{00000002-ED93-427C-B0E1-CF26EA9A0849}"/>
            </c:ext>
          </c:extLst>
        </c:ser>
        <c:ser>
          <c:idx val="3"/>
          <c:order val="3"/>
          <c:tx>
            <c:strRef>
              <c:f>'17.1.1'!$I$12</c:f>
              <c:strCache>
                <c:ptCount val="1"/>
                <c:pt idx="0">
                  <c:v>I-4    Transferencias</c:v>
                </c:pt>
              </c:strCache>
            </c:strRef>
          </c:tx>
          <c:spPr>
            <a:solidFill>
              <a:schemeClr val="bg2">
                <a:lumMod val="7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'17.1.1'!$I$22:$I$35</c:f>
              <c:numCache>
                <c:formatCode>0.00</c:formatCode>
                <c:ptCount val="14"/>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0.61180196665250053</c:v>
                </c:pt>
                <c:pt idx="11">
                  <c:v>0.32557800489554467</c:v>
                </c:pt>
                <c:pt idx="12">
                  <c:v>0.51704888644746871</c:v>
                </c:pt>
                <c:pt idx="13">
                  <c:v>7.6177819109471898E-2</c:v>
                </c:pt>
              </c:numCache>
            </c:numRef>
          </c:val>
          <c:extLst>
            <c:ext xmlns:c16="http://schemas.microsoft.com/office/drawing/2014/chart" uri="{C3380CC4-5D6E-409C-BE32-E72D297353CC}">
              <c16:uniqueId val="{00000003-ED93-427C-B0E1-CF26EA9A0849}"/>
            </c:ext>
          </c:extLst>
        </c:ser>
        <c:ser>
          <c:idx val="5"/>
          <c:order val="5"/>
          <c:tx>
            <c:strRef>
              <c:f>'17.1.1'!$K$11</c:f>
              <c:strCache>
                <c:ptCount val="1"/>
                <c:pt idx="0">
                  <c:v>II- Ingresos de Capital</c:v>
                </c:pt>
              </c:strCache>
            </c:strRef>
          </c:tx>
          <c:spPr>
            <a:solidFill>
              <a:schemeClr val="bg2">
                <a:lumMod val="25000"/>
              </a:schemeClr>
            </a:solidFill>
            <a:ln>
              <a:noFill/>
            </a:ln>
            <a:effectLst/>
          </c:spPr>
          <c:invertIfNegative val="0"/>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'17.1.1'!$K$22:$K$35</c:f>
              <c:numCache>
                <c:formatCode>0.00</c:formatCode>
                <c:ptCount val="14"/>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0.22361398177008049</c:v>
                </c:pt>
                <c:pt idx="11">
                  <c:v>1.6205047655623479E-2</c:v>
                </c:pt>
                <c:pt idx="12">
                  <c:v>1.6983106211045523E-2</c:v>
                </c:pt>
                <c:pt idx="13">
                  <c:v>1.5620183492765533E-2</c:v>
                </c:pt>
              </c:numCache>
            </c:numRef>
          </c:val>
          <c:extLst>
            <c:ext xmlns:c16="http://schemas.microsoft.com/office/drawing/2014/chart" uri="{C3380CC4-5D6E-409C-BE32-E72D297353CC}">
              <c16:uniqueId val="{00000004-ED93-427C-B0E1-CF26EA9A0849}"/>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'17.1.1'!$J$12</c15:sqref>
                        </c15:formulaRef>
                      </c:ext>
                    </c:extLst>
                    <c:strCache>
                      <c:ptCount val="1"/>
                    </c:strCache>
                  </c:strRef>
                </c:tx>
                <c:spPr>
                  <a:solidFill>
                    <a:schemeClr val="accent5"/>
                  </a:solidFill>
                  <a:ln>
                    <a:noFill/>
                  </a:ln>
                  <a:effectLst/>
                </c:spPr>
                <c:invertIfNegative val="0"/>
                <c:cat>
                  <c:strRef>
                    <c:extLst>
                      <c:ext uri="{02D57815-91ED-43cb-92C2-25804820EDAC}">
                        <c15:formulaRef>
                          <c15:sqref>'17.1.1'!$C$22:$C$35</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extLst>
                      <c:ext uri="{02D57815-91ED-43cb-92C2-25804820EDAC}">
                        <c15:formulaRef>
                          <c15:sqref>'17.1.1'!$J$22:$J$28</c15:sqref>
                        </c15:formulaRef>
                      </c:ext>
                    </c:extLst>
                    <c:numCache>
                      <c:formatCode>0.00</c:formatCode>
                      <c:ptCount val="7"/>
                    </c:numCache>
                  </c:numRef>
                </c:val>
                <c:extLst>
                  <c:ext xmlns:c16="http://schemas.microsoft.com/office/drawing/2014/chart" uri="{C3380CC4-5D6E-409C-BE32-E72D297353CC}">
                    <c16:uniqueId val="{00000006-ED93-427C-B0E1-CF26EA9A0849}"/>
                  </c:ext>
                </c:extLst>
              </c15:ser>
            </c15:filteredBarSeries>
          </c:ext>
        </c:extLst>
      </c:barChart>
      <c:lineChart>
        <c:grouping val="standard"/>
        <c:varyColors val="0"/>
        <c:ser>
          <c:idx val="6"/>
          <c:order val="6"/>
          <c:tx>
            <c:strRef>
              <c:f>'17.1.1'!$D$11:$D$12</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 *</c:v>
                </c:pt>
                <c:pt idx="12">
                  <c:v>2022 *</c:v>
                </c:pt>
                <c:pt idx="13">
                  <c:v>2023 *</c:v>
                </c:pt>
              </c:strCache>
            </c:strRef>
          </c:cat>
          <c:val>
            <c:numRef>
              <c:f>'17.1.1'!$D$22:$D$35</c:f>
              <c:numCache>
                <c:formatCode>###\ ###\ ###\ ###.00</c:formatCode>
                <c:ptCount val="14"/>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15.687429007595</c:v>
                </c:pt>
                <c:pt idx="12">
                  <c:v>16.382881644136461</c:v>
                </c:pt>
                <c:pt idx="13">
                  <c:v>15.26209647364557</c:v>
                </c:pt>
              </c:numCache>
            </c:numRef>
          </c:val>
          <c:smooth val="0"/>
          <c:extLst>
            <c:ext xmlns:c16="http://schemas.microsoft.com/office/drawing/2014/chart" uri="{C3380CC4-5D6E-409C-BE32-E72D297353CC}">
              <c16:uniqueId val="{00000005-ED93-427C-B0E1-CF26EA9A0849}"/>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'3.3.1'!$D$11</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'3.3.1'!$E$22:$E$35</c:f>
              <c:numCache>
                <c:formatCode>0.0</c:formatCode>
                <c:ptCount val="14"/>
                <c:pt idx="0">
                  <c:v>12.770479415707557</c:v>
                </c:pt>
                <c:pt idx="1">
                  <c:v>9.6904521172984595</c:v>
                </c:pt>
                <c:pt idx="2">
                  <c:v>14.809373071136221</c:v>
                </c:pt>
                <c:pt idx="3">
                  <c:v>17.185892285133988</c:v>
                </c:pt>
                <c:pt idx="4">
                  <c:v>17.242354836486175</c:v>
                </c:pt>
                <c:pt idx="5">
                  <c:v>19.990754530714657</c:v>
                </c:pt>
                <c:pt idx="6">
                  <c:v>22.145520824753177</c:v>
                </c:pt>
                <c:pt idx="7">
                  <c:v>22.273922546241149</c:v>
                </c:pt>
                <c:pt idx="8">
                  <c:v>17.328210032587069</c:v>
                </c:pt>
                <c:pt idx="9">
                  <c:v>18.426229399703992</c:v>
                </c:pt>
                <c:pt idx="10">
                  <c:v>15.162666406408407</c:v>
                </c:pt>
                <c:pt idx="11">
                  <c:v>15.184858302736169</c:v>
                </c:pt>
                <c:pt idx="12">
                  <c:v>16.438491735189903</c:v>
                </c:pt>
                <c:pt idx="13">
                  <c:v>20.399999999999999</c:v>
                </c:pt>
              </c:numCache>
            </c:numRef>
          </c:val>
          <c:smooth val="0"/>
          <c:extLst>
            <c:ext xmlns:c16="http://schemas.microsoft.com/office/drawing/2014/chart" uri="{C3380CC4-5D6E-409C-BE32-E72D297353CC}">
              <c16:uniqueId val="{00000000-58E7-4220-9B1A-70B212985BD2}"/>
            </c:ext>
          </c:extLst>
        </c:ser>
        <c:ser>
          <c:idx val="1"/>
          <c:order val="1"/>
          <c:tx>
            <c:strRef>
              <c:f>'3.3.1'!$G$12:$H$12</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'3.3.1'!$H$22:$H$35</c:f>
              <c:numCache>
                <c:formatCode>0.0</c:formatCode>
                <c:ptCount val="14"/>
                <c:pt idx="0">
                  <c:v>20.197860509998158</c:v>
                </c:pt>
                <c:pt idx="1">
                  <c:v>15.206603025812456</c:v>
                </c:pt>
                <c:pt idx="2">
                  <c:v>24.542413510213461</c:v>
                </c:pt>
                <c:pt idx="3">
                  <c:v>27.721192145832532</c:v>
                </c:pt>
                <c:pt idx="4">
                  <c:v>27.340737522891551</c:v>
                </c:pt>
                <c:pt idx="5">
                  <c:v>32.836845963642467</c:v>
                </c:pt>
                <c:pt idx="6">
                  <c:v>37.360777511146232</c:v>
                </c:pt>
                <c:pt idx="7">
                  <c:v>37.423324691701168</c:v>
                </c:pt>
                <c:pt idx="8">
                  <c:v>30.439086248011236</c:v>
                </c:pt>
                <c:pt idx="9">
                  <c:v>31.101974793519133</c:v>
                </c:pt>
                <c:pt idx="10">
                  <c:v>26.091510892649275</c:v>
                </c:pt>
                <c:pt idx="11">
                  <c:v>26.262562847333811</c:v>
                </c:pt>
                <c:pt idx="12">
                  <c:v>27.885832261109694</c:v>
                </c:pt>
                <c:pt idx="13">
                  <c:v>34.1</c:v>
                </c:pt>
              </c:numCache>
            </c:numRef>
          </c:val>
          <c:smooth val="0"/>
          <c:extLst>
            <c:ext xmlns:c16="http://schemas.microsoft.com/office/drawing/2014/chart" uri="{C3380CC4-5D6E-409C-BE32-E72D297353CC}">
              <c16:uniqueId val="{00000001-58E7-4220-9B1A-70B212985BD2}"/>
            </c:ext>
          </c:extLst>
        </c:ser>
        <c:ser>
          <c:idx val="2"/>
          <c:order val="2"/>
          <c:tx>
            <c:strRef>
              <c:f>'3.3.1'!$I$12:$J$12</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'3.3.1'!$J$22:$J$35</c:f>
              <c:numCache>
                <c:formatCode>0.0</c:formatCode>
                <c:ptCount val="14"/>
                <c:pt idx="0">
                  <c:v>5.1749397297967681</c:v>
                </c:pt>
                <c:pt idx="1">
                  <c:v>4.0514552430895163</c:v>
                </c:pt>
                <c:pt idx="2">
                  <c:v>4.8665460314088609</c:v>
                </c:pt>
                <c:pt idx="3">
                  <c:v>6.3884937743322459</c:v>
                </c:pt>
                <c:pt idx="4">
                  <c:v>6.729283583450071</c:v>
                </c:pt>
                <c:pt idx="5">
                  <c:v>6.8536060899362443</c:v>
                </c:pt>
                <c:pt idx="6">
                  <c:v>6.6458876718308293</c:v>
                </c:pt>
                <c:pt idx="7">
                  <c:v>6.8523325504152304</c:v>
                </c:pt>
                <c:pt idx="8">
                  <c:v>3.991404108970916</c:v>
                </c:pt>
                <c:pt idx="9">
                  <c:v>5.5415360036794654</c:v>
                </c:pt>
                <c:pt idx="10">
                  <c:v>4.0225771212203751</c:v>
                </c:pt>
                <c:pt idx="11">
                  <c:v>3.9416513140308624</c:v>
                </c:pt>
                <c:pt idx="12">
                  <c:v>4.7519982781203849</c:v>
                </c:pt>
                <c:pt idx="13">
                  <c:v>6.5</c:v>
                </c:pt>
              </c:numCache>
            </c:numRef>
          </c:val>
          <c:smooth val="0"/>
          <c:extLst>
            <c:ext xmlns:c16="http://schemas.microsoft.com/office/drawing/2014/chart" uri="{C3380CC4-5D6E-409C-BE32-E72D297353CC}">
              <c16:uniqueId val="{00000002-58E7-4220-9B1A-70B212985BD2}"/>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'17.1.2'!$C$18:$C$31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'17.1.2'!$D$18:$D$31</c:f>
              <c:numCache>
                <c:formatCode>0.00</c:formatCode>
                <c:ptCount val="14"/>
                <c:pt idx="0">
                  <c:v>66.900000000000006</c:v>
                </c:pt>
                <c:pt idx="1">
                  <c:v>71.56</c:v>
                </c:pt>
                <c:pt idx="2">
                  <c:v>70.349999999999994</c:v>
                </c:pt>
                <c:pt idx="3">
                  <c:v>67.569999999999993</c:v>
                </c:pt>
                <c:pt idx="4">
                  <c:v>66.12</c:v>
                </c:pt>
                <c:pt idx="5">
                  <c:v>66.05</c:v>
                </c:pt>
                <c:pt idx="6">
                  <c:v>67.209999999999994</c:v>
                </c:pt>
                <c:pt idx="7">
                  <c:v>64.91</c:v>
                </c:pt>
                <c:pt idx="8">
                  <c:v>65.289815723682892</c:v>
                </c:pt>
                <c:pt idx="9">
                  <c:v>62.05</c:v>
                </c:pt>
                <c:pt idx="10">
                  <c:v>56.51</c:v>
                </c:pt>
                <c:pt idx="11">
                  <c:v>66.747682008011708</c:v>
                </c:pt>
                <c:pt idx="12">
                  <c:v>74.627315414967228</c:v>
                </c:pt>
                <c:pt idx="13">
                  <c:v>73.708202674877725</c:v>
                </c:pt>
              </c:numCache>
            </c:numRef>
          </c:val>
          <c:smooth val="0"/>
          <c:extLst>
            <c:ext xmlns:c16="http://schemas.microsoft.com/office/drawing/2014/chart" uri="{C3380CC4-5D6E-409C-BE32-E72D297353CC}">
              <c16:uniqueId val="{00000000-AA61-4B3E-BBB4-FE3D7AD214EA}"/>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'17.3.2'!$G$13</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'17.3.2'!$C$14:$D$70</c:f>
              <c:multiLvlStrCache>
                <c:ptCount val="57"/>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lvl>
              </c:multiLvlStrCache>
            </c:multiLvlStrRef>
          </c:cat>
          <c:val>
            <c:numRef>
              <c:f>'17.3.2'!$G$14:$G$70</c:f>
              <c:numCache>
                <c:formatCode>0.0</c:formatCode>
                <c:ptCount val="57"/>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0.18430035095248223</c:v>
                </c:pt>
                <c:pt idx="37">
                  <c:v>0.20119812485044999</c:v>
                </c:pt>
                <c:pt idx="38">
                  <c:v>0.2095894337133094</c:v>
                </c:pt>
                <c:pt idx="39">
                  <c:v>0.21025825615453306</c:v>
                </c:pt>
                <c:pt idx="40">
                  <c:v>0.16698704277882426</c:v>
                </c:pt>
                <c:pt idx="41">
                  <c:v>0.1908366360503003</c:v>
                </c:pt>
                <c:pt idx="42">
                  <c:v>0.22272110015255628</c:v>
                </c:pt>
                <c:pt idx="43">
                  <c:v>0.21623226600335169</c:v>
                </c:pt>
                <c:pt idx="44">
                  <c:v>0.19585611188938415</c:v>
                </c:pt>
                <c:pt idx="45">
                  <c:v>0.21637328557237309</c:v>
                </c:pt>
                <c:pt idx="46">
                  <c:v>0.23106315206075501</c:v>
                </c:pt>
                <c:pt idx="47">
                  <c:v>0.22152463821271232</c:v>
                </c:pt>
                <c:pt idx="48">
                  <c:v>0.20362885077869897</c:v>
                </c:pt>
                <c:pt idx="49">
                  <c:v>0.20651720327201384</c:v>
                </c:pt>
                <c:pt idx="50">
                  <c:v>0.21662643699861592</c:v>
                </c:pt>
                <c:pt idx="51">
                  <c:v>0.20362885077869897</c:v>
                </c:pt>
                <c:pt idx="52">
                  <c:v>0.18844379084659732</c:v>
                </c:pt>
                <c:pt idx="53">
                  <c:v>0.16069746581396951</c:v>
                </c:pt>
                <c:pt idx="54">
                  <c:v>0.16185356269032899</c:v>
                </c:pt>
                <c:pt idx="55">
                  <c:v>0.16994624082484544</c:v>
                </c:pt>
                <c:pt idx="56">
                  <c:v>0.17546042396378556</c:v>
                </c:pt>
              </c:numCache>
            </c:numRef>
          </c:val>
          <c:smooth val="0"/>
          <c:extLst>
            <c:ext xmlns:c16="http://schemas.microsoft.com/office/drawing/2014/chart" uri="{C3380CC4-5D6E-409C-BE32-E72D297353CC}">
              <c16:uniqueId val="{00000000-DCD5-4B53-BA8C-101B7B540FC7}"/>
            </c:ext>
          </c:extLst>
        </c:ser>
        <c:ser>
          <c:idx val="3"/>
          <c:order val="1"/>
          <c:tx>
            <c:strRef>
              <c:f>'17.3.2'!$H$13</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'17.3.2'!$C$14:$D$70</c:f>
              <c:multiLvlStrCache>
                <c:ptCount val="57"/>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pt idx="52">
                    <c:v>I Trimestre</c:v>
                  </c:pt>
                  <c:pt idx="53">
                    <c:v>II Trimestre</c:v>
                  </c:pt>
                  <c:pt idx="54">
                    <c:v>III Trimestre</c:v>
                  </c:pt>
                  <c:pt idx="55">
                    <c:v>IV Trimestre</c:v>
                  </c:pt>
                  <c:pt idx="56">
                    <c:v>I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lvl>
              </c:multiLvlStrCache>
            </c:multiLvlStrRef>
          </c:cat>
          <c:val>
            <c:numRef>
              <c:f>'17.3.2'!$H$14:$H$70</c:f>
              <c:numCache>
                <c:formatCode>0.0</c:formatCode>
                <c:ptCount val="57"/>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0.14192945929595466</c:v>
                </c:pt>
                <c:pt idx="37">
                  <c:v>0.13838989344382935</c:v>
                </c:pt>
                <c:pt idx="38">
                  <c:v>0.14337531842026738</c:v>
                </c:pt>
                <c:pt idx="39">
                  <c:v>0.16686520522315179</c:v>
                </c:pt>
                <c:pt idx="40">
                  <c:v>0.14269548624397194</c:v>
                </c:pt>
                <c:pt idx="41">
                  <c:v>0.13597655225154379</c:v>
                </c:pt>
                <c:pt idx="42">
                  <c:v>0.13225070399802022</c:v>
                </c:pt>
                <c:pt idx="43">
                  <c:v>0.15139322740565406</c:v>
                </c:pt>
                <c:pt idx="44">
                  <c:v>0.13653109544892963</c:v>
                </c:pt>
                <c:pt idx="45">
                  <c:v>0.13406651023318547</c:v>
                </c:pt>
                <c:pt idx="46">
                  <c:v>0.16509533441805563</c:v>
                </c:pt>
                <c:pt idx="47">
                  <c:v>0.16436479848201216</c:v>
                </c:pt>
                <c:pt idx="48">
                  <c:v>0.13968537617517343</c:v>
                </c:pt>
                <c:pt idx="49">
                  <c:v>0.13943255276749406</c:v>
                </c:pt>
                <c:pt idx="50">
                  <c:v>0.16752444461226298</c:v>
                </c:pt>
                <c:pt idx="51">
                  <c:v>0.16539333284780916</c:v>
                </c:pt>
                <c:pt idx="52">
                  <c:v>0.12687102578932058</c:v>
                </c:pt>
                <c:pt idx="53">
                  <c:v>0.11723773961648548</c:v>
                </c:pt>
                <c:pt idx="54">
                  <c:v>0.1201980028609924</c:v>
                </c:pt>
                <c:pt idx="55">
                  <c:v>0.13141061731150952</c:v>
                </c:pt>
                <c:pt idx="56">
                  <c:v>0.120413747532205</c:v>
                </c:pt>
              </c:numCache>
            </c:numRef>
          </c:val>
          <c:smooth val="0"/>
          <c:extLst>
            <c:ext xmlns:c16="http://schemas.microsoft.com/office/drawing/2014/chart" uri="{C3380CC4-5D6E-409C-BE32-E72D297353CC}">
              <c16:uniqueId val="{00000001-DCD5-4B53-BA8C-101B7B540FC7}"/>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 | 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'17.4.1'!$C$17:$C$30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'17.4.1'!$F$17:$F$29</c:f>
              <c:numCache>
                <c:formatCode>_(* #,##0.00_);_(* \(#,##0.00\);_(* "-"??_);_(@_)</c:formatCode>
                <c:ptCount val="13"/>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79.102985138701257</c:v>
                </c:pt>
                <c:pt idx="9">
                  <c:v>54.348697526800329</c:v>
                </c:pt>
                <c:pt idx="10">
                  <c:v>50.263548793138582</c:v>
                </c:pt>
                <c:pt idx="11">
                  <c:v>50.390419543614854</c:v>
                </c:pt>
                <c:pt idx="12">
                  <c:v>29.289682345949714</c:v>
                </c:pt>
              </c:numCache>
            </c:numRef>
          </c:val>
          <c:smooth val="0"/>
          <c:extLst>
            <c:ext xmlns:c16="http://schemas.microsoft.com/office/drawing/2014/chart" uri="{C3380CC4-5D6E-409C-BE32-E72D297353CC}">
              <c16:uniqueId val="{00000000-2C34-40C3-B4FB-31638BA27B16}"/>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'17.6.1'!$F$11</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'17.6.1'!$F$12:$F$25</c:f>
              <c:numCache>
                <c:formatCode>0.0</c:formatCode>
                <c:ptCount val="14"/>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pt idx="12">
                  <c:v>21.2</c:v>
                </c:pt>
                <c:pt idx="13">
                  <c:v>21.9</c:v>
                </c:pt>
              </c:numCache>
            </c:numRef>
          </c:val>
          <c:smooth val="0"/>
          <c:extLst>
            <c:ext xmlns:c16="http://schemas.microsoft.com/office/drawing/2014/chart" uri="{C3380CC4-5D6E-409C-BE32-E72D297353CC}">
              <c16:uniqueId val="{00000000-20FB-4FF3-8AE3-D383C03263C2}"/>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a:lstStyle/>
              <a:p>
                <a:pPr>
                  <a:defRPr/>
                </a:pPr>
                <a:r>
                  <a:rPr lang="es-C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'17.8.1'!$D$12</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'17.8.1'!$D$13:$D$27</c:f>
              <c:numCache>
                <c:formatCode>0.0</c:formatCode>
                <c:ptCount val="15"/>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pt idx="12">
                  <c:v>82.598011210477267</c:v>
                </c:pt>
                <c:pt idx="13">
                  <c:v>85.395147988035873</c:v>
                </c:pt>
                <c:pt idx="14">
                  <c:v>87.858425682659089</c:v>
                </c:pt>
              </c:numCache>
            </c:numRef>
          </c:val>
          <c:smooth val="0"/>
          <c:extLst>
            <c:ext xmlns:c16="http://schemas.microsoft.com/office/drawing/2014/chart" uri="{C3380CC4-5D6E-409C-BE32-E72D297353CC}">
              <c16:uniqueId val="{00000000-AF28-41C9-9283-867EDF02ABD8}"/>
            </c:ext>
          </c:extLst>
        </c:ser>
        <c:ser>
          <c:idx val="1"/>
          <c:order val="1"/>
          <c:tx>
            <c:strRef>
              <c:f>'17.8.1'!$E$12</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'17.8.1'!$E$13:$E$27</c:f>
              <c:numCache>
                <c:formatCode>0.0</c:formatCode>
                <c:ptCount val="15"/>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pt idx="12">
                  <c:v>84.947849852966613</c:v>
                </c:pt>
                <c:pt idx="13">
                  <c:v>87.551431147825511</c:v>
                </c:pt>
                <c:pt idx="14">
                  <c:v>89.259164949429291</c:v>
                </c:pt>
              </c:numCache>
            </c:numRef>
          </c:val>
          <c:smooth val="0"/>
          <c:extLst>
            <c:ext xmlns:c16="http://schemas.microsoft.com/office/drawing/2014/chart" uri="{C3380CC4-5D6E-409C-BE32-E72D297353CC}">
              <c16:uniqueId val="{00000001-AF28-41C9-9283-867EDF02ABD8}"/>
            </c:ext>
          </c:extLst>
        </c:ser>
        <c:ser>
          <c:idx val="2"/>
          <c:order val="2"/>
          <c:tx>
            <c:strRef>
              <c:f>'17.8.1'!$F$12</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'17.8.1'!$F$13:$F$27</c:f>
              <c:numCache>
                <c:formatCode>0.0</c:formatCode>
                <c:ptCount val="15"/>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pt idx="12">
                  <c:v>76.345697413506798</c:v>
                </c:pt>
                <c:pt idx="13">
                  <c:v>79.662772199119999</c:v>
                </c:pt>
                <c:pt idx="14">
                  <c:v>84.145061479888199</c:v>
                </c:pt>
              </c:numCache>
            </c:numRef>
          </c:val>
          <c:smooth val="0"/>
          <c:extLst>
            <c:ext xmlns:c16="http://schemas.microsoft.com/office/drawing/2014/chart" uri="{C3380CC4-5D6E-409C-BE32-E72D297353CC}">
              <c16:uniqueId val="{00000002-AF28-41C9-9283-867EDF02ABD8}"/>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'17.10.1'!$C$27:$C$40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'17.10.1'!$D$27:$D$40</c:f>
              <c:numCache>
                <c:formatCode>0.0</c:formatCode>
                <c:ptCount val="14"/>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pt idx="10">
                  <c:v>1.04</c:v>
                </c:pt>
                <c:pt idx="11">
                  <c:v>0.98331900000000005</c:v>
                </c:pt>
                <c:pt idx="12">
                  <c:v>0.88393100000000002</c:v>
                </c:pt>
                <c:pt idx="13">
                  <c:v>0.80578499999999997</c:v>
                </c:pt>
              </c:numCache>
            </c:numRef>
          </c:val>
          <c:smooth val="0"/>
          <c:extLst>
            <c:ext xmlns:c16="http://schemas.microsoft.com/office/drawing/2014/chart" uri="{C3380CC4-5D6E-409C-BE32-E72D297353CC}">
              <c16:uniqueId val="{00000000-8CE2-441A-88A9-086B42122B23}"/>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 sourceLinked="1"/>
        <c:majorTickMark val="out"/>
        <c:minorTickMark val="none"/>
        <c:tickLblPos val="nextTo"/>
        <c:crossAx val="26573004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'3.3.2'!$C$21:$C$34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'3.3.2'!$D$21:$D$34</c:f>
              <c:numCache>
                <c:formatCode>0.0</c:formatCode>
                <c:ptCount val="14"/>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pt idx="12">
                  <c:v>7.7</c:v>
                </c:pt>
                <c:pt idx="13">
                  <c:v>9</c:v>
                </c:pt>
              </c:numCache>
            </c:numRef>
          </c:val>
          <c:smooth val="0"/>
          <c:extLst>
            <c:ext xmlns:c16="http://schemas.microsoft.com/office/drawing/2014/chart" uri="{C3380CC4-5D6E-409C-BE32-E72D297353CC}">
              <c16:uniqueId val="{00000000-EF3E-44D5-B28D-4A2F8F830232}"/>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'3.3.3'!$H$12</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'3.3.3'!$G$13:$G$26</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'3.3.3'!$H$13:$H$26</c:f>
              <c:numCache>
                <c:formatCode>General</c:formatCode>
                <c:ptCount val="14"/>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pt idx="12" formatCode="0.000">
                  <c:v>0.22604974992199889</c:v>
                </c:pt>
                <c:pt idx="13" formatCode="0.000">
                  <c:v>0.25669407775575487</c:v>
                </c:pt>
              </c:numCache>
            </c:numRef>
          </c:val>
          <c:smooth val="0"/>
          <c:extLst>
            <c:ext xmlns:c16="http://schemas.microsoft.com/office/drawing/2014/chart" uri="{C3380CC4-5D6E-409C-BE32-E72D297353CC}">
              <c16:uniqueId val="{00000000-0E3A-47CD-B001-C2F972AE724E}"/>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crossAx val="223446016"/>
        <c:crosses val="autoZero"/>
        <c:crossBetween val="between"/>
      </c:valAx>
      <c:spPr>
        <a:noFill/>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'3.3.4'!$C$14:$C$28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'3.3.4'!$D$14:$D$28</c:f>
              <c:numCache>
                <c:formatCode>General</c:formatCode>
                <c:ptCount val="15"/>
                <c:pt idx="0">
                  <c:v>0.37</c:v>
                </c:pt>
                <c:pt idx="1">
                  <c:v>3.03</c:v>
                </c:pt>
                <c:pt idx="2">
                  <c:v>4.54</c:v>
                </c:pt>
                <c:pt idx="3">
                  <c:v>3.34</c:v>
                </c:pt>
                <c:pt idx="4">
                  <c:v>4.57</c:v>
                </c:pt>
                <c:pt idx="5" formatCode="0.00">
                  <c:v>2.9</c:v>
                </c:pt>
                <c:pt idx="6" formatCode="0.00">
                  <c:v>3.0876996678371298</c:v>
                </c:pt>
                <c:pt idx="7" formatCode="0.00">
                  <c:v>4.9115903628533388</c:v>
                </c:pt>
                <c:pt idx="8" formatCode="0.00">
                  <c:v>5.0365821753358171</c:v>
                </c:pt>
                <c:pt idx="9" formatCode="0.00">
                  <c:v>3.7761968715296308</c:v>
                </c:pt>
                <c:pt idx="10" formatCode="0.00">
                  <c:v>4.4000000000000004</c:v>
                </c:pt>
                <c:pt idx="11" formatCode="0.00">
                  <c:v>2.4</c:v>
                </c:pt>
                <c:pt idx="12" formatCode="0.00">
                  <c:v>1.8</c:v>
                </c:pt>
                <c:pt idx="13" formatCode="0.00">
                  <c:v>5</c:v>
                </c:pt>
                <c:pt idx="14" formatCode="0.00">
                  <c:v>3.6</c:v>
                </c:pt>
              </c:numCache>
            </c:numRef>
          </c:val>
          <c:smooth val="0"/>
          <c:extLst>
            <c:ext xmlns:c16="http://schemas.microsoft.com/office/drawing/2014/chart" uri="{C3380CC4-5D6E-409C-BE32-E72D297353CC}">
              <c16:uniqueId val="{00000000-10D7-4899-B939-B62413FC6608}"/>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9026456901359E-2"/>
          <c:y val="0.13426421437024488"/>
          <c:w val="0.88326618547681546"/>
          <c:h val="0.66479950422863809"/>
        </c:manualLayout>
      </c:layout>
      <c:lineChart>
        <c:grouping val="standard"/>
        <c:varyColors val="0"/>
        <c:ser>
          <c:idx val="0"/>
          <c:order val="0"/>
          <c:tx>
            <c:strRef>
              <c:f>'3.4.1'!$D$11:$D$12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'3.4.1'!$D$13:$D$27</c:f>
              <c:numCache>
                <c:formatCode>0.0</c:formatCode>
                <c:ptCount val="15"/>
                <c:pt idx="0">
                  <c:v>2.2215704849760365</c:v>
                </c:pt>
                <c:pt idx="1">
                  <c:v>2.0844264247001374</c:v>
                </c:pt>
                <c:pt idx="2">
                  <c:v>2.0990571765040085</c:v>
                </c:pt>
                <c:pt idx="3">
                  <c:v>2.0492376683389177</c:v>
                </c:pt>
                <c:pt idx="4">
                  <c:v>2.0154930023775397</c:v>
                </c:pt>
                <c:pt idx="5">
                  <c:v>2.0230809454862397</c:v>
                </c:pt>
                <c:pt idx="6">
                  <c:v>2.0466591767534235</c:v>
                </c:pt>
                <c:pt idx="7">
                  <c:v>2.1210248828671858</c:v>
                </c:pt>
                <c:pt idx="8">
                  <c:v>2.1265578301943711</c:v>
                </c:pt>
                <c:pt idx="9">
                  <c:v>2.1260469075063693</c:v>
                </c:pt>
                <c:pt idx="10">
                  <c:v>2.1685674032617683</c:v>
                </c:pt>
                <c:pt idx="11">
                  <c:v>2.2277946766462038</c:v>
                </c:pt>
                <c:pt idx="12">
                  <c:v>2.1777596257167109</c:v>
                </c:pt>
                <c:pt idx="13">
                  <c:v>2.2077880074817027</c:v>
                </c:pt>
                <c:pt idx="14">
                  <c:v>2.2262093091500854</c:v>
                </c:pt>
              </c:numCache>
            </c:numRef>
          </c:val>
          <c:smooth val="0"/>
          <c:extLst>
            <c:ext xmlns:c16="http://schemas.microsoft.com/office/drawing/2014/chart" uri="{C3380CC4-5D6E-409C-BE32-E72D297353CC}">
              <c16:uniqueId val="{00000000-5F28-4782-BCB4-6F9BD37999FC}"/>
            </c:ext>
          </c:extLst>
        </c:ser>
        <c:dLbls>
          <c:dLblPos val="t"/>
          <c:showLegendKey val="0"/>
          <c:showVal val="1"/>
          <c:showCatName val="0"/>
          <c:showSerName val="0"/>
          <c:showPercent val="0"/>
          <c:showBubbleSize val="0"/>
        </c:dLbls>
        <c:marker val="1"/>
        <c:smooth val="0"/>
        <c:axId val="225562112"/>
        <c:axId val="224877312"/>
      </c:lineChart>
      <c:catAx>
        <c:axId val="225562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7312"/>
        <c:crosses val="autoZero"/>
        <c:auto val="1"/>
        <c:lblAlgn val="ctr"/>
        <c:lblOffset val="100"/>
        <c:noMultiLvlLbl val="0"/>
      </c:catAx>
      <c:valAx>
        <c:axId val="224877312"/>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562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040244969398E-2"/>
          <c:y val="0.11574074074074074"/>
          <c:w val="0.8895164041994752"/>
          <c:h val="0.67868839311752693"/>
        </c:manualLayout>
      </c:layout>
      <c:lineChart>
        <c:grouping val="standard"/>
        <c:varyColors val="0"/>
        <c:ser>
          <c:idx val="0"/>
          <c:order val="0"/>
          <c:tx>
            <c:strRef>
              <c:f>'3.4.2'!$D$11:$D$12</c:f>
              <c:strCache>
                <c:ptCount val="2"/>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'3.4.2'!$D$13:$D$27</c:f>
              <c:numCache>
                <c:formatCode>0.0</c:formatCode>
                <c:ptCount val="15"/>
                <c:pt idx="0">
                  <c:v>6.862269171835381</c:v>
                </c:pt>
                <c:pt idx="1">
                  <c:v>7.0521453331339181</c:v>
                </c:pt>
                <c:pt idx="2">
                  <c:v>6.5743046305290562</c:v>
                </c:pt>
                <c:pt idx="3">
                  <c:v>7.192730927373896</c:v>
                </c:pt>
                <c:pt idx="4">
                  <c:v>5.951660018257817</c:v>
                </c:pt>
                <c:pt idx="5">
                  <c:v>6.5237377177132938</c:v>
                </c:pt>
                <c:pt idx="6">
                  <c:v>6.9428473040316403</c:v>
                </c:pt>
                <c:pt idx="7">
                  <c:v>6.4254340221890409</c:v>
                </c:pt>
                <c:pt idx="8">
                  <c:v>7.9697286669362111</c:v>
                </c:pt>
                <c:pt idx="9">
                  <c:v>7.6479244683215635</c:v>
                </c:pt>
                <c:pt idx="10">
                  <c:v>7.6414773538944232</c:v>
                </c:pt>
                <c:pt idx="11">
                  <c:v>7.6413047707110078</c:v>
                </c:pt>
                <c:pt idx="12">
                  <c:v>8.952171207493441</c:v>
                </c:pt>
                <c:pt idx="13">
                  <c:v>8.0414156314630212</c:v>
                </c:pt>
                <c:pt idx="14">
                  <c:v>7.1637954242084119</c:v>
                </c:pt>
              </c:numCache>
            </c:numRef>
          </c:val>
          <c:smooth val="0"/>
          <c:extLst>
            <c:ext xmlns:c16="http://schemas.microsoft.com/office/drawing/2014/chart" uri="{C3380CC4-5D6E-409C-BE32-E72D297353CC}">
              <c16:uniqueId val="{00000000-93AC-4372-A9DB-6EE6ECB50E25}"/>
            </c:ext>
          </c:extLst>
        </c:ser>
        <c:dLbls>
          <c:dLblPos val="t"/>
          <c:showLegendKey val="0"/>
          <c:showVal val="1"/>
          <c:showCatName val="0"/>
          <c:showSerName val="0"/>
          <c:showPercent val="0"/>
          <c:showBubbleSize val="0"/>
        </c:dLbls>
        <c:marker val="1"/>
        <c:smooth val="0"/>
        <c:axId val="225705472"/>
        <c:axId val="225207424"/>
      </c:lineChart>
      <c:catAx>
        <c:axId val="22570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7424"/>
        <c:crosses val="autoZero"/>
        <c:auto val="1"/>
        <c:lblAlgn val="ctr"/>
        <c:lblOffset val="100"/>
        <c:noMultiLvlLbl val="0"/>
      </c:catAx>
      <c:valAx>
        <c:axId val="225207424"/>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70547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'3.5.1'!$D$14</c:f>
              <c:strCache>
                <c:ptCount val="1"/>
                <c:pt idx="0">
                  <c:v>Total</c:v>
                </c:pt>
              </c:strCache>
            </c:strRef>
          </c:tx>
          <c:spPr>
            <a:ln w="28575" cap="rnd">
              <a:solidFill>
                <a:srgbClr val="4C9F38"/>
              </a:solidFill>
              <a:round/>
            </a:ln>
            <a:effectLst/>
          </c:spPr>
          <c:marker>
            <c:symbol val="none"/>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'3.5.1'!$D$15:$D$27</c:f>
              <c:numCache>
                <c:formatCode>0.00</c:formatCode>
                <c:ptCount val="13"/>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2.6605239643670489</c:v>
                </c:pt>
                <c:pt idx="11">
                  <c:v>3.7548366923376402</c:v>
                </c:pt>
                <c:pt idx="12" formatCode="#,##0.00">
                  <c:v>4.2014531359779097</c:v>
                </c:pt>
              </c:numCache>
            </c:numRef>
          </c:val>
          <c:smooth val="0"/>
          <c:extLst>
            <c:ext xmlns:c16="http://schemas.microsoft.com/office/drawing/2014/chart" uri="{C3380CC4-5D6E-409C-BE32-E72D297353CC}">
              <c16:uniqueId val="{00000000-7BB7-4230-8147-4C8B2A7B2A91}"/>
            </c:ext>
          </c:extLst>
        </c:ser>
        <c:ser>
          <c:idx val="1"/>
          <c:order val="1"/>
          <c:tx>
            <c:strRef>
              <c:f>'3.5.1'!$E$14</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'3.5.1'!$E$15:$E$27</c:f>
              <c:numCache>
                <c:formatCode>0.00</c:formatCode>
                <c:ptCount val="13"/>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2.5719960483409179</c:v>
                </c:pt>
                <c:pt idx="11">
                  <c:v>3.7694855395787599</c:v>
                </c:pt>
                <c:pt idx="12" formatCode="#,##0.00">
                  <c:v>4.2647144426740704</c:v>
                </c:pt>
              </c:numCache>
            </c:numRef>
          </c:val>
          <c:smooth val="0"/>
          <c:extLst>
            <c:ext xmlns:c16="http://schemas.microsoft.com/office/drawing/2014/chart" uri="{C3380CC4-5D6E-409C-BE32-E72D297353CC}">
              <c16:uniqueId val="{00000001-7BB7-4230-8147-4C8B2A7B2A91}"/>
            </c:ext>
          </c:extLst>
        </c:ser>
        <c:ser>
          <c:idx val="2"/>
          <c:order val="2"/>
          <c:tx>
            <c:strRef>
              <c:f>'3.5.1'!$F$14</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'3.5.1'!$F$15:$F$27</c:f>
              <c:numCache>
                <c:formatCode>0.00</c:formatCode>
                <c:ptCount val="13"/>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2.9310363195833631</c:v>
                </c:pt>
                <c:pt idx="11">
                  <c:v>3.7126964160433902</c:v>
                </c:pt>
                <c:pt idx="12" formatCode="#,##0.00">
                  <c:v>4.0812512644801497</c:v>
                </c:pt>
              </c:numCache>
            </c:numRef>
          </c:val>
          <c:smooth val="0"/>
          <c:extLst>
            <c:ext xmlns:c16="http://schemas.microsoft.com/office/drawing/2014/chart" uri="{C3380CC4-5D6E-409C-BE32-E72D297353CC}">
              <c16:uniqueId val="{00000002-7BB7-4230-8147-4C8B2A7B2A91}"/>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9728"/>
        <c:crosses val="autoZero"/>
        <c:auto val="1"/>
        <c:lblAlgn val="ctr"/>
        <c:lblOffset val="100"/>
        <c:noMultiLvlLbl val="0"/>
      </c:catAx>
      <c:valAx>
        <c:axId val="22520972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'1.2.2'!$D$13:$D$27</c:f>
              <c:numCache>
                <c:formatCode>###0.0</c:formatCode>
                <c:ptCount val="15"/>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pt idx="12">
                  <c:v>17.788552200966549</c:v>
                </c:pt>
                <c:pt idx="13">
                  <c:v>15.3019874825576</c:v>
                </c:pt>
                <c:pt idx="14">
                  <c:v>13.089035043813485</c:v>
                </c:pt>
              </c:numCache>
            </c:numRef>
          </c:val>
          <c:smooth val="0"/>
          <c:extLst>
            <c:ext xmlns:c16="http://schemas.microsoft.com/office/drawing/2014/chart" uri="{C3380CC4-5D6E-409C-BE32-E72D297353CC}">
              <c16:uniqueId val="{00000000-26CF-45B3-8369-1B20C09A9341}"/>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12681500654566"/>
          <c:y val="0.15740746692377738"/>
          <c:w val="0.84102996500437455"/>
          <c:h val="0.62834062408865565"/>
        </c:manualLayout>
      </c:layout>
      <c:barChart>
        <c:barDir val="col"/>
        <c:grouping val="clustered"/>
        <c:varyColors val="0"/>
        <c:ser>
          <c:idx val="0"/>
          <c:order val="0"/>
          <c:tx>
            <c:strRef>
              <c:f>'3.5.2.a '!$E$13</c:f>
              <c:strCache>
                <c:ptCount val="1"/>
                <c:pt idx="0">
                  <c:v>Hombres</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'3.5.2.a '!$E$14:$E$26</c:f>
              <c:numCache>
                <c:formatCode>0.0</c:formatCode>
                <c:ptCount val="13"/>
                <c:pt idx="0">
                  <c:v>19.29</c:v>
                </c:pt>
                <c:pt idx="1">
                  <c:v>20.51</c:v>
                </c:pt>
                <c:pt idx="2">
                  <c:v>21.72</c:v>
                </c:pt>
                <c:pt idx="3">
                  <c:v>22.94</c:v>
                </c:pt>
                <c:pt idx="4">
                  <c:v>24.15</c:v>
                </c:pt>
                <c:pt idx="5">
                  <c:v>25.362757428116701</c:v>
                </c:pt>
                <c:pt idx="6">
                  <c:v>26.575514856233401</c:v>
                </c:pt>
                <c:pt idx="7">
                  <c:v>27.7882722843501</c:v>
                </c:pt>
                <c:pt idx="8">
                  <c:v>29.001029712466799</c:v>
                </c:pt>
                <c:pt idx="9">
                  <c:v>30.213787140583499</c:v>
                </c:pt>
                <c:pt idx="10">
                  <c:v>31.426544568700201</c:v>
                </c:pt>
                <c:pt idx="11">
                  <c:v>32.639301996816897</c:v>
                </c:pt>
                <c:pt idx="12">
                  <c:v>33.8520594249336</c:v>
                </c:pt>
              </c:numCache>
            </c:numRef>
          </c:val>
          <c:extLst>
            <c:ext xmlns:c16="http://schemas.microsoft.com/office/drawing/2014/chart" uri="{C3380CC4-5D6E-409C-BE32-E72D297353CC}">
              <c16:uniqueId val="{00000000-08AB-4C2A-9B02-08A8AA09FAEE}"/>
            </c:ext>
          </c:extLst>
        </c:ser>
        <c:ser>
          <c:idx val="1"/>
          <c:order val="1"/>
          <c:tx>
            <c:strRef>
              <c:f>'3.5.2.a '!$F$13</c:f>
              <c:strCache>
                <c:ptCount val="1"/>
                <c:pt idx="0">
                  <c:v>Mujeres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'3.5.2.a '!$F$14:$F$26</c:f>
              <c:numCache>
                <c:formatCode>0.0</c:formatCode>
                <c:ptCount val="13"/>
                <c:pt idx="0">
                  <c:v>7.0841138392702296</c:v>
                </c:pt>
                <c:pt idx="1">
                  <c:v>7.5</c:v>
                </c:pt>
                <c:pt idx="2">
                  <c:v>7.93</c:v>
                </c:pt>
                <c:pt idx="3">
                  <c:v>8.35</c:v>
                </c:pt>
                <c:pt idx="4">
                  <c:v>8.7799999999999994</c:v>
                </c:pt>
                <c:pt idx="5">
                  <c:v>11.008239367030599</c:v>
                </c:pt>
                <c:pt idx="6">
                  <c:v>13.236478734061199</c:v>
                </c:pt>
                <c:pt idx="7">
                  <c:v>15.464718101091799</c:v>
                </c:pt>
                <c:pt idx="8">
                  <c:v>17.692957468122401</c:v>
                </c:pt>
                <c:pt idx="9">
                  <c:v>19.921196835153001</c:v>
                </c:pt>
                <c:pt idx="10">
                  <c:v>22.149436202183601</c:v>
                </c:pt>
                <c:pt idx="11">
                  <c:v>24.377675569214201</c:v>
                </c:pt>
                <c:pt idx="12">
                  <c:v>26.605914936244801</c:v>
                </c:pt>
              </c:numCache>
            </c:numRef>
          </c:val>
          <c:extLst>
            <c:ext xmlns:c16="http://schemas.microsoft.com/office/drawing/2014/chart" uri="{C3380CC4-5D6E-409C-BE32-E72D297353CC}">
              <c16:uniqueId val="{00000001-08AB-4C2A-9B02-08A8AA09FAEE}"/>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4576"/>
        <c:crosses val="autoZero"/>
        <c:auto val="1"/>
        <c:lblAlgn val="ctr"/>
        <c:lblOffset val="100"/>
        <c:noMultiLvlLbl val="0"/>
      </c:catAx>
      <c:valAx>
        <c:axId val="22530457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701769323033"/>
          <c:y val="0.17440525970237472"/>
          <c:w val="0.84812751531058628"/>
          <c:h val="0.67405876348789739"/>
        </c:manualLayout>
      </c:layout>
      <c:lineChart>
        <c:grouping val="standard"/>
        <c:varyColors val="0"/>
        <c:ser>
          <c:idx val="1"/>
          <c:order val="0"/>
          <c:spPr>
            <a:ln>
              <a:solidFill>
                <a:srgbClr val="4C9F38"/>
              </a:solidFill>
            </a:ln>
          </c:spPr>
          <c:marker>
            <c:spPr>
              <a:solidFill>
                <a:srgbClr val="259A44"/>
              </a:solidFill>
              <a:ln>
                <a:solidFill>
                  <a:srgbClr val="259A4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'3.5.2.b '!$C$14:$C$26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'3.5.2.b '!$G$14:$G$26</c:f>
              <c:numCache>
                <c:formatCode>0.00</c:formatCode>
                <c:ptCount val="13"/>
                <c:pt idx="0">
                  <c:v>3.27</c:v>
                </c:pt>
                <c:pt idx="1">
                  <c:v>3.25</c:v>
                </c:pt>
                <c:pt idx="2">
                  <c:v>3.08</c:v>
                </c:pt>
                <c:pt idx="3">
                  <c:v>3.17</c:v>
                </c:pt>
                <c:pt idx="4">
                  <c:v>3.23</c:v>
                </c:pt>
                <c:pt idx="5">
                  <c:v>3.4</c:v>
                </c:pt>
                <c:pt idx="6">
                  <c:v>3.25</c:v>
                </c:pt>
                <c:pt idx="7">
                  <c:v>3.32</c:v>
                </c:pt>
                <c:pt idx="8">
                  <c:v>3.1</c:v>
                </c:pt>
                <c:pt idx="9">
                  <c:v>3.17</c:v>
                </c:pt>
                <c:pt idx="10">
                  <c:v>3.5542326085087899</c:v>
                </c:pt>
                <c:pt idx="11">
                  <c:v>3.92625</c:v>
                </c:pt>
                <c:pt idx="12">
                  <c:v>3.5399999999999996</c:v>
                </c:pt>
              </c:numCache>
            </c:numRef>
          </c:val>
          <c:smooth val="0"/>
          <c:extLst>
            <c:ext xmlns:c16="http://schemas.microsoft.com/office/drawing/2014/chart" uri="{C3380CC4-5D6E-409C-BE32-E72D297353CC}">
              <c16:uniqueId val="{00000000-1BE6-48CC-9B5D-7D9B87C07073}"/>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845013123359583"/>
              <c:y val="0.9064581510644502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6880"/>
        <c:crosses val="autoZero"/>
        <c:auto val="1"/>
        <c:lblAlgn val="ctr"/>
        <c:lblOffset val="100"/>
        <c:noMultiLvlLbl val="0"/>
      </c:catAx>
      <c:valAx>
        <c:axId val="225306880"/>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Consumo per cápita</a:t>
                </a:r>
              </a:p>
            </c:rich>
          </c:tx>
          <c:layout>
            <c:manualLayout>
              <c:xMode val="edge"/>
              <c:yMode val="edge"/>
              <c:x val="1.1404997027305288E-2"/>
              <c:y val="2.1306912956251915E-2"/>
            </c:manualLayout>
          </c:layout>
          <c:overlay val="0"/>
          <c:spPr>
            <a:noFill/>
            <a:ln>
              <a:noFill/>
            </a:ln>
            <a:effectLst/>
          </c:sp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168832"/>
        <c:crosses val="autoZero"/>
        <c:crossBetween val="between"/>
        <c:majorUnit val="1"/>
      </c:valAx>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43182157614374E-2"/>
          <c:y val="0.12500017126736479"/>
          <c:w val="0.8922801837270341"/>
          <c:h val="0.68331802274715658"/>
        </c:manualLayout>
      </c:layout>
      <c:lineChart>
        <c:grouping val="standard"/>
        <c:varyColors val="0"/>
        <c:ser>
          <c:idx val="0"/>
          <c:order val="0"/>
          <c:tx>
            <c:strRef>
              <c:f>'3.6.1'!$D$11:$D$12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'3.6.1'!$D$13:$D$27</c:f>
              <c:numCache>
                <c:formatCode>0.0</c:formatCode>
                <c:ptCount val="15"/>
                <c:pt idx="0">
                  <c:v>13.37149555669531</c:v>
                </c:pt>
                <c:pt idx="1">
                  <c:v>12.885401349429875</c:v>
                </c:pt>
                <c:pt idx="2">
                  <c:v>14.35174997775624</c:v>
                </c:pt>
                <c:pt idx="3">
                  <c:v>13.68528450783529</c:v>
                </c:pt>
                <c:pt idx="4">
                  <c:v>14.019931521881968</c:v>
                </c:pt>
                <c:pt idx="5">
                  <c:v>16.133306927297319</c:v>
                </c:pt>
                <c:pt idx="6">
                  <c:v>18.309455722136537</c:v>
                </c:pt>
                <c:pt idx="7">
                  <c:v>17.938514541442593</c:v>
                </c:pt>
                <c:pt idx="8">
                  <c:v>16.722377782261621</c:v>
                </c:pt>
                <c:pt idx="9">
                  <c:v>16.072591265457039</c:v>
                </c:pt>
                <c:pt idx="10">
                  <c:v>11.600792045031429</c:v>
                </c:pt>
                <c:pt idx="11">
                  <c:v>14.317599402852844</c:v>
                </c:pt>
                <c:pt idx="12">
                  <c:v>16.866125622870577</c:v>
                </c:pt>
                <c:pt idx="13">
                  <c:v>17.73784416528526</c:v>
                </c:pt>
                <c:pt idx="14">
                  <c:v>15.760349933258505</c:v>
                </c:pt>
              </c:numCache>
            </c:numRef>
          </c:val>
          <c:smooth val="0"/>
          <c:extLst>
            <c:ext xmlns:c16="http://schemas.microsoft.com/office/drawing/2014/chart" uri="{C3380CC4-5D6E-409C-BE32-E72D297353CC}">
              <c16:uniqueId val="{00000000-2810-4F09-A01F-0D602AA1A102}"/>
            </c:ext>
          </c:extLst>
        </c:ser>
        <c:dLbls>
          <c:dLblPos val="t"/>
          <c:showLegendKey val="0"/>
          <c:showVal val="1"/>
          <c:showCatName val="0"/>
          <c:showSerName val="0"/>
          <c:showPercent val="0"/>
          <c:showBubbleSize val="0"/>
        </c:dLbls>
        <c:marker val="1"/>
        <c:smooth val="0"/>
        <c:axId val="227320320"/>
        <c:axId val="225309184"/>
      </c:lineChart>
      <c:catAx>
        <c:axId val="22732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109601924759402"/>
              <c:y val="0.892569262175561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9184"/>
        <c:crosses val="autoZero"/>
        <c:auto val="1"/>
        <c:lblAlgn val="ctr"/>
        <c:lblOffset val="100"/>
        <c:noMultiLvlLbl val="0"/>
      </c:catAx>
      <c:valAx>
        <c:axId val="225309184"/>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320320"/>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'3.7.1'!$D$12</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'3.7.1'!$D$17:$D$18</c:f>
              <c:numCache>
                <c:formatCode>###\ ##0.0</c:formatCode>
                <c:ptCount val="2"/>
                <c:pt idx="0">
                  <c:v>34</c:v>
                </c:pt>
                <c:pt idx="1">
                  <c:v>35.299999999999997</c:v>
                </c:pt>
              </c:numCache>
            </c:numRef>
          </c:val>
          <c:extLst>
            <c:ext xmlns:c16="http://schemas.microsoft.com/office/drawing/2014/chart" uri="{C3380CC4-5D6E-409C-BE32-E72D297353CC}">
              <c16:uniqueId val="{00000000-7369-49F5-89F5-622D46B0ADB6}"/>
            </c:ext>
          </c:extLst>
        </c:ser>
        <c:ser>
          <c:idx val="1"/>
          <c:order val="1"/>
          <c:tx>
            <c:strRef>
              <c:f>'3.7.1'!$E$12</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'3.7.1'!$E$17:$E$18</c:f>
              <c:numCache>
                <c:formatCode>###\ ##0.0</c:formatCode>
                <c:ptCount val="2"/>
                <c:pt idx="0">
                  <c:v>21.3</c:v>
                </c:pt>
                <c:pt idx="1">
                  <c:v>22.7</c:v>
                </c:pt>
              </c:numCache>
            </c:numRef>
          </c:val>
          <c:extLst>
            <c:ext xmlns:c16="http://schemas.microsoft.com/office/drawing/2014/chart" uri="{C3380CC4-5D6E-409C-BE32-E72D297353CC}">
              <c16:uniqueId val="{00000001-7369-49F5-89F5-622D46B0ADB6}"/>
            </c:ext>
          </c:extLst>
        </c:ser>
        <c:ser>
          <c:idx val="3"/>
          <c:order val="2"/>
          <c:tx>
            <c:strRef>
              <c:f>'3.7.1'!$G$12</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'3.7.1'!$G$17:$G$18</c:f>
              <c:numCache>
                <c:formatCode>###\ ##0.0</c:formatCode>
                <c:ptCount val="2"/>
                <c:pt idx="0">
                  <c:v>9.5</c:v>
                </c:pt>
                <c:pt idx="1">
                  <c:v>9.1999999999999993</c:v>
                </c:pt>
              </c:numCache>
            </c:numRef>
          </c:val>
          <c:extLst>
            <c:ext xmlns:c16="http://schemas.microsoft.com/office/drawing/2014/chart" uri="{C3380CC4-5D6E-409C-BE32-E72D297353CC}">
              <c16:uniqueId val="{00000002-7369-49F5-89F5-622D46B0ADB6}"/>
            </c:ext>
          </c:extLst>
        </c:ser>
        <c:ser>
          <c:idx val="2"/>
          <c:order val="3"/>
          <c:tx>
            <c:strRef>
              <c:f>'3.7.1'!$F$12</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'3.7.1'!$F$17:$F$18</c:f>
              <c:numCache>
                <c:formatCode>###\ ##0.0</c:formatCode>
                <c:ptCount val="2"/>
                <c:pt idx="0">
                  <c:v>3.4</c:v>
                </c:pt>
                <c:pt idx="1">
                  <c:v>3.2</c:v>
                </c:pt>
              </c:numCache>
            </c:numRef>
          </c:val>
          <c:extLst>
            <c:ext xmlns:c16="http://schemas.microsoft.com/office/drawing/2014/chart" uri="{C3380CC4-5D6E-409C-BE32-E72D297353CC}">
              <c16:uniqueId val="{00000003-7369-49F5-89F5-622D46B0ADB6}"/>
            </c:ext>
          </c:extLst>
        </c:ser>
        <c:ser>
          <c:idx val="4"/>
          <c:order val="4"/>
          <c:tx>
            <c:strRef>
              <c:f>'3.7.1'!$H$12</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'3.7.1'!$H$17:$H$18</c:f>
              <c:numCache>
                <c:formatCode>###\ ##0.0</c:formatCode>
                <c:ptCount val="2"/>
                <c:pt idx="0">
                  <c:v>0.3</c:v>
                </c:pt>
                <c:pt idx="1">
                  <c:v>0</c:v>
                </c:pt>
              </c:numCache>
            </c:numRef>
          </c:val>
          <c:extLst>
            <c:ext xmlns:c16="http://schemas.microsoft.com/office/drawing/2014/chart" uri="{C3380CC4-5D6E-409C-BE32-E72D297353CC}">
              <c16:uniqueId val="{00000004-7369-49F5-89F5-622D46B0ADB6}"/>
            </c:ext>
          </c:extLst>
        </c:ser>
        <c:ser>
          <c:idx val="5"/>
          <c:order val="5"/>
          <c:tx>
            <c:strRef>
              <c:f>'3.7.1'!$I$12</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'3.7.1'!$I$17:$I$18</c:f>
              <c:numCache>
                <c:formatCode>###\ ##0.0</c:formatCode>
                <c:ptCount val="2"/>
                <c:pt idx="0">
                  <c:v>0</c:v>
                </c:pt>
                <c:pt idx="1">
                  <c:v>0.3</c:v>
                </c:pt>
              </c:numCache>
            </c:numRef>
          </c:val>
          <c:extLst>
            <c:ext xmlns:c16="http://schemas.microsoft.com/office/drawing/2014/chart" uri="{C3380CC4-5D6E-409C-BE32-E72D297353CC}">
              <c16:uniqueId val="{00000005-7369-49F5-89F5-622D46B0ADB6}"/>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50193985627067E-2"/>
          <c:y val="0.10584583955982653"/>
          <c:w val="0.89505786828621459"/>
          <c:h val="0.71826786880187987"/>
        </c:manualLayout>
      </c:layout>
      <c:lineChart>
        <c:grouping val="standard"/>
        <c:varyColors val="0"/>
        <c:ser>
          <c:idx val="0"/>
          <c:order val="0"/>
          <c:tx>
            <c:strRef>
              <c:f>'3.7.2'!$D$11:$D$12</c:f>
              <c:strCache>
                <c:ptCount val="2"/>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'3.7.2'!$D$13:$D$27</c:f>
              <c:numCache>
                <c:formatCode>0.0</c:formatCode>
                <c:ptCount val="15"/>
                <c:pt idx="0">
                  <c:v>33.159548992217125</c:v>
                </c:pt>
                <c:pt idx="1">
                  <c:v>34.758095352341826</c:v>
                </c:pt>
                <c:pt idx="2">
                  <c:v>35.890361058176673</c:v>
                </c:pt>
                <c:pt idx="3">
                  <c:v>33.143040709760996</c:v>
                </c:pt>
                <c:pt idx="4">
                  <c:v>32.311571670538477</c:v>
                </c:pt>
                <c:pt idx="5">
                  <c:v>30.371262060254111</c:v>
                </c:pt>
                <c:pt idx="6">
                  <c:v>28.921387364492293</c:v>
                </c:pt>
                <c:pt idx="7">
                  <c:v>27.110208440808815</c:v>
                </c:pt>
                <c:pt idx="8">
                  <c:v>25.585639280005513</c:v>
                </c:pt>
                <c:pt idx="9">
                  <c:v>21.653876641947761</c:v>
                </c:pt>
                <c:pt idx="10">
                  <c:v>16.491054034033251</c:v>
                </c:pt>
                <c:pt idx="11">
                  <c:v>13.861744878016644</c:v>
                </c:pt>
                <c:pt idx="12">
                  <c:v>13.239445790855939</c:v>
                </c:pt>
                <c:pt idx="13">
                  <c:v>12.252692346209274</c:v>
                </c:pt>
                <c:pt idx="14">
                  <c:v>10.900137218065707</c:v>
                </c:pt>
              </c:numCache>
            </c:numRef>
          </c:val>
          <c:smooth val="0"/>
          <c:extLst>
            <c:ext xmlns:c16="http://schemas.microsoft.com/office/drawing/2014/chart" uri="{C3380CC4-5D6E-409C-BE32-E72D297353CC}">
              <c16:uniqueId val="{00000000-0975-4BFF-AD45-7010622AC9EE}"/>
            </c:ext>
          </c:extLst>
        </c:ser>
        <c:dLbls>
          <c:dLblPos val="t"/>
          <c:showLegendKey val="0"/>
          <c:showVal val="1"/>
          <c:showCatName val="0"/>
          <c:showSerName val="0"/>
          <c:showPercent val="0"/>
          <c:showBubbleSize val="0"/>
        </c:dLbls>
        <c:marker val="1"/>
        <c:smooth val="0"/>
        <c:axId val="225980416"/>
        <c:axId val="227608256"/>
      </c:lineChart>
      <c:catAx>
        <c:axId val="22598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755424321959753"/>
              <c:y val="0.88331000291630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08256"/>
        <c:crosses val="autoZero"/>
        <c:auto val="1"/>
        <c:lblAlgn val="ctr"/>
        <c:lblOffset val="100"/>
        <c:noMultiLvlLbl val="0"/>
      </c:catAx>
      <c:valAx>
        <c:axId val="227608256"/>
        <c:scaling>
          <c:orientation val="minMax"/>
          <c:max val="4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980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'3.8.1'!$D$11</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'3.8.1'!$D$12:$D$26</c:f>
              <c:numCache>
                <c:formatCode>0.0</c:formatCode>
                <c:ptCount val="15"/>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pt idx="12">
                  <c:v>87.077019572339395</c:v>
                </c:pt>
                <c:pt idx="13">
                  <c:v>89.116115558530424</c:v>
                </c:pt>
                <c:pt idx="14">
                  <c:v>90.215586942942465</c:v>
                </c:pt>
              </c:numCache>
            </c:numRef>
          </c:val>
          <c:smooth val="0"/>
          <c:extLst>
            <c:ext xmlns:c16="http://schemas.microsoft.com/office/drawing/2014/chart" uri="{C3380CC4-5D6E-409C-BE32-E72D297353CC}">
              <c16:uniqueId val="{00000000-3425-41AB-848C-60FCEAAC92E9}"/>
            </c:ext>
          </c:extLst>
        </c:ser>
        <c:ser>
          <c:idx val="1"/>
          <c:order val="1"/>
          <c:tx>
            <c:strRef>
              <c:f>'3.8.1'!$E$11</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'3.8.1'!$E$12:$E$26</c:f>
              <c:numCache>
                <c:formatCode>0.0</c:formatCode>
                <c:ptCount val="15"/>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pt idx="12">
                  <c:v>84.777760220593294</c:v>
                </c:pt>
                <c:pt idx="13">
                  <c:v>86.962961418963147</c:v>
                </c:pt>
                <c:pt idx="14">
                  <c:v>88.015948819678329</c:v>
                </c:pt>
              </c:numCache>
            </c:numRef>
          </c:val>
          <c:smooth val="0"/>
          <c:extLst>
            <c:ext xmlns:c16="http://schemas.microsoft.com/office/drawing/2014/chart" uri="{C3380CC4-5D6E-409C-BE32-E72D297353CC}">
              <c16:uniqueId val="{00000001-3425-41AB-848C-60FCEAAC92E9}"/>
            </c:ext>
          </c:extLst>
        </c:ser>
        <c:ser>
          <c:idx val="2"/>
          <c:order val="2"/>
          <c:tx>
            <c:strRef>
              <c:f>'3.8.1'!$F$11</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'3.8.1'!$F$12:$F$26</c:f>
              <c:numCache>
                <c:formatCode>0.0</c:formatCode>
                <c:ptCount val="15"/>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pt idx="12">
                  <c:v>89.174502791074872</c:v>
                </c:pt>
                <c:pt idx="13">
                  <c:v>91.057304860993156</c:v>
                </c:pt>
                <c:pt idx="14">
                  <c:v>92.219687375274546</c:v>
                </c:pt>
              </c:numCache>
            </c:numRef>
          </c:val>
          <c:smooth val="0"/>
          <c:extLst>
            <c:ext xmlns:c16="http://schemas.microsoft.com/office/drawing/2014/chart" uri="{C3380CC4-5D6E-409C-BE32-E72D297353CC}">
              <c16:uniqueId val="{00000002-3425-41AB-848C-60FCEAAC92E9}"/>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'3.8.2'!$D$13:$D$14</c:f>
              <c:numCache>
                <c:formatCode>0.0</c:formatCode>
                <c:ptCount val="2"/>
                <c:pt idx="0">
                  <c:v>9.82</c:v>
                </c:pt>
                <c:pt idx="1">
                  <c:v>12.22</c:v>
                </c:pt>
              </c:numCache>
            </c:numRef>
          </c:val>
          <c:extLst>
            <c:ext xmlns:c16="http://schemas.microsoft.com/office/drawing/2014/chart" uri="{C3380CC4-5D6E-409C-BE32-E72D297353CC}">
              <c16:uniqueId val="{00000000-C661-4E59-8F79-9481B2B99CBD}"/>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'3.8.2'!$D$23:$D$24</c:f>
              <c:numCache>
                <c:formatCode>0.0</c:formatCode>
                <c:ptCount val="2"/>
                <c:pt idx="0">
                  <c:v>1.7</c:v>
                </c:pt>
                <c:pt idx="1">
                  <c:v>1.98</c:v>
                </c:pt>
              </c:numCache>
            </c:numRef>
          </c:val>
          <c:extLst>
            <c:ext xmlns:c16="http://schemas.microsoft.com/office/drawing/2014/chart" uri="{C3380CC4-5D6E-409C-BE32-E72D297353CC}">
              <c16:uniqueId val="{00000001-C661-4E59-8F79-9481B2B99CBD}"/>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99062026057729E-2"/>
          <c:y val="0.13873111808991936"/>
          <c:w val="0.89434164149173867"/>
          <c:h val="0.69251905560829485"/>
        </c:manualLayout>
      </c:layout>
      <c:lineChart>
        <c:grouping val="standard"/>
        <c:varyColors val="0"/>
        <c:ser>
          <c:idx val="0"/>
          <c:order val="0"/>
          <c:tx>
            <c:strRef>
              <c:f>'3.9.1'!$D$11:$D$12</c:f>
              <c:strCache>
                <c:ptCount val="2"/>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'3.9.1'!$C$13:$C$27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'3.9.1'!$D$13:$D$27</c:f>
              <c:numCache>
                <c:formatCode>0.0</c:formatCode>
                <c:ptCount val="15"/>
                <c:pt idx="0">
                  <c:v>18.218335055914409</c:v>
                </c:pt>
                <c:pt idx="1">
                  <c:v>15.657157465927174</c:v>
                </c:pt>
                <c:pt idx="2">
                  <c:v>16.679351964008305</c:v>
                </c:pt>
                <c:pt idx="3">
                  <c:v>16.082600434730328</c:v>
                </c:pt>
                <c:pt idx="4">
                  <c:v>17.095700542615699</c:v>
                </c:pt>
                <c:pt idx="5">
                  <c:v>15.769104505594788</c:v>
                </c:pt>
                <c:pt idx="6">
                  <c:v>18.383031598756347</c:v>
                </c:pt>
                <c:pt idx="7">
                  <c:v>17.645312507140222</c:v>
                </c:pt>
                <c:pt idx="8">
                  <c:v>17.248264426900381</c:v>
                </c:pt>
                <c:pt idx="9">
                  <c:v>18.782100782960082</c:v>
                </c:pt>
                <c:pt idx="10">
                  <c:v>17.334351530423021</c:v>
                </c:pt>
                <c:pt idx="11">
                  <c:v>17.722124167096425</c:v>
                </c:pt>
                <c:pt idx="12">
                  <c:v>18.605994146014247</c:v>
                </c:pt>
                <c:pt idx="13">
                  <c:v>19.117345838359046</c:v>
                </c:pt>
                <c:pt idx="14">
                  <c:v>19.117345838359046</c:v>
                </c:pt>
              </c:numCache>
            </c:numRef>
          </c:val>
          <c:smooth val="0"/>
          <c:extLst>
            <c:ext xmlns:c16="http://schemas.microsoft.com/office/drawing/2014/chart" uri="{C3380CC4-5D6E-409C-BE32-E72D297353CC}">
              <c16:uniqueId val="{00000000-563F-431A-82B9-B1E56300AF1D}"/>
            </c:ext>
          </c:extLst>
        </c:ser>
        <c:dLbls>
          <c:dLblPos val="t"/>
          <c:showLegendKey val="0"/>
          <c:showVal val="1"/>
          <c:showCatName val="0"/>
          <c:showSerName val="0"/>
          <c:showPercent val="0"/>
          <c:showBubbleSize val="0"/>
        </c:dLbls>
        <c:marker val="1"/>
        <c:smooth val="0"/>
        <c:axId val="226655744"/>
        <c:axId val="228222080"/>
      </c:lineChart>
      <c:catAx>
        <c:axId val="226655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554046369203849"/>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2080"/>
        <c:crosses val="autoZero"/>
        <c:auto val="1"/>
        <c:lblAlgn val="ctr"/>
        <c:lblOffset val="100"/>
        <c:noMultiLvlLbl val="0"/>
      </c:catAx>
      <c:valAx>
        <c:axId val="228222080"/>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6.5583081618627364E-3"/>
              <c:y val="1.2466046570136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65574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035505978419367"/>
        </c:manualLayout>
      </c:layout>
      <c:lineChart>
        <c:grouping val="standard"/>
        <c:varyColors val="0"/>
        <c:ser>
          <c:idx val="0"/>
          <c:order val="0"/>
          <c:tx>
            <c:strRef>
              <c:f>'3.9.2'!$D$11:$D$12</c:f>
              <c:strCache>
                <c:ptCount val="2"/>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'3.9.2'!$C$13:$C$27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'3.9.2'!$D$13:$D$27</c:f>
              <c:numCache>
                <c:formatCode>0.0</c:formatCode>
                <c:ptCount val="15"/>
                <c:pt idx="0">
                  <c:v>1.0807486897576344</c:v>
                </c:pt>
                <c:pt idx="1">
                  <c:v>0.97993336017624866</c:v>
                </c:pt>
                <c:pt idx="2">
                  <c:v>1.2251585849851461</c:v>
                </c:pt>
                <c:pt idx="3">
                  <c:v>1.2305947562194708</c:v>
                </c:pt>
                <c:pt idx="4">
                  <c:v>1.1313331241436859</c:v>
                </c:pt>
                <c:pt idx="5">
                  <c:v>1.3037448606987816</c:v>
                </c:pt>
                <c:pt idx="6">
                  <c:v>1.3700368377271135</c:v>
                </c:pt>
                <c:pt idx="7">
                  <c:v>1.2531607966124787</c:v>
                </c:pt>
                <c:pt idx="8">
                  <c:v>1.3191024938301568</c:v>
                </c:pt>
                <c:pt idx="9">
                  <c:v>1.3444030034118795</c:v>
                </c:pt>
                <c:pt idx="10">
                  <c:v>0.86084815726705732</c:v>
                </c:pt>
                <c:pt idx="11">
                  <c:v>0.65852701823090531</c:v>
                </c:pt>
                <c:pt idx="12">
                  <c:v>0.92070898866874629</c:v>
                </c:pt>
                <c:pt idx="13">
                  <c:v>1.0071762718022161</c:v>
                </c:pt>
                <c:pt idx="14">
                  <c:v>1.0071762718022161</c:v>
                </c:pt>
              </c:numCache>
            </c:numRef>
          </c:val>
          <c:smooth val="0"/>
          <c:extLst>
            <c:ext xmlns:c16="http://schemas.microsoft.com/office/drawing/2014/chart" uri="{C3380CC4-5D6E-409C-BE32-E72D297353CC}">
              <c16:uniqueId val="{00000000-FE86-47ED-A0B7-E8E730617550}"/>
            </c:ext>
          </c:extLst>
        </c:ser>
        <c:dLbls>
          <c:showLegendKey val="0"/>
          <c:showVal val="0"/>
          <c:showCatName val="0"/>
          <c:showSerName val="0"/>
          <c:showPercent val="0"/>
          <c:showBubbleSize val="0"/>
        </c:dLbls>
        <c:marker val="1"/>
        <c:smooth val="0"/>
        <c:axId val="229032448"/>
        <c:axId val="228224384"/>
      </c:lineChart>
      <c:catAx>
        <c:axId val="22903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088079615048118"/>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4384"/>
        <c:crosses val="autoZero"/>
        <c:auto val="1"/>
        <c:lblAlgn val="ctr"/>
        <c:lblOffset val="100"/>
        <c:noMultiLvlLbl val="0"/>
      </c:catAx>
      <c:valAx>
        <c:axId val="228224384"/>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32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0482007506059E-2"/>
          <c:y val="0.17405994641731237"/>
          <c:w val="0.87493285214348204"/>
          <c:h val="0.64165135608048995"/>
        </c:manualLayout>
      </c:layout>
      <c:lineChart>
        <c:grouping val="standard"/>
        <c:varyColors val="0"/>
        <c:ser>
          <c:idx val="0"/>
          <c:order val="0"/>
          <c:tx>
            <c:strRef>
              <c:f>'3.9.3'!$D$11:$D$12</c:f>
              <c:strCache>
                <c:ptCount val="2"/>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'3.9.3'!$C$13:$C$27</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'3.9.3'!$D$13:$D$27</c:f>
              <c:numCache>
                <c:formatCode>0.0</c:formatCode>
                <c:ptCount val="15"/>
                <c:pt idx="0">
                  <c:v>1.1469169768856529</c:v>
                </c:pt>
                <c:pt idx="1">
                  <c:v>1.3065778135683315</c:v>
                </c:pt>
                <c:pt idx="2">
                  <c:v>1.0961945234077624</c:v>
                </c:pt>
                <c:pt idx="3">
                  <c:v>1.1881604542808686</c:v>
                </c:pt>
                <c:pt idx="4">
                  <c:v>1.3198886448343004</c:v>
                </c:pt>
                <c:pt idx="5">
                  <c:v>1.0968012320164353</c:v>
                </c:pt>
                <c:pt idx="6">
                  <c:v>1.5336233258139333</c:v>
                </c:pt>
                <c:pt idx="7">
                  <c:v>1.1318871711338518</c:v>
                </c:pt>
                <c:pt idx="8">
                  <c:v>1.8187625293718825</c:v>
                </c:pt>
                <c:pt idx="9">
                  <c:v>2.471329050389484</c:v>
                </c:pt>
                <c:pt idx="10">
                  <c:v>3.4238278982212509</c:v>
                </c:pt>
                <c:pt idx="11">
                  <c:v>3.1957928825911583</c:v>
                </c:pt>
                <c:pt idx="12">
                  <c:v>2.320953908935798</c:v>
                </c:pt>
                <c:pt idx="13">
                  <c:v>1.6912960035924005</c:v>
                </c:pt>
                <c:pt idx="14">
                  <c:v>1.6912960035924005</c:v>
                </c:pt>
              </c:numCache>
            </c:numRef>
          </c:val>
          <c:smooth val="0"/>
          <c:extLst>
            <c:ext xmlns:c16="http://schemas.microsoft.com/office/drawing/2014/chart" uri="{C3380CC4-5D6E-409C-BE32-E72D297353CC}">
              <c16:uniqueId val="{00000000-871C-4CFC-A702-10068A7621E7}"/>
            </c:ext>
          </c:extLst>
        </c:ser>
        <c:dLbls>
          <c:showLegendKey val="0"/>
          <c:showVal val="0"/>
          <c:showCatName val="0"/>
          <c:showSerName val="0"/>
          <c:showPercent val="0"/>
          <c:showBubbleSize val="0"/>
        </c:dLbls>
        <c:marker val="1"/>
        <c:smooth val="0"/>
        <c:axId val="229081600"/>
        <c:axId val="228226688"/>
      </c:lineChart>
      <c:catAx>
        <c:axId val="22908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6688"/>
        <c:crosses val="autoZero"/>
        <c:auto val="1"/>
        <c:lblAlgn val="ctr"/>
        <c:lblOffset val="100"/>
        <c:noMultiLvlLbl val="0"/>
      </c:catAx>
      <c:valAx>
        <c:axId val="22822668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4.951771653543306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816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'1.3.1'!$D$11</c:f>
              <c:strCache>
                <c:ptCount val="1"/>
                <c:pt idx="0">
                  <c:v>Proporción de la población cubierta por programas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982A-43AB-84FA-9C2C2290E1A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'1.3.1'!$C$13:$C$19</c:f>
              <c:numCache>
                <c:formatCode>General</c:formatCode>
                <c:ptCount val="7"/>
                <c:pt idx="0">
                  <c:v>2016</c:v>
                </c:pt>
                <c:pt idx="1">
                  <c:v>2017</c:v>
                </c:pt>
                <c:pt idx="2">
                  <c:v>2018</c:v>
                </c:pt>
                <c:pt idx="3">
                  <c:v>2019</c:v>
                </c:pt>
                <c:pt idx="4">
                  <c:v>2020</c:v>
                </c:pt>
                <c:pt idx="5">
                  <c:v>2021</c:v>
                </c:pt>
                <c:pt idx="6">
                  <c:v>2022</c:v>
                </c:pt>
              </c:numCache>
            </c:numRef>
          </c:cat>
          <c:val>
            <c:numRef>
              <c:f>'1.3.1'!$D$13:$D$19</c:f>
              <c:numCache>
                <c:formatCode>0.00</c:formatCode>
                <c:ptCount val="7"/>
                <c:pt idx="0">
                  <c:v>14.417082058390571</c:v>
                </c:pt>
                <c:pt idx="1">
                  <c:v>18.700466977985322</c:v>
                </c:pt>
                <c:pt idx="2">
                  <c:v>20.092469084035223</c:v>
                </c:pt>
                <c:pt idx="3">
                  <c:v>23.006630202960661</c:v>
                </c:pt>
                <c:pt idx="4">
                  <c:v>17.390679127052977</c:v>
                </c:pt>
                <c:pt idx="5">
                  <c:v>11.015348636829746</c:v>
                </c:pt>
                <c:pt idx="6">
                  <c:v>16.722245384151332</c:v>
                </c:pt>
              </c:numCache>
            </c:numRef>
          </c:val>
          <c:extLst>
            <c:ext xmlns:c16="http://schemas.microsoft.com/office/drawing/2014/chart" uri="{C3380CC4-5D6E-409C-BE32-E72D297353CC}">
              <c16:uniqueId val="{00000002-982A-43AB-84FA-9C2C2290E1A3}"/>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8389784610255"/>
          <c:y val="0.1823603610726216"/>
          <c:w val="0.86896062992126"/>
          <c:h val="0.63103261723642023"/>
        </c:manualLayout>
      </c:layout>
      <c:barChart>
        <c:barDir val="col"/>
        <c:grouping val="clustered"/>
        <c:varyColors val="0"/>
        <c:ser>
          <c:idx val="1"/>
          <c:order val="0"/>
          <c:spPr>
            <a:solidFill>
              <a:srgbClr val="70AD47">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'3.a.1'!$C$15:$C$17</c:f>
              <c:numCache>
                <c:formatCode>General</c:formatCode>
                <c:ptCount val="3"/>
                <c:pt idx="0">
                  <c:v>2010</c:v>
                </c:pt>
                <c:pt idx="1">
                  <c:v>2015</c:v>
                </c:pt>
                <c:pt idx="2">
                  <c:v>2022</c:v>
                </c:pt>
              </c:numCache>
            </c:numRef>
          </c:cat>
          <c:val>
            <c:numRef>
              <c:f>'3.a.1'!$D$15:$D$17</c:f>
              <c:numCache>
                <c:formatCode>0.00</c:formatCode>
                <c:ptCount val="3"/>
                <c:pt idx="0">
                  <c:v>14.797104603371672</c:v>
                </c:pt>
                <c:pt idx="1">
                  <c:v>11.489166160103553</c:v>
                </c:pt>
                <c:pt idx="2">
                  <c:v>7.7045524086210913</c:v>
                </c:pt>
              </c:numCache>
            </c:numRef>
          </c:val>
          <c:extLst>
            <c:ext xmlns:c16="http://schemas.microsoft.com/office/drawing/2014/chart" uri="{C3380CC4-5D6E-409C-BE32-E72D297353CC}">
              <c16:uniqueId val="{00000000-D8B8-4D77-AC18-1A72B4F2BDBA}"/>
            </c:ext>
          </c:extLst>
        </c:ser>
        <c:dLbls>
          <c:dLblPos val="ctr"/>
          <c:showLegendKey val="0"/>
          <c:showVal val="1"/>
          <c:showCatName val="0"/>
          <c:showSerName val="0"/>
          <c:showPercent val="0"/>
          <c:showBubbleSize val="0"/>
        </c:dLbls>
        <c:gapWidth val="15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9281933868645345"/>
              <c:y val="0.92464998572791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6976"/>
        <c:crosses val="autoZero"/>
        <c:auto val="1"/>
        <c:lblAlgn val="ctr"/>
        <c:lblOffset val="100"/>
        <c:noMultiLvlLbl val="0"/>
      </c:catAx>
      <c:valAx>
        <c:axId val="227966976"/>
        <c:scaling>
          <c:orientation val="minMax"/>
          <c:max val="3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'3.b.1'!$D$11</c:f>
              <c:strCache>
                <c:ptCount val="1"/>
                <c:pt idx="0">
                  <c:v>Difteria, Tétanos y Pertussis acelular (DTP3)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'3.b.1'!$D$12:$D$24</c:f>
              <c:numCache>
                <c:formatCode>General</c:formatCode>
                <c:ptCount val="13"/>
                <c:pt idx="0">
                  <c:v>85</c:v>
                </c:pt>
                <c:pt idx="1">
                  <c:v>91</c:v>
                </c:pt>
                <c:pt idx="2">
                  <c:v>95</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0-C09E-4AF6-9229-D091C8BC373F}"/>
            </c:ext>
          </c:extLst>
        </c:ser>
        <c:ser>
          <c:idx val="1"/>
          <c:order val="1"/>
          <c:tx>
            <c:strRef>
              <c:f>'3.b.1'!$E$11</c:f>
              <c:strCache>
                <c:ptCount val="1"/>
                <c:pt idx="0">
                  <c:v>Vacuna de Poliovirus Inactivado
(IPV3)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'3.b.1'!$E$12:$E$24</c:f>
              <c:numCache>
                <c:formatCode>General</c:formatCode>
                <c:ptCount val="13"/>
                <c:pt idx="0">
                  <c:v>82</c:v>
                </c:pt>
                <c:pt idx="1">
                  <c:v>90</c:v>
                </c:pt>
                <c:pt idx="2">
                  <c:v>94</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1-C09E-4AF6-9229-D091C8BC373F}"/>
            </c:ext>
          </c:extLst>
        </c:ser>
        <c:ser>
          <c:idx val="2"/>
          <c:order val="2"/>
          <c:tx>
            <c:strRef>
              <c:f>'3.b.1'!$F$11</c:f>
              <c:strCache>
                <c:ptCount val="1"/>
                <c:pt idx="0">
                  <c:v>Bacilo Calmette-Guerin
(BCG)</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'3.b.1'!$F$12:$F$24</c:f>
              <c:numCache>
                <c:formatCode>General</c:formatCode>
                <c:ptCount val="13"/>
                <c:pt idx="0">
                  <c:v>78</c:v>
                </c:pt>
                <c:pt idx="1">
                  <c:v>78</c:v>
                </c:pt>
                <c:pt idx="2">
                  <c:v>79</c:v>
                </c:pt>
                <c:pt idx="3">
                  <c:v>80</c:v>
                </c:pt>
                <c:pt idx="4">
                  <c:v>83</c:v>
                </c:pt>
                <c:pt idx="5">
                  <c:v>90</c:v>
                </c:pt>
                <c:pt idx="6">
                  <c:v>90</c:v>
                </c:pt>
                <c:pt idx="7">
                  <c:v>92</c:v>
                </c:pt>
                <c:pt idx="8">
                  <c:v>93</c:v>
                </c:pt>
                <c:pt idx="9">
                  <c:v>89</c:v>
                </c:pt>
                <c:pt idx="10">
                  <c:v>76</c:v>
                </c:pt>
                <c:pt idx="11">
                  <c:v>80</c:v>
                </c:pt>
                <c:pt idx="12">
                  <c:v>87</c:v>
                </c:pt>
              </c:numCache>
            </c:numRef>
          </c:val>
          <c:smooth val="0"/>
          <c:extLst>
            <c:ext xmlns:c16="http://schemas.microsoft.com/office/drawing/2014/chart" uri="{C3380CC4-5D6E-409C-BE32-E72D297353CC}">
              <c16:uniqueId val="{00000002-C09E-4AF6-9229-D091C8BC373F}"/>
            </c:ext>
          </c:extLst>
        </c:ser>
        <c:ser>
          <c:idx val="3"/>
          <c:order val="3"/>
          <c:tx>
            <c:strRef>
              <c:f>'3.b.1'!$G$11</c:f>
              <c:strCache>
                <c:ptCount val="1"/>
                <c:pt idx="0">
                  <c:v>Vacuna Hepatitis B
(VHB3)</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'3.b.1'!$G$12:$G$24</c:f>
              <c:numCache>
                <c:formatCode>General</c:formatCode>
                <c:ptCount val="13"/>
                <c:pt idx="0">
                  <c:v>84</c:v>
                </c:pt>
                <c:pt idx="1">
                  <c:v>91</c:v>
                </c:pt>
                <c:pt idx="2">
                  <c:v>94</c:v>
                </c:pt>
                <c:pt idx="3">
                  <c:v>91</c:v>
                </c:pt>
                <c:pt idx="4">
                  <c:v>92</c:v>
                </c:pt>
                <c:pt idx="5">
                  <c:v>97</c:v>
                </c:pt>
                <c:pt idx="6">
                  <c:v>97</c:v>
                </c:pt>
                <c:pt idx="7">
                  <c:v>98</c:v>
                </c:pt>
                <c:pt idx="8">
                  <c:v>102</c:v>
                </c:pt>
                <c:pt idx="9">
                  <c:v>101</c:v>
                </c:pt>
                <c:pt idx="10">
                  <c:v>94</c:v>
                </c:pt>
                <c:pt idx="11">
                  <c:v>94</c:v>
                </c:pt>
                <c:pt idx="12">
                  <c:v>98</c:v>
                </c:pt>
              </c:numCache>
            </c:numRef>
          </c:val>
          <c:smooth val="0"/>
          <c:extLst>
            <c:ext xmlns:c16="http://schemas.microsoft.com/office/drawing/2014/chart" uri="{C3380CC4-5D6E-409C-BE32-E72D297353CC}">
              <c16:uniqueId val="{00000003-C09E-4AF6-9229-D091C8BC373F}"/>
            </c:ext>
          </c:extLst>
        </c:ser>
        <c:ser>
          <c:idx val="4"/>
          <c:order val="4"/>
          <c:tx>
            <c:strRef>
              <c:f>'3.b.1'!$H$11</c:f>
              <c:strCache>
                <c:ptCount val="1"/>
                <c:pt idx="0">
                  <c:v>Haemophilus Influenzae tipo B
(HIB3)</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'3.b.1'!$H$12:$H$24</c:f>
              <c:numCache>
                <c:formatCode>General</c:formatCode>
                <c:ptCount val="13"/>
                <c:pt idx="0">
                  <c:v>81</c:v>
                </c:pt>
                <c:pt idx="1">
                  <c:v>90</c:v>
                </c:pt>
                <c:pt idx="2">
                  <c:v>94</c:v>
                </c:pt>
                <c:pt idx="3">
                  <c:v>91</c:v>
                </c:pt>
                <c:pt idx="4">
                  <c:v>92</c:v>
                </c:pt>
                <c:pt idx="5">
                  <c:v>98</c:v>
                </c:pt>
                <c:pt idx="6">
                  <c:v>96</c:v>
                </c:pt>
                <c:pt idx="7">
                  <c:v>94</c:v>
                </c:pt>
                <c:pt idx="8">
                  <c:v>100</c:v>
                </c:pt>
                <c:pt idx="9">
                  <c:v>97</c:v>
                </c:pt>
                <c:pt idx="10">
                  <c:v>99</c:v>
                </c:pt>
                <c:pt idx="11">
                  <c:v>94</c:v>
                </c:pt>
                <c:pt idx="12">
                  <c:v>99</c:v>
                </c:pt>
              </c:numCache>
            </c:numRef>
          </c:val>
          <c:smooth val="0"/>
          <c:extLst>
            <c:ext xmlns:c16="http://schemas.microsoft.com/office/drawing/2014/chart" uri="{C3380CC4-5D6E-409C-BE32-E72D297353CC}">
              <c16:uniqueId val="{00000004-C09E-4AF6-9229-D091C8BC373F}"/>
            </c:ext>
          </c:extLst>
        </c:ser>
        <c:ser>
          <c:idx val="5"/>
          <c:order val="5"/>
          <c:tx>
            <c:strRef>
              <c:f>'3.b.1'!$I$11</c:f>
              <c:strCache>
                <c:ptCount val="1"/>
                <c:pt idx="0">
                  <c:v>Sarampión, Rubéola y Paperas)
(SRP niños de un año y 3 meses)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'3.b.1'!$I$12:$I$24</c:f>
              <c:numCache>
                <c:formatCode>General</c:formatCode>
                <c:ptCount val="13"/>
                <c:pt idx="0">
                  <c:v>83</c:v>
                </c:pt>
                <c:pt idx="1">
                  <c:v>90</c:v>
                </c:pt>
                <c:pt idx="2">
                  <c:v>91</c:v>
                </c:pt>
                <c:pt idx="3">
                  <c:v>95</c:v>
                </c:pt>
                <c:pt idx="4">
                  <c:v>93</c:v>
                </c:pt>
                <c:pt idx="5">
                  <c:v>94</c:v>
                </c:pt>
                <c:pt idx="6">
                  <c:v>94</c:v>
                </c:pt>
                <c:pt idx="7">
                  <c:v>95</c:v>
                </c:pt>
                <c:pt idx="8">
                  <c:v>97</c:v>
                </c:pt>
                <c:pt idx="9">
                  <c:v>95</c:v>
                </c:pt>
                <c:pt idx="10">
                  <c:v>81</c:v>
                </c:pt>
                <c:pt idx="11">
                  <c:v>95</c:v>
                </c:pt>
                <c:pt idx="12">
                  <c:v>97</c:v>
                </c:pt>
              </c:numCache>
            </c:numRef>
          </c:val>
          <c:smooth val="0"/>
          <c:extLst>
            <c:ext xmlns:c16="http://schemas.microsoft.com/office/drawing/2014/chart" uri="{C3380CC4-5D6E-409C-BE32-E72D297353CC}">
              <c16:uniqueId val="{00000005-C09E-4AF6-9229-D091C8BC373F}"/>
            </c:ext>
          </c:extLst>
        </c:ser>
        <c:ser>
          <c:idx val="6"/>
          <c:order val="6"/>
          <c:tx>
            <c:strRef>
              <c:f>'3.b.1'!$J$11</c:f>
              <c:strCache>
                <c:ptCount val="1"/>
                <c:pt idx="0">
                  <c:v>Neumococo COB.NM2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'3.b.1'!$C$12:$C$24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'3.b.1'!$J$12:$J$24</c:f>
              <c:numCache>
                <c:formatCode>General</c:formatCode>
                <c:ptCount val="13"/>
                <c:pt idx="0">
                  <c:v>68</c:v>
                </c:pt>
                <c:pt idx="1">
                  <c:v>105</c:v>
                </c:pt>
                <c:pt idx="2">
                  <c:v>93</c:v>
                </c:pt>
                <c:pt idx="3">
                  <c:v>92</c:v>
                </c:pt>
                <c:pt idx="4">
                  <c:v>94</c:v>
                </c:pt>
                <c:pt idx="5">
                  <c:v>97</c:v>
                </c:pt>
                <c:pt idx="6">
                  <c:v>98</c:v>
                </c:pt>
                <c:pt idx="7">
                  <c:v>95</c:v>
                </c:pt>
                <c:pt idx="8">
                  <c:v>100</c:v>
                </c:pt>
                <c:pt idx="9">
                  <c:v>100</c:v>
                </c:pt>
                <c:pt idx="10">
                  <c:v>93</c:v>
                </c:pt>
                <c:pt idx="11">
                  <c:v>95</c:v>
                </c:pt>
                <c:pt idx="12">
                  <c:v>98</c:v>
                </c:pt>
              </c:numCache>
            </c:numRef>
          </c:val>
          <c:smooth val="0"/>
          <c:extLst>
            <c:ext xmlns:c16="http://schemas.microsoft.com/office/drawing/2014/chart" uri="{C3380CC4-5D6E-409C-BE32-E72D297353CC}">
              <c16:uniqueId val="{00000006-C09E-4AF6-9229-D091C8BC373F}"/>
            </c:ext>
          </c:extLst>
        </c:ser>
        <c:dLbls>
          <c:showLegendKey val="0"/>
          <c:showVal val="0"/>
          <c:showCatName val="0"/>
          <c:showSerName val="0"/>
          <c:showPercent val="0"/>
          <c:showBubbleSize val="0"/>
        </c:dLbls>
        <c:marker val="1"/>
        <c:smooth val="0"/>
        <c:axId val="384201664"/>
        <c:axId val="384215392"/>
      </c:lineChart>
      <c:catAx>
        <c:axId val="38420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15392"/>
        <c:crosses val="autoZero"/>
        <c:auto val="1"/>
        <c:lblAlgn val="ctr"/>
        <c:lblOffset val="100"/>
        <c:noMultiLvlLbl val="0"/>
      </c:catAx>
      <c:valAx>
        <c:axId val="38421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crossAx val="38420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pitchFamily="2" charset="0"/>
              <a:ea typeface="Open Sans SemiCondensed" pitchFamily="2" charset="0"/>
              <a:cs typeface="Open Sans Semi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SemiCondensed" pitchFamily="2" charset="0"/>
          <a:ea typeface="Open Sans SemiCondensed" pitchFamily="2" charset="0"/>
          <a:cs typeface="Open Sans SemiCondensed" pitchFamily="2" charset="0"/>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'3.c.1'!$I$11:$J$11</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'3.c.1'!$J$13:$J$26</c:f>
              <c:numCache>
                <c:formatCode>###\ ###\ ###\ ###.00</c:formatCode>
                <c:ptCount val="14"/>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pt idx="12">
                  <c:v>51.750539120572036</c:v>
                </c:pt>
                <c:pt idx="13">
                  <c:v>50.799548637836871</c:v>
                </c:pt>
              </c:numCache>
            </c:numRef>
          </c:val>
          <c:smooth val="0"/>
          <c:extLst>
            <c:ext xmlns:c16="http://schemas.microsoft.com/office/drawing/2014/chart" uri="{C3380CC4-5D6E-409C-BE32-E72D297353CC}">
              <c16:uniqueId val="{00000000-E47F-4D78-BE06-D68FC8102B31}"/>
            </c:ext>
          </c:extLst>
        </c:ser>
        <c:ser>
          <c:idx val="1"/>
          <c:order val="1"/>
          <c:tx>
            <c:strRef>
              <c:f>'3.c.1'!$L$11:$M$11</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'3.c.1'!$M$13:$M$26</c:f>
              <c:numCache>
                <c:formatCode>0.00</c:formatCode>
                <c:ptCount val="14"/>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pt idx="12">
                  <c:v>32.271697399864188</c:v>
                </c:pt>
                <c:pt idx="13">
                  <c:v>32.314307971392033</c:v>
                </c:pt>
              </c:numCache>
            </c:numRef>
          </c:val>
          <c:smooth val="0"/>
          <c:extLst>
            <c:ext xmlns:c16="http://schemas.microsoft.com/office/drawing/2014/chart" uri="{C3380CC4-5D6E-409C-BE32-E72D297353CC}">
              <c16:uniqueId val="{00000001-E47F-4D78-BE06-D68FC8102B31}"/>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'4.1.1'!$M$31</c:f>
              <c:strCache>
                <c:ptCount val="1"/>
                <c:pt idx="0">
                  <c:v>2013</c:v>
                </c:pt>
              </c:strCache>
            </c:strRef>
          </c:tx>
          <c:spPr>
            <a:solidFill>
              <a:srgbClr val="BF062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'4.1.1'!$N$31:$S$31</c:f>
              <c:numCache>
                <c:formatCode>0.0</c:formatCode>
                <c:ptCount val="6"/>
                <c:pt idx="0">
                  <c:v>60.09</c:v>
                </c:pt>
                <c:pt idx="1">
                  <c:v>56.82</c:v>
                </c:pt>
                <c:pt idx="2">
                  <c:v>63.21</c:v>
                </c:pt>
                <c:pt idx="3">
                  <c:v>68.3</c:v>
                </c:pt>
                <c:pt idx="4">
                  <c:v>69.55</c:v>
                </c:pt>
                <c:pt idx="5">
                  <c:v>67.16</c:v>
                </c:pt>
              </c:numCache>
            </c:numRef>
          </c:val>
          <c:extLst>
            <c:ext xmlns:c16="http://schemas.microsoft.com/office/drawing/2014/chart" uri="{C3380CC4-5D6E-409C-BE32-E72D297353CC}">
              <c16:uniqueId val="{00000000-647E-41F8-9CAF-F6DB9B03FFC6}"/>
            </c:ext>
          </c:extLst>
        </c:ser>
        <c:ser>
          <c:idx val="1"/>
          <c:order val="1"/>
          <c:tx>
            <c:strRef>
              <c:f>'4.1.1'!$M$32</c:f>
              <c:strCache>
                <c:ptCount val="1"/>
                <c:pt idx="0">
                  <c:v>2014</c:v>
                </c:pt>
              </c:strCache>
            </c:strRef>
          </c:tx>
          <c:spPr>
            <a:solidFill>
              <a:srgbClr val="E1E3E2"/>
            </a:solidFill>
            <a:ln>
              <a:noFill/>
            </a:ln>
            <a:effectLst/>
          </c:spPr>
          <c:invertIfNegative val="0"/>
          <c:dLbls>
            <c:dLbl>
              <c:idx val="0"/>
              <c:layout>
                <c:manualLayout>
                  <c:x val="6.1043247357405351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E-41F8-9CAF-F6DB9B03FFC6}"/>
                </c:ext>
              </c:extLst>
            </c:dLbl>
            <c:dLbl>
              <c:idx val="1"/>
              <c:layout>
                <c:manualLayout>
                  <c:x val="2.7777777777777779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7E-41F8-9CAF-F6DB9B03FFC6}"/>
                </c:ext>
              </c:extLst>
            </c:dLbl>
            <c:dLbl>
              <c:idx val="2"/>
              <c:layout>
                <c:manualLayout>
                  <c:x val="1.83129742072220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E-41F8-9CAF-F6DB9B03FFC6}"/>
                </c:ext>
              </c:extLst>
            </c:dLbl>
            <c:dLbl>
              <c:idx val="3"/>
              <c:layout>
                <c:manualLayout>
                  <c:x val="5.5555555555555558E-3"/>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E-41F8-9CAF-F6DB9B03FFC6}"/>
                </c:ext>
              </c:extLst>
            </c:dLbl>
            <c:dLbl>
              <c:idx val="4"/>
              <c:layout>
                <c:manualLayout>
                  <c:x val="3.99878493731846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E-41F8-9CAF-F6DB9B03FFC6}"/>
                </c:ext>
              </c:extLst>
            </c:dLbl>
            <c:dLbl>
              <c:idx val="5"/>
              <c:layout>
                <c:manualLayout>
                  <c:x val="4.6092174108925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E-41F8-9CAF-F6DB9B03FFC6}"/>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'4.1.1'!$N$32:$S$32</c:f>
              <c:numCache>
                <c:formatCode>0.0</c:formatCode>
                <c:ptCount val="6"/>
                <c:pt idx="0">
                  <c:v>20.92</c:v>
                </c:pt>
                <c:pt idx="1">
                  <c:v>19.09</c:v>
                </c:pt>
                <c:pt idx="2">
                  <c:v>22.76</c:v>
                </c:pt>
                <c:pt idx="3">
                  <c:v>54.05</c:v>
                </c:pt>
                <c:pt idx="4">
                  <c:v>56.64</c:v>
                </c:pt>
                <c:pt idx="5">
                  <c:v>51.44</c:v>
                </c:pt>
              </c:numCache>
            </c:numRef>
          </c:val>
          <c:extLst>
            <c:ext xmlns:c16="http://schemas.microsoft.com/office/drawing/2014/chart" uri="{C3380CC4-5D6E-409C-BE32-E72D297353CC}">
              <c16:uniqueId val="{00000007-647E-41F8-9CAF-F6DB9B03FFC6}"/>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noFill/>
        </a:ln>
        <a:effectLst/>
      </c:spPr>
    </c:plotArea>
    <c:legend>
      <c:legendPos val="b"/>
      <c:layout>
        <c:manualLayout>
          <c:xMode val="edge"/>
          <c:yMode val="edge"/>
          <c:x val="0.44797654519452951"/>
          <c:y val="0.9264165170143206"/>
          <c:w val="0.15172788056889508"/>
          <c:h val="6.62735414652115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268514633163"/>
          <c:y val="0.12914156803196536"/>
          <c:w val="0.84352996500437438"/>
          <c:h val="0.58492707568642044"/>
        </c:manualLayout>
      </c:layout>
      <c:lineChart>
        <c:grouping val="standard"/>
        <c:varyColors val="0"/>
        <c:ser>
          <c:idx val="0"/>
          <c:order val="0"/>
          <c:tx>
            <c:strRef>
              <c:f>'4.1.2'!$D$11</c:f>
              <c:strCache>
                <c:ptCount val="1"/>
                <c:pt idx="0">
                  <c:v>Primaria</c:v>
                </c:pt>
              </c:strCache>
            </c:strRef>
          </c:tx>
          <c:spPr>
            <a:ln w="28575" cap="rnd">
              <a:solidFill>
                <a:srgbClr val="BF062F"/>
              </a:solidFill>
              <a:round/>
            </a:ln>
            <a:effectLst/>
          </c:spPr>
          <c:marker>
            <c:symbol val="square"/>
            <c:size val="5"/>
            <c:spPr>
              <a:solidFill>
                <a:srgbClr val="BF062F"/>
              </a:solidFill>
              <a:ln w="9525">
                <a:solidFill>
                  <a:srgbClr val="BF062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'4.1.2'!$D$12:$D$23</c:f>
              <c:numCache>
                <c:formatCode>0.0</c:formatCode>
                <c:ptCount val="12"/>
                <c:pt idx="0">
                  <c:v>66.100000000000009</c:v>
                </c:pt>
                <c:pt idx="1">
                  <c:v>68.300000000000011</c:v>
                </c:pt>
                <c:pt idx="2">
                  <c:v>70.8</c:v>
                </c:pt>
                <c:pt idx="3">
                  <c:v>75.599999999999994</c:v>
                </c:pt>
                <c:pt idx="4">
                  <c:v>79.600000000000009</c:v>
                </c:pt>
                <c:pt idx="5">
                  <c:v>83.374974580398771</c:v>
                </c:pt>
                <c:pt idx="6">
                  <c:v>85.110846378109116</c:v>
                </c:pt>
                <c:pt idx="7">
                  <c:v>89.059930763675055</c:v>
                </c:pt>
                <c:pt idx="8">
                  <c:v>88.226040355819677</c:v>
                </c:pt>
                <c:pt idx="9">
                  <c:v>89.72513009192231</c:v>
                </c:pt>
                <c:pt idx="10">
                  <c:v>88.544533277512514</c:v>
                </c:pt>
                <c:pt idx="11">
                  <c:v>88.657677524195122</c:v>
                </c:pt>
              </c:numCache>
            </c:numRef>
          </c:val>
          <c:smooth val="0"/>
          <c:extLst>
            <c:ext xmlns:c16="http://schemas.microsoft.com/office/drawing/2014/chart" uri="{C3380CC4-5D6E-409C-BE32-E72D297353CC}">
              <c16:uniqueId val="{00000000-CC46-4645-99D1-7F8BE0125843}"/>
            </c:ext>
          </c:extLst>
        </c:ser>
        <c:ser>
          <c:idx val="1"/>
          <c:order val="1"/>
          <c:tx>
            <c:strRef>
              <c:f>'4.1.2'!$E$11</c:f>
              <c:strCache>
                <c:ptCount val="1"/>
                <c:pt idx="0">
                  <c:v>Secundaria</c:v>
                </c:pt>
              </c:strCache>
            </c:strRef>
          </c:tx>
          <c:spPr>
            <a:ln w="28575" cap="rnd">
              <a:solidFill>
                <a:srgbClr val="B1B7B4"/>
              </a:solidFill>
              <a:round/>
            </a:ln>
            <a:effectLst/>
          </c:spPr>
          <c:marker>
            <c:symbol val="circle"/>
            <c:size val="5"/>
            <c:spPr>
              <a:solidFill>
                <a:srgbClr val="B1B7B4"/>
              </a:solidFill>
              <a:ln w="9525">
                <a:solidFill>
                  <a:srgbClr val="B1B7B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'4.1.2'!$E$12:$E$23</c:f>
              <c:numCache>
                <c:formatCode>0.0</c:formatCode>
                <c:ptCount val="12"/>
                <c:pt idx="0">
                  <c:v>27.296121823022972</c:v>
                </c:pt>
                <c:pt idx="1">
                  <c:v>29.082224457437068</c:v>
                </c:pt>
                <c:pt idx="2">
                  <c:v>31.549079139533802</c:v>
                </c:pt>
                <c:pt idx="3">
                  <c:v>33.415630471944723</c:v>
                </c:pt>
                <c:pt idx="4">
                  <c:v>35.04668078131099</c:v>
                </c:pt>
                <c:pt idx="5">
                  <c:v>45.2970222475657</c:v>
                </c:pt>
                <c:pt idx="6">
                  <c:v>50.409335398760227</c:v>
                </c:pt>
                <c:pt idx="7">
                  <c:v>62.899567129317354</c:v>
                </c:pt>
                <c:pt idx="8">
                  <c:v>65.834317570626482</c:v>
                </c:pt>
                <c:pt idx="9">
                  <c:v>68.467901033290076</c:v>
                </c:pt>
                <c:pt idx="10">
                  <c:v>68.814714807682734</c:v>
                </c:pt>
                <c:pt idx="11">
                  <c:v>67.064179437166146</c:v>
                </c:pt>
              </c:numCache>
            </c:numRef>
          </c:val>
          <c:smooth val="0"/>
          <c:extLst>
            <c:ext xmlns:c16="http://schemas.microsoft.com/office/drawing/2014/chart" uri="{C3380CC4-5D6E-409C-BE32-E72D297353CC}">
              <c16:uniqueId val="{00000001-CC46-4645-99D1-7F8BE0125843}"/>
            </c:ext>
          </c:extLst>
        </c:ser>
        <c:dLbls>
          <c:showLegendKey val="0"/>
          <c:showVal val="0"/>
          <c:showCatName val="0"/>
          <c:showSerName val="0"/>
          <c:showPercent val="0"/>
          <c:showBubbleSize val="0"/>
        </c:dLbls>
        <c:marker val="1"/>
        <c:smooth val="0"/>
        <c:axId val="454019440"/>
        <c:axId val="454018192"/>
      </c:lineChart>
      <c:catAx>
        <c:axId val="45401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0820065987049423"/>
              <c:y val="0.817083831953955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8192"/>
        <c:crosses val="autoZero"/>
        <c:auto val="1"/>
        <c:lblAlgn val="ctr"/>
        <c:lblOffset val="100"/>
        <c:noMultiLvlLbl val="0"/>
      </c:catAx>
      <c:valAx>
        <c:axId val="45401819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3.0555555555555555E-2"/>
              <c:y val="3.8440871974336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9440"/>
        <c:crosses val="autoZero"/>
        <c:crossBetween val="between"/>
      </c:valAx>
      <c:spPr>
        <a:noFill/>
        <a:ln>
          <a:noFill/>
        </a:ln>
        <a:effectLst/>
      </c:spPr>
    </c:plotArea>
    <c:legend>
      <c:legendPos val="b"/>
      <c:layout>
        <c:manualLayout>
          <c:xMode val="edge"/>
          <c:yMode val="edge"/>
          <c:x val="0.6029698286146834"/>
          <c:y val="0.8983605018721319"/>
          <c:w val="0.3739974411505772"/>
          <c:h val="6.8849931090315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51658372202"/>
          <c:y val="0.15472753020800764"/>
          <c:w val="0.86226618547681544"/>
          <c:h val="0.64685914260717414"/>
        </c:manualLayout>
      </c:layout>
      <c:lineChart>
        <c:grouping val="standard"/>
        <c:varyColors val="0"/>
        <c:ser>
          <c:idx val="0"/>
          <c:order val="0"/>
          <c:tx>
            <c:strRef>
              <c:f>'4.2.2'!$D$10:$F$10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'4.2.2'!$D$12:$D$24</c:f>
              <c:numCache>
                <c:formatCode>0.0</c:formatCode>
                <c:ptCount val="13"/>
                <c:pt idx="0">
                  <c:v>92.247351687561604</c:v>
                </c:pt>
                <c:pt idx="1">
                  <c:v>91.37198646258409</c:v>
                </c:pt>
                <c:pt idx="2">
                  <c:v>90.159947782288725</c:v>
                </c:pt>
                <c:pt idx="3">
                  <c:v>88.967495952700673</c:v>
                </c:pt>
                <c:pt idx="4">
                  <c:v>89.320388349514573</c:v>
                </c:pt>
                <c:pt idx="5">
                  <c:v>90.638704296591243</c:v>
                </c:pt>
                <c:pt idx="6">
                  <c:v>90.190754959770359</c:v>
                </c:pt>
                <c:pt idx="7">
                  <c:v>88.451131074791647</c:v>
                </c:pt>
                <c:pt idx="8">
                  <c:v>102.07319990431385</c:v>
                </c:pt>
                <c:pt idx="9">
                  <c:v>91.929773187094028</c:v>
                </c:pt>
                <c:pt idx="10">
                  <c:v>93.315982649315984</c:v>
                </c:pt>
                <c:pt idx="11">
                  <c:v>93.9</c:v>
                </c:pt>
                <c:pt idx="12">
                  <c:v>90.75547472876508</c:v>
                </c:pt>
              </c:numCache>
            </c:numRef>
          </c:val>
          <c:smooth val="0"/>
          <c:extLst>
            <c:ext xmlns:c16="http://schemas.microsoft.com/office/drawing/2014/chart" uri="{C3380CC4-5D6E-409C-BE32-E72D297353CC}">
              <c16:uniqueId val="{00000000-3BFC-45A0-B2C9-3CB77AAF216C}"/>
            </c:ext>
          </c:extLst>
        </c:ser>
        <c:ser>
          <c:idx val="1"/>
          <c:order val="1"/>
          <c:tx>
            <c:strRef>
              <c:f>'4.2.2'!$H$10:$J$10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'4.2.2'!$H$12:$H$24</c:f>
              <c:numCache>
                <c:formatCode>0.0</c:formatCode>
                <c:ptCount val="13"/>
                <c:pt idx="0">
                  <c:v>88.611215238729926</c:v>
                </c:pt>
                <c:pt idx="1">
                  <c:v>87.774543530034393</c:v>
                </c:pt>
                <c:pt idx="2">
                  <c:v>86.712161896149468</c:v>
                </c:pt>
                <c:pt idx="3">
                  <c:v>84.963844551567618</c:v>
                </c:pt>
                <c:pt idx="4">
                  <c:v>86.758653440270166</c:v>
                </c:pt>
                <c:pt idx="5">
                  <c:v>84.458823212892469</c:v>
                </c:pt>
                <c:pt idx="6">
                  <c:v>89.343740720315608</c:v>
                </c:pt>
                <c:pt idx="7">
                  <c:v>86.374337049464216</c:v>
                </c:pt>
                <c:pt idx="8">
                  <c:v>88.723836625842836</c:v>
                </c:pt>
                <c:pt idx="9">
                  <c:v>89.143861143648166</c:v>
                </c:pt>
                <c:pt idx="10">
                  <c:v>91.105772439105763</c:v>
                </c:pt>
                <c:pt idx="11">
                  <c:v>91.8</c:v>
                </c:pt>
                <c:pt idx="12">
                  <c:v>88.872447022571095</c:v>
                </c:pt>
              </c:numCache>
            </c:numRef>
          </c:val>
          <c:smooth val="0"/>
          <c:extLst>
            <c:ext xmlns:c16="http://schemas.microsoft.com/office/drawing/2014/chart" uri="{C3380CC4-5D6E-409C-BE32-E72D297353CC}">
              <c16:uniqueId val="{00000001-3BFC-45A0-B2C9-3CB77AAF216C}"/>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323712"/>
        <c:crosses val="autoZero"/>
        <c:crossBetween val="between"/>
      </c:valAx>
      <c:spPr>
        <a:noFill/>
        <a:ln>
          <a:noFill/>
        </a:ln>
        <a:effectLst/>
      </c:spPr>
    </c:plotArea>
    <c:legend>
      <c:legendPos val="b"/>
      <c:layout>
        <c:manualLayout>
          <c:xMode val="edge"/>
          <c:yMode val="edge"/>
          <c:x val="0.5397355643044619"/>
          <c:y val="0.92187445319335082"/>
          <c:w val="0.4594175415573053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'4.3.1'!$R$13</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'4.3.1'!$R$14:$R$28</c:f>
              <c:numCache>
                <c:formatCode>###0.0</c:formatCode>
                <c:ptCount val="15"/>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pt idx="12">
                  <c:v>94.749496088278505</c:v>
                </c:pt>
                <c:pt idx="13">
                  <c:v>93.21082624589215</c:v>
                </c:pt>
                <c:pt idx="14">
                  <c:v>91.225426113891274</c:v>
                </c:pt>
              </c:numCache>
            </c:numRef>
          </c:val>
          <c:smooth val="0"/>
          <c:extLst>
            <c:ext xmlns:c16="http://schemas.microsoft.com/office/drawing/2014/chart" uri="{C3380CC4-5D6E-409C-BE32-E72D297353CC}">
              <c16:uniqueId val="{00000000-3F59-43A1-9927-04D02E1F3BA3}"/>
            </c:ext>
          </c:extLst>
        </c:ser>
        <c:ser>
          <c:idx val="1"/>
          <c:order val="1"/>
          <c:tx>
            <c:strRef>
              <c:f>'4.3.1'!$S$13</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'4.3.1'!$S$14:$S$28</c:f>
              <c:numCache>
                <c:formatCode>###0.0</c:formatCode>
                <c:ptCount val="15"/>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pt idx="12">
                  <c:v>46.704124714661127</c:v>
                </c:pt>
                <c:pt idx="13">
                  <c:v>45.742975514489238</c:v>
                </c:pt>
                <c:pt idx="14">
                  <c:v>45.34391694309484</c:v>
                </c:pt>
              </c:numCache>
            </c:numRef>
          </c:val>
          <c:smooth val="0"/>
          <c:extLst>
            <c:ext xmlns:c16="http://schemas.microsoft.com/office/drawing/2014/chart" uri="{C3380CC4-5D6E-409C-BE32-E72D297353CC}">
              <c16:uniqueId val="{00000001-3F59-43A1-9927-04D02E1F3BA3}"/>
            </c:ext>
          </c:extLst>
        </c:ser>
        <c:ser>
          <c:idx val="2"/>
          <c:order val="2"/>
          <c:tx>
            <c:strRef>
              <c:f>'4.3.1'!$T$13</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'4.3.1'!$T$14:$T$28</c:f>
              <c:numCache>
                <c:formatCode>###0.0</c:formatCode>
                <c:ptCount val="15"/>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pt idx="12">
                  <c:v>15.685643639606409</c:v>
                </c:pt>
                <c:pt idx="13">
                  <c:v>15.244252837508562</c:v>
                </c:pt>
                <c:pt idx="14">
                  <c:v>15.280307984310703</c:v>
                </c:pt>
              </c:numCache>
            </c:numRef>
          </c:val>
          <c:smooth val="0"/>
          <c:extLst>
            <c:ext xmlns:c16="http://schemas.microsoft.com/office/drawing/2014/chart" uri="{C3380CC4-5D6E-409C-BE32-E72D297353CC}">
              <c16:uniqueId val="{00000002-3F59-43A1-9927-04D02E1F3BA3}"/>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'4.3.1'!$AJ$13</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B3-468C-92FE-4DA3E23745AB}"/>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3-468C-92FE-4DA3E23745AB}"/>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B3-468C-92FE-4DA3E23745AB}"/>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3-468C-92FE-4DA3E23745AB}"/>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B3-468C-92FE-4DA3E23745AB}"/>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3-468C-92FE-4DA3E23745AB}"/>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'4.3.1'!$AJ$14:$AJ$28</c:f>
              <c:numCache>
                <c:formatCode>###0.0</c:formatCode>
                <c:ptCount val="15"/>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pt idx="12">
                  <c:v>0.41124321000307468</c:v>
                </c:pt>
                <c:pt idx="13">
                  <c:v>0.81438904410829527</c:v>
                </c:pt>
                <c:pt idx="14">
                  <c:v>0.73024305353172847</c:v>
                </c:pt>
              </c:numCache>
            </c:numRef>
          </c:val>
          <c:smooth val="0"/>
          <c:extLst>
            <c:ext xmlns:c16="http://schemas.microsoft.com/office/drawing/2014/chart" uri="{C3380CC4-5D6E-409C-BE32-E72D297353CC}">
              <c16:uniqueId val="{00000007-9AB3-468C-92FE-4DA3E23745AB}"/>
            </c:ext>
          </c:extLst>
        </c:ser>
        <c:ser>
          <c:idx val="1"/>
          <c:order val="1"/>
          <c:tx>
            <c:strRef>
              <c:f>'4.3.1'!$AK$13</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B3-468C-92FE-4DA3E23745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'4.3.1'!$AK$14:$AK$28</c:f>
              <c:numCache>
                <c:formatCode>###0.0</c:formatCode>
                <c:ptCount val="15"/>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pt idx="12">
                  <c:v>4.2005084947807223</c:v>
                </c:pt>
                <c:pt idx="13">
                  <c:v>4.1441360080376599</c:v>
                </c:pt>
                <c:pt idx="14">
                  <c:v>4.7750919957987952</c:v>
                </c:pt>
              </c:numCache>
            </c:numRef>
          </c:val>
          <c:smooth val="0"/>
          <c:extLst>
            <c:ext xmlns:c16="http://schemas.microsoft.com/office/drawing/2014/chart" uri="{C3380CC4-5D6E-409C-BE32-E72D297353CC}">
              <c16:uniqueId val="{00000009-9AB3-468C-92FE-4DA3E23745AB}"/>
            </c:ext>
          </c:extLst>
        </c:ser>
        <c:ser>
          <c:idx val="2"/>
          <c:order val="2"/>
          <c:tx>
            <c:strRef>
              <c:f>'4.3.1'!$AL$13</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'4.3.1'!$AL$14:$AL$28</c:f>
              <c:numCache>
                <c:formatCode>###0.0</c:formatCode>
                <c:ptCount val="15"/>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pt idx="12">
                  <c:v>1.7949250615620027</c:v>
                </c:pt>
                <c:pt idx="13">
                  <c:v>2.0515632332164788</c:v>
                </c:pt>
                <c:pt idx="14">
                  <c:v>2.3703988966979712</c:v>
                </c:pt>
              </c:numCache>
            </c:numRef>
          </c:val>
          <c:smooth val="0"/>
          <c:extLst>
            <c:ext xmlns:c16="http://schemas.microsoft.com/office/drawing/2014/chart" uri="{C3380CC4-5D6E-409C-BE32-E72D297353CC}">
              <c16:uniqueId val="{0000000A-9AB3-468C-92FE-4DA3E23745AB}"/>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'4.4.1'!$H$11</c:f>
              <c:strCache>
                <c:ptCount val="1"/>
                <c:pt idx="0">
                  <c:v>2017</c:v>
                </c:pt>
              </c:strCache>
            </c:strRef>
          </c:tx>
          <c:spPr>
            <a:solidFill>
              <a:srgbClr val="C5192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('4.4.1'!$H$14:$H$15,'4.4.1'!$H$17:$H$20)</c:f>
              <c:numCache>
                <c:formatCode>General</c:formatCode>
                <c:ptCount val="6"/>
                <c:pt idx="0">
                  <c:v>41.8</c:v>
                </c:pt>
                <c:pt idx="1">
                  <c:v>24.7</c:v>
                </c:pt>
                <c:pt idx="2">
                  <c:v>27.5</c:v>
                </c:pt>
                <c:pt idx="3">
                  <c:v>27.9</c:v>
                </c:pt>
                <c:pt idx="4">
                  <c:v>39.200000000000003</c:v>
                </c:pt>
                <c:pt idx="5">
                  <c:v>7.1</c:v>
                </c:pt>
              </c:numCache>
            </c:numRef>
          </c:val>
          <c:extLst>
            <c:ext xmlns:c16="http://schemas.microsoft.com/office/drawing/2014/chart" uri="{C3380CC4-5D6E-409C-BE32-E72D297353CC}">
              <c16:uniqueId val="{00000000-9998-4906-86EC-95F595ED94EE}"/>
            </c:ext>
          </c:extLst>
        </c:ser>
        <c:ser>
          <c:idx val="3"/>
          <c:order val="1"/>
          <c:tx>
            <c:strRef>
              <c:f>'4.4.1'!$I$11</c:f>
              <c:strCache>
                <c:ptCount val="1"/>
                <c:pt idx="0">
                  <c:v>2018</c:v>
                </c:pt>
              </c:strCache>
            </c:strRef>
          </c:tx>
          <c:spPr>
            <a:pattFill prst="ltDnDiag">
              <a:fgClr>
                <a:srgbClr val="C5192D"/>
              </a:fgClr>
              <a:bgClr>
                <a:schemeClr val="bg1"/>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('4.4.1'!$I$14:$I$15,'4.4.1'!$I$17:$I$20)</c:f>
              <c:numCache>
                <c:formatCode>General</c:formatCode>
                <c:ptCount val="6"/>
                <c:pt idx="0">
                  <c:v>34.799999999999997</c:v>
                </c:pt>
                <c:pt idx="1">
                  <c:v>25.3</c:v>
                </c:pt>
                <c:pt idx="2">
                  <c:v>15.9</c:v>
                </c:pt>
                <c:pt idx="3">
                  <c:v>24.5</c:v>
                </c:pt>
                <c:pt idx="4" formatCode="0.0">
                  <c:v>25</c:v>
                </c:pt>
                <c:pt idx="5">
                  <c:v>3.7</c:v>
                </c:pt>
              </c:numCache>
            </c:numRef>
          </c:val>
          <c:extLst>
            <c:ext xmlns:c16="http://schemas.microsoft.com/office/drawing/2014/chart" uri="{C3380CC4-5D6E-409C-BE32-E72D297353CC}">
              <c16:uniqueId val="{00000001-9998-4906-86EC-95F595ED94EE}"/>
            </c:ext>
          </c:extLst>
        </c:ser>
        <c:dLbls>
          <c:showLegendKey val="0"/>
          <c:showVal val="0"/>
          <c:showCatName val="0"/>
          <c:showSerName val="0"/>
          <c:showPercent val="0"/>
          <c:showBubbleSize val="0"/>
        </c:dLbls>
        <c:gapWidth val="150"/>
        <c:axId val="232461824"/>
        <c:axId val="231450880"/>
      </c:barChart>
      <c:catAx>
        <c:axId val="232461824"/>
        <c:scaling>
          <c:orientation val="minMax"/>
        </c:scaling>
        <c:delete val="0"/>
        <c:axPos val="l"/>
        <c:numFmt formatCode="General" sourceLinked="1"/>
        <c:majorTickMark val="out"/>
        <c:minorTickMark val="none"/>
        <c:tickLblPos val="nextTo"/>
        <c:crossAx val="231450880"/>
        <c:crosses val="autoZero"/>
        <c:auto val="1"/>
        <c:lblAlgn val="ctr"/>
        <c:lblOffset val="100"/>
        <c:noMultiLvlLbl val="0"/>
      </c:catAx>
      <c:valAx>
        <c:axId val="231450880"/>
        <c:scaling>
          <c:orientation val="minMax"/>
        </c:scaling>
        <c:delete val="0"/>
        <c:axPos val="b"/>
        <c:numFmt formatCode="General" sourceLinked="1"/>
        <c:majorTickMark val="out"/>
        <c:minorTickMark val="none"/>
        <c:tickLblPos val="nextTo"/>
        <c:crossAx val="232461824"/>
        <c:crosses val="autoZero"/>
        <c:crossBetween val="between"/>
      </c:valAx>
    </c:plotArea>
    <c:legend>
      <c:legendPos val="r"/>
      <c:layout>
        <c:manualLayout>
          <c:xMode val="edge"/>
          <c:yMode val="edge"/>
          <c:x val="0.91150542134959078"/>
          <c:y val="6.4803964721801069E-2"/>
          <c:w val="8.042404630705581E-2"/>
          <c:h val="0.15415953440602534"/>
        </c:manualLayout>
      </c:layout>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E7E0-4163-9397-21B920CBE2F2}"/>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E7E0-4163-9397-21B920CBE2F2}"/>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E7E0-4163-9397-21B920CBE2F2}"/>
              </c:ext>
            </c:extLst>
          </c:dPt>
          <c:dPt>
            <c:idx val="3"/>
            <c:invertIfNegative val="0"/>
            <c:bubble3D val="0"/>
            <c:spPr>
              <a:solidFill>
                <a:srgbClr val="C5192D"/>
              </a:solidFill>
              <a:ln>
                <a:noFill/>
              </a:ln>
              <a:effectLst/>
            </c:spPr>
            <c:extLst>
              <c:ext xmlns:c16="http://schemas.microsoft.com/office/drawing/2014/chart" uri="{C3380CC4-5D6E-409C-BE32-E72D297353CC}">
                <c16:uniqueId val="{00000007-E7E0-4163-9397-21B920CBE2F2}"/>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E7E0-4163-9397-21B920CBE2F2}"/>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E7E0-4163-9397-21B920CBE2F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'4.5.1'!$T$11:$Z$12</c15:sqref>
                  </c15:fullRef>
                </c:ext>
              </c:extLst>
              <c:f>'4.5.1'!$T$11:$Z$12</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'4.5.1'!$T$13:$Z$13</c15:sqref>
                  </c15:fullRef>
                </c:ext>
              </c:extLst>
              <c:f>('4.5.1'!$T$13:$V$13,'4.5.1'!$X$13:$Z$13)</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E7E0-4163-9397-21B920CBE2F2}"/>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2012</a:t>
                </a:r>
              </a:p>
              <a:p>
                <a:pPr>
                  <a:defRPr/>
                </a:pPr>
                <a:r>
                  <a:rPr lang="es-C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 </a:t>
                </a: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'1.4.1'!$D$13:$D$27</c:f>
              <c:numCache>
                <c:formatCode>###0.0</c:formatCode>
                <c:ptCount val="15"/>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pt idx="12">
                  <c:v>93.526665490229178</c:v>
                </c:pt>
                <c:pt idx="13">
                  <c:v>94.197443372135254</c:v>
                </c:pt>
                <c:pt idx="14">
                  <c:v>93.16481617174189</c:v>
                </c:pt>
              </c:numCache>
            </c:numRef>
          </c:val>
          <c:smooth val="0"/>
          <c:extLst>
            <c:ext xmlns:c16="http://schemas.microsoft.com/office/drawing/2014/chart" uri="{C3380CC4-5D6E-409C-BE32-E72D297353CC}">
              <c16:uniqueId val="{00000000-485B-4000-93D5-86FAEC222C29}"/>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7E45-4D00-A10E-F352545FAD14}"/>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7E45-4D00-A10E-F352545FAD14}"/>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7E45-4D00-A10E-F352545FAD14}"/>
              </c:ext>
            </c:extLst>
          </c:dPt>
          <c:dPt>
            <c:idx val="3"/>
            <c:invertIfNegative val="0"/>
            <c:bubble3D val="0"/>
            <c:spPr>
              <a:solidFill>
                <a:srgbClr val="C00000"/>
              </a:solidFill>
              <a:ln>
                <a:noFill/>
              </a:ln>
              <a:effectLst/>
            </c:spPr>
            <c:extLst>
              <c:ext xmlns:c16="http://schemas.microsoft.com/office/drawing/2014/chart" uri="{C3380CC4-5D6E-409C-BE32-E72D297353CC}">
                <c16:uniqueId val="{00000007-7E45-4D00-A10E-F352545FAD14}"/>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7E45-4D00-A10E-F352545FAD14}"/>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7E45-4D00-A10E-F352545FAD14}"/>
              </c:ext>
            </c:extLst>
          </c:dPt>
          <c:dPt>
            <c:idx val="6"/>
            <c:invertIfNegative val="0"/>
            <c:bubble3D val="0"/>
            <c:spPr>
              <a:solidFill>
                <a:srgbClr val="C00000"/>
              </a:solidFill>
              <a:ln>
                <a:noFill/>
              </a:ln>
              <a:effectLst/>
            </c:spPr>
            <c:extLst>
              <c:ext xmlns:c16="http://schemas.microsoft.com/office/drawing/2014/chart" uri="{C3380CC4-5D6E-409C-BE32-E72D297353CC}">
                <c16:uniqueId val="{0000000D-7E45-4D00-A10E-F352545FAD14}"/>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7E45-4D00-A10E-F352545FAD14}"/>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7E45-4D00-A10E-F352545FAD14}"/>
              </c:ext>
            </c:extLst>
          </c:dPt>
          <c:dPt>
            <c:idx val="9"/>
            <c:invertIfNegative val="0"/>
            <c:bubble3D val="0"/>
            <c:spPr>
              <a:solidFill>
                <a:srgbClr val="C00000"/>
              </a:solidFill>
              <a:ln>
                <a:noFill/>
              </a:ln>
              <a:effectLst/>
            </c:spPr>
            <c:extLst>
              <c:ext xmlns:c16="http://schemas.microsoft.com/office/drawing/2014/chart" uri="{C3380CC4-5D6E-409C-BE32-E72D297353CC}">
                <c16:uniqueId val="{00000013-7E45-4D00-A10E-F352545FAD14}"/>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7E45-4D00-A10E-F352545FAD14}"/>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7E45-4D00-A10E-F352545FAD1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'4.5.1'!$D$11:$R$13</c15:sqref>
                  </c15:fullRef>
                </c:ext>
              </c:extLst>
              <c:f>'4.5.1'!$D$11:$R$13</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'4.5.1'!$D$14:$R$14</c15:sqref>
                  </c15:fullRef>
                </c:ext>
              </c:extLst>
              <c:f>('4.5.1'!$D$14:$F$14,'4.5.1'!$H$14:$J$14,'4.5.1'!$L$14:$N$14,'4.5.1'!$P$14:$R$14)</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7E45-4D00-A10E-F352545FAD14}"/>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2013</a:t>
                </a:r>
              </a:p>
              <a:p>
                <a:pPr>
                  <a:defRPr/>
                </a:pPr>
                <a:r>
                  <a:rPr lang="es-C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a:t>
                </a: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7590-4754-987E-DDDA44874C3B}"/>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5040779298566E-2"/>
          <c:y val="0.15890887159815081"/>
          <c:w val="0.8820264581021332"/>
          <c:h val="0.65307842436855157"/>
        </c:manualLayout>
      </c:layout>
      <c:barChart>
        <c:barDir val="col"/>
        <c:grouping val="clustered"/>
        <c:varyColors val="0"/>
        <c:ser>
          <c:idx val="0"/>
          <c:order val="0"/>
          <c:tx>
            <c:strRef>
              <c:f>'4.a.1'!$C$65</c:f>
              <c:strCache>
                <c:ptCount val="1"/>
                <c:pt idx="0">
                  <c:v>I y II Ciclos</c:v>
                </c:pt>
              </c:strCache>
            </c:strRef>
          </c:tx>
          <c:spPr>
            <a:solidFill>
              <a:srgbClr val="C5192D"/>
            </a:solidFill>
            <a:ln>
              <a:noFill/>
            </a:ln>
            <a:effectLst/>
          </c:spPr>
          <c:invertIfNegative val="0"/>
          <c:dLbls>
            <c:dLbl>
              <c:idx val="0"/>
              <c:layout>
                <c:manualLayout>
                  <c:x val="-2.3061162153907027E-3"/>
                  <c:y val="2.5897313150321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9-4FDF-A712-3D27C82D1D3A}"/>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9-4FDF-A712-3D27C82D1D3A}"/>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9-4FDF-A712-3D27C82D1D3A}"/>
                </c:ext>
              </c:extLst>
            </c:dLbl>
            <c:dLbl>
              <c:idx val="4"/>
              <c:layout>
                <c:manualLayout>
                  <c:x val="0"/>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9-4FDF-A712-3D27C82D1D3A}"/>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9-4FDF-A712-3D27C82D1D3A}"/>
                </c:ext>
              </c:extLst>
            </c:dLbl>
            <c:dLbl>
              <c:idx val="6"/>
              <c:layout>
                <c:manualLayout>
                  <c:x val="0"/>
                  <c:y val="1.9607843137254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9-4FDF-A712-3D27C82D1D3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'4.a.1'!$D$65:$M$65</c15:sqref>
                  </c15:fullRef>
                </c:ext>
              </c:extLst>
              <c:f>('4.a.1'!$D$65:$F$65,'4.a.1'!$H$65,'4.a.1'!$J$65:$K$65,'4.a.1'!$M$65)</c:f>
              <c:numCache>
                <c:formatCode>0.00</c:formatCode>
                <c:ptCount val="7"/>
                <c:pt idx="0">
                  <c:v>99.5</c:v>
                </c:pt>
                <c:pt idx="1">
                  <c:v>87.06</c:v>
                </c:pt>
                <c:pt idx="2">
                  <c:v>97.12</c:v>
                </c:pt>
                <c:pt idx="3">
                  <c:v>81.84</c:v>
                </c:pt>
                <c:pt idx="4">
                  <c:v>91.8</c:v>
                </c:pt>
                <c:pt idx="5">
                  <c:v>97.94</c:v>
                </c:pt>
                <c:pt idx="6">
                  <c:v>98.71</c:v>
                </c:pt>
              </c:numCache>
            </c:numRef>
          </c:val>
          <c:extLst>
            <c:ext xmlns:c16="http://schemas.microsoft.com/office/drawing/2014/chart" uri="{C3380CC4-5D6E-409C-BE32-E72D297353CC}">
              <c16:uniqueId val="{00000006-5659-4FDF-A712-3D27C82D1D3A}"/>
            </c:ext>
          </c:extLst>
        </c:ser>
        <c:ser>
          <c:idx val="1"/>
          <c:order val="1"/>
          <c:tx>
            <c:strRef>
              <c:f>'4.a.1'!$C$66</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9-4FDF-A712-3D27C82D1D3A}"/>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59-4FDF-A712-3D27C82D1D3A}"/>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59-4FDF-A712-3D27C82D1D3A}"/>
                </c:ext>
              </c:extLst>
            </c:dLbl>
            <c:dLbl>
              <c:idx val="4"/>
              <c:layout>
                <c:manualLayout>
                  <c:x val="6.7114093959730727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59-4FDF-A712-3D27C82D1D3A}"/>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59-4FDF-A712-3D27C82D1D3A}"/>
                </c:ext>
              </c:extLst>
            </c:dLbl>
            <c:dLbl>
              <c:idx val="6"/>
              <c:layout>
                <c:manualLayout>
                  <c:x val="6.7114093959731542E-3"/>
                  <c:y val="9.8039215686274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59-4FDF-A712-3D27C82D1D3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'4.a.1'!$D$66:$M$66</c15:sqref>
                  </c15:fullRef>
                </c:ext>
              </c:extLst>
              <c:f>('4.a.1'!$D$66:$F$66,'4.a.1'!$H$66,'4.a.1'!$J$66:$K$66,'4.a.1'!$M$66)</c:f>
              <c:numCache>
                <c:formatCode>0.00</c:formatCode>
                <c:ptCount val="7"/>
                <c:pt idx="0">
                  <c:v>99.08</c:v>
                </c:pt>
                <c:pt idx="1">
                  <c:v>89.47</c:v>
                </c:pt>
                <c:pt idx="2">
                  <c:v>93.87</c:v>
                </c:pt>
                <c:pt idx="3">
                  <c:v>88.34</c:v>
                </c:pt>
                <c:pt idx="4">
                  <c:v>97.24</c:v>
                </c:pt>
                <c:pt idx="5">
                  <c:v>97.75</c:v>
                </c:pt>
                <c:pt idx="6">
                  <c:v>97.96</c:v>
                </c:pt>
              </c:numCache>
            </c:numRef>
          </c:val>
          <c:extLst>
            <c:ext xmlns:c16="http://schemas.microsoft.com/office/drawing/2014/chart" uri="{C3380CC4-5D6E-409C-BE32-E72D297353CC}">
              <c16:uniqueId val="{0000000D-5659-4FDF-A712-3D27C82D1D3A}"/>
            </c:ext>
          </c:extLst>
        </c:ser>
        <c:dLbls>
          <c:dLblPos val="outEnd"/>
          <c:showLegendKey val="0"/>
          <c:showVal val="1"/>
          <c:showCatName val="0"/>
          <c:showSerName val="0"/>
          <c:showPercent val="0"/>
          <c:showBubbleSize val="0"/>
        </c:dLbls>
        <c:gapWidth val="219"/>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8208"/>
        <c:crosses val="autoZero"/>
        <c:auto val="1"/>
        <c:lblAlgn val="ctr"/>
        <c:lblOffset val="100"/>
        <c:noMultiLvlLbl val="0"/>
      </c:catAx>
      <c:valAx>
        <c:axId val="2318382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184896"/>
        <c:crosses val="autoZero"/>
        <c:crossBetween val="between"/>
        <c:majorUnit val="20"/>
      </c:valAx>
      <c:spPr>
        <a:noFill/>
        <a:ln>
          <a:noFill/>
        </a:ln>
        <a:effectLst/>
      </c:spPr>
    </c:plotArea>
    <c:legend>
      <c:legendPos val="b"/>
      <c:layout>
        <c:manualLayout>
          <c:xMode val="edge"/>
          <c:yMode val="edge"/>
          <c:x val="0.63761078009023719"/>
          <c:y val="0.90369231691494778"/>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2"/>
          <c:order val="0"/>
          <c:tx>
            <c:strRef>
              <c:f>'4.c.1'!$E$62</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'4.c.1'!$H$12:$H$20</c:f>
              <c:numCache>
                <c:formatCode>#,##0.00</c:formatCode>
                <c:ptCount val="9"/>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pt idx="8">
                  <c:v>97.786459961755241</c:v>
                </c:pt>
              </c:numCache>
            </c:numRef>
          </c:val>
          <c:extLst>
            <c:ext xmlns:c16="http://schemas.microsoft.com/office/drawing/2014/chart" uri="{C3380CC4-5D6E-409C-BE32-E72D297353CC}">
              <c16:uniqueId val="{00000000-72B2-4D2D-8453-DB00DFA229ED}"/>
            </c:ext>
          </c:extLst>
        </c:ser>
        <c:ser>
          <c:idx val="3"/>
          <c:order val="1"/>
          <c:tx>
            <c:strRef>
              <c:f>'4.c.1'!$E$63</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'4.c.1'!$L$12:$L$20</c:f>
              <c:numCache>
                <c:formatCode>#,##0.00</c:formatCode>
                <c:ptCount val="9"/>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pt idx="8">
                  <c:v>99.320980676167366</c:v>
                </c:pt>
              </c:numCache>
            </c:numRef>
          </c:val>
          <c:extLst>
            <c:ext xmlns:c16="http://schemas.microsoft.com/office/drawing/2014/chart" uri="{C3380CC4-5D6E-409C-BE32-E72D297353CC}">
              <c16:uniqueId val="{00000001-72B2-4D2D-8453-DB00DFA229ED}"/>
            </c:ext>
          </c:extLst>
        </c:ser>
        <c:ser>
          <c:idx val="0"/>
          <c:order val="2"/>
          <c:tx>
            <c:strRef>
              <c:f>'4.c.1'!$E$64</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'4.c.1'!$Q$12:$Q$20</c:f>
              <c:numCache>
                <c:formatCode>#,##0.00</c:formatCode>
                <c:ptCount val="9"/>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pt idx="8">
                  <c:v>99.36167338947854</c:v>
                </c:pt>
              </c:numCache>
            </c:numRef>
          </c:val>
          <c:extLst>
            <c:ext xmlns:c16="http://schemas.microsoft.com/office/drawing/2014/chart" uri="{C3380CC4-5D6E-409C-BE32-E72D297353CC}">
              <c16:uniqueId val="{00000002-72B2-4D2D-8453-DB00DFA229ED}"/>
            </c:ext>
          </c:extLst>
        </c:ser>
        <c:ser>
          <c:idx val="1"/>
          <c:order val="3"/>
          <c:tx>
            <c:strRef>
              <c:f>'4.c.1'!$E$61</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4-72B2-4D2D-8453-DB00DFA229ED}"/>
              </c:ext>
            </c:extLst>
          </c:dPt>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'4.c.1'!$D$12:$D$20</c:f>
              <c:numCache>
                <c:formatCode>#,##0.00</c:formatCode>
                <c:ptCount val="9"/>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pt idx="8">
                  <c:v>97.648652015126203</c:v>
                </c:pt>
              </c:numCache>
            </c:numRef>
          </c:val>
          <c:extLst>
            <c:ext xmlns:c16="http://schemas.microsoft.com/office/drawing/2014/chart" uri="{C3380CC4-5D6E-409C-BE32-E72D297353CC}">
              <c16:uniqueId val="{00000005-72B2-4D2D-8453-DB00DFA229ED}"/>
            </c:ext>
          </c:extLst>
        </c:ser>
        <c:dLbls>
          <c:dLblPos val="outEnd"/>
          <c:showLegendKey val="0"/>
          <c:showVal val="1"/>
          <c:showCatName val="0"/>
          <c:showSerName val="0"/>
          <c:showPercent val="0"/>
          <c:showBubbleSize val="0"/>
        </c:dLbls>
        <c:gapWidth val="219"/>
        <c:overlap val="-9"/>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0"/>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'5.2.1'!$C$12:$C$13</c:f>
              <c:strCache>
                <c:ptCount val="2"/>
                <c:pt idx="0">
                  <c:v>Violencia Física</c:v>
                </c:pt>
                <c:pt idx="1">
                  <c:v>Violoencia Sexual</c:v>
                </c:pt>
              </c:strCache>
            </c:strRef>
          </c:cat>
          <c:val>
            <c:numRef>
              <c:f>'5.2.1'!$D$12:$D$13</c:f>
              <c:numCache>
                <c:formatCode>###0.0</c:formatCode>
                <c:ptCount val="2"/>
                <c:pt idx="0">
                  <c:v>5.8370044052863435</c:v>
                </c:pt>
                <c:pt idx="1">
                  <c:v>2.2999999999999998</c:v>
                </c:pt>
              </c:numCache>
            </c:numRef>
          </c:val>
          <c:extLst>
            <c:ext xmlns:c16="http://schemas.microsoft.com/office/drawing/2014/chart" uri="{C3380CC4-5D6E-409C-BE32-E72D297353CC}">
              <c16:uniqueId val="{00000000-10EE-44C4-ACA5-B3C4320E82AA}"/>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6237571745237"/>
          <c:y val="8.3333467570458397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'5.2.2'!$C$12:$C$13</c:f>
              <c:strCache>
                <c:ptCount val="2"/>
                <c:pt idx="0">
                  <c:v>Violencia Física</c:v>
                </c:pt>
                <c:pt idx="1">
                  <c:v>Violoencia Sexual</c:v>
                </c:pt>
              </c:strCache>
            </c:strRef>
          </c:cat>
          <c:val>
            <c:numRef>
              <c:f>'5.2.2'!$D$12:$D$13</c:f>
              <c:numCache>
                <c:formatCode>###0.0</c:formatCode>
                <c:ptCount val="2"/>
                <c:pt idx="0">
                  <c:v>4.3</c:v>
                </c:pt>
                <c:pt idx="1">
                  <c:v>1.1000000000000001</c:v>
                </c:pt>
              </c:numCache>
            </c:numRef>
          </c:val>
          <c:extLst>
            <c:ext xmlns:c16="http://schemas.microsoft.com/office/drawing/2014/chart" uri="{C3380CC4-5D6E-409C-BE32-E72D297353CC}">
              <c16:uniqueId val="{00000000-41BD-4589-BCFA-CAF600F003A1}"/>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'5.3.1-ENAHO'!$D$13:$D$27</c:f>
              <c:numCache>
                <c:formatCode>###0.0</c:formatCode>
                <c:ptCount val="15"/>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pt idx="12">
                  <c:v>0.46223962775211674</c:v>
                </c:pt>
                <c:pt idx="13">
                  <c:v>0.25820012020239663</c:v>
                </c:pt>
                <c:pt idx="14">
                  <c:v>0.36860394285081405</c:v>
                </c:pt>
              </c:numCache>
            </c:numRef>
          </c:val>
          <c:smooth val="0"/>
          <c:extLst>
            <c:ext xmlns:c16="http://schemas.microsoft.com/office/drawing/2014/chart" uri="{C3380CC4-5D6E-409C-BE32-E72D297353CC}">
              <c16:uniqueId val="{00000000-5F22-4692-B421-491DBA15EC04}"/>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'5.5.1'!$E$11</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('5.5.1'!$C$12:$C$15,'5.5.1'!$C$17,'5.5.1'!$C$19)</c:f>
              <c:strCache>
                <c:ptCount val="6"/>
                <c:pt idx="0">
                  <c:v>2002-2006</c:v>
                </c:pt>
                <c:pt idx="1">
                  <c:v>2006-2010</c:v>
                </c:pt>
                <c:pt idx="2">
                  <c:v>2010-2014 1/</c:v>
                </c:pt>
                <c:pt idx="3">
                  <c:v>2014-2018</c:v>
                </c:pt>
                <c:pt idx="4">
                  <c:v>2018-2022</c:v>
                </c:pt>
                <c:pt idx="5">
                  <c:v>2022 - 2026</c:v>
                </c:pt>
              </c:strCache>
            </c:strRef>
          </c:cat>
          <c:val>
            <c:numRef>
              <c:f>('5.5.1'!$E$12:$E$15,'5.5.1'!$E$17,'5.5.1'!$E$19)</c:f>
              <c:numCache>
                <c:formatCode>0.0</c:formatCode>
                <c:ptCount val="6"/>
                <c:pt idx="0">
                  <c:v>35.087719298245602</c:v>
                </c:pt>
                <c:pt idx="1">
                  <c:v>38.596491228070199</c:v>
                </c:pt>
                <c:pt idx="2">
                  <c:v>38.596491228070199</c:v>
                </c:pt>
                <c:pt idx="3">
                  <c:v>33.3333333333333</c:v>
                </c:pt>
                <c:pt idx="4">
                  <c:v>45.614035087719294</c:v>
                </c:pt>
                <c:pt idx="5">
                  <c:v>47.368421052631575</c:v>
                </c:pt>
              </c:numCache>
            </c:numRef>
          </c:val>
          <c:extLst>
            <c:ext xmlns:c16="http://schemas.microsoft.com/office/drawing/2014/chart" uri="{C3380CC4-5D6E-409C-BE32-E72D297353CC}">
              <c16:uniqueId val="{00000000-177E-4E88-97CC-B348014B3ECA}"/>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Período electoral</a:t>
                </a: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'5.5.2'!$C$32:$C$46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'5.5.2'!$D$32:$D$46</c:f>
              <c:numCache>
                <c:formatCode>0.0</c:formatCode>
                <c:ptCount val="15"/>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pt idx="12">
                  <c:v>45.988856022563112</c:v>
                </c:pt>
                <c:pt idx="13">
                  <c:v>44.312065759859088</c:v>
                </c:pt>
                <c:pt idx="14">
                  <c:v>49.11821220815456</c:v>
                </c:pt>
              </c:numCache>
            </c:numRef>
          </c:val>
          <c:smooth val="0"/>
          <c:extLst>
            <c:ext xmlns:c16="http://schemas.microsoft.com/office/drawing/2014/chart" uri="{C3380CC4-5D6E-409C-BE32-E72D297353CC}">
              <c16:uniqueId val="{00000000-55D3-4F7C-BC99-EF7AC0EF90C3}"/>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1040-4B93-995C-13C5430E6A57}"/>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Decisiones </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'1.a.2'!$E$11</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'1.a.2'!$E$16:$E$29</c:f>
              <c:numCache>
                <c:formatCode>###\ ###\ ###\ ###.00</c:formatCode>
                <c:ptCount val="14"/>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pt idx="11">
                  <c:v>14.52</c:v>
                </c:pt>
                <c:pt idx="12">
                  <c:v>14.63</c:v>
                </c:pt>
                <c:pt idx="13">
                  <c:v>13.36</c:v>
                </c:pt>
              </c:numCache>
            </c:numRef>
          </c:val>
          <c:extLst>
            <c:ext xmlns:c16="http://schemas.microsoft.com/office/drawing/2014/chart" uri="{C3380CC4-5D6E-409C-BE32-E72D297353CC}">
              <c16:uniqueId val="{00000000-3760-4309-B0F7-6C324B18C451}"/>
            </c:ext>
          </c:extLst>
        </c:ser>
        <c:ser>
          <c:idx val="1"/>
          <c:order val="1"/>
          <c:tx>
            <c:strRef>
              <c:f>'1.a.2'!$F$11</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'1.a.2'!$F$16:$F$29</c:f>
              <c:numCache>
                <c:formatCode>###\ ###\ ###\ ###.00</c:formatCode>
                <c:ptCount val="14"/>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pt idx="11">
                  <c:v>13.96</c:v>
                </c:pt>
                <c:pt idx="12">
                  <c:v>13.77</c:v>
                </c:pt>
                <c:pt idx="13">
                  <c:v>12.73</c:v>
                </c:pt>
              </c:numCache>
            </c:numRef>
          </c:val>
          <c:extLst>
            <c:ext xmlns:c16="http://schemas.microsoft.com/office/drawing/2014/chart" uri="{C3380CC4-5D6E-409C-BE32-E72D297353CC}">
              <c16:uniqueId val="{00000001-3760-4309-B0F7-6C324B18C451}"/>
            </c:ext>
          </c:extLst>
        </c:ser>
        <c:ser>
          <c:idx val="2"/>
          <c:order val="2"/>
          <c:tx>
            <c:strRef>
              <c:f>'1.a.2'!$G$11</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'1.a.2'!$G$16:$G$29</c:f>
              <c:numCache>
                <c:formatCode>0.00</c:formatCode>
                <c:ptCount val="14"/>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pt idx="11">
                  <c:v>17.12</c:v>
                </c:pt>
                <c:pt idx="12">
                  <c:v>17.010000000000002</c:v>
                </c:pt>
                <c:pt idx="13">
                  <c:v>16.329999999999998</c:v>
                </c:pt>
              </c:numCache>
            </c:numRef>
          </c:val>
          <c:extLst>
            <c:ext xmlns:c16="http://schemas.microsoft.com/office/drawing/2014/chart" uri="{C3380CC4-5D6E-409C-BE32-E72D297353CC}">
              <c16:uniqueId val="{00000002-3760-4309-B0F7-6C324B18C451}"/>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'5.b.1'!$D$12</c:f>
              <c:strCache>
                <c:ptCount val="1"/>
                <c:pt idx="0">
                  <c:v>Total</c:v>
                </c:pt>
              </c:strCache>
            </c:strRef>
          </c:tx>
          <c:spPr>
            <a:solidFill>
              <a:srgbClr val="FF3A21"/>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'5.b.1'!$D$13:$D$22</c:f>
              <c:numCache>
                <c:formatCode>###0.0</c:formatCode>
                <c:ptCount val="10"/>
                <c:pt idx="0">
                  <c:v>86.019366966697135</c:v>
                </c:pt>
                <c:pt idx="1">
                  <c:v>87.212464538342843</c:v>
                </c:pt>
                <c:pt idx="2">
                  <c:v>88.080804336267178</c:v>
                </c:pt>
                <c:pt idx="3">
                  <c:v>87.781662864251658</c:v>
                </c:pt>
                <c:pt idx="4">
                  <c:v>87.57989057005949</c:v>
                </c:pt>
                <c:pt idx="5">
                  <c:v>89.573997499363301</c:v>
                </c:pt>
                <c:pt idx="6">
                  <c:v>90.285130896499027</c:v>
                </c:pt>
                <c:pt idx="7">
                  <c:v>90.410161687719167</c:v>
                </c:pt>
                <c:pt idx="8">
                  <c:v>88.669249504876433</c:v>
                </c:pt>
                <c:pt idx="9">
                  <c:v>91.972899006484624</c:v>
                </c:pt>
              </c:numCache>
            </c:numRef>
          </c:val>
          <c:extLst>
            <c:ext xmlns:c16="http://schemas.microsoft.com/office/drawing/2014/chart" uri="{C3380CC4-5D6E-409C-BE32-E72D297353CC}">
              <c16:uniqueId val="{00000000-5132-45C3-AB72-24F5C576283F}"/>
            </c:ext>
          </c:extLst>
        </c:ser>
        <c:ser>
          <c:idx val="2"/>
          <c:order val="1"/>
          <c:tx>
            <c:strRef>
              <c:f>'5.b.1'!$E$12</c:f>
              <c:strCache>
                <c:ptCount val="1"/>
                <c:pt idx="0">
                  <c:v>Hombre</c:v>
                </c:pt>
              </c:strCache>
            </c:strRef>
          </c:tx>
          <c:spPr>
            <a:solidFill>
              <a:schemeClr val="accent3"/>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'5.b.1'!$E$13:$E$22</c:f>
              <c:numCache>
                <c:formatCode>###0.0</c:formatCode>
                <c:ptCount val="10"/>
                <c:pt idx="0">
                  <c:v>85.79635481996111</c:v>
                </c:pt>
                <c:pt idx="1">
                  <c:v>87.333827370247533</c:v>
                </c:pt>
                <c:pt idx="2">
                  <c:v>88.268859217340761</c:v>
                </c:pt>
                <c:pt idx="3">
                  <c:v>87.632868288841465</c:v>
                </c:pt>
                <c:pt idx="4">
                  <c:v>87.273896000955517</c:v>
                </c:pt>
                <c:pt idx="5">
                  <c:v>89.720496484659463</c:v>
                </c:pt>
                <c:pt idx="6">
                  <c:v>90.271466729548592</c:v>
                </c:pt>
                <c:pt idx="7">
                  <c:v>90.12754532920107</c:v>
                </c:pt>
                <c:pt idx="8">
                  <c:v>88.314328139346387</c:v>
                </c:pt>
                <c:pt idx="9">
                  <c:v>91.737088074111867</c:v>
                </c:pt>
              </c:numCache>
            </c:numRef>
          </c:val>
          <c:extLst>
            <c:ext xmlns:c16="http://schemas.microsoft.com/office/drawing/2014/chart" uri="{C3380CC4-5D6E-409C-BE32-E72D297353CC}">
              <c16:uniqueId val="{00000001-5132-45C3-AB72-24F5C576283F}"/>
            </c:ext>
          </c:extLst>
        </c:ser>
        <c:ser>
          <c:idx val="3"/>
          <c:order val="2"/>
          <c:tx>
            <c:strRef>
              <c:f>'5.b.1'!$F$12</c:f>
              <c:strCache>
                <c:ptCount val="1"/>
                <c:pt idx="0">
                  <c:v>Mujer</c:v>
                </c:pt>
              </c:strCache>
            </c:strRef>
          </c:tx>
          <c:spPr>
            <a:solidFill>
              <a:schemeClr val="bg2">
                <a:lumMod val="50000"/>
              </a:schemeClr>
            </a:solidFill>
            <a:ln>
              <a:noFill/>
            </a:ln>
            <a:effectLst/>
          </c:spPr>
          <c:invertIfNegative val="0"/>
          <c:dLbls>
            <c:delete val="1"/>
          </c:dLbls>
          <c:cat>
            <c:numRef>
              <c:f>'5.b.1'!$C$13:$C$22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'5.b.1'!$F$13:$F$22</c:f>
              <c:numCache>
                <c:formatCode>###0.0</c:formatCode>
                <c:ptCount val="10"/>
                <c:pt idx="0">
                  <c:v>86.229343175185718</c:v>
                </c:pt>
                <c:pt idx="1">
                  <c:v>87.098240732983271</c:v>
                </c:pt>
                <c:pt idx="2">
                  <c:v>87.903442637917848</c:v>
                </c:pt>
                <c:pt idx="3">
                  <c:v>87.921693036107328</c:v>
                </c:pt>
                <c:pt idx="4">
                  <c:v>87.865808745198535</c:v>
                </c:pt>
                <c:pt idx="5">
                  <c:v>89.436512548904474</c:v>
                </c:pt>
                <c:pt idx="6">
                  <c:v>90.297778029007631</c:v>
                </c:pt>
                <c:pt idx="7">
                  <c:v>90.666061034672424</c:v>
                </c:pt>
                <c:pt idx="8">
                  <c:v>88.988022866809146</c:v>
                </c:pt>
                <c:pt idx="9">
                  <c:v>92.186616148440706</c:v>
                </c:pt>
              </c:numCache>
            </c:numRef>
          </c:val>
          <c:extLst>
            <c:ext xmlns:c16="http://schemas.microsoft.com/office/drawing/2014/chart" uri="{C3380CC4-5D6E-409C-BE32-E72D297353CC}">
              <c16:uniqueId val="{00000002-5132-45C3-AB72-24F5C576283F}"/>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'6.1.1'!$E$14:$E$28</c:f>
              <c:numCache>
                <c:formatCode>0.00</c:formatCode>
                <c:ptCount val="15"/>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pt idx="12">
                  <c:v>94.529968466360287</c:v>
                </c:pt>
                <c:pt idx="13">
                  <c:v>94.929770938108675</c:v>
                </c:pt>
                <c:pt idx="14">
                  <c:v>94.093312098732227</c:v>
                </c:pt>
              </c:numCache>
            </c:numRef>
          </c:val>
          <c:smooth val="0"/>
          <c:extLst>
            <c:ext xmlns:c16="http://schemas.microsoft.com/office/drawing/2014/chart" uri="{C3380CC4-5D6E-409C-BE32-E72D297353CC}">
              <c16:uniqueId val="{00000000-E0D3-44A0-B365-9C762A5FB218}"/>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'6.1.1'!$M$14:$M$28</c:f>
              <c:numCache>
                <c:formatCode>0.00</c:formatCode>
                <c:ptCount val="15"/>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pt idx="12">
                  <c:v>97.946326333667372</c:v>
                </c:pt>
                <c:pt idx="13">
                  <c:v>97.691583940791674</c:v>
                </c:pt>
                <c:pt idx="14">
                  <c:v>98.012654502725198</c:v>
                </c:pt>
              </c:numCache>
            </c:numRef>
          </c:val>
          <c:smooth val="0"/>
          <c:extLst>
            <c:ext xmlns:c16="http://schemas.microsoft.com/office/drawing/2014/chart" uri="{C3380CC4-5D6E-409C-BE32-E72D297353CC}">
              <c16:uniqueId val="{00000001-E0D3-44A0-B365-9C762A5FB218}"/>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'6.1.1'!$O$14:$O$28</c:f>
              <c:numCache>
                <c:formatCode>0.00</c:formatCode>
                <c:ptCount val="15"/>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pt idx="12">
                  <c:v>85.546454840068364</c:v>
                </c:pt>
                <c:pt idx="13">
                  <c:v>87.680234889203334</c:v>
                </c:pt>
                <c:pt idx="14">
                  <c:v>83.825385961946424</c:v>
                </c:pt>
              </c:numCache>
            </c:numRef>
          </c:val>
          <c:smooth val="0"/>
          <c:extLst>
            <c:ext xmlns:c16="http://schemas.microsoft.com/office/drawing/2014/chart" uri="{C3380CC4-5D6E-409C-BE32-E72D297353CC}">
              <c16:uniqueId val="{00000002-E0D3-44A0-B365-9C762A5FB218}"/>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'6.1.1'!$R$14:$R$28</c:f>
              <c:numCache>
                <c:formatCode>0.00</c:formatCode>
                <c:ptCount val="15"/>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pt idx="12">
                  <c:v>97.694832097180139</c:v>
                </c:pt>
                <c:pt idx="13">
                  <c:v>97.033401464322566</c:v>
                </c:pt>
                <c:pt idx="14">
                  <c:v>97.827217860892588</c:v>
                </c:pt>
              </c:numCache>
            </c:numRef>
          </c:val>
          <c:smooth val="0"/>
          <c:extLst>
            <c:ext xmlns:c16="http://schemas.microsoft.com/office/drawing/2014/chart" uri="{C3380CC4-5D6E-409C-BE32-E72D297353CC}">
              <c16:uniqueId val="{00000000-BACC-4AC6-8B46-06D3CCD6BAD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'6.1.1'!$T$14:$T$28</c:f>
              <c:numCache>
                <c:formatCode>0.00</c:formatCode>
                <c:ptCount val="15"/>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pt idx="12">
                  <c:v>88.350286587790194</c:v>
                </c:pt>
                <c:pt idx="13">
                  <c:v>91.367740078401908</c:v>
                </c:pt>
                <c:pt idx="14">
                  <c:v>89.47849954254346</c:v>
                </c:pt>
              </c:numCache>
            </c:numRef>
          </c:val>
          <c:smooth val="0"/>
          <c:extLst>
            <c:ext xmlns:c16="http://schemas.microsoft.com/office/drawing/2014/chart" uri="{C3380CC4-5D6E-409C-BE32-E72D297353CC}">
              <c16:uniqueId val="{00000001-BACC-4AC6-8B46-06D3CCD6BAD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'6.1.1'!$V$14:$V$28</c:f>
              <c:numCache>
                <c:formatCode>0.00</c:formatCode>
                <c:ptCount val="15"/>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pt idx="12">
                  <c:v>90.528101163547518</c:v>
                </c:pt>
                <c:pt idx="13">
                  <c:v>93.739621125615614</c:v>
                </c:pt>
                <c:pt idx="14">
                  <c:v>94.134535865308095</c:v>
                </c:pt>
              </c:numCache>
            </c:numRef>
          </c:val>
          <c:smooth val="0"/>
          <c:extLst>
            <c:ext xmlns:c16="http://schemas.microsoft.com/office/drawing/2014/chart" uri="{C3380CC4-5D6E-409C-BE32-E72D297353CC}">
              <c16:uniqueId val="{00000002-BACC-4AC6-8B46-06D3CCD6BAD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'6.1.1'!$X$14:$X$28</c:f>
              <c:numCache>
                <c:formatCode>0.00</c:formatCode>
                <c:ptCount val="15"/>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pt idx="12">
                  <c:v>91.32016576360482</c:v>
                </c:pt>
                <c:pt idx="13">
                  <c:v>91.025869806662286</c:v>
                </c:pt>
                <c:pt idx="14">
                  <c:v>80.231935251188048</c:v>
                </c:pt>
              </c:numCache>
            </c:numRef>
          </c:val>
          <c:smooth val="0"/>
          <c:extLst>
            <c:ext xmlns:c16="http://schemas.microsoft.com/office/drawing/2014/chart" uri="{C3380CC4-5D6E-409C-BE32-E72D297353CC}">
              <c16:uniqueId val="{00000003-BACC-4AC6-8B46-06D3CCD6BAD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'6.1.1'!$Z$14:$Z$28</c:f>
              <c:numCache>
                <c:formatCode>0.00</c:formatCode>
                <c:ptCount val="15"/>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pt idx="12">
                  <c:v>84.872289843844769</c:v>
                </c:pt>
                <c:pt idx="13">
                  <c:v>86.869958934400344</c:v>
                </c:pt>
                <c:pt idx="14">
                  <c:v>88.845933293714097</c:v>
                </c:pt>
              </c:numCache>
            </c:numRef>
          </c:val>
          <c:smooth val="0"/>
          <c:extLst>
            <c:ext xmlns:c16="http://schemas.microsoft.com/office/drawing/2014/chart" uri="{C3380CC4-5D6E-409C-BE32-E72D297353CC}">
              <c16:uniqueId val="{00000004-BACC-4AC6-8B46-06D3CCD6BADC}"/>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'6.1.1'!$AB$14:$AB$28</c:f>
              <c:numCache>
                <c:formatCode>0.00</c:formatCode>
                <c:ptCount val="15"/>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pt idx="12">
                  <c:v>92.946493958257051</c:v>
                </c:pt>
                <c:pt idx="13">
                  <c:v>95.631336529898078</c:v>
                </c:pt>
                <c:pt idx="14">
                  <c:v>88.454302800660429</c:v>
                </c:pt>
              </c:numCache>
            </c:numRef>
          </c:val>
          <c:smooth val="0"/>
          <c:extLst>
            <c:ext xmlns:c16="http://schemas.microsoft.com/office/drawing/2014/chart" uri="{C3380CC4-5D6E-409C-BE32-E72D297353CC}">
              <c16:uniqueId val="{00000005-BACC-4AC6-8B46-06D3CCD6BADC}"/>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'6.2.1.a'!$D$11:$D$12</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72-4017-B809-A633F5C9C054}"/>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72-4017-B809-A633F5C9C05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'6.2.1.a'!$D$13:$D$27</c:f>
              <c:numCache>
                <c:formatCode>0.00</c:formatCode>
                <c:ptCount val="15"/>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pt idx="12">
                  <c:v>98.770686758173042</c:v>
                </c:pt>
                <c:pt idx="13">
                  <c:v>99.102616511711744</c:v>
                </c:pt>
                <c:pt idx="14">
                  <c:v>99.069639736800923</c:v>
                </c:pt>
              </c:numCache>
            </c:numRef>
          </c:val>
          <c:smooth val="0"/>
          <c:extLst>
            <c:ext xmlns:c16="http://schemas.microsoft.com/office/drawing/2014/chart" uri="{C3380CC4-5D6E-409C-BE32-E72D297353CC}">
              <c16:uniqueId val="{00000002-4972-4017-B809-A633F5C9C054}"/>
            </c:ext>
          </c:extLst>
        </c:ser>
        <c:ser>
          <c:idx val="1"/>
          <c:order val="1"/>
          <c:tx>
            <c:strRef>
              <c:f>'6.2.1.a'!$F$12</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'6.2.1.a'!$F$13:$F$27</c:f>
              <c:numCache>
                <c:formatCode>0.00</c:formatCode>
                <c:ptCount val="15"/>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pt idx="12">
                  <c:v>99.286989834753527</c:v>
                </c:pt>
                <c:pt idx="13">
                  <c:v>99.453372788053358</c:v>
                </c:pt>
                <c:pt idx="14">
                  <c:v>99.351923141472369</c:v>
                </c:pt>
              </c:numCache>
            </c:numRef>
          </c:val>
          <c:smooth val="0"/>
          <c:extLst>
            <c:ext xmlns:c16="http://schemas.microsoft.com/office/drawing/2014/chart" uri="{C3380CC4-5D6E-409C-BE32-E72D297353CC}">
              <c16:uniqueId val="{00000003-4972-4017-B809-A633F5C9C054}"/>
            </c:ext>
          </c:extLst>
        </c:ser>
        <c:ser>
          <c:idx val="2"/>
          <c:order val="2"/>
          <c:tx>
            <c:strRef>
              <c:f>'6.2.1.a'!$G$12</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'6.2.1.a'!$G$13:$G$27</c:f>
              <c:numCache>
                <c:formatCode>0.00</c:formatCode>
                <c:ptCount val="15"/>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pt idx="12">
                  <c:v>97.413037500130542</c:v>
                </c:pt>
                <c:pt idx="13">
                  <c:v>98.181909618360152</c:v>
                </c:pt>
                <c:pt idx="14">
                  <c:v>98.330111303190762</c:v>
                </c:pt>
              </c:numCache>
            </c:numRef>
          </c:val>
          <c:smooth val="0"/>
          <c:extLst>
            <c:ext xmlns:c16="http://schemas.microsoft.com/office/drawing/2014/chart" uri="{C3380CC4-5D6E-409C-BE32-E72D297353CC}">
              <c16:uniqueId val="{00000004-4972-4017-B809-A633F5C9C054}"/>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'6.3.1'!$B$50</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60E-4955-81E4-0F611B696CDB}"/>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60E-4955-81E4-0F611B696CDB}"/>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60E-4955-81E4-0F611B696CDB}"/>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60E-4955-81E4-0F611B696CDB}"/>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60E-4955-81E4-0F611B696CDB}"/>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'6.3.1'!$B$51:$B$57</c:f>
              <c:numCache>
                <c:formatCode>0.0</c:formatCode>
                <c:ptCount val="7"/>
                <c:pt idx="0">
                  <c:v>3.93</c:v>
                </c:pt>
                <c:pt idx="1">
                  <c:v>5.25</c:v>
                </c:pt>
                <c:pt idx="2">
                  <c:v>6.048929224563742</c:v>
                </c:pt>
                <c:pt idx="3">
                  <c:v>4.3546211503239807</c:v>
                </c:pt>
                <c:pt idx="4">
                  <c:v>4.51</c:v>
                </c:pt>
                <c:pt idx="5">
                  <c:v>4.96</c:v>
                </c:pt>
                <c:pt idx="6">
                  <c:v>4.6975746730100534</c:v>
                </c:pt>
              </c:numCache>
            </c:numRef>
          </c:val>
          <c:extLst>
            <c:ext xmlns:c16="http://schemas.microsoft.com/office/drawing/2014/chart" uri="{C3380CC4-5D6E-409C-BE32-E72D297353CC}">
              <c16:uniqueId val="{0000000A-860E-4955-81E4-0F611B696CDB}"/>
            </c:ext>
          </c:extLst>
        </c:ser>
        <c:ser>
          <c:idx val="1"/>
          <c:order val="1"/>
          <c:tx>
            <c:strRef>
              <c:f>'6.3.1'!$C$50</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'6.3.1'!$C$51:$C$57</c:f>
              <c:numCache>
                <c:formatCode>0.0</c:formatCode>
                <c:ptCount val="7"/>
                <c:pt idx="0">
                  <c:v>28.11</c:v>
                </c:pt>
                <c:pt idx="1">
                  <c:v>26.61</c:v>
                </c:pt>
                <c:pt idx="2">
                  <c:v>26.016510280469671</c:v>
                </c:pt>
                <c:pt idx="3">
                  <c:v>23.16038970033706</c:v>
                </c:pt>
                <c:pt idx="4">
                  <c:v>22.52</c:v>
                </c:pt>
                <c:pt idx="5">
                  <c:v>22.24</c:v>
                </c:pt>
                <c:pt idx="6">
                  <c:v>21.376922293512575</c:v>
                </c:pt>
              </c:numCache>
            </c:numRef>
          </c:val>
          <c:extLst>
            <c:ext xmlns:c16="http://schemas.microsoft.com/office/drawing/2014/chart" uri="{C3380CC4-5D6E-409C-BE32-E72D297353CC}">
              <c16:uniqueId val="{0000000B-860E-4955-81E4-0F611B696CDB}"/>
            </c:ext>
          </c:extLst>
        </c:ser>
        <c:ser>
          <c:idx val="2"/>
          <c:order val="2"/>
          <c:tx>
            <c:strRef>
              <c:f>'6.3.1'!$D$50</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'6.3.1'!$D$51:$D$57</c:f>
              <c:numCache>
                <c:formatCode>0.0</c:formatCode>
                <c:ptCount val="7"/>
                <c:pt idx="0">
                  <c:v>6.47</c:v>
                </c:pt>
                <c:pt idx="1">
                  <c:v>9.1999999999999993</c:v>
                </c:pt>
                <c:pt idx="2">
                  <c:v>8.2335640670666042</c:v>
                </c:pt>
                <c:pt idx="3">
                  <c:v>6.4473304295630482</c:v>
                </c:pt>
                <c:pt idx="4">
                  <c:v>6.4268759582833637</c:v>
                </c:pt>
                <c:pt idx="5">
                  <c:v>6.64</c:v>
                </c:pt>
                <c:pt idx="6">
                  <c:v>18.833457000276432</c:v>
                </c:pt>
              </c:numCache>
            </c:numRef>
          </c:val>
          <c:extLst>
            <c:ext xmlns:c16="http://schemas.microsoft.com/office/drawing/2014/chart" uri="{C3380CC4-5D6E-409C-BE32-E72D297353CC}">
              <c16:uniqueId val="{0000000C-860E-4955-81E4-0F611B696CDB}"/>
            </c:ext>
          </c:extLst>
        </c:ser>
        <c:ser>
          <c:idx val="3"/>
          <c:order val="3"/>
          <c:tx>
            <c:strRef>
              <c:f>'6.3.1'!$E$50</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'6.3.1'!$E$51:$E$57</c:f>
              <c:numCache>
                <c:formatCode>0.0</c:formatCode>
                <c:ptCount val="7"/>
                <c:pt idx="0">
                  <c:v>7.75</c:v>
                </c:pt>
                <c:pt idx="1">
                  <c:v>17.64</c:v>
                </c:pt>
                <c:pt idx="2">
                  <c:v>15.851701447640535</c:v>
                </c:pt>
                <c:pt idx="3">
                  <c:v>12.257694734735967</c:v>
                </c:pt>
                <c:pt idx="4">
                  <c:v>12.45</c:v>
                </c:pt>
                <c:pt idx="5">
                  <c:v>12.68</c:v>
                </c:pt>
                <c:pt idx="6">
                  <c:v>19.656083686147849</c:v>
                </c:pt>
              </c:numCache>
            </c:numRef>
          </c:val>
          <c:extLst>
            <c:ext xmlns:c16="http://schemas.microsoft.com/office/drawing/2014/chart" uri="{C3380CC4-5D6E-409C-BE32-E72D297353CC}">
              <c16:uniqueId val="{0000000D-860E-4955-81E4-0F611B696CDB}"/>
            </c:ext>
          </c:extLst>
        </c:ser>
        <c:ser>
          <c:idx val="4"/>
          <c:order val="4"/>
          <c:tx>
            <c:strRef>
              <c:f>'6.3.1'!$F$50</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'6.3.1'!$A$51:$A$57</c:f>
              <c:numCache>
                <c:formatCode>General</c:formatCode>
                <c:ptCount val="7"/>
                <c:pt idx="0">
                  <c:v>2016</c:v>
                </c:pt>
                <c:pt idx="1">
                  <c:v>2017</c:v>
                </c:pt>
                <c:pt idx="2">
                  <c:v>2018</c:v>
                </c:pt>
                <c:pt idx="3">
                  <c:v>2019</c:v>
                </c:pt>
                <c:pt idx="4">
                  <c:v>2020</c:v>
                </c:pt>
                <c:pt idx="5">
                  <c:v>2021</c:v>
                </c:pt>
                <c:pt idx="6">
                  <c:v>2022</c:v>
                </c:pt>
              </c:numCache>
            </c:numRef>
          </c:cat>
          <c:val>
            <c:numRef>
              <c:f>'6.3.1'!$F$51:$F$57</c:f>
              <c:numCache>
                <c:formatCode>0.0</c:formatCode>
                <c:ptCount val="7"/>
                <c:pt idx="0">
                  <c:v>53.74</c:v>
                </c:pt>
                <c:pt idx="1">
                  <c:v>41.3</c:v>
                </c:pt>
                <c:pt idx="2">
                  <c:v>43.849294980259458</c:v>
                </c:pt>
                <c:pt idx="3">
                  <c:v>53.779963985039949</c:v>
                </c:pt>
                <c:pt idx="4">
                  <c:v>54.09</c:v>
                </c:pt>
                <c:pt idx="5">
                  <c:v>53.48</c:v>
                </c:pt>
                <c:pt idx="6">
                  <c:v>35.435962347053085</c:v>
                </c:pt>
              </c:numCache>
            </c:numRef>
          </c:val>
          <c:extLst>
            <c:ext xmlns:c16="http://schemas.microsoft.com/office/drawing/2014/chart" uri="{C3380CC4-5D6E-409C-BE32-E72D297353CC}">
              <c16:uniqueId val="{0000000E-860E-4955-81E4-0F611B696CD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'6.3.2'!$D$10:$E$10</c:f>
              <c:strCache>
                <c:ptCount val="1"/>
                <c:pt idx="0">
                  <c:v>2021</c:v>
                </c:pt>
              </c:strCache>
            </c:strRef>
          </c:tx>
          <c:spPr>
            <a:solidFill>
              <a:srgbClr val="00ACD8"/>
            </a:solidFill>
            <a:ln>
              <a:solidFill>
                <a:schemeClr val="bg2">
                  <a:lumMod val="75000"/>
                </a:schemeClr>
              </a:solidFill>
            </a:ln>
          </c:spPr>
          <c:invertIfNegative val="0"/>
          <c:dPt>
            <c:idx val="1"/>
            <c:invertIfNegative val="0"/>
            <c:bubble3D val="0"/>
            <c:extLst>
              <c:ext xmlns:c16="http://schemas.microsoft.com/office/drawing/2014/chart" uri="{C3380CC4-5D6E-409C-BE32-E72D297353CC}">
                <c16:uniqueId val="{00000000-F0A8-44A2-9A3B-D2F6C8B20498}"/>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'6.3.2'!$E$13:$E$14</c:f>
              <c:numCache>
                <c:formatCode>0%</c:formatCode>
                <c:ptCount val="2"/>
                <c:pt idx="0">
                  <c:v>0.69696969696969702</c:v>
                </c:pt>
                <c:pt idx="1">
                  <c:v>0.30303030303030304</c:v>
                </c:pt>
              </c:numCache>
            </c:numRef>
          </c:val>
          <c:extLst>
            <c:ext xmlns:c16="http://schemas.microsoft.com/office/drawing/2014/chart" uri="{C3380CC4-5D6E-409C-BE32-E72D297353CC}">
              <c16:uniqueId val="{00000001-F0A8-44A2-9A3B-D2F6C8B20498}"/>
            </c:ext>
          </c:extLst>
        </c:ser>
        <c:ser>
          <c:idx val="1"/>
          <c:order val="1"/>
          <c:tx>
            <c:strRef>
              <c:f>'6.3.2'!$F$10:$G$10</c:f>
              <c:strCache>
                <c:ptCount val="1"/>
                <c:pt idx="0">
                  <c:v>2022</c:v>
                </c:pt>
              </c:strCache>
            </c:strRef>
          </c:tx>
          <c:spPr>
            <a:solidFill>
              <a:srgbClr val="CCEAF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'6.3.2'!$G$13:$G$14</c:f>
              <c:numCache>
                <c:formatCode>0%</c:formatCode>
                <c:ptCount val="2"/>
                <c:pt idx="0">
                  <c:v>0.38775510204081631</c:v>
                </c:pt>
                <c:pt idx="1">
                  <c:v>0.61224489795918369</c:v>
                </c:pt>
              </c:numCache>
            </c:numRef>
          </c:val>
          <c:extLst>
            <c:ext xmlns:c16="http://schemas.microsoft.com/office/drawing/2014/chart" uri="{C3380CC4-5D6E-409C-BE32-E72D297353CC}">
              <c16:uniqueId val="{00000002-F0A8-44A2-9A3B-D2F6C8B20498}"/>
            </c:ext>
          </c:extLst>
        </c:ser>
        <c:ser>
          <c:idx val="2"/>
          <c:order val="2"/>
          <c:tx>
            <c:strRef>
              <c:f>'6.3.2'!$H$10:$I$10</c:f>
              <c:strCache>
                <c:ptCount val="1"/>
                <c:pt idx="0">
                  <c:v>2023</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('6.3.2'!$I$13,'6.3.2'!$I$14)</c:f>
              <c:numCache>
                <c:formatCode>0%</c:formatCode>
                <c:ptCount val="2"/>
                <c:pt idx="0">
                  <c:v>0.81208053691275173</c:v>
                </c:pt>
                <c:pt idx="1">
                  <c:v>0.18791946308724833</c:v>
                </c:pt>
              </c:numCache>
            </c:numRef>
          </c:val>
          <c:extLst>
            <c:ext xmlns:c16="http://schemas.microsoft.com/office/drawing/2014/chart" uri="{C3380CC4-5D6E-409C-BE32-E72D297353CC}">
              <c16:uniqueId val="{00000003-F0A8-44A2-9A3B-D2F6C8B20498}"/>
            </c:ext>
          </c:extLst>
        </c:ser>
        <c:dLbls>
          <c:showLegendKey val="0"/>
          <c:showVal val="0"/>
          <c:showCatName val="0"/>
          <c:showSerName val="0"/>
          <c:showPercent val="0"/>
          <c:showBubbleSize val="0"/>
        </c:dLbls>
        <c:gapWidth val="100"/>
        <c:axId val="1428633183"/>
        <c:axId val="1428631519"/>
      </c:barChart>
      <c:catAx>
        <c:axId val="1428633183"/>
        <c:scaling>
          <c:orientation val="minMax"/>
        </c:scaling>
        <c:delete val="0"/>
        <c:axPos val="b"/>
        <c:numFmt formatCode="General" sourceLinked="1"/>
        <c:majorTickMark val="out"/>
        <c:minorTickMark val="none"/>
        <c:tickLblPos val="nextTo"/>
        <c:crossAx val="1428631519"/>
        <c:crosses val="autoZero"/>
        <c:auto val="1"/>
        <c:lblAlgn val="ctr"/>
        <c:lblOffset val="100"/>
        <c:noMultiLvlLbl val="0"/>
      </c:catAx>
      <c:valAx>
        <c:axId val="1428631519"/>
        <c:scaling>
          <c:orientation val="minMax"/>
        </c:scaling>
        <c:delete val="0"/>
        <c:axPos val="l"/>
        <c:majorGridlines/>
        <c:numFmt formatCode="0%" sourceLinked="1"/>
        <c:majorTickMark val="out"/>
        <c:minorTickMark val="none"/>
        <c:tickLblPos val="nextTo"/>
        <c:crossAx val="1428633183"/>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098796197672781"/>
          <c:y val="9.9923423433737737E-2"/>
          <c:w val="0.62393778010008238"/>
          <c:h val="0.71916747072850928"/>
        </c:manualLayout>
      </c:layout>
      <c:lineChart>
        <c:grouping val="standard"/>
        <c:varyColors val="0"/>
        <c:ser>
          <c:idx val="1"/>
          <c:order val="1"/>
          <c:tx>
            <c:strRef>
              <c:f>'6.4.1'!$J$12:$M$12</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'6.4.1'!$C$15:$C$26</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f>'6.4.1'!$M$15:$M$26</c:f>
              <c:numCache>
                <c:formatCode>#,##0</c:formatCode>
                <c:ptCount val="12"/>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pt idx="8">
                  <c:v>28760.84433945244</c:v>
                </c:pt>
                <c:pt idx="9">
                  <c:v>30866.527930970002</c:v>
                </c:pt>
                <c:pt idx="10">
                  <c:v>25090.111630908279</c:v>
                </c:pt>
                <c:pt idx="11">
                  <c:v>27893.144487237572</c:v>
                </c:pt>
              </c:numCache>
            </c:numRef>
          </c:val>
          <c:smooth val="0"/>
          <c:extLst>
            <c:ext xmlns:c16="http://schemas.microsoft.com/office/drawing/2014/chart" uri="{C3380CC4-5D6E-409C-BE32-E72D297353CC}">
              <c16:uniqueId val="{00000000-3E56-44F8-9E72-769327357C14}"/>
            </c:ext>
          </c:extLst>
        </c:ser>
        <c:ser>
          <c:idx val="2"/>
          <c:order val="2"/>
          <c:tx>
            <c:strRef>
              <c:f>'6.4.1'!$O$12:$R$12</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'6.4.1'!$C$15:$C$26</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strCache>
            </c:strRef>
          </c:cat>
          <c:val>
            <c:numRef>
              <c:f>'6.4.1'!$R$15:$R$26</c:f>
              <c:numCache>
                <c:formatCode>_-* #\ ##0_-;\-* #\ ##0_-;_-* "-"??_-;_-@_-</c:formatCode>
                <c:ptCount val="12"/>
                <c:pt idx="0">
                  <c:v>382706.16692906054</c:v>
                </c:pt>
                <c:pt idx="1">
                  <c:v>394170.85806686978</c:v>
                </c:pt>
                <c:pt idx="2">
                  <c:v>406744.17540811078</c:v>
                </c:pt>
                <c:pt idx="3">
                  <c:v>416901.38178610074</c:v>
                </c:pt>
                <c:pt idx="4">
                  <c:v>300911.78838716837</c:v>
                </c:pt>
                <c:pt idx="5">
                  <c:v>288000.37544145086</c:v>
                </c:pt>
                <c:pt idx="6">
                  <c:v>293041.06638735643</c:v>
                </c:pt>
                <c:pt idx="7">
                  <c:v>290678.55040729814</c:v>
                </c:pt>
                <c:pt idx="8">
                  <c:v>293064.16247621342</c:v>
                </c:pt>
                <c:pt idx="9">
                  <c:v>293784.33440867235</c:v>
                </c:pt>
                <c:pt idx="10">
                  <c:v>329211.0313147803</c:v>
                </c:pt>
                <c:pt idx="11">
                  <c:v>377967.00263758056</c:v>
                </c:pt>
              </c:numCache>
            </c:numRef>
          </c:val>
          <c:smooth val="0"/>
          <c:extLst>
            <c:ext xmlns:c16="http://schemas.microsoft.com/office/drawing/2014/chart" uri="{C3380CC4-5D6E-409C-BE32-E72D297353CC}">
              <c16:uniqueId val="{00000001-3E56-44F8-9E72-769327357C14}"/>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'6.4.1'!$D$12:$H$12</c:f>
              <c:strCache>
                <c:ptCount val="1"/>
                <c:pt idx="0">
                  <c:v>Agricultura</c:v>
                </c:pt>
              </c:strCache>
            </c:strRef>
          </c:tx>
          <c:spPr>
            <a:ln>
              <a:solidFill>
                <a:srgbClr val="26BDE2"/>
              </a:solidFill>
            </a:ln>
          </c:spPr>
          <c:marker>
            <c:spPr>
              <a:solidFill>
                <a:srgbClr val="26BDE2"/>
              </a:solidFill>
              <a:ln>
                <a:solidFill>
                  <a:srgbClr val="26BDE2"/>
                </a:solidFill>
              </a:ln>
            </c:spPr>
          </c:marker>
          <c:val>
            <c:numRef>
              <c:f>'6.4.1'!$H$15:$H$26</c:f>
              <c:numCache>
                <c:formatCode>#\ ##0.0</c:formatCode>
                <c:ptCount val="12"/>
                <c:pt idx="0">
                  <c:v>386.97487257309575</c:v>
                </c:pt>
                <c:pt idx="1">
                  <c:v>357.50621654438578</c:v>
                </c:pt>
                <c:pt idx="2">
                  <c:v>322.02857512224296</c:v>
                </c:pt>
                <c:pt idx="3">
                  <c:v>265.85646602797539</c:v>
                </c:pt>
                <c:pt idx="4">
                  <c:v>304.68965517921163</c:v>
                </c:pt>
                <c:pt idx="5">
                  <c:v>320.92368272983231</c:v>
                </c:pt>
                <c:pt idx="6">
                  <c:v>317.52304641575063</c:v>
                </c:pt>
                <c:pt idx="7">
                  <c:v>269.00735179512264</c:v>
                </c:pt>
                <c:pt idx="8">
                  <c:v>263.93622554951259</c:v>
                </c:pt>
                <c:pt idx="9">
                  <c:v>278.31689923302042</c:v>
                </c:pt>
                <c:pt idx="10">
                  <c:v>271.66779121020238</c:v>
                </c:pt>
                <c:pt idx="11">
                  <c:v>231.6803185545503</c:v>
                </c:pt>
              </c:numCache>
            </c:numRef>
          </c:val>
          <c:smooth val="0"/>
          <c:extLst>
            <c:ext xmlns:c16="http://schemas.microsoft.com/office/drawing/2014/chart" uri="{C3380CC4-5D6E-409C-BE32-E72D297353CC}">
              <c16:uniqueId val="{00000002-3E56-44F8-9E72-769327357C14}"/>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2375958788024953"/>
              <c:y val="0.91379431785361775"/>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09996886180509E-2"/>
          <c:y val="0.11517654067521464"/>
          <c:w val="0.88635703106084518"/>
          <c:h val="0.79195201682822136"/>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'6.4.1'!$C$53:$C$64</c:f>
              <c:strCache>
                <c:ptCount val="12"/>
                <c:pt idx="0">
                  <c:v>Periodo</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'6.4.1'!$E$53:$E$64</c:f>
              <c:numCache>
                <c:formatCode>0.00%</c:formatCode>
                <c:ptCount val="12"/>
                <c:pt idx="1">
                  <c:v>-8.4234002266365002E-2</c:v>
                </c:pt>
                <c:pt idx="2">
                  <c:v>-9.9898550425759139E-2</c:v>
                </c:pt>
                <c:pt idx="3">
                  <c:v>-0.13356891648111138</c:v>
                </c:pt>
                <c:pt idx="4">
                  <c:v>8.8650463783324557E-2</c:v>
                </c:pt>
                <c:pt idx="5">
                  <c:v>5.2570218272822225E-2</c:v>
                </c:pt>
                <c:pt idx="6">
                  <c:v>1.4664659871627985E-2</c:v>
                </c:pt>
                <c:pt idx="7">
                  <c:v>-0.10052113550917945</c:v>
                </c:pt>
                <c:pt idx="8">
                  <c:v>-4.7960888049741371E-2</c:v>
                </c:pt>
                <c:pt idx="9">
                  <c:v>9.702896219890475E-2</c:v>
                </c:pt>
                <c:pt idx="10">
                  <c:v>1.5966436102722577E-2</c:v>
                </c:pt>
                <c:pt idx="11">
                  <c:v>-9.6945446248343142E-2</c:v>
                </c:pt>
              </c:numCache>
            </c:numRef>
          </c:val>
          <c:extLst>
            <c:ext xmlns:c16="http://schemas.microsoft.com/office/drawing/2014/chart" uri="{C3380CC4-5D6E-409C-BE32-E72D297353CC}">
              <c16:uniqueId val="{00000000-382E-45A1-8ABC-9600B084CE56}"/>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vert="horz"/>
              <a:lstStyle/>
              <a:p>
                <a:pPr>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322F-4B48-955E-9110922CCF1C}"/>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322F-4B48-955E-9110922CC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2F-4B48-955E-9110922CCF1C}"/>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Agricultura</c:v>
              </c:pt>
              <c:pt idx="1">
                <c:v>Manufactura y construcción</c:v>
              </c:pt>
              <c:pt idx="2">
                <c:v>Servicios</c:v>
              </c:pt>
            </c:strLit>
          </c:cat>
          <c:val>
            <c:numRef>
              <c:f>('6.4.1'!$G$26,'6.4.1'!$L$26,'6.4.1'!$Q$26)</c:f>
              <c:numCache>
                <c:formatCode>0%</c:formatCode>
                <c:ptCount val="3"/>
                <c:pt idx="0">
                  <c:v>0.84140358498409229</c:v>
                </c:pt>
                <c:pt idx="1">
                  <c:v>0.12743471105960888</c:v>
                </c:pt>
                <c:pt idx="2">
                  <c:v>3.1161703956298855E-2</c:v>
                </c:pt>
              </c:numCache>
            </c:numRef>
          </c:val>
          <c:extLst>
            <c:ext xmlns:c16="http://schemas.microsoft.com/office/drawing/2014/chart" uri="{C3380CC4-5D6E-409C-BE32-E72D297353CC}">
              <c16:uniqueId val="{00000006-322F-4B48-955E-9110922CCF1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vert="horz"/>
        <a:lstStyle/>
        <a:p>
          <a:pPr rtl="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2853926796778E-2"/>
          <c:y val="0.10011694111397391"/>
          <c:w val="0.87564130430050247"/>
          <c:h val="0.72858982403044503"/>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xVal>
          <c:yVal>
            <c:numRef>
              <c:f>'6.4.2'!$G$12:$G$27</c:f>
              <c:numCache>
                <c:formatCode>0.00;[Red]0.00</c:formatCode>
                <c:ptCount val="16"/>
                <c:pt idx="0">
                  <c:v>0.40654796302962914</c:v>
                </c:pt>
                <c:pt idx="1">
                  <c:v>0.80051675656042165</c:v>
                </c:pt>
                <c:pt idx="2">
                  <c:v>0.76829274909073342</c:v>
                </c:pt>
                <c:pt idx="3">
                  <c:v>1.3852542458776227</c:v>
                </c:pt>
                <c:pt idx="4">
                  <c:v>2.5425221421719804</c:v>
                </c:pt>
                <c:pt idx="5">
                  <c:v>2.7210804415630307</c:v>
                </c:pt>
                <c:pt idx="6">
                  <c:v>2.5835120806669538</c:v>
                </c:pt>
                <c:pt idx="7">
                  <c:v>3.2048274928189167</c:v>
                </c:pt>
                <c:pt idx="8">
                  <c:v>4.5170171473243297</c:v>
                </c:pt>
                <c:pt idx="9">
                  <c:v>3.707830842252017</c:v>
                </c:pt>
                <c:pt idx="10">
                  <c:v>3.8749991423012253</c:v>
                </c:pt>
                <c:pt idx="11">
                  <c:v>5.2684495821637363</c:v>
                </c:pt>
                <c:pt idx="12">
                  <c:v>3.8041868283133629</c:v>
                </c:pt>
                <c:pt idx="13">
                  <c:v>1.9629343485200088</c:v>
                </c:pt>
                <c:pt idx="14">
                  <c:v>1.7025277035248025</c:v>
                </c:pt>
                <c:pt idx="15">
                  <c:v>7.1878055286697258</c:v>
                </c:pt>
              </c:numCache>
            </c:numRef>
          </c:yVal>
          <c:smooth val="1"/>
          <c:extLst>
            <c:ext xmlns:c16="http://schemas.microsoft.com/office/drawing/2014/chart" uri="{C3380CC4-5D6E-409C-BE32-E72D297353CC}">
              <c16:uniqueId val="{00000000-F1A3-4716-BAA7-658423FD975E}"/>
            </c:ext>
          </c:extLst>
        </c:ser>
        <c:dLbls>
          <c:dLblPos val="t"/>
          <c:showLegendKey val="0"/>
          <c:showVal val="1"/>
          <c:showCatName val="0"/>
          <c:showSerName val="0"/>
          <c:showPercent val="0"/>
          <c:showBubbleSize val="0"/>
        </c:dLbls>
        <c:axId val="415633344"/>
        <c:axId val="415633920"/>
      </c:scatterChart>
      <c:valAx>
        <c:axId val="415633344"/>
        <c:scaling>
          <c:orientation val="minMax"/>
          <c:max val="2022"/>
          <c:min val="2007"/>
        </c:scaling>
        <c:delete val="0"/>
        <c:axPos val="b"/>
        <c:title>
          <c:tx>
            <c:rich>
              <a:bodyPr rot="0" vert="horz"/>
              <a:lstStyle/>
              <a:p>
                <a:pPr>
                  <a:defRPr/>
                </a:pPr>
                <a:r>
                  <a:rPr lang="es-C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vert="horz"/>
          <a:lstStyle/>
          <a:p>
            <a:pPr>
              <a:defRPr/>
            </a:pPr>
            <a:endParaRPr lang="es-CR"/>
          </a:p>
        </c:txPr>
        <c:crossAx val="415633920"/>
        <c:crosses val="autoZero"/>
        <c:crossBetween val="midCat"/>
        <c:majorUnit val="1"/>
        <c:minorUnit val="1"/>
      </c:valAx>
      <c:valAx>
        <c:axId val="415633920"/>
        <c:scaling>
          <c:orientation val="minMax"/>
        </c:scaling>
        <c:delete val="0"/>
        <c:axPos val="l"/>
        <c:title>
          <c:tx>
            <c:rich>
              <a:bodyPr rot="0"/>
              <a:lstStyle/>
              <a:p>
                <a:pPr>
                  <a:defRPr/>
                </a:pPr>
                <a:r>
                  <a:rPr lang="es-C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vert="horz"/>
          <a:lstStyle/>
          <a:p>
            <a:pPr>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'2.1.1'!$D$11</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5-48FB-B955-F7AC66C24201}"/>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5-48FB-B955-F7AC66C24201}"/>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5-48FB-B955-F7AC66C24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'2.1.1'!$C$12:$C$32</c:f>
              <c:strCache>
                <c:ptCount val="21"/>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pt idx="20">
                  <c:v>2020-2022</c:v>
                </c:pt>
              </c:strCache>
            </c:strRef>
          </c:cat>
          <c:val>
            <c:numRef>
              <c:f>'2.1.1'!$D$12:$D$32</c:f>
              <c:numCache>
                <c:formatCode>General</c:formatCode>
                <c:ptCount val="21"/>
                <c:pt idx="0">
                  <c:v>4.7</c:v>
                </c:pt>
                <c:pt idx="1">
                  <c:v>5</c:v>
                </c:pt>
                <c:pt idx="2">
                  <c:v>5.2</c:v>
                </c:pt>
                <c:pt idx="3">
                  <c:v>4.9000000000000004</c:v>
                </c:pt>
                <c:pt idx="4">
                  <c:v>4.3</c:v>
                </c:pt>
                <c:pt idx="5">
                  <c:v>3.9</c:v>
                </c:pt>
                <c:pt idx="6">
                  <c:v>3.7</c:v>
                </c:pt>
                <c:pt idx="7">
                  <c:v>3.9</c:v>
                </c:pt>
                <c:pt idx="8">
                  <c:v>4.2</c:v>
                </c:pt>
                <c:pt idx="9">
                  <c:v>4.5999999999999996</c:v>
                </c:pt>
                <c:pt idx="10">
                  <c:v>5</c:v>
                </c:pt>
                <c:pt idx="11">
                  <c:v>5.0999999999999996</c:v>
                </c:pt>
                <c:pt idx="12">
                  <c:v>5</c:v>
                </c:pt>
                <c:pt idx="13">
                  <c:v>4.8</c:v>
                </c:pt>
                <c:pt idx="14">
                  <c:v>4.2</c:v>
                </c:pt>
                <c:pt idx="15">
                  <c:v>3.7</c:v>
                </c:pt>
                <c:pt idx="16">
                  <c:v>3.2</c:v>
                </c:pt>
                <c:pt idx="17">
                  <c:v>3.1</c:v>
                </c:pt>
                <c:pt idx="18">
                  <c:v>3.1</c:v>
                </c:pt>
                <c:pt idx="19">
                  <c:v>3.1</c:v>
                </c:pt>
                <c:pt idx="20">
                  <c:v>3</c:v>
                </c:pt>
              </c:numCache>
            </c:numRef>
          </c:val>
          <c:extLst>
            <c:ext xmlns:c16="http://schemas.microsoft.com/office/drawing/2014/chart" uri="{C3380CC4-5D6E-409C-BE32-E72D297353CC}">
              <c16:uniqueId val="{00000003-2145-48FB-B955-F7AC66C24201}"/>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8227524295386"/>
          <c:y val="0.125"/>
          <c:w val="0.84176204778526409"/>
          <c:h val="0.7347402014181718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'7.1.1'!$D$13:$D$27</c:f>
              <c:numCache>
                <c:formatCode>0.00</c:formatCode>
                <c:ptCount val="15"/>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pt idx="12">
                  <c:v>99.836040418300257</c:v>
                </c:pt>
                <c:pt idx="13">
                  <c:v>99.830078871454603</c:v>
                </c:pt>
                <c:pt idx="14">
                  <c:v>99.833132493478118</c:v>
                </c:pt>
              </c:numCache>
            </c:numRef>
          </c:val>
          <c:smooth val="0"/>
          <c:extLst>
            <c:ext xmlns:c16="http://schemas.microsoft.com/office/drawing/2014/chart" uri="{C3380CC4-5D6E-409C-BE32-E72D297353CC}">
              <c16:uniqueId val="{00000000-27EF-461F-AA52-BF25174E5276}"/>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n-US" b="1">
                    <a:solidFill>
                      <a:sysClr val="windowText" lastClr="000000"/>
                    </a:solidFill>
                    <a:latin typeface="Open Sans Condensed" pitchFamily="2" charset="0"/>
                    <a:ea typeface="Open Sans Condensed" pitchFamily="2" charset="0"/>
                    <a:cs typeface="Open Sans Condensed" pitchFamily="2" charset="0"/>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1">
                    <a:solidFill>
                      <a:sysClr val="windowText" lastClr="000000"/>
                    </a:solidFill>
                    <a:latin typeface="Open Sans Condensed" pitchFamily="2" charset="0"/>
                    <a:ea typeface="Open Sans Condensed" pitchFamily="2" charset="0"/>
                    <a:cs typeface="Open Sans Condensed" pitchFamily="2" charset="0"/>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'7.1.2'!$D$34</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'7.1.2'!$D$35:$D$49</c:f>
              <c:numCache>
                <c:formatCode>0.0</c:formatCode>
                <c:ptCount val="15"/>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pt idx="12">
                  <c:v>96.11754528644974</c:v>
                </c:pt>
                <c:pt idx="13">
                  <c:v>96.628545115190406</c:v>
                </c:pt>
                <c:pt idx="14">
                  <c:v>97.337257101943976</c:v>
                </c:pt>
              </c:numCache>
            </c:numRef>
          </c:val>
          <c:smooth val="0"/>
          <c:extLst>
            <c:ext xmlns:c16="http://schemas.microsoft.com/office/drawing/2014/chart" uri="{C3380CC4-5D6E-409C-BE32-E72D297353CC}">
              <c16:uniqueId val="{00000000-2C78-4E7E-87EE-0C95A85D1A84}"/>
            </c:ext>
          </c:extLst>
        </c:ser>
        <c:ser>
          <c:idx val="1"/>
          <c:order val="1"/>
          <c:tx>
            <c:strRef>
              <c:f>'7.1.2'!$E$34</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'7.1.2'!$E$35:$E$49</c:f>
              <c:numCache>
                <c:formatCode>0.0</c:formatCode>
                <c:ptCount val="15"/>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pt idx="12">
                  <c:v>50.93536371099534</c:v>
                </c:pt>
                <c:pt idx="13">
                  <c:v>51.491385259147307</c:v>
                </c:pt>
                <c:pt idx="14">
                  <c:v>52.880785491923945</c:v>
                </c:pt>
              </c:numCache>
            </c:numRef>
          </c:val>
          <c:smooth val="0"/>
          <c:extLst>
            <c:ext xmlns:c16="http://schemas.microsoft.com/office/drawing/2014/chart" uri="{C3380CC4-5D6E-409C-BE32-E72D297353CC}">
              <c16:uniqueId val="{00000001-2C78-4E7E-87EE-0C95A85D1A84}"/>
            </c:ext>
          </c:extLst>
        </c:ser>
        <c:ser>
          <c:idx val="2"/>
          <c:order val="2"/>
          <c:tx>
            <c:strRef>
              <c:f>'7.1.2'!$F$34</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'7.1.2'!$F$35:$F$49</c:f>
              <c:numCache>
                <c:formatCode>0.0</c:formatCode>
                <c:ptCount val="15"/>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pt idx="12">
                  <c:v>45.182181575454401</c:v>
                </c:pt>
                <c:pt idx="13">
                  <c:v>45.137159856043105</c:v>
                </c:pt>
                <c:pt idx="14">
                  <c:v>44.456471610020039</c:v>
                </c:pt>
              </c:numCache>
            </c:numRef>
          </c:val>
          <c:smooth val="0"/>
          <c:extLst>
            <c:ext xmlns:c16="http://schemas.microsoft.com/office/drawing/2014/chart" uri="{C3380CC4-5D6E-409C-BE32-E72D297353CC}">
              <c16:uniqueId val="{00000002-2C78-4E7E-87EE-0C95A85D1A8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vert="horz"/>
        <a:lstStyle/>
        <a:p>
          <a:pPr>
            <a:defRPr/>
          </a:pPr>
          <a:endParaRPr lang="es-CR"/>
        </a:p>
      </c:txPr>
    </c:legend>
    <c:plotVisOnly val="1"/>
    <c:dispBlanksAs val="zero"/>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'7.2.1'!$D$21:$D$32</c:f>
              <c:numCache>
                <c:formatCode>0.00</c:formatCode>
                <c:ptCount val="12"/>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numCache>
            </c:numRef>
          </c:val>
          <c:smooth val="0"/>
          <c:extLst>
            <c:ext xmlns:c16="http://schemas.microsoft.com/office/drawing/2014/chart" uri="{C3380CC4-5D6E-409C-BE32-E72D297353CC}">
              <c16:uniqueId val="{00000000-454F-431C-96C1-8557C89284A5}"/>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'7.2.1'!$E$21:$E$32</c:f>
              <c:numCache>
                <c:formatCode>0.00</c:formatCode>
                <c:ptCount val="12"/>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numCache>
            </c:numRef>
          </c:val>
          <c:smooth val="0"/>
          <c:extLst>
            <c:ext xmlns:c16="http://schemas.microsoft.com/office/drawing/2014/chart" uri="{C3380CC4-5D6E-409C-BE32-E72D297353CC}">
              <c16:uniqueId val="{00000001-454F-431C-96C1-8557C89284A5}"/>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a:lstStyle/>
              <a:p>
                <a:pPr>
                  <a:defRPr/>
                </a:pPr>
                <a:r>
                  <a:rPr lang="en-US"/>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750720"/>
        <c:crosses val="autoZero"/>
        <c:crossBetween val="between"/>
        <c:majorUnit val="4"/>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BCCR'!$G$12</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BCCR'!$G$13:$G$23</c:f>
              <c:numCache>
                <c:formatCode>0.0</c:formatCode>
                <c:ptCount val="11"/>
                <c:pt idx="0">
                  <c:v>37.373299223292157</c:v>
                </c:pt>
                <c:pt idx="1">
                  <c:v>38.136282697633327</c:v>
                </c:pt>
                <c:pt idx="2">
                  <c:v>37.660594627103059</c:v>
                </c:pt>
                <c:pt idx="3">
                  <c:v>36.628221672662228</c:v>
                </c:pt>
                <c:pt idx="4">
                  <c:v>38.599331263370942</c:v>
                </c:pt>
                <c:pt idx="5">
                  <c:v>36.645929512697975</c:v>
                </c:pt>
                <c:pt idx="6">
                  <c:v>31.733587799646358</c:v>
                </c:pt>
                <c:pt idx="7">
                  <c:v>31.439883346248809</c:v>
                </c:pt>
                <c:pt idx="8">
                  <c:v>31.185888854902586</c:v>
                </c:pt>
                <c:pt idx="9">
                  <c:v>32.215266737754582</c:v>
                </c:pt>
                <c:pt idx="10">
                  <c:v>34.180150716332193</c:v>
                </c:pt>
              </c:numCache>
            </c:numRef>
          </c:val>
          <c:smooth val="0"/>
          <c:extLst>
            <c:ext xmlns:c16="http://schemas.microsoft.com/office/drawing/2014/chart" uri="{C3380CC4-5D6E-409C-BE32-E72D297353CC}">
              <c16:uniqueId val="{00000000-48CC-452D-913B-8D8261ED0AD0}"/>
            </c:ext>
          </c:extLst>
        </c:ser>
        <c:ser>
          <c:idx val="1"/>
          <c:order val="1"/>
          <c:tx>
            <c:strRef>
              <c:f>'7.2.1 BCCR'!$H$12</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 BCCR'!$C$13:$C$23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 BCCR'!$H$13:$H$23</c:f>
              <c:numCache>
                <c:formatCode>0.0</c:formatCode>
                <c:ptCount val="11"/>
                <c:pt idx="0">
                  <c:v>32.256642605513477</c:v>
                </c:pt>
                <c:pt idx="1">
                  <c:v>33.617074893625215</c:v>
                </c:pt>
                <c:pt idx="2">
                  <c:v>33.42132288222254</c:v>
                </c:pt>
                <c:pt idx="3">
                  <c:v>33.230100774684686</c:v>
                </c:pt>
                <c:pt idx="4">
                  <c:v>35.443765415834847</c:v>
                </c:pt>
                <c:pt idx="5">
                  <c:v>34.13775073631767</c:v>
                </c:pt>
                <c:pt idx="6">
                  <c:v>30.097969534520068</c:v>
                </c:pt>
                <c:pt idx="7">
                  <c:v>29.918630320422317</c:v>
                </c:pt>
                <c:pt idx="8">
                  <c:v>29.65857424604544</c:v>
                </c:pt>
                <c:pt idx="9">
                  <c:v>30.638084421959068</c:v>
                </c:pt>
                <c:pt idx="10">
                  <c:v>32.63909148700548</c:v>
                </c:pt>
              </c:numCache>
            </c:numRef>
          </c:val>
          <c:smooth val="0"/>
          <c:extLst>
            <c:ext xmlns:c16="http://schemas.microsoft.com/office/drawing/2014/chart" uri="{C3380CC4-5D6E-409C-BE32-E72D297353CC}">
              <c16:uniqueId val="{00000001-48CC-452D-913B-8D8261ED0AD0}"/>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a:lstStyle/>
              <a:p>
                <a:pPr>
                  <a:defRPr/>
                </a:pPr>
                <a:r>
                  <a:rPr lang="en-US"/>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'7.3.1'!$D$24:$D$35</c:f>
              <c:numCache>
                <c:formatCode>0.0</c:formatCode>
                <c:ptCount val="12"/>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numCache>
            </c:numRef>
          </c:val>
          <c:smooth val="0"/>
          <c:extLst>
            <c:ext xmlns:c16="http://schemas.microsoft.com/office/drawing/2014/chart" uri="{C3380CC4-5D6E-409C-BE32-E72D297353CC}">
              <c16:uniqueId val="{00000000-44C7-45DB-9EC1-F3568C83539E}"/>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BCCR'!$F$11</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 BCCR'!$C$12:$C$22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BCCR'!$F$12:$F$22</c:f>
              <c:numCache>
                <c:formatCode>0.0000</c:formatCode>
                <c:ptCount val="11"/>
                <c:pt idx="0">
                  <c:v>1.9821883878947785E-3</c:v>
                </c:pt>
                <c:pt idx="1">
                  <c:v>1.9207582935398555E-3</c:v>
                </c:pt>
                <c:pt idx="2">
                  <c:v>1.8716948665758624E-3</c:v>
                </c:pt>
                <c:pt idx="3">
                  <c:v>1.8049847138159039E-3</c:v>
                </c:pt>
                <c:pt idx="4">
                  <c:v>1.904086075312419E-3</c:v>
                </c:pt>
                <c:pt idx="5">
                  <c:v>1.8071585491726328E-3</c:v>
                </c:pt>
                <c:pt idx="6">
                  <c:v>1.6199202301354155E-3</c:v>
                </c:pt>
                <c:pt idx="7">
                  <c:v>1.5745928722385415E-3</c:v>
                </c:pt>
                <c:pt idx="8">
                  <c:v>1.4741001551936423E-3</c:v>
                </c:pt>
                <c:pt idx="9">
                  <c:v>1.5727405849435125E-3</c:v>
                </c:pt>
                <c:pt idx="10">
                  <c:v>1.5592501032886702E-3</c:v>
                </c:pt>
              </c:numCache>
            </c:numRef>
          </c:val>
          <c:smooth val="0"/>
          <c:extLst>
            <c:ext xmlns:c16="http://schemas.microsoft.com/office/drawing/2014/chart" uri="{C3380CC4-5D6E-409C-BE32-E72D297353CC}">
              <c16:uniqueId val="{00000000-0C58-4FAF-8B51-15993179A88B}"/>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ae'!$D$12</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ae'!$D$13:$D$23</c:f>
              <c:numCache>
                <c:formatCode>_(* #\ ##0.000000_);_(* \(#\ ##0.000000\);_(* "-"??_);_(@_)</c:formatCode>
                <c:ptCount val="11"/>
                <c:pt idx="0">
                  <c:v>4.7471682658045133E-3</c:v>
                </c:pt>
                <c:pt idx="1">
                  <c:v>4.7942517887530215E-3</c:v>
                </c:pt>
                <c:pt idx="2">
                  <c:v>5.2442267820480811E-3</c:v>
                </c:pt>
                <c:pt idx="3">
                  <c:v>5.3881549035310972E-3</c:v>
                </c:pt>
                <c:pt idx="4">
                  <c:v>5.4165408527281278E-3</c:v>
                </c:pt>
                <c:pt idx="5">
                  <c:v>5.248521750960293E-3</c:v>
                </c:pt>
                <c:pt idx="6">
                  <c:v>3.9963579068806321E-3</c:v>
                </c:pt>
                <c:pt idx="7">
                  <c:v>3.6990355595363112E-3</c:v>
                </c:pt>
                <c:pt idx="8">
                  <c:v>3.4443875164676474E-3</c:v>
                </c:pt>
                <c:pt idx="9">
                  <c:v>3.5270744809292494E-3</c:v>
                </c:pt>
                <c:pt idx="10">
                  <c:v>2.9353009058797216E-3</c:v>
                </c:pt>
              </c:numCache>
            </c:numRef>
          </c:val>
          <c:smooth val="0"/>
          <c:extLst>
            <c:ext xmlns:c16="http://schemas.microsoft.com/office/drawing/2014/chart" uri="{C3380CC4-5D6E-409C-BE32-E72D297353CC}">
              <c16:uniqueId val="{00000000-CDCF-479F-8AAD-A0231145FE6F}"/>
            </c:ext>
          </c:extLst>
        </c:ser>
        <c:ser>
          <c:idx val="1"/>
          <c:order val="1"/>
          <c:tx>
            <c:strRef>
              <c:f>'7.3.1 BCCR ae'!$E$12</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ae'!$E$13:$E$23</c:f>
              <c:numCache>
                <c:formatCode>_(* #\ ##0.000000_);_(* \(#\ ##0.000000\);_(* "-"??_);_(@_)</c:formatCode>
                <c:ptCount val="11"/>
                <c:pt idx="0">
                  <c:v>3.5541036787140191E-2</c:v>
                </c:pt>
                <c:pt idx="1">
                  <c:v>3.4684035702606482E-2</c:v>
                </c:pt>
                <c:pt idx="2">
                  <c:v>3.8214565993557999E-2</c:v>
                </c:pt>
                <c:pt idx="3">
                  <c:v>3.7456245742530973E-2</c:v>
                </c:pt>
                <c:pt idx="4">
                  <c:v>4.1237163113274376E-2</c:v>
                </c:pt>
                <c:pt idx="5">
                  <c:v>3.9226346096076239E-2</c:v>
                </c:pt>
                <c:pt idx="6">
                  <c:v>4.0866744087809811E-2</c:v>
                </c:pt>
                <c:pt idx="7">
                  <c:v>4.1253248827127144E-2</c:v>
                </c:pt>
                <c:pt idx="8">
                  <c:v>4.0595235576751286E-2</c:v>
                </c:pt>
                <c:pt idx="9">
                  <c:v>3.8041841629423256E-2</c:v>
                </c:pt>
                <c:pt idx="10">
                  <c:v>3.7615207254776475E-2</c:v>
                </c:pt>
              </c:numCache>
            </c:numRef>
          </c:val>
          <c:smooth val="0"/>
          <c:extLst>
            <c:ext xmlns:c16="http://schemas.microsoft.com/office/drawing/2014/chart" uri="{C3380CC4-5D6E-409C-BE32-E72D297353CC}">
              <c16:uniqueId val="{00000001-CDCF-479F-8AAD-A0231145FE6F}"/>
            </c:ext>
          </c:extLst>
        </c:ser>
        <c:ser>
          <c:idx val="2"/>
          <c:order val="2"/>
          <c:tx>
            <c:strRef>
              <c:f>'7.3.1 BCCR ae'!$F$12</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numRef>
              <c:f>'7.3.1 BCCR ae'!$C$13:$C$23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'7.3.1 BCCR ae'!$F$13:$F$23</c:f>
              <c:numCache>
                <c:formatCode>_(* #\ ##0.000000_);_(* \(#\ ##0.000000\);_(* "-"??_);_(@_)</c:formatCode>
                <c:ptCount val="11"/>
                <c:pt idx="0">
                  <c:v>1.1306473629573222E-3</c:v>
                </c:pt>
                <c:pt idx="1">
                  <c:v>1.1421111559943289E-3</c:v>
                </c:pt>
                <c:pt idx="2">
                  <c:v>1.0564149815272361E-3</c:v>
                </c:pt>
                <c:pt idx="3">
                  <c:v>1.0170240723048119E-3</c:v>
                </c:pt>
                <c:pt idx="4">
                  <c:v>1.0019684501167182E-3</c:v>
                </c:pt>
                <c:pt idx="5">
                  <c:v>1.0019525986550517E-3</c:v>
                </c:pt>
                <c:pt idx="6">
                  <c:v>1.9337970151084627E-4</c:v>
                </c:pt>
                <c:pt idx="7">
                  <c:v>1.9768683909271244E-4</c:v>
                </c:pt>
                <c:pt idx="8">
                  <c:v>1.9674896580744778E-4</c:v>
                </c:pt>
                <c:pt idx="9">
                  <c:v>2.7729494168408925E-4</c:v>
                </c:pt>
                <c:pt idx="10">
                  <c:v>2.4893392797282972E-4</c:v>
                </c:pt>
              </c:numCache>
            </c:numRef>
          </c:val>
          <c:smooth val="0"/>
          <c:extLst>
            <c:ext xmlns:c16="http://schemas.microsoft.com/office/drawing/2014/chart" uri="{C3380CC4-5D6E-409C-BE32-E72D297353CC}">
              <c16:uniqueId val="{00000002-CDCF-479F-8AAD-A0231145FE6F}"/>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Tj/ millones de colones</a:t>
                </a: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'7.b.1'!$F$11:$F$22</c:f>
              <c:numCache>
                <c:formatCode>_-* #\ ##0.0_-;\-* #\ ##0.0_-;_-* "-"??_-;_-@_-</c:formatCode>
                <c:ptCount val="12"/>
                <c:pt idx="0">
                  <c:v>452.7740448191368</c:v>
                </c:pt>
                <c:pt idx="1">
                  <c:v>452.49106106988791</c:v>
                </c:pt>
                <c:pt idx="2">
                  <c:v>480.17845758960289</c:v>
                </c:pt>
                <c:pt idx="3">
                  <c:v>512.41146355404965</c:v>
                </c:pt>
                <c:pt idx="4">
                  <c:v>593.67549623437583</c:v>
                </c:pt>
                <c:pt idx="5">
                  <c:v>600.39983630345807</c:v>
                </c:pt>
                <c:pt idx="6">
                  <c:v>612.09162417650316</c:v>
                </c:pt>
                <c:pt idx="7">
                  <c:v>616.66211907260947</c:v>
                </c:pt>
                <c:pt idx="8">
                  <c:v>607.15420482208913</c:v>
                </c:pt>
                <c:pt idx="9">
                  <c:v>613.52979626273248</c:v>
                </c:pt>
                <c:pt idx="10">
                  <c:v>587.77809789536968</c:v>
                </c:pt>
                <c:pt idx="11">
                  <c:v>608.05169558979981</c:v>
                </c:pt>
              </c:numCache>
            </c:numRef>
          </c:val>
          <c:smooth val="0"/>
          <c:extLst>
            <c:ext xmlns:c16="http://schemas.microsoft.com/office/drawing/2014/chart" uri="{C3380CC4-5D6E-409C-BE32-E72D297353CC}">
              <c16:uniqueId val="{00000000-0623-479F-B4FF-8F791A82682E}"/>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'8.1.1'!$C$31:$C$44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'8.1.1'!$G$31:$G$44</c:f>
              <c:numCache>
                <c:formatCode>0.0</c:formatCode>
                <c:ptCount val="14"/>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-5.2703009496567539</c:v>
                </c:pt>
                <c:pt idx="11">
                  <c:v>6.6994538127808756</c:v>
                </c:pt>
                <c:pt idx="12">
                  <c:v>5.8940849910848332</c:v>
                </c:pt>
                <c:pt idx="13">
                  <c:v>4.4773757522176947</c:v>
                </c:pt>
              </c:numCache>
            </c:numRef>
          </c:val>
          <c:smooth val="0"/>
          <c:extLst>
            <c:ext xmlns:c16="http://schemas.microsoft.com/office/drawing/2014/chart" uri="{C3380CC4-5D6E-409C-BE32-E72D297353CC}">
              <c16:uniqueId val="{00000000-3D86-4B50-9AA8-731A63739599}"/>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'8.1.1'!$D$51</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'8.1.1'!$C$52:$C$65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'8.1.1'!$D$52:$D$65</c:f>
              <c:numCache>
                <c:formatCode>#\ ##0.0</c:formatCode>
                <c:ptCount val="14"/>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7.376967169493259</c:v>
                </c:pt>
                <c:pt idx="12">
                  <c:v>3.9936010472091485</c:v>
                </c:pt>
                <c:pt idx="13">
                  <c:v>4.4773757522176947</c:v>
                </c:pt>
              </c:numCache>
            </c:numRef>
          </c:val>
          <c:smooth val="0"/>
          <c:extLst>
            <c:ext xmlns:c16="http://schemas.microsoft.com/office/drawing/2014/chart" uri="{C3380CC4-5D6E-409C-BE32-E72D297353CC}">
              <c16:uniqueId val="{00000000-38A8-4F6A-BEC9-AF2228B88663}"/>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'2.3.2'!$M$14</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'2.3.2'!$M$15:$M$29</c:f>
              <c:numCache>
                <c:formatCode>0</c:formatCode>
                <c:ptCount val="15"/>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3574.393886203377</c:v>
                </c:pt>
                <c:pt idx="12">
                  <c:v>2169.3495090840393</c:v>
                </c:pt>
                <c:pt idx="13">
                  <c:v>2191.346195844807</c:v>
                </c:pt>
                <c:pt idx="14">
                  <c:v>2798.506846912308</c:v>
                </c:pt>
              </c:numCache>
            </c:numRef>
          </c:val>
          <c:smooth val="0"/>
          <c:extLst>
            <c:ext xmlns:c16="http://schemas.microsoft.com/office/drawing/2014/chart" uri="{C3380CC4-5D6E-409C-BE32-E72D297353CC}">
              <c16:uniqueId val="{00000001-7BB9-4E58-95FE-599B1ADFFEF8}"/>
            </c:ext>
          </c:extLst>
        </c:ser>
        <c:ser>
          <c:idx val="1"/>
          <c:order val="1"/>
          <c:tx>
            <c:strRef>
              <c:f>'2.3.2'!$N$14</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B9-4E58-95FE-599B1ADFFEF8}"/>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B9-4E58-95FE-599B1ADFFEF8}"/>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B9-4E58-95FE-599B1ADFFEF8}"/>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B9-4E58-95FE-599B1ADFFE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'2.3.2'!$N$15:$N$29</c:f>
              <c:numCache>
                <c:formatCode>0</c:formatCode>
                <c:ptCount val="15"/>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6203.3206052098631</c:v>
                </c:pt>
                <c:pt idx="12">
                  <c:v>5242.938861333696</c:v>
                </c:pt>
                <c:pt idx="13">
                  <c:v>2731.5873990616278</c:v>
                </c:pt>
                <c:pt idx="14">
                  <c:v>2115.7226838969291</c:v>
                </c:pt>
              </c:numCache>
            </c:numRef>
          </c:val>
          <c:smooth val="0"/>
          <c:extLst>
            <c:ext xmlns:c16="http://schemas.microsoft.com/office/drawing/2014/chart" uri="{C3380CC4-5D6E-409C-BE32-E72D297353CC}">
              <c16:uniqueId val="{00000006-7BB9-4E58-95FE-599B1ADFFEF8}"/>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9777093895613E-2"/>
          <c:y val="5.9256474250404909E-2"/>
          <c:w val="0.89673729073979047"/>
          <c:h val="0.64728109532011091"/>
        </c:manualLayout>
      </c:layout>
      <c:barChart>
        <c:barDir val="col"/>
        <c:grouping val="clustered"/>
        <c:varyColors val="0"/>
        <c:ser>
          <c:idx val="4"/>
          <c:order val="0"/>
          <c:tx>
            <c:strRef>
              <c:f>'8.2.1'!$E$12:$E$15</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'8.2.1'!$E$50:$E$69</c:f>
              <c:numCache>
                <c:formatCode>0.0</c:formatCode>
                <c:ptCount val="20"/>
                <c:pt idx="0">
                  <c:v>1.6392114900000001</c:v>
                </c:pt>
                <c:pt idx="1">
                  <c:v>-8.0121015500000006</c:v>
                </c:pt>
                <c:pt idx="2">
                  <c:v>-6.7520146299999997</c:v>
                </c:pt>
                <c:pt idx="3">
                  <c:v>-4.0678897599999999</c:v>
                </c:pt>
                <c:pt idx="4">
                  <c:v>-0.99765192000000003</c:v>
                </c:pt>
                <c:pt idx="5">
                  <c:v>10.31562942</c:v>
                </c:pt>
                <c:pt idx="6">
                  <c:v>12.64391543</c:v>
                </c:pt>
                <c:pt idx="7">
                  <c:v>10.55879251</c:v>
                </c:pt>
                <c:pt idx="8">
                  <c:v>6.6908727700000004</c:v>
                </c:pt>
                <c:pt idx="9">
                  <c:v>4.2502353199999998</c:v>
                </c:pt>
                <c:pt idx="10">
                  <c:v>2.7916663000000002</c:v>
                </c:pt>
                <c:pt idx="11">
                  <c:v>4.5214915400000004</c:v>
                </c:pt>
                <c:pt idx="12">
                  <c:v>4.45250565</c:v>
                </c:pt>
                <c:pt idx="13">
                  <c:v>5.9220003999999999</c:v>
                </c:pt>
                <c:pt idx="14">
                  <c:v>5.5024023700000004</c:v>
                </c:pt>
                <c:pt idx="15">
                  <c:v>4.6305536299999996</c:v>
                </c:pt>
                <c:pt idx="16">
                  <c:v>3.5712755899999999</c:v>
                </c:pt>
                <c:pt idx="17">
                  <c:v>5.4798299000000004</c:v>
                </c:pt>
                <c:pt idx="18">
                  <c:v>3.8374040900000002</c:v>
                </c:pt>
                <c:pt idx="19">
                  <c:v>4.4070205400000004</c:v>
                </c:pt>
              </c:numCache>
            </c:numRef>
          </c:val>
          <c:extLst>
            <c:ext xmlns:c16="http://schemas.microsoft.com/office/drawing/2014/chart" uri="{C3380CC4-5D6E-409C-BE32-E72D297353CC}">
              <c16:uniqueId val="{00000000-8A61-415B-A4FE-46B7007D0423}"/>
            </c:ext>
          </c:extLst>
        </c:ser>
        <c:ser>
          <c:idx val="6"/>
          <c:order val="1"/>
          <c:tx>
            <c:strRef>
              <c:f>'8.2.1'!$F$12:$F$15</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'8.2.1'!$F$50:$F$69</c:f>
              <c:numCache>
                <c:formatCode>0.0</c:formatCode>
                <c:ptCount val="20"/>
                <c:pt idx="0">
                  <c:v>1.6764697485824875</c:v>
                </c:pt>
                <c:pt idx="1">
                  <c:v>-20.059499953050462</c:v>
                </c:pt>
                <c:pt idx="2">
                  <c:v>-14.63525836569003</c:v>
                </c:pt>
                <c:pt idx="3">
                  <c:v>-10.521582651416651</c:v>
                </c:pt>
                <c:pt idx="4">
                  <c:v>-9.7737271728916433</c:v>
                </c:pt>
                <c:pt idx="5">
                  <c:v>12.840859541030337</c:v>
                </c:pt>
                <c:pt idx="6">
                  <c:v>13.408688219384658</c:v>
                </c:pt>
                <c:pt idx="7">
                  <c:v>7.7214716117699034</c:v>
                </c:pt>
                <c:pt idx="8">
                  <c:v>5.5071538491653582</c:v>
                </c:pt>
                <c:pt idx="9">
                  <c:v>9.3748587741315337</c:v>
                </c:pt>
                <c:pt idx="10">
                  <c:v>4.5010431552964025</c:v>
                </c:pt>
                <c:pt idx="11">
                  <c:v>3.2841832294579376</c:v>
                </c:pt>
                <c:pt idx="12">
                  <c:v>-0.18900363259939379</c:v>
                </c:pt>
                <c:pt idx="13">
                  <c:v>-1.5032117170569181</c:v>
                </c:pt>
                <c:pt idx="14">
                  <c:v>-5.0341791429527323</c:v>
                </c:pt>
                <c:pt idx="15">
                  <c:v>-4.1950502079785128</c:v>
                </c:pt>
                <c:pt idx="16">
                  <c:v>2.8343222425209813</c:v>
                </c:pt>
                <c:pt idx="17">
                  <c:v>1.6905565540116019</c:v>
                </c:pt>
                <c:pt idx="18">
                  <c:v>8.5503878729890523</c:v>
                </c:pt>
                <c:pt idx="19">
                  <c:v>7.1792593304193186</c:v>
                </c:pt>
              </c:numCache>
            </c:numRef>
          </c:val>
          <c:extLst>
            <c:ext xmlns:c16="http://schemas.microsoft.com/office/drawing/2014/chart" uri="{C3380CC4-5D6E-409C-BE32-E72D297353CC}">
              <c16:uniqueId val="{00000001-8A61-415B-A4FE-46B7007D0423}"/>
            </c:ext>
          </c:extLst>
        </c:ser>
        <c:ser>
          <c:idx val="0"/>
          <c:order val="2"/>
          <c:tx>
            <c:strRef>
              <c:f>'8.2.1'!$G$12:$G$15</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'8.2.1'!$C$50:$D$69</c:f>
              <c:multiLvlStrCache>
                <c:ptCount val="20"/>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lvl>
                <c:lvl>
                  <c:pt idx="0">
                    <c:v>2020</c:v>
                  </c:pt>
                  <c:pt idx="4">
                    <c:v>2021</c:v>
                  </c:pt>
                  <c:pt idx="8">
                    <c:v>2022</c:v>
                  </c:pt>
                  <c:pt idx="12">
                    <c:v>2023</c:v>
                  </c:pt>
                  <c:pt idx="16">
                    <c:v>2024</c:v>
                  </c:pt>
                </c:lvl>
              </c:multiLvlStrCache>
            </c:multiLvlStrRef>
          </c:cat>
          <c:val>
            <c:numRef>
              <c:f>'8.2.1'!$G$50:$G$69</c:f>
              <c:numCache>
                <c:formatCode>0.0</c:formatCode>
                <c:ptCount val="20"/>
                <c:pt idx="0">
                  <c:v>-3.6643932301250182E-2</c:v>
                </c:pt>
                <c:pt idx="1">
                  <c:v>15.070456652432696</c:v>
                </c:pt>
                <c:pt idx="2">
                  <c:v>9.2347772392618275</c:v>
                </c:pt>
                <c:pt idx="3">
                  <c:v>7.2125693405632241</c:v>
                </c:pt>
                <c:pt idx="4">
                  <c:v>9.7267403125613541</c:v>
                </c:pt>
                <c:pt idx="5">
                  <c:v>-2.2378685585725089</c:v>
                </c:pt>
                <c:pt idx="6">
                  <c:v>-0.67435114562215404</c:v>
                </c:pt>
                <c:pt idx="7">
                  <c:v>2.633941829489439</c:v>
                </c:pt>
                <c:pt idx="8">
                  <c:v>1.121932380739854</c:v>
                </c:pt>
                <c:pt idx="9">
                  <c:v>-4.6853760619338658</c:v>
                </c:pt>
                <c:pt idx="10">
                  <c:v>-1.6357510004836762</c:v>
                </c:pt>
                <c:pt idx="11">
                  <c:v>1.1979649506471457</c:v>
                </c:pt>
                <c:pt idx="12">
                  <c:v>4.6502985177941492</c:v>
                </c:pt>
                <c:pt idx="13">
                  <c:v>7.5385322174679859</c:v>
                </c:pt>
                <c:pt idx="14">
                  <c:v>11.095130246678897</c:v>
                </c:pt>
                <c:pt idx="15">
                  <c:v>9.2120541367619388</c:v>
                </c:pt>
                <c:pt idx="16">
                  <c:v>0.71664141811194071</c:v>
                </c:pt>
                <c:pt idx="17">
                  <c:v>3.7262784982116326</c:v>
                </c:pt>
                <c:pt idx="18">
                  <c:v>-4.3417475314487692</c:v>
                </c:pt>
                <c:pt idx="19">
                  <c:v>-2.586544084682818</c:v>
                </c:pt>
              </c:numCache>
            </c:numRef>
          </c:val>
          <c:extLst>
            <c:ext xmlns:c16="http://schemas.microsoft.com/office/drawing/2014/chart" uri="{C3380CC4-5D6E-409C-BE32-E72D297353CC}">
              <c16:uniqueId val="{00000002-8A61-415B-A4FE-46B7007D0423}"/>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646016"/>
        <c:crosses val="autoZero"/>
        <c:crossBetween val="between"/>
      </c:valAx>
      <c:spPr>
        <a:noFill/>
        <a:ln>
          <a:noFill/>
        </a:ln>
        <a:effectLst/>
      </c:spPr>
    </c:plotArea>
    <c:legend>
      <c:legendPos val="b"/>
      <c:layout>
        <c:manualLayout>
          <c:xMode val="edge"/>
          <c:yMode val="edge"/>
          <c:x val="0.14164302831711253"/>
          <c:y val="0.92451528723131116"/>
          <c:w val="0.75487167364948948"/>
          <c:h val="6.29432135639783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'8.3.1'!$D$11:$F$11</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'8.3.1'!$D$14:$D$28</c:f>
              <c:numCache>
                <c:formatCode>0.0</c:formatCode>
                <c:ptCount val="15"/>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pt idx="11">
                  <c:v>43.361548367362182</c:v>
                </c:pt>
                <c:pt idx="12">
                  <c:v>42.265885819873461</c:v>
                </c:pt>
                <c:pt idx="13">
                  <c:v>37.692335712402439</c:v>
                </c:pt>
                <c:pt idx="14">
                  <c:v>37.829009445519326</c:v>
                </c:pt>
              </c:numCache>
            </c:numRef>
          </c:val>
          <c:smooth val="0"/>
          <c:extLst>
            <c:ext xmlns:c16="http://schemas.microsoft.com/office/drawing/2014/chart" uri="{C3380CC4-5D6E-409C-BE32-E72D297353CC}">
              <c16:uniqueId val="{00000000-5206-4EEE-AAF4-29C241E8189D}"/>
            </c:ext>
          </c:extLst>
        </c:ser>
        <c:ser>
          <c:idx val="1"/>
          <c:order val="1"/>
          <c:tx>
            <c:strRef>
              <c:f>'8.3.1'!$H$11:$J$11</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'8.3.1'!$H$14:$H$28</c:f>
              <c:numCache>
                <c:formatCode>0.0</c:formatCode>
                <c:ptCount val="15"/>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pt idx="11">
                  <c:v>92.197714912362372</c:v>
                </c:pt>
                <c:pt idx="12">
                  <c:v>90.07694187493135</c:v>
                </c:pt>
                <c:pt idx="13">
                  <c:v>86.463307146291697</c:v>
                </c:pt>
                <c:pt idx="14">
                  <c:v>86.131847801609524</c:v>
                </c:pt>
              </c:numCache>
            </c:numRef>
          </c:val>
          <c:smooth val="0"/>
          <c:extLst>
            <c:ext xmlns:c16="http://schemas.microsoft.com/office/drawing/2014/chart" uri="{C3380CC4-5D6E-409C-BE32-E72D297353CC}">
              <c16:uniqueId val="{00000001-5206-4EEE-AAF4-29C241E8189D}"/>
            </c:ext>
          </c:extLst>
        </c:ser>
        <c:ser>
          <c:idx val="2"/>
          <c:order val="2"/>
          <c:tx>
            <c:strRef>
              <c:f>'8.3.1'!$L$11:$N$11</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06-4EEE-AAF4-29C241E8189D}"/>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6-4EEE-AAF4-29C241E8189D}"/>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06-4EEE-AAF4-29C241E8189D}"/>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06-4EEE-AAF4-29C241E8189D}"/>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06-4EEE-AAF4-29C241E8189D}"/>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6-4EEE-AAF4-29C241E8189D}"/>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06-4EEE-AAF4-29C241E8189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'8.3.1'!$L$14:$L$28</c:f>
              <c:numCache>
                <c:formatCode>0.0</c:formatCode>
                <c:ptCount val="15"/>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pt idx="11">
                  <c:v>26.493273234688161</c:v>
                </c:pt>
                <c:pt idx="12">
                  <c:v>26.309772145798632</c:v>
                </c:pt>
                <c:pt idx="13">
                  <c:v>23.265335469801347</c:v>
                </c:pt>
                <c:pt idx="14">
                  <c:v>22.183347163850982</c:v>
                </c:pt>
              </c:numCache>
            </c:numRef>
          </c:val>
          <c:smooth val="0"/>
          <c:extLst>
            <c:ext xmlns:c16="http://schemas.microsoft.com/office/drawing/2014/chart" uri="{C3380CC4-5D6E-409C-BE32-E72D297353CC}">
              <c16:uniqueId val="{00000009-5206-4EEE-AAF4-29C241E8189D}"/>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'8.4.2'!$D$11</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47DB-4130-9EDA-6744EBEF9D9B}"/>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47DB-4130-9EDA-6744EBEF9D9B}"/>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47DB-4130-9EDA-6744EBEF9D9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'8.4.2'!$D$12:$D$21</c:f>
              <c:numCache>
                <c:formatCode>#,##0</c:formatCode>
                <c:ptCount val="10"/>
                <c:pt idx="0">
                  <c:v>46306.819999999992</c:v>
                </c:pt>
                <c:pt idx="1">
                  <c:v>46710.9</c:v>
                </c:pt>
                <c:pt idx="2">
                  <c:v>46189.009999999995</c:v>
                </c:pt>
                <c:pt idx="3">
                  <c:v>48126.97</c:v>
                </c:pt>
                <c:pt idx="4">
                  <c:v>48671.73</c:v>
                </c:pt>
                <c:pt idx="5">
                  <c:v>48153.05</c:v>
                </c:pt>
                <c:pt idx="6">
                  <c:v>46822.855848227002</c:v>
                </c:pt>
                <c:pt idx="7">
                  <c:v>47711.408668375007</c:v>
                </c:pt>
                <c:pt idx="8">
                  <c:v>47758.535003682795</c:v>
                </c:pt>
                <c:pt idx="9">
                  <c:v>48604.38922165351</c:v>
                </c:pt>
              </c:numCache>
            </c:numRef>
          </c:val>
          <c:smooth val="0"/>
          <c:extLst>
            <c:ext xmlns:c16="http://schemas.microsoft.com/office/drawing/2014/chart" uri="{C3380CC4-5D6E-409C-BE32-E72D297353CC}">
              <c16:uniqueId val="{00000006-47DB-4130-9EDA-6744EBEF9D9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'8.4.2'!$E$11</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'8.4.2'!$E$12:$E$21</c:f>
              <c:numCache>
                <c:formatCode>0.00</c:formatCode>
                <c:ptCount val="10"/>
                <c:pt idx="0">
                  <c:v>9.7015850641896826</c:v>
                </c:pt>
                <c:pt idx="1">
                  <c:v>9.6665367748659161</c:v>
                </c:pt>
                <c:pt idx="2">
                  <c:v>9.4448868102467447</c:v>
                </c:pt>
                <c:pt idx="3">
                  <c:v>9.7275704545404018</c:v>
                </c:pt>
                <c:pt idx="4">
                  <c:v>9.7277447524110148</c:v>
                </c:pt>
                <c:pt idx="5">
                  <c:v>9.5201778410790521</c:v>
                </c:pt>
                <c:pt idx="6">
                  <c:v>9.1607965783962388</c:v>
                </c:pt>
                <c:pt idx="7">
                  <c:v>9.2409563261736611</c:v>
                </c:pt>
                <c:pt idx="8">
                  <c:v>9.1607728514552758</c:v>
                </c:pt>
                <c:pt idx="9">
                  <c:v>9.2364500537800769</c:v>
                </c:pt>
              </c:numCache>
            </c:numRef>
          </c:val>
          <c:smooth val="0"/>
          <c:extLst>
            <c:ext xmlns:c16="http://schemas.microsoft.com/office/drawing/2014/chart" uri="{C3380CC4-5D6E-409C-BE32-E72D297353CC}">
              <c16:uniqueId val="{00000000-8B9F-4F3D-9153-0A76F7FFE26B}"/>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'8.4.2'!$F$11</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'8.4.2'!$C$12:$C$21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'8.4.2'!$F$12:$F$21</c:f>
              <c:numCache>
                <c:formatCode>#,##0.00</c:formatCode>
                <c:ptCount val="10"/>
                <c:pt idx="0">
                  <c:v>1.5168882113827824</c:v>
                </c:pt>
                <c:pt idx="1">
                  <c:v>1.4762123751413958</c:v>
                </c:pt>
                <c:pt idx="2">
                  <c:v>1.400823887385878</c:v>
                </c:pt>
                <c:pt idx="3">
                  <c:v>1.4013358065521702</c:v>
                </c:pt>
                <c:pt idx="4">
                  <c:v>1.3810695546202925</c:v>
                </c:pt>
                <c:pt idx="5">
                  <c:v>1.3340998772951194</c:v>
                </c:pt>
                <c:pt idx="6">
                  <c:v>1.3551574032099682</c:v>
                </c:pt>
                <c:pt idx="7">
                  <c:v>1.2793480731649494</c:v>
                </c:pt>
                <c:pt idx="8">
                  <c:v>1.2248622292298053</c:v>
                </c:pt>
                <c:pt idx="9">
                  <c:v>1.1859319232005228</c:v>
                </c:pt>
              </c:numCache>
            </c:numRef>
          </c:val>
          <c:smooth val="0"/>
          <c:extLst>
            <c:ext xmlns:c16="http://schemas.microsoft.com/office/drawing/2014/chart" uri="{C3380CC4-5D6E-409C-BE32-E72D297353CC}">
              <c16:uniqueId val="{00000000-E9EC-4AA2-9B01-2BD25401F95D}"/>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'8.5.2'!$D$35:$D$49</c:f>
              <c:numCache>
                <c:formatCode>0.0</c:formatCode>
                <c:ptCount val="15"/>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pt idx="12">
                  <c:v>12.215482495477833</c:v>
                </c:pt>
                <c:pt idx="13">
                  <c:v>8.9159664358809199</c:v>
                </c:pt>
                <c:pt idx="14">
                  <c:v>7.4444002325192073</c:v>
                </c:pt>
              </c:numCache>
            </c:numRef>
          </c:val>
          <c:smooth val="0"/>
          <c:extLst>
            <c:ext xmlns:c16="http://schemas.microsoft.com/office/drawing/2014/chart" uri="{C3380CC4-5D6E-409C-BE32-E72D297353CC}">
              <c16:uniqueId val="{00000000-28AC-44D0-AE92-FF33B523E742}"/>
            </c:ext>
          </c:extLst>
        </c:ser>
        <c:ser>
          <c:idx val="1"/>
          <c:order val="1"/>
          <c:tx>
            <c:strRef>
              <c:f>'8.5.2'!$I$12</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'8.5.2'!$I$35:$I$49</c:f>
              <c:numCache>
                <c:formatCode>0.0</c:formatCode>
                <c:ptCount val="15"/>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pt idx="12">
                  <c:v>9.4034566795353083</c:v>
                </c:pt>
                <c:pt idx="13">
                  <c:v>7.6729089682298399</c:v>
                </c:pt>
                <c:pt idx="14">
                  <c:v>6.8375186305987405</c:v>
                </c:pt>
              </c:numCache>
            </c:numRef>
          </c:val>
          <c:smooth val="0"/>
          <c:extLst>
            <c:ext xmlns:c16="http://schemas.microsoft.com/office/drawing/2014/chart" uri="{C3380CC4-5D6E-409C-BE32-E72D297353CC}">
              <c16:uniqueId val="{00000001-28AC-44D0-AE92-FF33B523E742}"/>
            </c:ext>
          </c:extLst>
        </c:ser>
        <c:ser>
          <c:idx val="2"/>
          <c:order val="2"/>
          <c:tx>
            <c:strRef>
              <c:f>'8.5.2'!$N$12</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'8.5.2'!$N$35:$N$49</c:f>
              <c:numCache>
                <c:formatCode>0.0</c:formatCode>
                <c:ptCount val="15"/>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pt idx="12">
                  <c:v>16.378506526750098</c:v>
                </c:pt>
                <c:pt idx="13">
                  <c:v>10.937855991448496</c:v>
                </c:pt>
                <c:pt idx="14">
                  <c:v>8.3788438699049852</c:v>
                </c:pt>
              </c:numCache>
            </c:numRef>
          </c:val>
          <c:smooth val="0"/>
          <c:extLst>
            <c:ext xmlns:c16="http://schemas.microsoft.com/office/drawing/2014/chart" uri="{C3380CC4-5D6E-409C-BE32-E72D297353CC}">
              <c16:uniqueId val="{00000002-28AC-44D0-AE92-FF33B523E742}"/>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'8.6.1'!$D$11:$D$12</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'8.6.1'!$D$33:$D$47</c:f>
              <c:numCache>
                <c:formatCode>0.0</c:formatCode>
                <c:ptCount val="15"/>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pt idx="12">
                  <c:v>16.435684829760426</c:v>
                </c:pt>
                <c:pt idx="13">
                  <c:v>20.016097177503273</c:v>
                </c:pt>
                <c:pt idx="14">
                  <c:v>16.823689623071932</c:v>
                </c:pt>
              </c:numCache>
            </c:numRef>
          </c:val>
          <c:smooth val="0"/>
          <c:extLst>
            <c:ext xmlns:c16="http://schemas.microsoft.com/office/drawing/2014/chart" uri="{C3380CC4-5D6E-409C-BE32-E72D297353CC}">
              <c16:uniqueId val="{00000000-5D8D-4AA0-92A8-97700D2301FA}"/>
            </c:ext>
          </c:extLst>
        </c:ser>
        <c:ser>
          <c:idx val="1"/>
          <c:order val="1"/>
          <c:tx>
            <c:strRef>
              <c:f>'8.6.1'!$E$12</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'8.6.1'!$E$33:$E$47</c:f>
              <c:numCache>
                <c:formatCode>0.0</c:formatCode>
                <c:ptCount val="15"/>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pt idx="12">
                  <c:v>13.255328088890964</c:v>
                </c:pt>
                <c:pt idx="13">
                  <c:v>17.991736051992277</c:v>
                </c:pt>
                <c:pt idx="14">
                  <c:v>14.140693332382714</c:v>
                </c:pt>
              </c:numCache>
            </c:numRef>
          </c:val>
          <c:smooth val="0"/>
          <c:extLst>
            <c:ext xmlns:c16="http://schemas.microsoft.com/office/drawing/2014/chart" uri="{C3380CC4-5D6E-409C-BE32-E72D297353CC}">
              <c16:uniqueId val="{00000001-5D8D-4AA0-92A8-97700D2301FA}"/>
            </c:ext>
          </c:extLst>
        </c:ser>
        <c:ser>
          <c:idx val="2"/>
          <c:order val="2"/>
          <c:tx>
            <c:strRef>
              <c:f>'8.6.1'!$G$12</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'8.6.1'!$G$33:$G$47</c:f>
              <c:numCache>
                <c:formatCode>0.0</c:formatCode>
                <c:ptCount val="15"/>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pt idx="12">
                  <c:v>20.260643382636783</c:v>
                </c:pt>
                <c:pt idx="13">
                  <c:v>22.532768096574063</c:v>
                </c:pt>
                <c:pt idx="14">
                  <c:v>20.048649066386311</c:v>
                </c:pt>
              </c:numCache>
            </c:numRef>
          </c:val>
          <c:smooth val="0"/>
          <c:extLst>
            <c:ext xmlns:c16="http://schemas.microsoft.com/office/drawing/2014/chart" uri="{C3380CC4-5D6E-409C-BE32-E72D297353CC}">
              <c16:uniqueId val="{00000002-5D8D-4AA0-92A8-97700D2301FA}"/>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'8.7.1'!$D$11</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'8.7.1'!$D$15:$D$17</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6040-474B-A632-5640F691A289}"/>
            </c:ext>
          </c:extLst>
        </c:ser>
        <c:ser>
          <c:idx val="2"/>
          <c:order val="1"/>
          <c:tx>
            <c:strRef>
              <c:f>'8.7.1'!$F$14</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'8.7.1'!$F$15:$F$17</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6040-474B-A632-5640F691A289}"/>
            </c:ext>
          </c:extLst>
        </c:ser>
        <c:ser>
          <c:idx val="3"/>
          <c:order val="2"/>
          <c:tx>
            <c:strRef>
              <c:f>'8.7.1'!$G$14</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'8.7.1'!$G$15:$G$17</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6040-474B-A632-5640F691A289}"/>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'8.8.1'!$M$11</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'8.8.1'!$C$12:$C$23</c:f>
              <c:numCache>
                <c:formatCode>General</c:formatCode>
                <c:ptCount val="12"/>
                <c:pt idx="0">
                  <c:v>2011</c:v>
                </c:pt>
                <c:pt idx="1">
                  <c:v>2012</c:v>
                </c:pt>
                <c:pt idx="2">
                  <c:v>2013</c:v>
                </c:pt>
                <c:pt idx="3">
                  <c:v>2014</c:v>
                </c:pt>
                <c:pt idx="4">
                  <c:v>2015</c:v>
                </c:pt>
                <c:pt idx="5">
                  <c:v>2016</c:v>
                </c:pt>
                <c:pt idx="6">
                  <c:v>2017</c:v>
                </c:pt>
                <c:pt idx="7">
                  <c:v>2018</c:v>
                </c:pt>
                <c:pt idx="8">
                  <c:v>2019</c:v>
                </c:pt>
                <c:pt idx="9">
                  <c:v>2021</c:v>
                </c:pt>
                <c:pt idx="10">
                  <c:v>2022</c:v>
                </c:pt>
                <c:pt idx="11">
                  <c:v>2023</c:v>
                </c:pt>
              </c:numCache>
            </c:numRef>
          </c:cat>
          <c:val>
            <c:numRef>
              <c:f>'8.8.1'!$M$12:$M$23</c:f>
              <c:numCache>
                <c:formatCode>###\ ###\ ###\ ##0.0</c:formatCode>
                <c:ptCount val="12"/>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89.562098122415861</c:v>
                </c:pt>
                <c:pt idx="10">
                  <c:v>85.409873560252407</c:v>
                </c:pt>
                <c:pt idx="11">
                  <c:v>88.031674011742467</c:v>
                </c:pt>
              </c:numCache>
            </c:numRef>
          </c:val>
          <c:smooth val="0"/>
          <c:extLst>
            <c:ext xmlns:c16="http://schemas.microsoft.com/office/drawing/2014/chart" uri="{C3380CC4-5D6E-409C-BE32-E72D297353CC}">
              <c16:uniqueId val="{00000000-13C4-46E6-9463-4B3173D3B437}"/>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a:pPr>
                <a:r>
                  <a:rPr lang="en-US"/>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'8.8.2.a'!$D$11:$D$12</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0E-4999-B737-565CC3C294DF}"/>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0E-4999-B737-565CC3C294DF}"/>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0E-4999-B737-565CC3C294DF}"/>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0E-4999-B737-565CC3C294DF}"/>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'8.8.2.a'!$D$13:$D$25</c:f>
              <c:numCache>
                <c:formatCode>General</c:formatCode>
                <c:ptCount val="13"/>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pt idx="11" formatCode="0.0">
                  <c:v>15.2</c:v>
                </c:pt>
                <c:pt idx="12" formatCode="0.0">
                  <c:v>17.3</c:v>
                </c:pt>
              </c:numCache>
            </c:numRef>
          </c:val>
          <c:smooth val="0"/>
          <c:extLst>
            <c:ext xmlns:c16="http://schemas.microsoft.com/office/drawing/2014/chart" uri="{C3380CC4-5D6E-409C-BE32-E72D297353CC}">
              <c16:uniqueId val="{00000005-360E-4999-B737-565CC3C294DF}"/>
            </c:ext>
          </c:extLst>
        </c:ser>
        <c:ser>
          <c:idx val="1"/>
          <c:order val="1"/>
          <c:tx>
            <c:strRef>
              <c:f>'8.8.2.a'!$F$12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0E-4999-B737-565CC3C294DF}"/>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0E-4999-B737-565CC3C294DF}"/>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'8.8.2.a'!$F$13:$F$25</c:f>
              <c:numCache>
                <c:formatCode>0.00</c:formatCode>
                <c:ptCount val="13"/>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pt idx="11">
                  <c:v>91.1</c:v>
                </c:pt>
                <c:pt idx="12">
                  <c:v>100</c:v>
                </c:pt>
              </c:numCache>
            </c:numRef>
          </c:val>
          <c:smooth val="0"/>
          <c:extLst>
            <c:ext xmlns:c16="http://schemas.microsoft.com/office/drawing/2014/chart" uri="{C3380CC4-5D6E-409C-BE32-E72D297353CC}">
              <c16:uniqueId val="{00000009-360E-4999-B737-565CC3C294DF}"/>
            </c:ext>
          </c:extLst>
        </c:ser>
        <c:ser>
          <c:idx val="2"/>
          <c:order val="2"/>
          <c:tx>
            <c:strRef>
              <c:f>'8.8.2.a'!$G$12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0E-4999-B737-565CC3C294DF}"/>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0E-4999-B737-565CC3C294DF}"/>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0E-4999-B737-565CC3C294DF}"/>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0E-4999-B737-565CC3C294DF}"/>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0E-4999-B737-565CC3C294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'8.8.2.a'!$G$13:$G$25</c:f>
              <c:numCache>
                <c:formatCode>0.00</c:formatCode>
                <c:ptCount val="13"/>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pt idx="11">
                  <c:v>3.9</c:v>
                </c:pt>
                <c:pt idx="12">
                  <c:v>3.9</c:v>
                </c:pt>
              </c:numCache>
            </c:numRef>
          </c:val>
          <c:smooth val="0"/>
          <c:extLst>
            <c:ext xmlns:c16="http://schemas.microsoft.com/office/drawing/2014/chart" uri="{C3380CC4-5D6E-409C-BE32-E72D297353CC}">
              <c16:uniqueId val="{0000000F-360E-4999-B737-565CC3C294DF}"/>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718775224381"/>
          <c:y val="0.15325239810381452"/>
          <c:w val="0.87137270341207351"/>
          <c:h val="0.68084196712253076"/>
        </c:manualLayout>
      </c:layout>
      <c:lineChart>
        <c:grouping val="stacked"/>
        <c:varyColors val="0"/>
        <c:ser>
          <c:idx val="0"/>
          <c:order val="0"/>
          <c:tx>
            <c:strRef>
              <c:f>'2.a.1'!$F$13</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1B-4F56-A925-ECC1D6D81DFC}"/>
                </c:ext>
              </c:extLst>
            </c:dLbl>
            <c:dLbl>
              <c:idx val="2"/>
              <c:layout>
                <c:manualLayout>
                  <c:x val="-4.2645840349386059E-2"/>
                  <c:y val="4.146486125707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1B-4F56-A925-ECC1D6D81DFC}"/>
                </c:ext>
              </c:extLst>
            </c:dLbl>
            <c:dLbl>
              <c:idx val="5"/>
              <c:layout>
                <c:manualLayout>
                  <c:x val="-4.8201378086395005E-2"/>
                  <c:y val="4.2075220114193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1B-4F56-A925-ECC1D6D81DF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'2.a.1'!$C$14:$C$25</c:f>
              <c:numCache>
                <c:formatCode>####</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'2.a.1'!$F$14:$F$25</c:f>
              <c:numCache>
                <c:formatCode>0.00</c:formatCode>
                <c:ptCount val="12"/>
                <c:pt idx="0">
                  <c:v>1.080633217566388</c:v>
                </c:pt>
                <c:pt idx="1">
                  <c:v>1.2537617716947491</c:v>
                </c:pt>
                <c:pt idx="2">
                  <c:v>1.0553208169226063</c:v>
                </c:pt>
                <c:pt idx="3">
                  <c:v>1.1434488073446867</c:v>
                </c:pt>
                <c:pt idx="4">
                  <c:v>1.0780682610704675</c:v>
                </c:pt>
                <c:pt idx="5">
                  <c:v>1.0649639070051196</c:v>
                </c:pt>
                <c:pt idx="6">
                  <c:v>1.0939403367049327</c:v>
                </c:pt>
                <c:pt idx="7">
                  <c:v>1.1298459553601603</c:v>
                </c:pt>
                <c:pt idx="8">
                  <c:v>1.2766897286287426</c:v>
                </c:pt>
                <c:pt idx="9">
                  <c:v>1.1481038185477692</c:v>
                </c:pt>
                <c:pt idx="10">
                  <c:v>0.93687609255658444</c:v>
                </c:pt>
                <c:pt idx="11">
                  <c:v>1.0328721098448754</c:v>
                </c:pt>
              </c:numCache>
            </c:numRef>
          </c:val>
          <c:smooth val="0"/>
          <c:extLst>
            <c:ext xmlns:c16="http://schemas.microsoft.com/office/drawing/2014/chart" uri="{C3380CC4-5D6E-409C-BE32-E72D297353CC}">
              <c16:uniqueId val="{00000003-771B-4F56-A925-ECC1D6D81DFC}"/>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93-4DF9-812A-E56163676635}"/>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93-4DF9-812A-E56163676635}"/>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93-4DF9-812A-E56163676635}"/>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93-4DF9-812A-E56163676635}"/>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'8.8.2.b'!$D$13:$D$25</c:f>
              <c:numCache>
                <c:formatCode>0.0</c:formatCode>
                <c:ptCount val="13"/>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pt idx="11">
                  <c:v>10.3</c:v>
                </c:pt>
                <c:pt idx="12">
                  <c:v>10.6</c:v>
                </c:pt>
              </c:numCache>
            </c:numRef>
          </c:val>
          <c:smooth val="0"/>
          <c:extLst>
            <c:ext xmlns:c16="http://schemas.microsoft.com/office/drawing/2014/chart" uri="{C3380CC4-5D6E-409C-BE32-E72D297353CC}">
              <c16:uniqueId val="{00000005-FE93-4DF9-812A-E56163676635}"/>
            </c:ext>
          </c:extLst>
        </c:ser>
        <c:ser>
          <c:idx val="1"/>
          <c:order val="1"/>
          <c:tx>
            <c:strRef>
              <c:f>'8.8.2.b'!$F$12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93-4DF9-812A-E56163676635}"/>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93-4DF9-812A-E56163676635}"/>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93-4DF9-812A-E56163676635}"/>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93-4DF9-812A-E56163676635}"/>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'8.8.2.b'!$F$13:$F$25</c:f>
              <c:numCache>
                <c:formatCode>0.00</c:formatCode>
                <c:ptCount val="13"/>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pt idx="11">
                  <c:v>56.1</c:v>
                </c:pt>
                <c:pt idx="12">
                  <c:v>48.6</c:v>
                </c:pt>
              </c:numCache>
            </c:numRef>
          </c:val>
          <c:smooth val="0"/>
          <c:extLst>
            <c:ext xmlns:c16="http://schemas.microsoft.com/office/drawing/2014/chart" uri="{C3380CC4-5D6E-409C-BE32-E72D297353CC}">
              <c16:uniqueId val="{0000000B-FE93-4DF9-812A-E56163676635}"/>
            </c:ext>
          </c:extLst>
        </c:ser>
        <c:ser>
          <c:idx val="2"/>
          <c:order val="2"/>
          <c:tx>
            <c:strRef>
              <c:f>'8.8.2.b'!$G$12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93-4DF9-812A-E56163676635}"/>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93-4DF9-812A-E56163676635}"/>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93-4DF9-812A-E56163676635}"/>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93-4DF9-812A-E56163676635}"/>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93-4DF9-812A-E561636766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'8.8.2.b'!$G$13:$G$25</c:f>
              <c:numCache>
                <c:formatCode>0.00</c:formatCode>
                <c:ptCount val="13"/>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pt idx="11">
                  <c:v>1</c:v>
                </c:pt>
                <c:pt idx="12">
                  <c:v>1</c:v>
                </c:pt>
              </c:numCache>
            </c:numRef>
          </c:val>
          <c:smooth val="0"/>
          <c:extLst>
            <c:ext xmlns:c16="http://schemas.microsoft.com/office/drawing/2014/chart" uri="{C3380CC4-5D6E-409C-BE32-E72D297353CC}">
              <c16:uniqueId val="{00000011-FE93-4DF9-812A-E56163676635}"/>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'8.9.1'!$C$12:$C$20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'8.9.1'!$F$12:$F$20</c:f>
              <c:numCache>
                <c:formatCode>0.0%</c:formatCode>
                <c:ptCount val="9"/>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pt idx="8">
                  <c:v>1.8689880019045375E-2</c:v>
                </c:pt>
              </c:numCache>
            </c:numRef>
          </c:val>
          <c:smooth val="0"/>
          <c:extLst>
            <c:ext xmlns:c16="http://schemas.microsoft.com/office/drawing/2014/chart" uri="{C3380CC4-5D6E-409C-BE32-E72D297353CC}">
              <c16:uniqueId val="{00000000-7552-4BBF-A58F-007871195032}"/>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79041265104188E-2"/>
          <c:y val="0.125"/>
          <c:w val="0.90012948655497937"/>
          <c:h val="0.75348407480013035"/>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'8.10.1.a'!$D$11:$D$20</c:f>
              <c:numCache>
                <c:formatCode>0.00</c:formatCode>
                <c:ptCount val="10"/>
                <c:pt idx="0">
                  <c:v>21.235361448024445</c:v>
                </c:pt>
                <c:pt idx="1">
                  <c:v>21.270437002266554</c:v>
                </c:pt>
                <c:pt idx="2">
                  <c:v>21.257621066227031</c:v>
                </c:pt>
                <c:pt idx="3">
                  <c:v>20.690873949218602</c:v>
                </c:pt>
                <c:pt idx="4">
                  <c:v>19.702913005292995</c:v>
                </c:pt>
                <c:pt idx="5">
                  <c:v>19.702180531124036</c:v>
                </c:pt>
                <c:pt idx="6">
                  <c:v>18.947276041731069</c:v>
                </c:pt>
                <c:pt idx="7">
                  <c:v>17.149552159576483</c:v>
                </c:pt>
                <c:pt idx="8">
                  <c:v>16.297170627467466</c:v>
                </c:pt>
                <c:pt idx="9">
                  <c:v>15.800580154336417</c:v>
                </c:pt>
              </c:numCache>
            </c:numRef>
          </c:val>
          <c:smooth val="0"/>
          <c:extLst>
            <c:ext xmlns:c16="http://schemas.microsoft.com/office/drawing/2014/chart" uri="{C3380CC4-5D6E-409C-BE32-E72D297353CC}">
              <c16:uniqueId val="{00000000-88B7-465C-B738-6B6DB9A9EAA7}"/>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7962737052229E-2"/>
          <c:y val="0.10293380276536533"/>
          <c:w val="0.87809930008748915"/>
          <c:h val="0.74337550909584582"/>
        </c:manualLayout>
      </c:layout>
      <c:lineChart>
        <c:grouping val="standard"/>
        <c:varyColors val="0"/>
        <c:ser>
          <c:idx val="0"/>
          <c:order val="0"/>
          <c:tx>
            <c:strRef>
              <c:f>'8.10.1.b'!$G$11</c:f>
              <c:strCache>
                <c:ptCount val="1"/>
                <c:pt idx="0">
                  <c:v>ATM por cada 100.000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'8.10.1.b'!$G$12:$G$24</c:f>
              <c:numCache>
                <c:formatCode>###\ ###\ ###\ ###</c:formatCode>
                <c:ptCount val="13"/>
                <c:pt idx="0">
                  <c:v>60.940385694218683</c:v>
                </c:pt>
                <c:pt idx="1">
                  <c:v>63.913543153504719</c:v>
                </c:pt>
                <c:pt idx="2">
                  <c:v>65.843683642152627</c:v>
                </c:pt>
                <c:pt idx="3">
                  <c:v>64.805772996516012</c:v>
                </c:pt>
                <c:pt idx="4">
                  <c:v>66.623502038979737</c:v>
                </c:pt>
                <c:pt idx="5">
                  <c:v>70.669346249782762</c:v>
                </c:pt>
                <c:pt idx="6">
                  <c:v>68.184179585740239</c:v>
                </c:pt>
                <c:pt idx="7">
                  <c:v>69.527958137466669</c:v>
                </c:pt>
                <c:pt idx="8">
                  <c:v>71.825773820813183</c:v>
                </c:pt>
                <c:pt idx="9">
                  <c:v>68.06781011790666</c:v>
                </c:pt>
                <c:pt idx="10">
                  <c:v>66.037233507318405</c:v>
                </c:pt>
                <c:pt idx="11">
                  <c:v>64.804563534712088</c:v>
                </c:pt>
                <c:pt idx="12">
                  <c:v>64.092045826491329</c:v>
                </c:pt>
              </c:numCache>
            </c:numRef>
          </c:val>
          <c:smooth val="0"/>
          <c:extLst>
            <c:ext xmlns:c16="http://schemas.microsoft.com/office/drawing/2014/chart" uri="{C3380CC4-5D6E-409C-BE32-E72D297353CC}">
              <c16:uniqueId val="{00000000-DA1B-4F0D-9441-1D3300C928B1}"/>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2357890195247E-2"/>
          <c:y val="0.12741661676929525"/>
          <c:w val="0.87508449286304957"/>
          <c:h val="0.70357298594224305"/>
        </c:manualLayout>
      </c:layout>
      <c:lineChart>
        <c:grouping val="standard"/>
        <c:varyColors val="0"/>
        <c:ser>
          <c:idx val="0"/>
          <c:order val="0"/>
          <c:tx>
            <c:strRef>
              <c:f>'8.10.1.b'!$D$11</c:f>
              <c:strCache>
                <c:ptCount val="1"/>
                <c:pt idx="0">
                  <c:v>TPV* por cada 100 000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'8.10.1.b'!$D$12:$D$24</c:f>
              <c:numCache>
                <c:formatCode>###\ ###\ ###\ ###</c:formatCode>
                <c:ptCount val="13"/>
                <c:pt idx="0">
                  <c:v>2825.6756200287668</c:v>
                </c:pt>
                <c:pt idx="1">
                  <c:v>3550.0521145595267</c:v>
                </c:pt>
                <c:pt idx="2">
                  <c:v>3591.6168416780524</c:v>
                </c:pt>
                <c:pt idx="3">
                  <c:v>4085.7194608054997</c:v>
                </c:pt>
                <c:pt idx="4">
                  <c:v>3981.2836511850946</c:v>
                </c:pt>
                <c:pt idx="5">
                  <c:v>4549.3224786410965</c:v>
                </c:pt>
                <c:pt idx="6">
                  <c:v>4645.573346775358</c:v>
                </c:pt>
                <c:pt idx="7">
                  <c:v>4904.9615389103346</c:v>
                </c:pt>
                <c:pt idx="8">
                  <c:v>4495.1837086859941</c:v>
                </c:pt>
                <c:pt idx="9">
                  <c:v>4842.0586068697594</c:v>
                </c:pt>
                <c:pt idx="10">
                  <c:v>4803.7220687029949</c:v>
                </c:pt>
                <c:pt idx="11">
                  <c:v>4787.4032375266797</c:v>
                </c:pt>
                <c:pt idx="12">
                  <c:v>4818.8903029172216</c:v>
                </c:pt>
              </c:numCache>
            </c:numRef>
          </c:val>
          <c:smooth val="0"/>
          <c:extLst>
            <c:ext xmlns:c16="http://schemas.microsoft.com/office/drawing/2014/chart" uri="{C3380CC4-5D6E-409C-BE32-E72D297353CC}">
              <c16:uniqueId val="{00000000-856F-44EE-81C4-4BD8D18C389A}"/>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60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0654415201524469E-2"/>
              <c:y val="4.0421690300606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'8.10.2'!$C$14</c:f>
              <c:strCache>
                <c:ptCount val="1"/>
                <c:pt idx="0">
                  <c:v>2015</c:v>
                </c:pt>
              </c:strCache>
            </c:strRef>
          </c:tx>
          <c:spPr>
            <a:pattFill prst="wdDnDiag">
              <a:fgClr>
                <a:schemeClr val="bg1">
                  <a:lumMod val="50000"/>
                </a:schemeClr>
              </a:fgClr>
              <a:bgClr>
                <a:schemeClr val="bg1"/>
              </a:bgClr>
            </a:pattFill>
            <a:ln>
              <a:no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'8.10.2'!$D$13:$F$13</c:f>
              <c:strCache>
                <c:ptCount val="3"/>
                <c:pt idx="0">
                  <c:v>Total</c:v>
                </c:pt>
                <c:pt idx="1">
                  <c:v>Hombres</c:v>
                </c:pt>
                <c:pt idx="2">
                  <c:v>Mujeres</c:v>
                </c:pt>
              </c:strCache>
            </c:strRef>
          </c:cat>
          <c:val>
            <c:numRef>
              <c:f>'8.10.2'!$D$14:$F$14</c:f>
              <c:numCache>
                <c:formatCode>_(* #\ ##0.0_);_(* \(#\ ##0.0\);_(* "-"??_);_(@_)</c:formatCode>
                <c:ptCount val="3"/>
                <c:pt idx="0">
                  <c:v>65.638074423349437</c:v>
                </c:pt>
                <c:pt idx="1">
                  <c:v>69.497055289902605</c:v>
                </c:pt>
                <c:pt idx="2">
                  <c:v>60.45842093138922</c:v>
                </c:pt>
              </c:numCache>
            </c:numRef>
          </c:val>
          <c:extLst>
            <c:ext xmlns:c16="http://schemas.microsoft.com/office/drawing/2014/chart" uri="{C3380CC4-5D6E-409C-BE32-E72D297353CC}">
              <c16:uniqueId val="{00000000-7F69-4F6E-8123-4B0290FFCDBC}"/>
            </c:ext>
          </c:extLst>
        </c:ser>
        <c:ser>
          <c:idx val="1"/>
          <c:order val="1"/>
          <c:tx>
            <c:strRef>
              <c:f>'8.10.2'!$C$21</c:f>
              <c:strCache>
                <c:ptCount val="1"/>
                <c:pt idx="0">
                  <c:v>2023</c:v>
                </c:pt>
              </c:strCache>
            </c:strRef>
          </c:tx>
          <c:spPr>
            <a:solidFill>
              <a:srgbClr val="8D1737"/>
            </a:solid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'8.10.2'!$D$13:$F$13</c:f>
              <c:strCache>
                <c:ptCount val="3"/>
                <c:pt idx="0">
                  <c:v>Total</c:v>
                </c:pt>
                <c:pt idx="1">
                  <c:v>Hombres</c:v>
                </c:pt>
                <c:pt idx="2">
                  <c:v>Mujeres</c:v>
                </c:pt>
              </c:strCache>
            </c:strRef>
          </c:cat>
          <c:val>
            <c:numRef>
              <c:f>'8.10.2'!$D$21:$F$21</c:f>
              <c:numCache>
                <c:formatCode>_(* #\ ##0.0_);_(* \(#\ ##0.0\);_(* "-"??_);_(@_)</c:formatCode>
                <c:ptCount val="3"/>
                <c:pt idx="0">
                  <c:v>90.743152390660669</c:v>
                </c:pt>
                <c:pt idx="1">
                  <c:v>91.230143825927968</c:v>
                </c:pt>
                <c:pt idx="2">
                  <c:v>90.261690555312043</c:v>
                </c:pt>
              </c:numCache>
            </c:numRef>
          </c:val>
          <c:extLst>
            <c:ext xmlns:c16="http://schemas.microsoft.com/office/drawing/2014/chart" uri="{C3380CC4-5D6E-409C-BE32-E72D297353CC}">
              <c16:uniqueId val="{00000001-7F69-4F6E-8123-4B0290FFCDBC}"/>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a:lstStyle/>
              <a:p>
                <a:pPr>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vert="horz"/>
          <a:lstStyle/>
          <a:p>
            <a:pPr>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'9.2.1'!$D$30:$D$43</c:f>
              <c:numCache>
                <c:formatCode>0.0</c:formatCode>
                <c:ptCount val="14"/>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12.790846486885876</c:v>
                </c:pt>
                <c:pt idx="11">
                  <c:v>13.733396136461174</c:v>
                </c:pt>
                <c:pt idx="12">
                  <c:v>14.080061161719213</c:v>
                </c:pt>
                <c:pt idx="13">
                  <c:v>13.618787523609969</c:v>
                </c:pt>
              </c:numCache>
            </c:numRef>
          </c:val>
          <c:smooth val="0"/>
          <c:extLst>
            <c:ext xmlns:c16="http://schemas.microsoft.com/office/drawing/2014/chart" uri="{C3380CC4-5D6E-409C-BE32-E72D297353CC}">
              <c16:uniqueId val="{00000000-3963-4DB1-A6AE-A656CD6AF053}"/>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'9.2.2'!$D$12:$D$13</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4D-49FE-9D23-07D4D84F9A71}"/>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4D-49FE-9D23-07D4D84F9A71}"/>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4D-49FE-9D23-07D4D84F9A71}"/>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4D-49FE-9D23-07D4D84F9A71}"/>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4D-49FE-9D23-07D4D84F9A71}"/>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4D-49FE-9D23-07D4D84F9A7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'9.2.2'!$D$34:$D$48</c:f>
              <c:numCache>
                <c:formatCode>0.0</c:formatCode>
                <c:ptCount val="15"/>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pt idx="12">
                  <c:v>11.578657977495439</c:v>
                </c:pt>
                <c:pt idx="13">
                  <c:v>12.4204562786105</c:v>
                </c:pt>
                <c:pt idx="14">
                  <c:v>11.211378389530879</c:v>
                </c:pt>
              </c:numCache>
            </c:numRef>
          </c:val>
          <c:smooth val="0"/>
          <c:extLst>
            <c:ext xmlns:c16="http://schemas.microsoft.com/office/drawing/2014/chart" uri="{C3380CC4-5D6E-409C-BE32-E72D297353CC}">
              <c16:uniqueId val="{00000006-FC4D-49FE-9D23-07D4D84F9A71}"/>
            </c:ext>
          </c:extLst>
        </c:ser>
        <c:ser>
          <c:idx val="1"/>
          <c:order val="1"/>
          <c:tx>
            <c:strRef>
              <c:f>'9.2.2'!$E$13</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'9.2.2'!$E$34:$E$48</c:f>
              <c:numCache>
                <c:formatCode>0.0</c:formatCode>
                <c:ptCount val="15"/>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pt idx="12">
                  <c:v>12.253420317809731</c:v>
                </c:pt>
                <c:pt idx="13">
                  <c:v>12.857318036508195</c:v>
                </c:pt>
                <c:pt idx="14">
                  <c:v>11.690018491308788</c:v>
                </c:pt>
              </c:numCache>
            </c:numRef>
          </c:val>
          <c:smooth val="0"/>
          <c:extLst>
            <c:ext xmlns:c16="http://schemas.microsoft.com/office/drawing/2014/chart" uri="{C3380CC4-5D6E-409C-BE32-E72D297353CC}">
              <c16:uniqueId val="{00000007-FC4D-49FE-9D23-07D4D84F9A71}"/>
            </c:ext>
          </c:extLst>
        </c:ser>
        <c:ser>
          <c:idx val="2"/>
          <c:order val="2"/>
          <c:tx>
            <c:strRef>
              <c:f>'9.2.2'!$F$13</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'9.2.2'!$F$34:$F$48</c:f>
              <c:numCache>
                <c:formatCode>0.0</c:formatCode>
                <c:ptCount val="15"/>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pt idx="12">
                  <c:v>10.496391620800171</c:v>
                </c:pt>
                <c:pt idx="13">
                  <c:v>11.683831612030241</c:v>
                </c:pt>
                <c:pt idx="14">
                  <c:v>10.461995968094545</c:v>
                </c:pt>
              </c:numCache>
            </c:numRef>
          </c:val>
          <c:smooth val="0"/>
          <c:extLst>
            <c:ext xmlns:c16="http://schemas.microsoft.com/office/drawing/2014/chart" uri="{C3380CC4-5D6E-409C-BE32-E72D297353CC}">
              <c16:uniqueId val="{00000008-FC4D-49FE-9D23-07D4D84F9A71}"/>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numRef>
              <c:f>'9.4.1'!$C$11:$C$21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'9.4.1'!$F$11:$F$21</c:f>
              <c:numCache>
                <c:formatCode>0.00</c:formatCode>
                <c:ptCount val="11"/>
                <c:pt idx="0">
                  <c:v>274.68105508629134</c:v>
                </c:pt>
                <c:pt idx="1">
                  <c:v>261.95725606918069</c:v>
                </c:pt>
                <c:pt idx="2">
                  <c:v>263.93495048109497</c:v>
                </c:pt>
                <c:pt idx="3">
                  <c:v>253.38401813903116</c:v>
                </c:pt>
                <c:pt idx="4">
                  <c:v>234.09455935289148</c:v>
                </c:pt>
                <c:pt idx="5">
                  <c:v>237.51341117847537</c:v>
                </c:pt>
                <c:pt idx="6">
                  <c:v>231.42537910569027</c:v>
                </c:pt>
                <c:pt idx="7">
                  <c:v>227.09579100760641</c:v>
                </c:pt>
                <c:pt idx="8">
                  <c:v>223.36034577378257</c:v>
                </c:pt>
                <c:pt idx="9">
                  <c:v>204.67286258747583</c:v>
                </c:pt>
                <c:pt idx="10">
                  <c:v>218.03157098552916</c:v>
                </c:pt>
              </c:numCache>
            </c:numRef>
          </c:val>
          <c:smooth val="0"/>
          <c:extLst>
            <c:ext xmlns:c16="http://schemas.microsoft.com/office/drawing/2014/chart" uri="{C3380CC4-5D6E-409C-BE32-E72D297353CC}">
              <c16:uniqueId val="{00000000-4F4C-43E1-92B2-78A8C0C900C7}"/>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ae'!$D$12:$D$22</c:f>
              <c:numCache>
                <c:formatCode>###\ ###\ ###\ ##0.0</c:formatCode>
                <c:ptCount val="11"/>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pt idx="8">
                  <c:v>395.85421830481761</c:v>
                </c:pt>
                <c:pt idx="9">
                  <c:v>344.90300568011264</c:v>
                </c:pt>
                <c:pt idx="10">
                  <c:v>387.81580022962015</c:v>
                </c:pt>
              </c:numCache>
            </c:numRef>
          </c:val>
          <c:smooth val="0"/>
          <c:extLst>
            <c:ext xmlns:c16="http://schemas.microsoft.com/office/drawing/2014/chart" uri="{C3380CC4-5D6E-409C-BE32-E72D297353CC}">
              <c16:uniqueId val="{00000000-EBCC-48A9-898C-310DC2B99036}"/>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ae'!$E$12:$E$22</c:f>
              <c:numCache>
                <c:formatCode>###\ ###\ ###\ ##0.0</c:formatCode>
                <c:ptCount val="11"/>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pt idx="8">
                  <c:v>994.86985209124828</c:v>
                </c:pt>
                <c:pt idx="9">
                  <c:v>1227.8499268237108</c:v>
                </c:pt>
                <c:pt idx="10">
                  <c:v>1309.8481372573513</c:v>
                </c:pt>
              </c:numCache>
            </c:numRef>
          </c:val>
          <c:smooth val="0"/>
          <c:extLst>
            <c:ext xmlns:c16="http://schemas.microsoft.com/office/drawing/2014/chart" uri="{C3380CC4-5D6E-409C-BE32-E72D297353CC}">
              <c16:uniqueId val="{00000001-EBCC-48A9-898C-310DC2B99036}"/>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ae'!$F$12:$F$22</c:f>
              <c:numCache>
                <c:formatCode>###\ ###\ ###\ ##0.0</c:formatCode>
                <c:ptCount val="11"/>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pt idx="8">
                  <c:v>250.81994803942024</c:v>
                </c:pt>
                <c:pt idx="9">
                  <c:v>267.1967762897778</c:v>
                </c:pt>
                <c:pt idx="10">
                  <c:v>255.53842633393239</c:v>
                </c:pt>
              </c:numCache>
            </c:numRef>
          </c:val>
          <c:smooth val="0"/>
          <c:extLst>
            <c:ext xmlns:c16="http://schemas.microsoft.com/office/drawing/2014/chart" uri="{C3380CC4-5D6E-409C-BE32-E72D297353CC}">
              <c16:uniqueId val="{00000002-EBCC-48A9-898C-310DC2B99036}"/>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ae'!$G$12:$G$22</c:f>
              <c:numCache>
                <c:formatCode>###\ ###\ ###\ ##0.0</c:formatCode>
                <c:ptCount val="11"/>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pt idx="8">
                  <c:v>102.15496488458059</c:v>
                </c:pt>
                <c:pt idx="9">
                  <c:v>42.311733507074678</c:v>
                </c:pt>
                <c:pt idx="10">
                  <c:v>51.246258662902221</c:v>
                </c:pt>
              </c:numCache>
            </c:numRef>
          </c:val>
          <c:smooth val="0"/>
          <c:extLst>
            <c:ext xmlns:c16="http://schemas.microsoft.com/office/drawing/2014/chart" uri="{C3380CC4-5D6E-409C-BE32-E72D297353CC}">
              <c16:uniqueId val="{00000003-EBCC-48A9-898C-310DC2B99036}"/>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ae'!$H$12:$H$22</c:f>
              <c:numCache>
                <c:formatCode>###\ ###\ ###\ ##0.0</c:formatCode>
                <c:ptCount val="11"/>
                <c:pt idx="0">
                  <c:v>162.19485420253847</c:v>
                </c:pt>
                <c:pt idx="1">
                  <c:v>156.094772983496</c:v>
                </c:pt>
                <c:pt idx="2">
                  <c:v>177.50530619704583</c:v>
                </c:pt>
                <c:pt idx="3">
                  <c:v>194.33740863022555</c:v>
                </c:pt>
                <c:pt idx="4">
                  <c:v>174.11147279973528</c:v>
                </c:pt>
                <c:pt idx="5">
                  <c:v>181.98002269954694</c:v>
                </c:pt>
                <c:pt idx="6">
                  <c:v>182.003546200502</c:v>
                </c:pt>
                <c:pt idx="7">
                  <c:v>188.38650205669973</c:v>
                </c:pt>
                <c:pt idx="8">
                  <c:v>195.56225102609994</c:v>
                </c:pt>
                <c:pt idx="9">
                  <c:v>191.85545892920157</c:v>
                </c:pt>
                <c:pt idx="10">
                  <c:v>213.2815194527013</c:v>
                </c:pt>
              </c:numCache>
            </c:numRef>
          </c:val>
          <c:smooth val="0"/>
          <c:extLst>
            <c:ext xmlns:c16="http://schemas.microsoft.com/office/drawing/2014/chart" uri="{C3380CC4-5D6E-409C-BE32-E72D297353CC}">
              <c16:uniqueId val="{00000004-EBCC-48A9-898C-310DC2B99036}"/>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EBCC-48A9-898C-310DC2B99036}"/>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ae'!$J$12:$J$22</c:f>
              <c:numCache>
                <c:formatCode>###\ ###\ ###\ ##0.0</c:formatCode>
                <c:ptCount val="11"/>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pt idx="8">
                  <c:v>809.89871572911102</c:v>
                </c:pt>
                <c:pt idx="9">
                  <c:v>797.72586153419081</c:v>
                </c:pt>
                <c:pt idx="10">
                  <c:v>840.3039307948186</c:v>
                </c:pt>
              </c:numCache>
            </c:numRef>
          </c:val>
          <c:smooth val="0"/>
          <c:extLst>
            <c:ext xmlns:c16="http://schemas.microsoft.com/office/drawing/2014/chart" uri="{C3380CC4-5D6E-409C-BE32-E72D297353CC}">
              <c16:uniqueId val="{00000006-EBCC-48A9-898C-310DC2B99036}"/>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ae'!$K$12:$K$22</c:f>
              <c:numCache>
                <c:formatCode>###\ ###\ ###\ ##0.0</c:formatCode>
                <c:ptCount val="11"/>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pt idx="8">
                  <c:v>82.344963690788063</c:v>
                </c:pt>
                <c:pt idx="9">
                  <c:v>115.71427114962228</c:v>
                </c:pt>
                <c:pt idx="10">
                  <c:v>115.14824081773121</c:v>
                </c:pt>
              </c:numCache>
            </c:numRef>
          </c:val>
          <c:smooth val="0"/>
          <c:extLst>
            <c:ext xmlns:c16="http://schemas.microsoft.com/office/drawing/2014/chart" uri="{C3380CC4-5D6E-409C-BE32-E72D297353CC}">
              <c16:uniqueId val="{00000007-EBCC-48A9-898C-310DC2B99036}"/>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ae'!$L$12:$L$22</c:f>
              <c:numCache>
                <c:formatCode>###\ ###\ ###\ ##0.0</c:formatCode>
                <c:ptCount val="11"/>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pt idx="8">
                  <c:v>5.6948766875685548</c:v>
                </c:pt>
                <c:pt idx="9">
                  <c:v>6.8941674505639412</c:v>
                </c:pt>
                <c:pt idx="10">
                  <c:v>5.8941280316031293</c:v>
                </c:pt>
              </c:numCache>
            </c:numRef>
          </c:val>
          <c:smooth val="0"/>
          <c:extLst>
            <c:ext xmlns:c16="http://schemas.microsoft.com/office/drawing/2014/chart" uri="{C3380CC4-5D6E-409C-BE32-E72D297353CC}">
              <c16:uniqueId val="{00000008-EBCC-48A9-898C-310DC2B99036}"/>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EBCC-48A9-898C-310DC2B99036}"/>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ae'!$N$12:$N$22</c:f>
              <c:numCache>
                <c:formatCode>###\ ###\ ###\ ##0.0</c:formatCode>
                <c:ptCount val="11"/>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pt idx="8">
                  <c:v>0.49135597829201766</c:v>
                </c:pt>
                <c:pt idx="9">
                  <c:v>0.37047975075859307</c:v>
                </c:pt>
                <c:pt idx="10">
                  <c:v>0.50474532996943033</c:v>
                </c:pt>
              </c:numCache>
            </c:numRef>
          </c:val>
          <c:smooth val="0"/>
          <c:extLst>
            <c:ext xmlns:c16="http://schemas.microsoft.com/office/drawing/2014/chart" uri="{C3380CC4-5D6E-409C-BE32-E72D297353CC}">
              <c16:uniqueId val="{0000000A-EBCC-48A9-898C-310DC2B99036}"/>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ae'!$O$12:$O$22</c:f>
              <c:numCache>
                <c:formatCode>###\ ###\ ###\ ##0.0</c:formatCode>
                <c:ptCount val="11"/>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pt idx="8">
                  <c:v>38.507427032706076</c:v>
                </c:pt>
                <c:pt idx="9">
                  <c:v>37.418584808576924</c:v>
                </c:pt>
                <c:pt idx="10">
                  <c:v>41.106933529330277</c:v>
                </c:pt>
              </c:numCache>
            </c:numRef>
          </c:val>
          <c:smooth val="0"/>
          <c:extLst>
            <c:ext xmlns:c16="http://schemas.microsoft.com/office/drawing/2014/chart" uri="{C3380CC4-5D6E-409C-BE32-E72D297353CC}">
              <c16:uniqueId val="{0000000B-EBCC-48A9-898C-310DC2B99036}"/>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f>'9.4.1. ae'!$C$12:$C$22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'9.4.1. ae'!$P$12:$P$22</c:f>
              <c:numCache>
                <c:formatCode>###\ ###\ ###\ ##0.0</c:formatCode>
                <c:ptCount val="11"/>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pt idx="8">
                  <c:v>140.66244412325551</c:v>
                </c:pt>
                <c:pt idx="9">
                  <c:v>124.42795402700588</c:v>
                </c:pt>
                <c:pt idx="10">
                  <c:v>124.09556294668137</c:v>
                </c:pt>
              </c:numCache>
            </c:numRef>
          </c:val>
          <c:smooth val="0"/>
          <c:extLst>
            <c:ext xmlns:c16="http://schemas.microsoft.com/office/drawing/2014/chart" uri="{C3380CC4-5D6E-409C-BE32-E72D297353CC}">
              <c16:uniqueId val="{0000000C-EBCC-48A9-898C-310DC2B99036}"/>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de CO2 / millón de colones</a:t>
                </a: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011874315"/>
          <c:y val="8.6669260352075575E-3"/>
          <c:w val="0.2700644356795831"/>
          <c:h val="0.96072529084279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'3.1.1'!$D$10:$D$11</c:f>
              <c:strCache>
                <c:ptCount val="2"/>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'3.1.1'!$C$12:$C$26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2024a/</c:v>
                </c:pt>
              </c:strCache>
            </c:strRef>
          </c:cat>
          <c:val>
            <c:numRef>
              <c:f>'3.1.1'!$D$12:$D$26</c:f>
              <c:numCache>
                <c:formatCode>0.0</c:formatCode>
                <c:ptCount val="15"/>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40.524609490126728</c:v>
                </c:pt>
                <c:pt idx="12">
                  <c:v>14.971460653129972</c:v>
                </c:pt>
                <c:pt idx="13">
                  <c:v>9.9591674136042219</c:v>
                </c:pt>
                <c:pt idx="14">
                  <c:v>32.733224222585925</c:v>
                </c:pt>
              </c:numCache>
            </c:numRef>
          </c:val>
          <c:smooth val="0"/>
          <c:extLst>
            <c:ext xmlns:c16="http://schemas.microsoft.com/office/drawing/2014/chart" uri="{C3380CC4-5D6E-409C-BE32-E72D297353CC}">
              <c16:uniqueId val="{00000000-4C92-4CA8-ABFC-410315E18390}"/>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RMM</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'9.5.1'!$C$13:$C$25</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'9.5.1'!$D$13:$D$25</c:f>
              <c:numCache>
                <c:formatCode>0.00</c:formatCode>
                <c:ptCount val="13"/>
                <c:pt idx="0">
                  <c:v>0.5</c:v>
                </c:pt>
                <c:pt idx="1">
                  <c:v>0.48</c:v>
                </c:pt>
                <c:pt idx="2">
                  <c:v>0.56999999999999995</c:v>
                </c:pt>
                <c:pt idx="3">
                  <c:v>0.56000000000000005</c:v>
                </c:pt>
                <c:pt idx="4">
                  <c:v>0.57999999999999996</c:v>
                </c:pt>
                <c:pt idx="5">
                  <c:v>0.48</c:v>
                </c:pt>
                <c:pt idx="6">
                  <c:v>0.47</c:v>
                </c:pt>
                <c:pt idx="7">
                  <c:v>0.45</c:v>
                </c:pt>
                <c:pt idx="8">
                  <c:v>0.39</c:v>
                </c:pt>
                <c:pt idx="10">
                  <c:v>0.34</c:v>
                </c:pt>
                <c:pt idx="11">
                  <c:v>0.32</c:v>
                </c:pt>
                <c:pt idx="12">
                  <c:v>0.34</c:v>
                </c:pt>
              </c:numCache>
            </c:numRef>
          </c:val>
          <c:smooth val="0"/>
          <c:extLst>
            <c:ext xmlns:c16="http://schemas.microsoft.com/office/drawing/2014/chart" uri="{C3380CC4-5D6E-409C-BE32-E72D297353CC}">
              <c16:uniqueId val="{00000000-D1BC-483E-85D6-8722FC42223D}"/>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'9.5.2'!$C$14:$C$26</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'9.5.2'!$D$14:$D$26</c:f>
              <c:numCache>
                <c:formatCode>0.00</c:formatCode>
                <c:ptCount val="13"/>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pt idx="10">
                  <c:v>684.96125596186278</c:v>
                </c:pt>
                <c:pt idx="11">
                  <c:v>708.88496269057089</c:v>
                </c:pt>
                <c:pt idx="12">
                  <c:v>790.65879409380568</c:v>
                </c:pt>
              </c:numCache>
            </c:numRef>
          </c:val>
          <c:smooth val="0"/>
          <c:extLst>
            <c:ext xmlns:c16="http://schemas.microsoft.com/office/drawing/2014/chart" uri="{C3380CC4-5D6E-409C-BE32-E72D297353CC}">
              <c16:uniqueId val="{00000000-0A0F-4DFC-8A91-E233354CC302}"/>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'9.b.1'!$C$11:$C$23</c:f>
              <c:strCache>
                <c:ptCount val="13"/>
                <c:pt idx="0">
                  <c:v>2010</c:v>
                </c:pt>
                <c:pt idx="1">
                  <c:v>2011</c:v>
                </c:pt>
                <c:pt idx="2">
                  <c:v>2012</c:v>
                </c:pt>
                <c:pt idx="3">
                  <c:v>2013</c:v>
                </c:pt>
                <c:pt idx="4">
                  <c:v>2014</c:v>
                </c:pt>
                <c:pt idx="5">
                  <c:v>2015</c:v>
                </c:pt>
                <c:pt idx="6">
                  <c:v>2016</c:v>
                </c:pt>
                <c:pt idx="7">
                  <c:v>2017</c:v>
                </c:pt>
                <c:pt idx="8">
                  <c:v>2018</c:v>
                </c:pt>
                <c:pt idx="9">
                  <c:v>2019/1</c:v>
                </c:pt>
                <c:pt idx="10">
                  <c:v>2020</c:v>
                </c:pt>
                <c:pt idx="11">
                  <c:v>2021</c:v>
                </c:pt>
                <c:pt idx="12">
                  <c:v>2022</c:v>
                </c:pt>
              </c:strCache>
            </c:strRef>
          </c:cat>
          <c:val>
            <c:numRef>
              <c:f>'9.b.1'!$D$11:$D$23</c:f>
              <c:numCache>
                <c:formatCode>General</c:formatCode>
                <c:ptCount val="13"/>
                <c:pt idx="0">
                  <c:v>1.88</c:v>
                </c:pt>
                <c:pt idx="1">
                  <c:v>1.81</c:v>
                </c:pt>
                <c:pt idx="2">
                  <c:v>1.98</c:v>
                </c:pt>
                <c:pt idx="3">
                  <c:v>2.0099999999999998</c:v>
                </c:pt>
                <c:pt idx="4">
                  <c:v>2.58</c:v>
                </c:pt>
                <c:pt idx="5">
                  <c:v>2.15</c:v>
                </c:pt>
                <c:pt idx="6" formatCode="0.00">
                  <c:v>2.16</c:v>
                </c:pt>
                <c:pt idx="7">
                  <c:v>2.38</c:v>
                </c:pt>
                <c:pt idx="8">
                  <c:v>2.67</c:v>
                </c:pt>
                <c:pt idx="10">
                  <c:v>2.17</c:v>
                </c:pt>
                <c:pt idx="11">
                  <c:v>2.41</c:v>
                </c:pt>
                <c:pt idx="12">
                  <c:v>1.83</c:v>
                </c:pt>
              </c:numCache>
            </c:numRef>
          </c:val>
          <c:smooth val="0"/>
          <c:extLst>
            <c:ext xmlns:c16="http://schemas.microsoft.com/office/drawing/2014/chart" uri="{C3380CC4-5D6E-409C-BE32-E72D297353CC}">
              <c16:uniqueId val="{00000000-CB42-4171-8190-9BFDA37AA22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2989780251E-2"/>
          <c:y val="0.1121911235070743"/>
          <c:w val="0.89269114322264809"/>
          <c:h val="0.66278537551227146"/>
        </c:manualLayout>
      </c:layout>
      <c:barChart>
        <c:barDir val="col"/>
        <c:grouping val="stacked"/>
        <c:varyColors val="0"/>
        <c:ser>
          <c:idx val="0"/>
          <c:order val="0"/>
          <c:tx>
            <c:strRef>
              <c:f>'9.c.1'!$J$12:$R$12</c:f>
              <c:strCache>
                <c:ptCount val="1"/>
                <c:pt idx="0">
                  <c:v>Telefonía fija</c:v>
                </c:pt>
              </c:strCache>
            </c:strRef>
          </c:tx>
          <c:spPr>
            <a:pattFill prst="wdDnDiag">
              <a:fgClr>
                <a:schemeClr val="bg2">
                  <a:lumMod val="50000"/>
                </a:schemeClr>
              </a:fgClr>
              <a:bgClr>
                <a:schemeClr val="bg1"/>
              </a:bgClr>
            </a:pattFill>
            <a:ln>
              <a:noFill/>
            </a:ln>
            <a:effectLst/>
          </c:spPr>
          <c:invertIfNegative val="0"/>
          <c:dLbls>
            <c:dLbl>
              <c:idx val="6"/>
              <c:layout>
                <c:manualLayout>
                  <c:x val="-1.8835105245859337E-6"/>
                  <c:y val="-6.77602338696071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'9.c.1'!$L$15:$L$27</c:f>
              <c:numCache>
                <c:formatCode>0</c:formatCode>
                <c:ptCount val="13"/>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pt idx="11">
                  <c:v>9.4298650275963958</c:v>
                </c:pt>
                <c:pt idx="12">
                  <c:v>7</c:v>
                </c:pt>
              </c:numCache>
            </c:numRef>
          </c:val>
          <c:extLst>
            <c:ext xmlns:c16="http://schemas.microsoft.com/office/drawing/2014/chart" uri="{C3380CC4-5D6E-409C-BE32-E72D297353CC}">
              <c16:uniqueId val="{00000001-19FA-48E7-BCC0-85ECC31BA9E1}"/>
            </c:ext>
          </c:extLst>
        </c:ser>
        <c:ser>
          <c:idx val="1"/>
          <c:order val="1"/>
          <c:tx>
            <c:strRef>
              <c:f>'9.c.1'!$U$12:$Z$12</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'9.c.1'!$X$15:$X$27</c:f>
              <c:numCache>
                <c:formatCode>0</c:formatCode>
                <c:ptCount val="13"/>
                <c:pt idx="0">
                  <c:v>90.049022712459887</c:v>
                </c:pt>
                <c:pt idx="1">
                  <c:v>103.74040910408884</c:v>
                </c:pt>
                <c:pt idx="2">
                  <c:v>127.70257176693363</c:v>
                </c:pt>
                <c:pt idx="3">
                  <c:v>129.87377255595385</c:v>
                </c:pt>
                <c:pt idx="4">
                  <c:v>138.09660293768886</c:v>
                </c:pt>
                <c:pt idx="5">
                  <c:v>152.33124058482991</c:v>
                </c:pt>
                <c:pt idx="6">
                  <c:v>157.21984278896977</c:v>
                </c:pt>
                <c:pt idx="7">
                  <c:v>138.30769544401988</c:v>
                </c:pt>
                <c:pt idx="8">
                  <c:v>144.52273395430254</c:v>
                </c:pt>
                <c:pt idx="9">
                  <c:v>146.97750329763554</c:v>
                </c:pt>
                <c:pt idx="10">
                  <c:v>151.74079764923067</c:v>
                </c:pt>
                <c:pt idx="11">
                  <c:v>151.07646466905618</c:v>
                </c:pt>
                <c:pt idx="12">
                  <c:v>141</c:v>
                </c:pt>
              </c:numCache>
            </c:numRef>
          </c:val>
          <c:extLst>
            <c:ext xmlns:c16="http://schemas.microsoft.com/office/drawing/2014/chart" uri="{C3380CC4-5D6E-409C-BE32-E72D297353CC}">
              <c16:uniqueId val="{00000002-19FA-48E7-BCC0-85ECC31BA9E1}"/>
            </c:ext>
          </c:extLst>
        </c:ser>
        <c:ser>
          <c:idx val="2"/>
          <c:order val="2"/>
          <c:tx>
            <c:strRef>
              <c:f>'9.c.1'!$AB$13</c:f>
              <c:strCache>
                <c:ptCount val="1"/>
              </c:strCache>
            </c:strRef>
          </c:tx>
          <c:spPr>
            <a:solidFill>
              <a:schemeClr val="dk1">
                <a:tint val="75000"/>
              </a:schemeClr>
            </a:solidFill>
            <a:ln>
              <a:noFill/>
            </a:ln>
            <a:effectLst/>
          </c:spPr>
          <c:invertIfNegative val="0"/>
          <c:dLbls>
            <c:dLbl>
              <c:idx val="9"/>
              <c:layout>
                <c:manualLayout>
                  <c:x val="-4.7841167324482719E-3"/>
                  <c:y val="-7.02493853178791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A-48E7-BCC0-85ECC31BA9E1}"/>
                </c:ext>
              </c:extLst>
            </c:dLbl>
            <c:dLbl>
              <c:idx val="10"/>
              <c:layout>
                <c:manualLayout>
                  <c:x val="2.39389936424064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'9.c.1'!$AG$15:$AG$27</c:f>
              <c:numCache>
                <c:formatCode>0</c:formatCode>
                <c:ptCount val="13"/>
                <c:pt idx="0">
                  <c:v>9</c:v>
                </c:pt>
                <c:pt idx="1">
                  <c:v>10</c:v>
                </c:pt>
                <c:pt idx="2">
                  <c:v>10</c:v>
                </c:pt>
                <c:pt idx="3">
                  <c:v>11</c:v>
                </c:pt>
                <c:pt idx="4">
                  <c:v>12</c:v>
                </c:pt>
                <c:pt idx="5">
                  <c:v>13</c:v>
                </c:pt>
                <c:pt idx="6">
                  <c:v>15</c:v>
                </c:pt>
                <c:pt idx="7">
                  <c:v>16.684327983240198</c:v>
                </c:pt>
                <c:pt idx="8">
                  <c:v>17.887163336600636</c:v>
                </c:pt>
                <c:pt idx="9">
                  <c:v>19.422398252634686</c:v>
                </c:pt>
                <c:pt idx="10">
                  <c:v>20.5</c:v>
                </c:pt>
                <c:pt idx="11">
                  <c:v>21.2</c:v>
                </c:pt>
                <c:pt idx="12">
                  <c:v>21.9</c:v>
                </c:pt>
              </c:numCache>
            </c:numRef>
          </c:val>
          <c:extLst>
            <c:ext xmlns:c16="http://schemas.microsoft.com/office/drawing/2014/chart" uri="{C3380CC4-5D6E-409C-BE32-E72D297353CC}">
              <c16:uniqueId val="{00000005-19FA-48E7-BCC0-85ECC31BA9E1}"/>
            </c:ext>
          </c:extLst>
        </c:ser>
        <c:ser>
          <c:idx val="3"/>
          <c:order val="3"/>
          <c:tx>
            <c:strRef>
              <c:f>'9.c.1'!$AJ$13</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'9.c.1'!$AJ$15:$AJ$27</c:f>
              <c:numCache>
                <c:formatCode>0</c:formatCode>
                <c:ptCount val="13"/>
                <c:pt idx="0">
                  <c:v>35</c:v>
                </c:pt>
                <c:pt idx="1">
                  <c:v>57</c:v>
                </c:pt>
                <c:pt idx="2">
                  <c:v>75</c:v>
                </c:pt>
                <c:pt idx="3">
                  <c:v>80</c:v>
                </c:pt>
                <c:pt idx="4">
                  <c:v>86</c:v>
                </c:pt>
                <c:pt idx="5">
                  <c:v>89</c:v>
                </c:pt>
                <c:pt idx="6">
                  <c:v>96.715061576678281</c:v>
                </c:pt>
                <c:pt idx="7">
                  <c:v>101.51804712073904</c:v>
                </c:pt>
                <c:pt idx="8">
                  <c:v>91.918200192289177</c:v>
                </c:pt>
                <c:pt idx="9">
                  <c:v>92.672244962961997</c:v>
                </c:pt>
                <c:pt idx="10">
                  <c:v>95.00100575727825</c:v>
                </c:pt>
                <c:pt idx="11">
                  <c:v>95.944708999681978</c:v>
                </c:pt>
                <c:pt idx="12">
                  <c:v>99</c:v>
                </c:pt>
              </c:numCache>
            </c:numRef>
          </c:val>
          <c:extLst>
            <c:ext xmlns:c16="http://schemas.microsoft.com/office/drawing/2014/chart" uri="{C3380CC4-5D6E-409C-BE32-E72D297353CC}">
              <c16:uniqueId val="{00000006-19FA-48E7-BCC0-85ECC31BA9E1}"/>
            </c:ext>
          </c:extLst>
        </c:ser>
        <c:ser>
          <c:idx val="4"/>
          <c:order val="4"/>
          <c:tx>
            <c:strRef>
              <c:f>'9.c.1'!$AN$12:$AP$12</c:f>
              <c:strCache>
                <c:ptCount val="1"/>
                <c:pt idx="0">
                  <c:v>Televisión por suscripción </c:v>
                </c:pt>
              </c:strCache>
            </c:strRef>
          </c:tx>
          <c:spPr>
            <a:solidFill>
              <a:schemeClr val="bg2">
                <a:lumMod val="75000"/>
              </a:schemeClr>
            </a:solidFill>
            <a:ln>
              <a:noFill/>
            </a:ln>
            <a:effectLst/>
          </c:spPr>
          <c:invertIfNegative val="0"/>
          <c:dLbls>
            <c:dLbl>
              <c:idx val="7"/>
              <c:layout>
                <c:manualLayout>
                  <c:x val="2.3938993642406477E-3"/>
                  <c:y val="-3.5350855852570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A-48E7-BCC0-85ECC31BA9E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'9.c.1'!$AO$15:$AO$27</c:f>
              <c:numCache>
                <c:formatCode>0</c:formatCode>
                <c:ptCount val="13"/>
                <c:pt idx="0">
                  <c:v>11</c:v>
                </c:pt>
                <c:pt idx="1">
                  <c:v>12</c:v>
                </c:pt>
                <c:pt idx="2">
                  <c:v>14</c:v>
                </c:pt>
                <c:pt idx="3">
                  <c:v>15</c:v>
                </c:pt>
                <c:pt idx="4">
                  <c:v>16</c:v>
                </c:pt>
                <c:pt idx="5">
                  <c:v>17</c:v>
                </c:pt>
                <c:pt idx="6">
                  <c:v>17</c:v>
                </c:pt>
                <c:pt idx="7">
                  <c:v>18</c:v>
                </c:pt>
                <c:pt idx="8">
                  <c:v>17.3</c:v>
                </c:pt>
                <c:pt idx="9">
                  <c:v>16.954659516931123</c:v>
                </c:pt>
                <c:pt idx="10">
                  <c:v>16.442838499348639</c:v>
                </c:pt>
                <c:pt idx="11">
                  <c:v>15.912840888470816</c:v>
                </c:pt>
                <c:pt idx="12">
                  <c:v>16</c:v>
                </c:pt>
              </c:numCache>
            </c:numRef>
          </c:val>
          <c:extLst>
            <c:ext xmlns:c16="http://schemas.microsoft.com/office/drawing/2014/chart" uri="{C3380CC4-5D6E-409C-BE32-E72D297353CC}">
              <c16:uniqueId val="{00000008-19FA-48E7-BCC0-85ECC31BA9E1}"/>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'9.c.1'!$C$15:$C$25</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9-19FA-48E7-BCC0-85ECC31BA9E1}"/>
                  </c:ext>
                </c:extLst>
              </c15:ser>
            </c15:filteredLineSeries>
          </c:ext>
        </c:extLst>
      </c:lineChart>
      <c:catAx>
        <c:axId val="24900966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Número </a:t>
                </a:r>
              </a:p>
            </c:rich>
          </c:tx>
          <c:layout>
            <c:manualLayout>
              <c:xMode val="edge"/>
              <c:yMode val="edge"/>
              <c:x val="0"/>
              <c:y val="2.898672672825155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2.9467333806094474E-2"/>
          <c:y val="0.8812702416412912"/>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'10.1.1'!$C$13:$C$27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'10.1.1'!$D$13:$D$27</c:f>
              <c:numCache>
                <c:formatCode>###0.0</c:formatCode>
                <c:ptCount val="15"/>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pt idx="12">
                  <c:v>13.371424633674589</c:v>
                </c:pt>
                <c:pt idx="13">
                  <c:v>13.555801576163077</c:v>
                </c:pt>
                <c:pt idx="14">
                  <c:v>13.949989273279096</c:v>
                </c:pt>
              </c:numCache>
            </c:numRef>
          </c:val>
          <c:smooth val="0"/>
          <c:extLst>
            <c:ext xmlns:c16="http://schemas.microsoft.com/office/drawing/2014/chart" uri="{C3380CC4-5D6E-409C-BE32-E72D297353CC}">
              <c16:uniqueId val="{00000000-7968-487E-908D-E3014B666604}"/>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'10.2.1.a'!$D$12:$D$26</c:f>
              <c:numCache>
                <c:formatCode>0.0</c:formatCode>
                <c:ptCount val="15"/>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pt idx="12">
                  <c:v>22.414935378425369</c:v>
                </c:pt>
                <c:pt idx="13">
                  <c:v>22.719819892477208</c:v>
                </c:pt>
                <c:pt idx="14">
                  <c:v>22.299679682046115</c:v>
                </c:pt>
              </c:numCache>
            </c:numRef>
          </c:val>
          <c:smooth val="0"/>
          <c:extLst>
            <c:ext xmlns:c16="http://schemas.microsoft.com/office/drawing/2014/chart" uri="{C3380CC4-5D6E-409C-BE32-E72D297353CC}">
              <c16:uniqueId val="{00000000-4761-4EFD-B3AA-5EBF3E8B3E40}"/>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613595597864E-2"/>
          <c:y val="0.10884353741496598"/>
          <c:w val="0.90493536280937836"/>
          <c:h val="0.55358937275697684"/>
        </c:manualLayout>
      </c:layout>
      <c:lineChart>
        <c:grouping val="standard"/>
        <c:varyColors val="0"/>
        <c:ser>
          <c:idx val="0"/>
          <c:order val="0"/>
          <c:tx>
            <c:strRef>
              <c:f>'10.2.1.b'!$K$12</c:f>
              <c:strCache>
                <c:ptCount val="1"/>
                <c:pt idx="0">
                  <c:v>Central</c:v>
                </c:pt>
              </c:strCache>
            </c:strRef>
          </c:tx>
          <c:spPr>
            <a:ln w="28575" cap="rnd">
              <a:solidFill>
                <a:srgbClr val="DD1367"/>
              </a:solidFill>
              <a:prstDash val="lgDash"/>
              <a:round/>
            </a:ln>
            <a:effectLst/>
          </c:spPr>
          <c:marker>
            <c:symbol val="x"/>
            <c:size val="5"/>
            <c:spPr>
              <a:solidFill>
                <a:srgbClr val="DD1367"/>
              </a:solidFill>
              <a:ln w="9525">
                <a:solidFill>
                  <a:srgbClr val="DD1367"/>
                </a:solidFill>
              </a:ln>
              <a:effectLst/>
            </c:spPr>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'10.2.1.b'!$K$13:$K$21</c:f>
              <c:numCache>
                <c:formatCode>0.0</c:formatCode>
                <c:ptCount val="9"/>
                <c:pt idx="0">
                  <c:v>15.725424150256714</c:v>
                </c:pt>
                <c:pt idx="1">
                  <c:v>15.389074326440413</c:v>
                </c:pt>
                <c:pt idx="2">
                  <c:v>15.912211256141731</c:v>
                </c:pt>
                <c:pt idx="3">
                  <c:v>15.632707830540083</c:v>
                </c:pt>
                <c:pt idx="4">
                  <c:v>17.344091274586027</c:v>
                </c:pt>
                <c:pt idx="5">
                  <c:v>16.270516526329018</c:v>
                </c:pt>
                <c:pt idx="6">
                  <c:v>15.68468293436255</c:v>
                </c:pt>
                <c:pt idx="7">
                  <c:v>16.314382314373045</c:v>
                </c:pt>
                <c:pt idx="8">
                  <c:v>15.195385313450407</c:v>
                </c:pt>
              </c:numCache>
            </c:numRef>
          </c:val>
          <c:smooth val="0"/>
          <c:extLst>
            <c:ext xmlns:c16="http://schemas.microsoft.com/office/drawing/2014/chart" uri="{C3380CC4-5D6E-409C-BE32-E72D297353CC}">
              <c16:uniqueId val="{00000000-DC48-4155-AF1A-D5723941AC59}"/>
            </c:ext>
          </c:extLst>
        </c:ser>
        <c:ser>
          <c:idx val="1"/>
          <c:order val="1"/>
          <c:tx>
            <c:strRef>
              <c:f>'10.2.1.b'!$L$12</c:f>
              <c:strCache>
                <c:ptCount val="1"/>
                <c:pt idx="0">
                  <c:v>Chorotega</c:v>
                </c:pt>
              </c:strCache>
            </c:strRef>
          </c:tx>
          <c:spPr>
            <a:ln w="28575" cap="rnd">
              <a:solidFill>
                <a:sysClr val="windowText" lastClr="000000"/>
              </a:solidFill>
              <a:prstDash val="lgDashDot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'10.2.1.b'!$L$13:$L$21</c:f>
              <c:numCache>
                <c:formatCode>0.0</c:formatCode>
                <c:ptCount val="9"/>
                <c:pt idx="0">
                  <c:v>28.410657300930907</c:v>
                </c:pt>
                <c:pt idx="1">
                  <c:v>26.799094981817412</c:v>
                </c:pt>
                <c:pt idx="2">
                  <c:v>28.261772256361105</c:v>
                </c:pt>
                <c:pt idx="3">
                  <c:v>22.125544616700633</c:v>
                </c:pt>
                <c:pt idx="4">
                  <c:v>29.660963123864693</c:v>
                </c:pt>
                <c:pt idx="5">
                  <c:v>27.52913828819915</c:v>
                </c:pt>
                <c:pt idx="6">
                  <c:v>27.450097590781692</c:v>
                </c:pt>
                <c:pt idx="7">
                  <c:v>30.367543094922382</c:v>
                </c:pt>
                <c:pt idx="8">
                  <c:v>31.540017015697341</c:v>
                </c:pt>
              </c:numCache>
            </c:numRef>
          </c:val>
          <c:smooth val="0"/>
          <c:extLst>
            <c:ext xmlns:c16="http://schemas.microsoft.com/office/drawing/2014/chart" uri="{C3380CC4-5D6E-409C-BE32-E72D297353CC}">
              <c16:uniqueId val="{00000001-DC48-4155-AF1A-D5723941AC59}"/>
            </c:ext>
          </c:extLst>
        </c:ser>
        <c:ser>
          <c:idx val="2"/>
          <c:order val="2"/>
          <c:tx>
            <c:strRef>
              <c:f>'10.2.1.b'!$M$12</c:f>
              <c:strCache>
                <c:ptCount val="1"/>
                <c:pt idx="0">
                  <c:v>Pacífico Central</c:v>
                </c:pt>
              </c:strCache>
            </c:strRef>
          </c:tx>
          <c:spPr>
            <a:ln w="28575" cap="rnd">
              <a:solidFill>
                <a:schemeClr val="accent3"/>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'10.2.1.b'!$M$13:$M$21</c:f>
              <c:numCache>
                <c:formatCode>0.0</c:formatCode>
                <c:ptCount val="9"/>
                <c:pt idx="0">
                  <c:v>28.957826596594728</c:v>
                </c:pt>
                <c:pt idx="1">
                  <c:v>33.155470661310027</c:v>
                </c:pt>
                <c:pt idx="2">
                  <c:v>26.467598215138572</c:v>
                </c:pt>
                <c:pt idx="3">
                  <c:v>31.003667822159279</c:v>
                </c:pt>
                <c:pt idx="4">
                  <c:v>30.678183404266569</c:v>
                </c:pt>
                <c:pt idx="5">
                  <c:v>28.681017051800094</c:v>
                </c:pt>
                <c:pt idx="6">
                  <c:v>30.275717841471867</c:v>
                </c:pt>
                <c:pt idx="7">
                  <c:v>28.64838192359883</c:v>
                </c:pt>
                <c:pt idx="8">
                  <c:v>30.47326002748969</c:v>
                </c:pt>
              </c:numCache>
            </c:numRef>
          </c:val>
          <c:smooth val="0"/>
          <c:extLst>
            <c:ext xmlns:c16="http://schemas.microsoft.com/office/drawing/2014/chart" uri="{C3380CC4-5D6E-409C-BE32-E72D297353CC}">
              <c16:uniqueId val="{00000002-DC48-4155-AF1A-D5723941AC59}"/>
            </c:ext>
          </c:extLst>
        </c:ser>
        <c:ser>
          <c:idx val="3"/>
          <c:order val="3"/>
          <c:tx>
            <c:strRef>
              <c:f>'10.2.1.b'!$N$12</c:f>
              <c:strCache>
                <c:ptCount val="1"/>
                <c:pt idx="0">
                  <c:v>Brunca</c:v>
                </c:pt>
              </c:strCache>
            </c:strRef>
          </c:tx>
          <c:spPr>
            <a:ln w="28575" cap="rnd">
              <a:solidFill>
                <a:sysClr val="windowText" lastClr="000000"/>
              </a:solidFill>
              <a:prstDash val="sysDot"/>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'10.2.1.b'!$N$13:$N$21</c:f>
              <c:numCache>
                <c:formatCode>0.0</c:formatCode>
                <c:ptCount val="9"/>
                <c:pt idx="0">
                  <c:v>37.562633025895707</c:v>
                </c:pt>
                <c:pt idx="1">
                  <c:v>36.829639980634653</c:v>
                </c:pt>
                <c:pt idx="2">
                  <c:v>36.752223148059606</c:v>
                </c:pt>
                <c:pt idx="3">
                  <c:v>34.08832260920817</c:v>
                </c:pt>
                <c:pt idx="4">
                  <c:v>24.544921362952071</c:v>
                </c:pt>
                <c:pt idx="5">
                  <c:v>36.998376496625106</c:v>
                </c:pt>
                <c:pt idx="6">
                  <c:v>36.138002694067964</c:v>
                </c:pt>
                <c:pt idx="7">
                  <c:v>34.663356922363946</c:v>
                </c:pt>
                <c:pt idx="8">
                  <c:v>38.054719794535451</c:v>
                </c:pt>
              </c:numCache>
            </c:numRef>
          </c:val>
          <c:smooth val="0"/>
          <c:extLst>
            <c:ext xmlns:c16="http://schemas.microsoft.com/office/drawing/2014/chart" uri="{C3380CC4-5D6E-409C-BE32-E72D297353CC}">
              <c16:uniqueId val="{00000003-DC48-4155-AF1A-D5723941AC59}"/>
            </c:ext>
          </c:extLst>
        </c:ser>
        <c:ser>
          <c:idx val="4"/>
          <c:order val="4"/>
          <c:tx>
            <c:strRef>
              <c:f>'10.2.1.b'!$O$12</c:f>
              <c:strCache>
                <c:ptCount val="1"/>
                <c:pt idx="0">
                  <c:v>Huetar Caribe</c:v>
                </c:pt>
              </c:strCache>
            </c:strRef>
          </c:tx>
          <c:spPr>
            <a:ln w="28575" cap="rnd">
              <a:solidFill>
                <a:schemeClr val="bg1">
                  <a:lumMod val="50000"/>
                </a:schemeClr>
              </a:solidFill>
              <a:prstDash val="dash"/>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'10.2.1.b'!$O$13:$O$21</c:f>
              <c:numCache>
                <c:formatCode>0.0</c:formatCode>
                <c:ptCount val="9"/>
                <c:pt idx="0">
                  <c:v>31.786772864072027</c:v>
                </c:pt>
                <c:pt idx="1">
                  <c:v>30.748621529600779</c:v>
                </c:pt>
                <c:pt idx="2">
                  <c:v>31.426469869290628</c:v>
                </c:pt>
                <c:pt idx="3">
                  <c:v>32.806761915436496</c:v>
                </c:pt>
                <c:pt idx="4">
                  <c:v>28.496249921171145</c:v>
                </c:pt>
                <c:pt idx="5">
                  <c:v>32.639414476400162</c:v>
                </c:pt>
                <c:pt idx="6">
                  <c:v>35.767997581445258</c:v>
                </c:pt>
                <c:pt idx="7">
                  <c:v>35.899159026560604</c:v>
                </c:pt>
                <c:pt idx="8">
                  <c:v>35.351529085803222</c:v>
                </c:pt>
              </c:numCache>
            </c:numRef>
          </c:val>
          <c:smooth val="0"/>
          <c:extLst>
            <c:ext xmlns:c16="http://schemas.microsoft.com/office/drawing/2014/chart" uri="{C3380CC4-5D6E-409C-BE32-E72D297353CC}">
              <c16:uniqueId val="{00000004-DC48-4155-AF1A-D5723941AC59}"/>
            </c:ext>
          </c:extLst>
        </c:ser>
        <c:ser>
          <c:idx val="5"/>
          <c:order val="5"/>
          <c:tx>
            <c:strRef>
              <c:f>'10.2.1.b'!$P$12</c:f>
              <c:strCache>
                <c:ptCount val="1"/>
                <c:pt idx="0">
                  <c:v>Huetar Norte</c:v>
                </c:pt>
              </c:strCache>
            </c:strRef>
          </c:tx>
          <c:spPr>
            <a:ln w="28575" cap="rnd">
              <a:solidFill>
                <a:srgbClr val="DD1367"/>
              </a:solidFill>
              <a:round/>
            </a:ln>
            <a:effectLst/>
          </c:spPr>
          <c:marker>
            <c:symbol val="none"/>
          </c:marker>
          <c:cat>
            <c:numRef>
              <c:f>'10.2.1.b'!$C$13:$C$21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'10.2.1.b'!$P$13:$P$21</c:f>
              <c:numCache>
                <c:formatCode>0.0</c:formatCode>
                <c:ptCount val="9"/>
                <c:pt idx="0">
                  <c:v>35.35133034945158</c:v>
                </c:pt>
                <c:pt idx="1">
                  <c:v>31.965338909828571</c:v>
                </c:pt>
                <c:pt idx="2">
                  <c:v>37.794759664583196</c:v>
                </c:pt>
                <c:pt idx="3">
                  <c:v>34.464225487834256</c:v>
                </c:pt>
                <c:pt idx="4">
                  <c:v>27.660532307859988</c:v>
                </c:pt>
                <c:pt idx="5">
                  <c:v>34.331882085322199</c:v>
                </c:pt>
                <c:pt idx="6">
                  <c:v>35.549863920019789</c:v>
                </c:pt>
                <c:pt idx="7">
                  <c:v>33.949277971839102</c:v>
                </c:pt>
                <c:pt idx="8">
                  <c:v>32.330567234802331</c:v>
                </c:pt>
              </c:numCache>
            </c:numRef>
          </c:val>
          <c:smooth val="0"/>
          <c:extLst>
            <c:ext xmlns:c16="http://schemas.microsoft.com/office/drawing/2014/chart" uri="{C3380CC4-5D6E-409C-BE32-E72D297353CC}">
              <c16:uniqueId val="{00000005-DC48-4155-AF1A-D5723941AC59}"/>
            </c:ext>
          </c:extLst>
        </c:ser>
        <c:dLbls>
          <c:showLegendKey val="0"/>
          <c:showVal val="0"/>
          <c:showCatName val="0"/>
          <c:showSerName val="0"/>
          <c:showPercent val="0"/>
          <c:showBubbleSize val="0"/>
        </c:dLbls>
        <c:marker val="1"/>
        <c:smooth val="0"/>
        <c:axId val="1120956687"/>
        <c:axId val="1120957519"/>
      </c:lineChart>
      <c:catAx>
        <c:axId val="11209566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7519"/>
        <c:crosses val="autoZero"/>
        <c:auto val="1"/>
        <c:lblAlgn val="ctr"/>
        <c:lblOffset val="100"/>
        <c:noMultiLvlLbl val="0"/>
      </c:catAx>
      <c:valAx>
        <c:axId val="1120957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Procentaje</a:t>
                </a:r>
              </a:p>
            </c:rich>
          </c:tx>
          <c:layout>
            <c:manualLayout>
              <c:xMode val="edge"/>
              <c:yMode val="edge"/>
              <c:x val="1.9305019305019305E-2"/>
              <c:y val="1.832520934883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6687"/>
        <c:crosses val="autoZero"/>
        <c:crossBetween val="between"/>
      </c:valAx>
      <c:spPr>
        <a:noFill/>
        <a:ln>
          <a:noFill/>
        </a:ln>
        <a:effectLst/>
      </c:spPr>
    </c:plotArea>
    <c:legend>
      <c:legendPos val="b"/>
      <c:layout>
        <c:manualLayout>
          <c:xMode val="edge"/>
          <c:yMode val="edge"/>
          <c:x val="5.7275779716724595E-2"/>
          <c:y val="0.8401349831271091"/>
          <c:w val="0.9068984620165722"/>
          <c:h val="0.13265413251914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'10.4.1'!$D$30:$D$43</c:f>
              <c:numCache>
                <c:formatCode>0.00</c:formatCode>
                <c:ptCount val="14"/>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49.670713079287921</c:v>
                </c:pt>
                <c:pt idx="11">
                  <c:v>47.958967729042584</c:v>
                </c:pt>
                <c:pt idx="12">
                  <c:v>46.965988315623953</c:v>
                </c:pt>
                <c:pt idx="13">
                  <c:v>48.12369996662779</c:v>
                </c:pt>
              </c:numCache>
            </c:numRef>
          </c:val>
          <c:smooth val="0"/>
          <c:extLst>
            <c:ext xmlns:c16="http://schemas.microsoft.com/office/drawing/2014/chart" uri="{C3380CC4-5D6E-409C-BE32-E72D297353CC}">
              <c16:uniqueId val="{00000000-41CC-4784-8687-B66E6BD690E7}"/>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'10.5.1'!$G$11</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'10.5.1'!$G$12:$G$25</c:f>
              <c:numCache>
                <c:formatCode>0.00</c:formatCode>
                <c:ptCount val="14"/>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pt idx="12" formatCode="[$-10409]#\ ##0.00;\-#\ ##0.00">
                  <c:v>7.75</c:v>
                </c:pt>
                <c:pt idx="13" formatCode="[$-10409]#\ ##0.00;\-#\ ##0.00">
                  <c:v>5.08</c:v>
                </c:pt>
              </c:numCache>
            </c:numRef>
          </c:val>
          <c:extLst>
            <c:ext xmlns:c16="http://schemas.microsoft.com/office/drawing/2014/chart" uri="{C3380CC4-5D6E-409C-BE32-E72D297353CC}">
              <c16:uniqueId val="{00000000-3037-46E9-89D3-DE84D070B20F}"/>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'10.5.1'!$H$11</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7-46E9-89D3-DE84D070B20F}"/>
                </c:ext>
              </c:extLst>
            </c:dLbl>
            <c:dLbl>
              <c:idx val="1"/>
              <c:layout>
                <c:manualLayout>
                  <c:x val="-3.88888888888888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7-46E9-89D3-DE84D070B20F}"/>
                </c:ext>
              </c:extLst>
            </c:dLbl>
            <c:dLbl>
              <c:idx val="2"/>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37-46E9-89D3-DE84D070B20F}"/>
                </c:ext>
              </c:extLst>
            </c:dLbl>
            <c:dLbl>
              <c:idx val="3"/>
              <c:layout>
                <c:manualLayout>
                  <c:x val="-4.444444444444444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37-46E9-89D3-DE84D070B20F}"/>
                </c:ext>
              </c:extLst>
            </c:dLbl>
            <c:dLbl>
              <c:idx val="4"/>
              <c:layout>
                <c:manualLayout>
                  <c:x val="-3.88888888888888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37-46E9-89D3-DE84D070B20F}"/>
                </c:ext>
              </c:extLst>
            </c:dLbl>
            <c:dLbl>
              <c:idx val="5"/>
              <c:layout>
                <c:manualLayout>
                  <c:x val="-3.3333333333333229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37-46E9-89D3-DE84D070B20F}"/>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37-46E9-89D3-DE84D070B20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'10.5.1'!$H$12:$H$25</c:f>
              <c:numCache>
                <c:formatCode>0.00</c:formatCode>
                <c:ptCount val="14"/>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pt idx="12" formatCode="[$-10409]#\ ##0.00;\-#\ ##0.00">
                  <c:v>1.8</c:v>
                </c:pt>
                <c:pt idx="13" formatCode="[$-10409]#\ ##0.00;\-#\ ##0.00">
                  <c:v>1.5</c:v>
                </c:pt>
              </c:numCache>
            </c:numRef>
          </c:val>
          <c:smooth val="0"/>
          <c:extLst>
            <c:ext xmlns:c16="http://schemas.microsoft.com/office/drawing/2014/chart" uri="{C3380CC4-5D6E-409C-BE32-E72D297353CC}">
              <c16:uniqueId val="{00000008-3037-46E9-89D3-DE84D070B20F}"/>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delete val="1"/>
          </c:dLbls>
          <c:cat>
            <c:strRef>
              <c:f>'10.c.1'!$C$12:$C$44</c:f>
              <c:strCache>
                <c:ptCount val="33"/>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strCache>
            </c:strRef>
          </c:cat>
          <c:val>
            <c:numRef>
              <c:f>'10.c.1'!$D$12:$D$44</c:f>
              <c:numCache>
                <c:formatCode>General</c:formatCode>
                <c:ptCount val="33"/>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pt idx="25">
                  <c:v>6.23</c:v>
                </c:pt>
                <c:pt idx="26">
                  <c:v>5.95</c:v>
                </c:pt>
                <c:pt idx="27">
                  <c:v>6.22</c:v>
                </c:pt>
                <c:pt idx="28">
                  <c:v>6.36</c:v>
                </c:pt>
                <c:pt idx="29">
                  <c:v>6.41</c:v>
                </c:pt>
                <c:pt idx="30">
                  <c:v>6.08</c:v>
                </c:pt>
                <c:pt idx="31">
                  <c:v>6</c:v>
                </c:pt>
              </c:numCache>
            </c:numRef>
          </c:val>
          <c:smooth val="0"/>
          <c:extLst>
            <c:ext xmlns:c16="http://schemas.microsoft.com/office/drawing/2014/chart" uri="{C3380CC4-5D6E-409C-BE32-E72D297353CC}">
              <c16:uniqueId val="{00000000-D4A3-454C-8D41-D160A320C74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delete val="1"/>
          </c:dLbls>
          <c:cat>
            <c:strRef>
              <c:f>'10.c.1'!$C$12:$C$44</c:f>
              <c:strCache>
                <c:ptCount val="33"/>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pt idx="29">
                  <c:v>I Trimeste 2023</c:v>
                </c:pt>
                <c:pt idx="30">
                  <c:v>II Trimestre 2023</c:v>
                </c:pt>
                <c:pt idx="31">
                  <c:v>III Trimestre 2023</c:v>
                </c:pt>
                <c:pt idx="32">
                  <c:v>IV Trimestre 2023</c:v>
                </c:pt>
              </c:strCache>
            </c:strRef>
          </c:cat>
          <c:val>
            <c:numRef>
              <c:f>'10.c.1'!$E$12:$E$44</c:f>
              <c:numCache>
                <c:formatCode>General</c:formatCode>
                <c:ptCount val="33"/>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pt idx="25">
                  <c:v>4.5999999999999996</c:v>
                </c:pt>
                <c:pt idx="26">
                  <c:v>4.2699999999999996</c:v>
                </c:pt>
                <c:pt idx="27">
                  <c:v>4.47</c:v>
                </c:pt>
                <c:pt idx="28">
                  <c:v>4.84</c:v>
                </c:pt>
                <c:pt idx="29">
                  <c:v>4.9400000000000004</c:v>
                </c:pt>
                <c:pt idx="30">
                  <c:v>4.54</c:v>
                </c:pt>
                <c:pt idx="31">
                  <c:v>4.46</c:v>
                </c:pt>
              </c:numCache>
            </c:numRef>
          </c:val>
          <c:smooth val="0"/>
          <c:extLst>
            <c:ext xmlns:c16="http://schemas.microsoft.com/office/drawing/2014/chart" uri="{C3380CC4-5D6E-409C-BE32-E72D297353CC}">
              <c16:uniqueId val="{00000001-D4A3-454C-8D41-D160A320C74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814848"/>
        <c:crosses val="autoZero"/>
        <c:crossBetween val="between"/>
      </c:valAx>
      <c:spPr>
        <a:noFill/>
        <a:ln>
          <a:noFill/>
        </a:ln>
        <a:effectLst/>
      </c:spPr>
    </c:plotArea>
    <c:legend>
      <c:legendPos val="b"/>
      <c:layout>
        <c:manualLayout>
          <c:xMode val="edge"/>
          <c:yMode val="edge"/>
          <c:x val="0.8036451558941563"/>
          <c:y val="0.94356474198069196"/>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ODS 6.'!A1"/><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ODS 15.'!A1"/><Relationship Id="rId21" Type="http://schemas.openxmlformats.org/officeDocument/2006/relationships/hyperlink" Target="#'ODS 10.'!A1"/><Relationship Id="rId34" Type="http://schemas.openxmlformats.org/officeDocument/2006/relationships/image" Target="../media/image17.png"/><Relationship Id="rId7" Type="http://schemas.openxmlformats.org/officeDocument/2006/relationships/hyperlink" Target="#'ODS 3.'!A1"/><Relationship Id="rId12" Type="http://schemas.openxmlformats.org/officeDocument/2006/relationships/image" Target="../media/image6.png"/><Relationship Id="rId17" Type="http://schemas.openxmlformats.org/officeDocument/2006/relationships/hyperlink" Target="#'ODS 8.'!A1"/><Relationship Id="rId25" Type="http://schemas.openxmlformats.org/officeDocument/2006/relationships/hyperlink" Target="#'ODS 12.'!A1"/><Relationship Id="rId33" Type="http://schemas.openxmlformats.org/officeDocument/2006/relationships/hyperlink" Target="#'ODS 17.'!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ODS 14.'!A1"/><Relationship Id="rId1" Type="http://schemas.openxmlformats.org/officeDocument/2006/relationships/hyperlink" Target="#'ODS 1.'!A1"/><Relationship Id="rId6" Type="http://schemas.openxmlformats.org/officeDocument/2006/relationships/image" Target="../media/image3.png"/><Relationship Id="rId11" Type="http://schemas.openxmlformats.org/officeDocument/2006/relationships/hyperlink" Target="#'ODS 5.'!A1"/><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ODS 2.'!A1"/><Relationship Id="rId15" Type="http://schemas.openxmlformats.org/officeDocument/2006/relationships/hyperlink" Target="#'ODS 7.'!A1"/><Relationship Id="rId23" Type="http://schemas.openxmlformats.org/officeDocument/2006/relationships/hyperlink" Target="#'ODS 11.'!A1"/><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ODS 9.'!A1"/><Relationship Id="rId31" Type="http://schemas.openxmlformats.org/officeDocument/2006/relationships/hyperlink" Target="#'ODS 16.'!A1"/><Relationship Id="rId4" Type="http://schemas.openxmlformats.org/officeDocument/2006/relationships/image" Target="../media/image2.png"/><Relationship Id="rId9" Type="http://schemas.openxmlformats.org/officeDocument/2006/relationships/hyperlink" Target="#'ODS 4.'!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ODS 13.'!A1"/><Relationship Id="rId30" Type="http://schemas.openxmlformats.org/officeDocument/2006/relationships/image" Target="../media/image15.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0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0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2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2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2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36.emf"/></Relationships>
</file>

<file path=xl/drawings/_rels/drawing13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3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emf"/><Relationship Id="rId4" Type="http://schemas.openxmlformats.org/officeDocument/2006/relationships/image" Target="../media/image41.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142.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9" Type="http://schemas.openxmlformats.org/officeDocument/2006/relationships/image" Target="../media/image50.png"/></Relationships>
</file>

<file path=xl/drawings/_rels/drawing14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4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47.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4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6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17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72.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7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9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02.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0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11.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1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1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21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2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25.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4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44.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45.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5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5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1.xml.rels><?xml version="1.0" encoding="UTF-8" standalone="yes"?>
<Relationships xmlns="http://schemas.openxmlformats.org/package/2006/relationships"><Relationship Id="rId1" Type="http://schemas.openxmlformats.org/officeDocument/2006/relationships/image" Target="../media/image59.png"/></Relationships>
</file>

<file path=xl/drawings/_rels/drawing26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3.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26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68.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70.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7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7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7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0.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8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2.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png"/><Relationship Id="rId1" Type="http://schemas.openxmlformats.org/officeDocument/2006/relationships/chart" Target="../charts/chart112.xml"/><Relationship Id="rId4" Type="http://schemas.openxmlformats.org/officeDocument/2006/relationships/chart" Target="../charts/chart113.xml"/></Relationships>
</file>

<file path=xl/drawings/_rels/drawing28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8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8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89.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0.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chart" Target="../charts/chart115.xml"/></Relationships>
</file>

<file path=xl/drawings/_rels/drawing292.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image" Target="../media/image69.png"/></Relationships>
</file>

<file path=xl/drawings/_rels/drawing29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9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298.xml.rels><?xml version="1.0" encoding="UTF-8" standalone="yes"?>
<Relationships xmlns="http://schemas.openxmlformats.org/package/2006/relationships"><Relationship Id="rId1" Type="http://schemas.openxmlformats.org/officeDocument/2006/relationships/image" Target="../media/image71.png"/></Relationships>
</file>

<file path=xl/drawings/_rels/drawing29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0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30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309.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11.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313.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1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17.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1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0.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2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23.xml.rels><?xml version="1.0" encoding="UTF-8" standalone="yes"?>
<Relationships xmlns="http://schemas.openxmlformats.org/package/2006/relationships"><Relationship Id="rId1" Type="http://schemas.openxmlformats.org/officeDocument/2006/relationships/image" Target="../media/image72.png"/></Relationships>
</file>

<file path=xl/drawings/_rels/drawing324.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28.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3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3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334.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3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37.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3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0.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4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3.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4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4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5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5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3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hyperlink" Target="https://unstats.un.org/sdgs/dataportal/database" TargetMode="External"/></Relationships>
</file>

<file path=xl/drawings/_rels/drawing7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8466</xdr:rowOff>
    </xdr:from>
    <xdr:to>
      <xdr:col>14</xdr:col>
      <xdr:colOff>1693</xdr:colOff>
      <xdr:row>6</xdr:row>
      <xdr:rowOff>8466</xdr:rowOff>
    </xdr:to>
    <xdr:grpSp>
      <xdr:nvGrpSpPr>
        <xdr:cNvPr id="2" name="Grupo 1">
          <a:hlinkClick xmlns:r="http://schemas.openxmlformats.org/officeDocument/2006/relationships" r:id="rId1"/>
          <a:extLst>
            <a:ext uri="{FF2B5EF4-FFF2-40B4-BE49-F238E27FC236}">
              <a16:creationId xmlns:a16="http://schemas.microsoft.com/office/drawing/2014/main" id="{C523D97F-9A58-4482-A2D7-47E386D91F9E}"/>
            </a:ext>
          </a:extLst>
        </xdr:cNvPr>
        <xdr:cNvGrpSpPr/>
      </xdr:nvGrpSpPr>
      <xdr:grpSpPr>
        <a:xfrm>
          <a:off x="447675" y="779991"/>
          <a:ext cx="8774218" cy="685800"/>
          <a:chOff x="518160" y="780626"/>
          <a:chExt cx="10065173" cy="701040"/>
        </a:xfrm>
      </xdr:grpSpPr>
      <xdr:sp macro="" textlink="">
        <xdr:nvSpPr>
          <xdr:cNvPr id="3" name="Rectángulo redondeado 2">
            <a:extLst>
              <a:ext uri="{FF2B5EF4-FFF2-40B4-BE49-F238E27FC236}">
                <a16:creationId xmlns:a16="http://schemas.microsoft.com/office/drawing/2014/main" id="{4825BEBF-7609-46D3-9A12-9B8E86E57DFB}"/>
              </a:ext>
            </a:extLst>
          </xdr:cNvPr>
          <xdr:cNvSpPr/>
        </xdr:nvSpPr>
        <xdr:spPr>
          <a:xfrm>
            <a:off x="518160" y="780626"/>
            <a:ext cx="10065173" cy="701040"/>
          </a:xfrm>
          <a:prstGeom prst="roundRect">
            <a:avLst/>
          </a:prstGeom>
          <a:solidFill>
            <a:srgbClr val="FFCCC4"/>
          </a:solidFill>
          <a:ln w="19050">
            <a:solidFill>
              <a:srgbClr val="E8002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 Poner fin a la pobreza en todas sus formas en todo el mundo</a:t>
            </a:r>
            <a:endParaRPr lang="es-ES_tradnl" sz="1100">
              <a:latin typeface="Open Sans Condensed" pitchFamily="2" charset="0"/>
              <a:ea typeface="Open Sans Condensed" pitchFamily="2" charset="0"/>
              <a:cs typeface="Open Sans Condensed" pitchFamily="2" charset="0"/>
            </a:endParaRPr>
          </a:p>
        </xdr:txBody>
      </xdr:sp>
      <xdr:pic>
        <xdr:nvPicPr>
          <xdr:cNvPr id="4" name="Imagen 3">
            <a:extLst>
              <a:ext uri="{FF2B5EF4-FFF2-40B4-BE49-F238E27FC236}">
                <a16:creationId xmlns:a16="http://schemas.microsoft.com/office/drawing/2014/main" id="{0B023C19-5204-47AE-81C1-7304555BDC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893" y="789093"/>
            <a:ext cx="1288627" cy="657861"/>
          </a:xfrm>
          <a:prstGeom prst="rect">
            <a:avLst/>
          </a:prstGeom>
        </xdr:spPr>
      </xdr:pic>
    </xdr:grpSp>
    <xdr:clientData/>
  </xdr:twoCellAnchor>
  <xdr:twoCellAnchor>
    <xdr:from>
      <xdr:col>1</xdr:col>
      <xdr:colOff>8466</xdr:colOff>
      <xdr:row>59</xdr:row>
      <xdr:rowOff>0</xdr:rowOff>
    </xdr:from>
    <xdr:to>
      <xdr:col>14</xdr:col>
      <xdr:colOff>4234</xdr:colOff>
      <xdr:row>62</xdr:row>
      <xdr:rowOff>16933</xdr:rowOff>
    </xdr:to>
    <xdr:grpSp>
      <xdr:nvGrpSpPr>
        <xdr:cNvPr id="5" name="Grupo 4">
          <a:extLst>
            <a:ext uri="{FF2B5EF4-FFF2-40B4-BE49-F238E27FC236}">
              <a16:creationId xmlns:a16="http://schemas.microsoft.com/office/drawing/2014/main" id="{E9E65414-3DFC-40C5-9880-D6D4DF8C0061}"/>
            </a:ext>
          </a:extLst>
        </xdr:cNvPr>
        <xdr:cNvGrpSpPr/>
      </xdr:nvGrpSpPr>
      <xdr:grpSpPr>
        <a:xfrm>
          <a:off x="456141" y="11706225"/>
          <a:ext cx="8768293" cy="702733"/>
          <a:chOff x="524932" y="2150534"/>
          <a:chExt cx="10138835" cy="702733"/>
        </a:xfrm>
      </xdr:grpSpPr>
      <xdr:sp macro="" textlink="">
        <xdr:nvSpPr>
          <xdr:cNvPr id="6" name="Rectángulo redondeado 3">
            <a:hlinkClick xmlns:r="http://schemas.openxmlformats.org/officeDocument/2006/relationships" r:id="rId3"/>
            <a:extLst>
              <a:ext uri="{FF2B5EF4-FFF2-40B4-BE49-F238E27FC236}">
                <a16:creationId xmlns:a16="http://schemas.microsoft.com/office/drawing/2014/main" id="{AB197365-A68E-428F-91F9-7F7C5E8A6514}"/>
              </a:ext>
            </a:extLst>
          </xdr:cNvPr>
          <xdr:cNvSpPr/>
        </xdr:nvSpPr>
        <xdr:spPr>
          <a:xfrm>
            <a:off x="524932" y="2150534"/>
            <a:ext cx="10138835" cy="685800"/>
          </a:xfrm>
          <a:prstGeom prst="roundRect">
            <a:avLst/>
          </a:prstGeom>
          <a:solidFill>
            <a:srgbClr val="D2EACA"/>
          </a:solidFill>
          <a:ln w="19050">
            <a:solidFill>
              <a:srgbClr val="3BAD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15. Proteger, restablecer y promover el uso sostenible de los ecosistemas terrestres, gestionar sosteniblemente los bosques, luchar contra la desertificación, detener e invertir la degradación de las tierras y detener la pérdida de biodiversidad</a:t>
            </a:r>
          </a:p>
        </xdr:txBody>
      </xdr:sp>
      <xdr:pic>
        <xdr:nvPicPr>
          <xdr:cNvPr id="7" name="Imagen 6">
            <a:extLst>
              <a:ext uri="{FF2B5EF4-FFF2-40B4-BE49-F238E27FC236}">
                <a16:creationId xmlns:a16="http://schemas.microsoft.com/office/drawing/2014/main" id="{364C5042-1A1E-476F-ADA2-6E5D52ACBE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864" y="2192866"/>
            <a:ext cx="1320802" cy="660401"/>
          </a:xfrm>
          <a:prstGeom prst="rect">
            <a:avLst/>
          </a:prstGeom>
        </xdr:spPr>
      </xdr:pic>
    </xdr:grpSp>
    <xdr:clientData/>
  </xdr:twoCellAnchor>
  <xdr:twoCellAnchor>
    <xdr:from>
      <xdr:col>1</xdr:col>
      <xdr:colOff>0</xdr:colOff>
      <xdr:row>7</xdr:row>
      <xdr:rowOff>0</xdr:rowOff>
    </xdr:from>
    <xdr:to>
      <xdr:col>13</xdr:col>
      <xdr:colOff>169333</xdr:colOff>
      <xdr:row>10</xdr:row>
      <xdr:rowOff>0</xdr:rowOff>
    </xdr:to>
    <xdr:sp macro="" textlink="">
      <xdr:nvSpPr>
        <xdr:cNvPr id="8" name="Rectángulo redondeado 11">
          <a:hlinkClick xmlns:r="http://schemas.openxmlformats.org/officeDocument/2006/relationships" r:id="rId5"/>
          <a:extLst>
            <a:ext uri="{FF2B5EF4-FFF2-40B4-BE49-F238E27FC236}">
              <a16:creationId xmlns:a16="http://schemas.microsoft.com/office/drawing/2014/main" id="{964BAB11-F46F-417F-A869-6D3232D70ED0}"/>
            </a:ext>
          </a:extLst>
        </xdr:cNvPr>
        <xdr:cNvSpPr/>
      </xdr:nvSpPr>
      <xdr:spPr>
        <a:xfrm>
          <a:off x="464820" y="1546860"/>
          <a:ext cx="9046633" cy="685800"/>
        </a:xfrm>
        <a:prstGeom prst="roundRect">
          <a:avLst/>
        </a:prstGeom>
        <a:solidFill>
          <a:srgbClr val="F8E5C7"/>
        </a:solidFill>
        <a:ln w="19050">
          <a:solidFill>
            <a:srgbClr val="D29E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2. Poner fin al hambre, lograr la seguridad alimentaria y la mejora de la nutrición y promover la agricultura sostenible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7</xdr:row>
      <xdr:rowOff>8467</xdr:rowOff>
    </xdr:from>
    <xdr:to>
      <xdr:col>3</xdr:col>
      <xdr:colOff>0</xdr:colOff>
      <xdr:row>9</xdr:row>
      <xdr:rowOff>198967</xdr:rowOff>
    </xdr:to>
    <xdr:pic>
      <xdr:nvPicPr>
        <xdr:cNvPr id="9" name="Imagen 8">
          <a:extLst>
            <a:ext uri="{FF2B5EF4-FFF2-40B4-BE49-F238E27FC236}">
              <a16:creationId xmlns:a16="http://schemas.microsoft.com/office/drawing/2014/main" id="{9D711B5A-12AC-4A1A-BD63-66E80A07B4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2553" y="1555327"/>
          <a:ext cx="1181947" cy="647700"/>
        </a:xfrm>
        <a:prstGeom prst="rect">
          <a:avLst/>
        </a:prstGeom>
      </xdr:spPr>
    </xdr:pic>
    <xdr:clientData/>
  </xdr:twoCellAnchor>
  <xdr:twoCellAnchor>
    <xdr:from>
      <xdr:col>1</xdr:col>
      <xdr:colOff>0</xdr:colOff>
      <xdr:row>11</xdr:row>
      <xdr:rowOff>0</xdr:rowOff>
    </xdr:from>
    <xdr:to>
      <xdr:col>13</xdr:col>
      <xdr:colOff>169333</xdr:colOff>
      <xdr:row>14</xdr:row>
      <xdr:rowOff>0</xdr:rowOff>
    </xdr:to>
    <xdr:sp macro="" textlink="">
      <xdr:nvSpPr>
        <xdr:cNvPr id="10" name="Rectángulo redondeado 13">
          <a:hlinkClick xmlns:r="http://schemas.openxmlformats.org/officeDocument/2006/relationships" r:id="rId7"/>
          <a:extLst>
            <a:ext uri="{FF2B5EF4-FFF2-40B4-BE49-F238E27FC236}">
              <a16:creationId xmlns:a16="http://schemas.microsoft.com/office/drawing/2014/main" id="{5262F7F2-BE0B-4266-880A-D1DC7F231CC1}"/>
            </a:ext>
          </a:extLst>
        </xdr:cNvPr>
        <xdr:cNvSpPr/>
      </xdr:nvSpPr>
      <xdr:spPr>
        <a:xfrm>
          <a:off x="464820" y="2331720"/>
          <a:ext cx="9046633" cy="685800"/>
        </a:xfrm>
        <a:prstGeom prst="roundRect">
          <a:avLst/>
        </a:prstGeom>
        <a:solidFill>
          <a:srgbClr val="CCE5CD"/>
        </a:solidFill>
        <a:ln w="19050">
          <a:solidFill>
            <a:srgbClr val="259A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3. Garantizar una vida sana y promover el bienestar de todos a todas las edades</a:t>
          </a:r>
        </a:p>
      </xdr:txBody>
    </xdr:sp>
    <xdr:clientData/>
  </xdr:twoCellAnchor>
  <xdr:twoCellAnchor editAs="oneCell">
    <xdr:from>
      <xdr:col>1</xdr:col>
      <xdr:colOff>67733</xdr:colOff>
      <xdr:row>11</xdr:row>
      <xdr:rowOff>8467</xdr:rowOff>
    </xdr:from>
    <xdr:to>
      <xdr:col>3</xdr:col>
      <xdr:colOff>0</xdr:colOff>
      <xdr:row>13</xdr:row>
      <xdr:rowOff>198967</xdr:rowOff>
    </xdr:to>
    <xdr:pic>
      <xdr:nvPicPr>
        <xdr:cNvPr id="11" name="Imagen 10">
          <a:extLst>
            <a:ext uri="{FF2B5EF4-FFF2-40B4-BE49-F238E27FC236}">
              <a16:creationId xmlns:a16="http://schemas.microsoft.com/office/drawing/2014/main" id="{82E48348-EE04-40EC-BA51-72F59CF6C1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32553" y="2340187"/>
          <a:ext cx="1181947" cy="647700"/>
        </a:xfrm>
        <a:prstGeom prst="rect">
          <a:avLst/>
        </a:prstGeom>
      </xdr:spPr>
    </xdr:pic>
    <xdr:clientData/>
  </xdr:twoCellAnchor>
  <xdr:twoCellAnchor>
    <xdr:from>
      <xdr:col>1</xdr:col>
      <xdr:colOff>0</xdr:colOff>
      <xdr:row>15</xdr:row>
      <xdr:rowOff>0</xdr:rowOff>
    </xdr:from>
    <xdr:to>
      <xdr:col>13</xdr:col>
      <xdr:colOff>169333</xdr:colOff>
      <xdr:row>18</xdr:row>
      <xdr:rowOff>0</xdr:rowOff>
    </xdr:to>
    <xdr:sp macro="" textlink="">
      <xdr:nvSpPr>
        <xdr:cNvPr id="12" name="Rectángulo redondeado 15">
          <a:hlinkClick xmlns:r="http://schemas.openxmlformats.org/officeDocument/2006/relationships" r:id="rId9"/>
          <a:extLst>
            <a:ext uri="{FF2B5EF4-FFF2-40B4-BE49-F238E27FC236}">
              <a16:creationId xmlns:a16="http://schemas.microsoft.com/office/drawing/2014/main" id="{E85F722C-C981-490A-A80C-25276157A600}"/>
            </a:ext>
          </a:extLst>
        </xdr:cNvPr>
        <xdr:cNvSpPr/>
      </xdr:nvSpPr>
      <xdr:spPr>
        <a:xfrm>
          <a:off x="464820" y="3116580"/>
          <a:ext cx="9046633" cy="685800"/>
        </a:xfrm>
        <a:prstGeom prst="roundRect">
          <a:avLst/>
        </a:prstGeom>
        <a:solidFill>
          <a:srgbClr val="F7C9C5"/>
        </a:solidFill>
        <a:ln w="19050">
          <a:solidFill>
            <a:srgbClr val="BF06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4. Garantizar una educación inclusiva y equitativa de calidad y promover oportunidades de aprendizaje permanente para todos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15</xdr:row>
      <xdr:rowOff>8467</xdr:rowOff>
    </xdr:from>
    <xdr:to>
      <xdr:col>3</xdr:col>
      <xdr:colOff>0</xdr:colOff>
      <xdr:row>17</xdr:row>
      <xdr:rowOff>198967</xdr:rowOff>
    </xdr:to>
    <xdr:pic>
      <xdr:nvPicPr>
        <xdr:cNvPr id="13" name="Imagen 12">
          <a:extLst>
            <a:ext uri="{FF2B5EF4-FFF2-40B4-BE49-F238E27FC236}">
              <a16:creationId xmlns:a16="http://schemas.microsoft.com/office/drawing/2014/main" id="{1518A922-94AB-4A88-8F33-6F78266293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2553" y="3125047"/>
          <a:ext cx="1181947" cy="647700"/>
        </a:xfrm>
        <a:prstGeom prst="rect">
          <a:avLst/>
        </a:prstGeom>
      </xdr:spPr>
    </xdr:pic>
    <xdr:clientData/>
  </xdr:twoCellAnchor>
  <xdr:twoCellAnchor>
    <xdr:from>
      <xdr:col>1</xdr:col>
      <xdr:colOff>0</xdr:colOff>
      <xdr:row>19</xdr:row>
      <xdr:rowOff>0</xdr:rowOff>
    </xdr:from>
    <xdr:to>
      <xdr:col>13</xdr:col>
      <xdr:colOff>169333</xdr:colOff>
      <xdr:row>22</xdr:row>
      <xdr:rowOff>0</xdr:rowOff>
    </xdr:to>
    <xdr:sp macro="" textlink="">
      <xdr:nvSpPr>
        <xdr:cNvPr id="14" name="Rectángulo redondeado 17">
          <a:hlinkClick xmlns:r="http://schemas.openxmlformats.org/officeDocument/2006/relationships" r:id="rId11"/>
          <a:extLst>
            <a:ext uri="{FF2B5EF4-FFF2-40B4-BE49-F238E27FC236}">
              <a16:creationId xmlns:a16="http://schemas.microsoft.com/office/drawing/2014/main" id="{B7556392-2F6A-40A5-803B-16A25C1F6702}"/>
            </a:ext>
          </a:extLst>
        </xdr:cNvPr>
        <xdr:cNvSpPr/>
      </xdr:nvSpPr>
      <xdr:spPr>
        <a:xfrm>
          <a:off x="464820" y="3901440"/>
          <a:ext cx="9046633" cy="685800"/>
        </a:xfrm>
        <a:prstGeom prst="roundRect">
          <a:avLst/>
        </a:prstGeom>
        <a:solidFill>
          <a:srgbClr val="FFD3C3"/>
        </a:solidFill>
        <a:ln w="19050">
          <a:solidFill>
            <a:srgbClr val="FD3A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5. Lograr la igualdad de género y empoderar a todas las mujeres y las niñas</a:t>
          </a:r>
        </a:p>
      </xdr:txBody>
    </xdr:sp>
    <xdr:clientData/>
  </xdr:twoCellAnchor>
  <xdr:twoCellAnchor editAs="oneCell">
    <xdr:from>
      <xdr:col>1</xdr:col>
      <xdr:colOff>67733</xdr:colOff>
      <xdr:row>19</xdr:row>
      <xdr:rowOff>8467</xdr:rowOff>
    </xdr:from>
    <xdr:to>
      <xdr:col>3</xdr:col>
      <xdr:colOff>0</xdr:colOff>
      <xdr:row>21</xdr:row>
      <xdr:rowOff>198967</xdr:rowOff>
    </xdr:to>
    <xdr:pic>
      <xdr:nvPicPr>
        <xdr:cNvPr id="15" name="Imagen 14">
          <a:extLst>
            <a:ext uri="{FF2B5EF4-FFF2-40B4-BE49-F238E27FC236}">
              <a16:creationId xmlns:a16="http://schemas.microsoft.com/office/drawing/2014/main" id="{CE70EFE4-DF1F-42AE-A8DC-02C7B74E3F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2553" y="3909907"/>
          <a:ext cx="1181947" cy="647700"/>
        </a:xfrm>
        <a:prstGeom prst="rect">
          <a:avLst/>
        </a:prstGeom>
      </xdr:spPr>
    </xdr:pic>
    <xdr:clientData/>
  </xdr:twoCellAnchor>
  <xdr:twoCellAnchor>
    <xdr:from>
      <xdr:col>1</xdr:col>
      <xdr:colOff>0</xdr:colOff>
      <xdr:row>23</xdr:row>
      <xdr:rowOff>0</xdr:rowOff>
    </xdr:from>
    <xdr:to>
      <xdr:col>13</xdr:col>
      <xdr:colOff>169333</xdr:colOff>
      <xdr:row>26</xdr:row>
      <xdr:rowOff>0</xdr:rowOff>
    </xdr:to>
    <xdr:sp macro="" textlink="">
      <xdr:nvSpPr>
        <xdr:cNvPr id="16" name="Rectángulo redondeado 19">
          <a:hlinkClick xmlns:r="http://schemas.openxmlformats.org/officeDocument/2006/relationships" r:id="rId13"/>
          <a:extLst>
            <a:ext uri="{FF2B5EF4-FFF2-40B4-BE49-F238E27FC236}">
              <a16:creationId xmlns:a16="http://schemas.microsoft.com/office/drawing/2014/main" id="{206A5374-0786-4021-8B97-44560F03CB27}"/>
            </a:ext>
          </a:extLst>
        </xdr:cNvPr>
        <xdr:cNvSpPr/>
      </xdr:nvSpPr>
      <xdr:spPr>
        <a:xfrm>
          <a:off x="464820" y="4686300"/>
          <a:ext cx="9046633" cy="685800"/>
        </a:xfrm>
        <a:prstGeom prst="roundRect">
          <a:avLst/>
        </a:prstGeom>
        <a:solidFill>
          <a:srgbClr val="CCEAF4"/>
        </a:solidFill>
        <a:ln w="19050">
          <a:solidFill>
            <a:srgbClr val="00ACD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6. Garantizar la disponibilidad y la gestión sostenible del agua y el saneamiento para todos</a:t>
          </a:r>
        </a:p>
      </xdr:txBody>
    </xdr:sp>
    <xdr:clientData/>
  </xdr:twoCellAnchor>
  <xdr:twoCellAnchor editAs="oneCell">
    <xdr:from>
      <xdr:col>1</xdr:col>
      <xdr:colOff>67733</xdr:colOff>
      <xdr:row>23</xdr:row>
      <xdr:rowOff>8467</xdr:rowOff>
    </xdr:from>
    <xdr:to>
      <xdr:col>3</xdr:col>
      <xdr:colOff>0</xdr:colOff>
      <xdr:row>25</xdr:row>
      <xdr:rowOff>198967</xdr:rowOff>
    </xdr:to>
    <xdr:pic>
      <xdr:nvPicPr>
        <xdr:cNvPr id="17" name="Imagen 16">
          <a:extLst>
            <a:ext uri="{FF2B5EF4-FFF2-40B4-BE49-F238E27FC236}">
              <a16:creationId xmlns:a16="http://schemas.microsoft.com/office/drawing/2014/main" id="{7A68914A-CBA1-477B-BE39-16012B9ECD3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32553" y="4694767"/>
          <a:ext cx="1181947" cy="647700"/>
        </a:xfrm>
        <a:prstGeom prst="rect">
          <a:avLst/>
        </a:prstGeom>
      </xdr:spPr>
    </xdr:pic>
    <xdr:clientData/>
  </xdr:twoCellAnchor>
  <xdr:twoCellAnchor>
    <xdr:from>
      <xdr:col>1</xdr:col>
      <xdr:colOff>0</xdr:colOff>
      <xdr:row>27</xdr:row>
      <xdr:rowOff>0</xdr:rowOff>
    </xdr:from>
    <xdr:to>
      <xdr:col>13</xdr:col>
      <xdr:colOff>169333</xdr:colOff>
      <xdr:row>30</xdr:row>
      <xdr:rowOff>0</xdr:rowOff>
    </xdr:to>
    <xdr:sp macro="" textlink="">
      <xdr:nvSpPr>
        <xdr:cNvPr id="18" name="Rectángulo redondeado 21">
          <a:hlinkClick xmlns:r="http://schemas.openxmlformats.org/officeDocument/2006/relationships" r:id="rId15"/>
          <a:extLst>
            <a:ext uri="{FF2B5EF4-FFF2-40B4-BE49-F238E27FC236}">
              <a16:creationId xmlns:a16="http://schemas.microsoft.com/office/drawing/2014/main" id="{70AB54BD-02ED-40FD-9A88-16B812C4FE4A}"/>
            </a:ext>
          </a:extLst>
        </xdr:cNvPr>
        <xdr:cNvSpPr/>
      </xdr:nvSpPr>
      <xdr:spPr>
        <a:xfrm>
          <a:off x="464820" y="5471160"/>
          <a:ext cx="9046633" cy="685800"/>
        </a:xfrm>
        <a:prstGeom prst="roundRect">
          <a:avLst/>
        </a:prstGeom>
        <a:solidFill>
          <a:srgbClr val="FFECCA"/>
        </a:solidFill>
        <a:ln w="19050">
          <a:solidFill>
            <a:srgbClr val="FFB7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7. Garantizar el acceso a una energía asequible, fiable, sostenible y moderna para todos</a:t>
          </a:r>
        </a:p>
      </xdr:txBody>
    </xdr:sp>
    <xdr:clientData/>
  </xdr:twoCellAnchor>
  <xdr:twoCellAnchor editAs="oneCell">
    <xdr:from>
      <xdr:col>1</xdr:col>
      <xdr:colOff>67733</xdr:colOff>
      <xdr:row>27</xdr:row>
      <xdr:rowOff>8467</xdr:rowOff>
    </xdr:from>
    <xdr:to>
      <xdr:col>3</xdr:col>
      <xdr:colOff>0</xdr:colOff>
      <xdr:row>29</xdr:row>
      <xdr:rowOff>198967</xdr:rowOff>
    </xdr:to>
    <xdr:pic>
      <xdr:nvPicPr>
        <xdr:cNvPr id="19" name="Imagen 18">
          <a:extLst>
            <a:ext uri="{FF2B5EF4-FFF2-40B4-BE49-F238E27FC236}">
              <a16:creationId xmlns:a16="http://schemas.microsoft.com/office/drawing/2014/main" id="{9D4087C4-FFC2-48F6-8F6C-EE7EC09A156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32553" y="5479627"/>
          <a:ext cx="1181947" cy="647700"/>
        </a:xfrm>
        <a:prstGeom prst="rect">
          <a:avLst/>
        </a:prstGeom>
      </xdr:spPr>
    </xdr:pic>
    <xdr:clientData/>
  </xdr:twoCellAnchor>
  <xdr:twoCellAnchor>
    <xdr:from>
      <xdr:col>1</xdr:col>
      <xdr:colOff>0</xdr:colOff>
      <xdr:row>31</xdr:row>
      <xdr:rowOff>0</xdr:rowOff>
    </xdr:from>
    <xdr:to>
      <xdr:col>13</xdr:col>
      <xdr:colOff>169333</xdr:colOff>
      <xdr:row>34</xdr:row>
      <xdr:rowOff>0</xdr:rowOff>
    </xdr:to>
    <xdr:sp macro="" textlink="">
      <xdr:nvSpPr>
        <xdr:cNvPr id="20" name="Rectángulo redondeado 23">
          <a:hlinkClick xmlns:r="http://schemas.openxmlformats.org/officeDocument/2006/relationships" r:id="rId17"/>
          <a:extLst>
            <a:ext uri="{FF2B5EF4-FFF2-40B4-BE49-F238E27FC236}">
              <a16:creationId xmlns:a16="http://schemas.microsoft.com/office/drawing/2014/main" id="{E7BD136E-65D0-4BAA-A988-1259169884CC}"/>
            </a:ext>
          </a:extLst>
        </xdr:cNvPr>
        <xdr:cNvSpPr/>
      </xdr:nvSpPr>
      <xdr:spPr>
        <a:xfrm>
          <a:off x="464820" y="6256020"/>
          <a:ext cx="9046633" cy="685800"/>
        </a:xfrm>
        <a:prstGeom prst="roundRect">
          <a:avLst/>
        </a:prstGeom>
        <a:solidFill>
          <a:srgbClr val="E6C5C7"/>
        </a:solidFill>
        <a:ln w="19050">
          <a:solidFill>
            <a:srgbClr val="8D17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8. Promover el crecimiento económico sostenido, inclusivo y sostenible, el empleo pleno y productivo y el trabajo decente para todos</a:t>
          </a:r>
        </a:p>
      </xdr:txBody>
    </xdr:sp>
    <xdr:clientData/>
  </xdr:twoCellAnchor>
  <xdr:twoCellAnchor editAs="oneCell">
    <xdr:from>
      <xdr:col>1</xdr:col>
      <xdr:colOff>67733</xdr:colOff>
      <xdr:row>31</xdr:row>
      <xdr:rowOff>8467</xdr:rowOff>
    </xdr:from>
    <xdr:to>
      <xdr:col>3</xdr:col>
      <xdr:colOff>0</xdr:colOff>
      <xdr:row>33</xdr:row>
      <xdr:rowOff>198967</xdr:rowOff>
    </xdr:to>
    <xdr:pic>
      <xdr:nvPicPr>
        <xdr:cNvPr id="21" name="Imagen 20">
          <a:extLst>
            <a:ext uri="{FF2B5EF4-FFF2-40B4-BE49-F238E27FC236}">
              <a16:creationId xmlns:a16="http://schemas.microsoft.com/office/drawing/2014/main" id="{EA3E48F0-94E4-44F5-B682-414EBF25C5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2553" y="6264487"/>
          <a:ext cx="1181947" cy="647700"/>
        </a:xfrm>
        <a:prstGeom prst="rect">
          <a:avLst/>
        </a:prstGeom>
      </xdr:spPr>
    </xdr:pic>
    <xdr:clientData/>
  </xdr:twoCellAnchor>
  <xdr:twoCellAnchor>
    <xdr:from>
      <xdr:col>1</xdr:col>
      <xdr:colOff>0</xdr:colOff>
      <xdr:row>35</xdr:row>
      <xdr:rowOff>0</xdr:rowOff>
    </xdr:from>
    <xdr:to>
      <xdr:col>13</xdr:col>
      <xdr:colOff>169333</xdr:colOff>
      <xdr:row>38</xdr:row>
      <xdr:rowOff>0</xdr:rowOff>
    </xdr:to>
    <xdr:sp macro="" textlink="">
      <xdr:nvSpPr>
        <xdr:cNvPr id="22" name="Rectángulo redondeado 25">
          <a:hlinkClick xmlns:r="http://schemas.openxmlformats.org/officeDocument/2006/relationships" r:id="rId19"/>
          <a:extLst>
            <a:ext uri="{FF2B5EF4-FFF2-40B4-BE49-F238E27FC236}">
              <a16:creationId xmlns:a16="http://schemas.microsoft.com/office/drawing/2014/main" id="{29072781-D735-45EF-896D-D744D32FA60F}"/>
            </a:ext>
          </a:extLst>
        </xdr:cNvPr>
        <xdr:cNvSpPr/>
      </xdr:nvSpPr>
      <xdr:spPr>
        <a:xfrm>
          <a:off x="464820" y="7040880"/>
          <a:ext cx="9046633" cy="685800"/>
        </a:xfrm>
        <a:prstGeom prst="roundRect">
          <a:avLst/>
        </a:prstGeom>
        <a:solidFill>
          <a:srgbClr val="FFDBC4"/>
        </a:solidFill>
        <a:ln w="19050">
          <a:solidFill>
            <a:srgbClr val="FF6B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9. Construir infraestructuras resilientes, promover la industrialización inclusiva y sostenible y fomentar la innovación</a:t>
          </a:r>
        </a:p>
      </xdr:txBody>
    </xdr:sp>
    <xdr:clientData/>
  </xdr:twoCellAnchor>
  <xdr:twoCellAnchor editAs="oneCell">
    <xdr:from>
      <xdr:col>1</xdr:col>
      <xdr:colOff>67733</xdr:colOff>
      <xdr:row>35</xdr:row>
      <xdr:rowOff>8467</xdr:rowOff>
    </xdr:from>
    <xdr:to>
      <xdr:col>3</xdr:col>
      <xdr:colOff>0</xdr:colOff>
      <xdr:row>37</xdr:row>
      <xdr:rowOff>198967</xdr:rowOff>
    </xdr:to>
    <xdr:pic>
      <xdr:nvPicPr>
        <xdr:cNvPr id="23" name="Imagen 22">
          <a:extLst>
            <a:ext uri="{FF2B5EF4-FFF2-40B4-BE49-F238E27FC236}">
              <a16:creationId xmlns:a16="http://schemas.microsoft.com/office/drawing/2014/main" id="{71218376-6627-4DB5-A2C4-5B3C41017C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32553" y="7049347"/>
          <a:ext cx="1181947" cy="647700"/>
        </a:xfrm>
        <a:prstGeom prst="rect">
          <a:avLst/>
        </a:prstGeom>
      </xdr:spPr>
    </xdr:pic>
    <xdr:clientData/>
  </xdr:twoCellAnchor>
  <xdr:twoCellAnchor>
    <xdr:from>
      <xdr:col>1</xdr:col>
      <xdr:colOff>0</xdr:colOff>
      <xdr:row>39</xdr:row>
      <xdr:rowOff>0</xdr:rowOff>
    </xdr:from>
    <xdr:to>
      <xdr:col>13</xdr:col>
      <xdr:colOff>169333</xdr:colOff>
      <xdr:row>42</xdr:row>
      <xdr:rowOff>0</xdr:rowOff>
    </xdr:to>
    <xdr:sp macro="" textlink="">
      <xdr:nvSpPr>
        <xdr:cNvPr id="24" name="Rectángulo redondeado 27">
          <a:hlinkClick xmlns:r="http://schemas.openxmlformats.org/officeDocument/2006/relationships" r:id="rId21"/>
          <a:extLst>
            <a:ext uri="{FF2B5EF4-FFF2-40B4-BE49-F238E27FC236}">
              <a16:creationId xmlns:a16="http://schemas.microsoft.com/office/drawing/2014/main" id="{48356DAD-052E-4C78-BB30-715E26797B45}"/>
            </a:ext>
          </a:extLst>
        </xdr:cNvPr>
        <xdr:cNvSpPr/>
      </xdr:nvSpPr>
      <xdr:spPr>
        <a:xfrm>
          <a:off x="464820" y="7825740"/>
          <a:ext cx="9046633" cy="685800"/>
        </a:xfrm>
        <a:prstGeom prst="roundRect">
          <a:avLst/>
        </a:prstGeom>
        <a:solidFill>
          <a:srgbClr val="FDCEDE"/>
        </a:solidFill>
        <a:ln w="19050">
          <a:solidFill>
            <a:srgbClr val="DF168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10. Reducir la desigualdad en los países y entre ellos</a:t>
          </a:r>
        </a:p>
      </xdr:txBody>
    </xdr:sp>
    <xdr:clientData/>
  </xdr:twoCellAnchor>
  <xdr:twoCellAnchor editAs="oneCell">
    <xdr:from>
      <xdr:col>1</xdr:col>
      <xdr:colOff>67733</xdr:colOff>
      <xdr:row>39</xdr:row>
      <xdr:rowOff>8467</xdr:rowOff>
    </xdr:from>
    <xdr:to>
      <xdr:col>3</xdr:col>
      <xdr:colOff>0</xdr:colOff>
      <xdr:row>41</xdr:row>
      <xdr:rowOff>198967</xdr:rowOff>
    </xdr:to>
    <xdr:pic>
      <xdr:nvPicPr>
        <xdr:cNvPr id="25" name="Imagen 24">
          <a:extLst>
            <a:ext uri="{FF2B5EF4-FFF2-40B4-BE49-F238E27FC236}">
              <a16:creationId xmlns:a16="http://schemas.microsoft.com/office/drawing/2014/main" id="{1B1AD94D-7389-4AB3-86D4-3B451EDF11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2553" y="7834207"/>
          <a:ext cx="1181947" cy="647700"/>
        </a:xfrm>
        <a:prstGeom prst="rect">
          <a:avLst/>
        </a:prstGeom>
      </xdr:spPr>
    </xdr:pic>
    <xdr:clientData/>
  </xdr:twoCellAnchor>
  <xdr:twoCellAnchor>
    <xdr:from>
      <xdr:col>1</xdr:col>
      <xdr:colOff>0</xdr:colOff>
      <xdr:row>43</xdr:row>
      <xdr:rowOff>0</xdr:rowOff>
    </xdr:from>
    <xdr:to>
      <xdr:col>13</xdr:col>
      <xdr:colOff>169333</xdr:colOff>
      <xdr:row>46</xdr:row>
      <xdr:rowOff>0</xdr:rowOff>
    </xdr:to>
    <xdr:sp macro="" textlink="">
      <xdr:nvSpPr>
        <xdr:cNvPr id="26" name="Rectángulo redondeado 29">
          <a:hlinkClick xmlns:r="http://schemas.openxmlformats.org/officeDocument/2006/relationships" r:id="rId23"/>
          <a:extLst>
            <a:ext uri="{FF2B5EF4-FFF2-40B4-BE49-F238E27FC236}">
              <a16:creationId xmlns:a16="http://schemas.microsoft.com/office/drawing/2014/main" id="{7DE3393F-FED7-4825-B5A8-B3D657DF103E}"/>
            </a:ext>
          </a:extLst>
        </xdr:cNvPr>
        <xdr:cNvSpPr/>
      </xdr:nvSpPr>
      <xdr:spPr>
        <a:xfrm>
          <a:off x="464820" y="8610600"/>
          <a:ext cx="9046633" cy="685800"/>
        </a:xfrm>
        <a:prstGeom prst="roundRect">
          <a:avLst/>
        </a:prstGeom>
        <a:solidFill>
          <a:srgbClr val="FFE6C8"/>
        </a:solidFill>
        <a:ln w="19050">
          <a:solidFill>
            <a:srgbClr val="FF9D1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11. Lograr que las ciudades y los asentamientos humanos sean inclusivos, seguros, resilientes y sostenibles</a:t>
          </a:r>
        </a:p>
      </xdr:txBody>
    </xdr:sp>
    <xdr:clientData/>
  </xdr:twoCellAnchor>
  <xdr:twoCellAnchor editAs="oneCell">
    <xdr:from>
      <xdr:col>1</xdr:col>
      <xdr:colOff>67733</xdr:colOff>
      <xdr:row>43</xdr:row>
      <xdr:rowOff>8467</xdr:rowOff>
    </xdr:from>
    <xdr:to>
      <xdr:col>3</xdr:col>
      <xdr:colOff>0</xdr:colOff>
      <xdr:row>45</xdr:row>
      <xdr:rowOff>198967</xdr:rowOff>
    </xdr:to>
    <xdr:pic>
      <xdr:nvPicPr>
        <xdr:cNvPr id="27" name="Imagen 26">
          <a:extLst>
            <a:ext uri="{FF2B5EF4-FFF2-40B4-BE49-F238E27FC236}">
              <a16:creationId xmlns:a16="http://schemas.microsoft.com/office/drawing/2014/main" id="{04C4AB84-3319-48DB-803D-F2E31725199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532553" y="8619067"/>
          <a:ext cx="1181947" cy="647700"/>
        </a:xfrm>
        <a:prstGeom prst="rect">
          <a:avLst/>
        </a:prstGeom>
      </xdr:spPr>
    </xdr:pic>
    <xdr:clientData/>
  </xdr:twoCellAnchor>
  <xdr:twoCellAnchor>
    <xdr:from>
      <xdr:col>1</xdr:col>
      <xdr:colOff>0</xdr:colOff>
      <xdr:row>47</xdr:row>
      <xdr:rowOff>0</xdr:rowOff>
    </xdr:from>
    <xdr:to>
      <xdr:col>13</xdr:col>
      <xdr:colOff>169333</xdr:colOff>
      <xdr:row>50</xdr:row>
      <xdr:rowOff>0</xdr:rowOff>
    </xdr:to>
    <xdr:sp macro="" textlink="">
      <xdr:nvSpPr>
        <xdr:cNvPr id="28" name="Rectángulo redondeado 31">
          <a:hlinkClick xmlns:r="http://schemas.openxmlformats.org/officeDocument/2006/relationships" r:id="rId25"/>
          <a:extLst>
            <a:ext uri="{FF2B5EF4-FFF2-40B4-BE49-F238E27FC236}">
              <a16:creationId xmlns:a16="http://schemas.microsoft.com/office/drawing/2014/main" id="{A34728B0-928F-4F51-9E9D-05367D49860D}"/>
            </a:ext>
          </a:extLst>
        </xdr:cNvPr>
        <xdr:cNvSpPr/>
      </xdr:nvSpPr>
      <xdr:spPr>
        <a:xfrm>
          <a:off x="464820" y="9395460"/>
          <a:ext cx="9046633" cy="685800"/>
        </a:xfrm>
        <a:prstGeom prst="roundRect">
          <a:avLst/>
        </a:prstGeom>
        <a:solidFill>
          <a:srgbClr val="F7E0C1"/>
        </a:solidFill>
        <a:ln w="19050">
          <a:solidFill>
            <a:srgbClr val="CC8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12. Garantizar modalidades de consumo y producción sostenibles</a:t>
          </a:r>
        </a:p>
      </xdr:txBody>
    </xdr:sp>
    <xdr:clientData/>
  </xdr:twoCellAnchor>
  <xdr:twoCellAnchor editAs="oneCell">
    <xdr:from>
      <xdr:col>1</xdr:col>
      <xdr:colOff>67733</xdr:colOff>
      <xdr:row>47</xdr:row>
      <xdr:rowOff>8467</xdr:rowOff>
    </xdr:from>
    <xdr:to>
      <xdr:col>3</xdr:col>
      <xdr:colOff>0</xdr:colOff>
      <xdr:row>49</xdr:row>
      <xdr:rowOff>198967</xdr:rowOff>
    </xdr:to>
    <xdr:pic>
      <xdr:nvPicPr>
        <xdr:cNvPr id="29" name="Imagen 28">
          <a:extLst>
            <a:ext uri="{FF2B5EF4-FFF2-40B4-BE49-F238E27FC236}">
              <a16:creationId xmlns:a16="http://schemas.microsoft.com/office/drawing/2014/main" id="{0D180094-BBD0-424E-89A2-79AEDA9D52F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532553" y="9403927"/>
          <a:ext cx="1181947" cy="647700"/>
        </a:xfrm>
        <a:prstGeom prst="rect">
          <a:avLst/>
        </a:prstGeom>
      </xdr:spPr>
    </xdr:pic>
    <xdr:clientData/>
  </xdr:twoCellAnchor>
  <xdr:twoCellAnchor>
    <xdr:from>
      <xdr:col>1</xdr:col>
      <xdr:colOff>0</xdr:colOff>
      <xdr:row>51</xdr:row>
      <xdr:rowOff>0</xdr:rowOff>
    </xdr:from>
    <xdr:to>
      <xdr:col>13</xdr:col>
      <xdr:colOff>169333</xdr:colOff>
      <xdr:row>54</xdr:row>
      <xdr:rowOff>0</xdr:rowOff>
    </xdr:to>
    <xdr:sp macro="" textlink="">
      <xdr:nvSpPr>
        <xdr:cNvPr id="30" name="Rectángulo redondeado 33">
          <a:hlinkClick xmlns:r="http://schemas.openxmlformats.org/officeDocument/2006/relationships" r:id="rId27"/>
          <a:extLst>
            <a:ext uri="{FF2B5EF4-FFF2-40B4-BE49-F238E27FC236}">
              <a16:creationId xmlns:a16="http://schemas.microsoft.com/office/drawing/2014/main" id="{23954CD7-C9BC-4107-8CB9-773AD7241C94}"/>
            </a:ext>
          </a:extLst>
        </xdr:cNvPr>
        <xdr:cNvSpPr/>
      </xdr:nvSpPr>
      <xdr:spPr>
        <a:xfrm>
          <a:off x="464820" y="10180320"/>
          <a:ext cx="9046633" cy="685800"/>
        </a:xfrm>
        <a:prstGeom prst="roundRect">
          <a:avLst/>
        </a:prstGeom>
        <a:solidFill>
          <a:srgbClr val="CEDBCB"/>
        </a:solidFill>
        <a:ln w="19050">
          <a:solidFill>
            <a:srgbClr val="47763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13. Adoptar medidas urgentes para combatir el cambio climático y sus efectos</a:t>
          </a:r>
        </a:p>
      </xdr:txBody>
    </xdr:sp>
    <xdr:clientData/>
  </xdr:twoCellAnchor>
  <xdr:twoCellAnchor editAs="oneCell">
    <xdr:from>
      <xdr:col>1</xdr:col>
      <xdr:colOff>67733</xdr:colOff>
      <xdr:row>51</xdr:row>
      <xdr:rowOff>8467</xdr:rowOff>
    </xdr:from>
    <xdr:to>
      <xdr:col>3</xdr:col>
      <xdr:colOff>0</xdr:colOff>
      <xdr:row>53</xdr:row>
      <xdr:rowOff>198967</xdr:rowOff>
    </xdr:to>
    <xdr:pic>
      <xdr:nvPicPr>
        <xdr:cNvPr id="31" name="Imagen 30">
          <a:extLst>
            <a:ext uri="{FF2B5EF4-FFF2-40B4-BE49-F238E27FC236}">
              <a16:creationId xmlns:a16="http://schemas.microsoft.com/office/drawing/2014/main" id="{7960436A-7C4D-44C0-9B79-A9A45F0A34B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532553" y="10188787"/>
          <a:ext cx="1181947" cy="647700"/>
        </a:xfrm>
        <a:prstGeom prst="rect">
          <a:avLst/>
        </a:prstGeom>
      </xdr:spPr>
    </xdr:pic>
    <xdr:clientData/>
  </xdr:twoCellAnchor>
  <xdr:twoCellAnchor>
    <xdr:from>
      <xdr:col>1</xdr:col>
      <xdr:colOff>8466</xdr:colOff>
      <xdr:row>55</xdr:row>
      <xdr:rowOff>16934</xdr:rowOff>
    </xdr:from>
    <xdr:to>
      <xdr:col>13</xdr:col>
      <xdr:colOff>177799</xdr:colOff>
      <xdr:row>58</xdr:row>
      <xdr:rowOff>16934</xdr:rowOff>
    </xdr:to>
    <xdr:sp macro="" textlink="">
      <xdr:nvSpPr>
        <xdr:cNvPr id="32" name="Rectángulo redondeado 35">
          <a:hlinkClick xmlns:r="http://schemas.openxmlformats.org/officeDocument/2006/relationships" r:id="rId29"/>
          <a:extLst>
            <a:ext uri="{FF2B5EF4-FFF2-40B4-BE49-F238E27FC236}">
              <a16:creationId xmlns:a16="http://schemas.microsoft.com/office/drawing/2014/main" id="{95E4AB4E-112B-470E-B11F-1265D7B9EDD5}"/>
            </a:ext>
          </a:extLst>
        </xdr:cNvPr>
        <xdr:cNvSpPr/>
      </xdr:nvSpPr>
      <xdr:spPr>
        <a:xfrm>
          <a:off x="473286" y="10982114"/>
          <a:ext cx="9039013" cy="685800"/>
        </a:xfrm>
        <a:prstGeom prst="roundRect">
          <a:avLst/>
        </a:prstGeom>
        <a:solidFill>
          <a:srgbClr val="C6DCED"/>
        </a:solidFill>
        <a:ln w="19050">
          <a:solidFill>
            <a:srgbClr val="007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14. Conservar y utilizar sosteniblemente los océanos, los mares y los recursos marinos para el desarrollo sostenible</a:t>
          </a:r>
        </a:p>
      </xdr:txBody>
    </xdr:sp>
    <xdr:clientData/>
  </xdr:twoCellAnchor>
  <xdr:twoCellAnchor editAs="oneCell">
    <xdr:from>
      <xdr:col>1</xdr:col>
      <xdr:colOff>76199</xdr:colOff>
      <xdr:row>55</xdr:row>
      <xdr:rowOff>25401</xdr:rowOff>
    </xdr:from>
    <xdr:to>
      <xdr:col>3</xdr:col>
      <xdr:colOff>846</xdr:colOff>
      <xdr:row>57</xdr:row>
      <xdr:rowOff>215901</xdr:rowOff>
    </xdr:to>
    <xdr:pic>
      <xdr:nvPicPr>
        <xdr:cNvPr id="33" name="Imagen 32">
          <a:extLst>
            <a:ext uri="{FF2B5EF4-FFF2-40B4-BE49-F238E27FC236}">
              <a16:creationId xmlns:a16="http://schemas.microsoft.com/office/drawing/2014/main" id="{F0A37221-D9DF-43D4-93C2-4F82C86ABD2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541019" y="10990581"/>
          <a:ext cx="1174327" cy="647700"/>
        </a:xfrm>
        <a:prstGeom prst="rect">
          <a:avLst/>
        </a:prstGeom>
      </xdr:spPr>
    </xdr:pic>
    <xdr:clientData/>
  </xdr:twoCellAnchor>
  <xdr:twoCellAnchor>
    <xdr:from>
      <xdr:col>1</xdr:col>
      <xdr:colOff>16933</xdr:colOff>
      <xdr:row>63</xdr:row>
      <xdr:rowOff>16933</xdr:rowOff>
    </xdr:from>
    <xdr:to>
      <xdr:col>14</xdr:col>
      <xdr:colOff>8466</xdr:colOff>
      <xdr:row>66</xdr:row>
      <xdr:rowOff>16933</xdr:rowOff>
    </xdr:to>
    <xdr:sp macro="" textlink="">
      <xdr:nvSpPr>
        <xdr:cNvPr id="34" name="Rectángulo redondeado 37">
          <a:hlinkClick xmlns:r="http://schemas.openxmlformats.org/officeDocument/2006/relationships" r:id="rId31"/>
          <a:extLst>
            <a:ext uri="{FF2B5EF4-FFF2-40B4-BE49-F238E27FC236}">
              <a16:creationId xmlns:a16="http://schemas.microsoft.com/office/drawing/2014/main" id="{87657FAA-53C9-45DD-8F3B-9606855CFCB2}"/>
            </a:ext>
          </a:extLst>
        </xdr:cNvPr>
        <xdr:cNvSpPr/>
      </xdr:nvSpPr>
      <xdr:spPr>
        <a:xfrm>
          <a:off x="481753" y="12551833"/>
          <a:ext cx="9036473" cy="685800"/>
        </a:xfrm>
        <a:prstGeom prst="roundRect">
          <a:avLst/>
        </a:prstGeom>
        <a:solidFill>
          <a:srgbClr val="C2D0E1"/>
        </a:solidFill>
        <a:ln w="19050">
          <a:solidFill>
            <a:srgbClr val="0053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16. Promover sociedades pacíficas e inclusivas para el desarrollo sostenible, facilitar el acceso a la justicia para todos y construir a todos los niveles instituciones eficaces e inclusivas que rindan cuentas</a:t>
          </a:r>
        </a:p>
      </xdr:txBody>
    </xdr:sp>
    <xdr:clientData/>
  </xdr:twoCellAnchor>
  <xdr:twoCellAnchor editAs="oneCell">
    <xdr:from>
      <xdr:col>1</xdr:col>
      <xdr:colOff>84666</xdr:colOff>
      <xdr:row>63</xdr:row>
      <xdr:rowOff>25400</xdr:rowOff>
    </xdr:from>
    <xdr:to>
      <xdr:col>3</xdr:col>
      <xdr:colOff>1693</xdr:colOff>
      <xdr:row>65</xdr:row>
      <xdr:rowOff>215900</xdr:rowOff>
    </xdr:to>
    <xdr:pic>
      <xdr:nvPicPr>
        <xdr:cNvPr id="35" name="Imagen 34">
          <a:extLst>
            <a:ext uri="{FF2B5EF4-FFF2-40B4-BE49-F238E27FC236}">
              <a16:creationId xmlns:a16="http://schemas.microsoft.com/office/drawing/2014/main" id="{979C310F-9928-4306-AC20-477CC49BB20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549486" y="12560300"/>
          <a:ext cx="1166707" cy="647700"/>
        </a:xfrm>
        <a:prstGeom prst="rect">
          <a:avLst/>
        </a:prstGeom>
      </xdr:spPr>
    </xdr:pic>
    <xdr:clientData/>
  </xdr:twoCellAnchor>
  <xdr:twoCellAnchor>
    <xdr:from>
      <xdr:col>1</xdr:col>
      <xdr:colOff>8466</xdr:colOff>
      <xdr:row>67</xdr:row>
      <xdr:rowOff>0</xdr:rowOff>
    </xdr:from>
    <xdr:to>
      <xdr:col>13</xdr:col>
      <xdr:colOff>177799</xdr:colOff>
      <xdr:row>70</xdr:row>
      <xdr:rowOff>0</xdr:rowOff>
    </xdr:to>
    <xdr:sp macro="" textlink="">
      <xdr:nvSpPr>
        <xdr:cNvPr id="36" name="Rectángulo redondeado 39">
          <a:hlinkClick xmlns:r="http://schemas.openxmlformats.org/officeDocument/2006/relationships" r:id="rId33"/>
          <a:extLst>
            <a:ext uri="{FF2B5EF4-FFF2-40B4-BE49-F238E27FC236}">
              <a16:creationId xmlns:a16="http://schemas.microsoft.com/office/drawing/2014/main" id="{B6F4508E-AB42-46FF-BE66-A72D99120C26}"/>
            </a:ext>
          </a:extLst>
        </xdr:cNvPr>
        <xdr:cNvSpPr/>
      </xdr:nvSpPr>
      <xdr:spPr>
        <a:xfrm>
          <a:off x="473286" y="13319760"/>
          <a:ext cx="9039013" cy="685800"/>
        </a:xfrm>
        <a:prstGeom prst="roundRect">
          <a:avLst/>
        </a:prstGeom>
        <a:solidFill>
          <a:srgbClr val="BFC5D9"/>
        </a:solidFill>
        <a:ln w="19050">
          <a:solidFill>
            <a:srgbClr val="002F6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17. Fortalecer los medios de implementación y revitalizar la Alianza Mundial para el Desarrollo sostenible</a:t>
          </a:r>
        </a:p>
      </xdr:txBody>
    </xdr:sp>
    <xdr:clientData/>
  </xdr:twoCellAnchor>
  <xdr:twoCellAnchor editAs="oneCell">
    <xdr:from>
      <xdr:col>1</xdr:col>
      <xdr:colOff>84666</xdr:colOff>
      <xdr:row>67</xdr:row>
      <xdr:rowOff>8467</xdr:rowOff>
    </xdr:from>
    <xdr:to>
      <xdr:col>3</xdr:col>
      <xdr:colOff>1693</xdr:colOff>
      <xdr:row>69</xdr:row>
      <xdr:rowOff>198967</xdr:rowOff>
    </xdr:to>
    <xdr:pic>
      <xdr:nvPicPr>
        <xdr:cNvPr id="37" name="Imagen 36">
          <a:extLst>
            <a:ext uri="{FF2B5EF4-FFF2-40B4-BE49-F238E27FC236}">
              <a16:creationId xmlns:a16="http://schemas.microsoft.com/office/drawing/2014/main" id="{877EF60E-6FBF-43B3-8CA4-8F1BC49C8A4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49486" y="13328227"/>
          <a:ext cx="1166707"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50800</xdr:colOff>
      <xdr:row>37</xdr:row>
      <xdr:rowOff>91441</xdr:rowOff>
    </xdr:from>
    <xdr:to>
      <xdr:col>7</xdr:col>
      <xdr:colOff>784860</xdr:colOff>
      <xdr:row>54</xdr:row>
      <xdr:rowOff>99060</xdr:rowOff>
    </xdr:to>
    <xdr:graphicFrame macro="">
      <xdr:nvGraphicFramePr>
        <xdr:cNvPr id="2" name="Gráfico 1">
          <a:extLst>
            <a:ext uri="{FF2B5EF4-FFF2-40B4-BE49-F238E27FC236}">
              <a16:creationId xmlns:a16="http://schemas.microsoft.com/office/drawing/2014/main" id="{C02392F1-728F-429A-AF6E-8A05BE4E3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E95B0EFB-7400-45B6-B215-F2EDE7A9F8DB}"/>
            </a:ext>
          </a:extLst>
        </xdr:cNvPr>
        <xdr:cNvPicPr>
          <a:picLocks noChangeAspect="1"/>
        </xdr:cNvPicPr>
      </xdr:nvPicPr>
      <xdr:blipFill>
        <a:blip xmlns:r="http://schemas.openxmlformats.org/officeDocument/2006/relationships" r:embed="rId2"/>
        <a:stretch>
          <a:fillRect/>
        </a:stretch>
      </xdr:blipFill>
      <xdr:spPr>
        <a:xfrm>
          <a:off x="3859974" y="4594860"/>
          <a:ext cx="334575" cy="652997"/>
        </a:xfrm>
        <a:prstGeom prst="rect">
          <a:avLst/>
        </a:prstGeom>
      </xdr:spPr>
    </xdr:pic>
    <xdr:clientData/>
  </xdr:twoCellAnchor>
  <xdr:twoCellAnchor editAs="oneCell">
    <xdr:from>
      <xdr:col>4</xdr:col>
      <xdr:colOff>563880</xdr:colOff>
      <xdr:row>20</xdr:row>
      <xdr:rowOff>182881</xdr:rowOff>
    </xdr:from>
    <xdr:to>
      <xdr:col>10</xdr:col>
      <xdr:colOff>510540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89AB5BD-E8D0-4107-9A42-E165FA388D9D}"/>
            </a:ext>
          </a:extLst>
        </xdr:cNvPr>
        <xdr:cNvPicPr>
          <a:picLocks noChangeAspect="1"/>
        </xdr:cNvPicPr>
      </xdr:nvPicPr>
      <xdr:blipFill>
        <a:blip xmlns:r="http://schemas.openxmlformats.org/officeDocument/2006/relationships" r:embed="rId3"/>
        <a:stretch>
          <a:fillRect/>
        </a:stretch>
      </xdr:blipFill>
      <xdr:spPr>
        <a:xfrm>
          <a:off x="4328160" y="4594861"/>
          <a:ext cx="4709160" cy="72463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967740</xdr:colOff>
      <xdr:row>32</xdr:row>
      <xdr:rowOff>30480</xdr:rowOff>
    </xdr:from>
    <xdr:to>
      <xdr:col>17</xdr:col>
      <xdr:colOff>68580</xdr:colOff>
      <xdr:row>53</xdr:row>
      <xdr:rowOff>7620</xdr:rowOff>
    </xdr:to>
    <xdr:graphicFrame macro="">
      <xdr:nvGraphicFramePr>
        <xdr:cNvPr id="2" name="Gráfico 1">
          <a:extLst>
            <a:ext uri="{FF2B5EF4-FFF2-40B4-BE49-F238E27FC236}">
              <a16:creationId xmlns:a16="http://schemas.microsoft.com/office/drawing/2014/main" id="{17C14BA1-7C39-44A4-BD23-B57919965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D15BF9E1-8EF4-4152-A3D4-666F8D409A63}"/>
                </a:ext>
              </a:extLst>
            </xdr:cNvPr>
            <xdr:cNvSpPr txBox="1"/>
          </xdr:nvSpPr>
          <xdr:spPr>
            <a:xfrm>
              <a:off x="4060242" y="7048765"/>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03.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C4E2B1EE-9EFF-428B-89D0-F95E667B4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04.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93821B08-EC5C-48A8-A3EB-A3BBF37BC5FF}"/>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B029D9D4-2233-4535-8D62-0ADFDB19E7F8}"/>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4" name="CuadroTexto 3">
              <a:extLst>
                <a:ext uri="{FF2B5EF4-FFF2-40B4-BE49-F238E27FC236}">
                  <a16:creationId xmlns:a16="http://schemas.microsoft.com/office/drawing/2014/main" id="{6507F95C-B72A-4634-ACA1-4B40516A6292}"/>
                </a:ext>
              </a:extLst>
            </xdr:cNvPr>
            <xdr:cNvSpPr txBox="1"/>
          </xdr:nvSpPr>
          <xdr:spPr>
            <a:xfrm>
              <a:off x="4382453" y="528875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5" name="CuadroTexto 4">
              <a:extLst>
                <a:ext uri="{FF2B5EF4-FFF2-40B4-BE49-F238E27FC236}">
                  <a16:creationId xmlns:a16="http://schemas.microsoft.com/office/drawing/2014/main" id="{D81A6BA2-21BF-4206-A30E-BCCBBA60F2D1}"/>
                </a:ext>
              </a:extLst>
            </xdr:cNvPr>
            <xdr:cNvSpPr txBox="1"/>
          </xdr:nvSpPr>
          <xdr:spPr>
            <a:xfrm>
              <a:off x="4752499" y="550926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05.xml><?xml version="1.0" encoding="utf-8"?>
<xdr:wsDr xmlns:xdr="http://schemas.openxmlformats.org/drawingml/2006/spreadsheetDrawing" xmlns:a="http://schemas.openxmlformats.org/drawingml/2006/main">
  <xdr:twoCellAnchor>
    <xdr:from>
      <xdr:col>6</xdr:col>
      <xdr:colOff>114300</xdr:colOff>
      <xdr:row>9</xdr:row>
      <xdr:rowOff>23813</xdr:rowOff>
    </xdr:from>
    <xdr:to>
      <xdr:col>12</xdr:col>
      <xdr:colOff>116205</xdr:colOff>
      <xdr:row>17</xdr:row>
      <xdr:rowOff>7620</xdr:rowOff>
    </xdr:to>
    <xdr:graphicFrame macro="">
      <xdr:nvGraphicFramePr>
        <xdr:cNvPr id="2" name="Gráfico 1">
          <a:extLst>
            <a:ext uri="{FF2B5EF4-FFF2-40B4-BE49-F238E27FC236}">
              <a16:creationId xmlns:a16="http://schemas.microsoft.com/office/drawing/2014/main" id="{F4DE787F-1464-4055-8AEC-B09BA3B1A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2355F72-7242-46A6-93DB-0C65011640DF}"/>
                </a:ext>
              </a:extLst>
            </xdr:cNvPr>
            <xdr:cNvSpPr txBox="1"/>
          </xdr:nvSpPr>
          <xdr:spPr>
            <a:xfrm>
              <a:off x="4373879" y="598979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7.xml><?xml version="1.0" encoding="utf-8"?>
<xdr:wsDr xmlns:xdr="http://schemas.openxmlformats.org/drawingml/2006/spreadsheetDrawing" xmlns:a="http://schemas.openxmlformats.org/drawingml/2006/main">
  <xdr:twoCellAnchor>
    <xdr:from>
      <xdr:col>4</xdr:col>
      <xdr:colOff>1432559</xdr:colOff>
      <xdr:row>8</xdr:row>
      <xdr:rowOff>755333</xdr:rowOff>
    </xdr:from>
    <xdr:to>
      <xdr:col>10</xdr:col>
      <xdr:colOff>626744</xdr:colOff>
      <xdr:row>21</xdr:row>
      <xdr:rowOff>45721</xdr:rowOff>
    </xdr:to>
    <xdr:graphicFrame macro="">
      <xdr:nvGraphicFramePr>
        <xdr:cNvPr id="2" name="Gráfico 1">
          <a:extLst>
            <a:ext uri="{FF2B5EF4-FFF2-40B4-BE49-F238E27FC236}">
              <a16:creationId xmlns:a16="http://schemas.microsoft.com/office/drawing/2014/main" id="{110E9B62-286C-4A6E-8B20-0FEE75BF2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B32B00D-2E71-40C2-B185-F20A0D87CADA}"/>
                </a:ext>
              </a:extLst>
            </xdr:cNvPr>
            <xdr:cNvSpPr txBox="1"/>
          </xdr:nvSpPr>
          <xdr:spPr>
            <a:xfrm>
              <a:off x="4169199" y="5932171"/>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BA22FD3-81F9-498F-987D-D99558D36FAE}"/>
                </a:ext>
              </a:extLst>
            </xdr:cNvPr>
            <xdr:cNvSpPr txBox="1"/>
          </xdr:nvSpPr>
          <xdr:spPr>
            <a:xfrm>
              <a:off x="4431030" y="4912753"/>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𝑞𝑢𝑒 𝑒𝑠𝑡𝑎𝑏𝑎𝑛 𝑐𝑎𝑠𝑎𝑑𝑎𝑠 𝑜 𝑚𝑎𝑛𝑡𝑒𝑛í𝑎𝑛 @</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12848B6-365E-48CF-A43C-7744BAEB1BF1}"/>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EB7B46F-D06C-4C6E-BAAE-C2874E077ABA}"/>
                </a:ext>
              </a:extLst>
            </xdr:cNvPr>
            <xdr:cNvSpPr txBox="1"/>
          </xdr:nvSpPr>
          <xdr:spPr>
            <a:xfrm>
              <a:off x="4170587" y="641052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twoCellAnchor>
    <xdr:from>
      <xdr:col>2</xdr:col>
      <xdr:colOff>38100</xdr:colOff>
      <xdr:row>30</xdr:row>
      <xdr:rowOff>90488</xdr:rowOff>
    </xdr:from>
    <xdr:to>
      <xdr:col>10</xdr:col>
      <xdr:colOff>133348</xdr:colOff>
      <xdr:row>43</xdr:row>
      <xdr:rowOff>152400</xdr:rowOff>
    </xdr:to>
    <xdr:graphicFrame macro="">
      <xdr:nvGraphicFramePr>
        <xdr:cNvPr id="2" name="Gráfico 1">
          <a:extLst>
            <a:ext uri="{FF2B5EF4-FFF2-40B4-BE49-F238E27FC236}">
              <a16:creationId xmlns:a16="http://schemas.microsoft.com/office/drawing/2014/main" id="{E81F0D95-0C92-4CB0-B22C-CAA827214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C959EC07-17E6-4225-8A71-CE4F3C26E7EB}"/>
                </a:ext>
              </a:extLst>
            </xdr:cNvPr>
            <xdr:cNvSpPr txBox="1"/>
          </xdr:nvSpPr>
          <xdr:spPr>
            <a:xfrm>
              <a:off x="4754880" y="489585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FB2DAE4F-9F07-4046-B0F2-051B415EB06B}"/>
                </a:ext>
              </a:extLst>
            </xdr:cNvPr>
            <xdr:cNvSpPr txBox="1"/>
          </xdr:nvSpPr>
          <xdr:spPr>
            <a:xfrm>
              <a:off x="4558665" y="7478077"/>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13.xml><?xml version="1.0" encoding="utf-8"?>
<xdr:wsDr xmlns:xdr="http://schemas.openxmlformats.org/drawingml/2006/spreadsheetDrawing" xmlns:a="http://schemas.openxmlformats.org/drawingml/2006/main">
  <xdr:twoCellAnchor>
    <xdr:from>
      <xdr:col>12</xdr:col>
      <xdr:colOff>76200</xdr:colOff>
      <xdr:row>9</xdr:row>
      <xdr:rowOff>2857</xdr:rowOff>
    </xdr:from>
    <xdr:to>
      <xdr:col>18</xdr:col>
      <xdr:colOff>59055</xdr:colOff>
      <xdr:row>20</xdr:row>
      <xdr:rowOff>160020</xdr:rowOff>
    </xdr:to>
    <xdr:graphicFrame macro="">
      <xdr:nvGraphicFramePr>
        <xdr:cNvPr id="2" name="Gráfico 1">
          <a:extLst>
            <a:ext uri="{FF2B5EF4-FFF2-40B4-BE49-F238E27FC236}">
              <a16:creationId xmlns:a16="http://schemas.microsoft.com/office/drawing/2014/main" id="{BCEC9B1B-C8AC-47F0-A8B0-D443FF98D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BB14021-5426-4291-B57A-3AF041BDD7C8}"/>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FF7DFAE-B8DB-49DB-96EF-DADD679F3EF0}"/>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573216F8-7674-42CC-8B57-0DC5C220DF8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C5661315-13EE-486C-A050-70C4ED0509AA}"/>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587689C5-6EE7-4E42-9B90-3C58F82B172F}"/>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CD6A4E23-DDD9-4AAE-9C44-13C2209FC066}"/>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8" name="CuadroTexto 7">
              <a:extLst>
                <a:ext uri="{FF2B5EF4-FFF2-40B4-BE49-F238E27FC236}">
                  <a16:creationId xmlns:a16="http://schemas.microsoft.com/office/drawing/2014/main" id="{863173FD-904E-4EEC-9301-4C1DFFD61AB6}"/>
                </a:ext>
              </a:extLst>
            </xdr:cNvPr>
            <xdr:cNvSpPr txBox="1"/>
          </xdr:nvSpPr>
          <xdr:spPr>
            <a:xfrm>
              <a:off x="3942397" y="893730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9" name="CuadroTexto 8">
              <a:extLst>
                <a:ext uri="{FF2B5EF4-FFF2-40B4-BE49-F238E27FC236}">
                  <a16:creationId xmlns:a16="http://schemas.microsoft.com/office/drawing/2014/main" id="{DEAF5D07-B49A-4EFC-95D8-D8FFB98B09C9}"/>
                </a:ext>
              </a:extLst>
            </xdr:cNvPr>
            <xdr:cNvSpPr txBox="1"/>
          </xdr:nvSpPr>
          <xdr:spPr>
            <a:xfrm>
              <a:off x="3595687" y="955643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5.xml><?xml version="1.0" encoding="utf-8"?>
<xdr:wsDr xmlns:xdr="http://schemas.openxmlformats.org/drawingml/2006/spreadsheetDrawing" xmlns:a="http://schemas.openxmlformats.org/drawingml/2006/main">
  <xdr:twoCellAnchor>
    <xdr:from>
      <xdr:col>8</xdr:col>
      <xdr:colOff>701039</xdr:colOff>
      <xdr:row>8</xdr:row>
      <xdr:rowOff>465773</xdr:rowOff>
    </xdr:from>
    <xdr:to>
      <xdr:col>14</xdr:col>
      <xdr:colOff>546734</xdr:colOff>
      <xdr:row>24</xdr:row>
      <xdr:rowOff>1</xdr:rowOff>
    </xdr:to>
    <xdr:graphicFrame macro="">
      <xdr:nvGraphicFramePr>
        <xdr:cNvPr id="2" name="Gráfico 1">
          <a:extLst>
            <a:ext uri="{FF2B5EF4-FFF2-40B4-BE49-F238E27FC236}">
              <a16:creationId xmlns:a16="http://schemas.microsoft.com/office/drawing/2014/main" id="{A5DE369D-C42E-4E97-A00E-9807E4FC3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972D47D0-17DB-4F80-8D6E-D2655EDA2D4C}"/>
                </a:ext>
              </a:extLst>
            </xdr:cNvPr>
            <xdr:cNvSpPr txBox="1"/>
          </xdr:nvSpPr>
          <xdr:spPr>
            <a:xfrm>
              <a:off x="4278630" y="44996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18.xml><?xml version="1.0" encoding="utf-8"?>
<xdr:wsDr xmlns:xdr="http://schemas.openxmlformats.org/drawingml/2006/spreadsheetDrawing" xmlns:a="http://schemas.openxmlformats.org/drawingml/2006/main">
  <xdr:twoCellAnchor>
    <xdr:from>
      <xdr:col>2</xdr:col>
      <xdr:colOff>99060</xdr:colOff>
      <xdr:row>15</xdr:row>
      <xdr:rowOff>42861</xdr:rowOff>
    </xdr:from>
    <xdr:to>
      <xdr:col>8</xdr:col>
      <xdr:colOff>428624</xdr:colOff>
      <xdr:row>33</xdr:row>
      <xdr:rowOff>15240</xdr:rowOff>
    </xdr:to>
    <xdr:graphicFrame macro="">
      <xdr:nvGraphicFramePr>
        <xdr:cNvPr id="2" name="Gráfico 1">
          <a:extLst>
            <a:ext uri="{FF2B5EF4-FFF2-40B4-BE49-F238E27FC236}">
              <a16:creationId xmlns:a16="http://schemas.microsoft.com/office/drawing/2014/main" id="{620BDEDE-C10B-4FDF-B38F-D86DFA354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F0829FE-A947-4546-8908-9A0555D09DDA}"/>
                </a:ext>
              </a:extLst>
            </xdr:cNvPr>
            <xdr:cNvSpPr txBox="1"/>
          </xdr:nvSpPr>
          <xdr:spPr>
            <a:xfrm>
              <a:off x="4451667" y="472376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xdr:from>
      <xdr:col>2</xdr:col>
      <xdr:colOff>14287</xdr:colOff>
      <xdr:row>31</xdr:row>
      <xdr:rowOff>61912</xdr:rowOff>
    </xdr:from>
    <xdr:to>
      <xdr:col>12</xdr:col>
      <xdr:colOff>366712</xdr:colOff>
      <xdr:row>50</xdr:row>
      <xdr:rowOff>42862</xdr:rowOff>
    </xdr:to>
    <xdr:graphicFrame macro="">
      <xdr:nvGraphicFramePr>
        <xdr:cNvPr id="2" name="Gráfico 1">
          <a:extLst>
            <a:ext uri="{FF2B5EF4-FFF2-40B4-BE49-F238E27FC236}">
              <a16:creationId xmlns:a16="http://schemas.microsoft.com/office/drawing/2014/main" id="{7C747A45-FF8A-49F4-9996-43467712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C557B9A-438C-471B-8FB3-6156375445A7}"/>
            </a:ext>
          </a:extLst>
        </xdr:cNvPr>
        <xdr:cNvPicPr>
          <a:picLocks noChangeAspect="1"/>
        </xdr:cNvPicPr>
      </xdr:nvPicPr>
      <xdr:blipFill>
        <a:blip xmlns:r="http://schemas.openxmlformats.org/officeDocument/2006/relationships" r:embed="rId2"/>
        <a:stretch>
          <a:fillRect/>
        </a:stretch>
      </xdr:blipFill>
      <xdr:spPr>
        <a:xfrm>
          <a:off x="4027614" y="4495800"/>
          <a:ext cx="334575" cy="652997"/>
        </a:xfrm>
        <a:prstGeom prst="rect">
          <a:avLst/>
        </a:prstGeom>
      </xdr:spPr>
    </xdr:pic>
    <xdr:clientData/>
  </xdr:twoCellAnchor>
  <xdr:twoCellAnchor editAs="oneCell">
    <xdr:from>
      <xdr:col>4</xdr:col>
      <xdr:colOff>563880</xdr:colOff>
      <xdr:row>20</xdr:row>
      <xdr:rowOff>182881</xdr:rowOff>
    </xdr:from>
    <xdr:to>
      <xdr:col>10</xdr:col>
      <xdr:colOff>426720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7AC88272-1EDD-4B56-BC5C-836731984984}"/>
            </a:ext>
          </a:extLst>
        </xdr:cNvPr>
        <xdr:cNvPicPr>
          <a:picLocks noChangeAspect="1"/>
        </xdr:cNvPicPr>
      </xdr:nvPicPr>
      <xdr:blipFill>
        <a:blip xmlns:r="http://schemas.openxmlformats.org/officeDocument/2006/relationships" r:embed="rId3"/>
        <a:stretch>
          <a:fillRect/>
        </a:stretch>
      </xdr:blipFill>
      <xdr:spPr>
        <a:xfrm>
          <a:off x="4495800" y="4495801"/>
          <a:ext cx="4709160" cy="72463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15</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20186335-0B0D-4997-B916-603E678DDE07}"/>
            </a:ext>
          </a:extLst>
        </xdr:cNvPr>
        <xdr:cNvPicPr>
          <a:picLocks noChangeAspect="1"/>
        </xdr:cNvPicPr>
      </xdr:nvPicPr>
      <xdr:blipFill>
        <a:blip xmlns:r="http://schemas.openxmlformats.org/officeDocument/2006/relationships" r:embed="rId2"/>
        <a:stretch>
          <a:fillRect/>
        </a:stretch>
      </xdr:blipFill>
      <xdr:spPr>
        <a:xfrm>
          <a:off x="4050474" y="2956560"/>
          <a:ext cx="334575" cy="652997"/>
        </a:xfrm>
        <a:prstGeom prst="rect">
          <a:avLst/>
        </a:prstGeom>
      </xdr:spPr>
    </xdr:pic>
    <xdr:clientData/>
  </xdr:twoCellAnchor>
  <xdr:twoCellAnchor editAs="oneCell">
    <xdr:from>
      <xdr:col>4</xdr:col>
      <xdr:colOff>563880</xdr:colOff>
      <xdr:row>11</xdr:row>
      <xdr:rowOff>182881</xdr:rowOff>
    </xdr:from>
    <xdr:to>
      <xdr:col>10</xdr:col>
      <xdr:colOff>510540</xdr:colOff>
      <xdr:row>15</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BF58301E-B61F-4521-8D24-8D398EDF8FE5}"/>
            </a:ext>
          </a:extLst>
        </xdr:cNvPr>
        <xdr:cNvPicPr>
          <a:picLocks noChangeAspect="1"/>
        </xdr:cNvPicPr>
      </xdr:nvPicPr>
      <xdr:blipFill>
        <a:blip xmlns:r="http://schemas.openxmlformats.org/officeDocument/2006/relationships" r:embed="rId3"/>
        <a:stretch>
          <a:fillRect/>
        </a:stretch>
      </xdr:blipFill>
      <xdr:spPr>
        <a:xfrm>
          <a:off x="4518660" y="2956561"/>
          <a:ext cx="4709160" cy="72463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2</xdr:col>
      <xdr:colOff>0</xdr:colOff>
      <xdr:row>27</xdr:row>
      <xdr:rowOff>14287</xdr:rowOff>
    </xdr:from>
    <xdr:to>
      <xdr:col>12</xdr:col>
      <xdr:colOff>314325</xdr:colOff>
      <xdr:row>46</xdr:row>
      <xdr:rowOff>23812</xdr:rowOff>
    </xdr:to>
    <xdr:graphicFrame macro="">
      <xdr:nvGraphicFramePr>
        <xdr:cNvPr id="2" name="Gráfico 1">
          <a:extLst>
            <a:ext uri="{FF2B5EF4-FFF2-40B4-BE49-F238E27FC236}">
              <a16:creationId xmlns:a16="http://schemas.microsoft.com/office/drawing/2014/main" id="{D81E62F4-4C23-4EA2-BF18-72581060C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EAE7FABD-4DF5-4162-85CF-9947BB342B03}"/>
                </a:ext>
              </a:extLst>
            </xdr:cNvPr>
            <xdr:cNvSpPr txBox="1"/>
          </xdr:nvSpPr>
          <xdr:spPr>
            <a:xfrm>
              <a:off x="3378517" y="43529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5.xml><?xml version="1.0" encoding="utf-8"?>
<xdr:wsDr xmlns:xdr="http://schemas.openxmlformats.org/drawingml/2006/spreadsheetDrawing" xmlns:a="http://schemas.openxmlformats.org/drawingml/2006/main">
  <xdr:twoCellAnchor editAs="oneCell">
    <xdr:from>
      <xdr:col>4</xdr:col>
      <xdr:colOff>95694</xdr:colOff>
      <xdr:row>11</xdr:row>
      <xdr:rowOff>0</xdr:rowOff>
    </xdr:from>
    <xdr:to>
      <xdr:col>4</xdr:col>
      <xdr:colOff>430269</xdr:colOff>
      <xdr:row>13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B439F518-6F42-438A-B6CE-30BB41AC7D5D}"/>
            </a:ext>
          </a:extLst>
        </xdr:cNvPr>
        <xdr:cNvPicPr>
          <a:picLocks noChangeAspect="1"/>
        </xdr:cNvPicPr>
      </xdr:nvPicPr>
      <xdr:blipFill>
        <a:blip xmlns:r="http://schemas.openxmlformats.org/officeDocument/2006/relationships" r:embed="rId2"/>
        <a:stretch>
          <a:fillRect/>
        </a:stretch>
      </xdr:blipFill>
      <xdr:spPr>
        <a:xfrm>
          <a:off x="3928554" y="2354580"/>
          <a:ext cx="334575" cy="538697"/>
        </a:xfrm>
        <a:prstGeom prst="rect">
          <a:avLst/>
        </a:prstGeom>
      </xdr:spPr>
    </xdr:pic>
    <xdr:clientData/>
  </xdr:twoCellAnchor>
  <xdr:twoCellAnchor editAs="oneCell">
    <xdr:from>
      <xdr:col>4</xdr:col>
      <xdr:colOff>563880</xdr:colOff>
      <xdr:row>10</xdr:row>
      <xdr:rowOff>182881</xdr:rowOff>
    </xdr:from>
    <xdr:to>
      <xdr:col>10</xdr:col>
      <xdr:colOff>594360</xdr:colOff>
      <xdr:row>13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99302E1E-BF28-4DB7-B86A-38C476B55AB3}"/>
            </a:ext>
          </a:extLst>
        </xdr:cNvPr>
        <xdr:cNvPicPr>
          <a:picLocks noChangeAspect="1"/>
        </xdr:cNvPicPr>
      </xdr:nvPicPr>
      <xdr:blipFill>
        <a:blip xmlns:r="http://schemas.openxmlformats.org/officeDocument/2006/relationships" r:embed="rId3"/>
        <a:stretch>
          <a:fillRect/>
        </a:stretch>
      </xdr:blipFill>
      <xdr:spPr>
        <a:xfrm>
          <a:off x="4396740" y="2301241"/>
          <a:ext cx="4709160" cy="61033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76200</xdr:colOff>
      <xdr:row>1</xdr:row>
      <xdr:rowOff>82550</xdr:rowOff>
    </xdr:from>
    <xdr:to>
      <xdr:col>1</xdr:col>
      <xdr:colOff>750147</xdr:colOff>
      <xdr:row>4</xdr:row>
      <xdr:rowOff>40217</xdr:rowOff>
    </xdr:to>
    <xdr:pic>
      <xdr:nvPicPr>
        <xdr:cNvPr id="2" name="Imagen 1">
          <a:extLst>
            <a:ext uri="{FF2B5EF4-FFF2-40B4-BE49-F238E27FC236}">
              <a16:creationId xmlns:a16="http://schemas.microsoft.com/office/drawing/2014/main" id="{965211EF-5E01-4A00-A25D-F7E7BE6C2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318770"/>
          <a:ext cx="1466427" cy="1466427"/>
        </a:xfrm>
        <a:prstGeom prst="rect">
          <a:avLst/>
        </a:prstGeom>
        <a:ln w="28575">
          <a:solidFill>
            <a:schemeClr val="bg1"/>
          </a:solidFill>
        </a:ln>
      </xdr:spPr>
    </xdr:pic>
    <xdr:clientData/>
  </xdr:twoCellAnchor>
</xdr:wsDr>
</file>

<file path=xl/drawings/drawing127.xml><?xml version="1.0" encoding="utf-8"?>
<xdr:wsDr xmlns:xdr="http://schemas.openxmlformats.org/drawingml/2006/spreadsheetDrawing" xmlns:a="http://schemas.openxmlformats.org/drawingml/2006/main">
  <xdr:twoCellAnchor>
    <xdr:from>
      <xdr:col>2</xdr:col>
      <xdr:colOff>148592</xdr:colOff>
      <xdr:row>33</xdr:row>
      <xdr:rowOff>43815</xdr:rowOff>
    </xdr:from>
    <xdr:to>
      <xdr:col>12</xdr:col>
      <xdr:colOff>215266</xdr:colOff>
      <xdr:row>44</xdr:row>
      <xdr:rowOff>186690</xdr:rowOff>
    </xdr:to>
    <xdr:graphicFrame macro="">
      <xdr:nvGraphicFramePr>
        <xdr:cNvPr id="2" name="Gráfico 1">
          <a:extLst>
            <a:ext uri="{FF2B5EF4-FFF2-40B4-BE49-F238E27FC236}">
              <a16:creationId xmlns:a16="http://schemas.microsoft.com/office/drawing/2014/main" id="{BC313523-55F2-4A2F-BD31-CCC922B7E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50</xdr:row>
      <xdr:rowOff>220981</xdr:rowOff>
    </xdr:from>
    <xdr:to>
      <xdr:col>12</xdr:col>
      <xdr:colOff>638174</xdr:colOff>
      <xdr:row>65</xdr:row>
      <xdr:rowOff>99060</xdr:rowOff>
    </xdr:to>
    <xdr:graphicFrame macro="">
      <xdr:nvGraphicFramePr>
        <xdr:cNvPr id="3" name="Gráfico 2">
          <a:extLst>
            <a:ext uri="{FF2B5EF4-FFF2-40B4-BE49-F238E27FC236}">
              <a16:creationId xmlns:a16="http://schemas.microsoft.com/office/drawing/2014/main" id="{95DB6A23-51AD-462D-8D37-AD1CA9706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C8D56505-E4D5-4705-B912-30CAC6C10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4006" y="8830909"/>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1028700</xdr:colOff>
      <xdr:row>32</xdr:row>
      <xdr:rowOff>75246</xdr:rowOff>
    </xdr:from>
    <xdr:to>
      <xdr:col>11</xdr:col>
      <xdr:colOff>550545</xdr:colOff>
      <xdr:row>47</xdr:row>
      <xdr:rowOff>38100</xdr:rowOff>
    </xdr:to>
    <xdr:graphicFrame macro="">
      <xdr:nvGraphicFramePr>
        <xdr:cNvPr id="2" name="Gráfico 1">
          <a:extLst>
            <a:ext uri="{FF2B5EF4-FFF2-40B4-BE49-F238E27FC236}">
              <a16:creationId xmlns:a16="http://schemas.microsoft.com/office/drawing/2014/main" id="{868683FF-CFD8-47ED-AC9D-A97B53560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857E45B-2610-4F63-8254-44F9D786BA4A}"/>
                </a:ext>
              </a:extLst>
            </xdr:cNvPr>
            <xdr:cNvSpPr txBox="1"/>
          </xdr:nvSpPr>
          <xdr:spPr>
            <a:xfrm>
              <a:off x="4608195" y="7640955"/>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34.xml><?xml version="1.0" encoding="utf-8"?>
<xdr:wsDr xmlns:xdr="http://schemas.openxmlformats.org/drawingml/2006/spreadsheetDrawing" xmlns:a="http://schemas.openxmlformats.org/drawingml/2006/main">
  <xdr:twoCellAnchor>
    <xdr:from>
      <xdr:col>2</xdr:col>
      <xdr:colOff>114300</xdr:colOff>
      <xdr:row>24</xdr:row>
      <xdr:rowOff>123825</xdr:rowOff>
    </xdr:from>
    <xdr:to>
      <xdr:col>11</xdr:col>
      <xdr:colOff>133350</xdr:colOff>
      <xdr:row>43</xdr:row>
      <xdr:rowOff>45721</xdr:rowOff>
    </xdr:to>
    <xdr:graphicFrame macro="">
      <xdr:nvGraphicFramePr>
        <xdr:cNvPr id="2" name="Gráfico 1">
          <a:extLst>
            <a:ext uri="{FF2B5EF4-FFF2-40B4-BE49-F238E27FC236}">
              <a16:creationId xmlns:a16="http://schemas.microsoft.com/office/drawing/2014/main" id="{D2CA1A46-9DE6-4775-8975-6FF6A95A1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611656FD-931B-4B2B-96EF-752EC88BD38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3" name="Imagen 2">
          <a:extLst>
            <a:ext uri="{FF2B5EF4-FFF2-40B4-BE49-F238E27FC236}">
              <a16:creationId xmlns:a16="http://schemas.microsoft.com/office/drawing/2014/main" id="{37461C08-F9AB-40A9-A195-EAF3C1E6F1F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4" name="Imagen 3">
          <a:extLst>
            <a:ext uri="{FF2B5EF4-FFF2-40B4-BE49-F238E27FC236}">
              <a16:creationId xmlns:a16="http://schemas.microsoft.com/office/drawing/2014/main" id="{09895DD5-AE44-4928-9782-4C4A6822C8B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5" name="Imagen 4">
          <a:extLst>
            <a:ext uri="{FF2B5EF4-FFF2-40B4-BE49-F238E27FC236}">
              <a16:creationId xmlns:a16="http://schemas.microsoft.com/office/drawing/2014/main" id="{B3BD2FC5-7666-4848-8DE0-70BC01904DB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43815</xdr:colOff>
      <xdr:row>8</xdr:row>
      <xdr:rowOff>119743</xdr:rowOff>
    </xdr:from>
    <xdr:to>
      <xdr:col>20</xdr:col>
      <xdr:colOff>468086</xdr:colOff>
      <xdr:row>22</xdr:row>
      <xdr:rowOff>76201</xdr:rowOff>
    </xdr:to>
    <xdr:graphicFrame macro="">
      <xdr:nvGraphicFramePr>
        <xdr:cNvPr id="2" name="3 Gráfico">
          <a:extLst>
            <a:ext uri="{FF2B5EF4-FFF2-40B4-BE49-F238E27FC236}">
              <a16:creationId xmlns:a16="http://schemas.microsoft.com/office/drawing/2014/main" id="{AD1D7B29-D505-492C-BF2A-FFEF8159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17</xdr:row>
      <xdr:rowOff>99060</xdr:rowOff>
    </xdr:to>
    <xdr:pic>
      <xdr:nvPicPr>
        <xdr:cNvPr id="2" name="Imagen 1">
          <a:extLst>
            <a:ext uri="{FF2B5EF4-FFF2-40B4-BE49-F238E27FC236}">
              <a16:creationId xmlns:a16="http://schemas.microsoft.com/office/drawing/2014/main" id="{1A084644-05CC-4CD5-B2FA-23C78E9C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39" y="10534650"/>
          <a:ext cx="4486276" cy="141351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69B16277-1235-4B14-B00E-2100157055E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838F414E-6F04-43B3-9849-89F7BCB7664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D7D296E6-4044-486F-8529-9EBB5793E6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4629" y="7677150"/>
          <a:ext cx="461962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232D75DA-60AA-49E5-920E-BCEC9986A0F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14D7A86A-801C-481D-95DF-74274CD2E22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8002B23B-E828-4D10-8A4F-F2ADFA421D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BDAED776-69BB-4B61-942C-E22BF49D923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9B54E19A-26BC-40F6-8A05-47E1F454609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AC618AD1-0D76-483E-A13A-9A3665B5436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689ED864-11EA-4B9A-9ACC-A94C92575D1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761626F2-37A5-4767-ABCD-CA63C8FA2F13}"/>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651CF46B-602A-4741-9EB4-F20C4C07172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83439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3BB9DB7-2917-446B-BE5A-F76D811E971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39815" y="1016889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BAD0347F-C613-46CD-AFA1-AAA0C49D2792}"/>
            </a:ext>
          </a:extLst>
        </xdr:cNvPr>
        <xdr:cNvPicPr>
          <a:picLocks noChangeAspect="1"/>
        </xdr:cNvPicPr>
      </xdr:nvPicPr>
      <xdr:blipFill>
        <a:blip xmlns:r="http://schemas.openxmlformats.org/officeDocument/2006/relationships" r:embed="rId4"/>
        <a:stretch>
          <a:fillRect/>
        </a:stretch>
      </xdr:blipFill>
      <xdr:spPr>
        <a:xfrm>
          <a:off x="4789833" y="5835650"/>
          <a:ext cx="3212990" cy="1451716"/>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7" name="Imagen 16">
          <a:extLst>
            <a:ext uri="{FF2B5EF4-FFF2-40B4-BE49-F238E27FC236}">
              <a16:creationId xmlns:a16="http://schemas.microsoft.com/office/drawing/2014/main" id="{5A0BAFF6-E6AA-4D49-A736-DE5164B8777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18" name="Imagen 17">
          <a:extLst>
            <a:ext uri="{FF2B5EF4-FFF2-40B4-BE49-F238E27FC236}">
              <a16:creationId xmlns:a16="http://schemas.microsoft.com/office/drawing/2014/main" id="{885F3F6C-FF8E-4496-920F-1379D93A939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19" name="Imagen 18">
          <a:extLst>
            <a:ext uri="{FF2B5EF4-FFF2-40B4-BE49-F238E27FC236}">
              <a16:creationId xmlns:a16="http://schemas.microsoft.com/office/drawing/2014/main" id="{20D5B39B-4E18-4019-BEEB-F8A64F6B57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0" name="Imagen 19">
          <a:extLst>
            <a:ext uri="{FF2B5EF4-FFF2-40B4-BE49-F238E27FC236}">
              <a16:creationId xmlns:a16="http://schemas.microsoft.com/office/drawing/2014/main" id="{6843A691-6EDE-40A4-A4DD-B587E6ECEFD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14</xdr:row>
      <xdr:rowOff>2807277</xdr:rowOff>
    </xdr:from>
    <xdr:to>
      <xdr:col>3</xdr:col>
      <xdr:colOff>1000125</xdr:colOff>
      <xdr:row>14</xdr:row>
      <xdr:rowOff>3119004</xdr:rowOff>
    </xdr:to>
    <xdr:pic>
      <xdr:nvPicPr>
        <xdr:cNvPr id="21" name="Imagen 20">
          <a:extLst>
            <a:ext uri="{FF2B5EF4-FFF2-40B4-BE49-F238E27FC236}">
              <a16:creationId xmlns:a16="http://schemas.microsoft.com/office/drawing/2014/main" id="{C226C8E8-95D0-4D40-9B61-00497764546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58665" y="8369877"/>
          <a:ext cx="685800"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742949</xdr:colOff>
      <xdr:row>14</xdr:row>
      <xdr:rowOff>273050</xdr:rowOff>
    </xdr:from>
    <xdr:to>
      <xdr:col>3</xdr:col>
      <xdr:colOff>3754672</xdr:colOff>
      <xdr:row>14</xdr:row>
      <xdr:rowOff>1635550</xdr:rowOff>
    </xdr:to>
    <xdr:pic>
      <xdr:nvPicPr>
        <xdr:cNvPr id="22" name="Imagen 21">
          <a:extLst>
            <a:ext uri="{FF2B5EF4-FFF2-40B4-BE49-F238E27FC236}">
              <a16:creationId xmlns:a16="http://schemas.microsoft.com/office/drawing/2014/main" id="{2BC07E34-92D3-439F-A07A-D9E4508B9027}"/>
            </a:ext>
          </a:extLst>
        </xdr:cNvPr>
        <xdr:cNvPicPr>
          <a:picLocks noChangeAspect="1"/>
        </xdr:cNvPicPr>
      </xdr:nvPicPr>
      <xdr:blipFill>
        <a:blip xmlns:r="http://schemas.openxmlformats.org/officeDocument/2006/relationships" r:embed="rId4"/>
        <a:stretch>
          <a:fillRect/>
        </a:stretch>
      </xdr:blipFill>
      <xdr:spPr>
        <a:xfrm>
          <a:off x="4987289" y="5835650"/>
          <a:ext cx="3011723" cy="1362500"/>
        </a:xfrm>
        <a:prstGeom prst="rect">
          <a:avLst/>
        </a:prstGeom>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3" name="Imagen 22">
          <a:extLst>
            <a:ext uri="{FF2B5EF4-FFF2-40B4-BE49-F238E27FC236}">
              <a16:creationId xmlns:a16="http://schemas.microsoft.com/office/drawing/2014/main" id="{0BC552FD-F9CA-4C6A-AC60-8874D95310F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24" name="Imagen 23">
          <a:extLst>
            <a:ext uri="{FF2B5EF4-FFF2-40B4-BE49-F238E27FC236}">
              <a16:creationId xmlns:a16="http://schemas.microsoft.com/office/drawing/2014/main" id="{E45D75EB-058A-4715-A5F9-934FC26F5F8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20765" y="1134618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25" name="Imagen 24">
          <a:extLst>
            <a:ext uri="{FF2B5EF4-FFF2-40B4-BE49-F238E27FC236}">
              <a16:creationId xmlns:a16="http://schemas.microsoft.com/office/drawing/2014/main" id="{65FEDCAA-1A49-45CE-BBC1-9C03520CA65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35015" y="113442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2417235</xdr:colOff>
      <xdr:row>14</xdr:row>
      <xdr:rowOff>4490506</xdr:rowOff>
    </xdr:from>
    <xdr:to>
      <xdr:col>3</xdr:col>
      <xdr:colOff>3126918</xdr:colOff>
      <xdr:row>14</xdr:row>
      <xdr:rowOff>4676775</xdr:rowOff>
    </xdr:to>
    <xdr:pic>
      <xdr:nvPicPr>
        <xdr:cNvPr id="26" name="Imagen 25">
          <a:extLst>
            <a:ext uri="{FF2B5EF4-FFF2-40B4-BE49-F238E27FC236}">
              <a16:creationId xmlns:a16="http://schemas.microsoft.com/office/drawing/2014/main" id="{1F1876CB-507E-4B3C-B6B5-C5FF396F366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1575" y="10053106"/>
          <a:ext cx="709683" cy="117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7</xdr:col>
      <xdr:colOff>99060</xdr:colOff>
      <xdr:row>31</xdr:row>
      <xdr:rowOff>63499</xdr:rowOff>
    </xdr:from>
    <xdr:to>
      <xdr:col>17</xdr:col>
      <xdr:colOff>506790</xdr:colOff>
      <xdr:row>50</xdr:row>
      <xdr:rowOff>129540</xdr:rowOff>
    </xdr:to>
    <xdr:graphicFrame macro="">
      <xdr:nvGraphicFramePr>
        <xdr:cNvPr id="2" name="Gráfico 1">
          <a:extLst>
            <a:ext uri="{FF2B5EF4-FFF2-40B4-BE49-F238E27FC236}">
              <a16:creationId xmlns:a16="http://schemas.microsoft.com/office/drawing/2014/main" id="{0E7FE0BA-4D5B-448E-B8A2-D0972818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70</xdr:row>
      <xdr:rowOff>106680</xdr:rowOff>
    </xdr:from>
    <xdr:to>
      <xdr:col>7</xdr:col>
      <xdr:colOff>76200</xdr:colOff>
      <xdr:row>83</xdr:row>
      <xdr:rowOff>30480</xdr:rowOff>
    </xdr:to>
    <xdr:graphicFrame macro="">
      <xdr:nvGraphicFramePr>
        <xdr:cNvPr id="3" name="Gráfico 2">
          <a:extLst>
            <a:ext uri="{FF2B5EF4-FFF2-40B4-BE49-F238E27FC236}">
              <a16:creationId xmlns:a16="http://schemas.microsoft.com/office/drawing/2014/main" id="{1A1704A4-D088-4F9D-A29E-1DF5C49C6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784860</xdr:colOff>
      <xdr:row>60</xdr:row>
      <xdr:rowOff>58329</xdr:rowOff>
    </xdr:from>
    <xdr:to>
      <xdr:col>18</xdr:col>
      <xdr:colOff>583112</xdr:colOff>
      <xdr:row>77</xdr:row>
      <xdr:rowOff>68580</xdr:rowOff>
    </xdr:to>
    <xdr:graphicFrame macro="">
      <xdr:nvGraphicFramePr>
        <xdr:cNvPr id="4" name="Gráfico 5">
          <a:extLst>
            <a:ext uri="{FF2B5EF4-FFF2-40B4-BE49-F238E27FC236}">
              <a16:creationId xmlns:a16="http://schemas.microsoft.com/office/drawing/2014/main" id="{FE23B8A5-B0C6-4F65-9D4B-756960584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endParaRPr lang="es-CR" sz="800">
            <a:solidFill>
              <a:sysClr val="windowText" lastClr="000000"/>
            </a:solidFill>
            <a:effectLst/>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F8F2F053-4946-47C3-9937-3F86D544F97E}"/>
                </a:ext>
              </a:extLst>
            </xdr:cNvPr>
            <xdr:cNvSpPr txBox="1"/>
          </xdr:nvSpPr>
          <xdr:spPr>
            <a:xfrm>
              <a:off x="4032883" y="768429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solidFill>
              <a:sysClr val="windowText" lastClr="000000"/>
            </a:solidFill>
          </a:endParaRP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525780</xdr:colOff>
      <xdr:row>15</xdr:row>
      <xdr:rowOff>1133170</xdr:rowOff>
    </xdr:to>
    <xdr:pic>
      <xdr:nvPicPr>
        <xdr:cNvPr id="2" name="Shape 139">
          <a:extLst>
            <a:ext uri="{FF2B5EF4-FFF2-40B4-BE49-F238E27FC236}">
              <a16:creationId xmlns:a16="http://schemas.microsoft.com/office/drawing/2014/main" id="{6B25EFFE-4E61-46EE-AFBE-00C2D19296CB}"/>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3" name="Shape 138">
          <a:extLst>
            <a:ext uri="{FF2B5EF4-FFF2-40B4-BE49-F238E27FC236}">
              <a16:creationId xmlns:a16="http://schemas.microsoft.com/office/drawing/2014/main" id="{CE5CA6FC-1CF4-42AD-BCE3-7EEAD03E5AB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4" name="Shape 137">
          <a:extLst>
            <a:ext uri="{FF2B5EF4-FFF2-40B4-BE49-F238E27FC236}">
              <a16:creationId xmlns:a16="http://schemas.microsoft.com/office/drawing/2014/main" id="{73CBEF5E-7EAE-49F7-8177-8D973688D6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5" name="Imagen 4">
          <a:extLst>
            <a:ext uri="{FF2B5EF4-FFF2-40B4-BE49-F238E27FC236}">
              <a16:creationId xmlns:a16="http://schemas.microsoft.com/office/drawing/2014/main" id="{549B09F0-DA98-4806-AF50-FBF6B0763D1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365761</xdr:colOff>
      <xdr:row>15</xdr:row>
      <xdr:rowOff>1950720</xdr:rowOff>
    </xdr:from>
    <xdr:to>
      <xdr:col>9</xdr:col>
      <xdr:colOff>409576</xdr:colOff>
      <xdr:row>15</xdr:row>
      <xdr:rowOff>2202205</xdr:rowOff>
    </xdr:to>
    <xdr:pic>
      <xdr:nvPicPr>
        <xdr:cNvPr id="6" name="Imagen 5">
          <a:extLst>
            <a:ext uri="{FF2B5EF4-FFF2-40B4-BE49-F238E27FC236}">
              <a16:creationId xmlns:a16="http://schemas.microsoft.com/office/drawing/2014/main" id="{02B89A93-F8CE-402B-9BC4-37697C90214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65181" y="91592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2139315</xdr:rowOff>
    </xdr:from>
    <xdr:to>
      <xdr:col>7</xdr:col>
      <xdr:colOff>316463</xdr:colOff>
      <xdr:row>15</xdr:row>
      <xdr:rowOff>2701925</xdr:rowOff>
    </xdr:to>
    <xdr:pic>
      <xdr:nvPicPr>
        <xdr:cNvPr id="7" name="Imagen 6">
          <a:extLst>
            <a:ext uri="{FF2B5EF4-FFF2-40B4-BE49-F238E27FC236}">
              <a16:creationId xmlns:a16="http://schemas.microsoft.com/office/drawing/2014/main" id="{C041B3AD-27D2-47EC-B751-B4389F58F0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93478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8" name="Imagen 7">
          <a:extLst>
            <a:ext uri="{FF2B5EF4-FFF2-40B4-BE49-F238E27FC236}">
              <a16:creationId xmlns:a16="http://schemas.microsoft.com/office/drawing/2014/main" id="{A9282411-5B99-4893-9DC2-E669AF528B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9" name="Imagen 8">
          <a:extLst>
            <a:ext uri="{FF2B5EF4-FFF2-40B4-BE49-F238E27FC236}">
              <a16:creationId xmlns:a16="http://schemas.microsoft.com/office/drawing/2014/main" id="{C4ED5B80-2483-40CE-897F-34C7FB144E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10" name="Imagen 9">
          <a:extLst>
            <a:ext uri="{FF2B5EF4-FFF2-40B4-BE49-F238E27FC236}">
              <a16:creationId xmlns:a16="http://schemas.microsoft.com/office/drawing/2014/main" id="{5F31D76D-3F6A-43A4-BECE-F929B9C5778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11" name="Shape 139">
          <a:extLst>
            <a:ext uri="{FF2B5EF4-FFF2-40B4-BE49-F238E27FC236}">
              <a16:creationId xmlns:a16="http://schemas.microsoft.com/office/drawing/2014/main" id="{AB1922A3-8ECC-476C-B9ED-77AD8465F928}"/>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12" name="Shape 138">
          <a:extLst>
            <a:ext uri="{FF2B5EF4-FFF2-40B4-BE49-F238E27FC236}">
              <a16:creationId xmlns:a16="http://schemas.microsoft.com/office/drawing/2014/main" id="{A69CA56A-F0F7-4DBC-BFA8-45FD5C68BBED}"/>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13" name="Shape 137">
          <a:extLst>
            <a:ext uri="{FF2B5EF4-FFF2-40B4-BE49-F238E27FC236}">
              <a16:creationId xmlns:a16="http://schemas.microsoft.com/office/drawing/2014/main" id="{013A10CA-EAF2-4957-8773-944864A30BC9}"/>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14" name="Imagen 13">
          <a:extLst>
            <a:ext uri="{FF2B5EF4-FFF2-40B4-BE49-F238E27FC236}">
              <a16:creationId xmlns:a16="http://schemas.microsoft.com/office/drawing/2014/main" id="{EA9C4B2C-DBAD-4948-8FF5-505441A38DB8}"/>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365761</xdr:colOff>
      <xdr:row>15</xdr:row>
      <xdr:rowOff>3604260</xdr:rowOff>
    </xdr:from>
    <xdr:to>
      <xdr:col>7</xdr:col>
      <xdr:colOff>920116</xdr:colOff>
      <xdr:row>15</xdr:row>
      <xdr:rowOff>3855745</xdr:rowOff>
    </xdr:to>
    <xdr:pic>
      <xdr:nvPicPr>
        <xdr:cNvPr id="15" name="Imagen 14">
          <a:extLst>
            <a:ext uri="{FF2B5EF4-FFF2-40B4-BE49-F238E27FC236}">
              <a16:creationId xmlns:a16="http://schemas.microsoft.com/office/drawing/2014/main" id="{6A6BB9BB-162C-46DC-9B93-24E4EA801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62161" y="1081278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15</xdr:row>
      <xdr:rowOff>1263015</xdr:rowOff>
    </xdr:from>
    <xdr:to>
      <xdr:col>7</xdr:col>
      <xdr:colOff>316463</xdr:colOff>
      <xdr:row>15</xdr:row>
      <xdr:rowOff>1825625</xdr:rowOff>
    </xdr:to>
    <xdr:pic>
      <xdr:nvPicPr>
        <xdr:cNvPr id="16" name="Imagen 15">
          <a:extLst>
            <a:ext uri="{FF2B5EF4-FFF2-40B4-BE49-F238E27FC236}">
              <a16:creationId xmlns:a16="http://schemas.microsoft.com/office/drawing/2014/main" id="{BB6E025F-B8B9-4211-9E0C-8FDBA0056AE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0" y="84715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17" name="Imagen 16">
          <a:extLst>
            <a:ext uri="{FF2B5EF4-FFF2-40B4-BE49-F238E27FC236}">
              <a16:creationId xmlns:a16="http://schemas.microsoft.com/office/drawing/2014/main" id="{AB7FE871-07E4-4794-9F34-CAEB63FA1A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18" name="Imagen 17">
          <a:extLst>
            <a:ext uri="{FF2B5EF4-FFF2-40B4-BE49-F238E27FC236}">
              <a16:creationId xmlns:a16="http://schemas.microsoft.com/office/drawing/2014/main" id="{609B4A69-B974-4AA5-80B7-C307D8B0E1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19" name="Imagen 18">
          <a:extLst>
            <a:ext uri="{FF2B5EF4-FFF2-40B4-BE49-F238E27FC236}">
              <a16:creationId xmlns:a16="http://schemas.microsoft.com/office/drawing/2014/main" id="{BECE4613-4A90-4ED5-A5C9-8DB053D5E2D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20" name="Shape 139">
          <a:extLst>
            <a:ext uri="{FF2B5EF4-FFF2-40B4-BE49-F238E27FC236}">
              <a16:creationId xmlns:a16="http://schemas.microsoft.com/office/drawing/2014/main" id="{9DFC1A1D-2393-4FAD-A623-406D40029D49}"/>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21" name="Shape 138">
          <a:extLst>
            <a:ext uri="{FF2B5EF4-FFF2-40B4-BE49-F238E27FC236}">
              <a16:creationId xmlns:a16="http://schemas.microsoft.com/office/drawing/2014/main" id="{C39DFA5D-8F4C-4155-AB98-AA6A9BD85E76}"/>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22" name="Shape 137">
          <a:extLst>
            <a:ext uri="{FF2B5EF4-FFF2-40B4-BE49-F238E27FC236}">
              <a16:creationId xmlns:a16="http://schemas.microsoft.com/office/drawing/2014/main" id="{ADE7A44F-7A65-42FC-AA76-6D2B6F082BC4}"/>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23" name="Imagen 22">
          <a:extLst>
            <a:ext uri="{FF2B5EF4-FFF2-40B4-BE49-F238E27FC236}">
              <a16:creationId xmlns:a16="http://schemas.microsoft.com/office/drawing/2014/main" id="{49A09825-8841-45E1-B27E-05035931B7CD}"/>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358141</xdr:colOff>
      <xdr:row>15</xdr:row>
      <xdr:rowOff>2827020</xdr:rowOff>
    </xdr:from>
    <xdr:to>
      <xdr:col>7</xdr:col>
      <xdr:colOff>912496</xdr:colOff>
      <xdr:row>15</xdr:row>
      <xdr:rowOff>3078505</xdr:rowOff>
    </xdr:to>
    <xdr:pic>
      <xdr:nvPicPr>
        <xdr:cNvPr id="24" name="Imagen 23">
          <a:extLst>
            <a:ext uri="{FF2B5EF4-FFF2-40B4-BE49-F238E27FC236}">
              <a16:creationId xmlns:a16="http://schemas.microsoft.com/office/drawing/2014/main" id="{B9C7AB50-53AC-4BA4-939E-0E5DD5E7BE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54541" y="1003554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339090</xdr:colOff>
      <xdr:row>15</xdr:row>
      <xdr:rowOff>401955</xdr:rowOff>
    </xdr:from>
    <xdr:to>
      <xdr:col>7</xdr:col>
      <xdr:colOff>141203</xdr:colOff>
      <xdr:row>15</xdr:row>
      <xdr:rowOff>964565</xdr:rowOff>
    </xdr:to>
    <xdr:pic>
      <xdr:nvPicPr>
        <xdr:cNvPr id="25" name="Imagen 24">
          <a:extLst>
            <a:ext uri="{FF2B5EF4-FFF2-40B4-BE49-F238E27FC236}">
              <a16:creationId xmlns:a16="http://schemas.microsoft.com/office/drawing/2014/main" id="{44D2D0C4-6483-40B8-BD1F-A581D24E5B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35490" y="761047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26" name="Imagen 25">
          <a:extLst>
            <a:ext uri="{FF2B5EF4-FFF2-40B4-BE49-F238E27FC236}">
              <a16:creationId xmlns:a16="http://schemas.microsoft.com/office/drawing/2014/main" id="{C8410C94-0FE3-418D-89D5-168D5BE266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27" name="Imagen 26">
          <a:extLst>
            <a:ext uri="{FF2B5EF4-FFF2-40B4-BE49-F238E27FC236}">
              <a16:creationId xmlns:a16="http://schemas.microsoft.com/office/drawing/2014/main" id="{4CC7DF06-71BE-49C4-979C-A7267DE8DC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28" name="Imagen 27">
          <a:extLst>
            <a:ext uri="{FF2B5EF4-FFF2-40B4-BE49-F238E27FC236}">
              <a16:creationId xmlns:a16="http://schemas.microsoft.com/office/drawing/2014/main" id="{565A3F12-5BFB-4E78-B5E2-CA1FE82049A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525780</xdr:colOff>
      <xdr:row>15</xdr:row>
      <xdr:rowOff>1133170</xdr:rowOff>
    </xdr:to>
    <xdr:pic>
      <xdr:nvPicPr>
        <xdr:cNvPr id="29" name="Shape 139">
          <a:extLst>
            <a:ext uri="{FF2B5EF4-FFF2-40B4-BE49-F238E27FC236}">
              <a16:creationId xmlns:a16="http://schemas.microsoft.com/office/drawing/2014/main" id="{F9DF2E6F-CF12-4CB5-B242-275CC64AEEAC}"/>
            </a:ext>
          </a:extLst>
        </xdr:cNvPr>
        <xdr:cNvPicPr preferRelativeResize="0"/>
      </xdr:nvPicPr>
      <xdr:blipFill>
        <a:blip xmlns:r="http://schemas.openxmlformats.org/officeDocument/2006/relationships" r:embed="rId1">
          <a:alphaModFix/>
        </a:blip>
        <a:stretch>
          <a:fillRect/>
        </a:stretch>
      </xdr:blipFill>
      <xdr:spPr>
        <a:xfrm>
          <a:off x="3503295" y="8189595"/>
          <a:ext cx="436245" cy="152095"/>
        </a:xfrm>
        <a:prstGeom prst="rect">
          <a:avLst/>
        </a:prstGeom>
        <a:noFill/>
        <a:ln>
          <a:noFill/>
        </a:ln>
      </xdr:spPr>
    </xdr:pic>
    <xdr:clientData/>
  </xdr:twoCellAnchor>
  <xdr:twoCellAnchor editAs="oneCell">
    <xdr:from>
      <xdr:col>3</xdr:col>
      <xdr:colOff>784859</xdr:colOff>
      <xdr:row>15</xdr:row>
      <xdr:rowOff>1005840</xdr:rowOff>
    </xdr:from>
    <xdr:to>
      <xdr:col>3</xdr:col>
      <xdr:colOff>1453515</xdr:colOff>
      <xdr:row>15</xdr:row>
      <xdr:rowOff>1177290</xdr:rowOff>
    </xdr:to>
    <xdr:pic>
      <xdr:nvPicPr>
        <xdr:cNvPr id="30" name="Shape 138">
          <a:extLst>
            <a:ext uri="{FF2B5EF4-FFF2-40B4-BE49-F238E27FC236}">
              <a16:creationId xmlns:a16="http://schemas.microsoft.com/office/drawing/2014/main" id="{00A6AB67-81AA-4DEF-9A72-BED60D61E889}"/>
            </a:ext>
          </a:extLst>
        </xdr:cNvPr>
        <xdr:cNvPicPr preferRelativeResize="0"/>
      </xdr:nvPicPr>
      <xdr:blipFill>
        <a:blip xmlns:r="http://schemas.openxmlformats.org/officeDocument/2006/relationships" r:embed="rId2">
          <a:alphaModFix/>
        </a:blip>
        <a:stretch>
          <a:fillRect/>
        </a:stretch>
      </xdr:blipFill>
      <xdr:spPr>
        <a:xfrm>
          <a:off x="4198619" y="8214360"/>
          <a:ext cx="668656" cy="171450"/>
        </a:xfrm>
        <a:prstGeom prst="rect">
          <a:avLst/>
        </a:prstGeom>
        <a:noFill/>
        <a:ln>
          <a:noFill/>
        </a:ln>
      </xdr:spPr>
    </xdr:pic>
    <xdr:clientData/>
  </xdr:twoCellAnchor>
  <xdr:twoCellAnchor editAs="oneCell">
    <xdr:from>
      <xdr:col>3</xdr:col>
      <xdr:colOff>53339</xdr:colOff>
      <xdr:row>15</xdr:row>
      <xdr:rowOff>91440</xdr:rowOff>
    </xdr:from>
    <xdr:to>
      <xdr:col>3</xdr:col>
      <xdr:colOff>2649854</xdr:colOff>
      <xdr:row>15</xdr:row>
      <xdr:rowOff>872490</xdr:rowOff>
    </xdr:to>
    <xdr:pic>
      <xdr:nvPicPr>
        <xdr:cNvPr id="31" name="Shape 137">
          <a:extLst>
            <a:ext uri="{FF2B5EF4-FFF2-40B4-BE49-F238E27FC236}">
              <a16:creationId xmlns:a16="http://schemas.microsoft.com/office/drawing/2014/main" id="{FBE65117-51AE-4FC5-8157-81B40125ED9A}"/>
            </a:ext>
          </a:extLst>
        </xdr:cNvPr>
        <xdr:cNvPicPr preferRelativeResize="0"/>
      </xdr:nvPicPr>
      <xdr:blipFill>
        <a:blip xmlns:r="http://schemas.openxmlformats.org/officeDocument/2006/relationships" r:embed="rId3">
          <a:alphaModFix/>
        </a:blip>
        <a:stretch>
          <a:fillRect/>
        </a:stretch>
      </xdr:blipFill>
      <xdr:spPr>
        <a:xfrm>
          <a:off x="3467099" y="7299960"/>
          <a:ext cx="259651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5655310</xdr:colOff>
      <xdr:row>15</xdr:row>
      <xdr:rowOff>3716655</xdr:rowOff>
    </xdr:to>
    <xdr:pic>
      <xdr:nvPicPr>
        <xdr:cNvPr id="32" name="Imagen 31">
          <a:extLst>
            <a:ext uri="{FF2B5EF4-FFF2-40B4-BE49-F238E27FC236}">
              <a16:creationId xmlns:a16="http://schemas.microsoft.com/office/drawing/2014/main" id="{6539752E-4803-4296-93B5-3F104A8C2E1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410825"/>
          <a:ext cx="103759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160021</xdr:colOff>
      <xdr:row>15</xdr:row>
      <xdr:rowOff>3078480</xdr:rowOff>
    </xdr:from>
    <xdr:to>
      <xdr:col>7</xdr:col>
      <xdr:colOff>714376</xdr:colOff>
      <xdr:row>15</xdr:row>
      <xdr:rowOff>3329965</xdr:rowOff>
    </xdr:to>
    <xdr:pic>
      <xdr:nvPicPr>
        <xdr:cNvPr id="33" name="Imagen 32">
          <a:extLst>
            <a:ext uri="{FF2B5EF4-FFF2-40B4-BE49-F238E27FC236}">
              <a16:creationId xmlns:a16="http://schemas.microsoft.com/office/drawing/2014/main" id="{66E888FE-31A9-4A2C-AAE4-89BE937BCA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56421" y="10287000"/>
          <a:ext cx="2665095"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2053590</xdr:colOff>
      <xdr:row>15</xdr:row>
      <xdr:rowOff>767715</xdr:rowOff>
    </xdr:from>
    <xdr:to>
      <xdr:col>3</xdr:col>
      <xdr:colOff>3966443</xdr:colOff>
      <xdr:row>15</xdr:row>
      <xdr:rowOff>1330325</xdr:rowOff>
    </xdr:to>
    <xdr:pic>
      <xdr:nvPicPr>
        <xdr:cNvPr id="34" name="Imagen 33">
          <a:extLst>
            <a:ext uri="{FF2B5EF4-FFF2-40B4-BE49-F238E27FC236}">
              <a16:creationId xmlns:a16="http://schemas.microsoft.com/office/drawing/2014/main" id="{FFA1A1A9-1C29-46D7-ACBE-2C087C5045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67350" y="7976235"/>
          <a:ext cx="1912853" cy="5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5133975</xdr:colOff>
      <xdr:row>15</xdr:row>
      <xdr:rowOff>2041936</xdr:rowOff>
    </xdr:to>
    <xdr:pic>
      <xdr:nvPicPr>
        <xdr:cNvPr id="35" name="Imagen 34">
          <a:extLst>
            <a:ext uri="{FF2B5EF4-FFF2-40B4-BE49-F238E27FC236}">
              <a16:creationId xmlns:a16="http://schemas.microsoft.com/office/drawing/2014/main" id="{1586E1B9-42C8-40B4-8B6A-ADB1193350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823960"/>
          <a:ext cx="821055" cy="426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5133975</xdr:colOff>
      <xdr:row>15</xdr:row>
      <xdr:rowOff>2535474</xdr:rowOff>
    </xdr:to>
    <xdr:pic>
      <xdr:nvPicPr>
        <xdr:cNvPr id="36" name="Imagen 35">
          <a:extLst>
            <a:ext uri="{FF2B5EF4-FFF2-40B4-BE49-F238E27FC236}">
              <a16:creationId xmlns:a16="http://schemas.microsoft.com/office/drawing/2014/main" id="{7E54AA15-6E78-4E2E-A120-35EDC07565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9220199"/>
          <a:ext cx="775335" cy="52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5509206</xdr:colOff>
      <xdr:row>15</xdr:row>
      <xdr:rowOff>1600200</xdr:rowOff>
    </xdr:to>
    <xdr:pic>
      <xdr:nvPicPr>
        <xdr:cNvPr id="37" name="Imagen 36">
          <a:extLst>
            <a:ext uri="{FF2B5EF4-FFF2-40B4-BE49-F238E27FC236}">
              <a16:creationId xmlns:a16="http://schemas.microsoft.com/office/drawing/2014/main" id="{C2A7A3ED-4B36-4A37-A3EC-184E1BAB5E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420100"/>
          <a:ext cx="124962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8</xdr:col>
      <xdr:colOff>685800</xdr:colOff>
      <xdr:row>10</xdr:row>
      <xdr:rowOff>427357</xdr:rowOff>
    </xdr:from>
    <xdr:to>
      <xdr:col>18</xdr:col>
      <xdr:colOff>484052</xdr:colOff>
      <xdr:row>19</xdr:row>
      <xdr:rowOff>38100</xdr:rowOff>
    </xdr:to>
    <xdr:graphicFrame macro="">
      <xdr:nvGraphicFramePr>
        <xdr:cNvPr id="2" name="Gráfico 1">
          <a:extLst>
            <a:ext uri="{FF2B5EF4-FFF2-40B4-BE49-F238E27FC236}">
              <a16:creationId xmlns:a16="http://schemas.microsoft.com/office/drawing/2014/main" id="{87A05201-2C7A-4C08-9945-2FE2CFF97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4.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45.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7AC6D4DA-2B3D-403E-8036-2C487C58E14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648B05E2-8C08-452D-AF6C-18C2873F5E0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205" y="1088952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683C8C74-D311-497C-8986-39A53AD25AF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4950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E550455-C0BB-422A-892C-D0075E7C6F08}"/>
            </a:ext>
          </a:extLst>
        </xdr:cNvPr>
        <xdr:cNvPicPr>
          <a:picLocks noChangeAspect="1"/>
        </xdr:cNvPicPr>
      </xdr:nvPicPr>
      <xdr:blipFill>
        <a:blip xmlns:r="http://schemas.openxmlformats.org/officeDocument/2006/relationships" r:embed="rId2"/>
        <a:stretch>
          <a:fillRect/>
        </a:stretch>
      </xdr:blipFill>
      <xdr:spPr>
        <a:xfrm>
          <a:off x="3844734" y="4366260"/>
          <a:ext cx="334575" cy="538697"/>
        </a:xfrm>
        <a:prstGeom prst="rect">
          <a:avLst/>
        </a:prstGeom>
      </xdr:spPr>
    </xdr:pic>
    <xdr:clientData/>
  </xdr:twoCellAnchor>
  <xdr:twoCellAnchor editAs="oneCell">
    <xdr:from>
      <xdr:col>4</xdr:col>
      <xdr:colOff>563880</xdr:colOff>
      <xdr:row>20</xdr:row>
      <xdr:rowOff>182881</xdr:rowOff>
    </xdr:from>
    <xdr:to>
      <xdr:col>10</xdr:col>
      <xdr:colOff>533400</xdr:colOff>
      <xdr:row>23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570653E-C25F-41BF-8C4B-4AFB4AD483AE}"/>
            </a:ext>
          </a:extLst>
        </xdr:cNvPr>
        <xdr:cNvPicPr>
          <a:picLocks noChangeAspect="1"/>
        </xdr:cNvPicPr>
      </xdr:nvPicPr>
      <xdr:blipFill>
        <a:blip xmlns:r="http://schemas.openxmlformats.org/officeDocument/2006/relationships" r:embed="rId3"/>
        <a:stretch>
          <a:fillRect/>
        </a:stretch>
      </xdr:blipFill>
      <xdr:spPr>
        <a:xfrm>
          <a:off x="4312920" y="4312921"/>
          <a:ext cx="4709160" cy="61033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76200</xdr:colOff>
      <xdr:row>1</xdr:row>
      <xdr:rowOff>36830</xdr:rowOff>
    </xdr:from>
    <xdr:to>
      <xdr:col>1</xdr:col>
      <xdr:colOff>750147</xdr:colOff>
      <xdr:row>4</xdr:row>
      <xdr:rowOff>9737</xdr:rowOff>
    </xdr:to>
    <xdr:pic>
      <xdr:nvPicPr>
        <xdr:cNvPr id="2" name="Imagen 1">
          <a:extLst>
            <a:ext uri="{FF2B5EF4-FFF2-40B4-BE49-F238E27FC236}">
              <a16:creationId xmlns:a16="http://schemas.microsoft.com/office/drawing/2014/main" id="{9B452647-2671-4B8B-A82C-ED237464C9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73050"/>
          <a:ext cx="1466427" cy="1466427"/>
        </a:xfrm>
        <a:prstGeom prst="rect">
          <a:avLst/>
        </a:prstGeom>
        <a:ln w="28575">
          <a:solidFill>
            <a:schemeClr val="bg1"/>
          </a:solidFill>
        </a:ln>
      </xdr:spPr>
    </xdr:pic>
    <xdr:clientData/>
  </xdr:twoCellAnchor>
</xdr:wsDr>
</file>

<file path=xl/drawings/drawing148.xml><?xml version="1.0" encoding="utf-8"?>
<xdr:wsDr xmlns:xdr="http://schemas.openxmlformats.org/drawingml/2006/spreadsheetDrawing" xmlns:a="http://schemas.openxmlformats.org/drawingml/2006/main">
  <xdr:twoCellAnchor>
    <xdr:from>
      <xdr:col>2</xdr:col>
      <xdr:colOff>53340</xdr:colOff>
      <xdr:row>33</xdr:row>
      <xdr:rowOff>4762</xdr:rowOff>
    </xdr:from>
    <xdr:to>
      <xdr:col>10</xdr:col>
      <xdr:colOff>485774</xdr:colOff>
      <xdr:row>45</xdr:row>
      <xdr:rowOff>91440</xdr:rowOff>
    </xdr:to>
    <xdr:graphicFrame macro="">
      <xdr:nvGraphicFramePr>
        <xdr:cNvPr id="2" name="Gráfico 1">
          <a:extLst>
            <a:ext uri="{FF2B5EF4-FFF2-40B4-BE49-F238E27FC236}">
              <a16:creationId xmlns:a16="http://schemas.microsoft.com/office/drawing/2014/main" id="{90A7CFB5-7262-4B61-A78B-17080A75B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0.04889</cdr:x>
      <cdr:y>0.82391</cdr:y>
    </cdr:from>
    <cdr:to>
      <cdr:x>0.09135</cdr:x>
      <cdr:y>0.88606</cdr:y>
    </cdr:to>
    <cdr:sp macro="" textlink="">
      <cdr:nvSpPr>
        <cdr:cNvPr id="2" name="Rectángulo 1"/>
        <cdr:cNvSpPr/>
      </cdr:nvSpPr>
      <cdr:spPr>
        <a:xfrm xmlns:a="http://schemas.openxmlformats.org/drawingml/2006/main">
          <a:off x="234909" y="2862080"/>
          <a:ext cx="203995" cy="21589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60882C0-5D83-42B1-AD25-3AFF8BB24F31}"/>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CCEF443-0889-448E-8B36-5848A0174857}"/>
                </a:ext>
              </a:extLst>
            </xdr:cNvPr>
            <xdr:cNvSpPr txBox="1"/>
          </xdr:nvSpPr>
          <xdr:spPr>
            <a:xfrm>
              <a:off x="4033838" y="953261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2ECBBFC7-EE27-4BC1-8B6E-B654A05508A4}"/>
                </a:ext>
              </a:extLst>
            </xdr:cNvPr>
            <xdr:cNvSpPr txBox="1"/>
          </xdr:nvSpPr>
          <xdr:spPr>
            <a:xfrm>
              <a:off x="4559141" y="59364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51.xml><?xml version="1.0" encoding="utf-8"?>
<xdr:wsDr xmlns:xdr="http://schemas.openxmlformats.org/drawingml/2006/spreadsheetDrawing" xmlns:a="http://schemas.openxmlformats.org/drawingml/2006/main">
  <xdr:twoCellAnchor>
    <xdr:from>
      <xdr:col>11</xdr:col>
      <xdr:colOff>734059</xdr:colOff>
      <xdr:row>32</xdr:row>
      <xdr:rowOff>133350</xdr:rowOff>
    </xdr:from>
    <xdr:to>
      <xdr:col>19</xdr:col>
      <xdr:colOff>561974</xdr:colOff>
      <xdr:row>45</xdr:row>
      <xdr:rowOff>77470</xdr:rowOff>
    </xdr:to>
    <xdr:graphicFrame macro="">
      <xdr:nvGraphicFramePr>
        <xdr:cNvPr id="2" name="Gráfico 1">
          <a:extLst>
            <a:ext uri="{FF2B5EF4-FFF2-40B4-BE49-F238E27FC236}">
              <a16:creationId xmlns:a16="http://schemas.microsoft.com/office/drawing/2014/main" id="{8679AA4C-2CB3-4C93-955B-D870CB757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785B733A-6840-4097-82DE-AB4F1B30753F}"/>
                </a:ext>
              </a:extLst>
            </xdr:cNvPr>
            <xdr:cNvSpPr txBox="1"/>
          </xdr:nvSpPr>
          <xdr:spPr>
            <a:xfrm>
              <a:off x="4062411" y="704611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53.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E1163490-D9F5-41BB-ADF9-6022FCF15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8A47834-D00A-4AEA-AE62-3A465FBBD8D9}"/>
                </a:ext>
              </a:extLst>
            </xdr:cNvPr>
            <xdr:cNvSpPr txBox="1"/>
          </xdr:nvSpPr>
          <xdr:spPr>
            <a:xfrm>
              <a:off x="5126831" y="1048035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AF5B9FA-F1F0-4475-8591-3E70BC4EAE25}"/>
                </a:ext>
              </a:extLst>
            </xdr:cNvPr>
            <xdr:cNvSpPr txBox="1"/>
          </xdr:nvSpPr>
          <xdr:spPr>
            <a:xfrm>
              <a:off x="4465523" y="864829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2">
              <a:extLst>
                <a:ext uri="{FF2B5EF4-FFF2-40B4-BE49-F238E27FC236}">
                  <a16:creationId xmlns:a16="http://schemas.microsoft.com/office/drawing/2014/main" id="{B7DDDEA5-588C-481C-8F16-C6B51E714CF7}"/>
                </a:ext>
              </a:extLst>
            </xdr:cNvPr>
            <xdr:cNvSpPr txBox="1"/>
          </xdr:nvSpPr>
          <xdr:spPr>
            <a:xfrm>
              <a:off x="4928781" y="1109063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56.xml><?xml version="1.0" encoding="utf-8"?>
<xdr:wsDr xmlns:xdr="http://schemas.openxmlformats.org/drawingml/2006/spreadsheetDrawing" xmlns:a="http://schemas.openxmlformats.org/drawingml/2006/main">
  <xdr:twoCellAnchor>
    <xdr:from>
      <xdr:col>10</xdr:col>
      <xdr:colOff>25400</xdr:colOff>
      <xdr:row>11</xdr:row>
      <xdr:rowOff>53975</xdr:rowOff>
    </xdr:from>
    <xdr:to>
      <xdr:col>18</xdr:col>
      <xdr:colOff>368300</xdr:colOff>
      <xdr:row>23</xdr:row>
      <xdr:rowOff>215900</xdr:rowOff>
    </xdr:to>
    <xdr:graphicFrame macro="">
      <xdr:nvGraphicFramePr>
        <xdr:cNvPr id="2" name="Gráfico 1">
          <a:extLst>
            <a:ext uri="{FF2B5EF4-FFF2-40B4-BE49-F238E27FC236}">
              <a16:creationId xmlns:a16="http://schemas.microsoft.com/office/drawing/2014/main" id="{A0FA79B9-0E82-476B-B360-154E3F07D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852797D-D1DD-4D89-8DD9-F65DAF615327}"/>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158F0B52-DBAB-42F7-A6E5-4B71C73A29F2}"/>
                </a:ext>
              </a:extLst>
            </xdr:cNvPr>
            <xdr:cNvSpPr txBox="1"/>
          </xdr:nvSpPr>
          <xdr:spPr>
            <a:xfrm>
              <a:off x="4319587" y="674084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59.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16609EDD-A119-4E41-8096-73E8D6879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B34521DD-5456-4E84-AB61-02DB26C669EB}"/>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3" name="CuadroTexto 2">
              <a:extLst>
                <a:ext uri="{FF2B5EF4-FFF2-40B4-BE49-F238E27FC236}">
                  <a16:creationId xmlns:a16="http://schemas.microsoft.com/office/drawing/2014/main" id="{5D8CBAA9-84D5-441D-9A48-0C707B977B0D}"/>
                </a:ext>
              </a:extLst>
            </xdr:cNvPr>
            <xdr:cNvSpPr txBox="1"/>
          </xdr:nvSpPr>
          <xdr:spPr>
            <a:xfrm>
              <a:off x="4180840" y="59461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1.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2" name="CuadroTexto 1">
              <a:extLst>
                <a:ext uri="{FF2B5EF4-FFF2-40B4-BE49-F238E27FC236}">
                  <a16:creationId xmlns:a16="http://schemas.microsoft.com/office/drawing/2014/main" id="{0AED3305-A3F5-4FD7-8C91-654623BC81FE}"/>
                </a:ext>
              </a:extLst>
            </xdr:cNvPr>
            <xdr:cNvSpPr txBox="1"/>
          </xdr:nvSpPr>
          <xdr:spPr>
            <a:xfrm>
              <a:off x="3421380" y="603490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62.xml><?xml version="1.0" encoding="utf-8"?>
<xdr:wsDr xmlns:xdr="http://schemas.openxmlformats.org/drawingml/2006/spreadsheetDrawing" xmlns:a="http://schemas.openxmlformats.org/drawingml/2006/main">
  <xdr:twoCellAnchor>
    <xdr:from>
      <xdr:col>2</xdr:col>
      <xdr:colOff>30480</xdr:colOff>
      <xdr:row>29</xdr:row>
      <xdr:rowOff>109537</xdr:rowOff>
    </xdr:from>
    <xdr:to>
      <xdr:col>7</xdr:col>
      <xdr:colOff>716280</xdr:colOff>
      <xdr:row>40</xdr:row>
      <xdr:rowOff>91440</xdr:rowOff>
    </xdr:to>
    <xdr:graphicFrame macro="">
      <xdr:nvGraphicFramePr>
        <xdr:cNvPr id="2" name="Gráfico 1">
          <a:extLst>
            <a:ext uri="{FF2B5EF4-FFF2-40B4-BE49-F238E27FC236}">
              <a16:creationId xmlns:a16="http://schemas.microsoft.com/office/drawing/2014/main" id="{4C4F5A13-3838-4D66-9DE7-33FBA472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940436</xdr:colOff>
      <xdr:row>38</xdr:row>
      <xdr:rowOff>81916</xdr:rowOff>
    </xdr:from>
    <xdr:to>
      <xdr:col>2</xdr:col>
      <xdr:colOff>454660</xdr:colOff>
      <xdr:row>40</xdr:row>
      <xdr:rowOff>19051</xdr:rowOff>
    </xdr:to>
    <xdr:sp macro="" textlink="">
      <xdr:nvSpPr>
        <xdr:cNvPr id="3" name="CuadroTexto 1">
          <a:extLst>
            <a:ext uri="{FF2B5EF4-FFF2-40B4-BE49-F238E27FC236}">
              <a16:creationId xmlns:a16="http://schemas.microsoft.com/office/drawing/2014/main" id="{A37F3946-6B02-49ED-9C06-AD8FF9E1D234}"/>
            </a:ext>
          </a:extLst>
        </xdr:cNvPr>
        <xdr:cNvSpPr txBox="1"/>
      </xdr:nvSpPr>
      <xdr:spPr>
        <a:xfrm>
          <a:off x="1999616" y="9599296"/>
          <a:ext cx="573404" cy="37909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410210</xdr:colOff>
      <xdr:row>37</xdr:row>
      <xdr:rowOff>56515</xdr:rowOff>
    </xdr:from>
    <xdr:to>
      <xdr:col>2</xdr:col>
      <xdr:colOff>579408</xdr:colOff>
      <xdr:row>38</xdr:row>
      <xdr:rowOff>18332</xdr:rowOff>
    </xdr:to>
    <xdr:grpSp>
      <xdr:nvGrpSpPr>
        <xdr:cNvPr id="4" name="Grupo 3">
          <a:extLst>
            <a:ext uri="{FF2B5EF4-FFF2-40B4-BE49-F238E27FC236}">
              <a16:creationId xmlns:a16="http://schemas.microsoft.com/office/drawing/2014/main" id="{23A46F79-E74B-4CEA-9A21-A8838CDF0785}"/>
            </a:ext>
          </a:extLst>
        </xdr:cNvPr>
        <xdr:cNvGrpSpPr/>
      </xdr:nvGrpSpPr>
      <xdr:grpSpPr>
        <a:xfrm>
          <a:off x="2467610" y="9952990"/>
          <a:ext cx="169198" cy="199942"/>
          <a:chOff x="2676525" y="8743950"/>
          <a:chExt cx="169198" cy="91357"/>
        </a:xfrm>
      </xdr:grpSpPr>
      <xdr:cxnSp macro="">
        <xdr:nvCxnSpPr>
          <xdr:cNvPr id="5" name="Conector recto 4">
            <a:extLst>
              <a:ext uri="{FF2B5EF4-FFF2-40B4-BE49-F238E27FC236}">
                <a16:creationId xmlns:a16="http://schemas.microsoft.com/office/drawing/2014/main" id="{4DBE287D-F863-4048-9511-04D3299743C9}"/>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FAE03041-4CD9-4127-9128-1CB41B6F171A}"/>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3.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4.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A5DC2337-A59C-4780-96F5-EFB0CD8DAD10}"/>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C0417356-6D98-48BB-AF9E-847EB53BFD79}"/>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a16="http://schemas.microsoft.com/office/drawing/2014/main" id="{B9C5FFA9-7EF3-4E27-8470-19CF1CBAACDD}"/>
                </a:ext>
              </a:extLst>
            </xdr:cNvPr>
            <xdr:cNvSpPr txBox="1"/>
          </xdr:nvSpPr>
          <xdr:spPr>
            <a:xfrm>
              <a:off x="3236595" y="784084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wsDr>
</file>

<file path=xl/drawings/drawing165.xml><?xml version="1.0" encoding="utf-8"?>
<xdr:wsDr xmlns:xdr="http://schemas.openxmlformats.org/drawingml/2006/spreadsheetDrawing" xmlns:a="http://schemas.openxmlformats.org/drawingml/2006/main">
  <xdr:twoCellAnchor>
    <xdr:from>
      <xdr:col>2</xdr:col>
      <xdr:colOff>57150</xdr:colOff>
      <xdr:row>32</xdr:row>
      <xdr:rowOff>28575</xdr:rowOff>
    </xdr:from>
    <xdr:to>
      <xdr:col>6</xdr:col>
      <xdr:colOff>657225</xdr:colOff>
      <xdr:row>48</xdr:row>
      <xdr:rowOff>57150</xdr:rowOff>
    </xdr:to>
    <xdr:graphicFrame macro="">
      <xdr:nvGraphicFramePr>
        <xdr:cNvPr id="2" name="Gráfico 1">
          <a:extLst>
            <a:ext uri="{FF2B5EF4-FFF2-40B4-BE49-F238E27FC236}">
              <a16:creationId xmlns:a16="http://schemas.microsoft.com/office/drawing/2014/main" id="{88ED96E6-9A4E-43E6-9E1D-A882AF51F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39</xdr:row>
      <xdr:rowOff>104775</xdr:rowOff>
    </xdr:from>
    <xdr:to>
      <xdr:col>3</xdr:col>
      <xdr:colOff>57150</xdr:colOff>
      <xdr:row>40</xdr:row>
      <xdr:rowOff>0</xdr:rowOff>
    </xdr:to>
    <xdr:grpSp>
      <xdr:nvGrpSpPr>
        <xdr:cNvPr id="3" name="Grupo 2">
          <a:extLst>
            <a:ext uri="{FF2B5EF4-FFF2-40B4-BE49-F238E27FC236}">
              <a16:creationId xmlns:a16="http://schemas.microsoft.com/office/drawing/2014/main" id="{3CD0BDC4-1CF2-4DF9-B4D3-15AD7A1BBA20}"/>
            </a:ext>
          </a:extLst>
        </xdr:cNvPr>
        <xdr:cNvGrpSpPr/>
      </xdr:nvGrpSpPr>
      <xdr:grpSpPr>
        <a:xfrm>
          <a:off x="2628899" y="9820275"/>
          <a:ext cx="133351" cy="133350"/>
          <a:chOff x="2676525" y="8743950"/>
          <a:chExt cx="169198" cy="91357"/>
        </a:xfrm>
      </xdr:grpSpPr>
      <xdr:cxnSp macro="">
        <xdr:nvCxnSpPr>
          <xdr:cNvPr id="4" name="Conector recto 3">
            <a:extLst>
              <a:ext uri="{FF2B5EF4-FFF2-40B4-BE49-F238E27FC236}">
                <a16:creationId xmlns:a16="http://schemas.microsoft.com/office/drawing/2014/main" id="{6C89A00E-34E6-4CF6-95F9-7E665586A02E}"/>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C166A8D7-2275-4454-9909-3FA30C7F285D}"/>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6.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67.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DDCF9659-61AD-4427-8A7E-95758E8B0F2B}"/>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832D13E9-27FD-4E12-94F6-EDBE788B23B4}"/>
                </a:ext>
              </a:extLst>
            </xdr:cNvPr>
            <xdr:cNvSpPr txBox="1"/>
          </xdr:nvSpPr>
          <xdr:spPr>
            <a:xfrm>
              <a:off x="3179445" y="820674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6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1BD9E7B7-917F-4542-A16F-E899D7E2D1EF}"/>
            </a:ext>
          </a:extLst>
        </xdr:cNvPr>
        <xdr:cNvPicPr>
          <a:picLocks noChangeAspect="1"/>
        </xdr:cNvPicPr>
      </xdr:nvPicPr>
      <xdr:blipFill>
        <a:blip xmlns:r="http://schemas.openxmlformats.org/officeDocument/2006/relationships" r:embed="rId2"/>
        <a:stretch>
          <a:fillRect/>
        </a:stretch>
      </xdr:blipFill>
      <xdr:spPr>
        <a:xfrm>
          <a:off x="4126674" y="4640580"/>
          <a:ext cx="334575" cy="538697"/>
        </a:xfrm>
        <a:prstGeom prst="rect">
          <a:avLst/>
        </a:prstGeom>
      </xdr:spPr>
    </xdr:pic>
    <xdr:clientData/>
  </xdr:twoCellAnchor>
  <xdr:twoCellAnchor editAs="oneCell">
    <xdr:from>
      <xdr:col>4</xdr:col>
      <xdr:colOff>563880</xdr:colOff>
      <xdr:row>19</xdr:row>
      <xdr:rowOff>182881</xdr:rowOff>
    </xdr:from>
    <xdr:to>
      <xdr:col>10</xdr:col>
      <xdr:colOff>510540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6CC592DC-BFA4-4249-81DE-2036C5551799}"/>
            </a:ext>
          </a:extLst>
        </xdr:cNvPr>
        <xdr:cNvPicPr>
          <a:picLocks noChangeAspect="1"/>
        </xdr:cNvPicPr>
      </xdr:nvPicPr>
      <xdr:blipFill>
        <a:blip xmlns:r="http://schemas.openxmlformats.org/officeDocument/2006/relationships" r:embed="rId3"/>
        <a:stretch>
          <a:fillRect/>
        </a:stretch>
      </xdr:blipFill>
      <xdr:spPr>
        <a:xfrm>
          <a:off x="4594860" y="4587241"/>
          <a:ext cx="4709160" cy="61033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xdr:from>
      <xdr:col>9</xdr:col>
      <xdr:colOff>66675</xdr:colOff>
      <xdr:row>8</xdr:row>
      <xdr:rowOff>371475</xdr:rowOff>
    </xdr:from>
    <xdr:to>
      <xdr:col>15</xdr:col>
      <xdr:colOff>85725</xdr:colOff>
      <xdr:row>23</xdr:row>
      <xdr:rowOff>0</xdr:rowOff>
    </xdr:to>
    <xdr:graphicFrame macro="">
      <xdr:nvGraphicFramePr>
        <xdr:cNvPr id="2" name="2 Gráfico">
          <a:extLst>
            <a:ext uri="{FF2B5EF4-FFF2-40B4-BE49-F238E27FC236}">
              <a16:creationId xmlns:a16="http://schemas.microsoft.com/office/drawing/2014/main" id="{F0E0FA97-D1AE-4149-B5AA-C1128EA0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95694</xdr:colOff>
      <xdr:row>14</xdr:row>
      <xdr:rowOff>0</xdr:rowOff>
    </xdr:from>
    <xdr:to>
      <xdr:col>6</xdr:col>
      <xdr:colOff>430269</xdr:colOff>
      <xdr:row>16</xdr:row>
      <xdr:rowOff>142457</xdr:rowOff>
    </xdr:to>
    <xdr:pic>
      <xdr:nvPicPr>
        <xdr:cNvPr id="2" name="Imagen 1">
          <a:hlinkClick xmlns:r="http://schemas.openxmlformats.org/officeDocument/2006/relationships" r:id="rId1"/>
          <a:extLst>
            <a:ext uri="{FF2B5EF4-FFF2-40B4-BE49-F238E27FC236}">
              <a16:creationId xmlns:a16="http://schemas.microsoft.com/office/drawing/2014/main" id="{02904726-A1F9-4883-BCAD-5545DEA3FF4B}"/>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6</xdr:col>
      <xdr:colOff>563880</xdr:colOff>
      <xdr:row>13</xdr:row>
      <xdr:rowOff>182881</xdr:rowOff>
    </xdr:from>
    <xdr:to>
      <xdr:col>12</xdr:col>
      <xdr:colOff>563880</xdr:colOff>
      <xdr:row>17</xdr:row>
      <xdr:rowOff>737</xdr:rowOff>
    </xdr:to>
    <xdr:pic>
      <xdr:nvPicPr>
        <xdr:cNvPr id="3" name="Imagen 2">
          <a:hlinkClick xmlns:r="http://schemas.openxmlformats.org/officeDocument/2006/relationships" r:id="rId1"/>
          <a:extLst>
            <a:ext uri="{FF2B5EF4-FFF2-40B4-BE49-F238E27FC236}">
              <a16:creationId xmlns:a16="http://schemas.microsoft.com/office/drawing/2014/main" id="{DCAB5D2F-EE41-4D87-82A8-A82E0327392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5E0CAC7A-DB6E-4749-9B57-7EB0805EC797}"/>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4B2BDEC7-A67B-4AC7-B9E8-37DE3F3B8222}"/>
                </a:ext>
              </a:extLst>
            </xdr:cNvPr>
            <xdr:cNvSpPr txBox="1"/>
          </xdr:nvSpPr>
          <xdr:spPr>
            <a:xfrm>
              <a:off x="4055744" y="551483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71.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750147</xdr:colOff>
      <xdr:row>3</xdr:row>
      <xdr:rowOff>535517</xdr:rowOff>
    </xdr:to>
    <xdr:pic>
      <xdr:nvPicPr>
        <xdr:cNvPr id="2" name="Imagen 1">
          <a:extLst>
            <a:ext uri="{FF2B5EF4-FFF2-40B4-BE49-F238E27FC236}">
              <a16:creationId xmlns:a16="http://schemas.microsoft.com/office/drawing/2014/main" id="{C572BD35-356A-45B7-A92F-BDE0E05EC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172.xml><?xml version="1.0" encoding="utf-8"?>
<xdr:wsDr xmlns:xdr="http://schemas.openxmlformats.org/drawingml/2006/spreadsheetDrawing" xmlns:a="http://schemas.openxmlformats.org/drawingml/2006/main">
  <xdr:twoCellAnchor>
    <xdr:from>
      <xdr:col>11</xdr:col>
      <xdr:colOff>152400</xdr:colOff>
      <xdr:row>9</xdr:row>
      <xdr:rowOff>63817</xdr:rowOff>
    </xdr:from>
    <xdr:to>
      <xdr:col>19</xdr:col>
      <xdr:colOff>487680</xdr:colOff>
      <xdr:row>19</xdr:row>
      <xdr:rowOff>45720</xdr:rowOff>
    </xdr:to>
    <xdr:graphicFrame macro="">
      <xdr:nvGraphicFramePr>
        <xdr:cNvPr id="2" name="Gráfico 1">
          <a:extLst>
            <a:ext uri="{FF2B5EF4-FFF2-40B4-BE49-F238E27FC236}">
              <a16:creationId xmlns:a16="http://schemas.microsoft.com/office/drawing/2014/main" id="{02C74D41-3871-415E-8E1C-D15FC0A6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49</xdr:row>
      <xdr:rowOff>373380</xdr:rowOff>
    </xdr:from>
    <xdr:to>
      <xdr:col>17</xdr:col>
      <xdr:colOff>447675</xdr:colOff>
      <xdr:row>60</xdr:row>
      <xdr:rowOff>60960</xdr:rowOff>
    </xdr:to>
    <xdr:graphicFrame macro="">
      <xdr:nvGraphicFramePr>
        <xdr:cNvPr id="3" name="Gráfico 2">
          <a:extLst>
            <a:ext uri="{FF2B5EF4-FFF2-40B4-BE49-F238E27FC236}">
              <a16:creationId xmlns:a16="http://schemas.microsoft.com/office/drawing/2014/main" id="{769F0BBE-E675-4DAF-AE2A-5CE66AFAB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3.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88E9F979-B634-4DB9-8FF3-C677A8D2A89F}"/>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56E39A-344A-4AAE-B687-C515D39F531B}"/>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4" name="CuadroTexto 3">
              <a:extLst>
                <a:ext uri="{FF2B5EF4-FFF2-40B4-BE49-F238E27FC236}">
                  <a16:creationId xmlns:a16="http://schemas.microsoft.com/office/drawing/2014/main" id="{60F4089D-2AA0-4104-AC52-9CF45BA08B19}"/>
                </a:ext>
              </a:extLst>
            </xdr:cNvPr>
            <xdr:cNvSpPr txBox="1"/>
          </xdr:nvSpPr>
          <xdr:spPr>
            <a:xfrm>
              <a:off x="4170997" y="559974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5" name="CuadroTexto 4">
              <a:extLst>
                <a:ext uri="{FF2B5EF4-FFF2-40B4-BE49-F238E27FC236}">
                  <a16:creationId xmlns:a16="http://schemas.microsoft.com/office/drawing/2014/main" id="{D2DCBAB1-2C75-4C34-85DC-59518E5190B2}"/>
                </a:ext>
              </a:extLst>
            </xdr:cNvPr>
            <xdr:cNvSpPr txBox="1"/>
          </xdr:nvSpPr>
          <xdr:spPr>
            <a:xfrm>
              <a:off x="4178345" y="623057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74.xml><?xml version="1.0" encoding="utf-8"?>
<xdr:wsDr xmlns:xdr="http://schemas.openxmlformats.org/drawingml/2006/spreadsheetDrawing" xmlns:a="http://schemas.openxmlformats.org/drawingml/2006/main">
  <xdr:twoCellAnchor>
    <xdr:from>
      <xdr:col>2</xdr:col>
      <xdr:colOff>190500</xdr:colOff>
      <xdr:row>74</xdr:row>
      <xdr:rowOff>106681</xdr:rowOff>
    </xdr:from>
    <xdr:to>
      <xdr:col>11</xdr:col>
      <xdr:colOff>739140</xdr:colOff>
      <xdr:row>94</xdr:row>
      <xdr:rowOff>60960</xdr:rowOff>
    </xdr:to>
    <xdr:graphicFrame macro="">
      <xdr:nvGraphicFramePr>
        <xdr:cNvPr id="2" name="Gráfico 1">
          <a:extLst>
            <a:ext uri="{FF2B5EF4-FFF2-40B4-BE49-F238E27FC236}">
              <a16:creationId xmlns:a16="http://schemas.microsoft.com/office/drawing/2014/main" id="{6C18D008-CAF1-4A97-BDCC-1812EFC02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2" name="3 CuadroTexto">
              <a:extLst>
                <a:ext uri="{FF2B5EF4-FFF2-40B4-BE49-F238E27FC236}">
                  <a16:creationId xmlns:a16="http://schemas.microsoft.com/office/drawing/2014/main" id="{50946DB1-A843-4DD5-8689-A419814B1199}"/>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3" name="4 CuadroTexto">
              <a:extLst>
                <a:ext uri="{FF2B5EF4-FFF2-40B4-BE49-F238E27FC236}">
                  <a16:creationId xmlns:a16="http://schemas.microsoft.com/office/drawing/2014/main" id="{5CF55CBE-8393-49C8-9F39-83D19D7B7E72}"/>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4" name="5 CuadroTexto">
              <a:extLst>
                <a:ext uri="{FF2B5EF4-FFF2-40B4-BE49-F238E27FC236}">
                  <a16:creationId xmlns:a16="http://schemas.microsoft.com/office/drawing/2014/main" id="{A840FB1C-97EB-474A-87D8-60C69968756F}"/>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5" name="2 CuadroTexto">
              <a:extLst>
                <a:ext uri="{FF2B5EF4-FFF2-40B4-BE49-F238E27FC236}">
                  <a16:creationId xmlns:a16="http://schemas.microsoft.com/office/drawing/2014/main" id="{7B8BB7A4-C205-43BA-93E2-25352F029169}"/>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485ABF51-C1F7-421D-B5A3-58D80F17C9B5}"/>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7CF984CC-1CC7-4FB1-B304-76BAAC144ABC}"/>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C00AA3B1-42DD-4C53-B296-ED8D31A172F9}"/>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2F5AD292-5DA8-4E00-97A6-CB555EE1FF9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CDB540E8-A4D0-490E-8997-F0748D4288B7}"/>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E65DB276-C49E-492D-8999-B70005BECE1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C3B0F112-418C-40E7-9F42-14BBA3587803}"/>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202D6A20-E0AC-42FF-A101-A235C11A32AC}"/>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a16="http://schemas.microsoft.com/office/drawing/2014/main" id="{FD321B68-0B29-47E7-8FCF-34E609658740}"/>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a16="http://schemas.microsoft.com/office/drawing/2014/main" id="{7954227F-DA82-4A84-AEEA-BE9ADEFBA3F4}"/>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a16="http://schemas.microsoft.com/office/drawing/2014/main" id="{CE973AEA-A235-4019-9838-6552E7A464DD}"/>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a16="http://schemas.microsoft.com/office/drawing/2014/main" id="{E80C062A-C89B-4E96-A645-18E9F78EA720}"/>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id="{187C10A3-D58F-43D4-B37F-F4FADBEB782F}"/>
                </a:ext>
              </a:extLst>
            </xdr:cNvPr>
            <xdr:cNvSpPr txBox="1"/>
          </xdr:nvSpPr>
          <xdr:spPr>
            <a:xfrm>
              <a:off x="3335570" y="748543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id="{1AD9A941-3A43-4953-92B9-F849D2E573EE}"/>
                </a:ext>
              </a:extLst>
            </xdr:cNvPr>
            <xdr:cNvSpPr txBox="1"/>
          </xdr:nvSpPr>
          <xdr:spPr>
            <a:xfrm>
              <a:off x="3164334" y="795259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id="{20587C8B-C3CC-467B-89B5-5146232C6EE4}"/>
                </a:ext>
              </a:extLst>
            </xdr:cNvPr>
            <xdr:cNvSpPr txBox="1"/>
          </xdr:nvSpPr>
          <xdr:spPr>
            <a:xfrm>
              <a:off x="3285563" y="861133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id="{18B54BA9-A179-4973-AAC3-A6C10EE8C80E}"/>
                </a:ext>
              </a:extLst>
            </xdr:cNvPr>
            <xdr:cNvSpPr txBox="1"/>
          </xdr:nvSpPr>
          <xdr:spPr>
            <a:xfrm>
              <a:off x="3226678" y="910771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76.xml><?xml version="1.0" encoding="utf-8"?>
<xdr:wsDr xmlns:xdr="http://schemas.openxmlformats.org/drawingml/2006/spreadsheetDrawing" xmlns:a="http://schemas.openxmlformats.org/drawingml/2006/main">
  <xdr:twoCellAnchor>
    <xdr:from>
      <xdr:col>2</xdr:col>
      <xdr:colOff>15239</xdr:colOff>
      <xdr:row>35</xdr:row>
      <xdr:rowOff>100011</xdr:rowOff>
    </xdr:from>
    <xdr:to>
      <xdr:col>14</xdr:col>
      <xdr:colOff>66674</xdr:colOff>
      <xdr:row>50</xdr:row>
      <xdr:rowOff>205740</xdr:rowOff>
    </xdr:to>
    <xdr:graphicFrame macro="">
      <xdr:nvGraphicFramePr>
        <xdr:cNvPr id="2" name="Gráfico 1">
          <a:extLst>
            <a:ext uri="{FF2B5EF4-FFF2-40B4-BE49-F238E27FC236}">
              <a16:creationId xmlns:a16="http://schemas.microsoft.com/office/drawing/2014/main" id="{5BAA04DE-7A60-4D76-B7A4-9A58CC823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B25F9D86-5ABD-4F3E-9BDC-F9656CE269CA}"/>
                </a:ext>
              </a:extLst>
            </xdr:cNvPr>
            <xdr:cNvSpPr txBox="1"/>
          </xdr:nvSpPr>
          <xdr:spPr>
            <a:xfrm>
              <a:off x="4434363" y="8262937"/>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oneCellAnchor>
    <xdr:from>
      <xdr:col>3</xdr:col>
      <xdr:colOff>16668</xdr:colOff>
      <xdr:row>15</xdr:row>
      <xdr:rowOff>347662</xdr:rowOff>
    </xdr:from>
    <xdr:ext cx="6793707" cy="362663"/>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5CF297E-6507-4681-8331-6E77FCC447B8}"/>
                </a:ext>
              </a:extLst>
            </xdr:cNvPr>
            <xdr:cNvSpPr txBox="1"/>
          </xdr:nvSpPr>
          <xdr:spPr>
            <a:xfrm>
              <a:off x="4177188" y="85772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78.xml><?xml version="1.0" encoding="utf-8"?>
<xdr:wsDr xmlns:xdr="http://schemas.openxmlformats.org/drawingml/2006/spreadsheetDrawing" xmlns:a="http://schemas.openxmlformats.org/drawingml/2006/main">
  <xdr:twoCellAnchor>
    <xdr:from>
      <xdr:col>8</xdr:col>
      <xdr:colOff>99060</xdr:colOff>
      <xdr:row>10</xdr:row>
      <xdr:rowOff>91441</xdr:rowOff>
    </xdr:from>
    <xdr:to>
      <xdr:col>14</xdr:col>
      <xdr:colOff>7620</xdr:colOff>
      <xdr:row>20</xdr:row>
      <xdr:rowOff>68581</xdr:rowOff>
    </xdr:to>
    <xdr:graphicFrame macro="">
      <xdr:nvGraphicFramePr>
        <xdr:cNvPr id="2" name="Gráfico 1">
          <a:extLst>
            <a:ext uri="{FF2B5EF4-FFF2-40B4-BE49-F238E27FC236}">
              <a16:creationId xmlns:a16="http://schemas.microsoft.com/office/drawing/2014/main" id="{8E287CFE-0595-46E3-A363-635D9D9CE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951936</xdr:colOff>
      <xdr:row>30</xdr:row>
      <xdr:rowOff>45719</xdr:rowOff>
    </xdr:from>
    <xdr:to>
      <xdr:col>7</xdr:col>
      <xdr:colOff>106680</xdr:colOff>
      <xdr:row>43</xdr:row>
      <xdr:rowOff>135184</xdr:rowOff>
    </xdr:to>
    <xdr:graphicFrame macro="">
      <xdr:nvGraphicFramePr>
        <xdr:cNvPr id="3" name="Gráfico 2">
          <a:extLst>
            <a:ext uri="{FF2B5EF4-FFF2-40B4-BE49-F238E27FC236}">
              <a16:creationId xmlns:a16="http://schemas.microsoft.com/office/drawing/2014/main" id="{BD97E67B-7348-4EDF-BC53-46B239FC4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68580</xdr:colOff>
      <xdr:row>30</xdr:row>
      <xdr:rowOff>190501</xdr:rowOff>
    </xdr:from>
    <xdr:to>
      <xdr:col>14</xdr:col>
      <xdr:colOff>114300</xdr:colOff>
      <xdr:row>43</xdr:row>
      <xdr:rowOff>175261</xdr:rowOff>
    </xdr:to>
    <xdr:graphicFrame macro="">
      <xdr:nvGraphicFramePr>
        <xdr:cNvPr id="4" name="Gráfico 3">
          <a:extLst>
            <a:ext uri="{FF2B5EF4-FFF2-40B4-BE49-F238E27FC236}">
              <a16:creationId xmlns:a16="http://schemas.microsoft.com/office/drawing/2014/main" id="{3EC7BFFB-4618-4C90-8236-F3BFEA7D0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xdr:wsDr xmlns:xdr="http://schemas.openxmlformats.org/drawingml/2006/spreadsheetDrawing" xmlns:a="http://schemas.openxmlformats.org/drawingml/2006/main">
  <xdr:oneCellAnchor>
    <xdr:from>
      <xdr:col>2</xdr:col>
      <xdr:colOff>1588859</xdr:colOff>
      <xdr:row>15</xdr:row>
      <xdr:rowOff>331258</xdr:rowOff>
    </xdr:from>
    <xdr:ext cx="8212365" cy="335492"/>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859BFEF3-31BD-43E1-848A-7CD5879D9259}"/>
                </a:ext>
              </a:extLst>
            </xdr:cNvPr>
            <xdr:cNvSpPr txBox="1"/>
          </xdr:nvSpPr>
          <xdr:spPr>
            <a:xfrm>
              <a:off x="3867239" y="519281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EAC68233-3326-47E6-A64C-050F072BCB04}"/>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FC22A5F4-091F-4234-9818-5C9BB6508271}"/>
                </a:ext>
              </a:extLst>
            </xdr:cNvPr>
            <xdr:cNvSpPr txBox="1"/>
          </xdr:nvSpPr>
          <xdr:spPr>
            <a:xfrm>
              <a:off x="4573904" y="70917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80.xml><?xml version="1.0" encoding="utf-8"?>
<xdr:wsDr xmlns:xdr="http://schemas.openxmlformats.org/drawingml/2006/spreadsheetDrawing" xmlns:a="http://schemas.openxmlformats.org/drawingml/2006/main">
  <xdr:oneCellAnchor>
    <xdr:from>
      <xdr:col>3</xdr:col>
      <xdr:colOff>19048</xdr:colOff>
      <xdr:row>15</xdr:row>
      <xdr:rowOff>95250</xdr:rowOff>
    </xdr:from>
    <xdr:ext cx="6010278" cy="457200"/>
    <mc:AlternateContent xmlns:mc="http://schemas.openxmlformats.org/markup-compatibility/2006" xmlns:a14="http://schemas.microsoft.com/office/drawing/2010/main">
      <mc:Choice Requires="a14">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4 CuadroTexto">
              <a:extLst>
                <a:ext uri="{FF2B5EF4-FFF2-40B4-BE49-F238E27FC236}">
                  <a16:creationId xmlns:a16="http://schemas.microsoft.com/office/drawing/2014/main" id="{1111EC7F-68FD-43B4-A478-517962C0D945}"/>
                </a:ext>
              </a:extLst>
            </xdr:cNvPr>
            <xdr:cNvSpPr txBox="1"/>
          </xdr:nvSpPr>
          <xdr:spPr>
            <a:xfrm>
              <a:off x="4286248" y="51777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81.xml><?xml version="1.0" encoding="utf-8"?>
<xdr:wsDr xmlns:xdr="http://schemas.openxmlformats.org/drawingml/2006/spreadsheetDrawing" xmlns:a="http://schemas.openxmlformats.org/drawingml/2006/main">
  <xdr:twoCellAnchor>
    <xdr:from>
      <xdr:col>19</xdr:col>
      <xdr:colOff>47624</xdr:colOff>
      <xdr:row>9</xdr:row>
      <xdr:rowOff>69533</xdr:rowOff>
    </xdr:from>
    <xdr:to>
      <xdr:col>25</xdr:col>
      <xdr:colOff>236219</xdr:colOff>
      <xdr:row>23</xdr:row>
      <xdr:rowOff>213361</xdr:rowOff>
    </xdr:to>
    <xdr:graphicFrame macro="">
      <xdr:nvGraphicFramePr>
        <xdr:cNvPr id="2" name="Gráfico 1">
          <a:extLst>
            <a:ext uri="{FF2B5EF4-FFF2-40B4-BE49-F238E27FC236}">
              <a16:creationId xmlns:a16="http://schemas.microsoft.com/office/drawing/2014/main" id="{AE5BE6CC-4B88-4F70-9EB0-78F85D2D6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40910F4C-0456-4F82-A97D-CBEED3190A7E}"/>
                </a:ext>
              </a:extLst>
            </xdr:cNvPr>
            <xdr:cNvSpPr txBox="1"/>
          </xdr:nvSpPr>
          <xdr:spPr>
            <a:xfrm>
              <a:off x="4322444" y="723661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3.xml><?xml version="1.0" encoding="utf-8"?>
<xdr:wsDr xmlns:xdr="http://schemas.openxmlformats.org/drawingml/2006/spreadsheetDrawing" xmlns:a="http://schemas.openxmlformats.org/drawingml/2006/main">
  <xdr:twoCellAnchor>
    <xdr:from>
      <xdr:col>10</xdr:col>
      <xdr:colOff>7620</xdr:colOff>
      <xdr:row>8</xdr:row>
      <xdr:rowOff>576262</xdr:rowOff>
    </xdr:from>
    <xdr:to>
      <xdr:col>15</xdr:col>
      <xdr:colOff>701040</xdr:colOff>
      <xdr:row>25</xdr:row>
      <xdr:rowOff>159067</xdr:rowOff>
    </xdr:to>
    <xdr:graphicFrame macro="">
      <xdr:nvGraphicFramePr>
        <xdr:cNvPr id="2" name="Gráfico 1">
          <a:extLst>
            <a:ext uri="{FF2B5EF4-FFF2-40B4-BE49-F238E27FC236}">
              <a16:creationId xmlns:a16="http://schemas.microsoft.com/office/drawing/2014/main" id="{C5E1119F-8B66-474D-93A4-6BA8B22C0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2" name="5 CuadroTexto">
              <a:extLst>
                <a:ext uri="{FF2B5EF4-FFF2-40B4-BE49-F238E27FC236}">
                  <a16:creationId xmlns:a16="http://schemas.microsoft.com/office/drawing/2014/main" id="{0D8557F0-9E59-461B-BF2A-EC13DEE76F1E}"/>
                </a:ext>
              </a:extLst>
            </xdr:cNvPr>
            <xdr:cNvSpPr txBox="1"/>
          </xdr:nvSpPr>
          <xdr:spPr>
            <a:xfrm>
              <a:off x="3970020" y="724662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85.xml><?xml version="1.0" encoding="utf-8"?>
<xdr:wsDr xmlns:xdr="http://schemas.openxmlformats.org/drawingml/2006/spreadsheetDrawing" xmlns:a="http://schemas.openxmlformats.org/drawingml/2006/main">
  <xdr:twoCellAnchor>
    <xdr:from>
      <xdr:col>2</xdr:col>
      <xdr:colOff>47625</xdr:colOff>
      <xdr:row>22</xdr:row>
      <xdr:rowOff>114300</xdr:rowOff>
    </xdr:from>
    <xdr:to>
      <xdr:col>12</xdr:col>
      <xdr:colOff>175260</xdr:colOff>
      <xdr:row>35</xdr:row>
      <xdr:rowOff>0</xdr:rowOff>
    </xdr:to>
    <xdr:graphicFrame macro="">
      <xdr:nvGraphicFramePr>
        <xdr:cNvPr id="2" name="2 Gráfico">
          <a:extLst>
            <a:ext uri="{FF2B5EF4-FFF2-40B4-BE49-F238E27FC236}">
              <a16:creationId xmlns:a16="http://schemas.microsoft.com/office/drawing/2014/main" id="{15273C4B-B4DC-45BB-B8A1-D2A283AB1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6B6D0F6-3E8A-49A4-A5AA-D0DCB636AAB6}"/>
                </a:ext>
              </a:extLst>
            </xdr:cNvPr>
            <xdr:cNvSpPr txBox="1"/>
          </xdr:nvSpPr>
          <xdr:spPr>
            <a:xfrm>
              <a:off x="4170045" y="668655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7.xml><?xml version="1.0" encoding="utf-8"?>
<xdr:wsDr xmlns:xdr="http://schemas.openxmlformats.org/drawingml/2006/spreadsheetDrawing" xmlns:a="http://schemas.openxmlformats.org/drawingml/2006/main">
  <xdr:twoCellAnchor>
    <xdr:from>
      <xdr:col>2</xdr:col>
      <xdr:colOff>53341</xdr:colOff>
      <xdr:row>29</xdr:row>
      <xdr:rowOff>104775</xdr:rowOff>
    </xdr:from>
    <xdr:to>
      <xdr:col>7</xdr:col>
      <xdr:colOff>1047751</xdr:colOff>
      <xdr:row>43</xdr:row>
      <xdr:rowOff>160021</xdr:rowOff>
    </xdr:to>
    <xdr:graphicFrame macro="">
      <xdr:nvGraphicFramePr>
        <xdr:cNvPr id="2" name="1 Gráfico">
          <a:extLst>
            <a:ext uri="{FF2B5EF4-FFF2-40B4-BE49-F238E27FC236}">
              <a16:creationId xmlns:a16="http://schemas.microsoft.com/office/drawing/2014/main" id="{C5EEDCC9-185D-4BD8-B154-88DEB7BB1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BDDB56CE-4576-4036-B06C-1CCC02D39968}"/>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292B973B-9A9E-45D4-8E38-4729E1634C12}"/>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A710A8E4-D539-43CB-84FB-DA42A5EE020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EFE7829B-CE99-4FE4-83F8-3988DB21D267}"/>
                </a:ext>
              </a:extLst>
            </xdr:cNvPr>
            <xdr:cNvSpPr txBox="1"/>
          </xdr:nvSpPr>
          <xdr:spPr>
            <a:xfrm>
              <a:off x="4367689" y="1080516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313C00B2-5E77-42AD-9D6D-5A889A9ACD63}"/>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7" name="CuadroTexto 6">
              <a:extLst>
                <a:ext uri="{FF2B5EF4-FFF2-40B4-BE49-F238E27FC236}">
                  <a16:creationId xmlns:a16="http://schemas.microsoft.com/office/drawing/2014/main" id="{BB71361E-855E-478D-A7FE-5E8D304596A0}"/>
                </a:ext>
              </a:extLst>
            </xdr:cNvPr>
            <xdr:cNvSpPr txBox="1"/>
          </xdr:nvSpPr>
          <xdr:spPr>
            <a:xfrm>
              <a:off x="4381500" y="1000934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8" name="CuadroTexto 7">
              <a:extLst>
                <a:ext uri="{FF2B5EF4-FFF2-40B4-BE49-F238E27FC236}">
                  <a16:creationId xmlns:a16="http://schemas.microsoft.com/office/drawing/2014/main" id="{46F36D4E-441C-4678-9E38-AED17B674BF6}"/>
                </a:ext>
              </a:extLst>
            </xdr:cNvPr>
            <xdr:cNvSpPr txBox="1"/>
          </xdr:nvSpPr>
          <xdr:spPr>
            <a:xfrm>
              <a:off x="4467701" y="1041463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9" name="CuadroTexto 8">
              <a:extLst>
                <a:ext uri="{FF2B5EF4-FFF2-40B4-BE49-F238E27FC236}">
                  <a16:creationId xmlns:a16="http://schemas.microsoft.com/office/drawing/2014/main" id="{B509B7B3-547F-4427-9773-1D69306A8DEA}"/>
                </a:ext>
              </a:extLst>
            </xdr:cNvPr>
            <xdr:cNvSpPr txBox="1"/>
          </xdr:nvSpPr>
          <xdr:spPr>
            <a:xfrm>
              <a:off x="4396740" y="1126283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3990388" cy="29418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10" name="CuadroTexto 9">
              <a:extLst>
                <a:ext uri="{FF2B5EF4-FFF2-40B4-BE49-F238E27FC236}">
                  <a16:creationId xmlns:a16="http://schemas.microsoft.com/office/drawing/2014/main" id="{8D3746E9-A3EF-474C-BADF-201DF624F52D}"/>
                </a:ext>
              </a:extLst>
            </xdr:cNvPr>
            <xdr:cNvSpPr txBox="1"/>
          </xdr:nvSpPr>
          <xdr:spPr>
            <a:xfrm>
              <a:off x="4367689" y="10805160"/>
              <a:ext cx="3990388"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11" name="CuadroTexto 10">
              <a:extLst>
                <a:ext uri="{FF2B5EF4-FFF2-40B4-BE49-F238E27FC236}">
                  <a16:creationId xmlns:a16="http://schemas.microsoft.com/office/drawing/2014/main" id="{13C7C11C-FC7F-441F-A09D-BB21BF380668}"/>
                </a:ext>
              </a:extLst>
            </xdr:cNvPr>
            <xdr:cNvSpPr txBox="1"/>
          </xdr:nvSpPr>
          <xdr:spPr>
            <a:xfrm>
              <a:off x="4282440" y="1171479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89.xml><?xml version="1.0" encoding="utf-8"?>
<xdr:wsDr xmlns:xdr="http://schemas.openxmlformats.org/drawingml/2006/spreadsheetDrawing" xmlns:a="http://schemas.openxmlformats.org/drawingml/2006/main">
  <xdr:twoCellAnchor>
    <xdr:from>
      <xdr:col>11</xdr:col>
      <xdr:colOff>7620</xdr:colOff>
      <xdr:row>10</xdr:row>
      <xdr:rowOff>100012</xdr:rowOff>
    </xdr:from>
    <xdr:to>
      <xdr:col>16</xdr:col>
      <xdr:colOff>611505</xdr:colOff>
      <xdr:row>24</xdr:row>
      <xdr:rowOff>297180</xdr:rowOff>
    </xdr:to>
    <xdr:graphicFrame macro="">
      <xdr:nvGraphicFramePr>
        <xdr:cNvPr id="2" name="Gráfico 1">
          <a:extLst>
            <a:ext uri="{FF2B5EF4-FFF2-40B4-BE49-F238E27FC236}">
              <a16:creationId xmlns:a16="http://schemas.microsoft.com/office/drawing/2014/main" id="{7D1DE54C-2EC1-474C-A8DC-B6BE90C3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3</xdr:col>
      <xdr:colOff>3345180</xdr:colOff>
      <xdr:row>15</xdr:row>
      <xdr:rowOff>213360</xdr:rowOff>
    </xdr:from>
    <xdr:ext cx="1529137" cy="2512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14:m>
                <m:oMath xmlns:m="http://schemas.openxmlformats.org/officeDocument/2006/math">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𝐶𝑇</m:t>
                          </m:r>
                          <m:r>
                            <a:rPr lang="es-CR" sz="1100" b="0" i="1">
                              <a:latin typeface="Cambria Math" panose="02040503050406030204" pitchFamily="18" charset="0"/>
                            </a:rPr>
                            <m:t>+</m:t>
                          </m:r>
                          <m:r>
                            <a:rPr lang="es-CR" sz="1100" b="0" i="1">
                              <a:latin typeface="Cambria Math" panose="02040503050406030204" pitchFamily="18" charset="0"/>
                            </a:rPr>
                            <m:t>𝐶𝑁𝑅</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a14:m>
              <a:endParaRPr lang="es-CR" sz="1100"/>
            </a:p>
          </xdr:txBody>
        </xdr:sp>
      </mc:Choice>
      <mc:Fallback xmlns="">
        <xdr:sp macro="" textlink="">
          <xdr:nvSpPr>
            <xdr:cNvPr id="2" name="CuadroTexto 1">
              <a:extLst>
                <a:ext uri="{FF2B5EF4-FFF2-40B4-BE49-F238E27FC236}">
                  <a16:creationId xmlns:a16="http://schemas.microsoft.com/office/drawing/2014/main" id="{2606D0C3-A203-481A-B95B-EE7AB960E6D5}"/>
                </a:ext>
              </a:extLst>
            </xdr:cNvPr>
            <xdr:cNvSpPr txBox="1"/>
          </xdr:nvSpPr>
          <xdr:spPr>
            <a:xfrm>
              <a:off x="7589520" y="5021580"/>
              <a:ext cx="1529137" cy="251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b="0"/>
                <a:t>Relación</a:t>
              </a:r>
              <a:r>
                <a:rPr lang="es-CR" sz="1100" b="0" baseline="0"/>
                <a:t> </a:t>
              </a:r>
              <a:r>
                <a:rPr lang="es-CR" sz="1100" b="0" i="0">
                  <a:latin typeface="Cambria Math" panose="02040503050406030204" pitchFamily="18" charset="0"/>
                </a:rPr>
                <a:t>=</a:t>
              </a:r>
              <a:r>
                <a:rPr lang="es-CR" sz="1100" i="0">
                  <a:latin typeface="Cambria Math" panose="02040503050406030204" pitchFamily="18" charset="0"/>
                </a:rPr>
                <a:t>((</a:t>
              </a:r>
              <a:r>
                <a:rPr lang="es-CR" sz="1100" b="0" i="0">
                  <a:latin typeface="Cambria Math" panose="02040503050406030204" pitchFamily="18" charset="0"/>
                </a:rPr>
                <a:t>𝐶𝑇+𝐶𝑁𝑅))/𝑃𝐼𝐵∗100</a:t>
              </a:r>
              <a:endParaRPr lang="es-CR" sz="1100"/>
            </a:p>
          </xdr:txBody>
        </xdr:sp>
      </mc:Fallback>
    </mc:AlternateContent>
    <xdr:clientData/>
  </xdr:oneCellAnchor>
</xdr:wsDr>
</file>

<file path=xl/drawings/drawing190.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D01DB60-8466-4199-B244-C744814673C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CFAED33-DD04-4F9D-8BAB-4906655F1AAC}"/>
                </a:ext>
              </a:extLst>
            </xdr:cNvPr>
            <xdr:cNvSpPr txBox="1"/>
          </xdr:nvSpPr>
          <xdr:spPr>
            <a:xfrm>
              <a:off x="3818094" y="508825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1.xml><?xml version="1.0" encoding="utf-8"?>
<xdr:wsDr xmlns:xdr="http://schemas.openxmlformats.org/drawingml/2006/spreadsheetDrawing" xmlns:a="http://schemas.openxmlformats.org/drawingml/2006/main">
  <xdr:twoCellAnchor>
    <xdr:from>
      <xdr:col>9</xdr:col>
      <xdr:colOff>22860</xdr:colOff>
      <xdr:row>9</xdr:row>
      <xdr:rowOff>37147</xdr:rowOff>
    </xdr:from>
    <xdr:to>
      <xdr:col>15</xdr:col>
      <xdr:colOff>28575</xdr:colOff>
      <xdr:row>24</xdr:row>
      <xdr:rowOff>373380</xdr:rowOff>
    </xdr:to>
    <xdr:graphicFrame macro="">
      <xdr:nvGraphicFramePr>
        <xdr:cNvPr id="2" name="Gráfico 1">
          <a:extLst>
            <a:ext uri="{FF2B5EF4-FFF2-40B4-BE49-F238E27FC236}">
              <a16:creationId xmlns:a16="http://schemas.microsoft.com/office/drawing/2014/main" id="{46C2226B-0A48-4149-985D-D5AFCE93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FF058A4F-6770-47E4-A30A-7340D6AD313D}"/>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0396BFF-7615-4098-85AB-40A0D0F8CB65}"/>
                </a:ext>
              </a:extLst>
            </xdr:cNvPr>
            <xdr:cNvSpPr txBox="1"/>
          </xdr:nvSpPr>
          <xdr:spPr>
            <a:xfrm>
              <a:off x="3805766" y="480112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193.xml><?xml version="1.0" encoding="utf-8"?>
<xdr:wsDr xmlns:xdr="http://schemas.openxmlformats.org/drawingml/2006/spreadsheetDrawing" xmlns:a="http://schemas.openxmlformats.org/drawingml/2006/main">
  <xdr:twoCellAnchor>
    <xdr:from>
      <xdr:col>2</xdr:col>
      <xdr:colOff>64770</xdr:colOff>
      <xdr:row>28</xdr:row>
      <xdr:rowOff>26670</xdr:rowOff>
    </xdr:from>
    <xdr:to>
      <xdr:col>7</xdr:col>
      <xdr:colOff>22860</xdr:colOff>
      <xdr:row>38</xdr:row>
      <xdr:rowOff>190500</xdr:rowOff>
    </xdr:to>
    <xdr:graphicFrame macro="">
      <xdr:nvGraphicFramePr>
        <xdr:cNvPr id="2" name="1 Gráfico">
          <a:extLst>
            <a:ext uri="{FF2B5EF4-FFF2-40B4-BE49-F238E27FC236}">
              <a16:creationId xmlns:a16="http://schemas.microsoft.com/office/drawing/2014/main" id="{FFB63F84-224F-43C7-A1F5-CE7F5496A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10</xdr:col>
      <xdr:colOff>771525</xdr:colOff>
      <xdr:row>8</xdr:row>
      <xdr:rowOff>604837</xdr:rowOff>
    </xdr:from>
    <xdr:to>
      <xdr:col>17</xdr:col>
      <xdr:colOff>219075</xdr:colOff>
      <xdr:row>22</xdr:row>
      <xdr:rowOff>161925</xdr:rowOff>
    </xdr:to>
    <xdr:graphicFrame macro="">
      <xdr:nvGraphicFramePr>
        <xdr:cNvPr id="2" name="Gráfico 1">
          <a:extLst>
            <a:ext uri="{FF2B5EF4-FFF2-40B4-BE49-F238E27FC236}">
              <a16:creationId xmlns:a16="http://schemas.microsoft.com/office/drawing/2014/main" id="{EB41F432-E6D9-4974-BAF8-0FBB0DDA3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0.01574</cdr:x>
      <cdr:y>0.82923</cdr:y>
    </cdr:from>
    <cdr:to>
      <cdr:x>0.03865</cdr:x>
      <cdr:y>0.91604</cdr:y>
    </cdr:to>
    <cdr:sp macro="" textlink="">
      <cdr:nvSpPr>
        <cdr:cNvPr id="2" name="Rectángulo 1"/>
        <cdr:cNvSpPr/>
      </cdr:nvSpPr>
      <cdr:spPr>
        <a:xfrm xmlns:a="http://schemas.openxmlformats.org/drawingml/2006/main">
          <a:off x="76562" y="2962703"/>
          <a:ext cx="111466" cy="31015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0.05978</cdr:x>
      <cdr:y>0.81231</cdr:y>
    </cdr:from>
    <cdr:to>
      <cdr:x>0.09728</cdr:x>
      <cdr:y>0.83315</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90875" y="2902246"/>
          <a:ext cx="182451" cy="744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0.05774</cdr:x>
      <cdr:y>0.78818</cdr:y>
    </cdr:from>
    <cdr:to>
      <cdr:x>0.09524</cdr:x>
      <cdr:y>0.80901</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80908" y="2816021"/>
          <a:ext cx="182451" cy="744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53B6D60-781D-4DF1-BCA4-D8A761BCF4CB}"/>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D4E4712D-0170-4477-A3BC-BCA66A254459}"/>
                </a:ext>
              </a:extLst>
            </xdr:cNvPr>
            <xdr:cNvSpPr txBox="1"/>
          </xdr:nvSpPr>
          <xdr:spPr>
            <a:xfrm>
              <a:off x="4182903" y="57135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7.xml><?xml version="1.0" encoding="utf-8"?>
<xdr:wsDr xmlns:xdr="http://schemas.openxmlformats.org/drawingml/2006/spreadsheetDrawing" xmlns:a="http://schemas.openxmlformats.org/drawingml/2006/main">
  <xdr:twoCellAnchor>
    <xdr:from>
      <xdr:col>10</xdr:col>
      <xdr:colOff>708660</xdr:colOff>
      <xdr:row>23</xdr:row>
      <xdr:rowOff>652463</xdr:rowOff>
    </xdr:from>
    <xdr:to>
      <xdr:col>16</xdr:col>
      <xdr:colOff>327660</xdr:colOff>
      <xdr:row>31</xdr:row>
      <xdr:rowOff>0</xdr:rowOff>
    </xdr:to>
    <xdr:graphicFrame macro="">
      <xdr:nvGraphicFramePr>
        <xdr:cNvPr id="2" name="Gráfico 1">
          <a:extLst>
            <a:ext uri="{FF2B5EF4-FFF2-40B4-BE49-F238E27FC236}">
              <a16:creationId xmlns:a16="http://schemas.microsoft.com/office/drawing/2014/main" id="{7E214987-445B-4251-AD4B-037F2B16B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9</xdr:row>
      <xdr:rowOff>152400</xdr:rowOff>
    </xdr:from>
    <xdr:to>
      <xdr:col>16</xdr:col>
      <xdr:colOff>601980</xdr:colOff>
      <xdr:row>18</xdr:row>
      <xdr:rowOff>94297</xdr:rowOff>
    </xdr:to>
    <xdr:graphicFrame macro="">
      <xdr:nvGraphicFramePr>
        <xdr:cNvPr id="3" name="Gráfico 2">
          <a:extLst>
            <a:ext uri="{FF2B5EF4-FFF2-40B4-BE49-F238E27FC236}">
              <a16:creationId xmlns:a16="http://schemas.microsoft.com/office/drawing/2014/main" id="{28FB7037-9840-45CC-ABF4-D4F2684F9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8.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D692591-0520-4F5D-B52D-C9BE232976E5}"/>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8BF36D4-1C15-4B7A-836B-A97A525ACA7C}"/>
                </a:ext>
              </a:extLst>
            </xdr:cNvPr>
            <xdr:cNvSpPr txBox="1"/>
          </xdr:nvSpPr>
          <xdr:spPr>
            <a:xfrm>
              <a:off x="4032673" y="457205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9.xml><?xml version="1.0" encoding="utf-8"?>
<xdr:wsDr xmlns:xdr="http://schemas.openxmlformats.org/drawingml/2006/spreadsheetDrawing" xmlns:a="http://schemas.openxmlformats.org/drawingml/2006/main">
  <xdr:twoCellAnchor>
    <xdr:from>
      <xdr:col>1</xdr:col>
      <xdr:colOff>1000124</xdr:colOff>
      <xdr:row>29</xdr:row>
      <xdr:rowOff>47625</xdr:rowOff>
    </xdr:from>
    <xdr:to>
      <xdr:col>10</xdr:col>
      <xdr:colOff>525779</xdr:colOff>
      <xdr:row>42</xdr:row>
      <xdr:rowOff>167640</xdr:rowOff>
    </xdr:to>
    <xdr:graphicFrame macro="">
      <xdr:nvGraphicFramePr>
        <xdr:cNvPr id="2" name="Gráfico 1">
          <a:extLst>
            <a:ext uri="{FF2B5EF4-FFF2-40B4-BE49-F238E27FC236}">
              <a16:creationId xmlns:a16="http://schemas.microsoft.com/office/drawing/2014/main" id="{759CCE7C-03F6-4CF1-84B5-7D1505168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750147</xdr:colOff>
      <xdr:row>4</xdr:row>
      <xdr:rowOff>847</xdr:rowOff>
    </xdr:to>
    <xdr:pic>
      <xdr:nvPicPr>
        <xdr:cNvPr id="2" name="Imagen 1">
          <a:extLst>
            <a:ext uri="{FF2B5EF4-FFF2-40B4-BE49-F238E27FC236}">
              <a16:creationId xmlns:a16="http://schemas.microsoft.com/office/drawing/2014/main" id="{90BFCF26-ADF1-4D03-82F3-AD7DE472C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1940"/>
          <a:ext cx="1466427" cy="1540087"/>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xdr:colOff>
      <xdr:row>33</xdr:row>
      <xdr:rowOff>52387</xdr:rowOff>
    </xdr:from>
    <xdr:to>
      <xdr:col>8</xdr:col>
      <xdr:colOff>14287</xdr:colOff>
      <xdr:row>52</xdr:row>
      <xdr:rowOff>80962</xdr:rowOff>
    </xdr:to>
    <xdr:graphicFrame macro="">
      <xdr:nvGraphicFramePr>
        <xdr:cNvPr id="2" name="Gráfico 1">
          <a:extLst>
            <a:ext uri="{FF2B5EF4-FFF2-40B4-BE49-F238E27FC236}">
              <a16:creationId xmlns:a16="http://schemas.microsoft.com/office/drawing/2014/main" id="{215EDFB3-504A-40F3-A62A-EAEA1752D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D173B9D-51CF-4EF1-B077-D0D502E57382}"/>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C5488C3-FF84-449E-B209-29A20D1E3CF4}"/>
                </a:ext>
              </a:extLst>
            </xdr:cNvPr>
            <xdr:cNvSpPr txBox="1"/>
          </xdr:nvSpPr>
          <xdr:spPr>
            <a:xfrm>
              <a:off x="3890009" y="477202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01.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5C0956F9-E9A3-4BF4-8F35-DEB29AE48009}"/>
            </a:ext>
          </a:extLst>
        </xdr:cNvPr>
        <xdr:cNvPicPr>
          <a:picLocks noChangeAspect="1"/>
        </xdr:cNvPicPr>
      </xdr:nvPicPr>
      <xdr:blipFill>
        <a:blip xmlns:r="http://schemas.openxmlformats.org/officeDocument/2006/relationships" r:embed="rId2"/>
        <a:stretch>
          <a:fillRect/>
        </a:stretch>
      </xdr:blipFill>
      <xdr:spPr>
        <a:xfrm>
          <a:off x="4027614" y="4511040"/>
          <a:ext cx="334575" cy="538697"/>
        </a:xfrm>
        <a:prstGeom prst="rect">
          <a:avLst/>
        </a:prstGeom>
      </xdr:spPr>
    </xdr:pic>
    <xdr:clientData/>
  </xdr:twoCellAnchor>
  <xdr:twoCellAnchor editAs="oneCell">
    <xdr:from>
      <xdr:col>4</xdr:col>
      <xdr:colOff>563880</xdr:colOff>
      <xdr:row>19</xdr:row>
      <xdr:rowOff>182881</xdr:rowOff>
    </xdr:from>
    <xdr:to>
      <xdr:col>10</xdr:col>
      <xdr:colOff>495300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321002B7-0196-435A-8DA0-42869AAC8246}"/>
            </a:ext>
          </a:extLst>
        </xdr:cNvPr>
        <xdr:cNvPicPr>
          <a:picLocks noChangeAspect="1"/>
        </xdr:cNvPicPr>
      </xdr:nvPicPr>
      <xdr:blipFill>
        <a:blip xmlns:r="http://schemas.openxmlformats.org/officeDocument/2006/relationships" r:embed="rId3"/>
        <a:stretch>
          <a:fillRect/>
        </a:stretch>
      </xdr:blipFill>
      <xdr:spPr>
        <a:xfrm>
          <a:off x="4495800" y="4457701"/>
          <a:ext cx="4709160" cy="61033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60960</xdr:colOff>
      <xdr:row>1</xdr:row>
      <xdr:rowOff>44450</xdr:rowOff>
    </xdr:from>
    <xdr:to>
      <xdr:col>1</xdr:col>
      <xdr:colOff>742527</xdr:colOff>
      <xdr:row>4</xdr:row>
      <xdr:rowOff>2117</xdr:rowOff>
    </xdr:to>
    <xdr:pic>
      <xdr:nvPicPr>
        <xdr:cNvPr id="2" name="Imagen 1">
          <a:extLst>
            <a:ext uri="{FF2B5EF4-FFF2-40B4-BE49-F238E27FC236}">
              <a16:creationId xmlns:a16="http://schemas.microsoft.com/office/drawing/2014/main" id="{BEC68B8B-B913-41EE-A4A5-9D3C2E526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80670"/>
          <a:ext cx="1466427" cy="1466427"/>
        </a:xfrm>
        <a:prstGeom prst="rect">
          <a:avLst/>
        </a:prstGeom>
        <a:ln w="28575">
          <a:solidFill>
            <a:schemeClr val="bg1"/>
          </a:solidFill>
        </a:ln>
      </xdr:spPr>
    </xdr:pic>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41910</xdr:colOff>
      <xdr:row>8</xdr:row>
      <xdr:rowOff>529590</xdr:rowOff>
    </xdr:from>
    <xdr:to>
      <xdr:col>12</xdr:col>
      <xdr:colOff>41910</xdr:colOff>
      <xdr:row>25</xdr:row>
      <xdr:rowOff>47625</xdr:rowOff>
    </xdr:to>
    <xdr:graphicFrame macro="">
      <xdr:nvGraphicFramePr>
        <xdr:cNvPr id="2" name="1 Gráfico">
          <a:extLst>
            <a:ext uri="{FF2B5EF4-FFF2-40B4-BE49-F238E27FC236}">
              <a16:creationId xmlns:a16="http://schemas.microsoft.com/office/drawing/2014/main" id="{26FC183F-C6B4-4D6C-8DEF-E15EB81E0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93DBD423-2ED8-4004-8B3A-E8AB19EA1364}"/>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527BBB2-B7DA-44D2-9D88-C2764B668621}"/>
                </a:ext>
              </a:extLst>
            </xdr:cNvPr>
            <xdr:cNvSpPr txBox="1"/>
          </xdr:nvSpPr>
          <xdr:spPr>
            <a:xfrm>
              <a:off x="4074794" y="932322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5.xml><?xml version="1.0" encoding="utf-8"?>
<xdr:wsDr xmlns:xdr="http://schemas.openxmlformats.org/drawingml/2006/spreadsheetDrawing" xmlns:a="http://schemas.openxmlformats.org/drawingml/2006/main">
  <xdr:twoCellAnchor>
    <xdr:from>
      <xdr:col>8</xdr:col>
      <xdr:colOff>22860</xdr:colOff>
      <xdr:row>8</xdr:row>
      <xdr:rowOff>585787</xdr:rowOff>
    </xdr:from>
    <xdr:to>
      <xdr:col>14</xdr:col>
      <xdr:colOff>563879</xdr:colOff>
      <xdr:row>24</xdr:row>
      <xdr:rowOff>121920</xdr:rowOff>
    </xdr:to>
    <xdr:graphicFrame macro="">
      <xdr:nvGraphicFramePr>
        <xdr:cNvPr id="2" name="Gráfico 1">
          <a:extLst>
            <a:ext uri="{FF2B5EF4-FFF2-40B4-BE49-F238E27FC236}">
              <a16:creationId xmlns:a16="http://schemas.microsoft.com/office/drawing/2014/main" id="{3A97C44E-26E8-467B-B443-2ADA4C704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3 CuadroTexto">
              <a:extLst>
                <a:ext uri="{FF2B5EF4-FFF2-40B4-BE49-F238E27FC236}">
                  <a16:creationId xmlns:a16="http://schemas.microsoft.com/office/drawing/2014/main" id="{F5AA9D35-C426-48E3-8843-F02E8CD676BD}"/>
                </a:ext>
              </a:extLst>
            </xdr:cNvPr>
            <xdr:cNvSpPr txBox="1"/>
          </xdr:nvSpPr>
          <xdr:spPr>
            <a:xfrm>
              <a:off x="4092211" y="596693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07.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D2ED6BBC-5327-447E-90DF-8727236E29DD}"/>
                </a:ext>
              </a:extLst>
            </xdr:cNvPr>
            <xdr:cNvSpPr txBox="1"/>
          </xdr:nvSpPr>
          <xdr:spPr>
            <a:xfrm>
              <a:off x="5447823" y="903636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08.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EF4901F3-FC93-4AD4-87C8-9F9CAB95D249}"/>
                </a:ext>
              </a:extLst>
            </xdr:cNvPr>
            <xdr:cNvSpPr txBox="1"/>
          </xdr:nvSpPr>
          <xdr:spPr>
            <a:xfrm>
              <a:off x="4432458" y="891015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09.xml><?xml version="1.0" encoding="utf-8"?>
<xdr:wsDr xmlns:xdr="http://schemas.openxmlformats.org/drawingml/2006/spreadsheetDrawing" xmlns:a="http://schemas.openxmlformats.org/drawingml/2006/main">
  <xdr:twoCellAnchor>
    <xdr:from>
      <xdr:col>1</xdr:col>
      <xdr:colOff>1021081</xdr:colOff>
      <xdr:row>27</xdr:row>
      <xdr:rowOff>44450</xdr:rowOff>
    </xdr:from>
    <xdr:to>
      <xdr:col>8</xdr:col>
      <xdr:colOff>54610</xdr:colOff>
      <xdr:row>42</xdr:row>
      <xdr:rowOff>19050</xdr:rowOff>
    </xdr:to>
    <xdr:graphicFrame macro="">
      <xdr:nvGraphicFramePr>
        <xdr:cNvPr id="2" name="Gráfico 1">
          <a:extLst>
            <a:ext uri="{FF2B5EF4-FFF2-40B4-BE49-F238E27FC236}">
              <a16:creationId xmlns:a16="http://schemas.microsoft.com/office/drawing/2014/main" id="{4BB1A13E-47E7-4CCF-A206-F309135E8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B2CE86-12B2-4435-B018-B1D17E6D0B61}"/>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48015ADE-8659-4341-A844-95A8FB8A7283}"/>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60CEE5D-4587-4C9F-859F-685E4B6EB888}"/>
                </a:ext>
              </a:extLst>
            </xdr:cNvPr>
            <xdr:cNvSpPr txBox="1"/>
          </xdr:nvSpPr>
          <xdr:spPr>
            <a:xfrm>
              <a:off x="4459129" y="917114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0.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11.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A17212F1-538A-41C6-BDDC-A2114441906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96468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982980</xdr:colOff>
      <xdr:row>28</xdr:row>
      <xdr:rowOff>96520</xdr:rowOff>
    </xdr:from>
    <xdr:to>
      <xdr:col>13</xdr:col>
      <xdr:colOff>594360</xdr:colOff>
      <xdr:row>54</xdr:row>
      <xdr:rowOff>160020</xdr:rowOff>
    </xdr:to>
    <xdr:graphicFrame macro="">
      <xdr:nvGraphicFramePr>
        <xdr:cNvPr id="2" name="Gráfico 1">
          <a:extLst>
            <a:ext uri="{FF2B5EF4-FFF2-40B4-BE49-F238E27FC236}">
              <a16:creationId xmlns:a16="http://schemas.microsoft.com/office/drawing/2014/main" id="{AFF018B3-13DD-48C3-9292-201E05DDE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14.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220FD7-3EE2-41EA-8C71-F8C87F0A2D8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707802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5.xml><?xml version="1.0" encoding="utf-8"?>
<xdr:wsDr xmlns:xdr="http://schemas.openxmlformats.org/drawingml/2006/spreadsheetDrawing" xmlns:a="http://schemas.openxmlformats.org/drawingml/2006/main">
  <xdr:twoCellAnchor>
    <xdr:from>
      <xdr:col>2</xdr:col>
      <xdr:colOff>60960</xdr:colOff>
      <xdr:row>30</xdr:row>
      <xdr:rowOff>128587</xdr:rowOff>
    </xdr:from>
    <xdr:to>
      <xdr:col>8</xdr:col>
      <xdr:colOff>657225</xdr:colOff>
      <xdr:row>42</xdr:row>
      <xdr:rowOff>167640</xdr:rowOff>
    </xdr:to>
    <xdr:graphicFrame macro="">
      <xdr:nvGraphicFramePr>
        <xdr:cNvPr id="2" name="Gráfico 1">
          <a:extLst>
            <a:ext uri="{FF2B5EF4-FFF2-40B4-BE49-F238E27FC236}">
              <a16:creationId xmlns:a16="http://schemas.microsoft.com/office/drawing/2014/main" id="{6D0EB460-EB00-41DA-B63D-A51F733A9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8D2D006B-9144-464B-AFE8-20F0FD12965A}"/>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DB5A841-58FC-4EA1-9C9F-EE95602BB41E}"/>
                </a:ext>
              </a:extLst>
            </xdr:cNvPr>
            <xdr:cNvSpPr txBox="1"/>
          </xdr:nvSpPr>
          <xdr:spPr>
            <a:xfrm>
              <a:off x="4592002" y="825388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7.xml><?xml version="1.0" encoding="utf-8"?>
<xdr:wsDr xmlns:xdr="http://schemas.openxmlformats.org/drawingml/2006/spreadsheetDrawing" xmlns:a="http://schemas.openxmlformats.org/drawingml/2006/main">
  <xdr:twoCellAnchor>
    <xdr:from>
      <xdr:col>8</xdr:col>
      <xdr:colOff>22860</xdr:colOff>
      <xdr:row>8</xdr:row>
      <xdr:rowOff>587693</xdr:rowOff>
    </xdr:from>
    <xdr:to>
      <xdr:col>13</xdr:col>
      <xdr:colOff>758190</xdr:colOff>
      <xdr:row>21</xdr:row>
      <xdr:rowOff>175261</xdr:rowOff>
    </xdr:to>
    <xdr:graphicFrame macro="">
      <xdr:nvGraphicFramePr>
        <xdr:cNvPr id="2" name="Gráfico 1">
          <a:extLst>
            <a:ext uri="{FF2B5EF4-FFF2-40B4-BE49-F238E27FC236}">
              <a16:creationId xmlns:a16="http://schemas.microsoft.com/office/drawing/2014/main" id="{8979D39E-91EA-4F2E-B061-E2B3A755E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755DCEA-1551-4D68-80D7-95D8896C00D0}"/>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AD02ABD-E30A-41A8-A17D-A38E3A50ED6E}"/>
                </a:ext>
              </a:extLst>
            </xdr:cNvPr>
            <xdr:cNvSpPr txBox="1"/>
          </xdr:nvSpPr>
          <xdr:spPr>
            <a:xfrm>
              <a:off x="4380888" y="55332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wsDr>
</file>

<file path=xl/drawings/drawing21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16B86019-3981-44FC-8424-980508AEE9EF}"/>
            </a:ext>
          </a:extLst>
        </xdr:cNvPr>
        <xdr:cNvPicPr>
          <a:picLocks noChangeAspect="1"/>
        </xdr:cNvPicPr>
      </xdr:nvPicPr>
      <xdr:blipFill>
        <a:blip xmlns:r="http://schemas.openxmlformats.org/officeDocument/2006/relationships" r:embed="rId2"/>
        <a:stretch>
          <a:fillRect/>
        </a:stretch>
      </xdr:blipFill>
      <xdr:spPr>
        <a:xfrm>
          <a:off x="3859974" y="4663440"/>
          <a:ext cx="334575" cy="538697"/>
        </a:xfrm>
        <a:prstGeom prst="rect">
          <a:avLst/>
        </a:prstGeom>
      </xdr:spPr>
    </xdr:pic>
    <xdr:clientData/>
  </xdr:twoCellAnchor>
  <xdr:twoCellAnchor editAs="oneCell">
    <xdr:from>
      <xdr:col>4</xdr:col>
      <xdr:colOff>563880</xdr:colOff>
      <xdr:row>20</xdr:row>
      <xdr:rowOff>182881</xdr:rowOff>
    </xdr:from>
    <xdr:to>
      <xdr:col>10</xdr:col>
      <xdr:colOff>487680</xdr:colOff>
      <xdr:row>23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E1EDAF3-7E10-4D8C-B0B1-A27F1BE2CDD0}"/>
            </a:ext>
          </a:extLst>
        </xdr:cNvPr>
        <xdr:cNvPicPr>
          <a:picLocks noChangeAspect="1"/>
        </xdr:cNvPicPr>
      </xdr:nvPicPr>
      <xdr:blipFill>
        <a:blip xmlns:r="http://schemas.openxmlformats.org/officeDocument/2006/relationships" r:embed="rId3"/>
        <a:stretch>
          <a:fillRect/>
        </a:stretch>
      </xdr:blipFill>
      <xdr:spPr>
        <a:xfrm>
          <a:off x="4328160" y="4625341"/>
          <a:ext cx="4709160" cy="6103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45720</xdr:colOff>
      <xdr:row>1</xdr:row>
      <xdr:rowOff>36830</xdr:rowOff>
    </xdr:from>
    <xdr:to>
      <xdr:col>1</xdr:col>
      <xdr:colOff>742527</xdr:colOff>
      <xdr:row>3</xdr:row>
      <xdr:rowOff>512657</xdr:rowOff>
    </xdr:to>
    <xdr:pic>
      <xdr:nvPicPr>
        <xdr:cNvPr id="2" name="Imagen 1">
          <a:extLst>
            <a:ext uri="{FF2B5EF4-FFF2-40B4-BE49-F238E27FC236}">
              <a16:creationId xmlns:a16="http://schemas.microsoft.com/office/drawing/2014/main" id="{F06EAD90-EFD7-4D62-BECB-26BAF9129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 y="273050"/>
          <a:ext cx="1466427" cy="1466427"/>
        </a:xfrm>
        <a:prstGeom prst="rect">
          <a:avLst/>
        </a:prstGeom>
        <a:ln w="28575">
          <a:solidFill>
            <a:schemeClr val="bg1"/>
          </a:solidFill>
        </a:ln>
      </xdr:spPr>
    </xdr:pic>
    <xdr:clientData/>
  </xdr:twoCellAnchor>
</xdr:wsDr>
</file>

<file path=xl/drawings/drawing220.xml><?xml version="1.0" encoding="utf-8"?>
<xdr:wsDr xmlns:xdr="http://schemas.openxmlformats.org/drawingml/2006/spreadsheetDrawing" xmlns:a="http://schemas.openxmlformats.org/drawingml/2006/main">
  <xdr:twoCellAnchor>
    <xdr:from>
      <xdr:col>6</xdr:col>
      <xdr:colOff>116840</xdr:colOff>
      <xdr:row>8</xdr:row>
      <xdr:rowOff>524827</xdr:rowOff>
    </xdr:from>
    <xdr:to>
      <xdr:col>11</xdr:col>
      <xdr:colOff>767715</xdr:colOff>
      <xdr:row>19</xdr:row>
      <xdr:rowOff>0</xdr:rowOff>
    </xdr:to>
    <xdr:graphicFrame macro="">
      <xdr:nvGraphicFramePr>
        <xdr:cNvPr id="2" name="Gráfico 1">
          <a:extLst>
            <a:ext uri="{FF2B5EF4-FFF2-40B4-BE49-F238E27FC236}">
              <a16:creationId xmlns:a16="http://schemas.microsoft.com/office/drawing/2014/main" id="{28772549-FE48-4018-8A5B-0AA8F16BB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54D5BFD9-262D-4FDD-A470-4F44D1CD9BF5}"/>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3" name="CuadroTexto 2">
              <a:extLst>
                <a:ext uri="{FF2B5EF4-FFF2-40B4-BE49-F238E27FC236}">
                  <a16:creationId xmlns:a16="http://schemas.microsoft.com/office/drawing/2014/main" id="{17DF432A-729A-4866-B448-393C2AD2E139}"/>
                </a:ext>
              </a:extLst>
            </xdr:cNvPr>
            <xdr:cNvSpPr txBox="1"/>
          </xdr:nvSpPr>
          <xdr:spPr>
            <a:xfrm>
              <a:off x="4378165" y="560784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22.xml><?xml version="1.0" encoding="utf-8"?>
<xdr:wsDr xmlns:xdr="http://schemas.openxmlformats.org/drawingml/2006/spreadsheetDrawing" xmlns:a="http://schemas.openxmlformats.org/drawingml/2006/main">
  <xdr:twoCellAnchor>
    <xdr:from>
      <xdr:col>2</xdr:col>
      <xdr:colOff>53340</xdr:colOff>
      <xdr:row>33</xdr:row>
      <xdr:rowOff>123825</xdr:rowOff>
    </xdr:from>
    <xdr:to>
      <xdr:col>9</xdr:col>
      <xdr:colOff>285750</xdr:colOff>
      <xdr:row>50</xdr:row>
      <xdr:rowOff>15240</xdr:rowOff>
    </xdr:to>
    <xdr:graphicFrame macro="">
      <xdr:nvGraphicFramePr>
        <xdr:cNvPr id="2" name="1 Gráfico">
          <a:extLst>
            <a:ext uri="{FF2B5EF4-FFF2-40B4-BE49-F238E27FC236}">
              <a16:creationId xmlns:a16="http://schemas.microsoft.com/office/drawing/2014/main" id="{C7266A35-B716-4A0E-8965-DF9806C40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3.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550103DD-7B62-4D96-8135-158A3B2D50B9}"/>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3F7F9887-17F2-4993-8751-676B6FC2BDE8}"/>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4A6EB404-CAEA-4D1B-A5D8-839EE973378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21F05886-25E5-4967-8D19-79D8EE623E01}"/>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C81E7D07-21AA-43F8-96EA-EA07A9EAFD09}"/>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7" name="CuadroTexto 6">
              <a:extLst>
                <a:ext uri="{FF2B5EF4-FFF2-40B4-BE49-F238E27FC236}">
                  <a16:creationId xmlns:a16="http://schemas.microsoft.com/office/drawing/2014/main" id="{ED40C61D-6267-4B75-B361-7F751E12BDFE}"/>
                </a:ext>
              </a:extLst>
            </xdr:cNvPr>
            <xdr:cNvSpPr txBox="1"/>
          </xdr:nvSpPr>
          <xdr:spPr>
            <a:xfrm>
              <a:off x="4205968" y="577310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8" name="CuadroTexto 7">
              <a:extLst>
                <a:ext uri="{FF2B5EF4-FFF2-40B4-BE49-F238E27FC236}">
                  <a16:creationId xmlns:a16="http://schemas.microsoft.com/office/drawing/2014/main" id="{121FCA32-69F7-4EB0-9FFA-CBAB6D1B3549}"/>
                </a:ext>
              </a:extLst>
            </xdr:cNvPr>
            <xdr:cNvSpPr txBox="1"/>
          </xdr:nvSpPr>
          <xdr:spPr>
            <a:xfrm>
              <a:off x="4254138" y="621873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9" name="CuadroTexto 8">
              <a:extLst>
                <a:ext uri="{FF2B5EF4-FFF2-40B4-BE49-F238E27FC236}">
                  <a16:creationId xmlns:a16="http://schemas.microsoft.com/office/drawing/2014/main" id="{B080E4F0-6CF2-472E-9797-0147E2A32B78}"/>
                </a:ext>
              </a:extLst>
            </xdr:cNvPr>
            <xdr:cNvSpPr txBox="1"/>
          </xdr:nvSpPr>
          <xdr:spPr>
            <a:xfrm>
              <a:off x="4220936" y="667539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0" name="CuadroTexto 9">
              <a:extLst>
                <a:ext uri="{FF2B5EF4-FFF2-40B4-BE49-F238E27FC236}">
                  <a16:creationId xmlns:a16="http://schemas.microsoft.com/office/drawing/2014/main" id="{E832EE73-D83B-456F-9FBD-1FC84566AB4E}"/>
                </a:ext>
              </a:extLst>
            </xdr:cNvPr>
            <xdr:cNvSpPr txBox="1"/>
          </xdr:nvSpPr>
          <xdr:spPr>
            <a:xfrm>
              <a:off x="4275908" y="707653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11" name="CuadroTexto 10">
              <a:extLst>
                <a:ext uri="{FF2B5EF4-FFF2-40B4-BE49-F238E27FC236}">
                  <a16:creationId xmlns:a16="http://schemas.microsoft.com/office/drawing/2014/main" id="{350BC91E-7CB3-4749-ACFE-CC5BC57D48B1}"/>
                </a:ext>
              </a:extLst>
            </xdr:cNvPr>
            <xdr:cNvSpPr txBox="1"/>
          </xdr:nvSpPr>
          <xdr:spPr>
            <a:xfrm>
              <a:off x="4252776" y="745317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24.xml><?xml version="1.0" encoding="utf-8"?>
<xdr:wsDr xmlns:xdr="http://schemas.openxmlformats.org/drawingml/2006/spreadsheetDrawing" xmlns:a="http://schemas.openxmlformats.org/drawingml/2006/main">
  <xdr:twoCellAnchor editAs="oneCell">
    <xdr:from>
      <xdr:col>0</xdr:col>
      <xdr:colOff>83820</xdr:colOff>
      <xdr:row>1</xdr:row>
      <xdr:rowOff>36830</xdr:rowOff>
    </xdr:from>
    <xdr:to>
      <xdr:col>1</xdr:col>
      <xdr:colOff>757767</xdr:colOff>
      <xdr:row>4</xdr:row>
      <xdr:rowOff>9737</xdr:rowOff>
    </xdr:to>
    <xdr:pic>
      <xdr:nvPicPr>
        <xdr:cNvPr id="2" name="Imagen 1">
          <a:extLst>
            <a:ext uri="{FF2B5EF4-FFF2-40B4-BE49-F238E27FC236}">
              <a16:creationId xmlns:a16="http://schemas.microsoft.com/office/drawing/2014/main" id="{21FA7C83-25D8-4677-A1A5-99A6A903D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0" y="257810"/>
          <a:ext cx="1466427" cy="1466427"/>
        </a:xfrm>
        <a:prstGeom prst="rect">
          <a:avLst/>
        </a:prstGeom>
        <a:ln w="28575">
          <a:solidFill>
            <a:schemeClr val="bg1"/>
          </a:solidFill>
        </a:ln>
      </xdr:spPr>
    </xdr:pic>
    <xdr:clientData/>
  </xdr:twoCellAnchor>
</xdr:wsDr>
</file>

<file path=xl/drawings/drawing225.xml><?xml version="1.0" encoding="utf-8"?>
<xdr:wsDr xmlns:xdr="http://schemas.openxmlformats.org/drawingml/2006/spreadsheetDrawing" xmlns:a="http://schemas.openxmlformats.org/drawingml/2006/main">
  <xdr:twoCellAnchor>
    <xdr:from>
      <xdr:col>16</xdr:col>
      <xdr:colOff>99059</xdr:colOff>
      <xdr:row>9</xdr:row>
      <xdr:rowOff>20002</xdr:rowOff>
    </xdr:from>
    <xdr:to>
      <xdr:col>22</xdr:col>
      <xdr:colOff>756284</xdr:colOff>
      <xdr:row>20</xdr:row>
      <xdr:rowOff>213360</xdr:rowOff>
    </xdr:to>
    <xdr:graphicFrame macro="">
      <xdr:nvGraphicFramePr>
        <xdr:cNvPr id="2" name="Gráfico 1">
          <a:extLst>
            <a:ext uri="{FF2B5EF4-FFF2-40B4-BE49-F238E27FC236}">
              <a16:creationId xmlns:a16="http://schemas.microsoft.com/office/drawing/2014/main" id="{88C2193D-5E5F-402F-8B3A-76F80A774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6.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CE22A4C-441C-48F1-8B61-0F2008A25726}"/>
                </a:ext>
              </a:extLst>
            </xdr:cNvPr>
            <xdr:cNvSpPr txBox="1"/>
          </xdr:nvSpPr>
          <xdr:spPr>
            <a:xfrm>
              <a:off x="5069205" y="5465921"/>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8.xml><?xml version="1.0" encoding="utf-8"?>
<xdr:wsDr xmlns:xdr="http://schemas.openxmlformats.org/drawingml/2006/spreadsheetDrawing" xmlns:a="http://schemas.openxmlformats.org/drawingml/2006/main">
  <xdr:twoCellAnchor>
    <xdr:from>
      <xdr:col>2</xdr:col>
      <xdr:colOff>68580</xdr:colOff>
      <xdr:row>30</xdr:row>
      <xdr:rowOff>48577</xdr:rowOff>
    </xdr:from>
    <xdr:to>
      <xdr:col>14</xdr:col>
      <xdr:colOff>518158</xdr:colOff>
      <xdr:row>44</xdr:row>
      <xdr:rowOff>129540</xdr:rowOff>
    </xdr:to>
    <xdr:graphicFrame macro="">
      <xdr:nvGraphicFramePr>
        <xdr:cNvPr id="2" name="Gráfico 1">
          <a:extLst>
            <a:ext uri="{FF2B5EF4-FFF2-40B4-BE49-F238E27FC236}">
              <a16:creationId xmlns:a16="http://schemas.microsoft.com/office/drawing/2014/main" id="{96D7B637-C29D-412C-BBC3-95A8C732F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26</xdr:row>
      <xdr:rowOff>28575</xdr:rowOff>
    </xdr:to>
    <xdr:graphicFrame macro="">
      <xdr:nvGraphicFramePr>
        <xdr:cNvPr id="2" name="Gráfico 1">
          <a:extLst>
            <a:ext uri="{FF2B5EF4-FFF2-40B4-BE49-F238E27FC236}">
              <a16:creationId xmlns:a16="http://schemas.microsoft.com/office/drawing/2014/main" id="{3924B5F3-A9C3-4021-B28A-FDD0E17A3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ED4F2A9-1004-4446-A3EF-201995EDEA5F}"/>
                </a:ext>
              </a:extLst>
            </xdr:cNvPr>
            <xdr:cNvSpPr txBox="1"/>
          </xdr:nvSpPr>
          <xdr:spPr>
            <a:xfrm>
              <a:off x="4359592" y="5759291"/>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1.xml><?xml version="1.0" encoding="utf-8"?>
<xdr:wsDr xmlns:xdr="http://schemas.openxmlformats.org/drawingml/2006/spreadsheetDrawing" xmlns:a="http://schemas.openxmlformats.org/drawingml/2006/main">
  <xdr:twoCellAnchor>
    <xdr:from>
      <xdr:col>1</xdr:col>
      <xdr:colOff>1059180</xdr:colOff>
      <xdr:row>26</xdr:row>
      <xdr:rowOff>49530</xdr:rowOff>
    </xdr:from>
    <xdr:to>
      <xdr:col>13</xdr:col>
      <xdr:colOff>228600</xdr:colOff>
      <xdr:row>39</xdr:row>
      <xdr:rowOff>129540</xdr:rowOff>
    </xdr:to>
    <xdr:graphicFrame macro="">
      <xdr:nvGraphicFramePr>
        <xdr:cNvPr id="2" name="Gráfico 1">
          <a:extLst>
            <a:ext uri="{FF2B5EF4-FFF2-40B4-BE49-F238E27FC236}">
              <a16:creationId xmlns:a16="http://schemas.microsoft.com/office/drawing/2014/main" id="{98A9D7F0-E343-475A-9A91-4AF42EB53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2.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0221DC-45C3-4E2E-BDC4-C9D87D2C062F}"/>
                </a:ext>
              </a:extLst>
            </xdr:cNvPr>
            <xdr:cNvSpPr txBox="1"/>
          </xdr:nvSpPr>
          <xdr:spPr>
            <a:xfrm>
              <a:off x="4748688" y="476408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3.xml><?xml version="1.0" encoding="utf-8"?>
<xdr:wsDr xmlns:xdr="http://schemas.openxmlformats.org/drawingml/2006/spreadsheetDrawing" xmlns:a="http://schemas.openxmlformats.org/drawingml/2006/main">
  <xdr:twoCellAnchor>
    <xdr:from>
      <xdr:col>6</xdr:col>
      <xdr:colOff>66674</xdr:colOff>
      <xdr:row>8</xdr:row>
      <xdr:rowOff>495300</xdr:rowOff>
    </xdr:from>
    <xdr:to>
      <xdr:col>13</xdr:col>
      <xdr:colOff>411480</xdr:colOff>
      <xdr:row>24</xdr:row>
      <xdr:rowOff>76200</xdr:rowOff>
    </xdr:to>
    <xdr:graphicFrame macro="">
      <xdr:nvGraphicFramePr>
        <xdr:cNvPr id="2" name="1 Gráfico">
          <a:extLst>
            <a:ext uri="{FF2B5EF4-FFF2-40B4-BE49-F238E27FC236}">
              <a16:creationId xmlns:a16="http://schemas.microsoft.com/office/drawing/2014/main" id="{909785A6-38E2-4790-814B-3DF68366B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4.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BD3B550C-68C9-4B30-B511-B8DE6F696E58}"/>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F500BF17-DC59-4064-8BE8-F259B1D05170}"/>
                </a:ext>
              </a:extLst>
            </xdr:cNvPr>
            <xdr:cNvSpPr txBox="1"/>
          </xdr:nvSpPr>
          <xdr:spPr>
            <a:xfrm>
              <a:off x="4552950" y="572119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35.xml><?xml version="1.0" encoding="utf-8"?>
<xdr:wsDr xmlns:xdr="http://schemas.openxmlformats.org/drawingml/2006/spreadsheetDrawing" xmlns:a="http://schemas.openxmlformats.org/drawingml/2006/main">
  <xdr:twoCellAnchor>
    <xdr:from>
      <xdr:col>10</xdr:col>
      <xdr:colOff>60960</xdr:colOff>
      <xdr:row>10</xdr:row>
      <xdr:rowOff>90487</xdr:rowOff>
    </xdr:from>
    <xdr:to>
      <xdr:col>15</xdr:col>
      <xdr:colOff>361950</xdr:colOff>
      <xdr:row>25</xdr:row>
      <xdr:rowOff>167640</xdr:rowOff>
    </xdr:to>
    <xdr:graphicFrame macro="">
      <xdr:nvGraphicFramePr>
        <xdr:cNvPr id="2" name="Gráfico 1">
          <a:extLst>
            <a:ext uri="{FF2B5EF4-FFF2-40B4-BE49-F238E27FC236}">
              <a16:creationId xmlns:a16="http://schemas.microsoft.com/office/drawing/2014/main" id="{7698B81A-027A-4729-A852-0D3C2EEFB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6.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974518C8-0005-4E83-9A7F-1831CDA78DA3}"/>
                </a:ext>
              </a:extLst>
            </xdr:cNvPr>
            <xdr:cNvSpPr txBox="1"/>
          </xdr:nvSpPr>
          <xdr:spPr>
            <a:xfrm>
              <a:off x="5651923" y="12694497"/>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F74D6601-BBA9-4153-9F55-1744827DC6EC}"/>
                </a:ext>
              </a:extLst>
            </xdr:cNvPr>
            <xdr:cNvSpPr txBox="1"/>
          </xdr:nvSpPr>
          <xdr:spPr>
            <a:xfrm>
              <a:off x="5795858" y="13224722"/>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3D7DE445-0680-4B08-A63D-BF9212464078}"/>
                </a:ext>
              </a:extLst>
            </xdr:cNvPr>
            <xdr:cNvSpPr txBox="1"/>
          </xdr:nvSpPr>
          <xdr:spPr>
            <a:xfrm>
              <a:off x="5575723" y="14414289"/>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DF3353F9-D64C-414F-A722-EDC1C96ABF44}"/>
                </a:ext>
              </a:extLst>
            </xdr:cNvPr>
            <xdr:cNvSpPr txBox="1"/>
          </xdr:nvSpPr>
          <xdr:spPr>
            <a:xfrm>
              <a:off x="5455074" y="14981555"/>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68449350-2CE8-4158-AB2C-D25513C4DC31}"/>
                </a:ext>
              </a:extLst>
            </xdr:cNvPr>
            <xdr:cNvSpPr txBox="1"/>
          </xdr:nvSpPr>
          <xdr:spPr>
            <a:xfrm>
              <a:off x="4952364" y="13816330"/>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3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3D8BABF8-C109-41E6-9B5B-D630E66BB98D}"/>
            </a:ext>
          </a:extLst>
        </xdr:cNvPr>
        <xdr:cNvPicPr>
          <a:picLocks noChangeAspect="1"/>
        </xdr:cNvPicPr>
      </xdr:nvPicPr>
      <xdr:blipFill>
        <a:blip xmlns:r="http://schemas.openxmlformats.org/officeDocument/2006/relationships" r:embed="rId2"/>
        <a:stretch>
          <a:fillRect/>
        </a:stretch>
      </xdr:blipFill>
      <xdr:spPr>
        <a:xfrm>
          <a:off x="4103814" y="4716780"/>
          <a:ext cx="334575" cy="538697"/>
        </a:xfrm>
        <a:prstGeom prst="rect">
          <a:avLst/>
        </a:prstGeom>
      </xdr:spPr>
    </xdr:pic>
    <xdr:clientData/>
  </xdr:twoCellAnchor>
  <xdr:twoCellAnchor editAs="oneCell">
    <xdr:from>
      <xdr:col>4</xdr:col>
      <xdr:colOff>563880</xdr:colOff>
      <xdr:row>19</xdr:row>
      <xdr:rowOff>182881</xdr:rowOff>
    </xdr:from>
    <xdr:to>
      <xdr:col>10</xdr:col>
      <xdr:colOff>457200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8DF54B45-F212-4531-A698-EA1D45FC7CF2}"/>
            </a:ext>
          </a:extLst>
        </xdr:cNvPr>
        <xdr:cNvPicPr>
          <a:picLocks noChangeAspect="1"/>
        </xdr:cNvPicPr>
      </xdr:nvPicPr>
      <xdr:blipFill>
        <a:blip xmlns:r="http://schemas.openxmlformats.org/officeDocument/2006/relationships" r:embed="rId3"/>
        <a:stretch>
          <a:fillRect/>
        </a:stretch>
      </xdr:blipFill>
      <xdr:spPr>
        <a:xfrm>
          <a:off x="4572000" y="4663441"/>
          <a:ext cx="4709160" cy="61033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9AEED40C-6B3C-4696-B937-ACD2BBC8A08F}"/>
            </a:ext>
          </a:extLst>
        </xdr:cNvPr>
        <xdr:cNvPicPr>
          <a:picLocks noChangeAspect="1"/>
        </xdr:cNvPicPr>
      </xdr:nvPicPr>
      <xdr:blipFill>
        <a:blip xmlns:r="http://schemas.openxmlformats.org/officeDocument/2006/relationships" r:embed="rId2"/>
        <a:stretch>
          <a:fillRect/>
        </a:stretch>
      </xdr:blipFill>
      <xdr:spPr>
        <a:xfrm>
          <a:off x="3799014" y="4053840"/>
          <a:ext cx="334575" cy="538697"/>
        </a:xfrm>
        <a:prstGeom prst="rect">
          <a:avLst/>
        </a:prstGeom>
      </xdr:spPr>
    </xdr:pic>
    <xdr:clientData/>
  </xdr:twoCellAnchor>
  <xdr:twoCellAnchor editAs="oneCell">
    <xdr:from>
      <xdr:col>4</xdr:col>
      <xdr:colOff>563880</xdr:colOff>
      <xdr:row>17</xdr:row>
      <xdr:rowOff>182881</xdr:rowOff>
    </xdr:from>
    <xdr:to>
      <xdr:col>10</xdr:col>
      <xdr:colOff>518160</xdr:colOff>
      <xdr:row>20</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A406FA76-D870-49F0-A4BD-8E54685848A8}"/>
            </a:ext>
          </a:extLst>
        </xdr:cNvPr>
        <xdr:cNvPicPr>
          <a:picLocks noChangeAspect="1"/>
        </xdr:cNvPicPr>
      </xdr:nvPicPr>
      <xdr:blipFill>
        <a:blip xmlns:r="http://schemas.openxmlformats.org/officeDocument/2006/relationships" r:embed="rId3"/>
        <a:stretch>
          <a:fillRect/>
        </a:stretch>
      </xdr:blipFill>
      <xdr:spPr>
        <a:xfrm>
          <a:off x="4267200" y="4000501"/>
          <a:ext cx="4709160" cy="6103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B6175834-5E67-48E2-A5AB-892A07F01C7B}"/>
                </a:ext>
              </a:extLst>
            </xdr:cNvPr>
            <xdr:cNvSpPr txBox="1"/>
          </xdr:nvSpPr>
          <xdr:spPr>
            <a:xfrm>
              <a:off x="4815227" y="56873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4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61EBD540-E96D-4200-8CB4-CD4B7065E845}"/>
            </a:ext>
          </a:extLst>
        </xdr:cNvPr>
        <xdr:cNvPicPr>
          <a:picLocks noChangeAspect="1"/>
        </xdr:cNvPicPr>
      </xdr:nvPicPr>
      <xdr:blipFill>
        <a:blip xmlns:r="http://schemas.openxmlformats.org/officeDocument/2006/relationships" r:embed="rId2"/>
        <a:stretch>
          <a:fillRect/>
        </a:stretch>
      </xdr:blipFill>
      <xdr:spPr>
        <a:xfrm>
          <a:off x="4019994" y="4526280"/>
          <a:ext cx="334575" cy="538697"/>
        </a:xfrm>
        <a:prstGeom prst="rect">
          <a:avLst/>
        </a:prstGeom>
      </xdr:spPr>
    </xdr:pic>
    <xdr:clientData/>
  </xdr:twoCellAnchor>
  <xdr:twoCellAnchor editAs="oneCell">
    <xdr:from>
      <xdr:col>4</xdr:col>
      <xdr:colOff>563880</xdr:colOff>
      <xdr:row>19</xdr:row>
      <xdr:rowOff>182881</xdr:rowOff>
    </xdr:from>
    <xdr:to>
      <xdr:col>10</xdr:col>
      <xdr:colOff>518160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81C8C84-91DE-4B05-8824-840146190E61}"/>
            </a:ext>
          </a:extLst>
        </xdr:cNvPr>
        <xdr:cNvPicPr>
          <a:picLocks noChangeAspect="1"/>
        </xdr:cNvPicPr>
      </xdr:nvPicPr>
      <xdr:blipFill>
        <a:blip xmlns:r="http://schemas.openxmlformats.org/officeDocument/2006/relationships" r:embed="rId3"/>
        <a:stretch>
          <a:fillRect/>
        </a:stretch>
      </xdr:blipFill>
      <xdr:spPr>
        <a:xfrm>
          <a:off x="4488180" y="4472941"/>
          <a:ext cx="4709160" cy="61033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3220042-3679-433E-A97C-A54D2C461248}"/>
            </a:ext>
          </a:extLst>
        </xdr:cNvPr>
        <xdr:cNvPicPr>
          <a:picLocks noChangeAspect="1"/>
        </xdr:cNvPicPr>
      </xdr:nvPicPr>
      <xdr:blipFill>
        <a:blip xmlns:r="http://schemas.openxmlformats.org/officeDocument/2006/relationships" r:embed="rId2"/>
        <a:stretch>
          <a:fillRect/>
        </a:stretch>
      </xdr:blipFill>
      <xdr:spPr>
        <a:xfrm>
          <a:off x="4096194" y="4526280"/>
          <a:ext cx="334575" cy="538697"/>
        </a:xfrm>
        <a:prstGeom prst="rect">
          <a:avLst/>
        </a:prstGeom>
      </xdr:spPr>
    </xdr:pic>
    <xdr:clientData/>
  </xdr:twoCellAnchor>
  <xdr:twoCellAnchor editAs="oneCell">
    <xdr:from>
      <xdr:col>4</xdr:col>
      <xdr:colOff>563880</xdr:colOff>
      <xdr:row>19</xdr:row>
      <xdr:rowOff>182881</xdr:rowOff>
    </xdr:from>
    <xdr:to>
      <xdr:col>10</xdr:col>
      <xdr:colOff>403860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09BB3FCE-1690-463B-A7C9-5CCB0280A18E}"/>
            </a:ext>
          </a:extLst>
        </xdr:cNvPr>
        <xdr:cNvPicPr>
          <a:picLocks noChangeAspect="1"/>
        </xdr:cNvPicPr>
      </xdr:nvPicPr>
      <xdr:blipFill>
        <a:blip xmlns:r="http://schemas.openxmlformats.org/officeDocument/2006/relationships" r:embed="rId3"/>
        <a:stretch>
          <a:fillRect/>
        </a:stretch>
      </xdr:blipFill>
      <xdr:spPr>
        <a:xfrm>
          <a:off x="4564380" y="4472941"/>
          <a:ext cx="4709160" cy="610336"/>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xdr:from>
      <xdr:col>7</xdr:col>
      <xdr:colOff>83820</xdr:colOff>
      <xdr:row>8</xdr:row>
      <xdr:rowOff>599122</xdr:rowOff>
    </xdr:from>
    <xdr:to>
      <xdr:col>14</xdr:col>
      <xdr:colOff>764540</xdr:colOff>
      <xdr:row>21</xdr:row>
      <xdr:rowOff>38100</xdr:rowOff>
    </xdr:to>
    <xdr:graphicFrame macro="">
      <xdr:nvGraphicFramePr>
        <xdr:cNvPr id="2" name="Gráfico 1">
          <a:extLst>
            <a:ext uri="{FF2B5EF4-FFF2-40B4-BE49-F238E27FC236}">
              <a16:creationId xmlns:a16="http://schemas.microsoft.com/office/drawing/2014/main" id="{CB5696F2-61CB-4AC6-97A3-75E2C0C25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45A77886-73F8-4F29-B82F-0FF54198854A}"/>
                </a:ext>
              </a:extLst>
            </xdr:cNvPr>
            <xdr:cNvSpPr txBox="1"/>
          </xdr:nvSpPr>
          <xdr:spPr>
            <a:xfrm>
              <a:off x="4615814" y="7271385"/>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44.xml><?xml version="1.0" encoding="utf-8"?>
<xdr:wsDr xmlns:xdr="http://schemas.openxmlformats.org/drawingml/2006/spreadsheetDrawing" xmlns:a="http://schemas.openxmlformats.org/drawingml/2006/main">
  <xdr:twoCellAnchor editAs="oneCell">
    <xdr:from>
      <xdr:col>0</xdr:col>
      <xdr:colOff>91440</xdr:colOff>
      <xdr:row>1</xdr:row>
      <xdr:rowOff>29210</xdr:rowOff>
    </xdr:from>
    <xdr:to>
      <xdr:col>1</xdr:col>
      <xdr:colOff>765387</xdr:colOff>
      <xdr:row>4</xdr:row>
      <xdr:rowOff>2117</xdr:rowOff>
    </xdr:to>
    <xdr:pic>
      <xdr:nvPicPr>
        <xdr:cNvPr id="2" name="Imagen 1">
          <a:extLst>
            <a:ext uri="{FF2B5EF4-FFF2-40B4-BE49-F238E27FC236}">
              <a16:creationId xmlns:a16="http://schemas.microsoft.com/office/drawing/2014/main" id="{B66EFF29-7123-4EF1-B2AA-FE6F55D7A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 y="265430"/>
          <a:ext cx="1466427" cy="1466427"/>
        </a:xfrm>
        <a:prstGeom prst="rect">
          <a:avLst/>
        </a:prstGeom>
        <a:ln w="28575">
          <a:solidFill>
            <a:schemeClr val="bg1"/>
          </a:solidFill>
        </a:ln>
      </xdr:spPr>
    </xdr:pic>
    <xdr:clientData/>
  </xdr:twoCellAnchor>
</xdr:wsDr>
</file>

<file path=xl/drawings/drawing245.xml><?xml version="1.0" encoding="utf-8"?>
<xdr:wsDr xmlns:xdr="http://schemas.openxmlformats.org/drawingml/2006/spreadsheetDrawing" xmlns:a="http://schemas.openxmlformats.org/drawingml/2006/main">
  <xdr:twoCellAnchor>
    <xdr:from>
      <xdr:col>2</xdr:col>
      <xdr:colOff>57150</xdr:colOff>
      <xdr:row>30</xdr:row>
      <xdr:rowOff>176212</xdr:rowOff>
    </xdr:from>
    <xdr:to>
      <xdr:col>11</xdr:col>
      <xdr:colOff>180975</xdr:colOff>
      <xdr:row>75</xdr:row>
      <xdr:rowOff>61912</xdr:rowOff>
    </xdr:to>
    <xdr:graphicFrame macro="">
      <xdr:nvGraphicFramePr>
        <xdr:cNvPr id="2" name="Gráfico 1">
          <a:extLst>
            <a:ext uri="{FF2B5EF4-FFF2-40B4-BE49-F238E27FC236}">
              <a16:creationId xmlns:a16="http://schemas.microsoft.com/office/drawing/2014/main" id="{8FE1544C-1D1E-45F8-90AA-82147EEFC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6.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00C97ED-058C-4BC4-9A0B-0F93D241CFB7}"/>
                </a:ext>
              </a:extLst>
            </xdr:cNvPr>
            <xdr:cNvSpPr txBox="1"/>
          </xdr:nvSpPr>
          <xdr:spPr>
            <a:xfrm>
              <a:off x="4165759" y="4834889"/>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7.xml><?xml version="1.0" encoding="utf-8"?>
<xdr:wsDr xmlns:xdr="http://schemas.openxmlformats.org/drawingml/2006/spreadsheetDrawing" xmlns:a="http://schemas.openxmlformats.org/drawingml/2006/main">
  <xdr:twoCellAnchor>
    <xdr:from>
      <xdr:col>2</xdr:col>
      <xdr:colOff>19050</xdr:colOff>
      <xdr:row>31</xdr:row>
      <xdr:rowOff>1</xdr:rowOff>
    </xdr:from>
    <xdr:to>
      <xdr:col>12</xdr:col>
      <xdr:colOff>304800</xdr:colOff>
      <xdr:row>46</xdr:row>
      <xdr:rowOff>38101</xdr:rowOff>
    </xdr:to>
    <xdr:graphicFrame macro="">
      <xdr:nvGraphicFramePr>
        <xdr:cNvPr id="2" name="Gráfico 1">
          <a:extLst>
            <a:ext uri="{FF2B5EF4-FFF2-40B4-BE49-F238E27FC236}">
              <a16:creationId xmlns:a16="http://schemas.microsoft.com/office/drawing/2014/main" id="{FE7ED97A-845C-41CE-9A87-84BA4080D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8.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A1AF79A0-0D59-40F7-90C9-DA091427C145}"/>
                </a:ext>
              </a:extLst>
            </xdr:cNvPr>
            <xdr:cNvSpPr txBox="1"/>
          </xdr:nvSpPr>
          <xdr:spPr>
            <a:xfrm>
              <a:off x="4241323" y="43926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9.xml><?xml version="1.0" encoding="utf-8"?>
<xdr:wsDr xmlns:xdr="http://schemas.openxmlformats.org/drawingml/2006/spreadsheetDrawing" xmlns:a="http://schemas.openxmlformats.org/drawingml/2006/main">
  <xdr:twoCellAnchor>
    <xdr:from>
      <xdr:col>2</xdr:col>
      <xdr:colOff>76200</xdr:colOff>
      <xdr:row>31</xdr:row>
      <xdr:rowOff>38100</xdr:rowOff>
    </xdr:from>
    <xdr:to>
      <xdr:col>13</xdr:col>
      <xdr:colOff>95250</xdr:colOff>
      <xdr:row>47</xdr:row>
      <xdr:rowOff>85725</xdr:rowOff>
    </xdr:to>
    <xdr:graphicFrame macro="">
      <xdr:nvGraphicFramePr>
        <xdr:cNvPr id="2" name="Gráfico 1">
          <a:extLst>
            <a:ext uri="{FF2B5EF4-FFF2-40B4-BE49-F238E27FC236}">
              <a16:creationId xmlns:a16="http://schemas.microsoft.com/office/drawing/2014/main" id="{8739050C-80F2-4D41-8436-BAA86AD0A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19050</xdr:colOff>
      <xdr:row>34</xdr:row>
      <xdr:rowOff>90487</xdr:rowOff>
    </xdr:from>
    <xdr:to>
      <xdr:col>12</xdr:col>
      <xdr:colOff>247650</xdr:colOff>
      <xdr:row>53</xdr:row>
      <xdr:rowOff>119062</xdr:rowOff>
    </xdr:to>
    <xdr:graphicFrame macro="">
      <xdr:nvGraphicFramePr>
        <xdr:cNvPr id="2" name="Gráfico 1">
          <a:extLst>
            <a:ext uri="{FF2B5EF4-FFF2-40B4-BE49-F238E27FC236}">
              <a16:creationId xmlns:a16="http://schemas.microsoft.com/office/drawing/2014/main" id="{402AA384-AF18-4492-ADCF-454DE200F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E2D4389-0F17-451C-B76D-5FC9D782E391}"/>
                </a:ext>
              </a:extLst>
            </xdr:cNvPr>
            <xdr:cNvSpPr txBox="1"/>
          </xdr:nvSpPr>
          <xdr:spPr>
            <a:xfrm>
              <a:off x="4441984" y="4424363"/>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51.xml><?xml version="1.0" encoding="utf-8"?>
<xdr:wsDr xmlns:xdr="http://schemas.openxmlformats.org/drawingml/2006/spreadsheetDrawing" xmlns:a="http://schemas.openxmlformats.org/drawingml/2006/main">
  <xdr:twoCellAnchor>
    <xdr:from>
      <xdr:col>2</xdr:col>
      <xdr:colOff>68580</xdr:colOff>
      <xdr:row>38</xdr:row>
      <xdr:rowOff>6351</xdr:rowOff>
    </xdr:from>
    <xdr:to>
      <xdr:col>9</xdr:col>
      <xdr:colOff>147108</xdr:colOff>
      <xdr:row>50</xdr:row>
      <xdr:rowOff>129540</xdr:rowOff>
    </xdr:to>
    <xdr:graphicFrame macro="">
      <xdr:nvGraphicFramePr>
        <xdr:cNvPr id="2" name="Gráfico 1">
          <a:extLst>
            <a:ext uri="{FF2B5EF4-FFF2-40B4-BE49-F238E27FC236}">
              <a16:creationId xmlns:a16="http://schemas.microsoft.com/office/drawing/2014/main" id="{EC98447F-57B1-4866-960F-6DFE3FC30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2.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83B593B-A088-4199-AC67-F5D3F6C31AAE}"/>
                </a:ext>
              </a:extLst>
            </xdr:cNvPr>
            <xdr:cNvSpPr txBox="1"/>
          </xdr:nvSpPr>
          <xdr:spPr>
            <a:xfrm>
              <a:off x="5548313" y="550735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53.xml><?xml version="1.0" encoding="utf-8"?>
<xdr:wsDr xmlns:xdr="http://schemas.openxmlformats.org/drawingml/2006/spreadsheetDrawing" xmlns:a="http://schemas.openxmlformats.org/drawingml/2006/main">
  <xdr:oneCellAnchor>
    <xdr:from>
      <xdr:col>2</xdr:col>
      <xdr:colOff>1572895</xdr:colOff>
      <xdr:row>15</xdr:row>
      <xdr:rowOff>46355</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918CF313-446D-4514-B6CC-89E1DA7A42CB}"/>
                </a:ext>
              </a:extLst>
            </xdr:cNvPr>
            <xdr:cNvSpPr txBox="1"/>
          </xdr:nvSpPr>
          <xdr:spPr>
            <a:xfrm>
              <a:off x="4171315" y="6203315"/>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254.xml><?xml version="1.0" encoding="utf-8"?>
<xdr:wsDr xmlns:xdr="http://schemas.openxmlformats.org/drawingml/2006/spreadsheetDrawing" xmlns:a="http://schemas.openxmlformats.org/drawingml/2006/main">
  <xdr:oneCellAnchor>
    <xdr:from>
      <xdr:col>3</xdr:col>
      <xdr:colOff>19050</xdr:colOff>
      <xdr:row>15</xdr:row>
      <xdr:rowOff>47625</xdr:rowOff>
    </xdr:from>
    <xdr:ext cx="5476875" cy="4953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𝑖𝑛𝑓𝑟𝑎𝑒𝑠𝑡𝑟𝑢𝑐𝑢𝑡𝑟𝑎</m:t>
                            </m:r>
                            <m:r>
                              <a:rPr lang="es-CR" sz="1100" b="0" i="1">
                                <a:latin typeface="Cambria Math" panose="02040503050406030204" pitchFamily="18" charset="0"/>
                              </a:rPr>
                              <m:t> </m:t>
                            </m:r>
                            <m:r>
                              <a:rPr lang="es-CR" sz="1100" b="0" i="1">
                                <a:latin typeface="Cambria Math" panose="02040503050406030204" pitchFamily="18" charset="0"/>
                              </a:rPr>
                              <m:t>𝑐𝑟</m:t>
                            </m:r>
                            <m:r>
                              <a:rPr lang="es-CR" sz="1100" b="0" i="1">
                                <a:latin typeface="Cambria Math" panose="02040503050406030204" pitchFamily="18" charset="0"/>
                              </a:rPr>
                              <m:t>í</m:t>
                            </m:r>
                            <m:r>
                              <a:rPr lang="es-CR" sz="1100" b="0" i="1">
                                <a:latin typeface="Cambria Math" panose="02040503050406030204" pitchFamily="18" charset="0"/>
                              </a:rPr>
                              <m:t>𝑡𝑖𝑐𝑎</m:t>
                            </m:r>
                            <m:r>
                              <a:rPr lang="es-CR" sz="1100" b="0" i="1">
                                <a:latin typeface="Cambria Math" panose="02040503050406030204" pitchFamily="18" charset="0"/>
                              </a:rPr>
                              <m:t> </m:t>
                            </m:r>
                            <m:d>
                              <m:dPr>
                                <m:ctrlPr>
                                  <a:rPr lang="es-CR" sz="1100" b="0" i="1">
                                    <a:latin typeface="Cambria Math" panose="02040503050406030204" pitchFamily="18" charset="0"/>
                                  </a:rPr>
                                </m:ctrlPr>
                              </m:dPr>
                              <m:e>
                                <m:r>
                                  <a:rPr lang="es-CR" sz="1100" b="0" i="1">
                                    <a:latin typeface="Cambria Math" panose="02040503050406030204" pitchFamily="18" charset="0"/>
                                  </a:rPr>
                                  <m:t>𝑒𝑑𝑢𝑐𝑎𝑐𝑖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𝑠𝑎𝑙𝑢𝑑</m:t>
                                </m:r>
                              </m:e>
                            </m:d>
                          </m:e>
                          <m:e>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e>
                        </m:eqAr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5DBDF939-74C2-4963-B332-BF972E1CE62B}"/>
                </a:ext>
              </a:extLst>
            </xdr:cNvPr>
            <xdr:cNvSpPr txBox="1"/>
          </xdr:nvSpPr>
          <xdr:spPr>
            <a:xfrm>
              <a:off x="4263390" y="5099685"/>
              <a:ext cx="54768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𝑒𝑛 𝑖𝑛𝑓𝑟𝑎𝑒𝑠𝑡𝑟𝑢𝑐𝑢𝑡𝑟𝑎 𝑐𝑟í𝑡𝑖𝑐𝑎 (𝑒𝑑𝑢𝑐𝑎𝑐𝑖ó𝑛 𝑦 𝑠𝑎𝑙𝑢𝑑)@𝑐𝑎𝑑𝑎 𝑎ñ𝑜)</a:t>
              </a:r>
              <a:endParaRPr lang="es-CR" sz="1100"/>
            </a:p>
          </xdr:txBody>
        </xdr:sp>
      </mc:Fallback>
    </mc:AlternateContent>
    <xdr:clientData/>
  </xdr:oneCellAnchor>
  <xdr:oneCellAnchor>
    <xdr:from>
      <xdr:col>3</xdr:col>
      <xdr:colOff>63499</xdr:colOff>
      <xdr:row>16</xdr:row>
      <xdr:rowOff>67468</xdr:rowOff>
    </xdr:from>
    <xdr:ext cx="5746751" cy="98028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nary>
                      <m:naryPr>
                        <m:chr m:val="∑"/>
                        <m:subHide m:val="on"/>
                        <m:supHide m:val="on"/>
                        <m:ctrlPr>
                          <a:rPr lang="es-CR" sz="1100" i="1">
                            <a:latin typeface="Cambria Math" panose="02040503050406030204" pitchFamily="18" charset="0"/>
                          </a:rPr>
                        </m:ctrlPr>
                      </m:naryPr>
                      <m:sub/>
                      <m:sup/>
                      <m:e>
                        <m:eqArr>
                          <m:eqArrPr>
                            <m:ctrlPr>
                              <a:rPr lang="es-CR" sz="1100" b="0" i="1">
                                <a:latin typeface="Cambria Math" panose="02040503050406030204" pitchFamily="18" charset="0"/>
                              </a:rPr>
                            </m:ctrlPr>
                          </m:eqArrPr>
                          <m:e>
                            <m:r>
                              <a:rPr lang="es-CR" sz="1100" b="0" i="1">
                                <a:latin typeface="Cambria Math" panose="02040503050406030204" pitchFamily="18" charset="0"/>
                              </a:rPr>
                              <m:t>𝐼𝑛𝑓𝑟𝑎𝑒𝑠𝑡𝑟𝑢𝑐𝑡𝑢𝑟𝑎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𝑏</m:t>
                            </m:r>
                            <m:r>
                              <a:rPr lang="es-CR" sz="1100" b="0" i="1">
                                <a:latin typeface="Cambria Math" panose="02040503050406030204" pitchFamily="18" charset="0"/>
                              </a:rPr>
                              <m:t>á</m:t>
                            </m:r>
                            <m:r>
                              <a:rPr lang="es-CR" sz="1100" b="0" i="1">
                                <a:latin typeface="Cambria Math" panose="02040503050406030204" pitchFamily="18" charset="0"/>
                              </a:rPr>
                              <m:t>𝑠𝑖𝑐𝑜𝑠</m:t>
                            </m:r>
                            <m:r>
                              <a:rPr lang="es-CR" sz="1100" b="0" i="1">
                                <a:latin typeface="Cambria Math" panose="02040503050406030204" pitchFamily="18" charset="0"/>
                              </a:rPr>
                              <m:t> </m:t>
                            </m:r>
                            <m:r>
                              <a:rPr lang="es-CR" sz="1100" b="0" i="1">
                                <a:latin typeface="Cambria Math" panose="02040503050406030204" pitchFamily="18" charset="0"/>
                              </a:rPr>
                              <m:t>𝑖𝑛𝑡𝑒𝑟𝑟𝑢𝑚𝑝𝑖𝑑𝑜𝑠</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e>
                          <m:e>
                            <m:r>
                              <a:rPr lang="es-CR" sz="1100" b="0" i="1">
                                <a:latin typeface="Cambria Math" panose="02040503050406030204" pitchFamily="18" charset="0"/>
                              </a:rPr>
                              <m:t> </m:t>
                            </m:r>
                            <m:r>
                              <a:rPr lang="es-CR" sz="1100" b="0" i="1">
                                <a:latin typeface="Cambria Math" panose="02040503050406030204" pitchFamily="18" charset="0"/>
                              </a:rPr>
                              <m:t>𝑎𝑙𝑐𝑎𝑛𝑡𝑎𝑟𝑖𝑙𝑙𝑎𝑑𝑜</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𝑏𝑎𝑠𝑢𝑟𝑎</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𝑑𝑒𝑠𝑝𝑒𝑟𝑑𝑖𝑐𝑖𝑜𝑠</m:t>
                            </m:r>
                            <m:r>
                              <a:rPr lang="es-CR" sz="1100" b="0" i="1">
                                <a:latin typeface="Cambria Math" panose="02040503050406030204" pitchFamily="18" charset="0"/>
                              </a:rPr>
                              <m:t> </m:t>
                            </m:r>
                            <m:r>
                              <a:rPr lang="es-CR" sz="1100" b="0" i="1">
                                <a:latin typeface="Cambria Math" panose="02040503050406030204" pitchFamily="18" charset="0"/>
                              </a:rPr>
                              <m:t>𝑠</m:t>
                            </m:r>
                            <m:r>
                              <a:rPr lang="es-CR" sz="1100" b="0" i="1">
                                <a:latin typeface="Cambria Math" panose="02040503050406030204" pitchFamily="18" charset="0"/>
                              </a:rPr>
                              <m:t>ó</m:t>
                            </m:r>
                            <m:r>
                              <a:rPr lang="es-CR" sz="1100" b="0" i="1">
                                <a:latin typeface="Cambria Math" panose="02040503050406030204" pitchFamily="18" charset="0"/>
                              </a:rPr>
                              <m:t>𝑙𝑖𝑑𝑜𝑠</m:t>
                            </m:r>
                            <m:r>
                              <a:rPr lang="es-CR" sz="1100" b="0" i="1">
                                <a:latin typeface="Cambria Math" panose="02040503050406030204" pitchFamily="18" charset="0"/>
                              </a:rPr>
                              <m:t>, </m:t>
                            </m:r>
                          </m:e>
                          <m:e>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𝑡𝑟𝑎𝑛𝑠𝑝𝑜𝑟𝑡𝑒</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𝑎𝑑𝑚𝑖𝑛𝑖𝑠𝑡𝑟𝑎𝑐𝑖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𝑠𝑜𝑐𝑜𝑟𝑟𝑜</m:t>
                            </m:r>
                          </m:e>
                          <m:e>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𝑒𝑚𝑒𝑟𝑔𝑒𝑛𝑐𝑖𝑎</m:t>
                            </m:r>
                            <m:r>
                              <a:rPr lang="es-CR" sz="1100" b="0" i="1">
                                <a:latin typeface="Cambria Math" panose="02040503050406030204" pitchFamily="18" charset="0"/>
                              </a:rPr>
                              <m:t>, </m:t>
                            </m:r>
                            <m:r>
                              <a:rPr lang="es-CR" sz="1100" b="0" i="1">
                                <a:latin typeface="Cambria Math" panose="02040503050406030204" pitchFamily="18" charset="0"/>
                              </a:rPr>
                              <m:t>𝑠𝑖𝑠𝑡</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𝑡𝑒𝑐𝑛𝑜𝑙𝑜𝑔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𝑖𝑛𝑓𝑜𝑟𝑚𝑎𝑐𝑖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e>
                          <m:e>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𝑐𝑜𝑚𝑢𝑛𝑖𝑐𝑎𝑐𝑖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𝑠𝑢𝑚𝑖𝑛𝑖𝑠𝑡𝑟𝑜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𝑎𝑔𝑢𝑎</m:t>
                            </m:r>
                            <m:r>
                              <a:rPr lang="es-CR" sz="1100" b="0" i="1">
                                <a:latin typeface="Cambria Math" panose="02040503050406030204" pitchFamily="18" charset="0"/>
                              </a:rPr>
                              <m:t> </m:t>
                            </m:r>
                            <m:r>
                              <a:rPr lang="es-CR" sz="1100" b="0" i="1">
                                <a:latin typeface="Cambria Math" panose="02040503050406030204" pitchFamily="18" charset="0"/>
                              </a:rPr>
                              <m:t>𝑝𝑜𝑡𝑎𝑏𝑙𝑒</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m:t>
                            </m:r>
                            <m:r>
                              <a:rPr lang="es-CR" sz="1100" b="0" i="1">
                                <a:latin typeface="Cambria Math" panose="02040503050406030204" pitchFamily="18" charset="0"/>
                              </a:rPr>
                              <m:t> </m:t>
                            </m:r>
                            <m:r>
                              <a:rPr lang="es-CR" sz="1100" b="0" i="1">
                                <a:latin typeface="Cambria Math" panose="02040503050406030204" pitchFamily="18" charset="0"/>
                              </a:rPr>
                              <m:t>𝑐𝑎𝑑𝑎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eqAr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5EAEDB53-2144-4654-B5E0-EA599E4B1445}"/>
                </a:ext>
              </a:extLst>
            </xdr:cNvPr>
            <xdr:cNvSpPr txBox="1"/>
          </xdr:nvSpPr>
          <xdr:spPr>
            <a:xfrm>
              <a:off x="4307839" y="5843428"/>
              <a:ext cx="5746751" cy="980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▒█(𝐼𝑛𝑓𝑟𝑎𝑒𝑠𝑡𝑟𝑢𝑐𝑡𝑢𝑟𝑎 𝑝ú𝑏𝑙𝑖𝑐𝑎 𝑑𝑒 𝑠𝑒𝑟𝑣𝑖𝑐𝑖𝑜𝑠 𝑏á𝑠𝑖𝑐𝑜𝑠 𝑖𝑛𝑡𝑒𝑟𝑟𝑢𝑚𝑝𝑖𝑑𝑜𝑠 (𝑒𝑙𝑒𝑐𝑡𝑟𝑖𝑐𝑖𝑑𝑎𝑑, 𝑠𝑒𝑟𝑣𝑖𝑐𝑖𝑜 𝑑𝑒@ 𝑎𝑙𝑐𝑎𝑛𝑡𝑎𝑟𝑖𝑙𝑙𝑎𝑑𝑜, 𝑠𝑒𝑟𝑣𝑖𝑐𝑖𝑜 𝑑𝑒 𝑏𝑎𝑠𝑢𝑟𝑎 𝑦 𝑑𝑒𝑠𝑝𝑒𝑟𝑑𝑖𝑐𝑖𝑜𝑠 𝑠ó𝑙𝑖𝑑𝑜𝑠, @𝑠𝑒𝑟𝑣𝑖𝑐𝑖𝑜𝑠 𝑑𝑒 𝑡𝑟𝑎𝑛𝑠𝑝𝑜𝑟𝑡𝑒, 𝑠𝑒𝑟𝑣𝑖𝑐𝑖𝑜𝑠 𝑑𝑒 𝑎𝑑𝑚𝑖𝑛𝑖𝑠𝑡𝑟𝑎𝑐𝑖ó𝑛 𝑝ú𝑏𝑙𝑖𝑐𝑎, 𝑠𝑒𝑟𝑣𝑖𝑐𝑖𝑜𝑠 𝑑𝑒 𝑠𝑜𝑐𝑜𝑟𝑟𝑜@ 𝑦 𝑒𝑚𝑒𝑟𝑔𝑒𝑛𝑐𝑖𝑎, 𝑠𝑖𝑠𝑡. 𝑑𝑒 𝑡𝑒𝑐𝑛𝑜𝑙𝑜𝑔í𝑎 𝑑𝑒 𝑖𝑛𝑓𝑜𝑟𝑚𝑎𝑐𝑖ó𝑛 @𝑦 𝑐𝑜𝑚𝑢𝑛𝑖𝑐𝑎𝑐𝑖ó𝑛, 𝑠𝑢𝑚𝑖𝑛𝑖𝑠𝑡𝑟𝑜 𝑑𝑒 𝑎𝑔𝑢𝑎 𝑝𝑜𝑡𝑎𝑏𝑙𝑒), 𝑝𝑜𝑟 𝑑𝑒𝑠𝑎𝑠𝑡𝑟𝑒 𝑐𝑎𝑑𝑎 𝑎ñ𝑜 )</a:t>
              </a:r>
              <a:endParaRPr lang="es-CR" sz="1100"/>
            </a:p>
          </xdr:txBody>
        </xdr:sp>
      </mc:Fallback>
    </mc:AlternateContent>
    <xdr:clientData/>
  </xdr:oneCellAnchor>
</xdr:wsDr>
</file>

<file path=xl/drawings/drawing255.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2" name="CuadroTexto 1">
              <a:extLst>
                <a:ext uri="{FF2B5EF4-FFF2-40B4-BE49-F238E27FC236}">
                  <a16:creationId xmlns:a16="http://schemas.microsoft.com/office/drawing/2014/main" id="{DBEF8828-1C67-4C28-B761-210A891454F7}"/>
                </a:ext>
              </a:extLst>
            </xdr:cNvPr>
            <xdr:cNvSpPr txBox="1"/>
          </xdr:nvSpPr>
          <xdr:spPr>
            <a:xfrm>
              <a:off x="4321598" y="479795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3" name="CuadroTexto 2">
              <a:extLst>
                <a:ext uri="{FF2B5EF4-FFF2-40B4-BE49-F238E27FC236}">
                  <a16:creationId xmlns:a16="http://schemas.microsoft.com/office/drawing/2014/main" id="{C1BA3879-8CEB-45B7-BB82-47AA606783A1}"/>
                </a:ext>
              </a:extLst>
            </xdr:cNvPr>
            <xdr:cNvSpPr txBox="1"/>
          </xdr:nvSpPr>
          <xdr:spPr>
            <a:xfrm>
              <a:off x="4393566" y="530860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56.xml><?xml version="1.0" encoding="utf-8"?>
<xdr:wsDr xmlns:xdr="http://schemas.openxmlformats.org/drawingml/2006/spreadsheetDrawing" xmlns:a="http://schemas.openxmlformats.org/drawingml/2006/main">
  <xdr:twoCellAnchor>
    <xdr:from>
      <xdr:col>1</xdr:col>
      <xdr:colOff>1089660</xdr:colOff>
      <xdr:row>28</xdr:row>
      <xdr:rowOff>152400</xdr:rowOff>
    </xdr:from>
    <xdr:to>
      <xdr:col>9</xdr:col>
      <xdr:colOff>609600</xdr:colOff>
      <xdr:row>41</xdr:row>
      <xdr:rowOff>22860</xdr:rowOff>
    </xdr:to>
    <xdr:graphicFrame macro="">
      <xdr:nvGraphicFramePr>
        <xdr:cNvPr id="2" name="Gráfico 1">
          <a:extLst>
            <a:ext uri="{FF2B5EF4-FFF2-40B4-BE49-F238E27FC236}">
              <a16:creationId xmlns:a16="http://schemas.microsoft.com/office/drawing/2014/main" id="{87A2D3B3-91DC-4255-863F-77D1BE667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7.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BED8DD34-24B6-4C5E-90CA-572BE086B145}"/>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DD43E191-5058-4F74-927F-269E36C92BC8}"/>
                </a:ext>
              </a:extLst>
            </xdr:cNvPr>
            <xdr:cNvSpPr txBox="1"/>
          </xdr:nvSpPr>
          <xdr:spPr>
            <a:xfrm>
              <a:off x="4462938" y="6876573"/>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5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22</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A30FF764-4B7F-4CE0-B6A6-1739946B6FCE}"/>
            </a:ext>
          </a:extLst>
        </xdr:cNvPr>
        <xdr:cNvPicPr>
          <a:picLocks noChangeAspect="1"/>
        </xdr:cNvPicPr>
      </xdr:nvPicPr>
      <xdr:blipFill>
        <a:blip xmlns:r="http://schemas.openxmlformats.org/officeDocument/2006/relationships" r:embed="rId2"/>
        <a:stretch>
          <a:fillRect/>
        </a:stretch>
      </xdr:blipFill>
      <xdr:spPr>
        <a:xfrm>
          <a:off x="3875214" y="4008120"/>
          <a:ext cx="334575" cy="652997"/>
        </a:xfrm>
        <a:prstGeom prst="rect">
          <a:avLst/>
        </a:prstGeom>
      </xdr:spPr>
    </xdr:pic>
    <xdr:clientData/>
  </xdr:twoCellAnchor>
  <xdr:twoCellAnchor editAs="oneCell">
    <xdr:from>
      <xdr:col>4</xdr:col>
      <xdr:colOff>563880</xdr:colOff>
      <xdr:row>18</xdr:row>
      <xdr:rowOff>182881</xdr:rowOff>
    </xdr:from>
    <xdr:to>
      <xdr:col>10</xdr:col>
      <xdr:colOff>411480</xdr:colOff>
      <xdr:row>22</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E34409B5-3241-4B1A-A412-C17D84A4BE7F}"/>
            </a:ext>
          </a:extLst>
        </xdr:cNvPr>
        <xdr:cNvPicPr>
          <a:picLocks noChangeAspect="1"/>
        </xdr:cNvPicPr>
      </xdr:nvPicPr>
      <xdr:blipFill>
        <a:blip xmlns:r="http://schemas.openxmlformats.org/officeDocument/2006/relationships" r:embed="rId3"/>
        <a:stretch>
          <a:fillRect/>
        </a:stretch>
      </xdr:blipFill>
      <xdr:spPr>
        <a:xfrm>
          <a:off x="4343400" y="4008121"/>
          <a:ext cx="4709160" cy="72463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1472FA6-D8F0-436E-8AA1-D4A191A2D51A}"/>
            </a:ext>
          </a:extLst>
        </xdr:cNvPr>
        <xdr:cNvPicPr>
          <a:picLocks noChangeAspect="1"/>
        </xdr:cNvPicPr>
      </xdr:nvPicPr>
      <xdr:blipFill>
        <a:blip xmlns:r="http://schemas.openxmlformats.org/officeDocument/2006/relationships" r:embed="rId2"/>
        <a:stretch>
          <a:fillRect/>
        </a:stretch>
      </xdr:blipFill>
      <xdr:spPr>
        <a:xfrm>
          <a:off x="3768534" y="4815840"/>
          <a:ext cx="334575" cy="538697"/>
        </a:xfrm>
        <a:prstGeom prst="rect">
          <a:avLst/>
        </a:prstGeom>
      </xdr:spPr>
    </xdr:pic>
    <xdr:clientData/>
  </xdr:twoCellAnchor>
  <xdr:twoCellAnchor editAs="oneCell">
    <xdr:from>
      <xdr:col>4</xdr:col>
      <xdr:colOff>563880</xdr:colOff>
      <xdr:row>18</xdr:row>
      <xdr:rowOff>182881</xdr:rowOff>
    </xdr:from>
    <xdr:to>
      <xdr:col>10</xdr:col>
      <xdr:colOff>541020</xdr:colOff>
      <xdr:row>21</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5BF1D9D3-0614-4A6F-98A3-1EED4A5AFF77}"/>
            </a:ext>
          </a:extLst>
        </xdr:cNvPr>
        <xdr:cNvPicPr>
          <a:picLocks noChangeAspect="1"/>
        </xdr:cNvPicPr>
      </xdr:nvPicPr>
      <xdr:blipFill>
        <a:blip xmlns:r="http://schemas.openxmlformats.org/officeDocument/2006/relationships" r:embed="rId3"/>
        <a:stretch>
          <a:fillRect/>
        </a:stretch>
      </xdr:blipFill>
      <xdr:spPr>
        <a:xfrm>
          <a:off x="4236720" y="4762501"/>
          <a:ext cx="4709160" cy="6103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73A959F7-194B-426F-B329-E30778212BAA}"/>
                </a:ext>
              </a:extLst>
            </xdr:cNvPr>
            <xdr:cNvSpPr txBox="1"/>
          </xdr:nvSpPr>
          <xdr:spPr>
            <a:xfrm>
              <a:off x="3853474" y="1480298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60.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27722993-C864-49B4-9195-EED6FFB5A6FF}"/>
                </a:ext>
              </a:extLst>
            </xdr:cNvPr>
            <xdr:cNvSpPr txBox="1"/>
          </xdr:nvSpPr>
          <xdr:spPr>
            <a:xfrm>
              <a:off x="4399121" y="842057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3" name="CuadroTexto 2">
              <a:extLst>
                <a:ext uri="{FF2B5EF4-FFF2-40B4-BE49-F238E27FC236}">
                  <a16:creationId xmlns:a16="http://schemas.microsoft.com/office/drawing/2014/main" id="{02F68AE7-CF40-42DA-9CAE-6B495AB0B4CF}"/>
                </a:ext>
              </a:extLst>
            </xdr:cNvPr>
            <xdr:cNvSpPr txBox="1"/>
          </xdr:nvSpPr>
          <xdr:spPr>
            <a:xfrm>
              <a:off x="4314824" y="830335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61.xml><?xml version="1.0" encoding="utf-8"?>
<xdr:wsDr xmlns:xdr="http://schemas.openxmlformats.org/drawingml/2006/spreadsheetDrawing" xmlns:a="http://schemas.openxmlformats.org/drawingml/2006/main">
  <xdr:twoCellAnchor editAs="oneCell">
    <xdr:from>
      <xdr:col>0</xdr:col>
      <xdr:colOff>53340</xdr:colOff>
      <xdr:row>1</xdr:row>
      <xdr:rowOff>36830</xdr:rowOff>
    </xdr:from>
    <xdr:to>
      <xdr:col>1</xdr:col>
      <xdr:colOff>727287</xdr:colOff>
      <xdr:row>4</xdr:row>
      <xdr:rowOff>24977</xdr:rowOff>
    </xdr:to>
    <xdr:pic>
      <xdr:nvPicPr>
        <xdr:cNvPr id="2" name="Imagen 1">
          <a:extLst>
            <a:ext uri="{FF2B5EF4-FFF2-40B4-BE49-F238E27FC236}">
              <a16:creationId xmlns:a16="http://schemas.microsoft.com/office/drawing/2014/main" id="{F011BF86-E98E-41C9-9081-B5C48A263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273050"/>
          <a:ext cx="1466427" cy="1466427"/>
        </a:xfrm>
        <a:prstGeom prst="rect">
          <a:avLst/>
        </a:prstGeom>
        <a:ln w="28575">
          <a:solidFill>
            <a:schemeClr val="bg1"/>
          </a:solidFill>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FA99DF71-2676-44F7-B165-196A95756C56}"/>
            </a:ext>
          </a:extLst>
        </xdr:cNvPr>
        <xdr:cNvPicPr>
          <a:picLocks noChangeAspect="1"/>
        </xdr:cNvPicPr>
      </xdr:nvPicPr>
      <xdr:blipFill>
        <a:blip xmlns:r="http://schemas.openxmlformats.org/officeDocument/2006/relationships" r:embed="rId2"/>
        <a:stretch>
          <a:fillRect/>
        </a:stretch>
      </xdr:blipFill>
      <xdr:spPr>
        <a:xfrm>
          <a:off x="3989514" y="4084320"/>
          <a:ext cx="334575" cy="538697"/>
        </a:xfrm>
        <a:prstGeom prst="rect">
          <a:avLst/>
        </a:prstGeom>
      </xdr:spPr>
    </xdr:pic>
    <xdr:clientData/>
  </xdr:twoCellAnchor>
  <xdr:twoCellAnchor editAs="oneCell">
    <xdr:from>
      <xdr:col>4</xdr:col>
      <xdr:colOff>609600</xdr:colOff>
      <xdr:row>17</xdr:row>
      <xdr:rowOff>182881</xdr:rowOff>
    </xdr:from>
    <xdr:to>
      <xdr:col>10</xdr:col>
      <xdr:colOff>541020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1392309-B810-4167-A825-CDFBC5F47801}"/>
            </a:ext>
          </a:extLst>
        </xdr:cNvPr>
        <xdr:cNvPicPr>
          <a:picLocks noChangeAspect="1"/>
        </xdr:cNvPicPr>
      </xdr:nvPicPr>
      <xdr:blipFill>
        <a:blip xmlns:r="http://schemas.openxmlformats.org/officeDocument/2006/relationships" r:embed="rId3"/>
        <a:stretch>
          <a:fillRect/>
        </a:stretch>
      </xdr:blipFill>
      <xdr:spPr>
        <a:xfrm>
          <a:off x="4503420" y="4046221"/>
          <a:ext cx="4709160" cy="610336"/>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xdr:from>
      <xdr:col>7</xdr:col>
      <xdr:colOff>714869</xdr:colOff>
      <xdr:row>10</xdr:row>
      <xdr:rowOff>77047</xdr:rowOff>
    </xdr:from>
    <xdr:to>
      <xdr:col>13</xdr:col>
      <xdr:colOff>540594</xdr:colOff>
      <xdr:row>21</xdr:row>
      <xdr:rowOff>22861</xdr:rowOff>
    </xdr:to>
    <xdr:graphicFrame macro="">
      <xdr:nvGraphicFramePr>
        <xdr:cNvPr id="2" name="Gráfico 1">
          <a:extLst>
            <a:ext uri="{FF2B5EF4-FFF2-40B4-BE49-F238E27FC236}">
              <a16:creationId xmlns:a16="http://schemas.microsoft.com/office/drawing/2014/main" id="{CBCD6429-8725-494F-9B88-CC7B33A93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29</xdr:row>
      <xdr:rowOff>42335</xdr:rowOff>
    </xdr:from>
    <xdr:to>
      <xdr:col>6</xdr:col>
      <xdr:colOff>635000</xdr:colOff>
      <xdr:row>43</xdr:row>
      <xdr:rowOff>119945</xdr:rowOff>
    </xdr:to>
    <xdr:graphicFrame macro="">
      <xdr:nvGraphicFramePr>
        <xdr:cNvPr id="3" name="Gráfico 2">
          <a:extLst>
            <a:ext uri="{FF2B5EF4-FFF2-40B4-BE49-F238E27FC236}">
              <a16:creationId xmlns:a16="http://schemas.microsoft.com/office/drawing/2014/main" id="{EC7BE068-C076-4124-9A3C-69D5AB14F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29</xdr:row>
      <xdr:rowOff>63502</xdr:rowOff>
    </xdr:from>
    <xdr:to>
      <xdr:col>13</xdr:col>
      <xdr:colOff>261054</xdr:colOff>
      <xdr:row>43</xdr:row>
      <xdr:rowOff>49389</xdr:rowOff>
    </xdr:to>
    <xdr:graphicFrame macro="">
      <xdr:nvGraphicFramePr>
        <xdr:cNvPr id="4" name="Gráfico 3">
          <a:extLst>
            <a:ext uri="{FF2B5EF4-FFF2-40B4-BE49-F238E27FC236}">
              <a16:creationId xmlns:a16="http://schemas.microsoft.com/office/drawing/2014/main" id="{C1A3F6D3-6D2A-44F1-B8B8-2EBFDF433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4.xml><?xml version="1.0" encoding="utf-8"?>
<xdr:wsDr xmlns:xdr="http://schemas.openxmlformats.org/drawingml/2006/spreadsheetDrawing" xmlns:a="http://schemas.openxmlformats.org/drawingml/2006/main">
  <xdr:twoCellAnchor editAs="oneCell">
    <xdr:from>
      <xdr:col>4</xdr:col>
      <xdr:colOff>95694</xdr:colOff>
      <xdr:row>17</xdr:row>
      <xdr:rowOff>0</xdr:rowOff>
    </xdr:from>
    <xdr:to>
      <xdr:col>4</xdr:col>
      <xdr:colOff>430269</xdr:colOff>
      <xdr:row>19</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EA81E96A-65BC-4DFF-B2C6-BA322EC52635}"/>
            </a:ext>
          </a:extLst>
        </xdr:cNvPr>
        <xdr:cNvPicPr>
          <a:picLocks noChangeAspect="1"/>
        </xdr:cNvPicPr>
      </xdr:nvPicPr>
      <xdr:blipFill>
        <a:blip xmlns:r="http://schemas.openxmlformats.org/officeDocument/2006/relationships" r:embed="rId2"/>
        <a:stretch>
          <a:fillRect/>
        </a:stretch>
      </xdr:blipFill>
      <xdr:spPr>
        <a:xfrm>
          <a:off x="3799014" y="4244340"/>
          <a:ext cx="334575" cy="538697"/>
        </a:xfrm>
        <a:prstGeom prst="rect">
          <a:avLst/>
        </a:prstGeom>
      </xdr:spPr>
    </xdr:pic>
    <xdr:clientData/>
  </xdr:twoCellAnchor>
  <xdr:twoCellAnchor editAs="oneCell">
    <xdr:from>
      <xdr:col>4</xdr:col>
      <xdr:colOff>525780</xdr:colOff>
      <xdr:row>16</xdr:row>
      <xdr:rowOff>220981</xdr:rowOff>
    </xdr:from>
    <xdr:to>
      <xdr:col>10</xdr:col>
      <xdr:colOff>487680</xdr:colOff>
      <xdr:row>19</xdr:row>
      <xdr:rowOff>122657</xdr:rowOff>
    </xdr:to>
    <xdr:pic>
      <xdr:nvPicPr>
        <xdr:cNvPr id="3" name="Imagen 2">
          <a:hlinkClick xmlns:r="http://schemas.openxmlformats.org/officeDocument/2006/relationships" r:id="rId1"/>
          <a:extLst>
            <a:ext uri="{FF2B5EF4-FFF2-40B4-BE49-F238E27FC236}">
              <a16:creationId xmlns:a16="http://schemas.microsoft.com/office/drawing/2014/main" id="{DB201655-699E-4085-82BF-0A05D8B3159E}"/>
            </a:ext>
          </a:extLst>
        </xdr:cNvPr>
        <xdr:cNvPicPr>
          <a:picLocks noChangeAspect="1"/>
        </xdr:cNvPicPr>
      </xdr:nvPicPr>
      <xdr:blipFill>
        <a:blip xmlns:r="http://schemas.openxmlformats.org/officeDocument/2006/relationships" r:embed="rId3"/>
        <a:stretch>
          <a:fillRect/>
        </a:stretch>
      </xdr:blipFill>
      <xdr:spPr>
        <a:xfrm>
          <a:off x="4229100" y="4229101"/>
          <a:ext cx="4709160" cy="610336"/>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xdr:from>
      <xdr:col>7</xdr:col>
      <xdr:colOff>38100</xdr:colOff>
      <xdr:row>10</xdr:row>
      <xdr:rowOff>22860</xdr:rowOff>
    </xdr:from>
    <xdr:to>
      <xdr:col>12</xdr:col>
      <xdr:colOff>15240</xdr:colOff>
      <xdr:row>19</xdr:row>
      <xdr:rowOff>91440</xdr:rowOff>
    </xdr:to>
    <xdr:graphicFrame macro="">
      <xdr:nvGraphicFramePr>
        <xdr:cNvPr id="2" name="Gráfico 1">
          <a:extLst>
            <a:ext uri="{FF2B5EF4-FFF2-40B4-BE49-F238E27FC236}">
              <a16:creationId xmlns:a16="http://schemas.microsoft.com/office/drawing/2014/main" id="{BD2129E8-9FD1-4D54-A044-C9D88A36E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twoCellAnchor>
    <xdr:from>
      <xdr:col>18</xdr:col>
      <xdr:colOff>738049</xdr:colOff>
      <xdr:row>10</xdr:row>
      <xdr:rowOff>121920</xdr:rowOff>
    </xdr:from>
    <xdr:to>
      <xdr:col>28</xdr:col>
      <xdr:colOff>593633</xdr:colOff>
      <xdr:row>24</xdr:row>
      <xdr:rowOff>251551</xdr:rowOff>
    </xdr:to>
    <xdr:graphicFrame macro="">
      <xdr:nvGraphicFramePr>
        <xdr:cNvPr id="2" name="2 Gráfico">
          <a:extLst>
            <a:ext uri="{FF2B5EF4-FFF2-40B4-BE49-F238E27FC236}">
              <a16:creationId xmlns:a16="http://schemas.microsoft.com/office/drawing/2014/main" id="{EB78912D-AD2D-40BF-8DEF-01D29D57D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7.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3B750E73-6C59-434D-B475-3A48182E538E}"/>
                </a:ext>
              </a:extLst>
            </xdr:cNvPr>
            <xdr:cNvSpPr txBox="1"/>
          </xdr:nvSpPr>
          <xdr:spPr>
            <a:xfrm>
              <a:off x="5064442" y="7024369"/>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EBFAA2CF-1323-4C9C-92B2-36B393ECCC91}"/>
                </a:ext>
              </a:extLst>
            </xdr:cNvPr>
            <xdr:cNvSpPr txBox="1"/>
          </xdr:nvSpPr>
          <xdr:spPr>
            <a:xfrm>
              <a:off x="5059997" y="7291493"/>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68.xml><?xml version="1.0" encoding="utf-8"?>
<xdr:wsDr xmlns:xdr="http://schemas.openxmlformats.org/drawingml/2006/spreadsheetDrawing" xmlns:a="http://schemas.openxmlformats.org/drawingml/2006/main">
  <xdr:twoCellAnchor>
    <xdr:from>
      <xdr:col>7</xdr:col>
      <xdr:colOff>104775</xdr:colOff>
      <xdr:row>10</xdr:row>
      <xdr:rowOff>57150</xdr:rowOff>
    </xdr:from>
    <xdr:to>
      <xdr:col>13</xdr:col>
      <xdr:colOff>104775</xdr:colOff>
      <xdr:row>24</xdr:row>
      <xdr:rowOff>104775</xdr:rowOff>
    </xdr:to>
    <xdr:graphicFrame macro="">
      <xdr:nvGraphicFramePr>
        <xdr:cNvPr id="2" name="2 Gráfico">
          <a:extLst>
            <a:ext uri="{FF2B5EF4-FFF2-40B4-BE49-F238E27FC236}">
              <a16:creationId xmlns:a16="http://schemas.microsoft.com/office/drawing/2014/main" id="{C3706ECA-C09F-47A8-A4C4-BEB23A0E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9.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EC1E9437-C66D-45C2-9A67-0B9F29154E94}"/>
                </a:ext>
              </a:extLst>
            </xdr:cNvPr>
            <xdr:cNvSpPr txBox="1"/>
          </xdr:nvSpPr>
          <xdr:spPr>
            <a:xfrm>
              <a:off x="4069079" y="536624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xdr:from>
      <xdr:col>8</xdr:col>
      <xdr:colOff>52070</xdr:colOff>
      <xdr:row>9</xdr:row>
      <xdr:rowOff>95885</xdr:rowOff>
    </xdr:from>
    <xdr:to>
      <xdr:col>13</xdr:col>
      <xdr:colOff>522605</xdr:colOff>
      <xdr:row>20</xdr:row>
      <xdr:rowOff>144780</xdr:rowOff>
    </xdr:to>
    <xdr:graphicFrame macro="">
      <xdr:nvGraphicFramePr>
        <xdr:cNvPr id="2" name="1 Gráfico">
          <a:extLst>
            <a:ext uri="{FF2B5EF4-FFF2-40B4-BE49-F238E27FC236}">
              <a16:creationId xmlns:a16="http://schemas.microsoft.com/office/drawing/2014/main" id="{CECF5919-A665-42AA-944C-C2BB1C80F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0.xml><?xml version="1.0" encoding="utf-8"?>
<xdr:wsDr xmlns:xdr="http://schemas.openxmlformats.org/drawingml/2006/spreadsheetDrawing" xmlns:a="http://schemas.openxmlformats.org/drawingml/2006/main">
  <xdr:twoCellAnchor editAs="oneCell">
    <xdr:from>
      <xdr:col>9</xdr:col>
      <xdr:colOff>230506</xdr:colOff>
      <xdr:row>7</xdr:row>
      <xdr:rowOff>80011</xdr:rowOff>
    </xdr:from>
    <xdr:to>
      <xdr:col>11</xdr:col>
      <xdr:colOff>335280</xdr:colOff>
      <xdr:row>19</xdr:row>
      <xdr:rowOff>99695</xdr:rowOff>
    </xdr:to>
    <xdr:pic>
      <xdr:nvPicPr>
        <xdr:cNvPr id="2" name="Imagen 1">
          <a:extLst>
            <a:ext uri="{FF2B5EF4-FFF2-40B4-BE49-F238E27FC236}">
              <a16:creationId xmlns:a16="http://schemas.microsoft.com/office/drawing/2014/main" id="{1DB8C9F8-AFDF-4460-84F4-5815B9FB2C18}"/>
            </a:ext>
          </a:extLst>
        </xdr:cNvPr>
        <xdr:cNvPicPr>
          <a:picLocks noChangeAspect="1"/>
        </xdr:cNvPicPr>
      </xdr:nvPicPr>
      <xdr:blipFill rotWithShape="1">
        <a:blip xmlns:r="http://schemas.openxmlformats.org/officeDocument/2006/relationships" r:embed="rId1"/>
        <a:srcRect r="2593" b="1262"/>
        <a:stretch/>
      </xdr:blipFill>
      <xdr:spPr>
        <a:xfrm>
          <a:off x="8261986" y="1649731"/>
          <a:ext cx="1674494" cy="25266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656135</xdr:colOff>
      <xdr:row>7</xdr:row>
      <xdr:rowOff>15241</xdr:rowOff>
    </xdr:from>
    <xdr:to>
      <xdr:col>14</xdr:col>
      <xdr:colOff>220981</xdr:colOff>
      <xdr:row>15</xdr:row>
      <xdr:rowOff>182881</xdr:rowOff>
    </xdr:to>
    <xdr:pic>
      <xdr:nvPicPr>
        <xdr:cNvPr id="3" name="Imagen 2" descr="image002">
          <a:extLst>
            <a:ext uri="{FF2B5EF4-FFF2-40B4-BE49-F238E27FC236}">
              <a16:creationId xmlns:a16="http://schemas.microsoft.com/office/drawing/2014/main" id="{D7D9B809-5C83-457A-B226-28D3399E4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7335" y="1584961"/>
          <a:ext cx="1919426"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68580</xdr:colOff>
      <xdr:row>1</xdr:row>
      <xdr:rowOff>52070</xdr:rowOff>
    </xdr:from>
    <xdr:to>
      <xdr:col>1</xdr:col>
      <xdr:colOff>742527</xdr:colOff>
      <xdr:row>4</xdr:row>
      <xdr:rowOff>9737</xdr:rowOff>
    </xdr:to>
    <xdr:pic>
      <xdr:nvPicPr>
        <xdr:cNvPr id="2" name="Imagen 1">
          <a:extLst>
            <a:ext uri="{FF2B5EF4-FFF2-40B4-BE49-F238E27FC236}">
              <a16:creationId xmlns:a16="http://schemas.microsoft.com/office/drawing/2014/main" id="{C2A37522-AAA5-404D-8F63-B45C19472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8290"/>
          <a:ext cx="1466427" cy="1466427"/>
        </a:xfrm>
        <a:prstGeom prst="rect">
          <a:avLst/>
        </a:prstGeom>
        <a:ln w="28575">
          <a:solidFill>
            <a:schemeClr val="bg1"/>
          </a:solidFill>
        </a:ln>
      </xdr:spPr>
    </xdr:pic>
    <xdr:clientData/>
  </xdr:twoCellAnchor>
</xdr:wsDr>
</file>

<file path=xl/drawings/drawing272.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8995282E-78AE-424C-9EE4-8CD1212EEF29}"/>
                </a:ext>
              </a:extLst>
            </xdr:cNvPr>
            <xdr:cNvSpPr txBox="1"/>
          </xdr:nvSpPr>
          <xdr:spPr>
            <a:xfrm>
              <a:off x="4341495" y="9398794"/>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D2095750-6925-424D-B1B0-2FB22F13740C}"/>
                </a:ext>
              </a:extLst>
            </xdr:cNvPr>
            <xdr:cNvSpPr txBox="1"/>
          </xdr:nvSpPr>
          <xdr:spPr>
            <a:xfrm>
              <a:off x="4277678" y="931163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73.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0B4305CA-1150-4792-BEE3-BE22825281DC}"/>
            </a:ext>
          </a:extLst>
        </xdr:cNvPr>
        <xdr:cNvPicPr>
          <a:picLocks noChangeAspect="1"/>
        </xdr:cNvPicPr>
      </xdr:nvPicPr>
      <xdr:blipFill>
        <a:blip xmlns:r="http://schemas.openxmlformats.org/officeDocument/2006/relationships" r:embed="rId2"/>
        <a:stretch>
          <a:fillRect/>
        </a:stretch>
      </xdr:blipFill>
      <xdr:spPr>
        <a:xfrm>
          <a:off x="4012374" y="4351020"/>
          <a:ext cx="334575" cy="538697"/>
        </a:xfrm>
        <a:prstGeom prst="rect">
          <a:avLst/>
        </a:prstGeom>
      </xdr:spPr>
    </xdr:pic>
    <xdr:clientData/>
  </xdr:twoCellAnchor>
  <xdr:twoCellAnchor editAs="oneCell">
    <xdr:from>
      <xdr:col>4</xdr:col>
      <xdr:colOff>563880</xdr:colOff>
      <xdr:row>18</xdr:row>
      <xdr:rowOff>182881</xdr:rowOff>
    </xdr:from>
    <xdr:to>
      <xdr:col>10</xdr:col>
      <xdr:colOff>449580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8DB287F-466A-45B0-8AE8-5E93D552A464}"/>
            </a:ext>
          </a:extLst>
        </xdr:cNvPr>
        <xdr:cNvPicPr>
          <a:picLocks noChangeAspect="1"/>
        </xdr:cNvPicPr>
      </xdr:nvPicPr>
      <xdr:blipFill>
        <a:blip xmlns:r="http://schemas.openxmlformats.org/officeDocument/2006/relationships" r:embed="rId3"/>
        <a:stretch>
          <a:fillRect/>
        </a:stretch>
      </xdr:blipFill>
      <xdr:spPr>
        <a:xfrm>
          <a:off x="4480560" y="4312921"/>
          <a:ext cx="4709160" cy="610336"/>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xdr:from>
      <xdr:col>2</xdr:col>
      <xdr:colOff>33337</xdr:colOff>
      <xdr:row>28</xdr:row>
      <xdr:rowOff>71437</xdr:rowOff>
    </xdr:from>
    <xdr:to>
      <xdr:col>10</xdr:col>
      <xdr:colOff>23812</xdr:colOff>
      <xdr:row>47</xdr:row>
      <xdr:rowOff>100012</xdr:rowOff>
    </xdr:to>
    <xdr:graphicFrame macro="">
      <xdr:nvGraphicFramePr>
        <xdr:cNvPr id="2" name="Gráfico 1">
          <a:extLst>
            <a:ext uri="{FF2B5EF4-FFF2-40B4-BE49-F238E27FC236}">
              <a16:creationId xmlns:a16="http://schemas.microsoft.com/office/drawing/2014/main" id="{8D6AF06A-9AA7-4406-B3E5-68C6463F6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5.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40E1A6EB-CD5C-4757-9EC8-6C21D06160FD}"/>
                </a:ext>
              </a:extLst>
            </xdr:cNvPr>
            <xdr:cNvSpPr txBox="1"/>
          </xdr:nvSpPr>
          <xdr:spPr>
            <a:xfrm>
              <a:off x="4670106" y="6846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76.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B24BE44-3A97-4249-82A2-7515BDC1F0F3}"/>
            </a:ext>
          </a:extLst>
        </xdr:cNvPr>
        <xdr:cNvPicPr>
          <a:picLocks noChangeAspect="1"/>
        </xdr:cNvPicPr>
      </xdr:nvPicPr>
      <xdr:blipFill>
        <a:blip xmlns:r="http://schemas.openxmlformats.org/officeDocument/2006/relationships" r:embed="rId2"/>
        <a:stretch>
          <a:fillRect/>
        </a:stretch>
      </xdr:blipFill>
      <xdr:spPr>
        <a:xfrm>
          <a:off x="3799014" y="2705100"/>
          <a:ext cx="334575" cy="538697"/>
        </a:xfrm>
        <a:prstGeom prst="rect">
          <a:avLst/>
        </a:prstGeom>
      </xdr:spPr>
    </xdr:pic>
    <xdr:clientData/>
  </xdr:twoCellAnchor>
  <xdr:twoCellAnchor editAs="oneCell">
    <xdr:from>
      <xdr:col>4</xdr:col>
      <xdr:colOff>563880</xdr:colOff>
      <xdr:row>11</xdr:row>
      <xdr:rowOff>182881</xdr:rowOff>
    </xdr:from>
    <xdr:to>
      <xdr:col>10</xdr:col>
      <xdr:colOff>487680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C946C9E-A71F-4D2D-82AC-20DC096A969A}"/>
            </a:ext>
          </a:extLst>
        </xdr:cNvPr>
        <xdr:cNvPicPr>
          <a:picLocks noChangeAspect="1"/>
        </xdr:cNvPicPr>
      </xdr:nvPicPr>
      <xdr:blipFill>
        <a:blip xmlns:r="http://schemas.openxmlformats.org/officeDocument/2006/relationships" r:embed="rId3"/>
        <a:stretch>
          <a:fillRect/>
        </a:stretch>
      </xdr:blipFill>
      <xdr:spPr>
        <a:xfrm>
          <a:off x="4267200" y="2667001"/>
          <a:ext cx="4709160" cy="610336"/>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29152B67-9D41-43E3-91BE-F5ED4A67F831}"/>
                </a:ext>
              </a:extLst>
            </xdr:cNvPr>
            <xdr:cNvSpPr txBox="1"/>
          </xdr:nvSpPr>
          <xdr:spPr>
            <a:xfrm>
              <a:off x="5963602" y="6620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354F0753-775D-45E7-96A3-7B2D59F7397A}"/>
                </a:ext>
              </a:extLst>
            </xdr:cNvPr>
            <xdr:cNvSpPr txBox="1"/>
          </xdr:nvSpPr>
          <xdr:spPr>
            <a:xfrm>
              <a:off x="5936456" y="684990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7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E69D8AE-77C6-4364-82C9-24FF3958FF3E}"/>
            </a:ext>
          </a:extLst>
        </xdr:cNvPr>
        <xdr:cNvPicPr>
          <a:picLocks noChangeAspect="1"/>
        </xdr:cNvPicPr>
      </xdr:nvPicPr>
      <xdr:blipFill>
        <a:blip xmlns:r="http://schemas.openxmlformats.org/officeDocument/2006/relationships" r:embed="rId2"/>
        <a:stretch>
          <a:fillRect/>
        </a:stretch>
      </xdr:blipFill>
      <xdr:spPr>
        <a:xfrm>
          <a:off x="3936174" y="4632960"/>
          <a:ext cx="334575" cy="538697"/>
        </a:xfrm>
        <a:prstGeom prst="rect">
          <a:avLst/>
        </a:prstGeom>
      </xdr:spPr>
    </xdr:pic>
    <xdr:clientData/>
  </xdr:twoCellAnchor>
  <xdr:twoCellAnchor editAs="oneCell">
    <xdr:from>
      <xdr:col>4</xdr:col>
      <xdr:colOff>563880</xdr:colOff>
      <xdr:row>18</xdr:row>
      <xdr:rowOff>182881</xdr:rowOff>
    </xdr:from>
    <xdr:to>
      <xdr:col>10</xdr:col>
      <xdr:colOff>518160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07DF3153-BA1A-4693-8E2E-2BEE3AC919F3}"/>
            </a:ext>
          </a:extLst>
        </xdr:cNvPr>
        <xdr:cNvPicPr>
          <a:picLocks noChangeAspect="1"/>
        </xdr:cNvPicPr>
      </xdr:nvPicPr>
      <xdr:blipFill>
        <a:blip xmlns:r="http://schemas.openxmlformats.org/officeDocument/2006/relationships" r:embed="rId3"/>
        <a:stretch>
          <a:fillRect/>
        </a:stretch>
      </xdr:blipFill>
      <xdr:spPr>
        <a:xfrm>
          <a:off x="4404360" y="4594861"/>
          <a:ext cx="4709160" cy="610336"/>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2DA33B7-5301-4F86-BE9B-CE832EF8D6D7}"/>
            </a:ext>
          </a:extLst>
        </xdr:cNvPr>
        <xdr:cNvPicPr>
          <a:picLocks noChangeAspect="1"/>
        </xdr:cNvPicPr>
      </xdr:nvPicPr>
      <xdr:blipFill>
        <a:blip xmlns:r="http://schemas.openxmlformats.org/officeDocument/2006/relationships" r:embed="rId2"/>
        <a:stretch>
          <a:fillRect/>
        </a:stretch>
      </xdr:blipFill>
      <xdr:spPr>
        <a:xfrm>
          <a:off x="3875214" y="2979420"/>
          <a:ext cx="334575" cy="538697"/>
        </a:xfrm>
        <a:prstGeom prst="rect">
          <a:avLst/>
        </a:prstGeom>
      </xdr:spPr>
    </xdr:pic>
    <xdr:clientData/>
  </xdr:twoCellAnchor>
  <xdr:twoCellAnchor editAs="oneCell">
    <xdr:from>
      <xdr:col>4</xdr:col>
      <xdr:colOff>563880</xdr:colOff>
      <xdr:row>11</xdr:row>
      <xdr:rowOff>182881</xdr:rowOff>
    </xdr:from>
    <xdr:to>
      <xdr:col>10</xdr:col>
      <xdr:colOff>701040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B427F62-0958-45B8-A950-A904AF43BB40}"/>
            </a:ext>
          </a:extLst>
        </xdr:cNvPr>
        <xdr:cNvPicPr>
          <a:picLocks noChangeAspect="1"/>
        </xdr:cNvPicPr>
      </xdr:nvPicPr>
      <xdr:blipFill>
        <a:blip xmlns:r="http://schemas.openxmlformats.org/officeDocument/2006/relationships" r:embed="rId3"/>
        <a:stretch>
          <a:fillRect/>
        </a:stretch>
      </xdr:blipFill>
      <xdr:spPr>
        <a:xfrm>
          <a:off x="4343400" y="2941321"/>
          <a:ext cx="4709160" cy="61033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8DB1D8C-BF44-4A18-9C9D-E4C53EDC6A1B}"/>
                </a:ext>
              </a:extLst>
            </xdr:cNvPr>
            <xdr:cNvSpPr txBox="1"/>
          </xdr:nvSpPr>
          <xdr:spPr>
            <a:xfrm>
              <a:off x="15828236" y="67818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76909FD1-E2E2-44AE-AF4F-646C5F1A1466}"/>
                </a:ext>
              </a:extLst>
            </xdr:cNvPr>
            <xdr:cNvSpPr txBox="1"/>
          </xdr:nvSpPr>
          <xdr:spPr>
            <a:xfrm>
              <a:off x="25955216" y="67818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4" name="CuadroTexto 3">
              <a:extLst>
                <a:ext uri="{FF2B5EF4-FFF2-40B4-BE49-F238E27FC236}">
                  <a16:creationId xmlns:a16="http://schemas.microsoft.com/office/drawing/2014/main" id="{45FC3376-AAB1-41A9-8B7F-421AE1021B3F}"/>
                </a:ext>
              </a:extLst>
            </xdr:cNvPr>
            <xdr:cNvSpPr txBox="1"/>
          </xdr:nvSpPr>
          <xdr:spPr>
            <a:xfrm>
              <a:off x="4230596" y="636460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80.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9737</xdr:rowOff>
    </xdr:to>
    <xdr:pic>
      <xdr:nvPicPr>
        <xdr:cNvPr id="2" name="Imagen 1">
          <a:extLst>
            <a:ext uri="{FF2B5EF4-FFF2-40B4-BE49-F238E27FC236}">
              <a16:creationId xmlns:a16="http://schemas.microsoft.com/office/drawing/2014/main" id="{C01DD85C-F815-49C2-9947-074F14C70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9231EC2C-059E-4797-82CE-5FD4C5ACECB4}"/>
            </a:ext>
          </a:extLst>
        </xdr:cNvPr>
        <xdr:cNvPicPr>
          <a:picLocks noChangeAspect="1"/>
        </xdr:cNvPicPr>
      </xdr:nvPicPr>
      <xdr:blipFill>
        <a:blip xmlns:r="http://schemas.openxmlformats.org/officeDocument/2006/relationships" r:embed="rId2"/>
        <a:stretch>
          <a:fillRect/>
        </a:stretch>
      </xdr:blipFill>
      <xdr:spPr>
        <a:xfrm>
          <a:off x="5566854" y="2933700"/>
          <a:ext cx="334575" cy="538697"/>
        </a:xfrm>
        <a:prstGeom prst="rect">
          <a:avLst/>
        </a:prstGeom>
      </xdr:spPr>
    </xdr:pic>
    <xdr:clientData/>
  </xdr:twoCellAnchor>
  <xdr:twoCellAnchor editAs="oneCell">
    <xdr:from>
      <xdr:col>6</xdr:col>
      <xdr:colOff>563880</xdr:colOff>
      <xdr:row>11</xdr:row>
      <xdr:rowOff>182881</xdr:rowOff>
    </xdr:from>
    <xdr:to>
      <xdr:col>12</xdr:col>
      <xdr:colOff>403860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CB69319-3349-4387-87DB-87C20EE0A656}"/>
            </a:ext>
          </a:extLst>
        </xdr:cNvPr>
        <xdr:cNvPicPr>
          <a:picLocks noChangeAspect="1"/>
        </xdr:cNvPicPr>
      </xdr:nvPicPr>
      <xdr:blipFill>
        <a:blip xmlns:r="http://schemas.openxmlformats.org/officeDocument/2006/relationships" r:embed="rId3"/>
        <a:stretch>
          <a:fillRect/>
        </a:stretch>
      </xdr:blipFill>
      <xdr:spPr>
        <a:xfrm>
          <a:off x="6035040" y="2895601"/>
          <a:ext cx="4709160" cy="610336"/>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xdr:from>
      <xdr:col>14</xdr:col>
      <xdr:colOff>548640</xdr:colOff>
      <xdr:row>33</xdr:row>
      <xdr:rowOff>15240</xdr:rowOff>
    </xdr:from>
    <xdr:to>
      <xdr:col>21</xdr:col>
      <xdr:colOff>678179</xdr:colOff>
      <xdr:row>48</xdr:row>
      <xdr:rowOff>121920</xdr:rowOff>
    </xdr:to>
    <xdr:graphicFrame macro="">
      <xdr:nvGraphicFramePr>
        <xdr:cNvPr id="2" name="Gráfico 1">
          <a:extLst>
            <a:ext uri="{FF2B5EF4-FFF2-40B4-BE49-F238E27FC236}">
              <a16:creationId xmlns:a16="http://schemas.microsoft.com/office/drawing/2014/main" id="{A9AE6FC3-9E90-4F0E-8AE3-8E487337B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414482</xdr:colOff>
      <xdr:row>50</xdr:row>
      <xdr:rowOff>320964</xdr:rowOff>
    </xdr:from>
    <xdr:to>
      <xdr:col>24</xdr:col>
      <xdr:colOff>378893</xdr:colOff>
      <xdr:row>86</xdr:row>
      <xdr:rowOff>87934</xdr:rowOff>
    </xdr:to>
    <xdr:pic>
      <xdr:nvPicPr>
        <xdr:cNvPr id="3" name="Imagen 2">
          <a:extLst>
            <a:ext uri="{FF2B5EF4-FFF2-40B4-BE49-F238E27FC236}">
              <a16:creationId xmlns:a16="http://schemas.microsoft.com/office/drawing/2014/main" id="{13A51267-93AF-4763-A843-F1AD224BB637}"/>
            </a:ext>
          </a:extLst>
        </xdr:cNvPr>
        <xdr:cNvPicPr>
          <a:picLocks noChangeAspect="1"/>
        </xdr:cNvPicPr>
      </xdr:nvPicPr>
      <xdr:blipFill>
        <a:blip xmlns:r="http://schemas.openxmlformats.org/officeDocument/2006/relationships" r:embed="rId2"/>
        <a:stretch>
          <a:fillRect/>
        </a:stretch>
      </xdr:blipFill>
      <xdr:spPr>
        <a:xfrm>
          <a:off x="10610042" y="13168284"/>
          <a:ext cx="7813011" cy="8903350"/>
        </a:xfrm>
        <a:prstGeom prst="rect">
          <a:avLst/>
        </a:prstGeom>
      </xdr:spPr>
    </xdr:pic>
    <xdr:clientData/>
  </xdr:twoCellAnchor>
  <xdr:twoCellAnchor editAs="oneCell">
    <xdr:from>
      <xdr:col>21</xdr:col>
      <xdr:colOff>252152</xdr:colOff>
      <xdr:row>7</xdr:row>
      <xdr:rowOff>9005</xdr:rowOff>
    </xdr:from>
    <xdr:to>
      <xdr:col>29</xdr:col>
      <xdr:colOff>640667</xdr:colOff>
      <xdr:row>25</xdr:row>
      <xdr:rowOff>169028</xdr:rowOff>
    </xdr:to>
    <xdr:pic>
      <xdr:nvPicPr>
        <xdr:cNvPr id="4" name="Imagen 3">
          <a:extLst>
            <a:ext uri="{FF2B5EF4-FFF2-40B4-BE49-F238E27FC236}">
              <a16:creationId xmlns:a16="http://schemas.microsoft.com/office/drawing/2014/main" id="{6D3C794E-7D0C-4FCE-A0D1-37D1524954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41732" y="2310245"/>
          <a:ext cx="6667395" cy="4579623"/>
        </a:xfrm>
        <a:prstGeom prst="rect">
          <a:avLst/>
        </a:prstGeom>
      </xdr:spPr>
    </xdr:pic>
    <xdr:clientData/>
  </xdr:twoCellAnchor>
  <xdr:twoCellAnchor>
    <xdr:from>
      <xdr:col>14</xdr:col>
      <xdr:colOff>3810</xdr:colOff>
      <xdr:row>10</xdr:row>
      <xdr:rowOff>81915</xdr:rowOff>
    </xdr:from>
    <xdr:to>
      <xdr:col>19</xdr:col>
      <xdr:colOff>441960</xdr:colOff>
      <xdr:row>25</xdr:row>
      <xdr:rowOff>30480</xdr:rowOff>
    </xdr:to>
    <xdr:graphicFrame macro="">
      <xdr:nvGraphicFramePr>
        <xdr:cNvPr id="5" name="Gráfico 4">
          <a:extLst>
            <a:ext uri="{FF2B5EF4-FFF2-40B4-BE49-F238E27FC236}">
              <a16:creationId xmlns:a16="http://schemas.microsoft.com/office/drawing/2014/main" id="{061C358F-AFA4-404B-A351-FA55E7562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3.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3AF7DF4B-ADE7-402E-A923-1D822B51BBB5}"/>
                </a:ext>
              </a:extLst>
            </xdr:cNvPr>
            <xdr:cNvSpPr txBox="1"/>
          </xdr:nvSpPr>
          <xdr:spPr>
            <a:xfrm>
              <a:off x="4560094" y="8382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BDC558BC-86A4-4A51-8B83-C12EE876706B}"/>
                </a:ext>
              </a:extLst>
            </xdr:cNvPr>
            <xdr:cNvSpPr txBox="1"/>
          </xdr:nvSpPr>
          <xdr:spPr>
            <a:xfrm>
              <a:off x="4360544" y="8885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8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77B497D-1859-4430-A360-D007928B1A04}"/>
            </a:ext>
          </a:extLst>
        </xdr:cNvPr>
        <xdr:cNvPicPr>
          <a:picLocks noChangeAspect="1"/>
        </xdr:cNvPicPr>
      </xdr:nvPicPr>
      <xdr:blipFill>
        <a:blip xmlns:r="http://schemas.openxmlformats.org/officeDocument/2006/relationships" r:embed="rId2"/>
        <a:stretch>
          <a:fillRect/>
        </a:stretch>
      </xdr:blipFill>
      <xdr:spPr>
        <a:xfrm>
          <a:off x="5627814" y="2667000"/>
          <a:ext cx="334575" cy="538697"/>
        </a:xfrm>
        <a:prstGeom prst="rect">
          <a:avLst/>
        </a:prstGeom>
      </xdr:spPr>
    </xdr:pic>
    <xdr:clientData/>
  </xdr:twoCellAnchor>
  <xdr:twoCellAnchor editAs="oneCell">
    <xdr:from>
      <xdr:col>6</xdr:col>
      <xdr:colOff>563880</xdr:colOff>
      <xdr:row>11</xdr:row>
      <xdr:rowOff>182881</xdr:rowOff>
    </xdr:from>
    <xdr:to>
      <xdr:col>12</xdr:col>
      <xdr:colOff>495300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D2A8547-391C-47F9-92BD-D9AED2A4EE49}"/>
            </a:ext>
          </a:extLst>
        </xdr:cNvPr>
        <xdr:cNvPicPr>
          <a:picLocks noChangeAspect="1"/>
        </xdr:cNvPicPr>
      </xdr:nvPicPr>
      <xdr:blipFill>
        <a:blip xmlns:r="http://schemas.openxmlformats.org/officeDocument/2006/relationships" r:embed="rId3"/>
        <a:stretch>
          <a:fillRect/>
        </a:stretch>
      </xdr:blipFill>
      <xdr:spPr>
        <a:xfrm>
          <a:off x="6096000" y="2628901"/>
          <a:ext cx="4709160" cy="610336"/>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1268492-EC6A-404F-A213-94D4F1EF3EE5}"/>
            </a:ext>
          </a:extLst>
        </xdr:cNvPr>
        <xdr:cNvPicPr>
          <a:picLocks noChangeAspect="1"/>
        </xdr:cNvPicPr>
      </xdr:nvPicPr>
      <xdr:blipFill>
        <a:blip xmlns:r="http://schemas.openxmlformats.org/officeDocument/2006/relationships" r:embed="rId2"/>
        <a:stretch>
          <a:fillRect/>
        </a:stretch>
      </xdr:blipFill>
      <xdr:spPr>
        <a:xfrm>
          <a:off x="5528754" y="29946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7DB6141-E73F-4B05-AB2F-E5871875DF90}"/>
            </a:ext>
          </a:extLst>
        </xdr:cNvPr>
        <xdr:cNvPicPr>
          <a:picLocks noChangeAspect="1"/>
        </xdr:cNvPicPr>
      </xdr:nvPicPr>
      <xdr:blipFill>
        <a:blip xmlns:r="http://schemas.openxmlformats.org/officeDocument/2006/relationships" r:embed="rId3"/>
        <a:stretch>
          <a:fillRect/>
        </a:stretch>
      </xdr:blipFill>
      <xdr:spPr>
        <a:xfrm>
          <a:off x="5996940" y="2956561"/>
          <a:ext cx="4709160" cy="610336"/>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68580</xdr:colOff>
      <xdr:row>2</xdr:row>
      <xdr:rowOff>6350</xdr:rowOff>
    </xdr:from>
    <xdr:to>
      <xdr:col>1</xdr:col>
      <xdr:colOff>742527</xdr:colOff>
      <xdr:row>3</xdr:row>
      <xdr:rowOff>329777</xdr:rowOff>
    </xdr:to>
    <xdr:pic>
      <xdr:nvPicPr>
        <xdr:cNvPr id="2" name="Imagen 1">
          <a:extLst>
            <a:ext uri="{FF2B5EF4-FFF2-40B4-BE49-F238E27FC236}">
              <a16:creationId xmlns:a16="http://schemas.microsoft.com/office/drawing/2014/main" id="{00298822-C61C-4FC9-9465-EB91B16C90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463550"/>
          <a:ext cx="1466427" cy="1466427"/>
        </a:xfrm>
        <a:prstGeom prst="rect">
          <a:avLst/>
        </a:prstGeom>
        <a:ln w="28575">
          <a:solidFill>
            <a:schemeClr val="bg1"/>
          </a:solidFill>
        </a:ln>
      </xdr:spPr>
    </xdr:pic>
    <xdr:clientData/>
  </xdr:twoCellAnchor>
</xdr:wsDr>
</file>

<file path=xl/drawings/drawing287.xml><?xml version="1.0" encoding="utf-8"?>
<xdr:wsDr xmlns:xdr="http://schemas.openxmlformats.org/drawingml/2006/spreadsheetDrawing" xmlns:a="http://schemas.openxmlformats.org/drawingml/2006/main">
  <xdr:twoCellAnchor>
    <xdr:from>
      <xdr:col>7</xdr:col>
      <xdr:colOff>594360</xdr:colOff>
      <xdr:row>9</xdr:row>
      <xdr:rowOff>48577</xdr:rowOff>
    </xdr:from>
    <xdr:to>
      <xdr:col>15</xdr:col>
      <xdr:colOff>678180</xdr:colOff>
      <xdr:row>15</xdr:row>
      <xdr:rowOff>1226820</xdr:rowOff>
    </xdr:to>
    <xdr:graphicFrame macro="">
      <xdr:nvGraphicFramePr>
        <xdr:cNvPr id="2" name="Gráfico 1">
          <a:extLst>
            <a:ext uri="{FF2B5EF4-FFF2-40B4-BE49-F238E27FC236}">
              <a16:creationId xmlns:a16="http://schemas.microsoft.com/office/drawing/2014/main" id="{B59F6F70-9151-446F-82B1-C1B1762A0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8.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1AAC1AB2-AEB2-48A3-8325-EB456C3CCC38}"/>
                </a:ext>
              </a:extLst>
            </xdr:cNvPr>
            <xdr:cNvSpPr txBox="1"/>
          </xdr:nvSpPr>
          <xdr:spPr>
            <a:xfrm>
              <a:off x="4187190" y="14442757"/>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oneCellAnchor>
    <xdr:from>
      <xdr:col>2</xdr:col>
      <xdr:colOff>1344930</xdr:colOff>
      <xdr:row>16</xdr:row>
      <xdr:rowOff>254317</xdr:rowOff>
    </xdr:from>
    <xdr:ext cx="3156857" cy="164404"/>
    <xdr:sp macro="" textlink="">
      <xdr:nvSpPr>
        <xdr:cNvPr id="3" name="CuadroTexto 2">
          <a:extLst>
            <a:ext uri="{FF2B5EF4-FFF2-40B4-BE49-F238E27FC236}">
              <a16:creationId xmlns:a16="http://schemas.microsoft.com/office/drawing/2014/main" id="{3E9B9B84-E031-4C2B-921A-A76FA4A7FE48}"/>
            </a:ext>
          </a:extLst>
        </xdr:cNvPr>
        <xdr:cNvSpPr txBox="1"/>
      </xdr:nvSpPr>
      <xdr:spPr>
        <a:xfrm>
          <a:off x="4187190" y="14442757"/>
          <a:ext cx="3156857"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s-CR" sz="1050"/>
        </a:p>
      </xdr:txBody>
    </xdr:sp>
    <xdr:clientData/>
  </xdr:oneCellAnchor>
</xdr:wsDr>
</file>

<file path=xl/drawings/drawing289.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2" name="Imagen 1">
          <a:extLst>
            <a:ext uri="{FF2B5EF4-FFF2-40B4-BE49-F238E27FC236}">
              <a16:creationId xmlns:a16="http://schemas.microsoft.com/office/drawing/2014/main" id="{324C95E5-E760-44D3-A122-DC2825538900}"/>
            </a:ext>
          </a:extLst>
        </xdr:cNvPr>
        <xdr:cNvPicPr>
          <a:picLocks noChangeAspect="1"/>
        </xdr:cNvPicPr>
      </xdr:nvPicPr>
      <xdr:blipFill>
        <a:blip xmlns:r="http://schemas.openxmlformats.org/officeDocument/2006/relationships" r:embed="rId1"/>
        <a:stretch>
          <a:fillRect/>
        </a:stretch>
      </xdr:blipFill>
      <xdr:spPr>
        <a:xfrm>
          <a:off x="10374631" y="9001124"/>
          <a:ext cx="5125896" cy="21393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A66B4699-C345-4838-9EA4-3777AEBD8551}"/>
            </a:ext>
          </a:extLst>
        </xdr:cNvPr>
        <xdr:cNvPicPr>
          <a:picLocks noChangeAspect="1"/>
        </xdr:cNvPicPr>
      </xdr:nvPicPr>
      <xdr:blipFill>
        <a:blip xmlns:r="http://schemas.openxmlformats.org/officeDocument/2006/relationships" r:embed="rId2"/>
        <a:stretch>
          <a:fillRect/>
        </a:stretch>
      </xdr:blipFill>
      <xdr:spPr>
        <a:xfrm>
          <a:off x="3844734" y="4389120"/>
          <a:ext cx="334575" cy="538697"/>
        </a:xfrm>
        <a:prstGeom prst="rect">
          <a:avLst/>
        </a:prstGeom>
      </xdr:spPr>
    </xdr:pic>
    <xdr:clientData/>
  </xdr:twoCellAnchor>
  <xdr:twoCellAnchor editAs="oneCell">
    <xdr:from>
      <xdr:col>4</xdr:col>
      <xdr:colOff>563880</xdr:colOff>
      <xdr:row>19</xdr:row>
      <xdr:rowOff>182881</xdr:rowOff>
    </xdr:from>
    <xdr:to>
      <xdr:col>10</xdr:col>
      <xdr:colOff>541020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1E2C4FBC-A686-4D52-90FF-F8A315055537}"/>
            </a:ext>
          </a:extLst>
        </xdr:cNvPr>
        <xdr:cNvPicPr>
          <a:picLocks noChangeAspect="1"/>
        </xdr:cNvPicPr>
      </xdr:nvPicPr>
      <xdr:blipFill>
        <a:blip xmlns:r="http://schemas.openxmlformats.org/officeDocument/2006/relationships" r:embed="rId3"/>
        <a:stretch>
          <a:fillRect/>
        </a:stretch>
      </xdr:blipFill>
      <xdr:spPr>
        <a:xfrm>
          <a:off x="4312920" y="4335781"/>
          <a:ext cx="4709160" cy="610336"/>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xdr:from>
      <xdr:col>1</xdr:col>
      <xdr:colOff>1066800</xdr:colOff>
      <xdr:row>25</xdr:row>
      <xdr:rowOff>63500</xdr:rowOff>
    </xdr:from>
    <xdr:to>
      <xdr:col>9</xdr:col>
      <xdr:colOff>682624</xdr:colOff>
      <xdr:row>38</xdr:row>
      <xdr:rowOff>127000</xdr:rowOff>
    </xdr:to>
    <xdr:graphicFrame macro="">
      <xdr:nvGraphicFramePr>
        <xdr:cNvPr id="2" name="Gráfico 1">
          <a:extLst>
            <a:ext uri="{FF2B5EF4-FFF2-40B4-BE49-F238E27FC236}">
              <a16:creationId xmlns:a16="http://schemas.microsoft.com/office/drawing/2014/main" id="{7477DF5A-7B31-41CF-A9E1-FBC937A3F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521064</xdr:colOff>
      <xdr:row>23</xdr:row>
      <xdr:rowOff>168367</xdr:rowOff>
    </xdr:from>
    <xdr:to>
      <xdr:col>25</xdr:col>
      <xdr:colOff>503745</xdr:colOff>
      <xdr:row>55</xdr:row>
      <xdr:rowOff>86147</xdr:rowOff>
    </xdr:to>
    <xdr:grpSp>
      <xdr:nvGrpSpPr>
        <xdr:cNvPr id="3" name="Grupo 2">
          <a:extLst>
            <a:ext uri="{FF2B5EF4-FFF2-40B4-BE49-F238E27FC236}">
              <a16:creationId xmlns:a16="http://schemas.microsoft.com/office/drawing/2014/main" id="{6B7D324A-E3B0-4E53-A49F-20E58D7A8A24}"/>
            </a:ext>
          </a:extLst>
        </xdr:cNvPr>
        <xdr:cNvGrpSpPr/>
      </xdr:nvGrpSpPr>
      <xdr:grpSpPr>
        <a:xfrm>
          <a:off x="9074514" y="5597617"/>
          <a:ext cx="6516831" cy="7547305"/>
          <a:chOff x="8877300" y="4044950"/>
          <a:chExt cx="6851650" cy="5283200"/>
        </a:xfrm>
      </xdr:grpSpPr>
      <xdr:sp macro="" textlink="">
        <xdr:nvSpPr>
          <xdr:cNvPr id="4" name="Cuadro de texto 2">
            <a:extLst>
              <a:ext uri="{FF2B5EF4-FFF2-40B4-BE49-F238E27FC236}">
                <a16:creationId xmlns:a16="http://schemas.microsoft.com/office/drawing/2014/main" id="{A3C8E177-41C1-4F4C-9BC1-C4916535C4F4}"/>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1100" b="0" i="0" u="none" strike="noStrike" baseline="0">
                <a:solidFill>
                  <a:srgbClr val="000000"/>
                </a:solidFill>
                <a:latin typeface="Open Sans Condensed" pitchFamily="2" charset="0"/>
                <a:ea typeface="Open Sans Condensed" pitchFamily="2" charset="0"/>
                <a:cs typeface="Open Sans Condensed" pitchFamily="2" charset="0"/>
              </a:rPr>
              <a:t>Fuente: MINAE, IMN. Departamento de Desarrollo. 2021</a:t>
            </a:r>
          </a:p>
        </xdr:txBody>
      </xdr:sp>
      <xdr:pic>
        <xdr:nvPicPr>
          <xdr:cNvPr id="5" name="Imagen 4">
            <a:extLst>
              <a:ext uri="{FF2B5EF4-FFF2-40B4-BE49-F238E27FC236}">
                <a16:creationId xmlns:a16="http://schemas.microsoft.com/office/drawing/2014/main" id="{C7AE291D-258B-4E45-9AD3-8FE5F1145F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6" name="CuadroTexto 5">
            <a:extLst>
              <a:ext uri="{FF2B5EF4-FFF2-40B4-BE49-F238E27FC236}">
                <a16:creationId xmlns:a16="http://schemas.microsoft.com/office/drawing/2014/main" id="{762AC3E2-F656-41E4-B0E2-0DA4BDCE2B05}"/>
              </a:ext>
            </a:extLst>
          </xdr:cNvPr>
          <xdr:cNvSpPr txBox="1"/>
        </xdr:nvSpPr>
        <xdr:spPr>
          <a:xfrm>
            <a:off x="8877300" y="4044950"/>
            <a:ext cx="6775451"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Open Sans Condensed" pitchFamily="2" charset="0"/>
                <a:ea typeface="Open Sans Condensed" pitchFamily="2" charset="0"/>
                <a:cs typeface="Open Sans Condensed" pitchFamily="2" charset="0"/>
              </a:rPr>
              <a:t>Costa Rica: Mapa Cobertura de la tierra según clases del IPCC en áreas de montaña. 2017 - 2018</a:t>
            </a:r>
          </a:p>
        </xdr:txBody>
      </xdr:sp>
    </xdr:grpSp>
    <xdr:clientData/>
  </xdr:twoCellAnchor>
</xdr:wsDr>
</file>

<file path=xl/drawings/drawing291.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292.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2" name="Imagen 1">
          <a:extLst>
            <a:ext uri="{FF2B5EF4-FFF2-40B4-BE49-F238E27FC236}">
              <a16:creationId xmlns:a16="http://schemas.microsoft.com/office/drawing/2014/main" id="{73EFC892-3414-4A81-AAED-E413EEEED29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28601CC4-F737-49FC-AB53-82F07B1AE9D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182880</xdr:colOff>
      <xdr:row>8</xdr:row>
      <xdr:rowOff>205740</xdr:rowOff>
    </xdr:from>
    <xdr:to>
      <xdr:col>15</xdr:col>
      <xdr:colOff>122502</xdr:colOff>
      <xdr:row>16</xdr:row>
      <xdr:rowOff>4015739</xdr:rowOff>
    </xdr:to>
    <xdr:pic>
      <xdr:nvPicPr>
        <xdr:cNvPr id="4" name="Imagen 3">
          <a:extLst>
            <a:ext uri="{FF2B5EF4-FFF2-40B4-BE49-F238E27FC236}">
              <a16:creationId xmlns:a16="http://schemas.microsoft.com/office/drawing/2014/main" id="{CCCB61B5-80E1-43F4-B671-CF37E45CB1C3}"/>
            </a:ext>
          </a:extLst>
        </xdr:cNvPr>
        <xdr:cNvPicPr>
          <a:picLocks noChangeAspect="1"/>
        </xdr:cNvPicPr>
      </xdr:nvPicPr>
      <xdr:blipFill>
        <a:blip xmlns:r="http://schemas.openxmlformats.org/officeDocument/2006/relationships" r:embed="rId2"/>
        <a:stretch>
          <a:fillRect/>
        </a:stretch>
      </xdr:blipFill>
      <xdr:spPr>
        <a:xfrm>
          <a:off x="12748260" y="2743200"/>
          <a:ext cx="7498662" cy="7368539"/>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61051BCE-CF6F-4B60-9306-BE46806E3DE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6" name="Imagen 5">
          <a:extLst>
            <a:ext uri="{FF2B5EF4-FFF2-40B4-BE49-F238E27FC236}">
              <a16:creationId xmlns:a16="http://schemas.microsoft.com/office/drawing/2014/main" id="{CEE6B94D-1E0F-4E50-9292-4C050185336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4191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7" name="Imagen 6">
          <a:extLst>
            <a:ext uri="{FF2B5EF4-FFF2-40B4-BE49-F238E27FC236}">
              <a16:creationId xmlns:a16="http://schemas.microsoft.com/office/drawing/2014/main" id="{8F135FC9-83F7-4ECB-B66E-3D79FF0764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8" name="Imagen 7">
          <a:extLst>
            <a:ext uri="{FF2B5EF4-FFF2-40B4-BE49-F238E27FC236}">
              <a16:creationId xmlns:a16="http://schemas.microsoft.com/office/drawing/2014/main" id="{62309D5A-FA0E-4596-BF37-CA9A043146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9" name="Imagen 8">
          <a:extLst>
            <a:ext uri="{FF2B5EF4-FFF2-40B4-BE49-F238E27FC236}">
              <a16:creationId xmlns:a16="http://schemas.microsoft.com/office/drawing/2014/main" id="{93B5316B-B504-45B1-BCEB-B0748A872D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DE6115AA-D6BA-4D79-8AE2-BBD3DF2EEF1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8CA4685C-A278-4665-AFF1-2222C49155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97546458-6F8A-44B7-A561-348533F6718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E8C464C8-1B39-4B3F-9CC7-03663488FE4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64C86CB-C521-481E-BA76-DA9A270BBB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61835" y="62103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3.xml><?xml version="1.0" encoding="utf-8"?>
<xdr:wsDr xmlns:xdr="http://schemas.openxmlformats.org/drawingml/2006/spreadsheetDrawing" xmlns:a="http://schemas.openxmlformats.org/drawingml/2006/main">
  <xdr:twoCellAnchor>
    <xdr:from>
      <xdr:col>8</xdr:col>
      <xdr:colOff>30480</xdr:colOff>
      <xdr:row>10</xdr:row>
      <xdr:rowOff>76200</xdr:rowOff>
    </xdr:from>
    <xdr:to>
      <xdr:col>16</xdr:col>
      <xdr:colOff>581025</xdr:colOff>
      <xdr:row>22</xdr:row>
      <xdr:rowOff>175260</xdr:rowOff>
    </xdr:to>
    <xdr:graphicFrame macro="">
      <xdr:nvGraphicFramePr>
        <xdr:cNvPr id="2" name="Gráfico 1">
          <a:extLst>
            <a:ext uri="{FF2B5EF4-FFF2-40B4-BE49-F238E27FC236}">
              <a16:creationId xmlns:a16="http://schemas.microsoft.com/office/drawing/2014/main" id="{5418A412-FF08-4A0C-A99F-1563579E8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0518C8-A6F2-490F-96C5-3A798A39E3FA}"/>
            </a:ext>
          </a:extLst>
        </xdr:cNvPr>
        <xdr:cNvPicPr>
          <a:picLocks noChangeAspect="1"/>
        </xdr:cNvPicPr>
      </xdr:nvPicPr>
      <xdr:blipFill>
        <a:blip xmlns:r="http://schemas.openxmlformats.org/officeDocument/2006/relationships" r:embed="rId2"/>
        <a:stretch>
          <a:fillRect/>
        </a:stretch>
      </xdr:blipFill>
      <xdr:spPr>
        <a:xfrm>
          <a:off x="5559234" y="300990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FEF3FE94-A4D2-4C76-A251-E70E5E54B2BC}"/>
            </a:ext>
          </a:extLst>
        </xdr:cNvPr>
        <xdr:cNvPicPr>
          <a:picLocks noChangeAspect="1"/>
        </xdr:cNvPicPr>
      </xdr:nvPicPr>
      <xdr:blipFill>
        <a:blip xmlns:r="http://schemas.openxmlformats.org/officeDocument/2006/relationships" r:embed="rId3"/>
        <a:stretch>
          <a:fillRect/>
        </a:stretch>
      </xdr:blipFill>
      <xdr:spPr>
        <a:xfrm>
          <a:off x="6027420" y="2971801"/>
          <a:ext cx="4709160" cy="610336"/>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8817385-2095-415C-A6A5-08DA7ED57355}"/>
            </a:ext>
          </a:extLst>
        </xdr:cNvPr>
        <xdr:cNvPicPr>
          <a:picLocks noChangeAspect="1"/>
        </xdr:cNvPicPr>
      </xdr:nvPicPr>
      <xdr:blipFill>
        <a:blip xmlns:r="http://schemas.openxmlformats.org/officeDocument/2006/relationships" r:embed="rId2"/>
        <a:stretch>
          <a:fillRect/>
        </a:stretch>
      </xdr:blipFill>
      <xdr:spPr>
        <a:xfrm>
          <a:off x="5612574" y="342138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02F11D2-F387-46FE-9BF5-15F1EE899012}"/>
            </a:ext>
          </a:extLst>
        </xdr:cNvPr>
        <xdr:cNvPicPr>
          <a:picLocks noChangeAspect="1"/>
        </xdr:cNvPicPr>
      </xdr:nvPicPr>
      <xdr:blipFill>
        <a:blip xmlns:r="http://schemas.openxmlformats.org/officeDocument/2006/relationships" r:embed="rId3"/>
        <a:stretch>
          <a:fillRect/>
        </a:stretch>
      </xdr:blipFill>
      <xdr:spPr>
        <a:xfrm>
          <a:off x="6080760" y="3383281"/>
          <a:ext cx="4709160" cy="610336"/>
        </a:xfrm>
        <a:prstGeom prst="rect">
          <a:avLst/>
        </a:prstGeom>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589CC85-7041-4A1F-818B-650C8706F90C}"/>
            </a:ext>
          </a:extLst>
        </xdr:cNvPr>
        <xdr:cNvPicPr>
          <a:picLocks noChangeAspect="1"/>
        </xdr:cNvPicPr>
      </xdr:nvPicPr>
      <xdr:blipFill>
        <a:blip xmlns:r="http://schemas.openxmlformats.org/officeDocument/2006/relationships" r:embed="rId2"/>
        <a:stretch>
          <a:fillRect/>
        </a:stretch>
      </xdr:blipFill>
      <xdr:spPr>
        <a:xfrm>
          <a:off x="5780214" y="435102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8B5284DF-197E-4614-B89B-915F70BAA30C}"/>
            </a:ext>
          </a:extLst>
        </xdr:cNvPr>
        <xdr:cNvPicPr>
          <a:picLocks noChangeAspect="1"/>
        </xdr:cNvPicPr>
      </xdr:nvPicPr>
      <xdr:blipFill>
        <a:blip xmlns:r="http://schemas.openxmlformats.org/officeDocument/2006/relationships" r:embed="rId3"/>
        <a:stretch>
          <a:fillRect/>
        </a:stretch>
      </xdr:blipFill>
      <xdr:spPr>
        <a:xfrm>
          <a:off x="6248400" y="4312921"/>
          <a:ext cx="4709160" cy="610336"/>
        </a:xfrm>
        <a:prstGeom prst="rect">
          <a:avLst/>
        </a:prstGeom>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6</xdr:col>
      <xdr:colOff>95694</xdr:colOff>
      <xdr:row>18</xdr:row>
      <xdr:rowOff>0</xdr:rowOff>
    </xdr:from>
    <xdr:to>
      <xdr:col>6</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38741146-5BF6-452D-893D-3B8E78DBDEC1}"/>
            </a:ext>
          </a:extLst>
        </xdr:cNvPr>
        <xdr:cNvPicPr>
          <a:picLocks noChangeAspect="1"/>
        </xdr:cNvPicPr>
      </xdr:nvPicPr>
      <xdr:blipFill>
        <a:blip xmlns:r="http://schemas.openxmlformats.org/officeDocument/2006/relationships" r:embed="rId2"/>
        <a:stretch>
          <a:fillRect/>
        </a:stretch>
      </xdr:blipFill>
      <xdr:spPr>
        <a:xfrm>
          <a:off x="5422074" y="4610100"/>
          <a:ext cx="334575" cy="538697"/>
        </a:xfrm>
        <a:prstGeom prst="rect">
          <a:avLst/>
        </a:prstGeom>
      </xdr:spPr>
    </xdr:pic>
    <xdr:clientData/>
  </xdr:twoCellAnchor>
  <xdr:twoCellAnchor editAs="oneCell">
    <xdr:from>
      <xdr:col>6</xdr:col>
      <xdr:colOff>563880</xdr:colOff>
      <xdr:row>17</xdr:row>
      <xdr:rowOff>182881</xdr:rowOff>
    </xdr:from>
    <xdr:to>
      <xdr:col>12</xdr:col>
      <xdr:colOff>563880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2B4B3AC2-5986-448F-BA3D-F85CE116EA01}"/>
            </a:ext>
          </a:extLst>
        </xdr:cNvPr>
        <xdr:cNvPicPr>
          <a:picLocks noChangeAspect="1"/>
        </xdr:cNvPicPr>
      </xdr:nvPicPr>
      <xdr:blipFill>
        <a:blip xmlns:r="http://schemas.openxmlformats.org/officeDocument/2006/relationships" r:embed="rId3"/>
        <a:stretch>
          <a:fillRect/>
        </a:stretch>
      </xdr:blipFill>
      <xdr:spPr>
        <a:xfrm>
          <a:off x="5890260" y="4572001"/>
          <a:ext cx="4709160" cy="610336"/>
        </a:xfrm>
        <a:prstGeom prst="rect">
          <a:avLst/>
        </a:prstGeom>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53340</xdr:colOff>
      <xdr:row>1</xdr:row>
      <xdr:rowOff>90170</xdr:rowOff>
    </xdr:from>
    <xdr:to>
      <xdr:col>1</xdr:col>
      <xdr:colOff>727287</xdr:colOff>
      <xdr:row>4</xdr:row>
      <xdr:rowOff>2117</xdr:rowOff>
    </xdr:to>
    <xdr:pic>
      <xdr:nvPicPr>
        <xdr:cNvPr id="2" name="Imagen 1">
          <a:extLst>
            <a:ext uri="{FF2B5EF4-FFF2-40B4-BE49-F238E27FC236}">
              <a16:creationId xmlns:a16="http://schemas.microsoft.com/office/drawing/2014/main" id="{937C41A8-9A97-4F3B-91F6-7DBE3CAB9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326390"/>
          <a:ext cx="1466427" cy="1466427"/>
        </a:xfrm>
        <a:prstGeom prst="rect">
          <a:avLst/>
        </a:prstGeom>
        <a:ln w="28575">
          <a:solidFill>
            <a:schemeClr val="bg1"/>
          </a:solidFill>
        </a:ln>
      </xdr:spPr>
    </xdr:pic>
    <xdr:clientData/>
  </xdr:twoCellAnchor>
</xdr:wsDr>
</file>

<file path=xl/drawings/drawing299.xml><?xml version="1.0" encoding="utf-8"?>
<xdr:wsDr xmlns:xdr="http://schemas.openxmlformats.org/drawingml/2006/spreadsheetDrawing" xmlns:a="http://schemas.openxmlformats.org/drawingml/2006/main">
  <xdr:twoCellAnchor>
    <xdr:from>
      <xdr:col>2</xdr:col>
      <xdr:colOff>82550</xdr:colOff>
      <xdr:row>36</xdr:row>
      <xdr:rowOff>53975</xdr:rowOff>
    </xdr:from>
    <xdr:to>
      <xdr:col>11</xdr:col>
      <xdr:colOff>412750</xdr:colOff>
      <xdr:row>55</xdr:row>
      <xdr:rowOff>95250</xdr:rowOff>
    </xdr:to>
    <xdr:graphicFrame macro="">
      <xdr:nvGraphicFramePr>
        <xdr:cNvPr id="2" name="Gráfico 1">
          <a:extLst>
            <a:ext uri="{FF2B5EF4-FFF2-40B4-BE49-F238E27FC236}">
              <a16:creationId xmlns:a16="http://schemas.microsoft.com/office/drawing/2014/main" id="{BD61C3A7-48E2-49FC-BE24-020FEBDC1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13</xdr:col>
      <xdr:colOff>157759</xdr:colOff>
      <xdr:row>50</xdr:row>
      <xdr:rowOff>18193</xdr:rowOff>
    </xdr:to>
    <xdr:pic>
      <xdr:nvPicPr>
        <xdr:cNvPr id="6" name="Imagen 5">
          <a:extLst>
            <a:ext uri="{FF2B5EF4-FFF2-40B4-BE49-F238E27FC236}">
              <a16:creationId xmlns:a16="http://schemas.microsoft.com/office/drawing/2014/main" id="{86FC46E2-14EA-4FF4-B946-C16C63FEEFB3}"/>
            </a:ext>
          </a:extLst>
        </xdr:cNvPr>
        <xdr:cNvPicPr>
          <a:picLocks noChangeAspect="1"/>
        </xdr:cNvPicPr>
      </xdr:nvPicPr>
      <xdr:blipFill>
        <a:blip xmlns:r="http://schemas.openxmlformats.org/officeDocument/2006/relationships" r:embed="rId1"/>
        <a:stretch>
          <a:fillRect/>
        </a:stretch>
      </xdr:blipFill>
      <xdr:spPr>
        <a:xfrm>
          <a:off x="2114550" y="8267700"/>
          <a:ext cx="4682134" cy="33043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742527</xdr:colOff>
      <xdr:row>4</xdr:row>
      <xdr:rowOff>15452</xdr:rowOff>
    </xdr:to>
    <xdr:pic>
      <xdr:nvPicPr>
        <xdr:cNvPr id="2" name="Imagen 1">
          <a:extLst>
            <a:ext uri="{FF2B5EF4-FFF2-40B4-BE49-F238E27FC236}">
              <a16:creationId xmlns:a16="http://schemas.microsoft.com/office/drawing/2014/main" id="{48B8320B-95CA-4F1C-8477-A8A1D10F8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72142"/>
        </a:xfrm>
        <a:prstGeom prst="rect">
          <a:avLst/>
        </a:prstGeom>
        <a:ln w="28575">
          <a:solidFill>
            <a:schemeClr val="bg1"/>
          </a:solidFill>
        </a:ln>
      </xdr:spPr>
    </xdr:pic>
    <xdr:clientData/>
  </xdr:twoCellAnchor>
</xdr:wsDr>
</file>

<file path=xl/drawings/drawing300.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C5D0D05-57B8-4C9C-9B64-9A428CAEDE3C}"/>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B9FDF1A-D691-4819-B965-F3B104662221}"/>
                </a:ext>
              </a:extLst>
            </xdr:cNvPr>
            <xdr:cNvSpPr txBox="1"/>
          </xdr:nvSpPr>
          <xdr:spPr>
            <a:xfrm>
              <a:off x="4165282" y="462152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301.xml><?xml version="1.0" encoding="utf-8"?>
<xdr:wsDr xmlns:xdr="http://schemas.openxmlformats.org/drawingml/2006/spreadsheetDrawing" xmlns:a="http://schemas.openxmlformats.org/drawingml/2006/main">
  <xdr:twoCellAnchor>
    <xdr:from>
      <xdr:col>1</xdr:col>
      <xdr:colOff>1257300</xdr:colOff>
      <xdr:row>29</xdr:row>
      <xdr:rowOff>99060</xdr:rowOff>
    </xdr:from>
    <xdr:to>
      <xdr:col>11</xdr:col>
      <xdr:colOff>38100</xdr:colOff>
      <xdr:row>41</xdr:row>
      <xdr:rowOff>190500</xdr:rowOff>
    </xdr:to>
    <xdr:graphicFrame macro="">
      <xdr:nvGraphicFramePr>
        <xdr:cNvPr id="2" name="Gráfico 1">
          <a:extLst>
            <a:ext uri="{FF2B5EF4-FFF2-40B4-BE49-F238E27FC236}">
              <a16:creationId xmlns:a16="http://schemas.microsoft.com/office/drawing/2014/main" id="{2CB3E9A8-B7E8-43A7-9A4A-90CF93777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2.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8BE8E1E5-20D1-403D-8255-626D325352DD}"/>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A1BBBA3B-4F24-49EC-A92B-78669EFAA250}"/>
                </a:ext>
              </a:extLst>
            </xdr:cNvPr>
            <xdr:cNvSpPr txBox="1"/>
          </xdr:nvSpPr>
          <xdr:spPr>
            <a:xfrm>
              <a:off x="4064452" y="699597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303.xml><?xml version="1.0" encoding="utf-8"?>
<xdr:wsDr xmlns:xdr="http://schemas.openxmlformats.org/drawingml/2006/spreadsheetDrawing" xmlns:a="http://schemas.openxmlformats.org/drawingml/2006/main">
  <xdr:twoCellAnchor>
    <xdr:from>
      <xdr:col>2</xdr:col>
      <xdr:colOff>53340</xdr:colOff>
      <xdr:row>33</xdr:row>
      <xdr:rowOff>17145</xdr:rowOff>
    </xdr:from>
    <xdr:to>
      <xdr:col>11</xdr:col>
      <xdr:colOff>318135</xdr:colOff>
      <xdr:row>47</xdr:row>
      <xdr:rowOff>91440</xdr:rowOff>
    </xdr:to>
    <xdr:graphicFrame macro="">
      <xdr:nvGraphicFramePr>
        <xdr:cNvPr id="2" name="Gráfico 1">
          <a:extLst>
            <a:ext uri="{FF2B5EF4-FFF2-40B4-BE49-F238E27FC236}">
              <a16:creationId xmlns:a16="http://schemas.microsoft.com/office/drawing/2014/main" id="{90AE8358-7375-4CC9-B4CD-64D534857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F62EFABB-0820-4B57-BA8C-DBD05F0BC188}"/>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3" name="CuadroTexto 2">
              <a:extLst>
                <a:ext uri="{FF2B5EF4-FFF2-40B4-BE49-F238E27FC236}">
                  <a16:creationId xmlns:a16="http://schemas.microsoft.com/office/drawing/2014/main" id="{CFF98550-B224-4AC7-89AC-9084F176CDDE}"/>
                </a:ext>
              </a:extLst>
            </xdr:cNvPr>
            <xdr:cNvSpPr txBox="1"/>
          </xdr:nvSpPr>
          <xdr:spPr>
            <a:xfrm>
              <a:off x="4079876" y="677862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305.xml><?xml version="1.0" encoding="utf-8"?>
<xdr:wsDr xmlns:xdr="http://schemas.openxmlformats.org/drawingml/2006/spreadsheetDrawing" xmlns:a="http://schemas.openxmlformats.org/drawingml/2006/main">
  <xdr:twoCellAnchor>
    <xdr:from>
      <xdr:col>2</xdr:col>
      <xdr:colOff>161925</xdr:colOff>
      <xdr:row>20</xdr:row>
      <xdr:rowOff>57150</xdr:rowOff>
    </xdr:from>
    <xdr:to>
      <xdr:col>8</xdr:col>
      <xdr:colOff>333375</xdr:colOff>
      <xdr:row>39</xdr:row>
      <xdr:rowOff>9525</xdr:rowOff>
    </xdr:to>
    <xdr:graphicFrame macro="">
      <xdr:nvGraphicFramePr>
        <xdr:cNvPr id="2" name="1 Gráfico">
          <a:extLst>
            <a:ext uri="{FF2B5EF4-FFF2-40B4-BE49-F238E27FC236}">
              <a16:creationId xmlns:a16="http://schemas.microsoft.com/office/drawing/2014/main" id="{0C42F248-F01A-4A1A-9ACA-EC6FC380D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20</xdr:row>
      <xdr:rowOff>95250</xdr:rowOff>
    </xdr:from>
    <xdr:to>
      <xdr:col>14</xdr:col>
      <xdr:colOff>504825</xdr:colOff>
      <xdr:row>38</xdr:row>
      <xdr:rowOff>133350</xdr:rowOff>
    </xdr:to>
    <xdr:graphicFrame macro="">
      <xdr:nvGraphicFramePr>
        <xdr:cNvPr id="3" name="3 Gráfico">
          <a:extLst>
            <a:ext uri="{FF2B5EF4-FFF2-40B4-BE49-F238E27FC236}">
              <a16:creationId xmlns:a16="http://schemas.microsoft.com/office/drawing/2014/main" id="{B86107B9-2A61-4C2B-8EA6-C386ECD5C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6.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b="1">
              <a:latin typeface="Open Sans Condensed" pitchFamily="2" charset="0"/>
              <a:ea typeface="Open Sans Condensed" pitchFamily="2" charset="0"/>
              <a:cs typeface="Open Sans Condensed" pitchFamily="2" charset="0"/>
            </a:rPr>
            <a:t>Por rangos</a:t>
          </a:r>
          <a:r>
            <a:rPr lang="es-CR" sz="1100" b="1" baseline="0">
              <a:latin typeface="Open Sans Condensed" pitchFamily="2" charset="0"/>
              <a:ea typeface="Open Sans Condensed" pitchFamily="2" charset="0"/>
              <a:cs typeface="Open Sans Condensed" pitchFamily="2" charset="0"/>
            </a:rPr>
            <a:t> de edad</a:t>
          </a:r>
          <a:endParaRPr lang="es-CR" sz="1100" b="1">
            <a:latin typeface="Open Sans Condensed" pitchFamily="2" charset="0"/>
            <a:ea typeface="Open Sans Condensed" pitchFamily="2" charset="0"/>
            <a:cs typeface="Open Sans Condensed" pitchFamily="2" charset="0"/>
          </a:endParaRPr>
        </a:p>
      </cdr:txBody>
    </cdr:sp>
  </cdr:relSizeAnchor>
</c:userShapes>
</file>

<file path=xl/drawings/drawing307.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100" b="1">
              <a:latin typeface="Open Sans Condensed" pitchFamily="2" charset="0"/>
              <a:ea typeface="Open Sans Condensed" pitchFamily="2" charset="0"/>
              <a:cs typeface="Open Sans Condensed" pitchFamily="2" charset="0"/>
            </a:rPr>
            <a:t>Por sexo</a:t>
          </a:r>
        </a:p>
      </cdr:txBody>
    </cdr:sp>
  </cdr:relSizeAnchor>
</c:userShapes>
</file>

<file path=xl/drawings/drawing308.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EA9B171A-19CF-4360-82CC-91C1344E9D78}"/>
                </a:ext>
              </a:extLst>
            </xdr:cNvPr>
            <xdr:cNvSpPr txBox="1"/>
          </xdr:nvSpPr>
          <xdr:spPr>
            <a:xfrm>
              <a:off x="4452890" y="595316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309.xml><?xml version="1.0" encoding="utf-8"?>
<xdr:wsDr xmlns:xdr="http://schemas.openxmlformats.org/drawingml/2006/spreadsheetDrawing" xmlns:a="http://schemas.openxmlformats.org/drawingml/2006/main">
  <xdr:twoCellAnchor>
    <xdr:from>
      <xdr:col>2</xdr:col>
      <xdr:colOff>55244</xdr:colOff>
      <xdr:row>25</xdr:row>
      <xdr:rowOff>235267</xdr:rowOff>
    </xdr:from>
    <xdr:to>
      <xdr:col>8</xdr:col>
      <xdr:colOff>205739</xdr:colOff>
      <xdr:row>40</xdr:row>
      <xdr:rowOff>152400</xdr:rowOff>
    </xdr:to>
    <xdr:graphicFrame macro="">
      <xdr:nvGraphicFramePr>
        <xdr:cNvPr id="2" name="Gráfico 1">
          <a:extLst>
            <a:ext uri="{FF2B5EF4-FFF2-40B4-BE49-F238E27FC236}">
              <a16:creationId xmlns:a16="http://schemas.microsoft.com/office/drawing/2014/main" id="{1474BB66-A905-4895-A9E1-4BA95E07C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860107</xdr:colOff>
      <xdr:row>34</xdr:row>
      <xdr:rowOff>56197</xdr:rowOff>
    </xdr:from>
    <xdr:to>
      <xdr:col>11</xdr:col>
      <xdr:colOff>98107</xdr:colOff>
      <xdr:row>51</xdr:row>
      <xdr:rowOff>96202</xdr:rowOff>
    </xdr:to>
    <xdr:graphicFrame macro="">
      <xdr:nvGraphicFramePr>
        <xdr:cNvPr id="2" name="Gráfico 1">
          <a:extLst>
            <a:ext uri="{FF2B5EF4-FFF2-40B4-BE49-F238E27FC236}">
              <a16:creationId xmlns:a16="http://schemas.microsoft.com/office/drawing/2014/main" id="{AE1F9ABF-E9EE-470E-B4FC-756FD3D3D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0.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3436B385-414F-4C8F-AA77-3AE7EB1D83AC}"/>
                </a:ext>
              </a:extLst>
            </xdr:cNvPr>
            <xdr:cNvSpPr txBox="1"/>
          </xdr:nvSpPr>
          <xdr:spPr>
            <a:xfrm>
              <a:off x="4902518" y="9525477"/>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1.xml><?xml version="1.0" encoding="utf-8"?>
<xdr:wsDr xmlns:xdr="http://schemas.openxmlformats.org/drawingml/2006/spreadsheetDrawing" xmlns:a="http://schemas.openxmlformats.org/drawingml/2006/main">
  <xdr:twoCellAnchor>
    <xdr:from>
      <xdr:col>2</xdr:col>
      <xdr:colOff>17144</xdr:colOff>
      <xdr:row>29</xdr:row>
      <xdr:rowOff>132397</xdr:rowOff>
    </xdr:from>
    <xdr:to>
      <xdr:col>9</xdr:col>
      <xdr:colOff>321944</xdr:colOff>
      <xdr:row>48</xdr:row>
      <xdr:rowOff>175260</xdr:rowOff>
    </xdr:to>
    <xdr:graphicFrame macro="">
      <xdr:nvGraphicFramePr>
        <xdr:cNvPr id="2" name="Gráfico 1">
          <a:extLst>
            <a:ext uri="{FF2B5EF4-FFF2-40B4-BE49-F238E27FC236}">
              <a16:creationId xmlns:a16="http://schemas.microsoft.com/office/drawing/2014/main" id="{5F12F8D8-98E0-419B-BB33-FDFF34CF8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2.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89AE35-B49D-4C1E-9054-8A8BEED2AE9A}"/>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9AC29061-74DB-40BA-B9FF-970835958AD5}"/>
                </a:ext>
              </a:extLst>
            </xdr:cNvPr>
            <xdr:cNvSpPr txBox="1"/>
          </xdr:nvSpPr>
          <xdr:spPr>
            <a:xfrm>
              <a:off x="4010976" y="483044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313.xml><?xml version="1.0" encoding="utf-8"?>
<xdr:wsDr xmlns:xdr="http://schemas.openxmlformats.org/drawingml/2006/spreadsheetDrawing" xmlns:a="http://schemas.openxmlformats.org/drawingml/2006/main">
  <xdr:twoCellAnchor>
    <xdr:from>
      <xdr:col>2</xdr:col>
      <xdr:colOff>19050</xdr:colOff>
      <xdr:row>30</xdr:row>
      <xdr:rowOff>90487</xdr:rowOff>
    </xdr:from>
    <xdr:to>
      <xdr:col>9</xdr:col>
      <xdr:colOff>30480</xdr:colOff>
      <xdr:row>44</xdr:row>
      <xdr:rowOff>205740</xdr:rowOff>
    </xdr:to>
    <xdr:graphicFrame macro="">
      <xdr:nvGraphicFramePr>
        <xdr:cNvPr id="2" name="Gráfico 1">
          <a:extLst>
            <a:ext uri="{FF2B5EF4-FFF2-40B4-BE49-F238E27FC236}">
              <a16:creationId xmlns:a16="http://schemas.microsoft.com/office/drawing/2014/main" id="{FAFB9419-D073-498E-9E27-788C44A85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4.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9FF4A002-884B-4D4D-A342-384D90121C29}"/>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89E8FF8E-50BF-4AD3-B627-622215C2789B}"/>
                </a:ext>
              </a:extLst>
            </xdr:cNvPr>
            <xdr:cNvSpPr txBox="1"/>
          </xdr:nvSpPr>
          <xdr:spPr>
            <a:xfrm>
              <a:off x="4175851" y="494075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315.xml><?xml version="1.0" encoding="utf-8"?>
<xdr:wsDr xmlns:xdr="http://schemas.openxmlformats.org/drawingml/2006/spreadsheetDrawing" xmlns:a="http://schemas.openxmlformats.org/drawingml/2006/main">
  <xdr:twoCellAnchor>
    <xdr:from>
      <xdr:col>7</xdr:col>
      <xdr:colOff>782954</xdr:colOff>
      <xdr:row>8</xdr:row>
      <xdr:rowOff>235267</xdr:rowOff>
    </xdr:from>
    <xdr:to>
      <xdr:col>14</xdr:col>
      <xdr:colOff>144779</xdr:colOff>
      <xdr:row>22</xdr:row>
      <xdr:rowOff>144780</xdr:rowOff>
    </xdr:to>
    <xdr:graphicFrame macro="">
      <xdr:nvGraphicFramePr>
        <xdr:cNvPr id="2" name="Gráfico 1">
          <a:extLst>
            <a:ext uri="{FF2B5EF4-FFF2-40B4-BE49-F238E27FC236}">
              <a16:creationId xmlns:a16="http://schemas.microsoft.com/office/drawing/2014/main" id="{0173AC97-E351-45C3-A453-D87B8A17E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6.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8251500-575A-45CA-8A58-7674864B734C}"/>
                </a:ext>
              </a:extLst>
            </xdr:cNvPr>
            <xdr:cNvSpPr txBox="1"/>
          </xdr:nvSpPr>
          <xdr:spPr>
            <a:xfrm>
              <a:off x="4090034" y="782431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B95184C-C660-455A-A7CD-5B9723A0F337}"/>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3B95184C-C660-455A-A7CD-5B9723A0F337}"/>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4784BB2-8D06-4978-88C7-2188BDC66B8D}"/>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4784BB2-8D06-4978-88C7-2188BDC66B8D}"/>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7.xml><?xml version="1.0" encoding="utf-8"?>
<xdr:wsDr xmlns:xdr="http://schemas.openxmlformats.org/drawingml/2006/spreadsheetDrawing" xmlns:a="http://schemas.openxmlformats.org/drawingml/2006/main">
  <xdr:twoCellAnchor>
    <xdr:from>
      <xdr:col>11</xdr:col>
      <xdr:colOff>66674</xdr:colOff>
      <xdr:row>9</xdr:row>
      <xdr:rowOff>37147</xdr:rowOff>
    </xdr:from>
    <xdr:to>
      <xdr:col>17</xdr:col>
      <xdr:colOff>662939</xdr:colOff>
      <xdr:row>23</xdr:row>
      <xdr:rowOff>30480</xdr:rowOff>
    </xdr:to>
    <xdr:graphicFrame macro="">
      <xdr:nvGraphicFramePr>
        <xdr:cNvPr id="2" name="Gráfico 1">
          <a:extLst>
            <a:ext uri="{FF2B5EF4-FFF2-40B4-BE49-F238E27FC236}">
              <a16:creationId xmlns:a16="http://schemas.microsoft.com/office/drawing/2014/main" id="{058C9A89-8628-4D53-BD93-9B9338653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8.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2" name="1 CuadroTexto">
              <a:extLst>
                <a:ext uri="{FF2B5EF4-FFF2-40B4-BE49-F238E27FC236}">
                  <a16:creationId xmlns:a16="http://schemas.microsoft.com/office/drawing/2014/main" id="{12003DC9-709C-48D9-A50B-91899DD8C4D9}"/>
                </a:ext>
              </a:extLst>
            </xdr:cNvPr>
            <xdr:cNvSpPr txBox="1"/>
          </xdr:nvSpPr>
          <xdr:spPr>
            <a:xfrm>
              <a:off x="4320540" y="945642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oneCellAnchor>
    <xdr:from>
      <xdr:col>3</xdr:col>
      <xdr:colOff>47624</xdr:colOff>
      <xdr:row>15</xdr:row>
      <xdr:rowOff>66675</xdr:rowOff>
    </xdr:from>
    <xdr:ext cx="5686425" cy="36195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100" b="1" i="0" baseline="0">
                      <a:solidFill>
                        <a:schemeClr val="tx1"/>
                      </a:solidFill>
                      <a:effectLst/>
                      <a:latin typeface="Cambria Math" panose="02040503050406030204" pitchFamily="18" charset="0"/>
                      <a:ea typeface="+mn-ea"/>
                      <a:cs typeface="+mn-cs"/>
                    </a:rPr>
                    <m:t>=</m:t>
                  </m:r>
                  <m:f>
                    <m:fPr>
                      <m:ctrlPr>
                        <a:rPr lang="es-ES" sz="1100" b="0" i="1">
                          <a:latin typeface="Cambria Math" panose="02040503050406030204" pitchFamily="18" charset="0"/>
                        </a:rPr>
                      </m:ctrlPr>
                    </m:fPr>
                    <m:num>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ES" sz="1100" b="0" i="0">
                          <a:latin typeface="Cambria Math"/>
                        </a:rPr>
                        <m:t> </m:t>
                      </m:r>
                      <m:r>
                        <m:rPr>
                          <m:sty m:val="p"/>
                        </m:rPr>
                        <a:rPr lang="es-ES" sz="1100" b="0" i="0">
                          <a:latin typeface="Cambria Math"/>
                        </a:rPr>
                        <m:t>en</m:t>
                      </m:r>
                      <m:r>
                        <a:rPr lang="es-ES" sz="1100" b="0" i="0">
                          <a:latin typeface="Cambria Math"/>
                        </a:rPr>
                        <m:t> </m:t>
                      </m:r>
                      <m:r>
                        <m:rPr>
                          <m:sty m:val="p"/>
                        </m:rPr>
                        <a:rPr lang="es-ES" sz="1100" b="0" i="0">
                          <a:latin typeface="Cambria Math"/>
                        </a:rPr>
                        <m:t>el</m:t>
                      </m:r>
                      <m:r>
                        <a:rPr lang="es-ES" sz="1100" b="0" i="0">
                          <a:latin typeface="Cambria Math"/>
                        </a:rPr>
                        <m:t> </m:t>
                      </m:r>
                      <m:r>
                        <m:rPr>
                          <m:sty m:val="p"/>
                        </m:rPr>
                        <a:rPr lang="es-ES" sz="1100" b="0" i="0">
                          <a:latin typeface="Cambria Math"/>
                        </a:rPr>
                        <m:t>sector</m:t>
                      </m:r>
                      <m:r>
                        <a:rPr lang="es-CR" sz="1100" b="0" i="0">
                          <a:latin typeface="Cambria Math" panose="02040503050406030204" pitchFamily="18" charset="0"/>
                        </a:rPr>
                        <m:t> </m:t>
                      </m:r>
                      <m:r>
                        <m:rPr>
                          <m:sty m:val="p"/>
                        </m:rPr>
                        <a:rPr lang="es-CR" sz="1100" b="0" i="0">
                          <a:latin typeface="Cambria Math" panose="02040503050406030204" pitchFamily="18" charset="0"/>
                        </a:rPr>
                        <m:t>p</m:t>
                      </m:r>
                      <m:r>
                        <a:rPr lang="es-CR" sz="1100" b="0" i="0">
                          <a:latin typeface="Cambria Math" panose="02040503050406030204" pitchFamily="18" charset="0"/>
                        </a:rPr>
                        <m:t>ú</m:t>
                      </m:r>
                      <m:r>
                        <m:rPr>
                          <m:sty m:val="p"/>
                        </m:rPr>
                        <a:rPr lang="es-CR" sz="1100" b="0" i="0">
                          <a:latin typeface="Cambria Math" panose="02040503050406030204" pitchFamily="18" charset="0"/>
                        </a:rPr>
                        <m:t>blico</m:t>
                      </m:r>
                    </m:num>
                    <m:den>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MX" sz="1100" b="0" i="0">
                          <a:latin typeface="Cambria Math" panose="02040503050406030204" pitchFamily="18" charset="0"/>
                        </a:rPr>
                        <m:t> </m:t>
                      </m:r>
                      <m:r>
                        <a:rPr lang="es-MX" sz="1100" b="0" i="1">
                          <a:latin typeface="Cambria Math" panose="02040503050406030204" pitchFamily="18" charset="0"/>
                        </a:rPr>
                        <m:t>𝑡𝑜𝑡𝑎𝑙</m:t>
                      </m:r>
                    </m:den>
                  </m:f>
                  <m:r>
                    <a:rPr lang="es-ES" sz="1100" b="0" i="1">
                      <a:latin typeface="Cambria Math"/>
                      <a:ea typeface="Cambria Math"/>
                    </a:rPr>
                    <m:t>×</m:t>
                  </m:r>
                  <m:r>
                    <a:rPr lang="es-CR" sz="1100" b="0" i="1">
                      <a:latin typeface="Cambria Math" panose="02040503050406030204" pitchFamily="18" charset="0"/>
                      <a:ea typeface="Cambria Math"/>
                    </a:rPr>
                    <m:t>1</m:t>
                  </m:r>
                  <m:r>
                    <a:rPr lang="es-ES" sz="11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17F47588-3EE1-43DF-813F-70FCFC83DBCB}"/>
                </a:ext>
              </a:extLst>
            </xdr:cNvPr>
            <xdr:cNvSpPr txBox="1"/>
          </xdr:nvSpPr>
          <xdr:spPr>
            <a:xfrm>
              <a:off x="4368164" y="946213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100" b="1" i="0" baseline="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a:t>
              </a:r>
              <a:r>
                <a:rPr lang="es-ES" sz="1100" b="0" i="0">
                  <a:latin typeface="Cambria Math"/>
                </a:rPr>
                <a:t>Población ocupada en el sector</a:t>
              </a:r>
              <a:r>
                <a:rPr lang="es-CR" sz="1100" b="0" i="0">
                  <a:latin typeface="Cambria Math" panose="02040503050406030204" pitchFamily="18" charset="0"/>
                </a:rPr>
                <a:t> público</a:t>
              </a:r>
              <a:r>
                <a:rPr lang="es-ES" sz="1100" b="0" i="0">
                  <a:latin typeface="Cambria Math" panose="02040503050406030204" pitchFamily="18" charset="0"/>
                </a:rPr>
                <a:t>)/(</a:t>
              </a:r>
              <a:r>
                <a:rPr lang="es-ES" sz="1100" b="0" i="0">
                  <a:latin typeface="Cambria Math"/>
                </a:rPr>
                <a:t>Población ocupada</a:t>
              </a:r>
              <a:r>
                <a:rPr lang="es-MX" sz="1100" b="0" i="0">
                  <a:latin typeface="Cambria Math" panose="02040503050406030204" pitchFamily="18" charset="0"/>
                </a:rPr>
                <a:t> 𝑡𝑜𝑡𝑎𝑙</a:t>
              </a:r>
              <a:r>
                <a:rPr lang="es-ES" sz="1100" b="0" i="0">
                  <a:latin typeface="Cambria Math" panose="02040503050406030204" pitchFamily="18" charset="0"/>
                </a:rPr>
                <a:t>)</a:t>
              </a:r>
              <a:r>
                <a:rPr lang="es-ES" sz="1100" b="0" i="0">
                  <a:latin typeface="Cambria Math"/>
                  <a:ea typeface="Cambria Math"/>
                </a:rPr>
                <a:t>×</a:t>
              </a:r>
              <a:r>
                <a:rPr lang="es-CR" sz="1100" b="0" i="0">
                  <a:latin typeface="Cambria Math" panose="02040503050406030204" pitchFamily="18" charset="0"/>
                  <a:ea typeface="Cambria Math"/>
                </a:rPr>
                <a:t>1</a:t>
              </a:r>
              <a:r>
                <a:rPr lang="es-ES" sz="1100" b="0" i="0">
                  <a:latin typeface="Cambria Math"/>
                  <a:ea typeface="Cambria Math"/>
                </a:rPr>
                <a:t>00</a:t>
              </a:r>
              <a:endParaRPr lang="es-ES" sz="1000" b="0" i="0">
                <a:latin typeface="+mn-lt"/>
              </a:endParaRPr>
            </a:p>
          </xdr:txBody>
        </xdr:sp>
      </mc:Fallback>
    </mc:AlternateContent>
    <xdr:clientData/>
  </xdr:oneCellAnchor>
</xdr:wsDr>
</file>

<file path=xl/drawings/drawing319.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19574D-DB07-4FE9-957B-5E46E88B8829}"/>
            </a:ext>
          </a:extLst>
        </xdr:cNvPr>
        <xdr:cNvPicPr>
          <a:picLocks noChangeAspect="1"/>
        </xdr:cNvPicPr>
      </xdr:nvPicPr>
      <xdr:blipFill>
        <a:blip xmlns:r="http://schemas.openxmlformats.org/officeDocument/2006/relationships" r:embed="rId2"/>
        <a:stretch>
          <a:fillRect/>
        </a:stretch>
      </xdr:blipFill>
      <xdr:spPr>
        <a:xfrm>
          <a:off x="5787834" y="272796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B49C65D6-494B-455C-B949-DB0AB567CB6A}"/>
            </a:ext>
          </a:extLst>
        </xdr:cNvPr>
        <xdr:cNvPicPr>
          <a:picLocks noChangeAspect="1"/>
        </xdr:cNvPicPr>
      </xdr:nvPicPr>
      <xdr:blipFill>
        <a:blip xmlns:r="http://schemas.openxmlformats.org/officeDocument/2006/relationships" r:embed="rId3"/>
        <a:stretch>
          <a:fillRect/>
        </a:stretch>
      </xdr:blipFill>
      <xdr:spPr>
        <a:xfrm>
          <a:off x="6256020" y="2689861"/>
          <a:ext cx="4709160" cy="61033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3B2B2B-A6E3-4DA8-9042-B9FF7038641B}"/>
                </a:ext>
              </a:extLst>
            </xdr:cNvPr>
            <xdr:cNvSpPr txBox="1"/>
          </xdr:nvSpPr>
          <xdr:spPr>
            <a:xfrm>
              <a:off x="4288154" y="455158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320.xml><?xml version="1.0" encoding="utf-8"?>
<xdr:wsDr xmlns:xdr="http://schemas.openxmlformats.org/drawingml/2006/spreadsheetDrawing" xmlns:a="http://schemas.openxmlformats.org/drawingml/2006/main">
  <xdr:twoCellAnchor>
    <xdr:from>
      <xdr:col>7</xdr:col>
      <xdr:colOff>198120</xdr:colOff>
      <xdr:row>8</xdr:row>
      <xdr:rowOff>434341</xdr:rowOff>
    </xdr:from>
    <xdr:to>
      <xdr:col>15</xdr:col>
      <xdr:colOff>350520</xdr:colOff>
      <xdr:row>20</xdr:row>
      <xdr:rowOff>167640</xdr:rowOff>
    </xdr:to>
    <xdr:graphicFrame macro="">
      <xdr:nvGraphicFramePr>
        <xdr:cNvPr id="2" name="Gráfico 1">
          <a:extLst>
            <a:ext uri="{FF2B5EF4-FFF2-40B4-BE49-F238E27FC236}">
              <a16:creationId xmlns:a16="http://schemas.microsoft.com/office/drawing/2014/main" id="{6089D5A0-8677-480A-8929-65938A3D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B283BC8-CA85-418A-B3BA-821B4F446365}"/>
            </a:ext>
          </a:extLst>
        </xdr:cNvPr>
        <xdr:cNvPicPr>
          <a:picLocks noChangeAspect="1"/>
        </xdr:cNvPicPr>
      </xdr:nvPicPr>
      <xdr:blipFill>
        <a:blip xmlns:r="http://schemas.openxmlformats.org/officeDocument/2006/relationships" r:embed="rId2"/>
        <a:stretch>
          <a:fillRect/>
        </a:stretch>
      </xdr:blipFill>
      <xdr:spPr>
        <a:xfrm>
          <a:off x="559733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45CC84-7CB8-40BB-9F68-86418BD12A4C}"/>
            </a:ext>
          </a:extLst>
        </xdr:cNvPr>
        <xdr:cNvPicPr>
          <a:picLocks noChangeAspect="1"/>
        </xdr:cNvPicPr>
      </xdr:nvPicPr>
      <xdr:blipFill>
        <a:blip xmlns:r="http://schemas.openxmlformats.org/officeDocument/2006/relationships" r:embed="rId3"/>
        <a:stretch>
          <a:fillRect/>
        </a:stretch>
      </xdr:blipFill>
      <xdr:spPr>
        <a:xfrm>
          <a:off x="6065520" y="2529841"/>
          <a:ext cx="4709160" cy="610336"/>
        </a:xfrm>
        <a:prstGeom prst="rect">
          <a:avLst/>
        </a:prstGeom>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6</xdr:col>
      <xdr:colOff>95694</xdr:colOff>
      <xdr:row>12</xdr:row>
      <xdr:rowOff>0</xdr:rowOff>
    </xdr:from>
    <xdr:to>
      <xdr:col>6</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3BEAA0F-696C-4619-A7A8-56BB08333A6E}"/>
            </a:ext>
          </a:extLst>
        </xdr:cNvPr>
        <xdr:cNvPicPr>
          <a:picLocks noChangeAspect="1"/>
        </xdr:cNvPicPr>
      </xdr:nvPicPr>
      <xdr:blipFill>
        <a:blip xmlns:r="http://schemas.openxmlformats.org/officeDocument/2006/relationships" r:embed="rId2"/>
        <a:stretch>
          <a:fillRect/>
        </a:stretch>
      </xdr:blipFill>
      <xdr:spPr>
        <a:xfrm>
          <a:off x="5673534" y="3063240"/>
          <a:ext cx="334575" cy="538697"/>
        </a:xfrm>
        <a:prstGeom prst="rect">
          <a:avLst/>
        </a:prstGeom>
      </xdr:spPr>
    </xdr:pic>
    <xdr:clientData/>
  </xdr:twoCellAnchor>
  <xdr:twoCellAnchor editAs="oneCell">
    <xdr:from>
      <xdr:col>6</xdr:col>
      <xdr:colOff>563880</xdr:colOff>
      <xdr:row>11</xdr:row>
      <xdr:rowOff>182881</xdr:rowOff>
    </xdr:from>
    <xdr:to>
      <xdr:col>12</xdr:col>
      <xdr:colOff>563880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EB6EC0D6-1A07-494C-97F1-E54ACFF700D5}"/>
            </a:ext>
          </a:extLst>
        </xdr:cNvPr>
        <xdr:cNvPicPr>
          <a:picLocks noChangeAspect="1"/>
        </xdr:cNvPicPr>
      </xdr:nvPicPr>
      <xdr:blipFill>
        <a:blip xmlns:r="http://schemas.openxmlformats.org/officeDocument/2006/relationships" r:embed="rId3"/>
        <a:stretch>
          <a:fillRect/>
        </a:stretch>
      </xdr:blipFill>
      <xdr:spPr>
        <a:xfrm>
          <a:off x="6141720" y="3025141"/>
          <a:ext cx="4709160" cy="610336"/>
        </a:xfrm>
        <a:prstGeom prst="rect">
          <a:avLst/>
        </a:prstGeom>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734907</xdr:colOff>
      <xdr:row>4</xdr:row>
      <xdr:rowOff>32597</xdr:rowOff>
    </xdr:to>
    <xdr:pic>
      <xdr:nvPicPr>
        <xdr:cNvPr id="2" name="Imagen 1">
          <a:extLst>
            <a:ext uri="{FF2B5EF4-FFF2-40B4-BE49-F238E27FC236}">
              <a16:creationId xmlns:a16="http://schemas.microsoft.com/office/drawing/2014/main" id="{8077FF52-0572-4075-B7F1-6B03ABB660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311150"/>
          <a:ext cx="1466427" cy="1466427"/>
        </a:xfrm>
        <a:prstGeom prst="rect">
          <a:avLst/>
        </a:prstGeom>
        <a:ln w="28575">
          <a:solidFill>
            <a:schemeClr val="bg1"/>
          </a:solidFill>
        </a:ln>
      </xdr:spPr>
    </xdr:pic>
    <xdr:clientData/>
  </xdr:twoCellAnchor>
</xdr:wsDr>
</file>

<file path=xl/drawings/drawing324.xml><?xml version="1.0" encoding="utf-8"?>
<xdr:wsDr xmlns:xdr="http://schemas.openxmlformats.org/drawingml/2006/spreadsheetDrawing" xmlns:a="http://schemas.openxmlformats.org/drawingml/2006/main">
  <xdr:twoCellAnchor>
    <xdr:from>
      <xdr:col>2</xdr:col>
      <xdr:colOff>38100</xdr:colOff>
      <xdr:row>40</xdr:row>
      <xdr:rowOff>138112</xdr:rowOff>
    </xdr:from>
    <xdr:to>
      <xdr:col>8</xdr:col>
      <xdr:colOff>342900</xdr:colOff>
      <xdr:row>60</xdr:row>
      <xdr:rowOff>114300</xdr:rowOff>
    </xdr:to>
    <xdr:graphicFrame macro="">
      <xdr:nvGraphicFramePr>
        <xdr:cNvPr id="2" name="Gráfico 1">
          <a:extLst>
            <a:ext uri="{FF2B5EF4-FFF2-40B4-BE49-F238E27FC236}">
              <a16:creationId xmlns:a16="http://schemas.microsoft.com/office/drawing/2014/main" id="{1C4468E7-95FB-4B30-AFEA-3F408FABF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40</xdr:row>
      <xdr:rowOff>14286</xdr:rowOff>
    </xdr:from>
    <xdr:to>
      <xdr:col>17</xdr:col>
      <xdr:colOff>161925</xdr:colOff>
      <xdr:row>62</xdr:row>
      <xdr:rowOff>95249</xdr:rowOff>
    </xdr:to>
    <xdr:graphicFrame macro="">
      <xdr:nvGraphicFramePr>
        <xdr:cNvPr id="3" name="Gráfico 2">
          <a:extLst>
            <a:ext uri="{FF2B5EF4-FFF2-40B4-BE49-F238E27FC236}">
              <a16:creationId xmlns:a16="http://schemas.microsoft.com/office/drawing/2014/main" id="{CF54B63E-BB80-4790-8436-66756B4A1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5.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D2F11CE4-2E0D-4660-B290-A668E6F9F760}"/>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B0F3136-2B9C-4D57-A4C3-7FE835EC6C9D}"/>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CCC814E3-EF6A-441D-BC6A-74B2CB17EB45}"/>
                </a:ext>
              </a:extLst>
            </xdr:cNvPr>
            <xdr:cNvSpPr txBox="1"/>
          </xdr:nvSpPr>
          <xdr:spPr>
            <a:xfrm>
              <a:off x="5029677" y="868013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8.xml><?xml version="1.0" encoding="utf-8"?>
<xdr:wsDr xmlns:xdr="http://schemas.openxmlformats.org/drawingml/2006/spreadsheetDrawing" xmlns:a="http://schemas.openxmlformats.org/drawingml/2006/main">
  <xdr:twoCellAnchor>
    <xdr:from>
      <xdr:col>7</xdr:col>
      <xdr:colOff>76200</xdr:colOff>
      <xdr:row>8</xdr:row>
      <xdr:rowOff>281940</xdr:rowOff>
    </xdr:from>
    <xdr:to>
      <xdr:col>13</xdr:col>
      <xdr:colOff>213360</xdr:colOff>
      <xdr:row>21</xdr:row>
      <xdr:rowOff>182880</xdr:rowOff>
    </xdr:to>
    <xdr:graphicFrame macro="">
      <xdr:nvGraphicFramePr>
        <xdr:cNvPr id="2" name="Gráfico 1">
          <a:extLst>
            <a:ext uri="{FF2B5EF4-FFF2-40B4-BE49-F238E27FC236}">
              <a16:creationId xmlns:a16="http://schemas.microsoft.com/office/drawing/2014/main" id="{ADD74AEB-EB02-424A-881C-10BFBE51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9.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2F58678-581A-4CAC-8852-9EB9960D6383}"/>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F45AEA25-8695-4305-9CF9-61CDB70685AD}"/>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D5679A3B-BF6E-4767-A378-9A090C42D1CB}"/>
                </a:ext>
              </a:extLst>
            </xdr:cNvPr>
            <xdr:cNvSpPr txBox="1"/>
          </xdr:nvSpPr>
          <xdr:spPr>
            <a:xfrm>
              <a:off x="476059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twoCellAnchor>
    <xdr:from>
      <xdr:col>2</xdr:col>
      <xdr:colOff>31430</xdr:colOff>
      <xdr:row>32</xdr:row>
      <xdr:rowOff>57150</xdr:rowOff>
    </xdr:from>
    <xdr:to>
      <xdr:col>12</xdr:col>
      <xdr:colOff>104775</xdr:colOff>
      <xdr:row>49</xdr:row>
      <xdr:rowOff>56197</xdr:rowOff>
    </xdr:to>
    <xdr:graphicFrame macro="">
      <xdr:nvGraphicFramePr>
        <xdr:cNvPr id="2" name="Gráfico 1">
          <a:extLst>
            <a:ext uri="{FF2B5EF4-FFF2-40B4-BE49-F238E27FC236}">
              <a16:creationId xmlns:a16="http://schemas.microsoft.com/office/drawing/2014/main" id="{4E031E8E-E8B2-4389-9E31-F39ADD8AB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0.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E64C7D5-9354-4189-BDA0-B7D6A1325150}"/>
            </a:ext>
          </a:extLst>
        </xdr:cNvPr>
        <xdr:cNvPicPr>
          <a:picLocks noChangeAspect="1"/>
        </xdr:cNvPicPr>
      </xdr:nvPicPr>
      <xdr:blipFill>
        <a:blip xmlns:r="http://schemas.openxmlformats.org/officeDocument/2006/relationships" r:embed="rId2"/>
        <a:stretch>
          <a:fillRect/>
        </a:stretch>
      </xdr:blipFill>
      <xdr:spPr>
        <a:xfrm>
          <a:off x="5574474" y="4625340"/>
          <a:ext cx="334575" cy="538697"/>
        </a:xfrm>
        <a:prstGeom prst="rect">
          <a:avLst/>
        </a:prstGeom>
      </xdr:spPr>
    </xdr:pic>
    <xdr:clientData/>
  </xdr:twoCellAnchor>
  <xdr:twoCellAnchor editAs="oneCell">
    <xdr:from>
      <xdr:col>6</xdr:col>
      <xdr:colOff>563880</xdr:colOff>
      <xdr:row>16</xdr:row>
      <xdr:rowOff>182881</xdr:rowOff>
    </xdr:from>
    <xdr:to>
      <xdr:col>12</xdr:col>
      <xdr:colOff>563880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8DBB4A3-119D-4AD7-B1AA-B58B1DE213EF}"/>
            </a:ext>
          </a:extLst>
        </xdr:cNvPr>
        <xdr:cNvPicPr>
          <a:picLocks noChangeAspect="1"/>
        </xdr:cNvPicPr>
      </xdr:nvPicPr>
      <xdr:blipFill>
        <a:blip xmlns:r="http://schemas.openxmlformats.org/officeDocument/2006/relationships" r:embed="rId3"/>
        <a:stretch>
          <a:fillRect/>
        </a:stretch>
      </xdr:blipFill>
      <xdr:spPr>
        <a:xfrm>
          <a:off x="6042660" y="4587241"/>
          <a:ext cx="4709160" cy="610336"/>
        </a:xfrm>
        <a:prstGeom prst="rect">
          <a:avLst/>
        </a:prstGeom>
      </xdr:spPr>
    </xdr:pic>
    <xdr:clientData/>
  </xdr:twoCellAnchor>
</xdr:wsDr>
</file>

<file path=xl/drawings/drawing331.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5215763-6C9A-4D1C-9918-E0F3879E72AE}"/>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2737CC5-71F4-437E-BC3D-FE7134DEB8D3}"/>
                </a:ext>
              </a:extLst>
            </xdr:cNvPr>
            <xdr:cNvSpPr txBox="1"/>
          </xdr:nvSpPr>
          <xdr:spPr>
            <a:xfrm>
              <a:off x="5503545" y="450977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32.xml><?xml version="1.0" encoding="utf-8"?>
<xdr:wsDr xmlns:xdr="http://schemas.openxmlformats.org/drawingml/2006/spreadsheetDrawing" xmlns:a="http://schemas.openxmlformats.org/drawingml/2006/main">
  <xdr:twoCellAnchor>
    <xdr:from>
      <xdr:col>11</xdr:col>
      <xdr:colOff>15240</xdr:colOff>
      <xdr:row>9</xdr:row>
      <xdr:rowOff>56197</xdr:rowOff>
    </xdr:from>
    <xdr:to>
      <xdr:col>19</xdr:col>
      <xdr:colOff>586740</xdr:colOff>
      <xdr:row>22</xdr:row>
      <xdr:rowOff>68580</xdr:rowOff>
    </xdr:to>
    <xdr:graphicFrame macro="">
      <xdr:nvGraphicFramePr>
        <xdr:cNvPr id="2" name="Gráfico 1">
          <a:extLst>
            <a:ext uri="{FF2B5EF4-FFF2-40B4-BE49-F238E27FC236}">
              <a16:creationId xmlns:a16="http://schemas.microsoft.com/office/drawing/2014/main" id="{5EC4F48E-BA72-44B1-A960-04C063FFE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3.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968D3650-205F-4D31-93B3-9447FDC120F9}"/>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2231AF97-CBE6-403B-8C15-B1076EB82BC5}"/>
                </a:ext>
              </a:extLst>
            </xdr:cNvPr>
            <xdr:cNvSpPr txBox="1"/>
          </xdr:nvSpPr>
          <xdr:spPr>
            <a:xfrm>
              <a:off x="4436745" y="676275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4.xml><?xml version="1.0" encoding="utf-8"?>
<xdr:wsDr xmlns:xdr="http://schemas.openxmlformats.org/drawingml/2006/spreadsheetDrawing" xmlns:a="http://schemas.openxmlformats.org/drawingml/2006/main">
  <xdr:twoCellAnchor>
    <xdr:from>
      <xdr:col>8</xdr:col>
      <xdr:colOff>45719</xdr:colOff>
      <xdr:row>10</xdr:row>
      <xdr:rowOff>159066</xdr:rowOff>
    </xdr:from>
    <xdr:to>
      <xdr:col>14</xdr:col>
      <xdr:colOff>32384</xdr:colOff>
      <xdr:row>20</xdr:row>
      <xdr:rowOff>114300</xdr:rowOff>
    </xdr:to>
    <xdr:graphicFrame macro="">
      <xdr:nvGraphicFramePr>
        <xdr:cNvPr id="2" name="Gráfico 1">
          <a:extLst>
            <a:ext uri="{FF2B5EF4-FFF2-40B4-BE49-F238E27FC236}">
              <a16:creationId xmlns:a16="http://schemas.microsoft.com/office/drawing/2014/main" id="{4C8C6668-312A-415F-AACD-1C7F77601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5.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F5BD2A62-598B-422D-90C9-39D06C976BBA}"/>
                </a:ext>
              </a:extLst>
            </xdr:cNvPr>
            <xdr:cNvSpPr txBox="1"/>
          </xdr:nvSpPr>
          <xdr:spPr>
            <a:xfrm>
              <a:off x="4871825" y="5499205"/>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3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7EBC35AE-0948-4322-AC46-0E6F3370BD60}"/>
            </a:ext>
          </a:extLst>
        </xdr:cNvPr>
        <xdr:cNvPicPr>
          <a:picLocks noChangeAspect="1"/>
        </xdr:cNvPicPr>
      </xdr:nvPicPr>
      <xdr:blipFill>
        <a:blip xmlns:r="http://schemas.openxmlformats.org/officeDocument/2006/relationships" r:embed="rId2"/>
        <a:stretch>
          <a:fillRect/>
        </a:stretch>
      </xdr:blipFill>
      <xdr:spPr>
        <a:xfrm>
          <a:off x="5627814" y="2186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3C45E83-A7F3-4F76-B81B-2FAEFE5DDCC2}"/>
            </a:ext>
          </a:extLst>
        </xdr:cNvPr>
        <xdr:cNvPicPr>
          <a:picLocks noChangeAspect="1"/>
        </xdr:cNvPicPr>
      </xdr:nvPicPr>
      <xdr:blipFill>
        <a:blip xmlns:r="http://schemas.openxmlformats.org/officeDocument/2006/relationships" r:embed="rId3"/>
        <a:stretch>
          <a:fillRect/>
        </a:stretch>
      </xdr:blipFill>
      <xdr:spPr>
        <a:xfrm>
          <a:off x="6096000" y="2148841"/>
          <a:ext cx="4709160" cy="610336"/>
        </a:xfrm>
        <a:prstGeom prst="rect">
          <a:avLst/>
        </a:prstGeom>
      </xdr:spPr>
    </xdr:pic>
    <xdr:clientData/>
  </xdr:twoCellAnchor>
</xdr:wsDr>
</file>

<file path=xl/drawings/drawing337.xml><?xml version="1.0" encoding="utf-8"?>
<xdr:wsDr xmlns:xdr="http://schemas.openxmlformats.org/drawingml/2006/spreadsheetDrawing" xmlns:a="http://schemas.openxmlformats.org/drawingml/2006/main">
  <xdr:twoCellAnchor>
    <xdr:from>
      <xdr:col>7</xdr:col>
      <xdr:colOff>750570</xdr:colOff>
      <xdr:row>9</xdr:row>
      <xdr:rowOff>228600</xdr:rowOff>
    </xdr:from>
    <xdr:to>
      <xdr:col>14</xdr:col>
      <xdr:colOff>464820</xdr:colOff>
      <xdr:row>22</xdr:row>
      <xdr:rowOff>7620</xdr:rowOff>
    </xdr:to>
    <xdr:graphicFrame macro="">
      <xdr:nvGraphicFramePr>
        <xdr:cNvPr id="2" name="Gráfico 1">
          <a:extLst>
            <a:ext uri="{FF2B5EF4-FFF2-40B4-BE49-F238E27FC236}">
              <a16:creationId xmlns:a16="http://schemas.microsoft.com/office/drawing/2014/main" id="{B72931B4-FA6F-4701-BFE3-48B2D6C80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8.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414B7226-A83D-4605-A9B5-CD545ACAAC97}"/>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3" name="CuadroTexto 1">
              <a:extLst>
                <a:ext uri="{FF2B5EF4-FFF2-40B4-BE49-F238E27FC236}">
                  <a16:creationId xmlns:a16="http://schemas.microsoft.com/office/drawing/2014/main" id="{945671AC-72F6-4C20-97A0-01BB481A1A8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4" name="CuadroTexto 3">
              <a:extLst>
                <a:ext uri="{FF2B5EF4-FFF2-40B4-BE49-F238E27FC236}">
                  <a16:creationId xmlns:a16="http://schemas.microsoft.com/office/drawing/2014/main" id="{F5117BF5-AEAE-46A2-8C9D-6BC5641D05EC}"/>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5" name="CuadroTexto 1">
              <a:extLst>
                <a:ext uri="{FF2B5EF4-FFF2-40B4-BE49-F238E27FC236}">
                  <a16:creationId xmlns:a16="http://schemas.microsoft.com/office/drawing/2014/main" id="{8124055A-49A1-460A-A0E2-B2F0A2BBB16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6" name="CuadroTexto 5">
              <a:extLst>
                <a:ext uri="{FF2B5EF4-FFF2-40B4-BE49-F238E27FC236}">
                  <a16:creationId xmlns:a16="http://schemas.microsoft.com/office/drawing/2014/main" id="{FDB0BD6E-B291-4E9C-9D42-A40441C7D168}"/>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1">
              <a:extLst>
                <a:ext uri="{FF2B5EF4-FFF2-40B4-BE49-F238E27FC236}">
                  <a16:creationId xmlns:a16="http://schemas.microsoft.com/office/drawing/2014/main" id="{C3059F4B-4437-496A-B196-5A73D1E919CA}"/>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8" name="CuadroTexto 7">
              <a:extLst>
                <a:ext uri="{FF2B5EF4-FFF2-40B4-BE49-F238E27FC236}">
                  <a16:creationId xmlns:a16="http://schemas.microsoft.com/office/drawing/2014/main" id="{E93635B1-4865-4977-986D-57A3049F79FD}"/>
                </a:ext>
              </a:extLst>
            </xdr:cNvPr>
            <xdr:cNvSpPr txBox="1"/>
          </xdr:nvSpPr>
          <xdr:spPr>
            <a:xfrm>
              <a:off x="423434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9" name="CuadroTexto 1">
              <a:extLst>
                <a:ext uri="{FF2B5EF4-FFF2-40B4-BE49-F238E27FC236}">
                  <a16:creationId xmlns:a16="http://schemas.microsoft.com/office/drawing/2014/main" id="{E59D351D-D310-4497-ADF9-7860659D5723}"/>
                </a:ext>
              </a:extLst>
            </xdr:cNvPr>
            <xdr:cNvSpPr txBox="1"/>
          </xdr:nvSpPr>
          <xdr:spPr>
            <a:xfrm>
              <a:off x="469963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39.xml><?xml version="1.0" encoding="utf-8"?>
<xdr:wsDr xmlns:xdr="http://schemas.openxmlformats.org/drawingml/2006/spreadsheetDrawing" xmlns:a="http://schemas.openxmlformats.org/drawingml/2006/main">
  <xdr:twoCellAnchor editAs="oneCell">
    <xdr:from>
      <xdr:col>6</xdr:col>
      <xdr:colOff>95694</xdr:colOff>
      <xdr:row>20</xdr:row>
      <xdr:rowOff>0</xdr:rowOff>
    </xdr:from>
    <xdr:to>
      <xdr:col>6</xdr:col>
      <xdr:colOff>430269</xdr:colOff>
      <xdr:row>22</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5C4E0CF-9A07-4EF2-A8E9-A10309980228}"/>
            </a:ext>
          </a:extLst>
        </xdr:cNvPr>
        <xdr:cNvPicPr>
          <a:picLocks noChangeAspect="1"/>
        </xdr:cNvPicPr>
      </xdr:nvPicPr>
      <xdr:blipFill>
        <a:blip xmlns:r="http://schemas.openxmlformats.org/officeDocument/2006/relationships" r:embed="rId2"/>
        <a:stretch>
          <a:fillRect/>
        </a:stretch>
      </xdr:blipFill>
      <xdr:spPr>
        <a:xfrm>
          <a:off x="5810694" y="4693920"/>
          <a:ext cx="334575" cy="538697"/>
        </a:xfrm>
        <a:prstGeom prst="rect">
          <a:avLst/>
        </a:prstGeom>
      </xdr:spPr>
    </xdr:pic>
    <xdr:clientData/>
  </xdr:twoCellAnchor>
  <xdr:twoCellAnchor editAs="oneCell">
    <xdr:from>
      <xdr:col>6</xdr:col>
      <xdr:colOff>563880</xdr:colOff>
      <xdr:row>19</xdr:row>
      <xdr:rowOff>182881</xdr:rowOff>
    </xdr:from>
    <xdr:to>
      <xdr:col>12</xdr:col>
      <xdr:colOff>563880</xdr:colOff>
      <xdr:row>22</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CF08201-90D7-4D1D-B0EB-BE731851298A}"/>
            </a:ext>
          </a:extLst>
        </xdr:cNvPr>
        <xdr:cNvPicPr>
          <a:picLocks noChangeAspect="1"/>
        </xdr:cNvPicPr>
      </xdr:nvPicPr>
      <xdr:blipFill>
        <a:blip xmlns:r="http://schemas.openxmlformats.org/officeDocument/2006/relationships" r:embed="rId3"/>
        <a:stretch>
          <a:fillRect/>
        </a:stretch>
      </xdr:blipFill>
      <xdr:spPr>
        <a:xfrm>
          <a:off x="6278880" y="4655821"/>
          <a:ext cx="4709160" cy="61033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F20E0A87-0659-4962-8F0D-9C3BB5451804}"/>
                </a:ext>
              </a:extLst>
            </xdr:cNvPr>
            <xdr:cNvSpPr txBox="1"/>
          </xdr:nvSpPr>
          <xdr:spPr>
            <a:xfrm>
              <a:off x="4308973" y="427332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40.xml><?xml version="1.0" encoding="utf-8"?>
<xdr:wsDr xmlns:xdr="http://schemas.openxmlformats.org/drawingml/2006/spreadsheetDrawing" xmlns:a="http://schemas.openxmlformats.org/drawingml/2006/main">
  <xdr:twoCellAnchor>
    <xdr:from>
      <xdr:col>2</xdr:col>
      <xdr:colOff>30479</xdr:colOff>
      <xdr:row>31</xdr:row>
      <xdr:rowOff>29527</xdr:rowOff>
    </xdr:from>
    <xdr:to>
      <xdr:col>10</xdr:col>
      <xdr:colOff>685800</xdr:colOff>
      <xdr:row>46</xdr:row>
      <xdr:rowOff>190500</xdr:rowOff>
    </xdr:to>
    <xdr:graphicFrame macro="">
      <xdr:nvGraphicFramePr>
        <xdr:cNvPr id="2" name="Gráfico 1">
          <a:extLst>
            <a:ext uri="{FF2B5EF4-FFF2-40B4-BE49-F238E27FC236}">
              <a16:creationId xmlns:a16="http://schemas.microsoft.com/office/drawing/2014/main" id="{4E0F2A47-5087-4FF3-956D-E66755D5D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1.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CC516F8-09BE-4B33-ADF9-395E9DAC21F6}"/>
                </a:ext>
              </a:extLst>
            </xdr:cNvPr>
            <xdr:cNvSpPr txBox="1"/>
          </xdr:nvSpPr>
          <xdr:spPr>
            <a:xfrm>
              <a:off x="4402455" y="45900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42.xml><?xml version="1.0" encoding="utf-8"?>
<xdr:wsDr xmlns:xdr="http://schemas.openxmlformats.org/drawingml/2006/spreadsheetDrawing" xmlns:a="http://schemas.openxmlformats.org/drawingml/2006/main">
  <xdr:twoCellAnchor editAs="oneCell">
    <xdr:from>
      <xdr:col>6</xdr:col>
      <xdr:colOff>95694</xdr:colOff>
      <xdr:row>17</xdr:row>
      <xdr:rowOff>0</xdr:rowOff>
    </xdr:from>
    <xdr:to>
      <xdr:col>6</xdr:col>
      <xdr:colOff>430269</xdr:colOff>
      <xdr:row>19</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77EAD29-F8AC-428E-878B-E733C1A92C56}"/>
            </a:ext>
          </a:extLst>
        </xdr:cNvPr>
        <xdr:cNvPicPr>
          <a:picLocks noChangeAspect="1"/>
        </xdr:cNvPicPr>
      </xdr:nvPicPr>
      <xdr:blipFill>
        <a:blip xmlns:r="http://schemas.openxmlformats.org/officeDocument/2006/relationships" r:embed="rId2"/>
        <a:stretch>
          <a:fillRect/>
        </a:stretch>
      </xdr:blipFill>
      <xdr:spPr>
        <a:xfrm>
          <a:off x="5498274" y="3924300"/>
          <a:ext cx="334575" cy="538697"/>
        </a:xfrm>
        <a:prstGeom prst="rect">
          <a:avLst/>
        </a:prstGeom>
      </xdr:spPr>
    </xdr:pic>
    <xdr:clientData/>
  </xdr:twoCellAnchor>
  <xdr:twoCellAnchor editAs="oneCell">
    <xdr:from>
      <xdr:col>6</xdr:col>
      <xdr:colOff>563880</xdr:colOff>
      <xdr:row>16</xdr:row>
      <xdr:rowOff>182881</xdr:rowOff>
    </xdr:from>
    <xdr:to>
      <xdr:col>12</xdr:col>
      <xdr:colOff>655320</xdr:colOff>
      <xdr:row>19</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EF5758B-909B-4FAE-955A-D13144EC9FEC}"/>
            </a:ext>
          </a:extLst>
        </xdr:cNvPr>
        <xdr:cNvPicPr>
          <a:picLocks noChangeAspect="1"/>
        </xdr:cNvPicPr>
      </xdr:nvPicPr>
      <xdr:blipFill>
        <a:blip xmlns:r="http://schemas.openxmlformats.org/officeDocument/2006/relationships" r:embed="rId3"/>
        <a:stretch>
          <a:fillRect/>
        </a:stretch>
      </xdr:blipFill>
      <xdr:spPr>
        <a:xfrm>
          <a:off x="5966460" y="3886201"/>
          <a:ext cx="4709160" cy="610336"/>
        </a:xfrm>
        <a:prstGeom prst="rect">
          <a:avLst/>
        </a:prstGeom>
      </xdr:spPr>
    </xdr:pic>
    <xdr:clientData/>
  </xdr:twoCellAnchor>
</xdr:wsDr>
</file>

<file path=xl/drawings/drawing343.xml><?xml version="1.0" encoding="utf-8"?>
<xdr:wsDr xmlns:xdr="http://schemas.openxmlformats.org/drawingml/2006/spreadsheetDrawing" xmlns:a="http://schemas.openxmlformats.org/drawingml/2006/main">
  <xdr:twoCellAnchor>
    <xdr:from>
      <xdr:col>7</xdr:col>
      <xdr:colOff>53340</xdr:colOff>
      <xdr:row>10</xdr:row>
      <xdr:rowOff>15240</xdr:rowOff>
    </xdr:from>
    <xdr:to>
      <xdr:col>12</xdr:col>
      <xdr:colOff>777240</xdr:colOff>
      <xdr:row>24</xdr:row>
      <xdr:rowOff>175259</xdr:rowOff>
    </xdr:to>
    <xdr:graphicFrame macro="">
      <xdr:nvGraphicFramePr>
        <xdr:cNvPr id="2" name="1 Gráfico">
          <a:extLst>
            <a:ext uri="{FF2B5EF4-FFF2-40B4-BE49-F238E27FC236}">
              <a16:creationId xmlns:a16="http://schemas.microsoft.com/office/drawing/2014/main" id="{48A653DA-6758-4639-AFA5-FF3C7210A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4.xml><?xml version="1.0" encoding="utf-8"?>
<xdr:wsDr xmlns:xdr="http://schemas.openxmlformats.org/drawingml/2006/spreadsheetDrawing" xmlns:a="http://schemas.openxmlformats.org/drawingml/2006/main">
  <xdr:oneCellAnchor>
    <xdr:from>
      <xdr:col>3</xdr:col>
      <xdr:colOff>1825625</xdr:colOff>
      <xdr:row>15</xdr:row>
      <xdr:rowOff>92075</xdr:rowOff>
    </xdr:from>
    <xdr:ext cx="2135328" cy="3958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m:t>
                            </m:r>
                            <m:r>
                              <a:rPr lang="es-CR" sz="1100" b="0" i="1">
                                <a:latin typeface="Cambria Math" panose="02040503050406030204" pitchFamily="18" charset="0"/>
                              </a:rPr>
                              <m:t>𝑎𝑟𝑎𝑛𝑐𝑒</m:t>
                            </m:r>
                            <m:sSub>
                              <m:sSubPr>
                                <m:ctrlPr>
                                  <a:rPr lang="es-CR" sz="1100" b="0" i="1">
                                    <a:latin typeface="Cambria Math" panose="02040503050406030204" pitchFamily="18" charset="0"/>
                                  </a:rPr>
                                </m:ctrlPr>
                              </m:sSubPr>
                              <m:e>
                                <m:r>
                                  <a:rPr lang="es-CR" sz="1100" b="0" i="1">
                                    <a:latin typeface="Cambria Math" panose="02040503050406030204" pitchFamily="18" charset="0"/>
                                  </a:rPr>
                                  <m:t>𝑙</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r>
                              <a:rPr lang="es-CR" sz="1100" b="0" i="1">
                                <a:latin typeface="Cambria Math" panose="02040503050406030204" pitchFamily="18" charset="0"/>
                              </a:rPr>
                              <m:t>𝑖𝑚𝑝𝑜𝑟𝑡𝑎𝑐𝑖𝑜𝑛𝑒</m:t>
                            </m:r>
                            <m:sSub>
                              <m:sSubPr>
                                <m:ctrlPr>
                                  <a:rPr lang="es-CR" sz="1100" b="0" i="1">
                                    <a:latin typeface="Cambria Math" panose="02040503050406030204" pitchFamily="18" charset="0"/>
                                  </a:rPr>
                                </m:ctrlPr>
                              </m:sSubPr>
                              <m:e>
                                <m:r>
                                  <a:rPr lang="es-CR" sz="1100" b="0" i="1">
                                    <a:latin typeface="Cambria Math" panose="02040503050406030204" pitchFamily="18" charset="0"/>
                                  </a:rPr>
                                  <m:t>𝑠</m:t>
                                </m:r>
                              </m:e>
                              <m:sub>
                                <m: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Sub>
                            <m:r>
                              <a:rPr lang="es-CR" sz="1100" b="0" i="1">
                                <a:latin typeface="Cambria Math" panose="02040503050406030204" pitchFamily="18" charset="0"/>
                              </a:rPr>
                              <m:t>)</m:t>
                            </m:r>
                          </m:e>
                        </m:nary>
                      </m:num>
                      <m:den>
                        <m:nary>
                          <m:naryPr>
                            <m:chr m:val="∑"/>
                            <m:limLoc m:val="subSup"/>
                            <m:supHide m:val="on"/>
                            <m:ctrlPr>
                              <a:rPr lang="es-CR" sz="1100" i="1">
                                <a:latin typeface="Cambria Math" panose="02040503050406030204" pitchFamily="18" charset="0"/>
                              </a:rPr>
                            </m:ctrlPr>
                          </m:naryPr>
                          <m:sub>
                            <m:r>
                              <m:rPr>
                                <m:brk m:alnAt="9"/>
                              </m:rPr>
                              <a:rPr lang="es-CR" sz="1100" b="0" i="1">
                                <a:latin typeface="Cambria Math" panose="02040503050406030204" pitchFamily="18" charset="0"/>
                              </a:rPr>
                              <m:t>𝑖</m:t>
                            </m:r>
                            <m:r>
                              <a:rPr lang="es-CR" sz="1100" b="0" i="1">
                                <a:latin typeface="Cambria Math" panose="02040503050406030204" pitchFamily="18" charset="0"/>
                              </a:rPr>
                              <m:t>,</m:t>
                            </m:r>
                            <m:r>
                              <a:rPr lang="es-CR" sz="1100" b="0" i="1">
                                <a:latin typeface="Cambria Math" panose="02040503050406030204" pitchFamily="18" charset="0"/>
                              </a:rPr>
                              <m:t>𝑗</m:t>
                            </m:r>
                          </m:sub>
                          <m:sup/>
                          <m:e>
                            <m:r>
                              <a:rPr lang="es-CR" sz="1100" b="0" i="1">
                                <a:latin typeface="Cambria Math" panose="02040503050406030204" pitchFamily="18" charset="0"/>
                              </a:rPr>
                              <m:t>𝑖𝑚𝑝𝑜𝑟𝑡𝑎𝑐𝑖𝑜𝑛𝑒𝑠</m:t>
                            </m:r>
                          </m:e>
                        </m:nary>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C35D4D0D-9F47-4563-ADDE-0663F7917AB1}"/>
                </a:ext>
              </a:extLst>
            </xdr:cNvPr>
            <xdr:cNvSpPr txBox="1"/>
          </xdr:nvSpPr>
          <xdr:spPr>
            <a:xfrm>
              <a:off x="6069965" y="4123055"/>
              <a:ext cx="2135328" cy="395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(∑2</a:t>
              </a:r>
              <a:r>
                <a:rPr lang="es-CR" sz="1100" b="0" i="0">
                  <a:latin typeface="Cambria Math" panose="02040503050406030204" pitchFamily="18" charset="0"/>
                </a:rPr>
                <a:t>_(𝑖,𝑗)▒〖(𝑎𝑟𝑎𝑛𝑐𝑒𝑙_(𝑖,𝑗)∗𝑖𝑚𝑝𝑜𝑟𝑡𝑎𝑐𝑖𝑜𝑛𝑒𝑠_(𝑖,𝑗))〗)/(∑2_(𝑖,𝑗)▒𝑖𝑚𝑝𝑜𝑟𝑡𝑎𝑐𝑖𝑜𝑛𝑒𝑠)</a:t>
              </a:r>
              <a:endParaRPr lang="es-CR" sz="1100"/>
            </a:p>
          </xdr:txBody>
        </xdr:sp>
      </mc:Fallback>
    </mc:AlternateContent>
    <xdr:clientData/>
  </xdr:oneCellAnchor>
</xdr:wsDr>
</file>

<file path=xl/drawings/drawing34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23BA8A18-AE40-457F-A2F0-60DEC056065B}"/>
            </a:ext>
          </a:extLst>
        </xdr:cNvPr>
        <xdr:cNvPicPr>
          <a:picLocks noChangeAspect="1"/>
        </xdr:cNvPicPr>
      </xdr:nvPicPr>
      <xdr:blipFill>
        <a:blip xmlns:r="http://schemas.openxmlformats.org/officeDocument/2006/relationships" r:embed="rId2"/>
        <a:stretch>
          <a:fillRect/>
        </a:stretch>
      </xdr:blipFill>
      <xdr:spPr>
        <a:xfrm>
          <a:off x="5764974" y="23393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13B5FB13-85F6-4EC8-94CB-2A977F8097A8}"/>
            </a:ext>
          </a:extLst>
        </xdr:cNvPr>
        <xdr:cNvPicPr>
          <a:picLocks noChangeAspect="1"/>
        </xdr:cNvPicPr>
      </xdr:nvPicPr>
      <xdr:blipFill>
        <a:blip xmlns:r="http://schemas.openxmlformats.org/officeDocument/2006/relationships" r:embed="rId3"/>
        <a:stretch>
          <a:fillRect/>
        </a:stretch>
      </xdr:blipFill>
      <xdr:spPr>
        <a:xfrm>
          <a:off x="6233160" y="2301241"/>
          <a:ext cx="4709160" cy="610336"/>
        </a:xfrm>
        <a:prstGeom prst="rect">
          <a:avLst/>
        </a:prstGeom>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ED056BCD-7229-48EF-82B9-6796CDC81FE0}"/>
            </a:ext>
          </a:extLst>
        </xdr:cNvPr>
        <xdr:cNvPicPr>
          <a:picLocks noChangeAspect="1"/>
        </xdr:cNvPicPr>
      </xdr:nvPicPr>
      <xdr:blipFill>
        <a:blip xmlns:r="http://schemas.openxmlformats.org/officeDocument/2006/relationships" r:embed="rId2"/>
        <a:stretch>
          <a:fillRect/>
        </a:stretch>
      </xdr:blipFill>
      <xdr:spPr>
        <a:xfrm>
          <a:off x="5612574" y="30937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D405E68E-F2E9-46AF-9C19-3D906675DAB7}"/>
            </a:ext>
          </a:extLst>
        </xdr:cNvPr>
        <xdr:cNvPicPr>
          <a:picLocks noChangeAspect="1"/>
        </xdr:cNvPicPr>
      </xdr:nvPicPr>
      <xdr:blipFill>
        <a:blip xmlns:r="http://schemas.openxmlformats.org/officeDocument/2006/relationships" r:embed="rId3"/>
        <a:stretch>
          <a:fillRect/>
        </a:stretch>
      </xdr:blipFill>
      <xdr:spPr>
        <a:xfrm>
          <a:off x="6080760" y="3055621"/>
          <a:ext cx="4709160" cy="610336"/>
        </a:xfrm>
        <a:prstGeom prst="rect">
          <a:avLst/>
        </a:prstGeom>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82D3DBC9-4AE4-4FD3-8CE9-A96648F556B2}"/>
            </a:ext>
          </a:extLst>
        </xdr:cNvPr>
        <xdr:cNvPicPr>
          <a:picLocks noChangeAspect="1"/>
        </xdr:cNvPicPr>
      </xdr:nvPicPr>
      <xdr:blipFill>
        <a:blip xmlns:r="http://schemas.openxmlformats.org/officeDocument/2006/relationships" r:embed="rId2"/>
        <a:stretch>
          <a:fillRect/>
        </a:stretch>
      </xdr:blipFill>
      <xdr:spPr>
        <a:xfrm>
          <a:off x="5780214" y="23774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491465F2-F421-4E26-8DD1-972D4B6A198B}"/>
            </a:ext>
          </a:extLst>
        </xdr:cNvPr>
        <xdr:cNvPicPr>
          <a:picLocks noChangeAspect="1"/>
        </xdr:cNvPicPr>
      </xdr:nvPicPr>
      <xdr:blipFill>
        <a:blip xmlns:r="http://schemas.openxmlformats.org/officeDocument/2006/relationships" r:embed="rId3"/>
        <a:stretch>
          <a:fillRect/>
        </a:stretch>
      </xdr:blipFill>
      <xdr:spPr>
        <a:xfrm>
          <a:off x="6248400" y="2339341"/>
          <a:ext cx="4709160" cy="610336"/>
        </a:xfrm>
        <a:prstGeom prst="rect">
          <a:avLst/>
        </a:prstGeom>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D724AD3A-C014-4C61-B612-DC2956B5C754}"/>
            </a:ext>
          </a:extLst>
        </xdr:cNvPr>
        <xdr:cNvPicPr>
          <a:picLocks noChangeAspect="1"/>
        </xdr:cNvPicPr>
      </xdr:nvPicPr>
      <xdr:blipFill>
        <a:blip xmlns:r="http://schemas.openxmlformats.org/officeDocument/2006/relationships" r:embed="rId2"/>
        <a:stretch>
          <a:fillRect/>
        </a:stretch>
      </xdr:blipFill>
      <xdr:spPr>
        <a:xfrm>
          <a:off x="549827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844A713-66F6-4B66-9CDB-673A3B5D5FDB}"/>
            </a:ext>
          </a:extLst>
        </xdr:cNvPr>
        <xdr:cNvPicPr>
          <a:picLocks noChangeAspect="1"/>
        </xdr:cNvPicPr>
      </xdr:nvPicPr>
      <xdr:blipFill>
        <a:blip xmlns:r="http://schemas.openxmlformats.org/officeDocument/2006/relationships" r:embed="rId3"/>
        <a:stretch>
          <a:fillRect/>
        </a:stretch>
      </xdr:blipFill>
      <xdr:spPr>
        <a:xfrm>
          <a:off x="5966460" y="2331721"/>
          <a:ext cx="4709160" cy="610336"/>
        </a:xfrm>
        <a:prstGeom prst="rect">
          <a:avLst/>
        </a:prstGeom>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C34FC51-E117-4FE1-9F12-4BB200592ABF}"/>
            </a:ext>
          </a:extLst>
        </xdr:cNvPr>
        <xdr:cNvPicPr>
          <a:picLocks noChangeAspect="1"/>
        </xdr:cNvPicPr>
      </xdr:nvPicPr>
      <xdr:blipFill>
        <a:blip xmlns:r="http://schemas.openxmlformats.org/officeDocument/2006/relationships" r:embed="rId2"/>
        <a:stretch>
          <a:fillRect/>
        </a:stretch>
      </xdr:blipFill>
      <xdr:spPr>
        <a:xfrm>
          <a:off x="5437314" y="236982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0E24789-C221-453E-AFBC-056888CDF385}"/>
            </a:ext>
          </a:extLst>
        </xdr:cNvPr>
        <xdr:cNvPicPr>
          <a:picLocks noChangeAspect="1"/>
        </xdr:cNvPicPr>
      </xdr:nvPicPr>
      <xdr:blipFill>
        <a:blip xmlns:r="http://schemas.openxmlformats.org/officeDocument/2006/relationships" r:embed="rId3"/>
        <a:stretch>
          <a:fillRect/>
        </a:stretch>
      </xdr:blipFill>
      <xdr:spPr>
        <a:xfrm>
          <a:off x="5905500" y="2331721"/>
          <a:ext cx="4709160" cy="6103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24765</xdr:colOff>
      <xdr:row>33</xdr:row>
      <xdr:rowOff>8572</xdr:rowOff>
    </xdr:from>
    <xdr:to>
      <xdr:col>11</xdr:col>
      <xdr:colOff>81915</xdr:colOff>
      <xdr:row>49</xdr:row>
      <xdr:rowOff>103822</xdr:rowOff>
    </xdr:to>
    <xdr:graphicFrame macro="">
      <xdr:nvGraphicFramePr>
        <xdr:cNvPr id="2" name="Gráfico 1">
          <a:extLst>
            <a:ext uri="{FF2B5EF4-FFF2-40B4-BE49-F238E27FC236}">
              <a16:creationId xmlns:a16="http://schemas.microsoft.com/office/drawing/2014/main" id="{8F590B1F-A0EE-45A9-A1C6-4754FD231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0.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038B1DA-8CA6-45DE-81DC-2A7764E00F00}"/>
            </a:ext>
          </a:extLst>
        </xdr:cNvPr>
        <xdr:cNvPicPr>
          <a:picLocks noChangeAspect="1"/>
        </xdr:cNvPicPr>
      </xdr:nvPicPr>
      <xdr:blipFill>
        <a:blip xmlns:r="http://schemas.openxmlformats.org/officeDocument/2006/relationships" r:embed="rId2"/>
        <a:stretch>
          <a:fillRect/>
        </a:stretch>
      </xdr:blipFill>
      <xdr:spPr>
        <a:xfrm>
          <a:off x="552113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4E3EEAE-A2D9-4291-A2C9-486B1A985E32}"/>
            </a:ext>
          </a:extLst>
        </xdr:cNvPr>
        <xdr:cNvPicPr>
          <a:picLocks noChangeAspect="1"/>
        </xdr:cNvPicPr>
      </xdr:nvPicPr>
      <xdr:blipFill>
        <a:blip xmlns:r="http://schemas.openxmlformats.org/officeDocument/2006/relationships" r:embed="rId3"/>
        <a:stretch>
          <a:fillRect/>
        </a:stretch>
      </xdr:blipFill>
      <xdr:spPr>
        <a:xfrm>
          <a:off x="5989320" y="2735581"/>
          <a:ext cx="4709160" cy="610336"/>
        </a:xfrm>
        <a:prstGeom prst="rect">
          <a:avLst/>
        </a:prstGeom>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C1CE3A30-87A8-4CED-9B14-52563BD5BB2C}"/>
            </a:ext>
          </a:extLst>
        </xdr:cNvPr>
        <xdr:cNvPicPr>
          <a:picLocks noChangeAspect="1"/>
        </xdr:cNvPicPr>
      </xdr:nvPicPr>
      <xdr:blipFill>
        <a:blip xmlns:r="http://schemas.openxmlformats.org/officeDocument/2006/relationships" r:embed="rId2"/>
        <a:stretch>
          <a:fillRect/>
        </a:stretch>
      </xdr:blipFill>
      <xdr:spPr>
        <a:xfrm>
          <a:off x="5429694" y="25679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1B75BBC-AB36-492A-A264-C9A0EFAA5914}"/>
            </a:ext>
          </a:extLst>
        </xdr:cNvPr>
        <xdr:cNvPicPr>
          <a:picLocks noChangeAspect="1"/>
        </xdr:cNvPicPr>
      </xdr:nvPicPr>
      <xdr:blipFill>
        <a:blip xmlns:r="http://schemas.openxmlformats.org/officeDocument/2006/relationships" r:embed="rId3"/>
        <a:stretch>
          <a:fillRect/>
        </a:stretch>
      </xdr:blipFill>
      <xdr:spPr>
        <a:xfrm>
          <a:off x="5897880" y="2529841"/>
          <a:ext cx="4709160" cy="610336"/>
        </a:xfrm>
        <a:prstGeom prst="rect">
          <a:avLst/>
        </a:prstGeom>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A5DD0D97-E87C-4CAC-935E-CD9AF34FC223}"/>
            </a:ext>
          </a:extLst>
        </xdr:cNvPr>
        <xdr:cNvPicPr>
          <a:picLocks noChangeAspect="1"/>
        </xdr:cNvPicPr>
      </xdr:nvPicPr>
      <xdr:blipFill>
        <a:blip xmlns:r="http://schemas.openxmlformats.org/officeDocument/2006/relationships" r:embed="rId2"/>
        <a:stretch>
          <a:fillRect/>
        </a:stretch>
      </xdr:blipFill>
      <xdr:spPr>
        <a:xfrm>
          <a:off x="5300154" y="28422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CA2DB4F1-FA38-405B-A0BC-F22C667ADB04}"/>
            </a:ext>
          </a:extLst>
        </xdr:cNvPr>
        <xdr:cNvPicPr>
          <a:picLocks noChangeAspect="1"/>
        </xdr:cNvPicPr>
      </xdr:nvPicPr>
      <xdr:blipFill>
        <a:blip xmlns:r="http://schemas.openxmlformats.org/officeDocument/2006/relationships" r:embed="rId3"/>
        <a:stretch>
          <a:fillRect/>
        </a:stretch>
      </xdr:blipFill>
      <xdr:spPr>
        <a:xfrm>
          <a:off x="5768340" y="2804161"/>
          <a:ext cx="4709160" cy="610336"/>
        </a:xfrm>
        <a:prstGeom prst="rect">
          <a:avLst/>
        </a:prstGeom>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70EAC4A-0C3F-445E-ACE3-014345DBC843}"/>
            </a:ext>
          </a:extLst>
        </xdr:cNvPr>
        <xdr:cNvPicPr>
          <a:picLocks noChangeAspect="1"/>
        </xdr:cNvPicPr>
      </xdr:nvPicPr>
      <xdr:blipFill>
        <a:blip xmlns:r="http://schemas.openxmlformats.org/officeDocument/2006/relationships" r:embed="rId2"/>
        <a:stretch>
          <a:fillRect/>
        </a:stretch>
      </xdr:blipFill>
      <xdr:spPr>
        <a:xfrm>
          <a:off x="5582094" y="264414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1F3A749-C0A8-4CEC-8936-90AEE13138D5}"/>
            </a:ext>
          </a:extLst>
        </xdr:cNvPr>
        <xdr:cNvPicPr>
          <a:picLocks noChangeAspect="1"/>
        </xdr:cNvPicPr>
      </xdr:nvPicPr>
      <xdr:blipFill>
        <a:blip xmlns:r="http://schemas.openxmlformats.org/officeDocument/2006/relationships" r:embed="rId3"/>
        <a:stretch>
          <a:fillRect/>
        </a:stretch>
      </xdr:blipFill>
      <xdr:spPr>
        <a:xfrm>
          <a:off x="6050280" y="2606041"/>
          <a:ext cx="4709160" cy="610336"/>
        </a:xfrm>
        <a:prstGeom prst="rect">
          <a:avLst/>
        </a:prstGeom>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6AA1B174-D4AB-4F9D-A700-3DADCAEA630E}"/>
            </a:ext>
          </a:extLst>
        </xdr:cNvPr>
        <xdr:cNvPicPr>
          <a:picLocks noChangeAspect="1"/>
        </xdr:cNvPicPr>
      </xdr:nvPicPr>
      <xdr:blipFill>
        <a:blip xmlns:r="http://schemas.openxmlformats.org/officeDocument/2006/relationships" r:embed="rId2"/>
        <a:stretch>
          <a:fillRect/>
        </a:stretch>
      </xdr:blipFill>
      <xdr:spPr>
        <a:xfrm>
          <a:off x="5521134" y="276606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949B6943-9C05-43BE-A586-456F574635E7}"/>
            </a:ext>
          </a:extLst>
        </xdr:cNvPr>
        <xdr:cNvPicPr>
          <a:picLocks noChangeAspect="1"/>
        </xdr:cNvPicPr>
      </xdr:nvPicPr>
      <xdr:blipFill>
        <a:blip xmlns:r="http://schemas.openxmlformats.org/officeDocument/2006/relationships" r:embed="rId3"/>
        <a:stretch>
          <a:fillRect/>
        </a:stretch>
      </xdr:blipFill>
      <xdr:spPr>
        <a:xfrm>
          <a:off x="5989320" y="2727961"/>
          <a:ext cx="4709160" cy="610336"/>
        </a:xfrm>
        <a:prstGeom prst="rect">
          <a:avLst/>
        </a:prstGeom>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6</xdr:col>
      <xdr:colOff>95694</xdr:colOff>
      <xdr:row>11</xdr:row>
      <xdr:rowOff>0</xdr:rowOff>
    </xdr:from>
    <xdr:to>
      <xdr:col>6</xdr:col>
      <xdr:colOff>430269</xdr:colOff>
      <xdr:row>13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4BC64E5B-8360-4EC5-9FA4-30C80C985448}"/>
            </a:ext>
          </a:extLst>
        </xdr:cNvPr>
        <xdr:cNvPicPr>
          <a:picLocks noChangeAspect="1"/>
        </xdr:cNvPicPr>
      </xdr:nvPicPr>
      <xdr:blipFill>
        <a:blip xmlns:r="http://schemas.openxmlformats.org/officeDocument/2006/relationships" r:embed="rId2"/>
        <a:stretch>
          <a:fillRect/>
        </a:stretch>
      </xdr:blipFill>
      <xdr:spPr>
        <a:xfrm>
          <a:off x="5437314" y="2773680"/>
          <a:ext cx="334575" cy="538697"/>
        </a:xfrm>
        <a:prstGeom prst="rect">
          <a:avLst/>
        </a:prstGeom>
      </xdr:spPr>
    </xdr:pic>
    <xdr:clientData/>
  </xdr:twoCellAnchor>
  <xdr:twoCellAnchor editAs="oneCell">
    <xdr:from>
      <xdr:col>6</xdr:col>
      <xdr:colOff>563880</xdr:colOff>
      <xdr:row>10</xdr:row>
      <xdr:rowOff>182881</xdr:rowOff>
    </xdr:from>
    <xdr:to>
      <xdr:col>12</xdr:col>
      <xdr:colOff>563880</xdr:colOff>
      <xdr:row>13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36DE0CC0-BEBB-47A1-8695-8056D38C03D8}"/>
            </a:ext>
          </a:extLst>
        </xdr:cNvPr>
        <xdr:cNvPicPr>
          <a:picLocks noChangeAspect="1"/>
        </xdr:cNvPicPr>
      </xdr:nvPicPr>
      <xdr:blipFill>
        <a:blip xmlns:r="http://schemas.openxmlformats.org/officeDocument/2006/relationships" r:embed="rId3"/>
        <a:stretch>
          <a:fillRect/>
        </a:stretch>
      </xdr:blipFill>
      <xdr:spPr>
        <a:xfrm>
          <a:off x="5905500" y="2735581"/>
          <a:ext cx="4709160" cy="6103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F5666D6-BB97-469F-A7ED-EEE0DF316B3D}"/>
                </a:ext>
              </a:extLst>
            </xdr:cNvPr>
            <xdr:cNvSpPr txBox="1"/>
          </xdr:nvSpPr>
          <xdr:spPr>
            <a:xfrm>
              <a:off x="4018324" y="464071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xdr:from>
      <xdr:col>1</xdr:col>
      <xdr:colOff>997266</xdr:colOff>
      <xdr:row>33</xdr:row>
      <xdr:rowOff>106681</xdr:rowOff>
    </xdr:from>
    <xdr:to>
      <xdr:col>11</xdr:col>
      <xdr:colOff>518159</xdr:colOff>
      <xdr:row>51</xdr:row>
      <xdr:rowOff>121921</xdr:rowOff>
    </xdr:to>
    <xdr:graphicFrame macro="">
      <xdr:nvGraphicFramePr>
        <xdr:cNvPr id="2" name="Gráfico 1">
          <a:extLst>
            <a:ext uri="{FF2B5EF4-FFF2-40B4-BE49-F238E27FC236}">
              <a16:creationId xmlns:a16="http://schemas.microsoft.com/office/drawing/2014/main" id="{898E48D7-24DE-4D88-82E0-F6B3A84C5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EF6F4D0E-D52E-4A1B-BEE0-474AB4C6B2F7}"/>
                </a:ext>
              </a:extLst>
            </xdr:cNvPr>
            <xdr:cNvSpPr txBox="1"/>
          </xdr:nvSpPr>
          <xdr:spPr>
            <a:xfrm>
              <a:off x="4129086" y="530352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xdr:from>
      <xdr:col>12</xdr:col>
      <xdr:colOff>502919</xdr:colOff>
      <xdr:row>10</xdr:row>
      <xdr:rowOff>130493</xdr:rowOff>
    </xdr:from>
    <xdr:to>
      <xdr:col>19</xdr:col>
      <xdr:colOff>753426</xdr:colOff>
      <xdr:row>22</xdr:row>
      <xdr:rowOff>114301</xdr:rowOff>
    </xdr:to>
    <xdr:graphicFrame macro="">
      <xdr:nvGraphicFramePr>
        <xdr:cNvPr id="2" name="Gráfico 1">
          <a:extLst>
            <a:ext uri="{FF2B5EF4-FFF2-40B4-BE49-F238E27FC236}">
              <a16:creationId xmlns:a16="http://schemas.microsoft.com/office/drawing/2014/main" id="{E8D6CDD3-E039-42F8-AF5B-82A4DCEE2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83588DE5-F257-46EC-A9CC-89842E39D637}"/>
                </a:ext>
              </a:extLst>
            </xdr:cNvPr>
            <xdr:cNvSpPr txBox="1"/>
          </xdr:nvSpPr>
          <xdr:spPr>
            <a:xfrm>
              <a:off x="4842019" y="654349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71E1F0C-A648-4FAD-839D-D19EDDF1228F}"/>
                </a:ext>
              </a:extLst>
            </xdr:cNvPr>
            <xdr:cNvSpPr txBox="1"/>
          </xdr:nvSpPr>
          <xdr:spPr>
            <a:xfrm>
              <a:off x="5396431" y="955513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C6744AE-C23F-47BA-893A-C0252E0C6D46}"/>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5F7F08E-8069-41C7-A4D3-0ADBA1403968}"/>
                </a:ext>
              </a:extLst>
            </xdr:cNvPr>
            <xdr:cNvSpPr txBox="1"/>
          </xdr:nvSpPr>
          <xdr:spPr>
            <a:xfrm>
              <a:off x="4290060" y="576738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25</xdr:row>
      <xdr:rowOff>80962</xdr:rowOff>
    </xdr:to>
    <xdr:graphicFrame macro="">
      <xdr:nvGraphicFramePr>
        <xdr:cNvPr id="2" name="Gráfico 1">
          <a:extLst>
            <a:ext uri="{FF2B5EF4-FFF2-40B4-BE49-F238E27FC236}">
              <a16:creationId xmlns:a16="http://schemas.microsoft.com/office/drawing/2014/main" id="{E2439FD7-3F3E-44BA-B8DD-362B87606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E23235EE-4AB4-4C43-B250-12EECCC636A8}"/>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B0215058-560D-415E-8A9B-4DEBB847297C}"/>
                </a:ext>
              </a:extLst>
            </xdr:cNvPr>
            <xdr:cNvSpPr txBox="1"/>
          </xdr:nvSpPr>
          <xdr:spPr>
            <a:xfrm>
              <a:off x="4259156" y="679407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twoCellAnchor>
    <xdr:from>
      <xdr:col>10</xdr:col>
      <xdr:colOff>1021079</xdr:colOff>
      <xdr:row>10</xdr:row>
      <xdr:rowOff>90487</xdr:rowOff>
    </xdr:from>
    <xdr:to>
      <xdr:col>17</xdr:col>
      <xdr:colOff>474344</xdr:colOff>
      <xdr:row>23</xdr:row>
      <xdr:rowOff>106681</xdr:rowOff>
    </xdr:to>
    <xdr:graphicFrame macro="">
      <xdr:nvGraphicFramePr>
        <xdr:cNvPr id="2" name="7 Gráfico">
          <a:extLst>
            <a:ext uri="{FF2B5EF4-FFF2-40B4-BE49-F238E27FC236}">
              <a16:creationId xmlns:a16="http://schemas.microsoft.com/office/drawing/2014/main" id="{7A1CC92F-3BDE-4A9E-940A-6EB235319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1D00BAA-F20F-42A9-8B87-A26EC9B8B631}"/>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888797E1-AE82-4273-AE02-BAB3AD1E4823}"/>
                </a:ext>
              </a:extLst>
            </xdr:cNvPr>
            <xdr:cNvSpPr txBox="1"/>
          </xdr:nvSpPr>
          <xdr:spPr>
            <a:xfrm>
              <a:off x="3970020" y="494728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twoCellAnchor>
    <xdr:from>
      <xdr:col>7</xdr:col>
      <xdr:colOff>0</xdr:colOff>
      <xdr:row>10</xdr:row>
      <xdr:rowOff>98107</xdr:rowOff>
    </xdr:from>
    <xdr:to>
      <xdr:col>12</xdr:col>
      <xdr:colOff>728662</xdr:colOff>
      <xdr:row>24</xdr:row>
      <xdr:rowOff>190500</xdr:rowOff>
    </xdr:to>
    <xdr:graphicFrame macro="">
      <xdr:nvGraphicFramePr>
        <xdr:cNvPr id="2" name="Gráfico 1">
          <a:extLst>
            <a:ext uri="{FF2B5EF4-FFF2-40B4-BE49-F238E27FC236}">
              <a16:creationId xmlns:a16="http://schemas.microsoft.com/office/drawing/2014/main" id="{7AFFDF17-E854-4A84-B5ED-F12C7AE5C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95E6D0DB-C0B6-4D01-A5CB-3099D4B4C1B4}"/>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3" name="CuadroTexto 2">
              <a:extLst>
                <a:ext uri="{FF2B5EF4-FFF2-40B4-BE49-F238E27FC236}">
                  <a16:creationId xmlns:a16="http://schemas.microsoft.com/office/drawing/2014/main" id="{3444132D-9B23-4122-8A09-A16F3876AFD8}"/>
                </a:ext>
              </a:extLst>
            </xdr:cNvPr>
            <xdr:cNvSpPr txBox="1"/>
          </xdr:nvSpPr>
          <xdr:spPr>
            <a:xfrm>
              <a:off x="4443888" y="507682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twoCellAnchor>
    <xdr:from>
      <xdr:col>1</xdr:col>
      <xdr:colOff>1041400</xdr:colOff>
      <xdr:row>34</xdr:row>
      <xdr:rowOff>100647</xdr:rowOff>
    </xdr:from>
    <xdr:to>
      <xdr:col>9</xdr:col>
      <xdr:colOff>41275</xdr:colOff>
      <xdr:row>54</xdr:row>
      <xdr:rowOff>90170</xdr:rowOff>
    </xdr:to>
    <xdr:graphicFrame macro="">
      <xdr:nvGraphicFramePr>
        <xdr:cNvPr id="2" name="Gráfico 1">
          <a:extLst>
            <a:ext uri="{FF2B5EF4-FFF2-40B4-BE49-F238E27FC236}">
              <a16:creationId xmlns:a16="http://schemas.microsoft.com/office/drawing/2014/main" id="{C6815297-99B5-4F4C-AD4C-176C9A9FD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69D633D8-B69A-465B-AA8B-CD5EA1200533}"/>
                </a:ext>
              </a:extLst>
            </xdr:cNvPr>
            <xdr:cNvSpPr txBox="1"/>
          </xdr:nvSpPr>
          <xdr:spPr>
            <a:xfrm>
              <a:off x="4545331" y="88415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oneCellAnchor>
    <xdr:from>
      <xdr:col>3</xdr:col>
      <xdr:colOff>12700</xdr:colOff>
      <xdr:row>15</xdr:row>
      <xdr:rowOff>34699</xdr:rowOff>
    </xdr:from>
    <xdr:ext cx="6019800" cy="47532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A125AB6-693F-4739-826B-21A221A288C3}"/>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3" name="CuadroTexto 2">
              <a:extLst>
                <a:ext uri="{FF2B5EF4-FFF2-40B4-BE49-F238E27FC236}">
                  <a16:creationId xmlns:a16="http://schemas.microsoft.com/office/drawing/2014/main" id="{AA125AB6-693F-4739-826B-21A221A288C3}"/>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twoCellAnchor>
    <xdr:from>
      <xdr:col>2</xdr:col>
      <xdr:colOff>43815</xdr:colOff>
      <xdr:row>35</xdr:row>
      <xdr:rowOff>82867</xdr:rowOff>
    </xdr:from>
    <xdr:to>
      <xdr:col>8</xdr:col>
      <xdr:colOff>43815</xdr:colOff>
      <xdr:row>51</xdr:row>
      <xdr:rowOff>88582</xdr:rowOff>
    </xdr:to>
    <xdr:graphicFrame macro="">
      <xdr:nvGraphicFramePr>
        <xdr:cNvPr id="2" name="Gráfico 1">
          <a:extLst>
            <a:ext uri="{FF2B5EF4-FFF2-40B4-BE49-F238E27FC236}">
              <a16:creationId xmlns:a16="http://schemas.microsoft.com/office/drawing/2014/main" id="{EE3E36ED-2EF1-48EF-AA8D-0FE29EB5B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30</xdr:row>
      <xdr:rowOff>166687</xdr:rowOff>
    </xdr:from>
    <xdr:to>
      <xdr:col>13</xdr:col>
      <xdr:colOff>361950</xdr:colOff>
      <xdr:row>46</xdr:row>
      <xdr:rowOff>58737</xdr:rowOff>
    </xdr:to>
    <xdr:graphicFrame macro="">
      <xdr:nvGraphicFramePr>
        <xdr:cNvPr id="2" name="Gráfico 1">
          <a:extLst>
            <a:ext uri="{FF2B5EF4-FFF2-40B4-BE49-F238E27FC236}">
              <a16:creationId xmlns:a16="http://schemas.microsoft.com/office/drawing/2014/main" id="{749B081D-4AFB-47DC-A93B-7492C369A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460F19F8-6D94-4C2A-95AF-555F19F4902E}"/>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twoCellAnchor>
    <xdr:from>
      <xdr:col>1</xdr:col>
      <xdr:colOff>981075</xdr:colOff>
      <xdr:row>32</xdr:row>
      <xdr:rowOff>31432</xdr:rowOff>
    </xdr:from>
    <xdr:to>
      <xdr:col>11</xdr:col>
      <xdr:colOff>575310</xdr:colOff>
      <xdr:row>51</xdr:row>
      <xdr:rowOff>12382</xdr:rowOff>
    </xdr:to>
    <xdr:graphicFrame macro="">
      <xdr:nvGraphicFramePr>
        <xdr:cNvPr id="2" name="Gráfico 1">
          <a:extLst>
            <a:ext uri="{FF2B5EF4-FFF2-40B4-BE49-F238E27FC236}">
              <a16:creationId xmlns:a16="http://schemas.microsoft.com/office/drawing/2014/main" id="{9275BE22-BEA5-4948-9C5D-D6D55BB8E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3</xdr:col>
      <xdr:colOff>39325</xdr:colOff>
      <xdr:row>15</xdr:row>
      <xdr:rowOff>426720</xdr:rowOff>
    </xdr:from>
    <xdr:ext cx="540135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2F9795B2-8D2C-44BD-8BFC-A99540F2EFE1}"/>
                </a:ext>
              </a:extLst>
            </xdr:cNvPr>
            <xdr:cNvSpPr txBox="1"/>
          </xdr:nvSpPr>
          <xdr:spPr>
            <a:xfrm>
              <a:off x="4146505" y="702564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twoCellAnchor editAs="oneCell">
    <xdr:from>
      <xdr:col>3</xdr:col>
      <xdr:colOff>31680</xdr:colOff>
      <xdr:row>15</xdr:row>
      <xdr:rowOff>175320</xdr:rowOff>
    </xdr:from>
    <xdr:to>
      <xdr:col>3</xdr:col>
      <xdr:colOff>5430135</xdr:colOff>
      <xdr:row>15</xdr:row>
      <xdr:rowOff>425310</xdr:rowOff>
    </xdr:to>
    <xdr:sp macro="" textlink="">
      <xdr:nvSpPr>
        <xdr:cNvPr id="3" name="CuadroTexto 1">
          <a:extLst>
            <a:ext uri="{FF2B5EF4-FFF2-40B4-BE49-F238E27FC236}">
              <a16:creationId xmlns:a16="http://schemas.microsoft.com/office/drawing/2014/main" id="{8F3FC8E7-EC49-4F15-AE0A-6CC1CD218BDE}"/>
            </a:ext>
          </a:extLst>
        </xdr:cNvPr>
        <xdr:cNvSpPr/>
      </xdr:nvSpPr>
      <xdr:spPr>
        <a:xfrm>
          <a:off x="4138860" y="6774240"/>
          <a:ext cx="5398455" cy="24999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000" b="0" strike="noStrike" spc="-1">
              <a:solidFill>
                <a:schemeClr val="dk1"/>
              </a:solidFill>
              <a:latin typeface="Cambria Math"/>
            </a:rPr>
            <a:t>(</a:t>
          </a:r>
          <a:r>
            <a:rPr lang="es-ES" sz="1000" b="0" strike="noStrike" spc="-1">
              <a:solidFill>
                <a:schemeClr val="dk1"/>
              </a:solidFill>
              <a:latin typeface="Cambria Math"/>
            </a:rPr>
            <a:t>𝑃</a:t>
          </a:r>
          <a:r>
            <a:rPr lang="es-CR" sz="1000" b="0" strike="noStrike" spc="-1">
              <a:solidFill>
                <a:schemeClr val="dk1"/>
              </a:solidFill>
              <a:latin typeface="Cambria Math"/>
            </a:rPr>
            <a:t>𝑒</a:t>
          </a:r>
          <a:r>
            <a:rPr lang="es-ES" sz="1000" b="0" strike="noStrike" spc="-1">
              <a:solidFill>
                <a:schemeClr val="dk1"/>
              </a:solidFill>
              <a:latin typeface="Cambria Math"/>
            </a:rPr>
            <a:t>𝑟</a:t>
          </a:r>
          <a:r>
            <a:rPr lang="es-CR" sz="1000" b="0" strike="noStrike" spc="-1">
              <a:solidFill>
                <a:schemeClr val="dk1"/>
              </a:solidFill>
              <a:latin typeface="Cambria Math"/>
            </a:rPr>
            <a:t>𝑠𝑜𝑛𝑎𝑠 𝑎𝑡𝑒𝑛𝑑𝑖𝑑𝑎𝑠 </a:t>
          </a:r>
          <a:r>
            <a:rPr lang="es-ES" sz="1000" b="0" strike="noStrike" spc="-1">
              <a:solidFill>
                <a:schemeClr val="dk1"/>
              </a:solidFill>
              <a:latin typeface="Cambria Math"/>
            </a:rPr>
            <a:t>𝑝𝑜𝑟</a:t>
          </a:r>
          <a:r>
            <a:rPr lang="es-CR" sz="1000" b="0" strike="noStrike" spc="-1">
              <a:solidFill>
                <a:schemeClr val="dk1"/>
              </a:solidFill>
              <a:latin typeface="Cambria Math"/>
            </a:rPr>
            <a:t> 𝑐𝑜𝑛𝑠𝑢𝑚𝑜 𝑝𝑟𝑜𝑏𝑙𝑒𝑚á𝑡𝑖𝑐𝑜 𝑑𝑒 </a:t>
          </a:r>
          <a:r>
            <a:rPr lang="es-ES" sz="1000" b="0" strike="noStrike" spc="-1">
              <a:solidFill>
                <a:schemeClr val="dk1"/>
              </a:solidFill>
              <a:latin typeface="Cambria Math"/>
            </a:rPr>
            <a:t>𝑆𝑃𝐴 𝑒𝑛 𝑒𝑙 𝑆𝑁𝑇</a:t>
          </a:r>
          <a:r>
            <a:rPr lang="es-CR" sz="1000" b="0" strike="noStrike" spc="-1">
              <a:solidFill>
                <a:schemeClr val="dk1"/>
              </a:solidFill>
              <a:latin typeface="Cambria Math"/>
            </a:rPr>
            <a:t>)/(</a:t>
          </a:r>
          <a:r>
            <a:rPr lang="es-ES" sz="1000" b="0" strike="noStrike" spc="-1">
              <a:solidFill>
                <a:schemeClr val="dk1"/>
              </a:solidFill>
              <a:latin typeface="Cambria Math"/>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strike="noStrike" spc="-1">
              <a:solidFill>
                <a:schemeClr val="dk1"/>
              </a:solidFill>
              <a:latin typeface="Cambria Math"/>
            </a:rPr>
            <a:t>)</a:t>
          </a:r>
          <a:r>
            <a:rPr lang="es-CR" sz="1000" b="0" strike="noStrike" spc="-1">
              <a:solidFill>
                <a:schemeClr val="dk1"/>
              </a:solidFill>
              <a:latin typeface="Cambria Math"/>
              <a:ea typeface="Cambria Math"/>
            </a:rPr>
            <a:t>×100</a:t>
          </a:r>
          <a:endParaRPr lang="en-US" sz="1000" b="0" strike="noStrike" spc="-1">
            <a:latin typeface="Times New Roman"/>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23812</xdr:colOff>
      <xdr:row>31</xdr:row>
      <xdr:rowOff>80962</xdr:rowOff>
    </xdr:from>
    <xdr:to>
      <xdr:col>11</xdr:col>
      <xdr:colOff>119062</xdr:colOff>
      <xdr:row>50</xdr:row>
      <xdr:rowOff>109537</xdr:rowOff>
    </xdr:to>
    <xdr:graphicFrame macro="">
      <xdr:nvGraphicFramePr>
        <xdr:cNvPr id="2" name="Gráfico 1">
          <a:extLst>
            <a:ext uri="{FF2B5EF4-FFF2-40B4-BE49-F238E27FC236}">
              <a16:creationId xmlns:a16="http://schemas.microsoft.com/office/drawing/2014/main" id="{C2A516B4-1C49-48B8-AA01-672CF7C7B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3</xdr:col>
      <xdr:colOff>62594</xdr:colOff>
      <xdr:row>15</xdr:row>
      <xdr:rowOff>390525</xdr:rowOff>
    </xdr:from>
    <xdr:ext cx="5404756" cy="800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88BC93A1-E5D8-4797-AFFA-EAFEB7B5D8BB}"/>
                </a:ext>
              </a:extLst>
            </xdr:cNvPr>
            <xdr:cNvSpPr txBox="1"/>
          </xdr:nvSpPr>
          <xdr:spPr>
            <a:xfrm>
              <a:off x="4169774" y="58388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62640</xdr:colOff>
      <xdr:row>15</xdr:row>
      <xdr:rowOff>390600</xdr:rowOff>
    </xdr:from>
    <xdr:to>
      <xdr:col>3</xdr:col>
      <xdr:colOff>5462790</xdr:colOff>
      <xdr:row>15</xdr:row>
      <xdr:rowOff>1192065</xdr:rowOff>
    </xdr:to>
    <xdr:sp macro="" textlink="">
      <xdr:nvSpPr>
        <xdr:cNvPr id="3" name="CuadroTexto 1">
          <a:extLst>
            <a:ext uri="{FF2B5EF4-FFF2-40B4-BE49-F238E27FC236}">
              <a16:creationId xmlns:a16="http://schemas.microsoft.com/office/drawing/2014/main" id="{251E4789-23A0-42B9-AC02-F3D286CD7058}"/>
            </a:ext>
          </a:extLst>
        </xdr:cNvPr>
        <xdr:cNvSpPr/>
      </xdr:nvSpPr>
      <xdr:spPr>
        <a:xfrm>
          <a:off x="4169820" y="5838900"/>
          <a:ext cx="5400150" cy="80146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noAutofit/>
        </a:bodyPr>
        <a:lstStyle/>
        <a:p>
          <a:pPr>
            <a:lnSpc>
              <a:spcPct val="100000"/>
            </a:lnSpc>
          </a:pPr>
          <a:r>
            <a:rPr lang="es-CR" sz="1200" b="0" strike="noStrike" spc="-1">
              <a:solidFill>
                <a:schemeClr val="dk1"/>
              </a:solidFill>
              <a:latin typeface="Cambria Math"/>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strike="noStrike" spc="-1">
              <a:solidFill>
                <a:schemeClr val="dk1"/>
              </a:solidFill>
              <a:latin typeface="Cambria Math"/>
              <a:ea typeface="Cambria Math"/>
            </a:rPr>
            <a:t>×</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1114425</xdr:colOff>
      <xdr:row>30</xdr:row>
      <xdr:rowOff>56197</xdr:rowOff>
    </xdr:from>
    <xdr:to>
      <xdr:col>8</xdr:col>
      <xdr:colOff>219075</xdr:colOff>
      <xdr:row>49</xdr:row>
      <xdr:rowOff>84772</xdr:rowOff>
    </xdr:to>
    <xdr:graphicFrame macro="">
      <xdr:nvGraphicFramePr>
        <xdr:cNvPr id="2" name="Gráfico 1">
          <a:extLst>
            <a:ext uri="{FF2B5EF4-FFF2-40B4-BE49-F238E27FC236}">
              <a16:creationId xmlns:a16="http://schemas.microsoft.com/office/drawing/2014/main" id="{CD7EA420-158D-4FAD-955E-C445F990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6A58CD3E-5A75-4CD7-A968-79C5CFAEC6A9}"/>
                </a:ext>
              </a:extLst>
            </xdr:cNvPr>
            <xdr:cNvSpPr txBox="1"/>
          </xdr:nvSpPr>
          <xdr:spPr>
            <a:xfrm>
              <a:off x="4157662" y="678329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twoCellAnchor editAs="oneCell">
    <xdr:from>
      <xdr:col>3</xdr:col>
      <xdr:colOff>65880</xdr:colOff>
      <xdr:row>15</xdr:row>
      <xdr:rowOff>553680</xdr:rowOff>
    </xdr:from>
    <xdr:to>
      <xdr:col>3</xdr:col>
      <xdr:colOff>4234935</xdr:colOff>
      <xdr:row>15</xdr:row>
      <xdr:rowOff>854790</xdr:rowOff>
    </xdr:to>
    <xdr:sp macro="" textlink="">
      <xdr:nvSpPr>
        <xdr:cNvPr id="3" name="CuadroTexto 1">
          <a:extLst>
            <a:ext uri="{FF2B5EF4-FFF2-40B4-BE49-F238E27FC236}">
              <a16:creationId xmlns:a16="http://schemas.microsoft.com/office/drawing/2014/main" id="{B7C8497D-EF04-461A-9B84-EA33F71308CB}"/>
            </a:ext>
          </a:extLst>
        </xdr:cNvPr>
        <xdr:cNvSpPr/>
      </xdr:nvSpPr>
      <xdr:spPr>
        <a:xfrm>
          <a:off x="4157820" y="6832560"/>
          <a:ext cx="4169055" cy="30111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lIns="0" tIns="0" rIns="0" bIns="0" anchor="t">
          <a:spAutoFit/>
        </a:bodyPr>
        <a:lstStyle/>
        <a:p>
          <a:pPr>
            <a:lnSpc>
              <a:spcPct val="100000"/>
            </a:lnSpc>
          </a:pPr>
          <a:r>
            <a:rPr lang="es-CR" sz="1200" b="0" strike="noStrike" spc="-1">
              <a:solidFill>
                <a:schemeClr val="dk1"/>
              </a:solidFill>
              <a:latin typeface="Cambria Math"/>
            </a:rPr>
            <a:t>(𝑂𝑓𝑒𝑟𝑡𝑎 𝑎𝑛𝑢𝑎𝑙 𝑑𝑒 𝑒𝑡𝑎𝑛𝑜𝑙 𝑒𝑛 𝑏𝑒𝑏𝑖𝑑𝑎𝑠 𝑎𝑙𝑐𝑜ℎ𝑜𝑙𝑖𝑐𝑎𝑠)/(𝑃𝑜𝑏𝑙𝑎𝑐𝑖ó𝑛 𝑑𝑒 15 𝑎ñ𝑜𝑠 𝑦 𝑚á𝑠)</a:t>
          </a:r>
          <a:r>
            <a:rPr lang="es-CR" sz="1200" b="0" strike="noStrike" spc="-1">
              <a:solidFill>
                <a:schemeClr val="dk1"/>
              </a:solidFill>
              <a:latin typeface="Cambria Math"/>
              <a:ea typeface="Cambria Math"/>
            </a:rPr>
            <a:t>×100</a:t>
          </a:r>
          <a:endParaRPr lang="en-US" sz="1200" b="0" strike="noStrike" spc="-1">
            <a:latin typeface="Times New Roman"/>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994409</xdr:colOff>
      <xdr:row>33</xdr:row>
      <xdr:rowOff>180022</xdr:rowOff>
    </xdr:from>
    <xdr:to>
      <xdr:col>13</xdr:col>
      <xdr:colOff>177165</xdr:colOff>
      <xdr:row>45</xdr:row>
      <xdr:rowOff>127634</xdr:rowOff>
    </xdr:to>
    <xdr:graphicFrame macro="">
      <xdr:nvGraphicFramePr>
        <xdr:cNvPr id="2" name="Gráfico 1">
          <a:extLst>
            <a:ext uri="{FF2B5EF4-FFF2-40B4-BE49-F238E27FC236}">
              <a16:creationId xmlns:a16="http://schemas.microsoft.com/office/drawing/2014/main" id="{FAF57389-C1CA-4343-8E09-A2DC0E3DC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CD334E51-8894-477A-B599-6417CBB26987}"/>
                </a:ext>
              </a:extLst>
            </xdr:cNvPr>
            <xdr:cNvSpPr txBox="1"/>
          </xdr:nvSpPr>
          <xdr:spPr>
            <a:xfrm>
              <a:off x="4422933" y="701802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032E3CD-2A0B-45A5-B263-EE9398007698}"/>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032E3CD-2A0B-45A5-B263-EE9398007698}"/>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B130126F-AFC0-41E2-9DD1-84C39B85F46A}"/>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4" name="CuadroTexto 3">
              <a:extLst>
                <a:ext uri="{FF2B5EF4-FFF2-40B4-BE49-F238E27FC236}">
                  <a16:creationId xmlns:a16="http://schemas.microsoft.com/office/drawing/2014/main" id="{B130126F-AFC0-41E2-9DD1-84C39B85F46A}"/>
                </a:ext>
              </a:extLst>
            </xdr:cNvPr>
            <xdr:cNvSpPr txBox="1"/>
          </xdr:nvSpPr>
          <xdr:spPr>
            <a:xfrm>
              <a:off x="5604033" y="70256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twoCellAnchor>
    <xdr:from>
      <xdr:col>1</xdr:col>
      <xdr:colOff>998220</xdr:colOff>
      <xdr:row>22</xdr:row>
      <xdr:rowOff>23813</xdr:rowOff>
    </xdr:from>
    <xdr:to>
      <xdr:col>8</xdr:col>
      <xdr:colOff>182880</xdr:colOff>
      <xdr:row>34</xdr:row>
      <xdr:rowOff>251460</xdr:rowOff>
    </xdr:to>
    <xdr:graphicFrame macro="">
      <xdr:nvGraphicFramePr>
        <xdr:cNvPr id="2" name="Gráfico 1">
          <a:extLst>
            <a:ext uri="{FF2B5EF4-FFF2-40B4-BE49-F238E27FC236}">
              <a16:creationId xmlns:a16="http://schemas.microsoft.com/office/drawing/2014/main" id="{E0E94810-98D3-4F6B-99D9-AC7C642BA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DCF70C5-7C07-483E-B1D3-81815A28A898}"/>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35734365-D743-413E-A316-F393BE80237D}"/>
                </a:ext>
              </a:extLst>
            </xdr:cNvPr>
            <xdr:cNvSpPr txBox="1"/>
          </xdr:nvSpPr>
          <xdr:spPr>
            <a:xfrm>
              <a:off x="3872230" y="745036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2.xml><?xml version="1.0" encoding="utf-8"?>
<xdr:wsDr xmlns:xdr="http://schemas.openxmlformats.org/drawingml/2006/spreadsheetDrawing" xmlns:a="http://schemas.openxmlformats.org/drawingml/2006/main">
  <xdr:twoCellAnchor>
    <xdr:from>
      <xdr:col>1</xdr:col>
      <xdr:colOff>1268730</xdr:colOff>
      <xdr:row>33</xdr:row>
      <xdr:rowOff>65723</xdr:rowOff>
    </xdr:from>
    <xdr:to>
      <xdr:col>12</xdr:col>
      <xdr:colOff>335280</xdr:colOff>
      <xdr:row>47</xdr:row>
      <xdr:rowOff>137161</xdr:rowOff>
    </xdr:to>
    <xdr:graphicFrame macro="">
      <xdr:nvGraphicFramePr>
        <xdr:cNvPr id="2" name="Gráfico 1">
          <a:extLst>
            <a:ext uri="{FF2B5EF4-FFF2-40B4-BE49-F238E27FC236}">
              <a16:creationId xmlns:a16="http://schemas.microsoft.com/office/drawing/2014/main" id="{754FF1B1-A56D-4D40-B937-FB58A411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0BA336C-1CCF-4019-BFB7-494FFD5A9E60}"/>
                </a:ext>
              </a:extLst>
            </xdr:cNvPr>
            <xdr:cNvSpPr txBox="1"/>
          </xdr:nvSpPr>
          <xdr:spPr>
            <a:xfrm>
              <a:off x="4268289" y="613260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64.xml><?xml version="1.0" encoding="utf-8"?>
<xdr:wsDr xmlns:xdr="http://schemas.openxmlformats.org/drawingml/2006/spreadsheetDrawing" xmlns:a="http://schemas.openxmlformats.org/drawingml/2006/main">
  <xdr:twoCellAnchor>
    <xdr:from>
      <xdr:col>2</xdr:col>
      <xdr:colOff>15239</xdr:colOff>
      <xdr:row>30</xdr:row>
      <xdr:rowOff>68580</xdr:rowOff>
    </xdr:from>
    <xdr:to>
      <xdr:col>11</xdr:col>
      <xdr:colOff>352424</xdr:colOff>
      <xdr:row>49</xdr:row>
      <xdr:rowOff>4762</xdr:rowOff>
    </xdr:to>
    <xdr:graphicFrame macro="">
      <xdr:nvGraphicFramePr>
        <xdr:cNvPr id="2" name="Gráfico 1">
          <a:extLst>
            <a:ext uri="{FF2B5EF4-FFF2-40B4-BE49-F238E27FC236}">
              <a16:creationId xmlns:a16="http://schemas.microsoft.com/office/drawing/2014/main" id="{7FD7B6BE-9AB9-4E36-97EA-D74B39944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6C6A0A7D-BDC0-40DF-9476-C2F9D4D4993E}"/>
                </a:ext>
              </a:extLst>
            </xdr:cNvPr>
            <xdr:cNvSpPr txBox="1"/>
          </xdr:nvSpPr>
          <xdr:spPr>
            <a:xfrm>
              <a:off x="4356312" y="8972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67.xml><?xml version="1.0" encoding="utf-8"?>
<xdr:wsDr xmlns:xdr="http://schemas.openxmlformats.org/drawingml/2006/spreadsheetDrawing" xmlns:a="http://schemas.openxmlformats.org/drawingml/2006/main">
  <xdr:twoCellAnchor>
    <xdr:from>
      <xdr:col>2</xdr:col>
      <xdr:colOff>53340</xdr:colOff>
      <xdr:row>28</xdr:row>
      <xdr:rowOff>68580</xdr:rowOff>
    </xdr:from>
    <xdr:to>
      <xdr:col>9</xdr:col>
      <xdr:colOff>190500</xdr:colOff>
      <xdr:row>41</xdr:row>
      <xdr:rowOff>137160</xdr:rowOff>
    </xdr:to>
    <xdr:graphicFrame macro="">
      <xdr:nvGraphicFramePr>
        <xdr:cNvPr id="2" name="2 Gráfico">
          <a:extLst>
            <a:ext uri="{FF2B5EF4-FFF2-40B4-BE49-F238E27FC236}">
              <a16:creationId xmlns:a16="http://schemas.microsoft.com/office/drawing/2014/main" id="{C9715E63-3599-4300-B4E2-59CA652D9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39052</xdr:colOff>
      <xdr:row>31</xdr:row>
      <xdr:rowOff>547688</xdr:rowOff>
    </xdr:from>
    <xdr:to>
      <xdr:col>11</xdr:col>
      <xdr:colOff>142875</xdr:colOff>
      <xdr:row>47</xdr:row>
      <xdr:rowOff>104776</xdr:rowOff>
    </xdr:to>
    <xdr:graphicFrame macro="">
      <xdr:nvGraphicFramePr>
        <xdr:cNvPr id="2" name="Gráfico 1">
          <a:extLst>
            <a:ext uri="{FF2B5EF4-FFF2-40B4-BE49-F238E27FC236}">
              <a16:creationId xmlns:a16="http://schemas.microsoft.com/office/drawing/2014/main" id="{3B7C0421-1730-4813-8A18-36833CEF5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oneCellAnchor>
    <xdr:from>
      <xdr:col>3</xdr:col>
      <xdr:colOff>107950</xdr:colOff>
      <xdr:row>15</xdr:row>
      <xdr:rowOff>63499</xdr:rowOff>
    </xdr:from>
    <xdr:ext cx="5822950" cy="5116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7F20C202-C557-4D2A-B02F-BD39F5318A7B}"/>
                </a:ext>
              </a:extLst>
            </xdr:cNvPr>
            <xdr:cNvSpPr txBox="1"/>
          </xdr:nvSpPr>
          <xdr:spPr>
            <a:xfrm>
              <a:off x="4337050" y="49402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C6899187-0C0F-4601-A42A-F147220290E2}"/>
                </a:ext>
              </a:extLst>
            </xdr:cNvPr>
            <xdr:cNvSpPr txBox="1"/>
          </xdr:nvSpPr>
          <xdr:spPr>
            <a:xfrm>
              <a:off x="3913143" y="827150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twoCellAnchor>
    <xdr:from>
      <xdr:col>1</xdr:col>
      <xdr:colOff>969645</xdr:colOff>
      <xdr:row>33</xdr:row>
      <xdr:rowOff>21906</xdr:rowOff>
    </xdr:from>
    <xdr:to>
      <xdr:col>11</xdr:col>
      <xdr:colOff>72390</xdr:colOff>
      <xdr:row>50</xdr:row>
      <xdr:rowOff>70485</xdr:rowOff>
    </xdr:to>
    <xdr:graphicFrame macro="">
      <xdr:nvGraphicFramePr>
        <xdr:cNvPr id="2" name="Gráfico 1">
          <a:extLst>
            <a:ext uri="{FF2B5EF4-FFF2-40B4-BE49-F238E27FC236}">
              <a16:creationId xmlns:a16="http://schemas.microsoft.com/office/drawing/2014/main" id="{1B85E9F3-8782-43D9-9011-37CF8C7AE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89535</xdr:colOff>
      <xdr:row>15</xdr:row>
      <xdr:rowOff>97155</xdr:rowOff>
    </xdr:from>
    <xdr:to>
      <xdr:col>3</xdr:col>
      <xdr:colOff>3918585</xdr:colOff>
      <xdr:row>15</xdr:row>
      <xdr:rowOff>459105</xdr:rowOff>
    </xdr:to>
    <xdr:pic>
      <xdr:nvPicPr>
        <xdr:cNvPr id="2" name="Imagen 1">
          <a:extLst>
            <a:ext uri="{FF2B5EF4-FFF2-40B4-BE49-F238E27FC236}">
              <a16:creationId xmlns:a16="http://schemas.microsoft.com/office/drawing/2014/main" id="{51C98CA2-FB97-402B-8DC0-A4B082BA083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18635" y="4189095"/>
          <a:ext cx="38290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3810</xdr:colOff>
      <xdr:row>32</xdr:row>
      <xdr:rowOff>1906</xdr:rowOff>
    </xdr:from>
    <xdr:to>
      <xdr:col>10</xdr:col>
      <xdr:colOff>129540</xdr:colOff>
      <xdr:row>48</xdr:row>
      <xdr:rowOff>123826</xdr:rowOff>
    </xdr:to>
    <xdr:graphicFrame macro="">
      <xdr:nvGraphicFramePr>
        <xdr:cNvPr id="2" name="Gráfico 1">
          <a:extLst>
            <a:ext uri="{FF2B5EF4-FFF2-40B4-BE49-F238E27FC236}">
              <a16:creationId xmlns:a16="http://schemas.microsoft.com/office/drawing/2014/main" id="{54E89A83-1362-406D-95B5-6AE919935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D60F210-9B3D-44F1-A80A-D7AEAA0B9A07}"/>
                </a:ext>
              </a:extLst>
            </xdr:cNvPr>
            <xdr:cNvSpPr txBox="1"/>
          </xdr:nvSpPr>
          <xdr:spPr>
            <a:xfrm>
              <a:off x="4076222" y="408098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74.xml><?xml version="1.0" encoding="utf-8"?>
<xdr:wsDr xmlns:xdr="http://schemas.openxmlformats.org/drawingml/2006/spreadsheetDrawing" xmlns:a="http://schemas.openxmlformats.org/drawingml/2006/main">
  <xdr:twoCellAnchor>
    <xdr:from>
      <xdr:col>5</xdr:col>
      <xdr:colOff>777240</xdr:colOff>
      <xdr:row>8</xdr:row>
      <xdr:rowOff>464820</xdr:rowOff>
    </xdr:from>
    <xdr:to>
      <xdr:col>11</xdr:col>
      <xdr:colOff>510540</xdr:colOff>
      <xdr:row>17</xdr:row>
      <xdr:rowOff>198120</xdr:rowOff>
    </xdr:to>
    <xdr:graphicFrame macro="">
      <xdr:nvGraphicFramePr>
        <xdr:cNvPr id="2" name="Gráfico 1">
          <a:extLst>
            <a:ext uri="{FF2B5EF4-FFF2-40B4-BE49-F238E27FC236}">
              <a16:creationId xmlns:a16="http://schemas.microsoft.com/office/drawing/2014/main" id="{D24E389A-E673-4DCF-AE6D-B9E7E74E8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1464946</xdr:colOff>
      <xdr:row>15</xdr:row>
      <xdr:rowOff>563879</xdr:rowOff>
    </xdr:from>
    <xdr:to>
      <xdr:col>4</xdr:col>
      <xdr:colOff>2011680</xdr:colOff>
      <xdr:row>15</xdr:row>
      <xdr:rowOff>1458832</xdr:rowOff>
    </xdr:to>
    <xdr:pic>
      <xdr:nvPicPr>
        <xdr:cNvPr id="2" name="Imagen 1">
          <a:extLst>
            <a:ext uri="{FF2B5EF4-FFF2-40B4-BE49-F238E27FC236}">
              <a16:creationId xmlns:a16="http://schemas.microsoft.com/office/drawing/2014/main" id="{E66EC350-4EBA-4FEB-BD62-413CC005FBB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5234939"/>
          <a:ext cx="546734" cy="89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34800</xdr:colOff>
      <xdr:row>15</xdr:row>
      <xdr:rowOff>151020</xdr:rowOff>
    </xdr:from>
    <xdr:to>
      <xdr:col>5</xdr:col>
      <xdr:colOff>211695</xdr:colOff>
      <xdr:row>15</xdr:row>
      <xdr:rowOff>292965</xdr:rowOff>
    </xdr:to>
    <xdr:sp macro="" textlink="">
      <xdr:nvSpPr>
        <xdr:cNvPr id="3" name="CuadroTexto 1">
          <a:extLst>
            <a:ext uri="{FF2B5EF4-FFF2-40B4-BE49-F238E27FC236}">
              <a16:creationId xmlns:a16="http://schemas.microsoft.com/office/drawing/2014/main" id="{EF3101A5-2A47-44DC-AF78-BA1442094BBE}"/>
            </a:ext>
          </a:extLst>
        </xdr:cNvPr>
        <xdr:cNvSpPr/>
      </xdr:nvSpPr>
      <xdr:spPr>
        <a:xfrm>
          <a:off x="4538220" y="4822080"/>
          <a:ext cx="6059535" cy="141945"/>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0" tIns="0" rIns="0" bIns="0" anchor="t">
          <a:spAutoFit/>
        </a:bodyPr>
        <a:lstStyle/>
        <a:p>
          <a:pPr>
            <a:lnSpc>
              <a:spcPct val="100000"/>
            </a:lnSpc>
          </a:pPr>
          <a:r>
            <a:rPr lang="es-CR" sz="1100" b="0" strike="noStrike" spc="-1">
              <a:solidFill>
                <a:schemeClr val="dk1"/>
              </a:solidFill>
              <a:latin typeface="Cambria Math"/>
            </a:rPr>
            <a:t>(𝐶𝑜𝑛𝑠𝑢𝑚𝑖𝑑𝑜𝑟𝑒𝑠 𝑎𝑐𝑡𝑖𝑣𝑜𝑠 𝑑𝑒 𝑡𝑎𝑏𝑎𝑐𝑜, 𝑑𝑒 18 𝑎ñ𝑜𝑠 𝑦 𝑚á𝑠 )/(𝑇𝑜𝑡𝑎𝑙 𝑑𝑒 𝑝𝑜𝑏𝑙𝑎𝑐𝑖ó𝑛 𝑚𝑎𝑦𝑜𝑟 𝑑𝑒 18 𝑎ñ𝑜𝑠)</a:t>
          </a:r>
          <a:r>
            <a:rPr lang="es-CR" sz="1100" b="0" strike="noStrike" spc="-1">
              <a:solidFill>
                <a:schemeClr val="dk1"/>
              </a:solidFill>
              <a:latin typeface="Cambria Math"/>
              <a:ea typeface="Cambria Math"/>
            </a:rPr>
            <a:t>×100</a:t>
          </a:r>
          <a:endParaRPr lang="en-US" sz="1100" b="0" strike="noStrike" spc="-1">
            <a:latin typeface="Times New Roman"/>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1036320</xdr:colOff>
      <xdr:row>29</xdr:row>
      <xdr:rowOff>53340</xdr:rowOff>
    </xdr:from>
    <xdr:to>
      <xdr:col>11</xdr:col>
      <xdr:colOff>769620</xdr:colOff>
      <xdr:row>51</xdr:row>
      <xdr:rowOff>68580</xdr:rowOff>
    </xdr:to>
    <xdr:graphicFrame macro="">
      <xdr:nvGraphicFramePr>
        <xdr:cNvPr id="2" name="Gráfico 1">
          <a:extLst>
            <a:ext uri="{FF2B5EF4-FFF2-40B4-BE49-F238E27FC236}">
              <a16:creationId xmlns:a16="http://schemas.microsoft.com/office/drawing/2014/main" id="{49AB11AD-6118-4479-ABEB-926177274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C6F04598-FE52-4058-A433-0CD41B68F57B}"/>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1761941-9D1E-4693-85CA-7665A3F4E237}"/>
                </a:ext>
              </a:extLst>
            </xdr:cNvPr>
            <xdr:cNvSpPr txBox="1"/>
          </xdr:nvSpPr>
          <xdr:spPr>
            <a:xfrm>
              <a:off x="4262860" y="69169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7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B402DE51-D4FF-4C86-9913-46C32B6FBF5B}"/>
            </a:ext>
          </a:extLst>
        </xdr:cNvPr>
        <xdr:cNvPicPr>
          <a:picLocks noChangeAspect="1"/>
        </xdr:cNvPicPr>
      </xdr:nvPicPr>
      <xdr:blipFill>
        <a:blip xmlns:r="http://schemas.openxmlformats.org/officeDocument/2006/relationships" r:embed="rId2"/>
        <a:stretch>
          <a:fillRect/>
        </a:stretch>
      </xdr:blipFill>
      <xdr:spPr>
        <a:xfrm>
          <a:off x="3875214" y="4945380"/>
          <a:ext cx="334575" cy="652997"/>
        </a:xfrm>
        <a:prstGeom prst="rect">
          <a:avLst/>
        </a:prstGeom>
      </xdr:spPr>
    </xdr:pic>
    <xdr:clientData/>
  </xdr:twoCellAnchor>
  <xdr:twoCellAnchor editAs="oneCell">
    <xdr:from>
      <xdr:col>4</xdr:col>
      <xdr:colOff>563880</xdr:colOff>
      <xdr:row>20</xdr:row>
      <xdr:rowOff>182881</xdr:rowOff>
    </xdr:from>
    <xdr:to>
      <xdr:col>10</xdr:col>
      <xdr:colOff>518160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005E77CC-F01A-4D65-B8CF-B4E1923858BC}"/>
            </a:ext>
          </a:extLst>
        </xdr:cNvPr>
        <xdr:cNvPicPr>
          <a:picLocks noChangeAspect="1"/>
        </xdr:cNvPicPr>
      </xdr:nvPicPr>
      <xdr:blipFill>
        <a:blip xmlns:r="http://schemas.openxmlformats.org/officeDocument/2006/relationships" r:embed="rId3"/>
        <a:stretch>
          <a:fillRect/>
        </a:stretch>
      </xdr:blipFill>
      <xdr:spPr>
        <a:xfrm>
          <a:off x="4343400" y="4945381"/>
          <a:ext cx="4709160" cy="72463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56</xdr:row>
      <xdr:rowOff>28085</xdr:rowOff>
    </xdr:to>
    <xdr:pic>
      <xdr:nvPicPr>
        <xdr:cNvPr id="2" name="1 Imagen">
          <a:extLst>
            <a:ext uri="{FF2B5EF4-FFF2-40B4-BE49-F238E27FC236}">
              <a16:creationId xmlns:a16="http://schemas.microsoft.com/office/drawing/2014/main" id="{6B756604-FF64-4131-B298-12C952AD06C6}"/>
            </a:ext>
          </a:extLst>
        </xdr:cNvPr>
        <xdr:cNvPicPr>
          <a:picLocks noChangeAspect="1"/>
        </xdr:cNvPicPr>
      </xdr:nvPicPr>
      <xdr:blipFill>
        <a:blip xmlns:r="http://schemas.openxmlformats.org/officeDocument/2006/relationships" r:embed="rId1"/>
        <a:stretch>
          <a:fillRect/>
        </a:stretch>
      </xdr:blipFill>
      <xdr:spPr>
        <a:xfrm>
          <a:off x="784860" y="12031980"/>
          <a:ext cx="5544774" cy="3563765"/>
        </a:xfrm>
        <a:prstGeom prst="rect">
          <a:avLst/>
        </a:prstGeom>
      </xdr:spPr>
    </xdr:pic>
    <xdr:clientData/>
  </xdr:twoCellAnchor>
  <xdr:twoCellAnchor editAs="oneCell">
    <xdr:from>
      <xdr:col>1</xdr:col>
      <xdr:colOff>0</xdr:colOff>
      <xdr:row>68</xdr:row>
      <xdr:rowOff>0</xdr:rowOff>
    </xdr:from>
    <xdr:to>
      <xdr:col>3</xdr:col>
      <xdr:colOff>1923390</xdr:colOff>
      <xdr:row>81</xdr:row>
      <xdr:rowOff>201508</xdr:rowOff>
    </xdr:to>
    <xdr:pic>
      <xdr:nvPicPr>
        <xdr:cNvPr id="3" name="2 Imagen">
          <a:extLst>
            <a:ext uri="{FF2B5EF4-FFF2-40B4-BE49-F238E27FC236}">
              <a16:creationId xmlns:a16="http://schemas.microsoft.com/office/drawing/2014/main" id="{B733660B-6405-49A1-B3AD-1481C0F6BB5A}"/>
            </a:ext>
          </a:extLst>
        </xdr:cNvPr>
        <xdr:cNvPicPr>
          <a:picLocks noChangeAspect="1"/>
        </xdr:cNvPicPr>
      </xdr:nvPicPr>
      <xdr:blipFill>
        <a:blip xmlns:r="http://schemas.openxmlformats.org/officeDocument/2006/relationships" r:embed="rId2"/>
        <a:stretch>
          <a:fillRect/>
        </a:stretch>
      </xdr:blipFill>
      <xdr:spPr>
        <a:xfrm>
          <a:off x="784860" y="18219420"/>
          <a:ext cx="5382870" cy="3074248"/>
        </a:xfrm>
        <a:prstGeom prst="rect">
          <a:avLst/>
        </a:prstGeom>
      </xdr:spPr>
    </xdr:pic>
    <xdr:clientData/>
  </xdr:twoCellAnchor>
  <xdr:twoCellAnchor editAs="oneCell">
    <xdr:from>
      <xdr:col>1</xdr:col>
      <xdr:colOff>0</xdr:colOff>
      <xdr:row>92</xdr:row>
      <xdr:rowOff>0</xdr:rowOff>
    </xdr:from>
    <xdr:to>
      <xdr:col>3</xdr:col>
      <xdr:colOff>1894818</xdr:colOff>
      <xdr:row>105</xdr:row>
      <xdr:rowOff>163412</xdr:rowOff>
    </xdr:to>
    <xdr:pic>
      <xdr:nvPicPr>
        <xdr:cNvPr id="4" name="3 Imagen">
          <a:extLst>
            <a:ext uri="{FF2B5EF4-FFF2-40B4-BE49-F238E27FC236}">
              <a16:creationId xmlns:a16="http://schemas.microsoft.com/office/drawing/2014/main" id="{F2BA9DAA-AB95-4377-A884-964B07B9BBA3}"/>
            </a:ext>
          </a:extLst>
        </xdr:cNvPr>
        <xdr:cNvPicPr>
          <a:picLocks noChangeAspect="1"/>
        </xdr:cNvPicPr>
      </xdr:nvPicPr>
      <xdr:blipFill>
        <a:blip xmlns:r="http://schemas.openxmlformats.org/officeDocument/2006/relationships" r:embed="rId3"/>
        <a:stretch>
          <a:fillRect/>
        </a:stretch>
      </xdr:blipFill>
      <xdr:spPr>
        <a:xfrm>
          <a:off x="784860" y="23522940"/>
          <a:ext cx="5354298" cy="3036152"/>
        </a:xfrm>
        <a:prstGeom prst="rect">
          <a:avLst/>
        </a:prstGeom>
      </xdr:spPr>
    </xdr:pic>
    <xdr:clientData/>
  </xdr:twoCellAnchor>
  <xdr:twoCellAnchor editAs="oneCell">
    <xdr:from>
      <xdr:col>1</xdr:col>
      <xdr:colOff>0</xdr:colOff>
      <xdr:row>116</xdr:row>
      <xdr:rowOff>0</xdr:rowOff>
    </xdr:from>
    <xdr:to>
      <xdr:col>3</xdr:col>
      <xdr:colOff>1932913</xdr:colOff>
      <xdr:row>129</xdr:row>
      <xdr:rowOff>201508</xdr:rowOff>
    </xdr:to>
    <xdr:pic>
      <xdr:nvPicPr>
        <xdr:cNvPr id="5" name="4 Imagen">
          <a:extLst>
            <a:ext uri="{FF2B5EF4-FFF2-40B4-BE49-F238E27FC236}">
              <a16:creationId xmlns:a16="http://schemas.microsoft.com/office/drawing/2014/main" id="{5708E98E-C36A-4AD5-B978-952F0C1C3417}"/>
            </a:ext>
          </a:extLst>
        </xdr:cNvPr>
        <xdr:cNvPicPr>
          <a:picLocks noChangeAspect="1"/>
        </xdr:cNvPicPr>
      </xdr:nvPicPr>
      <xdr:blipFill>
        <a:blip xmlns:r="http://schemas.openxmlformats.org/officeDocument/2006/relationships" r:embed="rId4"/>
        <a:stretch>
          <a:fillRect/>
        </a:stretch>
      </xdr:blipFill>
      <xdr:spPr>
        <a:xfrm>
          <a:off x="784860" y="28826460"/>
          <a:ext cx="5392393" cy="3074248"/>
        </a:xfrm>
        <a:prstGeom prst="rect">
          <a:avLst/>
        </a:prstGeom>
      </xdr:spPr>
    </xdr:pic>
    <xdr:clientData/>
  </xdr:twoCellAnchor>
  <xdr:twoCellAnchor editAs="oneCell">
    <xdr:from>
      <xdr:col>1</xdr:col>
      <xdr:colOff>0</xdr:colOff>
      <xdr:row>140</xdr:row>
      <xdr:rowOff>0</xdr:rowOff>
    </xdr:from>
    <xdr:to>
      <xdr:col>3</xdr:col>
      <xdr:colOff>1856723</xdr:colOff>
      <xdr:row>153</xdr:row>
      <xdr:rowOff>104365</xdr:rowOff>
    </xdr:to>
    <xdr:pic>
      <xdr:nvPicPr>
        <xdr:cNvPr id="6" name="5 Imagen">
          <a:extLst>
            <a:ext uri="{FF2B5EF4-FFF2-40B4-BE49-F238E27FC236}">
              <a16:creationId xmlns:a16="http://schemas.microsoft.com/office/drawing/2014/main" id="{C9EA551E-B4B6-435F-ADF3-B67EA9FFFB4B}"/>
            </a:ext>
          </a:extLst>
        </xdr:cNvPr>
        <xdr:cNvPicPr>
          <a:picLocks noChangeAspect="1"/>
        </xdr:cNvPicPr>
      </xdr:nvPicPr>
      <xdr:blipFill>
        <a:blip xmlns:r="http://schemas.openxmlformats.org/officeDocument/2006/relationships" r:embed="rId5"/>
        <a:stretch>
          <a:fillRect/>
        </a:stretch>
      </xdr:blipFill>
      <xdr:spPr>
        <a:xfrm>
          <a:off x="784860" y="34129980"/>
          <a:ext cx="5316203" cy="2977105"/>
        </a:xfrm>
        <a:prstGeom prst="rect">
          <a:avLst/>
        </a:prstGeom>
      </xdr:spPr>
    </xdr:pic>
    <xdr:clientData/>
  </xdr:twoCellAnchor>
  <xdr:twoCellAnchor editAs="oneCell">
    <xdr:from>
      <xdr:col>1</xdr:col>
      <xdr:colOff>0</xdr:colOff>
      <xdr:row>163</xdr:row>
      <xdr:rowOff>0</xdr:rowOff>
    </xdr:from>
    <xdr:to>
      <xdr:col>3</xdr:col>
      <xdr:colOff>1913866</xdr:colOff>
      <xdr:row>174</xdr:row>
      <xdr:rowOff>157758</xdr:rowOff>
    </xdr:to>
    <xdr:pic>
      <xdr:nvPicPr>
        <xdr:cNvPr id="7" name="6 Imagen">
          <a:extLst>
            <a:ext uri="{FF2B5EF4-FFF2-40B4-BE49-F238E27FC236}">
              <a16:creationId xmlns:a16="http://schemas.microsoft.com/office/drawing/2014/main" id="{AD0D84E2-591D-4CDD-817E-FE6E248A1C64}"/>
            </a:ext>
          </a:extLst>
        </xdr:cNvPr>
        <xdr:cNvPicPr>
          <a:picLocks noChangeAspect="1"/>
        </xdr:cNvPicPr>
      </xdr:nvPicPr>
      <xdr:blipFill>
        <a:blip xmlns:r="http://schemas.openxmlformats.org/officeDocument/2006/relationships" r:embed="rId6"/>
        <a:stretch>
          <a:fillRect/>
        </a:stretch>
      </xdr:blipFill>
      <xdr:spPr>
        <a:xfrm>
          <a:off x="784860" y="39212520"/>
          <a:ext cx="5373346" cy="25885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31</xdr:row>
      <xdr:rowOff>80962</xdr:rowOff>
    </xdr:from>
    <xdr:to>
      <xdr:col>12</xdr:col>
      <xdr:colOff>495300</xdr:colOff>
      <xdr:row>51</xdr:row>
      <xdr:rowOff>14287</xdr:rowOff>
    </xdr:to>
    <xdr:graphicFrame macro="">
      <xdr:nvGraphicFramePr>
        <xdr:cNvPr id="2" name="Gráfico 1">
          <a:extLst>
            <a:ext uri="{FF2B5EF4-FFF2-40B4-BE49-F238E27FC236}">
              <a16:creationId xmlns:a16="http://schemas.microsoft.com/office/drawing/2014/main" id="{2B43F24E-59AE-4EE5-B394-00EDF24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53340</xdr:colOff>
      <xdr:row>30</xdr:row>
      <xdr:rowOff>119062</xdr:rowOff>
    </xdr:from>
    <xdr:to>
      <xdr:col>12</xdr:col>
      <xdr:colOff>495299</xdr:colOff>
      <xdr:row>46</xdr:row>
      <xdr:rowOff>106680</xdr:rowOff>
    </xdr:to>
    <xdr:graphicFrame macro="">
      <xdr:nvGraphicFramePr>
        <xdr:cNvPr id="2" name="Gráfico 1">
          <a:extLst>
            <a:ext uri="{FF2B5EF4-FFF2-40B4-BE49-F238E27FC236}">
              <a16:creationId xmlns:a16="http://schemas.microsoft.com/office/drawing/2014/main" id="{0D5E89E9-615F-49C9-AC8F-74A7DAD98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BB9A79C7-AA3E-4401-97BE-7C6580E87ACD}"/>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A926348A-F4B2-4A68-A6CC-E23EB0E8E9F6}"/>
                </a:ext>
              </a:extLst>
            </xdr:cNvPr>
            <xdr:cNvSpPr txBox="1"/>
          </xdr:nvSpPr>
          <xdr:spPr>
            <a:xfrm>
              <a:off x="4108343" y="569139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82.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B11AE03-4DE4-44FD-ADDD-92ABE1A3388D}"/>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742CE76D-37EF-4C4D-AF1A-797CF09C4C75}"/>
                </a:ext>
              </a:extLst>
            </xdr:cNvPr>
            <xdr:cNvSpPr txBox="1"/>
          </xdr:nvSpPr>
          <xdr:spPr>
            <a:xfrm>
              <a:off x="4284345" y="503110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1</xdr:row>
      <xdr:rowOff>44450</xdr:rowOff>
    </xdr:from>
    <xdr:to>
      <xdr:col>1</xdr:col>
      <xdr:colOff>750147</xdr:colOff>
      <xdr:row>3</xdr:row>
      <xdr:rowOff>581237</xdr:rowOff>
    </xdr:to>
    <xdr:pic>
      <xdr:nvPicPr>
        <xdr:cNvPr id="2" name="Imagen 1">
          <a:extLst>
            <a:ext uri="{FF2B5EF4-FFF2-40B4-BE49-F238E27FC236}">
              <a16:creationId xmlns:a16="http://schemas.microsoft.com/office/drawing/2014/main" id="{721774CA-F6CD-4AE3-8037-49E135821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80670"/>
          <a:ext cx="1466427" cy="1466427"/>
        </a:xfrm>
        <a:prstGeom prst="rect">
          <a:avLst/>
        </a:prstGeom>
        <a:ln w="28575">
          <a:solidFill>
            <a:schemeClr val="bg1"/>
          </a:solidFill>
        </a:ln>
      </xdr:spPr>
    </xdr:pic>
    <xdr:clientData/>
  </xdr:twoCellAnchor>
</xdr:wsDr>
</file>

<file path=xl/drawings/drawing84.xml><?xml version="1.0" encoding="utf-8"?>
<xdr:wsDr xmlns:xdr="http://schemas.openxmlformats.org/drawingml/2006/spreadsheetDrawing" xmlns:a="http://schemas.openxmlformats.org/drawingml/2006/main">
  <xdr:twoCellAnchor>
    <xdr:from>
      <xdr:col>2</xdr:col>
      <xdr:colOff>7620</xdr:colOff>
      <xdr:row>24</xdr:row>
      <xdr:rowOff>15240</xdr:rowOff>
    </xdr:from>
    <xdr:to>
      <xdr:col>9</xdr:col>
      <xdr:colOff>624840</xdr:colOff>
      <xdr:row>43</xdr:row>
      <xdr:rowOff>152400</xdr:rowOff>
    </xdr:to>
    <xdr:graphicFrame macro="">
      <xdr:nvGraphicFramePr>
        <xdr:cNvPr id="2" name="Gráfico 1">
          <a:extLst>
            <a:ext uri="{FF2B5EF4-FFF2-40B4-BE49-F238E27FC236}">
              <a16:creationId xmlns:a16="http://schemas.microsoft.com/office/drawing/2014/main" id="{30074AEA-72E7-4BAA-91AF-9942A4D69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10C4A498-E3F4-4BD1-A8DC-BD5C807E873D}"/>
                </a:ext>
              </a:extLst>
            </xdr:cNvPr>
            <xdr:cNvSpPr txBox="1"/>
          </xdr:nvSpPr>
          <xdr:spPr>
            <a:xfrm>
              <a:off x="4547235" y="65760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twoCellAnchor editAs="oneCell">
    <xdr:from>
      <xdr:col>10</xdr:col>
      <xdr:colOff>0</xdr:colOff>
      <xdr:row>16</xdr:row>
      <xdr:rowOff>0</xdr:rowOff>
    </xdr:from>
    <xdr:to>
      <xdr:col>15</xdr:col>
      <xdr:colOff>395097</xdr:colOff>
      <xdr:row>16</xdr:row>
      <xdr:rowOff>762066</xdr:rowOff>
    </xdr:to>
    <xdr:pic>
      <xdr:nvPicPr>
        <xdr:cNvPr id="3" name="Imagen 2">
          <a:extLst>
            <a:ext uri="{FF2B5EF4-FFF2-40B4-BE49-F238E27FC236}">
              <a16:creationId xmlns:a16="http://schemas.microsoft.com/office/drawing/2014/main" id="{71043AA7-4BBA-493E-BB6B-53CB6588FEAF}"/>
            </a:ext>
          </a:extLst>
        </xdr:cNvPr>
        <xdr:cNvPicPr>
          <a:picLocks noChangeAspect="1"/>
        </xdr:cNvPicPr>
      </xdr:nvPicPr>
      <xdr:blipFill>
        <a:blip xmlns:r="http://schemas.openxmlformats.org/officeDocument/2006/relationships" r:embed="rId1"/>
        <a:stretch>
          <a:fillRect/>
        </a:stretch>
      </xdr:blipFill>
      <xdr:spPr>
        <a:xfrm>
          <a:off x="14546580" y="6438900"/>
          <a:ext cx="4319397" cy="76206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2</xdr:col>
      <xdr:colOff>0</xdr:colOff>
      <xdr:row>29</xdr:row>
      <xdr:rowOff>0</xdr:rowOff>
    </xdr:from>
    <xdr:to>
      <xdr:col>8</xdr:col>
      <xdr:colOff>152400</xdr:colOff>
      <xdr:row>51</xdr:row>
      <xdr:rowOff>64770</xdr:rowOff>
    </xdr:to>
    <xdr:graphicFrame macro="">
      <xdr:nvGraphicFramePr>
        <xdr:cNvPr id="2" name="Gráfico 1">
          <a:extLst>
            <a:ext uri="{FF2B5EF4-FFF2-40B4-BE49-F238E27FC236}">
              <a16:creationId xmlns:a16="http://schemas.microsoft.com/office/drawing/2014/main" id="{B0E65CAE-A423-40C2-A442-2852E144E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95250</xdr:colOff>
      <xdr:row>29</xdr:row>
      <xdr:rowOff>103822</xdr:rowOff>
    </xdr:from>
    <xdr:to>
      <xdr:col>10</xdr:col>
      <xdr:colOff>419100</xdr:colOff>
      <xdr:row>52</xdr:row>
      <xdr:rowOff>108585</xdr:rowOff>
    </xdr:to>
    <xdr:graphicFrame macro="">
      <xdr:nvGraphicFramePr>
        <xdr:cNvPr id="2" name="Gráfico 1">
          <a:extLst>
            <a:ext uri="{FF2B5EF4-FFF2-40B4-BE49-F238E27FC236}">
              <a16:creationId xmlns:a16="http://schemas.microsoft.com/office/drawing/2014/main" id="{E73A694E-27C0-4189-A245-C7B03BC93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0.04375</cdr:x>
      <cdr:y>0.74826</cdr:y>
    </cdr:from>
    <cdr:to>
      <cdr:x>0.08542</cdr:x>
      <cdr:y>0.82465</cdr:y>
    </cdr:to>
    <cdr:sp macro="" textlink="">
      <cdr:nvSpPr>
        <cdr:cNvPr id="2" name="CuadroTexto 1"/>
        <cdr:cNvSpPr txBox="1"/>
      </cdr:nvSpPr>
      <cdr:spPr>
        <a:xfrm xmlns:a="http://schemas.openxmlformats.org/drawingml/2006/main">
          <a:off x="200025" y="20526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2" name="CuadroTexto 1">
              <a:extLst>
                <a:ext uri="{FF2B5EF4-FFF2-40B4-BE49-F238E27FC236}">
                  <a16:creationId xmlns:a16="http://schemas.microsoft.com/office/drawing/2014/main" id="{AF0EF3DD-7AAC-4C59-8F0C-D3CC823A047C}"/>
                </a:ext>
              </a:extLst>
            </xdr:cNvPr>
            <xdr:cNvSpPr txBox="1"/>
          </xdr:nvSpPr>
          <xdr:spPr>
            <a:xfrm>
              <a:off x="4222433" y="622220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3" name="CuadroTexto 2">
              <a:extLst>
                <a:ext uri="{FF2B5EF4-FFF2-40B4-BE49-F238E27FC236}">
                  <a16:creationId xmlns:a16="http://schemas.microsoft.com/office/drawing/2014/main" id="{9A42E8EE-3383-43E5-83C3-7214D51CDDF5}"/>
                </a:ext>
              </a:extLst>
            </xdr:cNvPr>
            <xdr:cNvSpPr txBox="1"/>
          </xdr:nvSpPr>
          <xdr:spPr>
            <a:xfrm>
              <a:off x="4247199" y="689943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5A406795-9891-4943-9705-5D6FEC715911}"/>
                </a:ext>
              </a:extLst>
            </xdr:cNvPr>
            <xdr:cNvSpPr txBox="1"/>
          </xdr:nvSpPr>
          <xdr:spPr>
            <a:xfrm>
              <a:off x="3873409" y="1881868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twoCellAnchor>
    <xdr:from>
      <xdr:col>1</xdr:col>
      <xdr:colOff>1190625</xdr:colOff>
      <xdr:row>32</xdr:row>
      <xdr:rowOff>42862</xdr:rowOff>
    </xdr:from>
    <xdr:to>
      <xdr:col>11</xdr:col>
      <xdr:colOff>419100</xdr:colOff>
      <xdr:row>50</xdr:row>
      <xdr:rowOff>42862</xdr:rowOff>
    </xdr:to>
    <xdr:graphicFrame macro="">
      <xdr:nvGraphicFramePr>
        <xdr:cNvPr id="2" name="Gráfico 1">
          <a:extLst>
            <a:ext uri="{FF2B5EF4-FFF2-40B4-BE49-F238E27FC236}">
              <a16:creationId xmlns:a16="http://schemas.microsoft.com/office/drawing/2014/main" id="{E36F0932-9A56-4AFB-90DF-7DF78A1D1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120967</xdr:colOff>
      <xdr:row>31</xdr:row>
      <xdr:rowOff>568642</xdr:rowOff>
    </xdr:from>
    <xdr:to>
      <xdr:col>21</xdr:col>
      <xdr:colOff>301942</xdr:colOff>
      <xdr:row>49</xdr:row>
      <xdr:rowOff>120967</xdr:rowOff>
    </xdr:to>
    <xdr:graphicFrame macro="">
      <xdr:nvGraphicFramePr>
        <xdr:cNvPr id="3" name="Gráfico 2">
          <a:extLst>
            <a:ext uri="{FF2B5EF4-FFF2-40B4-BE49-F238E27FC236}">
              <a16:creationId xmlns:a16="http://schemas.microsoft.com/office/drawing/2014/main" id="{E9A2B4F0-811C-4AE6-8237-AEAA911F3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4F6747D5-64AD-44F8-BE88-FE94D0E71980}"/>
                </a:ext>
              </a:extLst>
            </xdr:cNvPr>
            <xdr:cNvSpPr txBox="1"/>
          </xdr:nvSpPr>
          <xdr:spPr>
            <a:xfrm>
              <a:off x="4331970" y="56464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92.xml><?xml version="1.0" encoding="utf-8"?>
<xdr:wsDr xmlns:xdr="http://schemas.openxmlformats.org/drawingml/2006/spreadsheetDrawing" xmlns:a="http://schemas.openxmlformats.org/drawingml/2006/main">
  <xdr:twoCellAnchor>
    <xdr:from>
      <xdr:col>2</xdr:col>
      <xdr:colOff>59054</xdr:colOff>
      <xdr:row>28</xdr:row>
      <xdr:rowOff>19051</xdr:rowOff>
    </xdr:from>
    <xdr:to>
      <xdr:col>7</xdr:col>
      <xdr:colOff>601980</xdr:colOff>
      <xdr:row>51</xdr:row>
      <xdr:rowOff>19051</xdr:rowOff>
    </xdr:to>
    <xdr:graphicFrame macro="">
      <xdr:nvGraphicFramePr>
        <xdr:cNvPr id="2" name="3 Gráfico">
          <a:extLst>
            <a:ext uri="{FF2B5EF4-FFF2-40B4-BE49-F238E27FC236}">
              <a16:creationId xmlns:a16="http://schemas.microsoft.com/office/drawing/2014/main" id="{C3C7184F-00B9-45F7-91A6-32C41D0AD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70485</xdr:colOff>
      <xdr:row>20</xdr:row>
      <xdr:rowOff>64770</xdr:rowOff>
    </xdr:from>
    <xdr:to>
      <xdr:col>11</xdr:col>
      <xdr:colOff>160020</xdr:colOff>
      <xdr:row>42</xdr:row>
      <xdr:rowOff>156209</xdr:rowOff>
    </xdr:to>
    <xdr:graphicFrame macro="">
      <xdr:nvGraphicFramePr>
        <xdr:cNvPr id="2" name="Gráfico 1">
          <a:extLst>
            <a:ext uri="{FF2B5EF4-FFF2-40B4-BE49-F238E27FC236}">
              <a16:creationId xmlns:a16="http://schemas.microsoft.com/office/drawing/2014/main" id="{EC270DDC-3F10-4155-8F85-E3F20F1F0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54</xdr:row>
      <xdr:rowOff>4762</xdr:rowOff>
    </xdr:from>
    <xdr:to>
      <xdr:col>16</xdr:col>
      <xdr:colOff>390525</xdr:colOff>
      <xdr:row>81</xdr:row>
      <xdr:rowOff>0</xdr:rowOff>
    </xdr:to>
    <xdr:graphicFrame macro="">
      <xdr:nvGraphicFramePr>
        <xdr:cNvPr id="3" name="Gráfico 2">
          <a:extLst>
            <a:ext uri="{FF2B5EF4-FFF2-40B4-BE49-F238E27FC236}">
              <a16:creationId xmlns:a16="http://schemas.microsoft.com/office/drawing/2014/main" id="{3FBEDD49-79FE-49CC-91DF-6162A7120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D4C43C28-E40D-4D3D-A63B-6F1E38260EDC}"/>
                </a:ext>
              </a:extLst>
            </xdr:cNvPr>
            <xdr:cNvSpPr txBox="1"/>
          </xdr:nvSpPr>
          <xdr:spPr>
            <a:xfrm>
              <a:off x="5199221" y="547354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95.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9229FA7A-2DF7-4D6C-9194-15DC55E7D2A5}"/>
            </a:ext>
          </a:extLst>
        </xdr:cNvPr>
        <xdr:cNvSpPr txBox="1"/>
      </xdr:nvSpPr>
      <xdr:spPr>
        <a:xfrm>
          <a:off x="2418397" y="94488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2</xdr:col>
      <xdr:colOff>28575</xdr:colOff>
      <xdr:row>20</xdr:row>
      <xdr:rowOff>40957</xdr:rowOff>
    </xdr:from>
    <xdr:to>
      <xdr:col>12</xdr:col>
      <xdr:colOff>504825</xdr:colOff>
      <xdr:row>39</xdr:row>
      <xdr:rowOff>69532</xdr:rowOff>
    </xdr:to>
    <xdr:graphicFrame macro="">
      <xdr:nvGraphicFramePr>
        <xdr:cNvPr id="3" name="Gráfico 2">
          <a:extLst>
            <a:ext uri="{FF2B5EF4-FFF2-40B4-BE49-F238E27FC236}">
              <a16:creationId xmlns:a16="http://schemas.microsoft.com/office/drawing/2014/main" id="{DB2E4AD9-13D7-48F7-A4B2-E46713F14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8D0202CC-3F7A-44BC-B265-16EFE3C5B3FC}"/>
            </a:ext>
          </a:extLst>
        </xdr:cNvPr>
        <xdr:cNvSpPr txBox="1"/>
      </xdr:nvSpPr>
      <xdr:spPr>
        <a:xfrm>
          <a:off x="0" y="374999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146C6782-E6F7-445B-B725-E509D567C4E8}"/>
            </a:ext>
          </a:extLst>
        </xdr:cNvPr>
        <xdr:cNvSpPr txBox="1"/>
      </xdr:nvSpPr>
      <xdr:spPr>
        <a:xfrm>
          <a:off x="4391977" y="52816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5C8F155C-8FCA-4143-8A95-E2EF386F6B11}"/>
                </a:ext>
              </a:extLst>
            </xdr:cNvPr>
            <xdr:cNvSpPr txBox="1"/>
          </xdr:nvSpPr>
          <xdr:spPr>
            <a:xfrm>
              <a:off x="4638887" y="523070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6E914990-5103-4ECF-B64B-0878F2E2CD5C}"/>
                </a:ext>
              </a:extLst>
            </xdr:cNvPr>
            <xdr:cNvSpPr txBox="1"/>
          </xdr:nvSpPr>
          <xdr:spPr>
            <a:xfrm>
              <a:off x="4831503" y="574505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7.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B8B1DD81-131B-4098-9EEA-86635FD92C56}"/>
                </a:ext>
              </a:extLst>
            </xdr:cNvPr>
            <xdr:cNvSpPr txBox="1"/>
          </xdr:nvSpPr>
          <xdr:spPr>
            <a:xfrm>
              <a:off x="6024562" y="73823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D916B406-1C5A-4B3F-944E-5723B99EC246}"/>
                </a:ext>
              </a:extLst>
            </xdr:cNvPr>
            <xdr:cNvSpPr txBox="1"/>
          </xdr:nvSpPr>
          <xdr:spPr>
            <a:xfrm>
              <a:off x="5993606" y="767667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98.xml><?xml version="1.0" encoding="utf-8"?>
<xdr:wsDr xmlns:xdr="http://schemas.openxmlformats.org/drawingml/2006/spreadsheetDrawing" xmlns:a="http://schemas.openxmlformats.org/drawingml/2006/main">
  <xdr:twoCellAnchor>
    <xdr:from>
      <xdr:col>2</xdr:col>
      <xdr:colOff>7620</xdr:colOff>
      <xdr:row>38</xdr:row>
      <xdr:rowOff>91440</xdr:rowOff>
    </xdr:from>
    <xdr:to>
      <xdr:col>14</xdr:col>
      <xdr:colOff>99060</xdr:colOff>
      <xdr:row>57</xdr:row>
      <xdr:rowOff>45720</xdr:rowOff>
    </xdr:to>
    <xdr:graphicFrame macro="">
      <xdr:nvGraphicFramePr>
        <xdr:cNvPr id="2" name="Gráfico 1">
          <a:extLst>
            <a:ext uri="{FF2B5EF4-FFF2-40B4-BE49-F238E27FC236}">
              <a16:creationId xmlns:a16="http://schemas.microsoft.com/office/drawing/2014/main" id="{0D9174B8-9DCD-491D-9E5C-042219A94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2" name="CuadroTexto 1">
              <a:extLst>
                <a:ext uri="{FF2B5EF4-FFF2-40B4-BE49-F238E27FC236}">
                  <a16:creationId xmlns:a16="http://schemas.microsoft.com/office/drawing/2014/main" id="{341D278E-349F-4EE9-B73F-54154F26E432}"/>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3" name="CuadroTexto 2">
              <a:extLst>
                <a:ext uri="{FF2B5EF4-FFF2-40B4-BE49-F238E27FC236}">
                  <a16:creationId xmlns:a16="http://schemas.microsoft.com/office/drawing/2014/main" id="{C437AC2F-2686-46D4-9864-92E60FB7C9E3}"/>
                </a:ext>
              </a:extLst>
            </xdr:cNvPr>
            <xdr:cNvSpPr txBox="1"/>
          </xdr:nvSpPr>
          <xdr:spPr>
            <a:xfrm>
              <a:off x="3942398" y="1416542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mailto:alejandro.abarcag@mtss.go.cr"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6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https://unstats.un.org/sdgs/metadata/files/Metadata-03-09-02.pdf" TargetMode="Externa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unstats.un.org/sdgs/metadata/files/Metadata-03-09-03.pdf" TargetMode="Externa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7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7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s://unstats.un.org/sdgs/metadata/files/Metadata-03-0B-02.pdf"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unstats.un.org/sdgs/metadata/files/Metadata-01-04-01.pdf"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0.bin"/><Relationship Id="rId1" Type="http://schemas.openxmlformats.org/officeDocument/2006/relationships/hyperlink" Target="http://sdg4-data.uis.unesco.org/"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pablo.mena.castillo@mep.go.cr" TargetMode="External"/><Relationship Id="rId2" Type="http://schemas.openxmlformats.org/officeDocument/2006/relationships/hyperlink" Target="https://unstats.un.org/sdgs/metadata/files/Metadata-04-01-01BC.pdf" TargetMode="External"/><Relationship Id="rId1" Type="http://schemas.openxmlformats.org/officeDocument/2006/relationships/hyperlink" Target="https://unstats.un.org/sdgs/metadata/files/Metadata-04-01-01A.pdf" TargetMode="External"/><Relationship Id="rId5" Type="http://schemas.openxmlformats.org/officeDocument/2006/relationships/drawing" Target="../drawings/drawing85.xml"/><Relationship Id="rId4" Type="http://schemas.openxmlformats.org/officeDocument/2006/relationships/printerSettings" Target="../printerSettings/printerSettings8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1" Type="http://schemas.openxmlformats.org/officeDocument/2006/relationships/hyperlink" Target="mailto:eliecer.ramirez.vargas@mep.go.cr"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4.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5.bin"/><Relationship Id="rId1" Type="http://schemas.openxmlformats.org/officeDocument/2006/relationships/hyperlink" Target="https://unstats.un.org/sdgs/metadata/files/Metadata-04-02-02.pdf" TargetMode="Externa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4-04-01.pdf" TargetMode="Externa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94.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0.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1.bin"/><Relationship Id="rId1" Type="http://schemas.openxmlformats.org/officeDocument/2006/relationships/hyperlink" Target="https://unstats.un.org/sdgs/metadata/files/Metadata-04-0A-01.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B-01.pdf" TargetMode="Externa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3.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94.bin"/><Relationship Id="rId1" Type="http://schemas.openxmlformats.org/officeDocument/2006/relationships/hyperlink" Target="https://unstats.un.org/sdgs/metadata/files/Metadata-04-0C-01.pdf" TargetMode="Externa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3" Type="http://schemas.openxmlformats.org/officeDocument/2006/relationships/hyperlink" Target="https://www.inamu.go.cr/documents/10179/401246/INAMU+PIEG+2018-2030+NEW.pdf/f8333d70-df04-417e-bbe9-c48c412a3cfb" TargetMode="External"/><Relationship Id="rId2" Type="http://schemas.openxmlformats.org/officeDocument/2006/relationships/hyperlink" Target="mailto:avnaranjo@inamu.go.cr" TargetMode="External"/><Relationship Id="rId1" Type="http://schemas.openxmlformats.org/officeDocument/2006/relationships/hyperlink" Target="https://unstats.un.org/sdgs/metadata/files/Metadata-05-01-01.pdf" TargetMode="External"/><Relationship Id="rId6" Type="http://schemas.openxmlformats.org/officeDocument/2006/relationships/drawing" Target="../drawings/drawing104.xml"/><Relationship Id="rId5" Type="http://schemas.openxmlformats.org/officeDocument/2006/relationships/printerSettings" Target="../printerSettings/printerSettings96.bin"/><Relationship Id="rId4" Type="http://schemas.openxmlformats.org/officeDocument/2006/relationships/hyperlink" Target="mailto:ssalas@inamu.go.cr" TargetMode="Externa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06.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hyperlink" Target="https://unstats.un.org/sdgs/metadata/files/Metadata-05-02-02.pdf"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1.bin"/><Relationship Id="rId1" Type="http://schemas.openxmlformats.org/officeDocument/2006/relationships/hyperlink" Target="https://unstats.un.org/sdgs/metadata/files/Metadata-05-03-01.pdf" TargetMode="Externa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11.x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6.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12.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5" Type="http://schemas.openxmlformats.org/officeDocument/2006/relationships/drawing" Target="../drawings/drawing114.xml"/><Relationship Id="rId4" Type="http://schemas.openxmlformats.org/officeDocument/2006/relationships/hyperlink" Target="mailto:jramirezc@tse.go.cr" TargetMode="Externa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5-05-02.pdf" TargetMode="External"/><Relationship Id="rId4" Type="http://schemas.openxmlformats.org/officeDocument/2006/relationships/drawing" Target="../drawings/drawing117.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5-06-01.pdf" TargetMode="External"/><Relationship Id="rId4" Type="http://schemas.openxmlformats.org/officeDocument/2006/relationships/drawing" Target="../drawings/drawing119.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66.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1.bin"/></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24.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74.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3.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4.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15.bin"/><Relationship Id="rId1" Type="http://schemas.openxmlformats.org/officeDocument/2006/relationships/hyperlink" Target="https://unstats.un.org/sdgs/metadata/files/Metadata-06-01-01.pdf" TargetMode="Externa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6.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17.bin"/><Relationship Id="rId1" Type="http://schemas.openxmlformats.org/officeDocument/2006/relationships/hyperlink" Target="https://unstats.un.org/sdgs/metadata/files/Metadata-06-02-01.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unstats.un.org/sdgs/metadata/files/Metadata-01-05-02.pdf"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https://unstats.un.org/sdgs/metadata/files/Metadata-06-02-01.pdf" TargetMode="Externa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21.bin"/><Relationship Id="rId1" Type="http://schemas.openxmlformats.org/officeDocument/2006/relationships/hyperlink" Target="https://unstats.un.org/sdgs/metadata/files/Metadata-06-03-01.pdf"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2.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23.bin"/><Relationship Id="rId1" Type="http://schemas.openxmlformats.org/officeDocument/2006/relationships/hyperlink" Target="mailto:jzeledon@da.go.cr" TargetMode="External"/></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8.xml"/><Relationship Id="rId1" Type="http://schemas.openxmlformats.org/officeDocument/2006/relationships/printerSettings" Target="../printerSettings/printerSettings124.bin"/><Relationship Id="rId4" Type="http://schemas.openxmlformats.org/officeDocument/2006/relationships/comments" Target="../comments2.xml"/></Relationships>
</file>

<file path=xl/worksheets/_rels/sheet187.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rodriguezzm@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42.xml"/><Relationship Id="rId5" Type="http://schemas.openxmlformats.org/officeDocument/2006/relationships/printerSettings" Target="../printerSettings/printerSettings125.bin"/><Relationship Id="rId4" Type="http://schemas.openxmlformats.org/officeDocument/2006/relationships/hyperlink" Target="mailto:salazarvl@bccr.fi.cr" TargetMode="External"/></Relationships>
</file>

<file path=xl/worksheets/_rels/sheet18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3.xml"/><Relationship Id="rId1" Type="http://schemas.openxmlformats.org/officeDocument/2006/relationships/printerSettings" Target="../printerSettings/printerSettings126.bin"/><Relationship Id="rId4" Type="http://schemas.openxmlformats.org/officeDocument/2006/relationships/comments" Target="../comments3.xml"/></Relationships>
</file>

<file path=xl/worksheets/_rels/sheet189.xml.rels><?xml version="1.0" encoding="UTF-8" standalone="yes"?>
<Relationships xmlns="http://schemas.openxmlformats.org/package/2006/relationships"><Relationship Id="rId3" Type="http://schemas.openxmlformats.org/officeDocument/2006/relationships/hyperlink" Target="mailto:jzunigam@ice.go.cr" TargetMode="External"/><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5" Type="http://schemas.openxmlformats.org/officeDocument/2006/relationships/drawing" Target="../drawings/drawing145.xml"/><Relationship Id="rId4" Type="http://schemas.openxmlformats.org/officeDocument/2006/relationships/printerSettings" Target="../printerSettings/printerSettings12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1.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5.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97.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9.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1.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50.xml"/></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4.bin"/></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135.bin"/><Relationship Id="rId1" Type="http://schemas.openxmlformats.org/officeDocument/2006/relationships/hyperlink" Target="https://unstats.un.org/sdgs/metadata/files/Metadata-07-01-02.pdf" TargetMode="External"/></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6.bin"/></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37.bin"/><Relationship Id="rId1" Type="http://schemas.openxmlformats.org/officeDocument/2006/relationships/hyperlink" Target="https://unstats.un.org/sdgs/metadata/files/Metadata-07-02-01.pdf" TargetMode="External"/></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8.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58.xml"/><Relationship Id="rId5" Type="http://schemas.openxmlformats.org/officeDocument/2006/relationships/printerSettings" Target="../printerSettings/printerSettings139.bin"/><Relationship Id="rId4" Type="http://schemas.openxmlformats.org/officeDocument/2006/relationships/hyperlink" Target="mailto:alvaradoqi@bccr.fi.cr" TargetMode="Externa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hyperlink" Target="mailto:amolina@sepse.go.cr" TargetMode="External"/><Relationship Id="rId1" Type="http://schemas.openxmlformats.org/officeDocument/2006/relationships/hyperlink" Target="https://unstats.un.org/sdgs/metadata/files/Metadata-07-03-01.pdf" TargetMode="External"/></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1.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64.xml"/><Relationship Id="rId5" Type="http://schemas.openxmlformats.org/officeDocument/2006/relationships/printerSettings" Target="../printerSettings/printerSettings142.bin"/><Relationship Id="rId4" Type="http://schemas.openxmlformats.org/officeDocument/2006/relationships/hyperlink" Target="mailto:arguedasvs@bccr.fi.cr" TargetMode="External"/></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3.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67.xml"/><Relationship Id="rId4" Type="http://schemas.openxmlformats.org/officeDocument/2006/relationships/hyperlink" Target="mailto:VARGASCH@bccr.fi.cr" TargetMode="Externa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216.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4.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70.xml"/><Relationship Id="rId4" Type="http://schemas.openxmlformats.org/officeDocument/2006/relationships/hyperlink" Target="mailto:rodriguezzm@bccr.fi.cr" TargetMode="Externa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unstats.un.org/sdgs/metadata/files/Metadata-01-05-04.pdf" TargetMode="External"/></Relationships>
</file>

<file path=xl/worksheets/_rels/sheet220.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146.bin"/><Relationship Id="rId1" Type="http://schemas.openxmlformats.org/officeDocument/2006/relationships/hyperlink" Target="https://gee.bccr.fi.cr/indicadoreseconomicos/Cuadros/frmVerCatCuadro.aspx?idioma=1&amp;CodCuadro=%205791" TargetMode="External"/></Relationships>
</file>

<file path=xl/worksheets/_rels/sheet2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73.xml"/></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8.bin"/></Relationships>
</file>

<file path=xl/worksheets/_rels/sheet223.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2-01.pdf" TargetMode="External"/><Relationship Id="rId4" Type="http://schemas.openxmlformats.org/officeDocument/2006/relationships/drawing" Target="../drawings/drawing175.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225.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3-01.pdf"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50.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08-04-02.pdf" TargetMode="External"/><Relationship Id="rId5" Type="http://schemas.openxmlformats.org/officeDocument/2006/relationships/printerSettings" Target="../printerSettings/printerSettings151.bin"/><Relationship Id="rId4" Type="http://schemas.openxmlformats.org/officeDocument/2006/relationships/hyperlink" Target="mailto:rodriguezzm@bccr.fi.cr"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9.xml"/></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33.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80.xml"/></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6.bin"/></Relationships>
</file>

<file path=xl/worksheets/_rels/sheet235.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2.pdf" TargetMode="External"/><Relationship Id="rId4" Type="http://schemas.openxmlformats.org/officeDocument/2006/relationships/drawing" Target="../drawings/drawing182.xml"/></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8.bin"/></Relationships>
</file>

<file path=xl/worksheets/_rels/sheet23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6-01.pdf" TargetMode="External"/><Relationship Id="rId4" Type="http://schemas.openxmlformats.org/officeDocument/2006/relationships/drawing" Target="../drawings/drawing184.xml"/></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60.bin"/></Relationships>
</file>

<file path=xl/worksheets/_rels/sheet2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86.xml"/></Relationships>
</file>

<file path=xl/worksheets/_rels/sheet24.xml.rels><?xml version="1.0" encoding="UTF-8" standalone="yes"?>
<Relationships xmlns="http://schemas.openxmlformats.org/package/2006/relationships"><Relationship Id="rId3" Type="http://schemas.openxmlformats.org/officeDocument/2006/relationships/hyperlink" Target="mailto:omendez@mideplan.go.cr" TargetMode="External"/><Relationship Id="rId2" Type="http://schemas.openxmlformats.org/officeDocument/2006/relationships/hyperlink" Target="https://www.mideplan.go.cr/SIGECI"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19.xml"/><Relationship Id="rId5" Type="http://schemas.openxmlformats.org/officeDocument/2006/relationships/printerSettings" Target="../printerSettings/printerSettings20.bin"/><Relationship Id="rId4" Type="http://schemas.openxmlformats.org/officeDocument/2006/relationships/hyperlink" Target="mailto:carlos.marschall@mideplan.go.cr" TargetMode="External"/></Relationships>
</file>

<file path=xl/worksheets/_rels/sheet240.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162.bin"/><Relationship Id="rId1" Type="http://schemas.openxmlformats.org/officeDocument/2006/relationships/hyperlink" Target="https://www.cso.go.cr/documentos_relevantes/estadisticas_salud_ocupacional.aspx" TargetMode="External"/></Relationships>
</file>

<file path=xl/worksheets/_rels/sheet2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88.xml"/></Relationships>
</file>

<file path=xl/worksheets/_rels/sheet242.xml.rels><?xml version="1.0" encoding="UTF-8" standalone="yes"?>
<Relationships xmlns="http://schemas.openxmlformats.org/package/2006/relationships"><Relationship Id="rId3" Type="http://schemas.openxmlformats.org/officeDocument/2006/relationships/hyperlink" Target="https://sites.google.com/mtss.go.cr/anuarioestadistico2023/inicio" TargetMode="Externa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www.ilo.org/ilostat/faces/ilostat-home/home?_adf.ctrl-state=124zz5i6qi_86&amp;_afrLoop=1507743378218831" TargetMode="External"/><Relationship Id="rId4" Type="http://schemas.openxmlformats.org/officeDocument/2006/relationships/drawing" Target="../drawings/drawing189.xml"/></Relationships>
</file>

<file path=xl/worksheets/_rels/sheet243.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90.xml"/></Relationships>
</file>

<file path=xl/worksheets/_rels/sheet244.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hyperlink" Target="https://sites.google.com/mtss.go.cr/anuarioestadistico2023/inicio" TargetMode="External"/><Relationship Id="rId1" Type="http://schemas.openxmlformats.org/officeDocument/2006/relationships/hyperlink" Target="https://sites.google.com/d/15Pjsj_thNFKcmECtEMO0H6tIiQYOLsvH/p/14Avrr1xqNEYv6BGqjkqF-MSJCfNpYdQN/edit" TargetMode="Externa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5.bin"/></Relationships>
</file>

<file path=xl/worksheets/_rels/sheet247.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6.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67.bin"/></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168.bin"/><Relationship Id="rId1" Type="http://schemas.openxmlformats.org/officeDocument/2006/relationships/hyperlink" Target="https://unstats.un.org/sdgs/metadata/files/Metadata-08-10-01.pdf"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69.bin"/></Relationships>
</file>

<file path=xl/worksheets/_rels/sheet251.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198.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53.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55.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7.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21.xml"/></Relationships>
</file>

<file path=xl/worksheets/_rels/sheet260.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71.bin"/></Relationships>
</file>

<file path=xl/worksheets/_rels/sheet264.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printerSettings" Target="../printerSettings/printerSettings172.bin"/><Relationship Id="rId1" Type="http://schemas.openxmlformats.org/officeDocument/2006/relationships/hyperlink" Target="https://unstats.un.org/sdgs/metadata/files/Metadata-09-02-01.pdf" TargetMode="Externa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206.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9-02-02.pdf" TargetMode="External"/></Relationships>
</file>

<file path=xl/worksheets/_rels/sheet268.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07.xml"/></Relationships>
</file>

<file path=xl/worksheets/_rels/sheet270.xml.rels><?xml version="1.0" encoding="UTF-8" standalone="yes"?>
<Relationships xmlns="http://schemas.openxmlformats.org/package/2006/relationships"><Relationship Id="rId3" Type="http://schemas.openxmlformats.org/officeDocument/2006/relationships/drawing" Target="../drawings/drawing208.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73.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rguedasvs@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11.xml"/><Relationship Id="rId4" Type="http://schemas.openxmlformats.org/officeDocument/2006/relationships/hyperlink" Target="mailto:alvaradoqi@bccr.fi.cr" TargetMode="External"/></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74.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14.xml"/><Relationship Id="rId5" Type="http://schemas.openxmlformats.org/officeDocument/2006/relationships/printerSettings" Target="../printerSettings/printerSettings175.bin"/><Relationship Id="rId4" Type="http://schemas.openxmlformats.org/officeDocument/2006/relationships/hyperlink" Target="mailto:rodriguezzm@bccr.fi.cr" TargetMode="External"/></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76.bin"/></Relationships>
</file>

<file path=xl/worksheets/_rels/sheet276.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1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78.xml.rels><?xml version="1.0" encoding="UTF-8" standalone="yes"?>
<Relationships xmlns="http://schemas.openxmlformats.org/package/2006/relationships"><Relationship Id="rId3" Type="http://schemas.openxmlformats.org/officeDocument/2006/relationships/drawing" Target="../drawings/drawing218.xml"/><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5-02.pdf" TargetMode="Externa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78.bin"/></Relationships>
</file>

<file path=xl/worksheets/_rels/sheet282.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hyperlink" Target="mailto:greivin.barboza@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21.xml"/></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80.bin"/></Relationships>
</file>

<file path=xl/worksheets/_rels/sheet284.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23.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82.bin"/></Relationships>
</file>

<file path=xl/worksheets/_rels/sheet287.xml.rels><?xml version="1.0" encoding="UTF-8" standalone="yes"?>
<Relationships xmlns="http://schemas.openxmlformats.org/package/2006/relationships"><Relationship Id="rId3" Type="http://schemas.openxmlformats.org/officeDocument/2006/relationships/drawing" Target="../drawings/drawing227.xml"/><Relationship Id="rId2" Type="http://schemas.openxmlformats.org/officeDocument/2006/relationships/printerSettings" Target="../printerSettings/printerSettings183.bin"/><Relationship Id="rId1" Type="http://schemas.openxmlformats.org/officeDocument/2006/relationships/hyperlink" Target="https://unstats.un.org/sdgs/metadata/files/Metadata-10-01-01.pdf" TargetMode="External"/></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84.bin"/></Relationships>
</file>

<file path=xl/worksheets/_rels/sheet289.xml.rels><?xml version="1.0" encoding="UTF-8" standalone="yes"?>
<Relationships xmlns="http://schemas.openxmlformats.org/package/2006/relationships"><Relationship Id="rId3" Type="http://schemas.openxmlformats.org/officeDocument/2006/relationships/drawing" Target="../drawings/drawing230.xml"/><Relationship Id="rId2" Type="http://schemas.openxmlformats.org/officeDocument/2006/relationships/printerSettings" Target="../printerSettings/printerSettings185.bin"/><Relationship Id="rId1" Type="http://schemas.openxmlformats.org/officeDocument/2006/relationships/hyperlink" Target="https://unstats.un.org/sdgs/metadata/files/Metadata-10-02-01.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hyperlink" Target="https://unstats.un.org/sdgs/metadata/files/Metadata-10-02-01.pdf"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86.bin"/></Relationships>
</file>

<file path=xl/worksheets/_rels/sheet29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34.xm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301.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37.xml"/><Relationship Id="rId4" Type="http://schemas.openxmlformats.org/officeDocument/2006/relationships/hyperlink" Target="https://unstats.un.org/sdgs/metadata/files/Metadata-10-05-01.pdf" TargetMode="Externa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303.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307.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4.xml"/><Relationship Id="rId4"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11.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191.bin"/></Relationships>
</file>

<file path=xl/worksheets/_rels/sheet313.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315.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6.xml.rels><?xml version="1.0" encoding="UTF-8" standalone="yes"?>
<Relationships xmlns="http://schemas.openxmlformats.org/package/2006/relationships"><Relationship Id="rId3" Type="http://schemas.openxmlformats.org/officeDocument/2006/relationships/drawing" Target="../drawings/drawing242.xml"/><Relationship Id="rId2" Type="http://schemas.openxmlformats.org/officeDocument/2006/relationships/printerSettings" Target="../printerSettings/printerSettings192.bin"/><Relationship Id="rId1" Type="http://schemas.openxmlformats.org/officeDocument/2006/relationships/hyperlink" Target="https://remittanceprices.worldbank.org/" TargetMode="External"/></Relationships>
</file>

<file path=xl/worksheets/_rels/sheet317.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43.xml"/><Relationship Id="rId4" Type="http://schemas.openxmlformats.org/officeDocument/2006/relationships/printerSettings" Target="../printerSettings/printerSettings193.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194.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3" Type="http://schemas.openxmlformats.org/officeDocument/2006/relationships/drawing" Target="../drawings/drawing246.xml"/><Relationship Id="rId2" Type="http://schemas.openxmlformats.org/officeDocument/2006/relationships/printerSettings" Target="../printerSettings/printerSettings196.bin"/><Relationship Id="rId1" Type="http://schemas.openxmlformats.org/officeDocument/2006/relationships/hyperlink" Target="https://unstats.un.org/sdgs/metadata/files/Metadata-11-01-01.pdf" TargetMode="External"/></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197.bin"/></Relationships>
</file>

<file path=xl/worksheets/_rels/sheet322.xml.rels><?xml version="1.0" encoding="UTF-8" standalone="yes"?>
<Relationships xmlns="http://schemas.openxmlformats.org/package/2006/relationships"><Relationship Id="rId3" Type="http://schemas.openxmlformats.org/officeDocument/2006/relationships/drawing" Target="../drawings/drawing248.xml"/><Relationship Id="rId2" Type="http://schemas.openxmlformats.org/officeDocument/2006/relationships/printerSettings" Target="../printerSettings/printerSettings198.bin"/><Relationship Id="rId1" Type="http://schemas.openxmlformats.org/officeDocument/2006/relationships/hyperlink" Target="https://unstats.un.org/sdgs/metadata/files/Metadata-11-01-01.pdf" TargetMode="External"/></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199.bin"/></Relationships>
</file>

<file path=xl/worksheets/_rels/sheet324.xml.rels><?xml version="1.0" encoding="UTF-8" standalone="yes"?>
<Relationships xmlns="http://schemas.openxmlformats.org/package/2006/relationships"><Relationship Id="rId3" Type="http://schemas.openxmlformats.org/officeDocument/2006/relationships/drawing" Target="../drawings/drawing250.xml"/><Relationship Id="rId2" Type="http://schemas.openxmlformats.org/officeDocument/2006/relationships/printerSettings" Target="../printerSettings/printerSettings200.bin"/><Relationship Id="rId1" Type="http://schemas.openxmlformats.org/officeDocument/2006/relationships/hyperlink" Target="https://unstats.un.org/sdgs/metadata/files/Metadata-11-01-01.pdf"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8.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33.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30.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34.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52.xml"/></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hyperlink" Target="https://unstats.un.org/sdgs/metadata/files/Metadata-11-05-02.pdf" TargetMode="External"/></Relationships>
</file>

<file path=xl/worksheets/_rels/sheet3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03.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0.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42.xml.rels><?xml version="1.0" encoding="UTF-8" standalone="yes"?>
<Relationships xmlns="http://schemas.openxmlformats.org/package/2006/relationships"><Relationship Id="rId3" Type="http://schemas.openxmlformats.org/officeDocument/2006/relationships/drawing" Target="../drawings/drawing255.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44.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06.bin"/></Relationships>
</file>

<file path=xl/worksheets/_rels/sheet346.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hyperlink" Target="mailto:sandra.delgado@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57.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34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50.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hyperlink" Target="https://unstats.un.org/sdgs/metadata/files/Metadata-11-0b-02.pdf" TargetMode="External"/></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08.bin"/></Relationships>
</file>

<file path=xl/worksheets/_rels/sheet354.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09.bin"/></Relationships>
</file>

<file path=xl/worksheets/_rels/sheet355.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unstats.un.org/sdgs/metadata/files/Metadata-12-01-01.pdf" TargetMode="External"/></Relationships>
</file>

<file path=xl/worksheets/_rels/sheet357.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8.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11.bin"/></Relationships>
</file>

<file path=xl/worksheets/_rels/sheet35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12-02-02.pdf" TargetMode="External"/><Relationship Id="rId5" Type="http://schemas.openxmlformats.org/officeDocument/2006/relationships/printerSettings" Target="../printerSettings/printerSettings212.bin"/><Relationship Id="rId4" Type="http://schemas.openxmlformats.org/officeDocument/2006/relationships/hyperlink" Target="mailto:rodriguezzm@bccr.fi.cr"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62.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13.bin"/></Relationships>
</file>

<file path=xl/worksheets/_rels/sheet363.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14.bin"/></Relationships>
</file>

<file path=xl/worksheets/_rels/sheet365.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mailto:ricardo.morales@misalud.go.cr" TargetMode="External"/><Relationship Id="rId1" Type="http://schemas.openxmlformats.org/officeDocument/2006/relationships/hyperlink" Target="https://unstats.un.org/sdgs/tierIII-indicators/" TargetMode="External"/></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16.bin"/></Relationships>
</file>

<file path=xl/worksheets/_rels/sheet367.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69.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imrepetry@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8.bin"/></Relationships>
</file>

<file path=xl/worksheets/_rels/sheet37.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hyperlink" Target="mailto:moralesld@hacienda.go.cr" TargetMode="External"/><Relationship Id="rId1" Type="http://schemas.openxmlformats.org/officeDocument/2006/relationships/hyperlink" Target="https://unstats.un.org/sdgs/tierIII-indicators/" TargetMode="External"/></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73.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67.xml"/></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375.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69.xml"/><Relationship Id="rId5" Type="http://schemas.openxmlformats.org/officeDocument/2006/relationships/printerSettings" Target="../printerSettings/printerSettings223.bin"/><Relationship Id="rId4" Type="http://schemas.openxmlformats.org/officeDocument/2006/relationships/hyperlink" Target="mailto:rodriguezzm@bccr.fi.cr" TargetMode="External"/></Relationships>
</file>

<file path=xl/worksheets/_rels/sheet376.xml.rels><?xml version="1.0" encoding="UTF-8" standalone="yes"?>
<Relationships xmlns="http://schemas.openxmlformats.org/package/2006/relationships"><Relationship Id="rId3" Type="http://schemas.openxmlformats.org/officeDocument/2006/relationships/drawing" Target="../drawings/drawing270.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7.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4.bin"/></Relationships>
</file>

<file path=xl/worksheets/_rels/sheet379.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25.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82.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72.xml"/></Relationships>
</file>

<file path=xl/worksheets/_rels/sheet38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384.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5.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28.bin"/></Relationships>
</file>

<file path=xl/worksheets/_rels/sheet386.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hyperlink" Target="https://unstats.un.org/sdgs/metadata/files/Metadata-13-01-03.pdf" TargetMode="External"/></Relationships>
</file>

<file path=xl/worksheets/_rels/sheet387.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38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2.bin"/></Relationships>
</file>

<file path=xl/worksheets/_rels/sheet390.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9.bin"/></Relationships>
</file>

<file path=xl/worksheets/_rels/sheet39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77.xml"/></Relationships>
</file>

<file path=xl/worksheets/_rels/sheet393.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3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5.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3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7.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31.bin"/></Relationships>
</file>

<file path=xl/worksheets/_rels/sheet399.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401.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05.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jcarvajal@incopesca.go.cr" TargetMode="External"/><Relationship Id="rId1" Type="http://schemas.openxmlformats.org/officeDocument/2006/relationships/hyperlink" Target="https://unstats.un.org/sdgs/metadata/files/Metadata-14-04-01.pdf" TargetMode="External"/><Relationship Id="rId4" Type="http://schemas.openxmlformats.org/officeDocument/2006/relationships/printerSettings" Target="../printerSettings/printerSettings232.bin"/></Relationships>
</file>

<file path=xl/worksheets/_rels/sheet406.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33.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83.xml"/><Relationship Id="rId4" Type="http://schemas.openxmlformats.org/officeDocument/2006/relationships/printerSettings" Target="../printerSettings/printerSettings234.bin"/></Relationships>
</file>

<file path=xl/worksheets/_rels/sheet409.xml.rels><?xml version="1.0" encoding="UTF-8" standalone="yes"?>
<Relationships xmlns="http://schemas.openxmlformats.org/package/2006/relationships"><Relationship Id="rId1" Type="http://schemas.openxmlformats.org/officeDocument/2006/relationships/drawing" Target="../drawings/drawing284.xml"/></Relationships>
</file>

<file path=xl/worksheets/_rels/sheet41.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14.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5.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41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s://unstats.un.org/sdgs/tierIII-indicators/" TargetMode="External"/></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37.bin"/></Relationships>
</file>

<file path=xl/worksheets/_rels/sheet418.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38.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88.xml"/><Relationship Id="rId4" Type="http://schemas.openxmlformats.org/officeDocument/2006/relationships/printerSettings" Target="../printerSettings/printerSettings2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www.sirefor.go.cr/"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mailto:milena.gutierrez@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2-01.pdf" TargetMode="External"/><Relationship Id="rId4" Type="http://schemas.openxmlformats.org/officeDocument/2006/relationships/drawing" Target="../drawings/drawing289.xml"/></Relationships>
</file>

<file path=xl/worksheets/_rels/sheet425.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8.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41.bin"/></Relationships>
</file>

<file path=xl/worksheets/_rels/sheet429.xml.rels><?xml version="1.0" encoding="UTF-8" standalone="yes"?>
<Relationships xmlns="http://schemas.openxmlformats.org/package/2006/relationships"><Relationship Id="rId8" Type="http://schemas.openxmlformats.org/officeDocument/2006/relationships/drawing" Target="../drawings/drawing292.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4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dianny.hernandez@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6.xml"/></Relationships>
</file>

<file path=xl/worksheets/_rels/sheet43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 Id="rId4" Type="http://schemas.openxmlformats.org/officeDocument/2006/relationships/drawing" Target="../drawings/drawing293.xml"/></Relationships>
</file>

<file path=xl/worksheets/_rels/sheet431.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32.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433.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37.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hyperlink" Target="https://unstats.un.org/sdgs/metadata/files/Metadata-15-08-01.pdf" TargetMode="External"/></Relationships>
</file>

<file path=xl/worksheets/_rels/sheet438.xml.rels><?xml version="1.0" encoding="UTF-8" standalone="yes"?>
<Relationships xmlns="http://schemas.openxmlformats.org/package/2006/relationships"><Relationship Id="rId1" Type="http://schemas.openxmlformats.org/officeDocument/2006/relationships/drawing" Target="../drawings/drawing295.xml"/></Relationships>
</file>

<file path=xl/worksheets/_rels/sheet439.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40.xml.rels><?xml version="1.0" encoding="UTF-8" standalone="yes"?>
<Relationships xmlns="http://schemas.openxmlformats.org/package/2006/relationships"><Relationship Id="rId1" Type="http://schemas.openxmlformats.org/officeDocument/2006/relationships/drawing" Target="../drawings/drawing296.xml"/></Relationships>
</file>

<file path=xl/worksheets/_rels/sheet441.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42.xml.rels><?xml version="1.0" encoding="UTF-8" standalone="yes"?>
<Relationships xmlns="http://schemas.openxmlformats.org/package/2006/relationships"><Relationship Id="rId1" Type="http://schemas.openxmlformats.org/officeDocument/2006/relationships/drawing" Target="../drawings/drawing297.xml"/></Relationships>
</file>

<file path=xl/worksheets/_rels/sheet443.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6.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246.bin"/></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4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300.xml"/><Relationship Id="rId4" Type="http://schemas.openxmlformats.org/officeDocument/2006/relationships/printerSettings" Target="../printerSettings/printerSettings248.bin"/></Relationships>
</file>

<file path=xl/worksheets/_rels/sheet45.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5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49.bin"/></Relationships>
</file>

<file path=xl/worksheets/_rels/sheet45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hyperlink" Target="mailto:sandra.delgado@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302.xml"/></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54.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5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https://unstats.un.org/sdgs/metadata/files/Metadata-16-02-01.pdf" TargetMode="Externa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54.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304.xml"/><Relationship Id="rId4" Type="http://schemas.openxmlformats.org/officeDocument/2006/relationships/printerSettings" Target="../printerSettings/printerSettings255.bin"/></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256.bin"/></Relationships>
</file>

<file path=xl/worksheets/_rels/sheet460.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308.xml"/></Relationships>
</file>

<file path=xl/worksheets/_rels/sheet461.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258.bin"/></Relationships>
</file>

<file path=xl/worksheets/_rels/sheet462.xml.rels><?xml version="1.0" encoding="UTF-8" standalone="yes"?>
<Relationships xmlns="http://schemas.openxmlformats.org/package/2006/relationships"><Relationship Id="rId3" Type="http://schemas.openxmlformats.org/officeDocument/2006/relationships/drawing" Target="../drawings/drawing310.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6-03-01.pdf" TargetMode="External"/></Relationships>
</file>

<file path=xl/worksheets/_rels/sheet463.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260.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312.xml"/><Relationship Id="rId4" Type="http://schemas.openxmlformats.org/officeDocument/2006/relationships/printerSettings" Target="../printerSettings/printerSettings261.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64.bin"/></Relationships>
</file>

<file path=xl/worksheets/_rels/sheet47.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70.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314.xml"/></Relationships>
</file>

<file path=xl/worksheets/_rels/sheet472.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73.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266.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316.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8.xml.rels><?xml version="1.0" encoding="UTF-8" standalone="yes"?>
<Relationships xmlns="http://schemas.openxmlformats.org/package/2006/relationships"><Relationship Id="rId3" Type="http://schemas.openxmlformats.org/officeDocument/2006/relationships/hyperlink" Target="mailto:silvia.calderon@mideplan.go.cr" TargetMode="External"/><Relationship Id="rId2" Type="http://schemas.openxmlformats.org/officeDocument/2006/relationships/hyperlink" Target="https://www.mideplan.go.cr/Secretaria-Tecnica-del-SNCS" TargetMode="External"/><Relationship Id="rId1" Type="http://schemas.openxmlformats.org/officeDocument/2006/relationships/hyperlink" Target="https://unstats.un.org/sdgs/tierIII-indicators/" TargetMode="External"/><Relationship Id="rId5" Type="http://schemas.openxmlformats.org/officeDocument/2006/relationships/hyperlink" Target="mailto:andrea.marin@mideplan.go.cr" TargetMode="External"/><Relationship Id="rId4" Type="http://schemas.openxmlformats.org/officeDocument/2006/relationships/hyperlink" Target="mailto:carlos.marschall@mideplan.go.cr" TargetMode="External"/></Relationships>
</file>

<file path=xl/worksheets/_rels/sheet479.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267.bin"/></Relationships>
</file>

<file path=xl/worksheets/_rels/sheet480.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16-07-01A.pdf" TargetMode="External"/><Relationship Id="rId4" Type="http://schemas.openxmlformats.org/officeDocument/2006/relationships/drawing" Target="../drawings/drawing318.xml"/></Relationships>
</file>

<file path=xl/worksheets/_rels/sheet48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3.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printerSettings" Target="../printerSettings/printerSettings269.bin"/></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5.xml.rels><?xml version="1.0" encoding="UTF-8" standalone="yes"?>
<Relationships xmlns="http://schemas.openxmlformats.org/package/2006/relationships"><Relationship Id="rId3" Type="http://schemas.openxmlformats.org/officeDocument/2006/relationships/drawing" Target="../drawings/drawing320.xml"/><Relationship Id="rId2" Type="http://schemas.openxmlformats.org/officeDocument/2006/relationships/printerSettings" Target="../printerSettings/printerSettings270.bin"/><Relationship Id="rId1" Type="http://schemas.openxmlformats.org/officeDocument/2006/relationships/hyperlink" Target="https://inec.cr/tematicas/listado?topics=91%252C646" TargetMode="External"/></Relationships>
</file>

<file path=xl/worksheets/_rels/sheet486.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8.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https://unstats.un.org/sdgs/metadata/files/Metadata-16-10-01.pdf" TargetMode="External"/></Relationships>
</file>

<file path=xl/worksheets/_rels/sheet489.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printerSettings" Target="../printerSettings/printerSettings273.bin"/></Relationships>
</file>

<file path=xl/worksheets/_rels/sheet49.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91.xml.rels><?xml version="1.0" encoding="UTF-8" standalone="yes"?>
<Relationships xmlns="http://schemas.openxmlformats.org/package/2006/relationships"><Relationship Id="rId1" Type="http://schemas.openxmlformats.org/officeDocument/2006/relationships/drawing" Target="../drawings/drawing322.xml"/></Relationships>
</file>

<file path=xl/worksheets/_rels/sheet492.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7.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printerSettings" Target="../printerSettings/printerSettings275.bin"/></Relationships>
</file>

<file path=xl/worksheets/_rels/sheet498.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276.bin"/></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327.xml"/><Relationship Id="rId2" Type="http://schemas.openxmlformats.org/officeDocument/2006/relationships/printerSettings" Target="../printerSettings/printerSettings277.bin"/><Relationship Id="rId1" Type="http://schemas.openxmlformats.org/officeDocument/2006/relationships/hyperlink" Target="https://unstats.un.org/sdgs/metadata/files/Metadata-17-01-01.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278.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29.xml"/><Relationship Id="rId2" Type="http://schemas.openxmlformats.org/officeDocument/2006/relationships/printerSettings" Target="../printerSettings/printerSettings279.bin"/><Relationship Id="rId1" Type="http://schemas.openxmlformats.org/officeDocument/2006/relationships/hyperlink" Target="https://unstats.un.org/sdgs/metadata/files/Metadata-17-01-02.pdf" TargetMode="External"/></Relationships>
</file>

<file path=xl/worksheets/_rels/sheet502.xml.rels><?xml version="1.0" encoding="UTF-8" standalone="yes"?>
<Relationships xmlns="http://schemas.openxmlformats.org/package/2006/relationships"><Relationship Id="rId1" Type="http://schemas.openxmlformats.org/officeDocument/2006/relationships/drawing" Target="../drawings/drawing330.xml"/></Relationships>
</file>

<file path=xl/worksheets/_rels/sheet503.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05.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6" Type="http://schemas.openxmlformats.org/officeDocument/2006/relationships/drawing" Target="../drawings/drawing331.xml"/><Relationship Id="rId5" Type="http://schemas.openxmlformats.org/officeDocument/2006/relationships/printerSettings" Target="../printerSettings/printerSettings281.bin"/><Relationship Id="rId4" Type="http://schemas.openxmlformats.org/officeDocument/2006/relationships/hyperlink" Target="mailto:estefania.unfried@comex.go.cr" TargetMode="External"/></Relationships>
</file>

<file path=xl/worksheets/_rels/sheet506.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282.bin"/></Relationships>
</file>

<file path=xl/worksheets/_rels/sheet507.xml.rels><?xml version="1.0" encoding="UTF-8" standalone="yes"?>
<Relationships xmlns="http://schemas.openxmlformats.org/package/2006/relationships"><Relationship Id="rId3" Type="http://schemas.openxmlformats.org/officeDocument/2006/relationships/drawing" Target="../drawings/drawing333.xml"/><Relationship Id="rId2" Type="http://schemas.openxmlformats.org/officeDocument/2006/relationships/printerSettings" Target="../printerSettings/printerSettings283.bin"/><Relationship Id="rId1" Type="http://schemas.openxmlformats.org/officeDocument/2006/relationships/hyperlink" Target="https://unstats.un.org/sdgs/metadata/files/Metadata-17-03-02.pdf" TargetMode="External"/></Relationships>
</file>

<file path=xl/worksheets/_rels/sheet508.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printerSettings" Target="../printerSettings/printerSettings284.bin"/></Relationships>
</file>

<file path=xl/worksheets/_rels/sheet509.xml.rels><?xml version="1.0" encoding="UTF-8" standalone="yes"?>
<Relationships xmlns="http://schemas.openxmlformats.org/package/2006/relationships"><Relationship Id="rId3" Type="http://schemas.openxmlformats.org/officeDocument/2006/relationships/drawing" Target="../drawings/drawing335.xm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7-04-01.pdf"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8.xml"/></Relationships>
</file>

<file path=xl/worksheets/_rels/sheet510.xml.rels><?xml version="1.0" encoding="UTF-8" standalone="yes"?>
<Relationships xmlns="http://schemas.openxmlformats.org/package/2006/relationships"><Relationship Id="rId1" Type="http://schemas.openxmlformats.org/officeDocument/2006/relationships/drawing" Target="../drawings/drawing336.xml"/></Relationships>
</file>

<file path=xl/worksheets/_rels/sheet51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12.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285.bin"/></Relationships>
</file>

<file path=xl/worksheets/_rels/sheet513.xml.rels><?xml version="1.0" encoding="UTF-8" standalone="yes"?>
<Relationships xmlns="http://schemas.openxmlformats.org/package/2006/relationships"><Relationship Id="rId2" Type="http://schemas.openxmlformats.org/officeDocument/2006/relationships/drawing" Target="../drawings/drawing338.xml"/><Relationship Id="rId1" Type="http://schemas.openxmlformats.org/officeDocument/2006/relationships/hyperlink" Target="https://unstats.un.org/sdgs/tierIII-indicators/" TargetMode="External"/></Relationships>
</file>

<file path=xl/worksheets/_rels/sheet514.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515.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6.xml.rels><?xml version="1.0" encoding="UTF-8" standalone="yes"?>
<Relationships xmlns="http://schemas.openxmlformats.org/package/2006/relationships"><Relationship Id="rId2" Type="http://schemas.openxmlformats.org/officeDocument/2006/relationships/drawing" Target="../drawings/drawing340.xml"/><Relationship Id="rId1" Type="http://schemas.openxmlformats.org/officeDocument/2006/relationships/printerSettings" Target="../printerSettings/printerSettings286.bin"/></Relationships>
</file>

<file path=xl/worksheets/_rels/sheet517.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hyperlink" Target="https://unstats.un.org/sdgs/metadata/files/Metadata-17-08-01.pdf" TargetMode="External"/></Relationships>
</file>

<file path=xl/worksheets/_rels/sheet518.xml.rels><?xml version="1.0" encoding="UTF-8" standalone="yes"?>
<Relationships xmlns="http://schemas.openxmlformats.org/package/2006/relationships"><Relationship Id="rId1" Type="http://schemas.openxmlformats.org/officeDocument/2006/relationships/drawing" Target="../drawings/drawing342.xml"/></Relationships>
</file>

<file path=xl/worksheets/_rels/sheet519.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https://unstats.un.org/sdgs/metadata/files/Metadata-17-09-01.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520.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3" Type="http://schemas.openxmlformats.org/officeDocument/2006/relationships/hyperlink" Target="https://tao.wto.org/welcome.aspx?ReturnUrl=%2f" TargetMode="External"/><Relationship Id="rId2" Type="http://schemas.openxmlformats.org/officeDocument/2006/relationships/hyperlink" Target="mailto:arlina.gomez@comex.go.cr" TargetMode="External"/><Relationship Id="rId1" Type="http://schemas.openxmlformats.org/officeDocument/2006/relationships/hyperlink" Target="https://unstats.un.org/sdgs/metadata/files/Metadata-17-10-01.pdf" TargetMode="External"/><Relationship Id="rId5" Type="http://schemas.openxmlformats.org/officeDocument/2006/relationships/drawing" Target="../drawings/drawing344.xml"/><Relationship Id="rId4" Type="http://schemas.openxmlformats.org/officeDocument/2006/relationships/printerSettings" Target="../printerSettings/printerSettings289.bin"/></Relationships>
</file>

<file path=xl/worksheets/_rels/sheet522.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24.xml.rels><?xml version="1.0" encoding="UTF-8" standalone="yes"?>
<Relationships xmlns="http://schemas.openxmlformats.org/package/2006/relationships"><Relationship Id="rId1" Type="http://schemas.openxmlformats.org/officeDocument/2006/relationships/drawing" Target="../drawings/drawing346.xm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6.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527.xml.rels><?xml version="1.0" encoding="UTF-8" standalone="yes"?>
<Relationships xmlns="http://schemas.openxmlformats.org/package/2006/relationships"><Relationship Id="rId2" Type="http://schemas.openxmlformats.org/officeDocument/2006/relationships/printerSettings" Target="../printerSettings/printerSettings290.bin"/><Relationship Id="rId1" Type="http://schemas.openxmlformats.org/officeDocument/2006/relationships/hyperlink" Target="https://unstats.un.org/sdgs/metadata/files/Metadata-17-13-01.pdf" TargetMode="External"/></Relationships>
</file>

<file path=xl/worksheets/_rels/sheet52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30.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531.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32.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533.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34.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7.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8.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539.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hyperlink" Target="https://unstats.un.org/sdgs/metadata/files/Metadata-17-18-02.pdf"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0.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541.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42.xml.rels><?xml version="1.0" encoding="UTF-8" standalone="yes"?>
<Relationships xmlns="http://schemas.openxmlformats.org/package/2006/relationships"><Relationship Id="rId2" Type="http://schemas.openxmlformats.org/officeDocument/2006/relationships/drawing" Target="../drawings/drawing354.xml"/><Relationship Id="rId1" Type="http://schemas.openxmlformats.org/officeDocument/2006/relationships/printerSettings" Target="../printerSettings/printerSettings292.bin"/></Relationships>
</file>

<file path=xl/worksheets/_rels/sheet543.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44.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545.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unstats.un.org/sdgs/metadata/files/Metadata-02-0C-01.pdf"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unstats.un.org/sdgs/metadata/files/Metadata-01-02-01.pdf"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3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4.bin"/><Relationship Id="rId1" Type="http://schemas.openxmlformats.org/officeDocument/2006/relationships/hyperlink" Target="https://unstats.un.org/sdgs/metadata/files/Metadata-03-01-02.pdf"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bin"/><Relationship Id="rId1" Type="http://schemas.openxmlformats.org/officeDocument/2006/relationships/hyperlink" Target="https://unstats.un.org/sdgs/metadata/files/Metadata-03-02-01.pdf" TargetMode="Externa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unstats.un.org/sdgs/metadata/files/Metadata-03-03-02.pdf"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pamela.dominguez@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40.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9.bin"/><Relationship Id="rId1" Type="http://schemas.openxmlformats.org/officeDocument/2006/relationships/hyperlink" Target="https://www.ministeriodesalud.go.cr/sobre_ministerio/memorias/memoria_2014_2018/memoria_institucional_2018.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mailto:franchina.murill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unstats.un.org/sdgs/metadata/files/Metadata-03-03-03.pdf" TargetMode="Externa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hyperlink" Target="mailto:roberto.castro@misalud.go.cr" TargetMode="External"/><Relationship Id="rId1" Type="http://schemas.openxmlformats.org/officeDocument/2006/relationships/hyperlink" Target="https://unstats.un.org/sdgs/metadata/files/Metadata-03-03-04.pdf"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3.bin"/><Relationship Id="rId1" Type="http://schemas.openxmlformats.org/officeDocument/2006/relationships/hyperlink" Target="https://unstats.un.org/sdgs/metadata/files/Metadata-03-04-01.pdf" TargetMode="Externa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unstats.un.org/sdgs/metadata/files/Metadata-01-02-02.pdf"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https://unstats.un.org/sdgs/metadata/files/Metadata-03-04-02.pdf"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4.xml.rels><?xml version="1.0" encoding="UTF-8" standalone="yes"?>
<Relationships xmlns="http://schemas.openxmlformats.org/package/2006/relationships"><Relationship Id="rId3" Type="http://schemas.openxmlformats.org/officeDocument/2006/relationships/hyperlink" Target="mailto:gsanchez@iafa.go.cr" TargetMode="External"/><Relationship Id="rId2" Type="http://schemas.openxmlformats.org/officeDocument/2006/relationships/hyperlink" Target="https://www.cdc.gov/alcohol/data-stats.htm" TargetMode="External"/><Relationship Id="rId1" Type="http://schemas.openxmlformats.org/officeDocument/2006/relationships/hyperlink" Target="https://unstats.un.org/sdgs/metadata/files/Metadata-03-05-02.pdf" TargetMode="External"/><Relationship Id="rId5" Type="http://schemas.openxmlformats.org/officeDocument/2006/relationships/drawing" Target="../drawings/drawing54.xml"/><Relationship Id="rId4"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8.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rodrigo.marin@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58.xml"/><Relationship Id="rId4"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mailto:pablo.montoya@misalud.go.cr" TargetMode="External"/><Relationship Id="rId1" Type="http://schemas.openxmlformats.org/officeDocument/2006/relationships/hyperlink" Target="https://unstats.un.org/sdgs/metadata/files/Metadata-03-07-01.pdf" TargetMode="External"/><Relationship Id="rId4" Type="http://schemas.openxmlformats.org/officeDocument/2006/relationships/drawing" Target="../drawings/drawing60.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1.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unstats.un.org/sdgs/metadata/files/Metadata-03-07-02.pdf" TargetMode="Externa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6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7971-797D-42FD-93A1-E5B832CC8202}">
  <sheetPr>
    <tabColor theme="8" tint="-0.499984740745262"/>
  </sheetPr>
  <dimension ref="A1:Q85"/>
  <sheetViews>
    <sheetView showGridLines="0" tabSelected="1" zoomScaleNormal="100" workbookViewId="0">
      <pane ySplit="1" topLeftCell="A2" activePane="bottomLeft" state="frozen"/>
      <selection activeCell="R16" sqref="R16"/>
      <selection pane="bottomLeft" activeCell="W12" sqref="W12"/>
    </sheetView>
  </sheetViews>
  <sheetFormatPr baseColWidth="10" defaultColWidth="11.42578125" defaultRowHeight="15" x14ac:dyDescent="0.25"/>
  <cols>
    <col min="1" max="2" width="6.7109375" style="1" customWidth="1"/>
    <col min="3" max="3" width="11.42578125" style="1"/>
    <col min="4" max="4" width="8.28515625" style="1" customWidth="1"/>
    <col min="5" max="5" width="11.42578125" style="1" customWidth="1"/>
    <col min="6" max="13" width="11.42578125" style="1"/>
    <col min="14" max="14" width="2.28515625" style="1" customWidth="1"/>
    <col min="15" max="15" width="6.7109375" style="1" customWidth="1"/>
    <col min="16" max="16384" width="11.42578125" style="1"/>
  </cols>
  <sheetData>
    <row r="1" spans="1:17" ht="27.75" customHeight="1" x14ac:dyDescent="0.25">
      <c r="A1" s="2407" t="s">
        <v>0</v>
      </c>
      <c r="B1" s="2407"/>
      <c r="C1" s="2407"/>
      <c r="D1" s="2407"/>
      <c r="E1" s="2407"/>
      <c r="F1" s="2407"/>
      <c r="G1" s="2407"/>
      <c r="H1" s="2407"/>
      <c r="I1" s="2407"/>
      <c r="J1" s="2407"/>
      <c r="K1" s="2407"/>
      <c r="L1" s="2407"/>
      <c r="M1" s="2407"/>
      <c r="N1" s="2407"/>
      <c r="O1" s="2407"/>
    </row>
    <row r="3" spans="1:17" ht="18" customHeight="1" x14ac:dyDescent="0.25"/>
    <row r="4" spans="1:17" ht="18" customHeight="1" x14ac:dyDescent="0.25"/>
    <row r="5" spans="1:17" ht="18" customHeight="1" x14ac:dyDescent="0.25"/>
    <row r="6" spans="1:17" ht="18" customHeight="1" x14ac:dyDescent="0.25"/>
    <row r="7" spans="1:17" ht="7.9" customHeight="1" x14ac:dyDescent="0.25"/>
    <row r="8" spans="1:17" ht="18" customHeight="1" x14ac:dyDescent="0.25"/>
    <row r="9" spans="1:17" ht="18" customHeight="1" x14ac:dyDescent="0.25"/>
    <row r="10" spans="1:17" ht="18" customHeight="1" x14ac:dyDescent="0.25">
      <c r="Q10" s="2"/>
    </row>
    <row r="11" spans="1:17" ht="7.9" customHeight="1" x14ac:dyDescent="0.25"/>
    <row r="12" spans="1:17" ht="18" customHeight="1" x14ac:dyDescent="0.25"/>
    <row r="13" spans="1:17" ht="18" customHeight="1" x14ac:dyDescent="0.25"/>
    <row r="14" spans="1:17" ht="18" customHeight="1" x14ac:dyDescent="0.25"/>
    <row r="15" spans="1:17" ht="7.9" customHeight="1" x14ac:dyDescent="0.25"/>
    <row r="16" spans="1:17" ht="18" customHeight="1" x14ac:dyDescent="0.25"/>
    <row r="17" ht="18" customHeight="1" x14ac:dyDescent="0.25"/>
    <row r="18" ht="18" customHeight="1" x14ac:dyDescent="0.25"/>
    <row r="19" ht="7.9" customHeight="1" x14ac:dyDescent="0.25"/>
    <row r="20" ht="18" customHeight="1" x14ac:dyDescent="0.25"/>
    <row r="21" ht="18" customHeight="1" x14ac:dyDescent="0.25"/>
    <row r="22" ht="18" customHeight="1" x14ac:dyDescent="0.25"/>
    <row r="23" ht="7.9" customHeight="1" x14ac:dyDescent="0.25"/>
    <row r="24" ht="18" customHeight="1" x14ac:dyDescent="0.25"/>
    <row r="25" ht="18" customHeight="1" x14ac:dyDescent="0.25"/>
    <row r="26" ht="18" customHeight="1" x14ac:dyDescent="0.25"/>
    <row r="27" ht="7.9" customHeight="1" x14ac:dyDescent="0.25"/>
    <row r="28" ht="18" customHeight="1" x14ac:dyDescent="0.25"/>
    <row r="29" ht="18" customHeight="1" x14ac:dyDescent="0.25"/>
    <row r="30" ht="18" customHeight="1" x14ac:dyDescent="0.25"/>
    <row r="31" ht="7.9" customHeight="1" x14ac:dyDescent="0.25"/>
    <row r="32" ht="18" customHeight="1" x14ac:dyDescent="0.25"/>
    <row r="33" ht="18" customHeight="1" x14ac:dyDescent="0.25"/>
    <row r="34" ht="18" customHeight="1" x14ac:dyDescent="0.25"/>
    <row r="35" ht="7.9" customHeight="1" x14ac:dyDescent="0.25"/>
    <row r="36" ht="18" customHeight="1" x14ac:dyDescent="0.25"/>
    <row r="37" ht="18" customHeight="1" x14ac:dyDescent="0.25"/>
    <row r="38" ht="18" customHeight="1" x14ac:dyDescent="0.25"/>
    <row r="39" ht="7.9" customHeight="1" x14ac:dyDescent="0.25"/>
    <row r="40" ht="18" customHeight="1" x14ac:dyDescent="0.25"/>
    <row r="41" ht="18" customHeight="1" x14ac:dyDescent="0.25"/>
    <row r="42" ht="18" customHeight="1" x14ac:dyDescent="0.25"/>
    <row r="43" ht="7.9" customHeight="1" x14ac:dyDescent="0.25"/>
    <row r="44" ht="18" customHeight="1" x14ac:dyDescent="0.25"/>
    <row r="45" ht="18" customHeight="1" x14ac:dyDescent="0.25"/>
    <row r="46" ht="18" customHeight="1" x14ac:dyDescent="0.25"/>
    <row r="47" ht="7.9" customHeight="1" x14ac:dyDescent="0.25"/>
    <row r="48" ht="18" customHeight="1" x14ac:dyDescent="0.25"/>
    <row r="49" ht="18" customHeight="1" x14ac:dyDescent="0.25"/>
    <row r="50" ht="18" customHeight="1" x14ac:dyDescent="0.25"/>
    <row r="51" ht="7.9" customHeight="1" x14ac:dyDescent="0.25"/>
    <row r="52" ht="18" customHeight="1" x14ac:dyDescent="0.25"/>
    <row r="53" ht="18" customHeight="1" x14ac:dyDescent="0.25"/>
    <row r="54" ht="18" customHeight="1" x14ac:dyDescent="0.25"/>
    <row r="55" ht="7.9" customHeight="1" x14ac:dyDescent="0.25"/>
    <row r="56" ht="18" customHeight="1" x14ac:dyDescent="0.25"/>
    <row r="57" ht="18" customHeight="1" x14ac:dyDescent="0.25"/>
    <row r="58" ht="18" customHeight="1" x14ac:dyDescent="0.25"/>
    <row r="59" ht="7.9" customHeight="1" x14ac:dyDescent="0.25"/>
    <row r="60" ht="18" customHeight="1" x14ac:dyDescent="0.25"/>
    <row r="61" ht="18" customHeight="1" x14ac:dyDescent="0.25"/>
    <row r="62" ht="18" customHeight="1" x14ac:dyDescent="0.25"/>
    <row r="63" ht="7.9" customHeight="1" x14ac:dyDescent="0.25"/>
    <row r="64" ht="18" customHeight="1" x14ac:dyDescent="0.25"/>
    <row r="65" ht="18" customHeight="1" x14ac:dyDescent="0.25"/>
    <row r="66" ht="18" customHeight="1" x14ac:dyDescent="0.25"/>
    <row r="67" ht="7.9"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sheetData>
  <dataConsolidate/>
  <mergeCells count="1">
    <mergeCell ref="A1:O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C8B7-60D9-4908-9148-564BE9EDA846}">
  <sheetPr>
    <tabColor theme="0" tint="-0.499984740745262"/>
  </sheetPr>
  <dimension ref="A1:F42"/>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158" t="s">
        <v>39</v>
      </c>
    </row>
    <row r="2" spans="1:6" ht="19.5" thickBot="1" x14ac:dyDescent="0.45"/>
    <row r="3" spans="1:6" ht="23.25" customHeight="1" thickBot="1" x14ac:dyDescent="0.45">
      <c r="B3" s="2431" t="s">
        <v>75</v>
      </c>
      <c r="C3" s="2431"/>
      <c r="D3" s="2431"/>
      <c r="F3" s="91" t="s">
        <v>76</v>
      </c>
    </row>
    <row r="4" spans="1:6" x14ac:dyDescent="0.4">
      <c r="A4" s="92"/>
      <c r="B4" s="2445" t="s">
        <v>77</v>
      </c>
      <c r="C4" s="2445"/>
      <c r="D4" s="49" t="s">
        <v>78</v>
      </c>
    </row>
    <row r="5" spans="1:6" ht="37.5" x14ac:dyDescent="0.4">
      <c r="B5" s="2445" t="s">
        <v>79</v>
      </c>
      <c r="C5" s="2445"/>
      <c r="D5" s="49" t="s">
        <v>14</v>
      </c>
    </row>
    <row r="6" spans="1:6" ht="16.5" customHeight="1" x14ac:dyDescent="0.4">
      <c r="B6" s="2445" t="s">
        <v>80</v>
      </c>
      <c r="C6" s="2445"/>
      <c r="D6" s="50" t="s">
        <v>15</v>
      </c>
    </row>
    <row r="7" spans="1:6" ht="63.75" customHeight="1" x14ac:dyDescent="0.4">
      <c r="B7" s="2446" t="s">
        <v>81</v>
      </c>
      <c r="C7" s="2457"/>
      <c r="D7" s="93" t="s">
        <v>173</v>
      </c>
    </row>
    <row r="8" spans="1:6" x14ac:dyDescent="0.4">
      <c r="B8" s="2474" t="s">
        <v>210</v>
      </c>
      <c r="C8" s="2474"/>
      <c r="D8" s="94" t="s">
        <v>211</v>
      </c>
    </row>
    <row r="9" spans="1:6" x14ac:dyDescent="0.4">
      <c r="B9" s="2474"/>
      <c r="C9" s="2474"/>
      <c r="D9" s="94" t="s">
        <v>212</v>
      </c>
    </row>
    <row r="11" spans="1:6" ht="23.25" customHeight="1" x14ac:dyDescent="0.4">
      <c r="B11" s="2431" t="s">
        <v>85</v>
      </c>
      <c r="C11" s="2431"/>
      <c r="D11" s="2431"/>
    </row>
    <row r="12" spans="1:6" x14ac:dyDescent="0.4">
      <c r="B12" s="2453" t="s">
        <v>86</v>
      </c>
      <c r="C12" s="2454"/>
      <c r="D12" s="49" t="s">
        <v>167</v>
      </c>
    </row>
    <row r="13" spans="1:6" ht="17.25" customHeight="1" x14ac:dyDescent="0.4">
      <c r="B13" s="2455" t="s">
        <v>88</v>
      </c>
      <c r="C13" s="2455"/>
      <c r="D13" s="53" t="s">
        <v>213</v>
      </c>
    </row>
    <row r="14" spans="1:6" x14ac:dyDescent="0.4">
      <c r="B14" s="2445" t="s">
        <v>90</v>
      </c>
      <c r="C14" s="2445"/>
      <c r="D14" s="54" t="s">
        <v>15</v>
      </c>
    </row>
    <row r="15" spans="1:6" x14ac:dyDescent="0.4">
      <c r="B15" s="2445" t="s">
        <v>91</v>
      </c>
      <c r="C15" s="2456"/>
      <c r="D15" s="54" t="s">
        <v>214</v>
      </c>
    </row>
    <row r="16" spans="1:6" ht="164.25" customHeight="1" x14ac:dyDescent="0.4">
      <c r="B16" s="2445" t="s">
        <v>93</v>
      </c>
      <c r="C16" s="2445"/>
      <c r="D16" s="159" t="s">
        <v>215</v>
      </c>
    </row>
    <row r="17" spans="2:4" ht="42" customHeight="1" x14ac:dyDescent="0.4">
      <c r="B17" s="2445" t="s">
        <v>95</v>
      </c>
      <c r="C17" s="2445"/>
      <c r="D17" s="49" t="s">
        <v>216</v>
      </c>
    </row>
    <row r="18" spans="2:4" x14ac:dyDescent="0.4">
      <c r="B18" s="2445" t="s">
        <v>97</v>
      </c>
      <c r="C18" s="2445"/>
      <c r="D18" s="59" t="s">
        <v>98</v>
      </c>
    </row>
    <row r="19" spans="2:4" ht="15" customHeight="1" x14ac:dyDescent="0.4">
      <c r="B19" s="2446" t="s">
        <v>99</v>
      </c>
      <c r="C19" s="2446"/>
      <c r="D19" s="49"/>
    </row>
    <row r="20" spans="2:4" ht="33" customHeight="1" x14ac:dyDescent="0.4">
      <c r="B20" s="2457" t="s">
        <v>100</v>
      </c>
      <c r="C20" s="2458"/>
      <c r="D20" s="59" t="s">
        <v>217</v>
      </c>
    </row>
    <row r="21" spans="2:4" x14ac:dyDescent="0.4">
      <c r="B21" s="2445" t="s">
        <v>102</v>
      </c>
      <c r="C21" s="2445"/>
      <c r="D21" s="49" t="s">
        <v>140</v>
      </c>
    </row>
    <row r="22" spans="2:4" x14ac:dyDescent="0.4">
      <c r="B22" s="2451" t="s">
        <v>104</v>
      </c>
      <c r="C22" s="95" t="s">
        <v>105</v>
      </c>
      <c r="D22" s="55"/>
    </row>
    <row r="23" spans="2:4" x14ac:dyDescent="0.4">
      <c r="B23" s="2452"/>
      <c r="C23" s="96" t="s">
        <v>107</v>
      </c>
      <c r="D23" s="55" t="s">
        <v>218</v>
      </c>
    </row>
    <row r="24" spans="2:4" x14ac:dyDescent="0.4">
      <c r="B24" s="2444" t="s">
        <v>109</v>
      </c>
      <c r="C24" s="2444"/>
      <c r="D24" s="49" t="s">
        <v>143</v>
      </c>
    </row>
    <row r="25" spans="2:4" x14ac:dyDescent="0.4">
      <c r="B25" s="2444" t="s">
        <v>111</v>
      </c>
      <c r="C25" s="2444"/>
      <c r="D25" s="59" t="s">
        <v>219</v>
      </c>
    </row>
    <row r="26" spans="2:4" x14ac:dyDescent="0.4">
      <c r="B26" s="2445" t="s">
        <v>113</v>
      </c>
      <c r="C26" s="2445"/>
      <c r="D26" s="56" t="s">
        <v>220</v>
      </c>
    </row>
    <row r="27" spans="2:4" ht="15" customHeight="1" x14ac:dyDescent="0.4">
      <c r="B27" s="2446" t="s">
        <v>115</v>
      </c>
      <c r="C27" s="2446"/>
      <c r="D27" s="160" t="s">
        <v>221</v>
      </c>
    </row>
    <row r="28" spans="2:4" ht="56.25" x14ac:dyDescent="0.4">
      <c r="B28" s="2447" t="s">
        <v>117</v>
      </c>
      <c r="C28" s="2448"/>
      <c r="D28" s="59" t="s">
        <v>222</v>
      </c>
    </row>
    <row r="29" spans="2:4" ht="60" customHeight="1" x14ac:dyDescent="0.4">
      <c r="B29" s="97" t="s">
        <v>118</v>
      </c>
      <c r="C29" s="98"/>
      <c r="D29" s="59" t="s">
        <v>223</v>
      </c>
    </row>
    <row r="30" spans="2:4" x14ac:dyDescent="0.4">
      <c r="B30" s="2449" t="s">
        <v>120</v>
      </c>
      <c r="C30" s="2450"/>
    </row>
    <row r="31" spans="2:4" ht="22.5" customHeight="1" x14ac:dyDescent="0.4">
      <c r="B31" s="63"/>
      <c r="C31" s="63"/>
      <c r="D31" s="64"/>
    </row>
    <row r="32" spans="2:4" ht="23.25" customHeight="1" x14ac:dyDescent="0.4">
      <c r="B32" s="2431" t="s">
        <v>121</v>
      </c>
      <c r="C32" s="2431"/>
      <c r="D32" s="2431"/>
    </row>
    <row r="33" spans="2:4" x14ac:dyDescent="0.4">
      <c r="B33" s="2442" t="s">
        <v>122</v>
      </c>
      <c r="C33" s="2443"/>
      <c r="D33" s="59" t="s">
        <v>224</v>
      </c>
    </row>
    <row r="34" spans="2:4" x14ac:dyDescent="0.4">
      <c r="B34" s="2442" t="s">
        <v>124</v>
      </c>
      <c r="C34" s="2443"/>
      <c r="D34" s="59" t="s">
        <v>225</v>
      </c>
    </row>
    <row r="35" spans="2:4" x14ac:dyDescent="0.4">
      <c r="B35" s="2442" t="s">
        <v>126</v>
      </c>
      <c r="C35" s="2443"/>
      <c r="D35" s="59" t="s">
        <v>226</v>
      </c>
    </row>
    <row r="36" spans="2:4" x14ac:dyDescent="0.4">
      <c r="B36" s="2442" t="s">
        <v>128</v>
      </c>
      <c r="C36" s="2443"/>
      <c r="D36" s="59" t="s">
        <v>227</v>
      </c>
    </row>
    <row r="37" spans="2:4" x14ac:dyDescent="0.4">
      <c r="B37" s="2442" t="s">
        <v>130</v>
      </c>
      <c r="C37" s="2443"/>
      <c r="D37" s="65" t="s">
        <v>228</v>
      </c>
    </row>
    <row r="38" spans="2:4" x14ac:dyDescent="0.4">
      <c r="B38" s="2442" t="s">
        <v>122</v>
      </c>
      <c r="C38" s="2443"/>
      <c r="D38" s="59" t="s">
        <v>229</v>
      </c>
    </row>
    <row r="39" spans="2:4" x14ac:dyDescent="0.4">
      <c r="B39" s="2442" t="s">
        <v>124</v>
      </c>
      <c r="C39" s="2443"/>
      <c r="D39" s="59" t="s">
        <v>230</v>
      </c>
    </row>
    <row r="40" spans="2:4" x14ac:dyDescent="0.4">
      <c r="B40" s="2442" t="s">
        <v>126</v>
      </c>
      <c r="C40" s="2443"/>
      <c r="D40" s="59" t="s">
        <v>226</v>
      </c>
    </row>
    <row r="41" spans="2:4" x14ac:dyDescent="0.4">
      <c r="B41" s="2442" t="s">
        <v>128</v>
      </c>
      <c r="C41" s="2443"/>
      <c r="D41" s="59" t="s">
        <v>227</v>
      </c>
    </row>
    <row r="42" spans="2:4" x14ac:dyDescent="0.4">
      <c r="B42" s="2442" t="s">
        <v>130</v>
      </c>
      <c r="C42" s="2443"/>
      <c r="D42" s="65" t="s">
        <v>231</v>
      </c>
    </row>
  </sheetData>
  <mergeCells count="35">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allowBlank="1" showDropDown="1" showInputMessage="1" showErrorMessage="1" sqref="D14" xr:uid="{77819CF8-4D72-4783-A621-999C07933F0B}"/>
    <dataValidation type="list" allowBlank="1" showInputMessage="1" showErrorMessage="1" sqref="D4" xr:uid="{98757C45-97C5-434C-A01E-DA7C5D542E51}">
      <formula1>ODS</formula1>
    </dataValidation>
    <dataValidation type="list" allowBlank="1" showInputMessage="1" showErrorMessage="1" sqref="D5" xr:uid="{C7195DF1-8914-4292-A908-8692BBFBCAA0}">
      <formula1>Metas_ODS</formula1>
    </dataValidation>
    <dataValidation type="list" allowBlank="1" showInputMessage="1" showErrorMessage="1" sqref="D6" xr:uid="{319B60EF-E472-49EA-A629-9CE028E2185A}">
      <formula1>Numero_indicador</formula1>
    </dataValidation>
    <dataValidation type="list" allowBlank="1" showInputMessage="1" showErrorMessage="1" sqref="D7" xr:uid="{FDC8904A-1A3C-4EDA-82B7-8F706EBAEB50}">
      <formula1>Nombre_indicador_ODS</formula1>
    </dataValidation>
    <dataValidation type="list" allowBlank="1" showInputMessage="1" showErrorMessage="1" sqref="D15" xr:uid="{358B1531-610E-4216-8AAD-33388C58B3A1}">
      <formula1>Tipo_indicador</formula1>
    </dataValidation>
    <dataValidation type="list" allowBlank="1" showInputMessage="1" showErrorMessage="1" sqref="D26" xr:uid="{45816B49-C141-4A27-B320-4ABE2642ED4B}">
      <formula1>Tipo_operación</formula1>
    </dataValidation>
  </dataValidations>
  <hyperlinks>
    <hyperlink ref="B1" location="'1.3.1'!A1" display="REGRESAR" xr:uid="{87EF7F86-0436-444D-940B-60648FFBE6FE}"/>
    <hyperlink ref="D8" r:id="rId1" xr:uid="{D0389D8F-E9BF-4B65-BCCA-B3CB71F01405}"/>
    <hyperlink ref="D9" r:id="rId2" xr:uid="{6D7EDD25-B8EE-4FEA-9B56-D5EE2D9F4FD0}"/>
    <hyperlink ref="D37" r:id="rId3" xr:uid="{5B3570C0-8EE0-4CB4-A721-BA3007377C85}"/>
    <hyperlink ref="D42" r:id="rId4" display="alejandro.abarcag@mtss.go.cr" xr:uid="{10C81599-3D92-4A86-BCDA-E7558647D218}"/>
  </hyperlinks>
  <pageMargins left="0.7" right="0.7" top="0.75" bottom="0.75" header="0.3" footer="0.3"/>
  <pageSetup paperSize="9" orientation="portrait" r:id="rId5"/>
  <drawing r:id="rId6"/>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0AC8-E3F2-4E75-9B32-A0A8BB6E1A3F}">
  <sheetPr>
    <tabColor theme="0" tint="-0.499984740745262"/>
  </sheetPr>
  <dimension ref="A1:F41"/>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28515625" style="222" customWidth="1"/>
    <col min="2" max="2" width="26.42578125" style="222" customWidth="1"/>
    <col min="3" max="3" width="24" style="222" customWidth="1"/>
    <col min="4" max="4" width="85.7109375" style="222" customWidth="1"/>
    <col min="5" max="5" width="11.42578125" style="222"/>
    <col min="6" max="6" width="7.28515625" style="222" customWidth="1"/>
    <col min="7" max="7" width="33" style="222" bestFit="1" customWidth="1"/>
    <col min="8"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606" t="s">
        <v>234</v>
      </c>
      <c r="C4" s="2606"/>
      <c r="D4" s="359" t="s">
        <v>832</v>
      </c>
    </row>
    <row r="5" spans="1:6" ht="32.25" customHeight="1" x14ac:dyDescent="0.25">
      <c r="B5" s="2445" t="s">
        <v>79</v>
      </c>
      <c r="C5" s="2445"/>
      <c r="D5" s="49" t="s">
        <v>708</v>
      </c>
    </row>
    <row r="6" spans="1:6" x14ac:dyDescent="0.25">
      <c r="B6" s="2445" t="s">
        <v>80</v>
      </c>
      <c r="C6" s="2445"/>
      <c r="D6" s="50" t="s">
        <v>709</v>
      </c>
    </row>
    <row r="7" spans="1:6" ht="15" customHeight="1" x14ac:dyDescent="0.25">
      <c r="B7" s="2446" t="s">
        <v>81</v>
      </c>
      <c r="C7" s="2446"/>
      <c r="D7" s="93" t="s">
        <v>710</v>
      </c>
    </row>
    <row r="8" spans="1:6" ht="15" customHeight="1" x14ac:dyDescent="0.25">
      <c r="B8" s="2446" t="s">
        <v>165</v>
      </c>
      <c r="C8" s="2446"/>
      <c r="D8" s="94" t="s">
        <v>1474</v>
      </c>
    </row>
    <row r="9" spans="1:6" x14ac:dyDescent="0.4">
      <c r="B9" s="5"/>
      <c r="C9" s="5"/>
      <c r="D9" s="5"/>
    </row>
    <row r="10" spans="1:6" ht="23.25" customHeight="1" x14ac:dyDescent="0.25">
      <c r="B10" s="2604" t="s">
        <v>85</v>
      </c>
      <c r="C10" s="2604"/>
      <c r="D10" s="2604"/>
    </row>
    <row r="11" spans="1:6" ht="18" customHeight="1" x14ac:dyDescent="0.25">
      <c r="B11" s="2633" t="s">
        <v>86</v>
      </c>
      <c r="C11" s="2634"/>
      <c r="D11" s="359" t="s">
        <v>167</v>
      </c>
    </row>
    <row r="12" spans="1:6" ht="32.25" customHeight="1" x14ac:dyDescent="0.25">
      <c r="B12" s="2455" t="s">
        <v>88</v>
      </c>
      <c r="C12" s="2455"/>
      <c r="D12" s="169" t="s">
        <v>1475</v>
      </c>
    </row>
    <row r="13" spans="1:6" x14ac:dyDescent="0.25">
      <c r="B13" s="2445" t="s">
        <v>90</v>
      </c>
      <c r="C13" s="2445"/>
      <c r="D13" s="54" t="s">
        <v>709</v>
      </c>
    </row>
    <row r="14" spans="1:6" x14ac:dyDescent="0.25">
      <c r="B14" s="2445" t="s">
        <v>91</v>
      </c>
      <c r="C14" s="2456"/>
      <c r="D14" s="54" t="s">
        <v>92</v>
      </c>
    </row>
    <row r="15" spans="1:6" ht="112.5" x14ac:dyDescent="0.25">
      <c r="B15" s="2445" t="s">
        <v>93</v>
      </c>
      <c r="C15" s="2445"/>
      <c r="D15" s="56" t="s">
        <v>1476</v>
      </c>
    </row>
    <row r="16" spans="1:6" ht="54.75" customHeight="1" x14ac:dyDescent="0.25">
      <c r="B16" s="2445" t="s">
        <v>95</v>
      </c>
      <c r="C16" s="2445"/>
      <c r="D16" s="401"/>
    </row>
    <row r="17" spans="2:4" x14ac:dyDescent="0.25">
      <c r="B17" s="2445" t="s">
        <v>97</v>
      </c>
      <c r="C17" s="2445"/>
      <c r="D17" s="56" t="s">
        <v>989</v>
      </c>
    </row>
    <row r="18" spans="2:4" x14ac:dyDescent="0.25">
      <c r="B18" s="2446" t="s">
        <v>99</v>
      </c>
      <c r="C18" s="2446"/>
      <c r="D18" s="49"/>
    </row>
    <row r="19" spans="2:4" ht="36" customHeight="1" x14ac:dyDescent="0.25">
      <c r="B19" s="2457" t="s">
        <v>100</v>
      </c>
      <c r="C19" s="2458"/>
      <c r="D19" s="56" t="s">
        <v>1477</v>
      </c>
    </row>
    <row r="20" spans="2:4" x14ac:dyDescent="0.25">
      <c r="B20" s="2445" t="s">
        <v>102</v>
      </c>
      <c r="C20" s="2445"/>
      <c r="D20" s="56" t="s">
        <v>140</v>
      </c>
    </row>
    <row r="21" spans="2:4" x14ac:dyDescent="0.25">
      <c r="B21" s="2451" t="s">
        <v>104</v>
      </c>
      <c r="C21" s="95" t="s">
        <v>105</v>
      </c>
      <c r="D21" s="49" t="s">
        <v>839</v>
      </c>
    </row>
    <row r="22" spans="2:4" x14ac:dyDescent="0.25">
      <c r="B22" s="2452"/>
      <c r="C22" s="96" t="s">
        <v>107</v>
      </c>
      <c r="D22" s="55" t="s">
        <v>1478</v>
      </c>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ht="56.25" x14ac:dyDescent="0.25">
      <c r="B27" s="2447" t="s">
        <v>117</v>
      </c>
      <c r="C27" s="2448"/>
      <c r="D27" s="49" t="s">
        <v>1479</v>
      </c>
    </row>
    <row r="28" spans="2:4" x14ac:dyDescent="0.25">
      <c r="B28" s="97" t="s">
        <v>118</v>
      </c>
      <c r="C28" s="98"/>
      <c r="D28" s="49"/>
    </row>
    <row r="29" spans="2:4" x14ac:dyDescent="0.25">
      <c r="B29" s="2449" t="s">
        <v>120</v>
      </c>
      <c r="C29" s="2450"/>
      <c r="D29" s="62"/>
    </row>
    <row r="30" spans="2:4" x14ac:dyDescent="0.25">
      <c r="B30" s="628"/>
      <c r="C30" s="628"/>
      <c r="D30" s="629"/>
    </row>
    <row r="31" spans="2:4" ht="23.25" customHeight="1" x14ac:dyDescent="0.25">
      <c r="B31" s="2604" t="s">
        <v>121</v>
      </c>
      <c r="C31" s="2604"/>
      <c r="D31" s="2604"/>
    </row>
    <row r="32" spans="2:4" x14ac:dyDescent="0.25">
      <c r="B32" s="2631" t="s">
        <v>122</v>
      </c>
      <c r="C32" s="2632"/>
      <c r="D32" s="574"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65" t="s">
        <v>849</v>
      </c>
    </row>
    <row r="37" spans="2:4" x14ac:dyDescent="0.25">
      <c r="B37" s="2442" t="s">
        <v>122</v>
      </c>
      <c r="C37" s="2443"/>
      <c r="D37" s="59" t="s">
        <v>1480</v>
      </c>
    </row>
    <row r="38" spans="2:4" x14ac:dyDescent="0.25">
      <c r="B38" s="2442" t="s">
        <v>124</v>
      </c>
      <c r="C38" s="2443"/>
      <c r="D38" s="59" t="s">
        <v>1481</v>
      </c>
    </row>
    <row r="39" spans="2:4" x14ac:dyDescent="0.25">
      <c r="B39" s="2442" t="s">
        <v>126</v>
      </c>
      <c r="C39" s="2443"/>
      <c r="D39" s="59" t="s">
        <v>1482</v>
      </c>
    </row>
    <row r="40" spans="2:4" x14ac:dyDescent="0.25">
      <c r="B40" s="2442" t="s">
        <v>128</v>
      </c>
      <c r="C40" s="2443"/>
      <c r="D40" s="59" t="s">
        <v>1483</v>
      </c>
    </row>
    <row r="41" spans="2:4" x14ac:dyDescent="0.25">
      <c r="B41" s="2442" t="s">
        <v>130</v>
      </c>
      <c r="C41" s="2443"/>
      <c r="D41" s="59" t="s">
        <v>1484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5">
    <dataValidation type="list" allowBlank="1" showInputMessage="1" showErrorMessage="1" sqref="D7" xr:uid="{26F4FE65-3D88-41DD-9E9D-380998613A97}">
      <formula1>Nombre_indicador_ODS</formula1>
    </dataValidation>
    <dataValidation type="list" allowBlank="1" showInputMessage="1" showErrorMessage="1" sqref="D6" xr:uid="{5CCC239F-E4E1-4B64-A0AF-CFE79A65D754}">
      <formula1>Numero_indicador</formula1>
    </dataValidation>
    <dataValidation type="list" allowBlank="1" showInputMessage="1" showErrorMessage="1" sqref="D5" xr:uid="{C9DC4351-27EF-468A-AEC7-F0210C4C2189}">
      <formula1>Metas_ODS</formula1>
    </dataValidation>
    <dataValidation type="list" allowBlank="1" showInputMessage="1" showErrorMessage="1" sqref="D4" xr:uid="{6649B9E5-461A-44BD-B1C0-30FAD9DA7660}">
      <formula1>ODS</formula1>
    </dataValidation>
    <dataValidation allowBlank="1" showDropDown="1" showInputMessage="1" showErrorMessage="1" sqref="D13" xr:uid="{08E8E5A6-58FF-4DCE-9CDC-784D46042036}"/>
  </dataValidations>
  <hyperlinks>
    <hyperlink ref="B1" location="'3.9.1'!A1" display="REGRESAR" xr:uid="{4A4A7D08-AB13-42E0-8879-D4BEC1D6165E}"/>
    <hyperlink ref="D8" r:id="rId1" xr:uid="{6E5EBE39-00AD-423B-87B5-62CA5660CD51}"/>
    <hyperlink ref="D36" r:id="rId2" xr:uid="{3A1EA416-5449-4026-AC9B-82A4D02D43EA}"/>
  </hyperlinks>
  <pageMargins left="0.7" right="0.7" top="0.75" bottom="0.75" header="0.3" footer="0.3"/>
  <pageSetup orientation="portrait"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28E1-8C86-4365-9283-8F1C0414816E}">
  <dimension ref="A1:AE144"/>
  <sheetViews>
    <sheetView showGridLines="0" zoomScaleNormal="100" workbookViewId="0">
      <pane ySplit="1" topLeftCell="A2" activePane="bottomLeft" state="frozen"/>
      <selection activeCell="R16" sqref="R16"/>
      <selection pane="bottomLeft" activeCell="V12" sqref="V12"/>
    </sheetView>
  </sheetViews>
  <sheetFormatPr baseColWidth="10" defaultColWidth="11.42578125" defaultRowHeight="12.75" x14ac:dyDescent="0.25"/>
  <cols>
    <col min="1" max="2" width="15" style="22" customWidth="1"/>
    <col min="3" max="3" width="8.5703125" style="22" customWidth="1"/>
    <col min="4" max="4" width="11.140625" style="22" customWidth="1"/>
    <col min="5" max="5" width="7" style="22" customWidth="1"/>
    <col min="6" max="6" width="7.42578125" style="22" customWidth="1"/>
    <col min="7" max="8" width="7.7109375" style="22" customWidth="1"/>
    <col min="9" max="9" width="8" style="22" customWidth="1"/>
    <col min="10" max="10" width="7.28515625" style="22" customWidth="1"/>
    <col min="11" max="11" width="8" style="22" customWidth="1"/>
    <col min="12" max="12" width="7.42578125" style="22" customWidth="1"/>
    <col min="13" max="13" width="8" style="22" customWidth="1"/>
    <col min="14" max="14" width="6.28515625" style="22" customWidth="1"/>
    <col min="15" max="15" width="7.7109375" style="22" customWidth="1"/>
    <col min="16" max="16" width="7.5703125" style="22" customWidth="1"/>
    <col min="17" max="17" width="7.7109375" style="22" customWidth="1"/>
    <col min="18" max="18" width="7.42578125" style="22" customWidth="1"/>
    <col min="19" max="19" width="6.7109375" style="22" customWidth="1"/>
    <col min="20" max="20" width="8.85546875" style="22" customWidth="1"/>
    <col min="21" max="21" width="1.7109375" style="22" customWidth="1"/>
    <col min="22" max="22" width="7.5703125" style="22" customWidth="1"/>
    <col min="23" max="23" width="8.7109375" style="22" customWidth="1"/>
    <col min="24" max="24" width="11.7109375" style="22" customWidth="1"/>
    <col min="25" max="25" width="6.7109375" style="22" customWidth="1"/>
    <col min="26" max="26" width="11.140625" style="22" customWidth="1"/>
    <col min="27" max="27" width="11" style="22" customWidth="1"/>
    <col min="28" max="28" width="11.5703125" style="22" customWidth="1"/>
    <col min="29" max="29" width="1.5703125" style="22" customWidth="1"/>
    <col min="30" max="30" width="7.42578125" style="22" customWidth="1"/>
    <col min="31" max="31" width="9.5703125" style="22" customWidth="1"/>
    <col min="32" max="16384" width="11.42578125" style="22"/>
  </cols>
  <sheetData>
    <row r="1" spans="1:31" s="16" customFormat="1" ht="19.5" x14ac:dyDescent="0.4">
      <c r="A1" s="15" t="s">
        <v>39</v>
      </c>
      <c r="C1" s="2421" t="s">
        <v>149</v>
      </c>
      <c r="D1" s="2421"/>
    </row>
    <row r="2" spans="1:31" s="16" customFormat="1" ht="19.5" x14ac:dyDescent="0.4"/>
    <row r="3" spans="1:31" s="16" customFormat="1" ht="18.600000000000001"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c r="T3" s="2574"/>
      <c r="U3" s="2574"/>
      <c r="V3" s="2574"/>
      <c r="W3" s="2574"/>
      <c r="X3" s="2574"/>
    </row>
    <row r="4" spans="1:31" s="16" customFormat="1" ht="18.600000000000001" customHeight="1" x14ac:dyDescent="0.4">
      <c r="A4" s="2574" t="s">
        <v>42</v>
      </c>
      <c r="B4" s="2574"/>
      <c r="C4" s="2574" t="s">
        <v>1485</v>
      </c>
      <c r="D4" s="2574"/>
      <c r="E4" s="2574"/>
      <c r="F4" s="2574"/>
      <c r="G4" s="2574"/>
      <c r="H4" s="2574"/>
      <c r="I4" s="2574"/>
      <c r="J4" s="2574"/>
      <c r="K4" s="2574"/>
      <c r="L4" s="2574"/>
      <c r="M4" s="2574"/>
      <c r="N4" s="2574"/>
      <c r="O4" s="2574"/>
      <c r="P4" s="2574"/>
      <c r="Q4" s="2574"/>
      <c r="R4" s="2574"/>
      <c r="S4" s="2574"/>
      <c r="T4" s="2574"/>
      <c r="U4" s="2574"/>
      <c r="V4" s="2574"/>
      <c r="W4" s="2574"/>
      <c r="X4" s="2574"/>
    </row>
    <row r="5" spans="1:31" s="16" customFormat="1" ht="18.600000000000001" customHeight="1" x14ac:dyDescent="0.4">
      <c r="A5" s="2574" t="s">
        <v>43</v>
      </c>
      <c r="B5" s="2574"/>
      <c r="C5" s="2574" t="s">
        <v>712</v>
      </c>
      <c r="D5" s="2574"/>
      <c r="E5" s="2574"/>
      <c r="F5" s="2574"/>
      <c r="G5" s="2574"/>
      <c r="H5" s="2574"/>
      <c r="I5" s="2574"/>
      <c r="J5" s="2574"/>
      <c r="K5" s="2574"/>
      <c r="L5" s="2574"/>
      <c r="M5" s="2574"/>
      <c r="N5" s="2574"/>
      <c r="O5" s="2574"/>
      <c r="P5" s="2574"/>
      <c r="Q5" s="2574"/>
      <c r="R5" s="2574"/>
      <c r="S5" s="2574"/>
      <c r="T5" s="2574"/>
      <c r="U5" s="2574"/>
      <c r="V5" s="2574"/>
      <c r="W5" s="2574"/>
      <c r="X5" s="2574"/>
    </row>
    <row r="6" spans="1:31" s="16" customFormat="1" ht="37.15" customHeight="1" x14ac:dyDescent="0.4">
      <c r="A6" s="2574" t="s">
        <v>132</v>
      </c>
      <c r="B6" s="2575"/>
      <c r="C6" s="2574" t="s">
        <v>1486</v>
      </c>
      <c r="D6" s="2574"/>
      <c r="E6" s="2574"/>
      <c r="F6" s="2574"/>
      <c r="G6" s="2574"/>
      <c r="H6" s="2574"/>
      <c r="I6" s="2574"/>
      <c r="J6" s="2574"/>
      <c r="K6" s="2574"/>
      <c r="L6" s="2574"/>
      <c r="M6" s="2574"/>
      <c r="N6" s="2574"/>
      <c r="O6" s="2574"/>
      <c r="P6" s="2574"/>
      <c r="Q6" s="2574"/>
      <c r="R6" s="2574"/>
      <c r="S6" s="2574"/>
      <c r="T6" s="2574"/>
      <c r="U6" s="2574"/>
      <c r="V6" s="2574"/>
      <c r="W6" s="2574"/>
      <c r="X6" s="2574"/>
    </row>
    <row r="7" spans="1:31" s="16" customFormat="1" ht="19.5" x14ac:dyDescent="0.4"/>
    <row r="8" spans="1:31" s="16" customFormat="1" ht="19.5" x14ac:dyDescent="0.4"/>
    <row r="9" spans="1:31" s="16" customFormat="1" ht="19.5" x14ac:dyDescent="0.4">
      <c r="C9" s="163" t="s">
        <v>1487</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8.75" x14ac:dyDescent="0.2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row>
    <row r="11" spans="1:31" ht="12.75" customHeight="1" x14ac:dyDescent="0.25">
      <c r="C11" s="2576" t="s">
        <v>247</v>
      </c>
      <c r="D11" s="2578" t="s">
        <v>47</v>
      </c>
      <c r="E11" s="2581" t="s">
        <v>737</v>
      </c>
      <c r="F11" s="2581"/>
      <c r="G11" s="2581"/>
      <c r="H11" s="2581"/>
      <c r="I11" s="2581"/>
      <c r="J11" s="2581"/>
      <c r="K11" s="2581"/>
      <c r="L11" s="2581"/>
      <c r="M11" s="2581"/>
      <c r="N11" s="2581"/>
      <c r="O11" s="2581"/>
      <c r="P11" s="2581"/>
      <c r="Q11" s="2581"/>
      <c r="R11" s="2581"/>
      <c r="S11" s="2581"/>
      <c r="T11" s="2581"/>
      <c r="U11" s="408"/>
      <c r="V11" s="2581" t="s">
        <v>8179</v>
      </c>
      <c r="W11" s="2581"/>
      <c r="X11" s="2581"/>
      <c r="Y11" s="2581"/>
      <c r="Z11" s="2581"/>
      <c r="AA11" s="2581"/>
      <c r="AB11" s="2581"/>
      <c r="AC11" s="408"/>
      <c r="AD11" s="2581" t="s">
        <v>48</v>
      </c>
      <c r="AE11" s="2581"/>
    </row>
    <row r="12" spans="1:31" ht="37.5" x14ac:dyDescent="0.25">
      <c r="C12" s="2577"/>
      <c r="D12" s="2579"/>
      <c r="E12" s="412" t="s">
        <v>1488</v>
      </c>
      <c r="F12" s="624" t="s">
        <v>1330</v>
      </c>
      <c r="G12" s="687" t="s">
        <v>1331</v>
      </c>
      <c r="H12" s="412" t="s">
        <v>1489</v>
      </c>
      <c r="I12" s="412" t="s">
        <v>1490</v>
      </c>
      <c r="J12" s="412" t="s">
        <v>1491</v>
      </c>
      <c r="K12" s="412" t="s">
        <v>1492</v>
      </c>
      <c r="L12" s="412" t="s">
        <v>1493</v>
      </c>
      <c r="M12" s="412" t="s">
        <v>1494</v>
      </c>
      <c r="N12" s="412" t="s">
        <v>1495</v>
      </c>
      <c r="O12" s="412" t="s">
        <v>1496</v>
      </c>
      <c r="P12" s="412" t="s">
        <v>1497</v>
      </c>
      <c r="Q12" s="412" t="s">
        <v>1498</v>
      </c>
      <c r="R12" s="412" t="s">
        <v>1499</v>
      </c>
      <c r="S12" s="412" t="s">
        <v>1500</v>
      </c>
      <c r="T12" s="412" t="s">
        <v>1224</v>
      </c>
      <c r="U12" s="412"/>
      <c r="V12" s="412" t="s">
        <v>328</v>
      </c>
      <c r="W12" s="412" t="s">
        <v>329</v>
      </c>
      <c r="X12" s="412" t="s">
        <v>330</v>
      </c>
      <c r="Y12" s="412" t="s">
        <v>331</v>
      </c>
      <c r="Z12" s="412" t="s">
        <v>1471</v>
      </c>
      <c r="AA12" s="412" t="s">
        <v>533</v>
      </c>
      <c r="AB12" s="412" t="s">
        <v>334</v>
      </c>
      <c r="AC12" s="412"/>
      <c r="AD12" s="412" t="s">
        <v>894</v>
      </c>
      <c r="AE12" s="412" t="s">
        <v>895</v>
      </c>
    </row>
    <row r="13" spans="1:31" ht="18.75" x14ac:dyDescent="0.4">
      <c r="C13" s="2378">
        <v>2010</v>
      </c>
      <c r="D13" s="413">
        <v>1.0807486897576344</v>
      </c>
      <c r="E13" s="413">
        <v>1.0936402087759158</v>
      </c>
      <c r="F13" s="413">
        <v>0.26936970183467701</v>
      </c>
      <c r="G13" s="413">
        <v>0</v>
      </c>
      <c r="H13" s="413">
        <v>0</v>
      </c>
      <c r="I13" s="413">
        <v>0.22494455116813708</v>
      </c>
      <c r="J13" s="413">
        <v>0</v>
      </c>
      <c r="K13" s="413">
        <v>0.28012616882643943</v>
      </c>
      <c r="L13" s="413">
        <v>0.32335251891612238</v>
      </c>
      <c r="M13" s="413">
        <v>0</v>
      </c>
      <c r="N13" s="413">
        <v>0</v>
      </c>
      <c r="O13" s="413">
        <v>0.82252399713761648</v>
      </c>
      <c r="P13" s="413">
        <v>0.5299641744218091</v>
      </c>
      <c r="Q13" s="413">
        <v>1.5075339006685913</v>
      </c>
      <c r="R13" s="413">
        <v>3.0570132980078459</v>
      </c>
      <c r="S13" s="413">
        <v>5.3749714454641966</v>
      </c>
      <c r="T13" s="413">
        <v>24.103795932276647</v>
      </c>
      <c r="U13" s="413"/>
      <c r="V13" s="2603" t="s">
        <v>8178</v>
      </c>
      <c r="W13" s="2603"/>
      <c r="X13" s="2603"/>
      <c r="Y13" s="2603"/>
      <c r="Z13" s="2603"/>
      <c r="AA13" s="2603"/>
      <c r="AB13" s="2603"/>
      <c r="AC13" s="413"/>
      <c r="AD13" s="413">
        <v>0.91610166460034848</v>
      </c>
      <c r="AE13" s="413">
        <v>1.2491233830543922</v>
      </c>
    </row>
    <row r="14" spans="1:31" ht="18.75" x14ac:dyDescent="0.4">
      <c r="C14" s="2382">
        <v>2011</v>
      </c>
      <c r="D14" s="413">
        <v>0.97993336017624866</v>
      </c>
      <c r="E14" s="413">
        <v>1.0980202694541741</v>
      </c>
      <c r="F14" s="413">
        <v>0.27442672257653761</v>
      </c>
      <c r="G14" s="413">
        <v>0</v>
      </c>
      <c r="H14" s="413">
        <v>0</v>
      </c>
      <c r="I14" s="413">
        <v>0</v>
      </c>
      <c r="J14" s="413">
        <v>0</v>
      </c>
      <c r="K14" s="413">
        <v>0.54130128829706614</v>
      </c>
      <c r="L14" s="413">
        <v>0.63577843121672095</v>
      </c>
      <c r="M14" s="413">
        <v>0</v>
      </c>
      <c r="N14" s="413">
        <v>0</v>
      </c>
      <c r="O14" s="413">
        <v>1.1897915881734715</v>
      </c>
      <c r="P14" s="413">
        <v>1.0021445894213619</v>
      </c>
      <c r="Q14" s="413">
        <v>0</v>
      </c>
      <c r="R14" s="413">
        <v>2.9194239003503308</v>
      </c>
      <c r="S14" s="413">
        <v>7.8043704474505722</v>
      </c>
      <c r="T14" s="413">
        <v>17.646445444409686</v>
      </c>
      <c r="U14" s="413"/>
      <c r="V14" s="2572"/>
      <c r="W14" s="2572"/>
      <c r="X14" s="2572"/>
      <c r="Y14" s="2572"/>
      <c r="Z14" s="2572"/>
      <c r="AA14" s="2572"/>
      <c r="AB14" s="2572"/>
      <c r="AC14" s="413"/>
      <c r="AD14" s="413">
        <v>0.90464210635144926</v>
      </c>
      <c r="AE14" s="413">
        <v>1.0569013677624826</v>
      </c>
    </row>
    <row r="15" spans="1:31" ht="18.75" x14ac:dyDescent="0.4">
      <c r="C15" s="2378">
        <v>2012</v>
      </c>
      <c r="D15" s="413">
        <v>1.2251585849851461</v>
      </c>
      <c r="E15" s="413">
        <v>0.8199288800294029</v>
      </c>
      <c r="F15" s="413">
        <v>0</v>
      </c>
      <c r="G15" s="413">
        <v>0.252618779967475</v>
      </c>
      <c r="H15" s="413">
        <v>0.23635226638558382</v>
      </c>
      <c r="I15" s="413">
        <v>0.22813758037494741</v>
      </c>
      <c r="J15" s="413">
        <v>0</v>
      </c>
      <c r="K15" s="413">
        <v>0</v>
      </c>
      <c r="L15" s="413">
        <v>0.31112534743837944</v>
      </c>
      <c r="M15" s="413">
        <v>0</v>
      </c>
      <c r="N15" s="413">
        <v>0</v>
      </c>
      <c r="O15" s="413">
        <v>0</v>
      </c>
      <c r="P15" s="413">
        <v>0.477938724240971</v>
      </c>
      <c r="Q15" s="413">
        <v>1.3368290625490085</v>
      </c>
      <c r="R15" s="413">
        <v>2.7833453230513032</v>
      </c>
      <c r="S15" s="413">
        <v>7.5736770522618295</v>
      </c>
      <c r="T15" s="413">
        <v>29.450565139705134</v>
      </c>
      <c r="U15" s="413"/>
      <c r="V15" s="2572"/>
      <c r="W15" s="2572"/>
      <c r="X15" s="2572"/>
      <c r="Y15" s="2572"/>
      <c r="Z15" s="2572"/>
      <c r="AA15" s="2572"/>
      <c r="AB15" s="2572"/>
      <c r="AC15" s="413"/>
      <c r="AD15" s="413">
        <v>0.68055219439066805</v>
      </c>
      <c r="AE15" s="413">
        <v>1.7815034579264573</v>
      </c>
    </row>
    <row r="16" spans="1:31" ht="18.75" x14ac:dyDescent="0.4">
      <c r="C16" s="2378">
        <v>2013</v>
      </c>
      <c r="D16" s="413">
        <v>1.2305947562194708</v>
      </c>
      <c r="E16" s="413">
        <v>1.3638295775164124</v>
      </c>
      <c r="F16" s="413">
        <v>0</v>
      </c>
      <c r="G16" s="413">
        <v>0</v>
      </c>
      <c r="H16" s="413">
        <v>0</v>
      </c>
      <c r="I16" s="413">
        <v>0</v>
      </c>
      <c r="J16" s="413">
        <v>0</v>
      </c>
      <c r="K16" s="413">
        <v>0</v>
      </c>
      <c r="L16" s="413">
        <v>0</v>
      </c>
      <c r="M16" s="413">
        <v>0.33321757338130981</v>
      </c>
      <c r="N16" s="413">
        <v>0</v>
      </c>
      <c r="O16" s="413">
        <v>1.862800809510998</v>
      </c>
      <c r="P16" s="413">
        <v>0.45867845872696994</v>
      </c>
      <c r="Q16" s="413">
        <v>1.2540965105678232</v>
      </c>
      <c r="R16" s="413">
        <v>3.5439045660554505</v>
      </c>
      <c r="S16" s="413">
        <v>11.007156968095464</v>
      </c>
      <c r="T16" s="413">
        <v>23.252540400545687</v>
      </c>
      <c r="U16" s="413"/>
      <c r="V16" s="2572"/>
      <c r="W16" s="2572"/>
      <c r="X16" s="2572"/>
      <c r="Y16" s="2572"/>
      <c r="Z16" s="2572"/>
      <c r="AA16" s="2572"/>
      <c r="AB16" s="2572"/>
      <c r="AC16" s="413"/>
      <c r="AD16" s="413">
        <v>0.88203793191285318</v>
      </c>
      <c r="AE16" s="413">
        <v>1.5864044942972693</v>
      </c>
    </row>
    <row r="17" spans="1:31" ht="18.75" x14ac:dyDescent="0.4">
      <c r="A17" s="23"/>
      <c r="C17" s="2378">
        <v>2014</v>
      </c>
      <c r="D17" s="413">
        <v>1.1313331241436859</v>
      </c>
      <c r="E17" s="413">
        <v>1.0930262912528068</v>
      </c>
      <c r="F17" s="413">
        <v>0</v>
      </c>
      <c r="G17" s="413">
        <v>0</v>
      </c>
      <c r="H17" s="413">
        <v>0</v>
      </c>
      <c r="I17" s="413">
        <v>0.2280904119275288</v>
      </c>
      <c r="J17" s="413">
        <v>0</v>
      </c>
      <c r="K17" s="413">
        <v>0</v>
      </c>
      <c r="L17" s="413">
        <v>0.58247635201230952</v>
      </c>
      <c r="M17" s="413">
        <v>0.33011474037365068</v>
      </c>
      <c r="N17" s="413">
        <v>0.67681294211802989</v>
      </c>
      <c r="O17" s="413">
        <v>0.72666758887416494</v>
      </c>
      <c r="P17" s="413">
        <v>0</v>
      </c>
      <c r="Q17" s="413">
        <v>1.177382351098931</v>
      </c>
      <c r="R17" s="413">
        <v>1.6904212308649504</v>
      </c>
      <c r="S17" s="413">
        <v>8.232843035574783</v>
      </c>
      <c r="T17" s="413">
        <v>22.496759350237006</v>
      </c>
      <c r="U17" s="413"/>
      <c r="V17" s="2572"/>
      <c r="W17" s="2572"/>
      <c r="X17" s="2572"/>
      <c r="Y17" s="2572"/>
      <c r="Z17" s="2572"/>
      <c r="AA17" s="2572"/>
      <c r="AB17" s="2572"/>
      <c r="AC17" s="413"/>
      <c r="AD17" s="413">
        <v>0.99571729977146828</v>
      </c>
      <c r="AE17" s="413">
        <v>1.2696761478207677</v>
      </c>
    </row>
    <row r="18" spans="1:31" ht="18.75" x14ac:dyDescent="0.4">
      <c r="C18" s="2378">
        <v>2015</v>
      </c>
      <c r="D18" s="413">
        <v>1.3037448606987816</v>
      </c>
      <c r="E18" s="413">
        <v>0.81832172735907405</v>
      </c>
      <c r="F18" s="413">
        <v>0</v>
      </c>
      <c r="G18" s="413">
        <v>0</v>
      </c>
      <c r="H18" s="413">
        <v>0.24320095956081048</v>
      </c>
      <c r="I18" s="413">
        <v>0.22960689294187211</v>
      </c>
      <c r="J18" s="413">
        <v>0.22146504682086726</v>
      </c>
      <c r="K18" s="413">
        <v>0</v>
      </c>
      <c r="L18" s="413">
        <v>0.28054491595938735</v>
      </c>
      <c r="M18" s="413">
        <v>0.32649179740626916</v>
      </c>
      <c r="N18" s="413">
        <v>0</v>
      </c>
      <c r="O18" s="413">
        <v>0</v>
      </c>
      <c r="P18" s="413">
        <v>2.1245755446260284</v>
      </c>
      <c r="Q18" s="413">
        <v>0.55308699945661566</v>
      </c>
      <c r="R18" s="413">
        <v>2.4119911723455232</v>
      </c>
      <c r="S18" s="413">
        <v>5.6275208263951582</v>
      </c>
      <c r="T18" s="413">
        <v>28.790337340739345</v>
      </c>
      <c r="U18" s="413"/>
      <c r="V18" s="2572"/>
      <c r="W18" s="2572"/>
      <c r="X18" s="2572"/>
      <c r="Y18" s="2572"/>
      <c r="Z18" s="2572"/>
      <c r="AA18" s="2572"/>
      <c r="AB18" s="2572"/>
      <c r="AC18" s="413"/>
      <c r="AD18" s="413">
        <v>1.1888496041768191</v>
      </c>
      <c r="AE18" s="413">
        <v>1.4208695552306849</v>
      </c>
    </row>
    <row r="19" spans="1:31" ht="18.75" x14ac:dyDescent="0.4">
      <c r="C19" s="2382">
        <v>2016</v>
      </c>
      <c r="D19" s="413">
        <v>1.3700368377271135</v>
      </c>
      <c r="E19" s="413">
        <v>1.8887360780607321</v>
      </c>
      <c r="F19" s="413">
        <v>0</v>
      </c>
      <c r="G19" s="413">
        <v>0</v>
      </c>
      <c r="H19" s="413">
        <v>0</v>
      </c>
      <c r="I19" s="413">
        <v>0</v>
      </c>
      <c r="J19" s="413">
        <v>0.22394746276236163</v>
      </c>
      <c r="K19" s="413">
        <v>0</v>
      </c>
      <c r="L19" s="413">
        <v>0</v>
      </c>
      <c r="M19" s="413">
        <v>0.32120391734690862</v>
      </c>
      <c r="N19" s="413">
        <v>0.34128843586057506</v>
      </c>
      <c r="O19" s="413">
        <v>0.70609999039748794</v>
      </c>
      <c r="P19" s="413">
        <v>1.6367944860334647</v>
      </c>
      <c r="Q19" s="413">
        <v>0.52268567160381096</v>
      </c>
      <c r="R19" s="413">
        <v>7.6096383986646972</v>
      </c>
      <c r="S19" s="413">
        <v>4.300795133696341</v>
      </c>
      <c r="T19" s="413">
        <v>24.464707628690618</v>
      </c>
      <c r="U19" s="413"/>
      <c r="V19" s="2572"/>
      <c r="W19" s="2572"/>
      <c r="X19" s="2572"/>
      <c r="Y19" s="2572"/>
      <c r="Z19" s="2572"/>
      <c r="AA19" s="2572"/>
      <c r="AB19" s="2572"/>
      <c r="AC19" s="413"/>
      <c r="AD19" s="413">
        <v>1.0535577172340591</v>
      </c>
      <c r="AE19" s="413">
        <v>1.6924310220190324</v>
      </c>
    </row>
    <row r="20" spans="1:31" ht="18.75" x14ac:dyDescent="0.4">
      <c r="C20" s="2382">
        <v>2017</v>
      </c>
      <c r="D20" s="413">
        <v>1.2531607966124787</v>
      </c>
      <c r="E20" s="413">
        <v>2.4252798976244865</v>
      </c>
      <c r="F20" s="413">
        <v>0.26943451056506923</v>
      </c>
      <c r="G20" s="413">
        <v>0</v>
      </c>
      <c r="H20" s="413">
        <v>0</v>
      </c>
      <c r="I20" s="413">
        <v>0</v>
      </c>
      <c r="J20" s="413">
        <v>0</v>
      </c>
      <c r="K20" s="413">
        <v>0</v>
      </c>
      <c r="L20" s="413">
        <v>0</v>
      </c>
      <c r="M20" s="413">
        <v>0.31461037261050767</v>
      </c>
      <c r="N20" s="413">
        <v>0</v>
      </c>
      <c r="O20" s="413">
        <v>0.69813478310917509</v>
      </c>
      <c r="P20" s="413">
        <v>1.1878710876025704</v>
      </c>
      <c r="Q20" s="413">
        <v>1.4974482022571263</v>
      </c>
      <c r="R20" s="413">
        <v>2.8503029671331057</v>
      </c>
      <c r="S20" s="413">
        <v>6.1534303043491461</v>
      </c>
      <c r="T20" s="413">
        <v>21.710877815230294</v>
      </c>
      <c r="U20" s="413"/>
      <c r="V20" s="2572"/>
      <c r="W20" s="2572"/>
      <c r="X20" s="2572"/>
      <c r="Y20" s="2572"/>
      <c r="Z20" s="2572"/>
      <c r="AA20" s="2572"/>
      <c r="AB20" s="2572"/>
      <c r="AC20" s="413"/>
      <c r="AD20" s="413">
        <v>0.96162718693878824</v>
      </c>
      <c r="AE20" s="413">
        <v>1.5499323625939216</v>
      </c>
    </row>
    <row r="21" spans="1:31" ht="18.75" x14ac:dyDescent="0.4">
      <c r="C21" s="2382">
        <v>2018</v>
      </c>
      <c r="D21" s="413">
        <v>1.3191024938301568</v>
      </c>
      <c r="E21" s="413">
        <v>1.3522151470767376</v>
      </c>
      <c r="F21" s="413">
        <v>0.53784179421840361</v>
      </c>
      <c r="G21" s="413">
        <v>0</v>
      </c>
      <c r="H21" s="413">
        <v>0.25359599502604069</v>
      </c>
      <c r="I21" s="413">
        <v>0</v>
      </c>
      <c r="J21" s="413">
        <v>0.22311413320586446</v>
      </c>
      <c r="K21" s="413">
        <v>0</v>
      </c>
      <c r="L21" s="413">
        <v>0.25765858008934112</v>
      </c>
      <c r="M21" s="413">
        <v>0.3042967785211807</v>
      </c>
      <c r="N21" s="413">
        <v>1.0213256661928931</v>
      </c>
      <c r="O21" s="413">
        <v>0.69382710552347382</v>
      </c>
      <c r="P21" s="413">
        <v>0.76947709337935266</v>
      </c>
      <c r="Q21" s="413">
        <v>2.3928846632670964</v>
      </c>
      <c r="R21" s="413">
        <v>6.0095021870196392</v>
      </c>
      <c r="S21" s="413">
        <v>4.8908243333430086</v>
      </c>
      <c r="T21" s="413">
        <v>18.440467716792551</v>
      </c>
      <c r="U21" s="413"/>
      <c r="V21" s="2572"/>
      <c r="W21" s="2572"/>
      <c r="X21" s="2572"/>
      <c r="Y21" s="2572"/>
      <c r="Z21" s="2572"/>
      <c r="AA21" s="2572"/>
      <c r="AB21" s="2572"/>
      <c r="AC21" s="413"/>
      <c r="AD21" s="413">
        <v>1.5061006216463908</v>
      </c>
      <c r="AE21" s="413">
        <v>1.1288819702139969</v>
      </c>
    </row>
    <row r="22" spans="1:31" ht="18.75" x14ac:dyDescent="0.4">
      <c r="C22" s="2382">
        <v>2019</v>
      </c>
      <c r="D22" s="413">
        <v>1.3444030034118795</v>
      </c>
      <c r="E22" s="413">
        <v>3.2609429710903508</v>
      </c>
      <c r="F22" s="413">
        <v>0</v>
      </c>
      <c r="G22" s="413">
        <v>0</v>
      </c>
      <c r="H22" s="413">
        <v>0.25665432244405662</v>
      </c>
      <c r="I22" s="413">
        <v>0</v>
      </c>
      <c r="J22" s="413">
        <v>0.22452062472545761</v>
      </c>
      <c r="K22" s="413">
        <v>0</v>
      </c>
      <c r="L22" s="413">
        <v>0</v>
      </c>
      <c r="M22" s="413">
        <v>0</v>
      </c>
      <c r="N22" s="413">
        <v>0.33696374468070223</v>
      </c>
      <c r="O22" s="413">
        <v>0.34748230131875296</v>
      </c>
      <c r="P22" s="413">
        <v>0.37479911318576659</v>
      </c>
      <c r="Q22" s="413">
        <v>0.92008168709278815</v>
      </c>
      <c r="R22" s="413">
        <v>1.8785108647835635</v>
      </c>
      <c r="S22" s="413">
        <v>6.5229002738439092</v>
      </c>
      <c r="T22" s="413">
        <v>23.886452655700772</v>
      </c>
      <c r="U22" s="413"/>
      <c r="V22" s="2572"/>
      <c r="W22" s="2572"/>
      <c r="X22" s="2572"/>
      <c r="Y22" s="2572"/>
      <c r="Z22" s="2572"/>
      <c r="AA22" s="2572"/>
      <c r="AB22" s="2572"/>
      <c r="AC22" s="413"/>
      <c r="AD22" s="413">
        <v>1.2550607735089687</v>
      </c>
      <c r="AE22" s="413">
        <v>1.4352179577874866</v>
      </c>
    </row>
    <row r="23" spans="1:31" ht="18.75" x14ac:dyDescent="0.4">
      <c r="C23" s="2382">
        <v>2020</v>
      </c>
      <c r="D23" s="413">
        <v>0.86084815726705732</v>
      </c>
      <c r="E23" s="413">
        <v>1.0935040308033188</v>
      </c>
      <c r="F23" s="413">
        <v>0</v>
      </c>
      <c r="G23" s="413">
        <v>0</v>
      </c>
      <c r="H23" s="413">
        <v>0</v>
      </c>
      <c r="I23" s="413">
        <v>0</v>
      </c>
      <c r="J23" s="413">
        <v>0</v>
      </c>
      <c r="K23" s="413">
        <v>0</v>
      </c>
      <c r="L23" s="413">
        <v>0</v>
      </c>
      <c r="M23" s="413">
        <v>0</v>
      </c>
      <c r="N23" s="413">
        <v>0.3330095189168526</v>
      </c>
      <c r="O23" s="413">
        <v>1.3960778201219965</v>
      </c>
      <c r="P23" s="413">
        <v>0.36819315728452273</v>
      </c>
      <c r="Q23" s="413">
        <v>1.3276186537248758</v>
      </c>
      <c r="R23" s="413">
        <v>1.7629831869248107</v>
      </c>
      <c r="S23" s="413">
        <v>4.4249301001279306</v>
      </c>
      <c r="T23" s="413">
        <v>13.536148423909134</v>
      </c>
      <c r="U23" s="413"/>
      <c r="V23" s="2572"/>
      <c r="W23" s="2572"/>
      <c r="X23" s="2572"/>
      <c r="Y23" s="2572"/>
      <c r="Z23" s="2572"/>
      <c r="AA23" s="2572"/>
      <c r="AB23" s="2572"/>
      <c r="AC23" s="413"/>
      <c r="AD23" s="413">
        <v>0.85418636850935115</v>
      </c>
      <c r="AE23" s="413">
        <v>0.86761467320439478</v>
      </c>
    </row>
    <row r="24" spans="1:31" ht="18.75" x14ac:dyDescent="0.4">
      <c r="C24" s="2382">
        <v>2021</v>
      </c>
      <c r="D24" s="413">
        <v>0.65852701823090531</v>
      </c>
      <c r="E24" s="413">
        <v>0.27533303146432542</v>
      </c>
      <c r="F24" s="413">
        <v>0.26627423266210837</v>
      </c>
      <c r="G24" s="413">
        <v>0</v>
      </c>
      <c r="H24" s="413">
        <v>0.26686726045627296</v>
      </c>
      <c r="I24" s="413">
        <v>0.24069299892699106</v>
      </c>
      <c r="J24" s="413">
        <v>0.22660247065599706</v>
      </c>
      <c r="K24" s="413">
        <v>0.22269629515929062</v>
      </c>
      <c r="L24" s="413">
        <v>0</v>
      </c>
      <c r="M24" s="413">
        <v>0</v>
      </c>
      <c r="N24" s="413">
        <v>0.32737711728847657</v>
      </c>
      <c r="O24" s="413">
        <v>0.34993109810080181</v>
      </c>
      <c r="P24" s="413">
        <v>0.72727321546536228</v>
      </c>
      <c r="Q24" s="413">
        <v>0.85158902015488724</v>
      </c>
      <c r="R24" s="413">
        <v>1.6644557065298111</v>
      </c>
      <c r="S24" s="413">
        <v>1.6724930058545209</v>
      </c>
      <c r="T24" s="413">
        <v>9.6071621973671917</v>
      </c>
      <c r="U24" s="413"/>
      <c r="V24" s="2572"/>
      <c r="W24" s="2572"/>
      <c r="X24" s="2572"/>
      <c r="Y24" s="2572"/>
      <c r="Z24" s="2572"/>
      <c r="AA24" s="2572"/>
      <c r="AB24" s="2572"/>
      <c r="AC24" s="413"/>
      <c r="AD24" s="413">
        <v>0.53832486070669594</v>
      </c>
      <c r="AE24" s="413">
        <v>0.78052501267937824</v>
      </c>
    </row>
    <row r="25" spans="1:31" ht="18.75" x14ac:dyDescent="0.4">
      <c r="C25" s="2382">
        <v>2022</v>
      </c>
      <c r="D25" s="413">
        <v>0.92070898866874629</v>
      </c>
      <c r="E25" s="413">
        <v>1.1103458089708063</v>
      </c>
      <c r="F25" s="413">
        <v>0</v>
      </c>
      <c r="G25" s="413">
        <v>0</v>
      </c>
      <c r="H25" s="413">
        <v>0</v>
      </c>
      <c r="I25" s="413">
        <v>0</v>
      </c>
      <c r="J25" s="413">
        <v>0.22790281151609962</v>
      </c>
      <c r="K25" s="413">
        <v>0</v>
      </c>
      <c r="L25" s="413">
        <v>0.22907269030808919</v>
      </c>
      <c r="M25" s="413">
        <v>0</v>
      </c>
      <c r="N25" s="413">
        <v>0.32043732405526815</v>
      </c>
      <c r="O25" s="413">
        <v>0</v>
      </c>
      <c r="P25" s="413">
        <v>0.71860924128942416</v>
      </c>
      <c r="Q25" s="413">
        <v>0.8234050638549909</v>
      </c>
      <c r="R25" s="413">
        <v>2.64678744606345</v>
      </c>
      <c r="S25" s="413">
        <v>1.5635059767571249</v>
      </c>
      <c r="T25" s="413">
        <v>16.275416892150773</v>
      </c>
      <c r="U25" s="413"/>
      <c r="V25" s="2572"/>
      <c r="W25" s="2572"/>
      <c r="X25" s="2572"/>
      <c r="Y25" s="2572"/>
      <c r="Z25" s="2572"/>
      <c r="AA25" s="2572"/>
      <c r="AB25" s="2572"/>
      <c r="AC25" s="413"/>
      <c r="AD25" s="413">
        <v>0.87619418306765429</v>
      </c>
      <c r="AE25" s="413">
        <v>0.96585330856105422</v>
      </c>
    </row>
    <row r="26" spans="1:31" ht="18.75" x14ac:dyDescent="0.4">
      <c r="C26" s="2382">
        <v>2023</v>
      </c>
      <c r="D26" s="413">
        <v>1.0071762718022161</v>
      </c>
      <c r="E26" s="413">
        <v>1.120249597559847</v>
      </c>
      <c r="F26" s="413">
        <v>0.26708096878485582</v>
      </c>
      <c r="G26" s="413">
        <v>0</v>
      </c>
      <c r="H26" s="413">
        <v>0</v>
      </c>
      <c r="I26" s="413">
        <v>0</v>
      </c>
      <c r="J26" s="413">
        <v>0.2309294053126158</v>
      </c>
      <c r="K26" s="413">
        <v>0.22200043712908318</v>
      </c>
      <c r="L26" s="413">
        <v>0</v>
      </c>
      <c r="M26" s="413">
        <v>0</v>
      </c>
      <c r="N26" s="413">
        <v>0.92910108178093265</v>
      </c>
      <c r="O26" s="413">
        <v>0.34862831218089863</v>
      </c>
      <c r="P26" s="413">
        <v>1.0706723859794851</v>
      </c>
      <c r="Q26" s="413">
        <v>1.5990703602704635</v>
      </c>
      <c r="R26" s="413">
        <v>3.5498128501980037</v>
      </c>
      <c r="S26" s="413">
        <v>4.3889225599063284</v>
      </c>
      <c r="T26" s="413">
        <v>11.444403685496679</v>
      </c>
      <c r="U26" s="413"/>
      <c r="V26" s="2572"/>
      <c r="W26" s="2572"/>
      <c r="X26" s="2572"/>
      <c r="Y26" s="2572"/>
      <c r="Z26" s="2572"/>
      <c r="AA26" s="2572"/>
      <c r="AB26" s="2572"/>
      <c r="AC26" s="413"/>
      <c r="AD26" s="413">
        <v>0.94391937681262672</v>
      </c>
      <c r="AE26" s="413">
        <v>1.0712760210107155</v>
      </c>
    </row>
    <row r="27" spans="1:31" ht="19.5" x14ac:dyDescent="0.4">
      <c r="C27" s="383" t="s">
        <v>8189</v>
      </c>
      <c r="D27" s="420">
        <v>1.0071762718022161</v>
      </c>
      <c r="E27" s="420">
        <v>1.120249597559847</v>
      </c>
      <c r="F27" s="420">
        <v>0.26708096878485582</v>
      </c>
      <c r="G27" s="420">
        <v>0</v>
      </c>
      <c r="H27" s="420">
        <v>0</v>
      </c>
      <c r="I27" s="420">
        <v>0</v>
      </c>
      <c r="J27" s="420">
        <v>0.2309294053126158</v>
      </c>
      <c r="K27" s="420">
        <v>0.22200043712908318</v>
      </c>
      <c r="L27" s="420">
        <v>0</v>
      </c>
      <c r="M27" s="420">
        <v>0</v>
      </c>
      <c r="N27" s="420">
        <v>0.92910108178093265</v>
      </c>
      <c r="O27" s="420">
        <v>0.34862831218089863</v>
      </c>
      <c r="P27" s="420">
        <v>1.0706723859794851</v>
      </c>
      <c r="Q27" s="420">
        <v>1.5990703602704635</v>
      </c>
      <c r="R27" s="420">
        <v>3.5498128501980037</v>
      </c>
      <c r="S27" s="420">
        <v>4.3889225599063284</v>
      </c>
      <c r="T27" s="420">
        <v>11.444403685496679</v>
      </c>
      <c r="U27" s="420"/>
      <c r="V27" s="2573"/>
      <c r="W27" s="2573"/>
      <c r="X27" s="2573"/>
      <c r="Y27" s="2573"/>
      <c r="Z27" s="2573"/>
      <c r="AA27" s="2573"/>
      <c r="AB27" s="2573"/>
      <c r="AC27" s="420"/>
      <c r="AD27" s="420">
        <v>0.94391937681262672</v>
      </c>
      <c r="AE27" s="420">
        <v>1.0712760210107155</v>
      </c>
    </row>
    <row r="28" spans="1:31"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8.75" x14ac:dyDescent="0.4">
      <c r="C29" s="5" t="s">
        <v>746</v>
      </c>
      <c r="D29" s="2399"/>
      <c r="E29" s="2399"/>
      <c r="F29" s="2399"/>
      <c r="G29" s="5"/>
      <c r="H29" s="5"/>
      <c r="I29" s="5"/>
      <c r="J29" s="5"/>
      <c r="K29" s="5"/>
      <c r="L29" s="5"/>
      <c r="M29" s="5"/>
      <c r="N29" s="5"/>
      <c r="O29" s="5"/>
      <c r="P29" s="5"/>
      <c r="Q29" s="5"/>
      <c r="R29" s="5"/>
      <c r="S29" s="5"/>
      <c r="T29" s="2383"/>
      <c r="U29" s="5"/>
      <c r="V29" s="5"/>
      <c r="W29" s="5"/>
      <c r="X29" s="5"/>
      <c r="Y29" s="5"/>
      <c r="Z29" s="5"/>
      <c r="AA29" s="5"/>
      <c r="AB29" s="5"/>
      <c r="AC29" s="5"/>
      <c r="AD29" s="5"/>
      <c r="AE29" s="5"/>
    </row>
    <row r="30" spans="1:31" ht="18.75" x14ac:dyDescent="0.4">
      <c r="C30" s="5" t="s">
        <v>8170</v>
      </c>
      <c r="D30" s="2399"/>
      <c r="E30" s="2399"/>
      <c r="F30" s="2399"/>
      <c r="G30" s="5"/>
      <c r="H30" s="5"/>
      <c r="I30" s="5"/>
      <c r="J30" s="5"/>
      <c r="K30" s="5"/>
      <c r="L30" s="5"/>
      <c r="M30" s="5"/>
      <c r="N30" s="5"/>
      <c r="O30" s="5"/>
      <c r="P30" s="5"/>
      <c r="Q30" s="5"/>
      <c r="R30" s="5"/>
      <c r="S30" s="5"/>
      <c r="T30" s="2383"/>
      <c r="U30" s="5"/>
      <c r="V30" s="5"/>
      <c r="W30" s="5"/>
      <c r="X30" s="5"/>
      <c r="Y30" s="5"/>
      <c r="Z30" s="5"/>
      <c r="AA30" s="5"/>
      <c r="AB30" s="5"/>
      <c r="AC30" s="5"/>
      <c r="AD30" s="5"/>
      <c r="AE30" s="5"/>
    </row>
    <row r="33" spans="3:11" ht="19.5" x14ac:dyDescent="0.25">
      <c r="C33" s="367" t="s">
        <v>8190</v>
      </c>
      <c r="D33" s="618"/>
      <c r="E33" s="618"/>
      <c r="F33" s="618"/>
      <c r="G33" s="618"/>
      <c r="H33" s="618"/>
      <c r="I33" s="618"/>
      <c r="J33" s="618"/>
      <c r="K33" s="618"/>
    </row>
    <row r="53" spans="3:19" ht="18.75" x14ac:dyDescent="0.4">
      <c r="C53" s="5" t="s">
        <v>8177</v>
      </c>
    </row>
    <row r="57" spans="3:19" ht="18.75" x14ac:dyDescent="0.4">
      <c r="C57" s="154" t="s">
        <v>1501</v>
      </c>
      <c r="D57" s="5"/>
      <c r="E57" s="5"/>
      <c r="F57" s="5"/>
      <c r="G57" s="5"/>
      <c r="H57" s="5"/>
      <c r="I57" s="5"/>
      <c r="J57" s="5"/>
      <c r="K57" s="5"/>
      <c r="L57" s="5"/>
      <c r="M57" s="5"/>
      <c r="N57" s="5"/>
      <c r="O57" s="5"/>
      <c r="P57" s="5"/>
    </row>
    <row r="58" spans="3:19" ht="18.75" x14ac:dyDescent="0.4">
      <c r="C58" s="5"/>
      <c r="D58" s="5"/>
      <c r="E58" s="5"/>
      <c r="F58" s="5"/>
      <c r="G58" s="5"/>
      <c r="H58" s="5"/>
      <c r="I58" s="5"/>
      <c r="J58" s="5"/>
      <c r="K58" s="5"/>
      <c r="L58" s="5"/>
      <c r="M58" s="5"/>
      <c r="N58" s="5"/>
      <c r="O58" s="5"/>
      <c r="P58" s="5"/>
    </row>
    <row r="59" spans="3:19" ht="37.5" x14ac:dyDescent="0.25">
      <c r="C59" s="388" t="s">
        <v>749</v>
      </c>
      <c r="D59" s="389" t="s">
        <v>750</v>
      </c>
      <c r="E59" s="390">
        <v>2010</v>
      </c>
      <c r="F59" s="390">
        <v>2011</v>
      </c>
      <c r="G59" s="390">
        <v>2012</v>
      </c>
      <c r="H59" s="390">
        <v>2013</v>
      </c>
      <c r="I59" s="390">
        <v>2014</v>
      </c>
      <c r="J59" s="390">
        <v>2015</v>
      </c>
      <c r="K59" s="390">
        <v>2016</v>
      </c>
      <c r="L59" s="390">
        <v>2017</v>
      </c>
      <c r="M59" s="390">
        <v>2018</v>
      </c>
      <c r="N59" s="390">
        <v>2019</v>
      </c>
      <c r="O59" s="390">
        <v>2020</v>
      </c>
      <c r="P59" s="390">
        <v>2021</v>
      </c>
      <c r="Q59" s="390">
        <v>2022</v>
      </c>
      <c r="R59" s="2379">
        <v>2023</v>
      </c>
      <c r="S59" s="2379">
        <v>2024</v>
      </c>
    </row>
    <row r="60" spans="3:19" ht="18.75" x14ac:dyDescent="0.4">
      <c r="C60" s="2567" t="s">
        <v>328</v>
      </c>
      <c r="D60" s="391" t="s">
        <v>328</v>
      </c>
      <c r="E60" s="340">
        <v>0.62527746687592622</v>
      </c>
      <c r="F60" s="340">
        <v>0.93122875634399582</v>
      </c>
      <c r="G60" s="340">
        <v>2.1528194245821224</v>
      </c>
      <c r="H60" s="340">
        <v>2.742631463468149</v>
      </c>
      <c r="I60" s="340">
        <v>1.5104873134170547</v>
      </c>
      <c r="J60" s="340">
        <v>2.095933888256782</v>
      </c>
      <c r="K60" s="340">
        <v>2.0784341670823534</v>
      </c>
      <c r="L60" s="340">
        <v>1.1779222041280284</v>
      </c>
      <c r="M60" s="340">
        <v>0.87671104772814934</v>
      </c>
      <c r="N60" s="340">
        <v>0.28998031033692812</v>
      </c>
      <c r="O60" s="340">
        <v>0.57570855330197646</v>
      </c>
      <c r="P60" s="392" t="s">
        <v>751</v>
      </c>
      <c r="Q60" s="688">
        <v>0.56824962069337825</v>
      </c>
    </row>
    <row r="61" spans="3:19" ht="18.75" x14ac:dyDescent="0.4">
      <c r="C61" s="2567"/>
      <c r="D61" s="391" t="s">
        <v>752</v>
      </c>
      <c r="E61" s="392" t="s">
        <v>751</v>
      </c>
      <c r="F61" s="340">
        <v>1.5689227776208856</v>
      </c>
      <c r="G61" s="340">
        <v>1.5510609256731605</v>
      </c>
      <c r="H61" s="340">
        <v>1.5337188079937423</v>
      </c>
      <c r="I61" s="392" t="s">
        <v>751</v>
      </c>
      <c r="J61" s="392" t="s">
        <v>751</v>
      </c>
      <c r="K61" s="340">
        <v>2.9690329859564741</v>
      </c>
      <c r="L61" s="340">
        <v>1.4695077149155034</v>
      </c>
      <c r="M61" s="392" t="s">
        <v>751</v>
      </c>
      <c r="N61" s="340">
        <v>1.4410467763783612</v>
      </c>
      <c r="O61" s="340">
        <v>1.4274702372455534</v>
      </c>
      <c r="P61" s="392" t="s">
        <v>751</v>
      </c>
      <c r="Q61" s="392" t="s">
        <v>751</v>
      </c>
    </row>
    <row r="62" spans="3:19" ht="18.75" x14ac:dyDescent="0.4">
      <c r="C62" s="2567"/>
      <c r="D62" s="391" t="s">
        <v>753</v>
      </c>
      <c r="E62" s="340">
        <v>1.8167614410551751</v>
      </c>
      <c r="F62" s="340">
        <v>0.89763383720512735</v>
      </c>
      <c r="G62" s="340">
        <v>1.3305598552350877</v>
      </c>
      <c r="H62" s="392" t="s">
        <v>751</v>
      </c>
      <c r="I62" s="340">
        <v>1.2999956666811112</v>
      </c>
      <c r="J62" s="340">
        <v>0.42852245457661986</v>
      </c>
      <c r="K62" s="340">
        <v>1.6958997384074652</v>
      </c>
      <c r="L62" s="340">
        <v>0.41961797979119808</v>
      </c>
      <c r="M62" s="340">
        <v>0.41550498398228292</v>
      </c>
      <c r="N62" s="340">
        <v>0.41155142540836193</v>
      </c>
      <c r="O62" s="392" t="s">
        <v>751</v>
      </c>
      <c r="P62" s="392" t="s">
        <v>751</v>
      </c>
      <c r="Q62" s="392" t="s">
        <v>751</v>
      </c>
    </row>
    <row r="63" spans="3:19" ht="18.75" x14ac:dyDescent="0.4">
      <c r="C63" s="2567"/>
      <c r="D63" s="391" t="s">
        <v>754</v>
      </c>
      <c r="E63" s="392" t="s">
        <v>751</v>
      </c>
      <c r="F63" s="392" t="s">
        <v>751</v>
      </c>
      <c r="G63" s="392" t="s">
        <v>751</v>
      </c>
      <c r="H63" s="392" t="s">
        <v>751</v>
      </c>
      <c r="I63" s="392" t="s">
        <v>751</v>
      </c>
      <c r="J63" s="340">
        <v>5.5138950154389059</v>
      </c>
      <c r="K63" s="392" t="s">
        <v>751</v>
      </c>
      <c r="L63" s="392" t="s">
        <v>751</v>
      </c>
      <c r="M63" s="392" t="s">
        <v>751</v>
      </c>
      <c r="N63" s="392" t="s">
        <v>751</v>
      </c>
      <c r="O63" s="392" t="s">
        <v>751</v>
      </c>
      <c r="P63" s="392" t="s">
        <v>751</v>
      </c>
      <c r="Q63" s="392" t="s">
        <v>751</v>
      </c>
    </row>
    <row r="64" spans="3:19" ht="18.75" x14ac:dyDescent="0.4">
      <c r="C64" s="2567"/>
      <c r="D64" s="391" t="s">
        <v>755</v>
      </c>
      <c r="E64" s="392" t="s">
        <v>751</v>
      </c>
      <c r="F64" s="340">
        <v>5.8288645371881556</v>
      </c>
      <c r="G64" s="392" t="s">
        <v>751</v>
      </c>
      <c r="H64" s="340">
        <v>5.7231156641675724</v>
      </c>
      <c r="I64" s="392" t="s">
        <v>751</v>
      </c>
      <c r="J64" s="392" t="s">
        <v>751</v>
      </c>
      <c r="K64" s="392" t="s">
        <v>751</v>
      </c>
      <c r="L64" s="340">
        <v>5.524251463926638</v>
      </c>
      <c r="M64" s="392" t="s">
        <v>751</v>
      </c>
      <c r="N64" s="392" t="s">
        <v>751</v>
      </c>
      <c r="O64" s="392" t="s">
        <v>751</v>
      </c>
      <c r="P64" s="392" t="s">
        <v>751</v>
      </c>
      <c r="Q64" s="392" t="s">
        <v>751</v>
      </c>
    </row>
    <row r="65" spans="3:17" ht="18.75" x14ac:dyDescent="0.4">
      <c r="C65" s="2567"/>
      <c r="D65" s="391" t="s">
        <v>756</v>
      </c>
      <c r="E65" s="340">
        <v>3.4821972664751462</v>
      </c>
      <c r="F65" s="340">
        <v>1.7216148747525177</v>
      </c>
      <c r="G65" s="392" t="s">
        <v>751</v>
      </c>
      <c r="H65" s="340">
        <v>1.6827934371055955</v>
      </c>
      <c r="I65" s="392" t="s">
        <v>751</v>
      </c>
      <c r="J65" s="392" t="s">
        <v>751</v>
      </c>
      <c r="K65" s="392" t="s">
        <v>751</v>
      </c>
      <c r="L65" s="340">
        <v>1.6152218507211966</v>
      </c>
      <c r="M65" s="392" t="s">
        <v>751</v>
      </c>
      <c r="N65" s="392" t="s">
        <v>751</v>
      </c>
      <c r="O65" s="392" t="s">
        <v>751</v>
      </c>
      <c r="P65" s="392" t="s">
        <v>751</v>
      </c>
      <c r="Q65" s="392" t="s">
        <v>751</v>
      </c>
    </row>
    <row r="66" spans="3:17" ht="18.75" x14ac:dyDescent="0.4">
      <c r="C66" s="2567"/>
      <c r="D66" s="391" t="s">
        <v>757</v>
      </c>
      <c r="E66" s="392" t="s">
        <v>751</v>
      </c>
      <c r="F66" s="392" t="s">
        <v>751</v>
      </c>
      <c r="G66" s="392" t="s">
        <v>751</v>
      </c>
      <c r="H66" s="340">
        <v>3.5231116121758737</v>
      </c>
      <c r="I66" s="392" t="s">
        <v>751</v>
      </c>
      <c r="J66" s="392" t="s">
        <v>751</v>
      </c>
      <c r="K66" s="392" t="s">
        <v>751</v>
      </c>
      <c r="L66" s="392" t="s">
        <v>751</v>
      </c>
      <c r="M66" s="392" t="s">
        <v>751</v>
      </c>
      <c r="N66" s="392" t="s">
        <v>751</v>
      </c>
      <c r="O66" s="392" t="s">
        <v>751</v>
      </c>
      <c r="P66" s="392" t="s">
        <v>751</v>
      </c>
      <c r="Q66" s="392" t="s">
        <v>751</v>
      </c>
    </row>
    <row r="67" spans="3:17" ht="18.75" x14ac:dyDescent="0.4">
      <c r="C67" s="2567"/>
      <c r="D67" s="391" t="s">
        <v>758</v>
      </c>
      <c r="E67" s="340">
        <v>0.79752448400165887</v>
      </c>
      <c r="F67" s="340">
        <v>2.3663784943522432</v>
      </c>
      <c r="G67" s="340">
        <v>1.5607563425235871</v>
      </c>
      <c r="H67" s="340">
        <v>2.3163519001806754</v>
      </c>
      <c r="I67" s="340">
        <v>2.2926314824155165</v>
      </c>
      <c r="J67" s="340">
        <v>0.75637243778836694</v>
      </c>
      <c r="K67" s="340">
        <v>2.9949759278809798</v>
      </c>
      <c r="L67" s="340">
        <v>1.4830744132586853</v>
      </c>
      <c r="M67" s="340">
        <v>1.4693781591630422</v>
      </c>
      <c r="N67" s="392" t="s">
        <v>751</v>
      </c>
      <c r="O67" s="392" t="s">
        <v>751</v>
      </c>
      <c r="P67" s="392" t="s">
        <v>751</v>
      </c>
      <c r="Q67" s="392" t="s">
        <v>751</v>
      </c>
    </row>
    <row r="68" spans="3:17" ht="18.75" x14ac:dyDescent="0.4">
      <c r="C68" s="2567"/>
      <c r="D68" s="391" t="s">
        <v>759</v>
      </c>
      <c r="E68" s="392" t="s">
        <v>751</v>
      </c>
      <c r="F68" s="392" t="s">
        <v>751</v>
      </c>
      <c r="G68" s="392" t="s">
        <v>751</v>
      </c>
      <c r="H68" s="392" t="s">
        <v>751</v>
      </c>
      <c r="I68" s="392" t="s">
        <v>751</v>
      </c>
      <c r="J68" s="392" t="s">
        <v>751</v>
      </c>
      <c r="K68" s="340">
        <v>1.7428282617030917</v>
      </c>
      <c r="L68" s="340">
        <v>3.4388486734641242</v>
      </c>
      <c r="M68" s="392" t="s">
        <v>751</v>
      </c>
      <c r="N68" s="340">
        <v>1.6750138188640056</v>
      </c>
      <c r="O68" s="392" t="s">
        <v>751</v>
      </c>
      <c r="P68" s="392" t="s">
        <v>751</v>
      </c>
      <c r="Q68" s="392" t="s">
        <v>751</v>
      </c>
    </row>
    <row r="69" spans="3:17" ht="18.75" x14ac:dyDescent="0.4">
      <c r="C69" s="2567"/>
      <c r="D69" s="391" t="s">
        <v>760</v>
      </c>
      <c r="E69" s="392" t="s">
        <v>751</v>
      </c>
      <c r="F69" s="340">
        <v>1.2147421102499938</v>
      </c>
      <c r="G69" s="340">
        <v>2.3901144864839026</v>
      </c>
      <c r="H69" s="340">
        <v>2.3516408574082566</v>
      </c>
      <c r="I69" s="340">
        <v>1.1574475965600657</v>
      </c>
      <c r="J69" s="340">
        <v>1.1398089680169603</v>
      </c>
      <c r="K69" s="392" t="s">
        <v>751</v>
      </c>
      <c r="L69" s="340">
        <v>1.1044476105275947</v>
      </c>
      <c r="M69" s="392" t="s">
        <v>751</v>
      </c>
      <c r="N69" s="392" t="s">
        <v>751</v>
      </c>
      <c r="O69" s="340">
        <v>1.0576638321275964</v>
      </c>
      <c r="P69" s="392" t="s">
        <v>751</v>
      </c>
      <c r="Q69" s="392" t="s">
        <v>751</v>
      </c>
    </row>
    <row r="70" spans="3:17" ht="18.75" x14ac:dyDescent="0.4">
      <c r="C70" s="2567"/>
      <c r="D70" s="391" t="s">
        <v>761</v>
      </c>
      <c r="E70" s="340">
        <v>1.5675455371978557</v>
      </c>
      <c r="F70" s="392" t="s">
        <v>751</v>
      </c>
      <c r="G70" s="392" t="s">
        <v>751</v>
      </c>
      <c r="H70" s="340">
        <v>1.5080909077199174</v>
      </c>
      <c r="I70" s="340">
        <v>2.9788945322390861</v>
      </c>
      <c r="J70" s="392" t="s">
        <v>751</v>
      </c>
      <c r="K70" s="392" t="s">
        <v>751</v>
      </c>
      <c r="L70" s="340">
        <v>1.4388489208633093</v>
      </c>
      <c r="M70" s="392" t="s">
        <v>751</v>
      </c>
      <c r="N70" s="340">
        <v>1.4090063687087866</v>
      </c>
      <c r="O70" s="392" t="s">
        <v>751</v>
      </c>
      <c r="P70" s="392" t="s">
        <v>751</v>
      </c>
      <c r="Q70" s="392">
        <v>2.74228048044754</v>
      </c>
    </row>
    <row r="71" spans="3:17" ht="18.75" x14ac:dyDescent="0.4">
      <c r="C71" s="2567"/>
      <c r="D71" s="391" t="s">
        <v>762</v>
      </c>
      <c r="E71" s="392" t="s">
        <v>751</v>
      </c>
      <c r="F71" s="392" t="s">
        <v>751</v>
      </c>
      <c r="G71" s="340">
        <v>4.8766214766409828</v>
      </c>
      <c r="H71" s="392" t="s">
        <v>751</v>
      </c>
      <c r="I71" s="392" t="s">
        <v>751</v>
      </c>
      <c r="J71" s="392" t="s">
        <v>751</v>
      </c>
      <c r="K71" s="392" t="s">
        <v>751</v>
      </c>
      <c r="L71" s="392" t="s">
        <v>751</v>
      </c>
      <c r="M71" s="392" t="s">
        <v>751</v>
      </c>
      <c r="N71" s="392" t="s">
        <v>751</v>
      </c>
      <c r="O71" s="340">
        <v>4.5504186385147429</v>
      </c>
      <c r="P71" s="392" t="s">
        <v>751</v>
      </c>
      <c r="Q71" s="392" t="s">
        <v>751</v>
      </c>
    </row>
    <row r="72" spans="3:17" ht="18.75" x14ac:dyDescent="0.4">
      <c r="C72" s="2567"/>
      <c r="D72" s="391" t="s">
        <v>763</v>
      </c>
      <c r="E72" s="340">
        <v>2.5726450650236043</v>
      </c>
      <c r="F72" s="340">
        <v>1.2737879907268235</v>
      </c>
      <c r="G72" s="340">
        <v>1.2617500473156267</v>
      </c>
      <c r="H72" s="392" t="s">
        <v>751</v>
      </c>
      <c r="I72" s="340">
        <v>2.4769949097754602</v>
      </c>
      <c r="J72" s="392" t="s">
        <v>751</v>
      </c>
      <c r="K72" s="340">
        <v>1.2163082611657099</v>
      </c>
      <c r="L72" s="392" t="s">
        <v>751</v>
      </c>
      <c r="M72" s="392" t="s">
        <v>751</v>
      </c>
      <c r="N72" s="340">
        <v>1.1874369174137624</v>
      </c>
      <c r="O72" s="340">
        <v>2.356462007941277</v>
      </c>
      <c r="P72" s="392" t="s">
        <v>751</v>
      </c>
      <c r="Q72" s="392" t="s">
        <v>751</v>
      </c>
    </row>
    <row r="73" spans="3:17" ht="18.75" x14ac:dyDescent="0.4">
      <c r="C73" s="2567"/>
      <c r="D73" s="391" t="s">
        <v>764</v>
      </c>
      <c r="E73" s="392" t="s">
        <v>751</v>
      </c>
      <c r="F73" s="392" t="s">
        <v>751</v>
      </c>
      <c r="G73" s="392" t="s">
        <v>751</v>
      </c>
      <c r="H73" s="340">
        <v>1.6749015995310275</v>
      </c>
      <c r="I73" s="340">
        <v>3.321321221581945</v>
      </c>
      <c r="J73" s="392" t="s">
        <v>751</v>
      </c>
      <c r="K73" s="340">
        <v>1.6353764636619348</v>
      </c>
      <c r="L73" s="340">
        <v>1.6249065678723473</v>
      </c>
      <c r="M73" s="392" t="s">
        <v>751</v>
      </c>
      <c r="N73" s="392" t="s">
        <v>751</v>
      </c>
      <c r="O73" s="392" t="s">
        <v>751</v>
      </c>
      <c r="P73" s="392" t="s">
        <v>751</v>
      </c>
      <c r="Q73" s="392" t="s">
        <v>751</v>
      </c>
    </row>
    <row r="74" spans="3:17" ht="18.75" x14ac:dyDescent="0.4">
      <c r="C74" s="2567"/>
      <c r="D74" s="391" t="s">
        <v>765</v>
      </c>
      <c r="E74" s="392" t="s">
        <v>751</v>
      </c>
      <c r="F74" s="392" t="s">
        <v>751</v>
      </c>
      <c r="G74" s="392" t="s">
        <v>751</v>
      </c>
      <c r="H74" s="340">
        <v>1.6472836292952922</v>
      </c>
      <c r="I74" s="392" t="s">
        <v>751</v>
      </c>
      <c r="J74" s="340">
        <v>4.8871078095982803</v>
      </c>
      <c r="K74" s="340">
        <v>1.6217706491947907</v>
      </c>
      <c r="L74" s="392" t="s">
        <v>751</v>
      </c>
      <c r="M74" s="340">
        <v>1.6101244626209605</v>
      </c>
      <c r="N74" s="340">
        <v>1.6048788316482105</v>
      </c>
      <c r="O74" s="392" t="s">
        <v>751</v>
      </c>
      <c r="P74" s="392" t="s">
        <v>751</v>
      </c>
      <c r="Q74" s="392" t="s">
        <v>751</v>
      </c>
    </row>
    <row r="75" spans="3:17" ht="18.75" x14ac:dyDescent="0.4">
      <c r="C75" s="2567"/>
      <c r="D75" s="391" t="s">
        <v>766</v>
      </c>
      <c r="E75" s="392" t="s">
        <v>751</v>
      </c>
      <c r="F75" s="392" t="s">
        <v>751</v>
      </c>
      <c r="G75" s="392" t="s">
        <v>751</v>
      </c>
      <c r="H75" s="392" t="s">
        <v>751</v>
      </c>
      <c r="I75" s="392" t="s">
        <v>751</v>
      </c>
      <c r="J75" s="392" t="s">
        <v>751</v>
      </c>
      <c r="K75" s="392" t="s">
        <v>751</v>
      </c>
      <c r="L75" s="392" t="s">
        <v>751</v>
      </c>
      <c r="M75" s="392" t="s">
        <v>751</v>
      </c>
      <c r="N75" s="392" t="s">
        <v>751</v>
      </c>
      <c r="O75" s="392" t="s">
        <v>751</v>
      </c>
      <c r="P75" s="392" t="s">
        <v>751</v>
      </c>
      <c r="Q75" s="392" t="s">
        <v>751</v>
      </c>
    </row>
    <row r="76" spans="3:17" ht="18.75" x14ac:dyDescent="0.4">
      <c r="C76" s="2567"/>
      <c r="D76" s="391" t="s">
        <v>767</v>
      </c>
      <c r="E76" s="392" t="s">
        <v>751</v>
      </c>
      <c r="F76" s="392" t="s">
        <v>751</v>
      </c>
      <c r="G76" s="392" t="s">
        <v>751</v>
      </c>
      <c r="H76" s="392" t="s">
        <v>751</v>
      </c>
      <c r="I76" s="392" t="s">
        <v>751</v>
      </c>
      <c r="J76" s="392" t="s">
        <v>751</v>
      </c>
      <c r="K76" s="392" t="s">
        <v>751</v>
      </c>
      <c r="L76" s="392" t="s">
        <v>751</v>
      </c>
      <c r="M76" s="392" t="s">
        <v>751</v>
      </c>
      <c r="N76" s="392" t="s">
        <v>751</v>
      </c>
      <c r="O76" s="392" t="s">
        <v>751</v>
      </c>
      <c r="P76" s="392" t="s">
        <v>751</v>
      </c>
      <c r="Q76" s="392" t="s">
        <v>751</v>
      </c>
    </row>
    <row r="77" spans="3:17" ht="18.75" x14ac:dyDescent="0.4">
      <c r="C77" s="2567"/>
      <c r="D77" s="391" t="s">
        <v>768</v>
      </c>
      <c r="E77" s="392" t="s">
        <v>751</v>
      </c>
      <c r="F77" s="340">
        <v>1.3644798602772623</v>
      </c>
      <c r="G77" s="340">
        <v>2.7006954290729865</v>
      </c>
      <c r="H77" s="340">
        <v>1.3365588954677288</v>
      </c>
      <c r="I77" s="392" t="s">
        <v>751</v>
      </c>
      <c r="J77" s="392" t="s">
        <v>751</v>
      </c>
      <c r="K77" s="392" t="s">
        <v>751</v>
      </c>
      <c r="L77" s="340">
        <v>1.2871503777786359</v>
      </c>
      <c r="M77" s="340">
        <v>1.2766337720698064</v>
      </c>
      <c r="N77" s="392" t="s">
        <v>751</v>
      </c>
      <c r="O77" s="392" t="s">
        <v>751</v>
      </c>
      <c r="P77" s="392" t="s">
        <v>751</v>
      </c>
      <c r="Q77" s="392" t="s">
        <v>751</v>
      </c>
    </row>
    <row r="78" spans="3:17" ht="18.75" x14ac:dyDescent="0.4">
      <c r="C78" s="2567"/>
      <c r="D78" s="391" t="s">
        <v>769</v>
      </c>
      <c r="E78" s="340">
        <v>0.72151113291678093</v>
      </c>
      <c r="F78" s="340">
        <v>0.71806066176470584</v>
      </c>
      <c r="G78" s="340">
        <v>2.1431939304747889</v>
      </c>
      <c r="H78" s="340">
        <v>0.71073710545206437</v>
      </c>
      <c r="I78" s="340">
        <v>0.70729861440201436</v>
      </c>
      <c r="J78" s="340">
        <v>1.4084705418386174</v>
      </c>
      <c r="K78" s="340">
        <v>2.1083554124997366</v>
      </c>
      <c r="L78" s="392" t="s">
        <v>751</v>
      </c>
      <c r="M78" s="340">
        <v>0.70033405934630821</v>
      </c>
      <c r="N78" s="340">
        <v>0.69931537025252277</v>
      </c>
      <c r="O78" s="392" t="s">
        <v>751</v>
      </c>
      <c r="P78" s="392" t="s">
        <v>751</v>
      </c>
      <c r="Q78" s="392">
        <v>0.69792437291495091</v>
      </c>
    </row>
    <row r="79" spans="3:17" ht="18.75" x14ac:dyDescent="0.4">
      <c r="C79" s="2567"/>
      <c r="D79" s="391" t="s">
        <v>770</v>
      </c>
      <c r="E79" s="340">
        <v>8.1076698556834774</v>
      </c>
      <c r="F79" s="392" t="s">
        <v>751</v>
      </c>
      <c r="G79" s="392" t="s">
        <v>751</v>
      </c>
      <c r="H79" s="392" t="s">
        <v>751</v>
      </c>
      <c r="I79" s="392" t="s">
        <v>751</v>
      </c>
      <c r="J79" s="392" t="s">
        <v>751</v>
      </c>
      <c r="K79" s="392" t="s">
        <v>751</v>
      </c>
      <c r="L79" s="392" t="s">
        <v>751</v>
      </c>
      <c r="M79" s="392" t="s">
        <v>751</v>
      </c>
      <c r="N79" s="392" t="s">
        <v>751</v>
      </c>
      <c r="O79" s="392" t="s">
        <v>751</v>
      </c>
      <c r="P79" s="392" t="s">
        <v>751</v>
      </c>
      <c r="Q79" s="392" t="s">
        <v>751</v>
      </c>
    </row>
    <row r="80" spans="3:17" ht="18.75" x14ac:dyDescent="0.4">
      <c r="C80" s="2567" t="s">
        <v>329</v>
      </c>
      <c r="D80" s="391" t="s">
        <v>329</v>
      </c>
      <c r="E80" s="340">
        <v>1.1004853140234845</v>
      </c>
      <c r="F80" s="340">
        <v>0.72255901500755071</v>
      </c>
      <c r="G80" s="340">
        <v>0.71170831346480956</v>
      </c>
      <c r="H80" s="340">
        <v>0.70111723030649342</v>
      </c>
      <c r="I80" s="340">
        <v>0.34548161865047972</v>
      </c>
      <c r="J80" s="340">
        <v>0.68119658992987087</v>
      </c>
      <c r="K80" s="340">
        <v>2.0142406816190466</v>
      </c>
      <c r="L80" s="340">
        <v>0.6620894217973079</v>
      </c>
      <c r="M80" s="392" t="s">
        <v>751</v>
      </c>
      <c r="N80" s="340">
        <v>0.64464557386348986</v>
      </c>
      <c r="O80" s="392" t="s">
        <v>751</v>
      </c>
      <c r="P80" s="392" t="s">
        <v>751</v>
      </c>
      <c r="Q80" s="392" t="s">
        <v>751</v>
      </c>
    </row>
    <row r="81" spans="3:17" ht="18.75" x14ac:dyDescent="0.4">
      <c r="C81" s="2567"/>
      <c r="D81" s="391" t="s">
        <v>771</v>
      </c>
      <c r="E81" s="340">
        <v>1.2083569969911911</v>
      </c>
      <c r="F81" s="392" t="s">
        <v>751</v>
      </c>
      <c r="G81" s="392" t="s">
        <v>751</v>
      </c>
      <c r="H81" s="340">
        <v>1.1585874501807396</v>
      </c>
      <c r="I81" s="340">
        <v>2.286210720042066</v>
      </c>
      <c r="J81" s="392" t="s">
        <v>751</v>
      </c>
      <c r="K81" s="340">
        <v>1.1148147735253788</v>
      </c>
      <c r="L81" s="392" t="s">
        <v>751</v>
      </c>
      <c r="M81" s="392" t="s">
        <v>751</v>
      </c>
      <c r="N81" s="392" t="s">
        <v>751</v>
      </c>
      <c r="O81" s="392" t="s">
        <v>751</v>
      </c>
      <c r="P81" s="392" t="s">
        <v>751</v>
      </c>
      <c r="Q81" s="392">
        <v>1.043906716495814</v>
      </c>
    </row>
    <row r="82" spans="3:17" ht="18.75" x14ac:dyDescent="0.4">
      <c r="C82" s="2567"/>
      <c r="D82" s="391" t="s">
        <v>772</v>
      </c>
      <c r="E82" s="392" t="s">
        <v>751</v>
      </c>
      <c r="F82" s="392" t="s">
        <v>751</v>
      </c>
      <c r="G82" s="340">
        <v>1.1934313538285277</v>
      </c>
      <c r="H82" s="340">
        <v>3.5258030016336219</v>
      </c>
      <c r="I82" s="392" t="s">
        <v>751</v>
      </c>
      <c r="J82" s="392" t="s">
        <v>751</v>
      </c>
      <c r="K82" s="340">
        <v>3.3729467186850006</v>
      </c>
      <c r="L82" s="392" t="s">
        <v>751</v>
      </c>
      <c r="M82" s="340">
        <v>1.0935774198134358</v>
      </c>
      <c r="N82" s="340">
        <v>1.2958067692945627</v>
      </c>
      <c r="O82" s="392" t="s">
        <v>751</v>
      </c>
      <c r="P82" s="392" t="s">
        <v>751</v>
      </c>
      <c r="Q82" s="392" t="s">
        <v>751</v>
      </c>
    </row>
    <row r="83" spans="3:17" ht="18.75" x14ac:dyDescent="0.4">
      <c r="C83" s="2567"/>
      <c r="D83" s="391" t="s">
        <v>773</v>
      </c>
      <c r="E83" s="392" t="s">
        <v>751</v>
      </c>
      <c r="F83" s="392" t="s">
        <v>751</v>
      </c>
      <c r="G83" s="392" t="s">
        <v>751</v>
      </c>
      <c r="H83" s="392" t="s">
        <v>751</v>
      </c>
      <c r="I83" s="392" t="s">
        <v>751</v>
      </c>
      <c r="J83" s="392" t="s">
        <v>751</v>
      </c>
      <c r="K83" s="392" t="s">
        <v>751</v>
      </c>
      <c r="L83" s="392" t="s">
        <v>751</v>
      </c>
      <c r="M83" s="392" t="s">
        <v>751</v>
      </c>
      <c r="N83" s="392" t="s">
        <v>751</v>
      </c>
      <c r="O83" s="392" t="s">
        <v>751</v>
      </c>
      <c r="P83" s="392" t="s">
        <v>751</v>
      </c>
      <c r="Q83" s="392" t="s">
        <v>751</v>
      </c>
    </row>
    <row r="84" spans="3:17" ht="18.75" x14ac:dyDescent="0.4">
      <c r="C84" s="2567"/>
      <c r="D84" s="391" t="s">
        <v>774</v>
      </c>
      <c r="E84" s="392" t="s">
        <v>751</v>
      </c>
      <c r="F84" s="392" t="s">
        <v>751</v>
      </c>
      <c r="G84" s="340">
        <v>3.7369207772795221</v>
      </c>
      <c r="H84" s="392" t="s">
        <v>751</v>
      </c>
      <c r="I84" s="392" t="s">
        <v>751</v>
      </c>
      <c r="J84" s="392" t="s">
        <v>751</v>
      </c>
      <c r="K84" s="392" t="s">
        <v>751</v>
      </c>
      <c r="L84" s="392" t="s">
        <v>751</v>
      </c>
      <c r="M84" s="392" t="s">
        <v>751</v>
      </c>
      <c r="N84" s="340">
        <v>3.4434075961571571</v>
      </c>
      <c r="O84" s="392" t="s">
        <v>751</v>
      </c>
      <c r="P84" s="392" t="s">
        <v>751</v>
      </c>
      <c r="Q84" s="392" t="s">
        <v>751</v>
      </c>
    </row>
    <row r="85" spans="3:17" ht="18.75" x14ac:dyDescent="0.4">
      <c r="C85" s="2567"/>
      <c r="D85" s="391" t="s">
        <v>775</v>
      </c>
      <c r="E85" s="392" t="s">
        <v>751</v>
      </c>
      <c r="F85" s="392" t="s">
        <v>751</v>
      </c>
      <c r="G85" s="392" t="s">
        <v>751</v>
      </c>
      <c r="H85" s="392" t="s">
        <v>751</v>
      </c>
      <c r="I85" s="392" t="s">
        <v>751</v>
      </c>
      <c r="J85" s="392" t="s">
        <v>751</v>
      </c>
      <c r="K85" s="392" t="s">
        <v>751</v>
      </c>
      <c r="L85" s="392" t="s">
        <v>751</v>
      </c>
      <c r="M85" s="392" t="s">
        <v>751</v>
      </c>
      <c r="N85" s="392" t="s">
        <v>751</v>
      </c>
      <c r="O85" s="392" t="s">
        <v>751</v>
      </c>
      <c r="P85" s="392" t="s">
        <v>751</v>
      </c>
      <c r="Q85" s="392" t="s">
        <v>751</v>
      </c>
    </row>
    <row r="86" spans="3:17" ht="18.75" x14ac:dyDescent="0.4">
      <c r="C86" s="2567"/>
      <c r="D86" s="391" t="s">
        <v>776</v>
      </c>
      <c r="E86" s="392" t="s">
        <v>751</v>
      </c>
      <c r="F86" s="392" t="s">
        <v>751</v>
      </c>
      <c r="G86" s="392" t="s">
        <v>751</v>
      </c>
      <c r="H86" s="340">
        <v>2.6687304849083291</v>
      </c>
      <c r="I86" s="392" t="s">
        <v>751</v>
      </c>
      <c r="J86" s="392" t="s">
        <v>751</v>
      </c>
      <c r="K86" s="392" t="s">
        <v>751</v>
      </c>
      <c r="L86" s="392" t="s">
        <v>751</v>
      </c>
      <c r="M86" s="340">
        <v>2.5</v>
      </c>
      <c r="N86" s="392" t="s">
        <v>751</v>
      </c>
      <c r="O86" s="392" t="s">
        <v>751</v>
      </c>
      <c r="P86" s="392" t="s">
        <v>751</v>
      </c>
      <c r="Q86" s="392" t="s">
        <v>751</v>
      </c>
    </row>
    <row r="87" spans="3:17" ht="18.75" x14ac:dyDescent="0.4">
      <c r="C87" s="2567"/>
      <c r="D87" s="391" t="s">
        <v>777</v>
      </c>
      <c r="E87" s="392" t="s">
        <v>751</v>
      </c>
      <c r="F87" s="392" t="s">
        <v>751</v>
      </c>
      <c r="G87" s="392" t="s">
        <v>751</v>
      </c>
      <c r="H87" s="340">
        <v>3.2626427406199023</v>
      </c>
      <c r="I87" s="392" t="s">
        <v>751</v>
      </c>
      <c r="J87" s="392" t="s">
        <v>751</v>
      </c>
      <c r="K87" s="392" t="s">
        <v>751</v>
      </c>
      <c r="L87" s="392" t="s">
        <v>751</v>
      </c>
      <c r="M87" s="392" t="s">
        <v>751</v>
      </c>
      <c r="N87" s="392" t="s">
        <v>751</v>
      </c>
      <c r="O87" s="392" t="s">
        <v>751</v>
      </c>
      <c r="P87" s="392" t="s">
        <v>751</v>
      </c>
      <c r="Q87" s="392" t="s">
        <v>751</v>
      </c>
    </row>
    <row r="88" spans="3:17" ht="18.75" x14ac:dyDescent="0.4">
      <c r="C88" s="2567"/>
      <c r="D88" s="391" t="s">
        <v>778</v>
      </c>
      <c r="E88" s="340">
        <v>4.8993189946597422</v>
      </c>
      <c r="F88" s="392" t="s">
        <v>751</v>
      </c>
      <c r="G88" s="340">
        <v>4.7424831641847671</v>
      </c>
      <c r="H88" s="392" t="s">
        <v>751</v>
      </c>
      <c r="I88" s="392" t="s">
        <v>751</v>
      </c>
      <c r="J88" s="392" t="s">
        <v>751</v>
      </c>
      <c r="K88" s="340">
        <v>4.4559308439533023</v>
      </c>
      <c r="L88" s="340">
        <v>4.3886597033266037</v>
      </c>
      <c r="M88" s="392" t="s">
        <v>751</v>
      </c>
      <c r="N88" s="392" t="s">
        <v>751</v>
      </c>
      <c r="O88" s="392" t="s">
        <v>751</v>
      </c>
      <c r="P88" s="392" t="s">
        <v>751</v>
      </c>
      <c r="Q88" s="392" t="s">
        <v>751</v>
      </c>
    </row>
    <row r="89" spans="3:17" ht="18.75" x14ac:dyDescent="0.4">
      <c r="C89" s="2567"/>
      <c r="D89" s="391" t="s">
        <v>779</v>
      </c>
      <c r="E89" s="340">
        <v>1.1844692393338545</v>
      </c>
      <c r="F89" s="340">
        <v>0.58131761450503716</v>
      </c>
      <c r="G89" s="392" t="s">
        <v>751</v>
      </c>
      <c r="H89" s="340">
        <v>1.1206993163734169</v>
      </c>
      <c r="I89" s="340">
        <v>0.55051528230423674</v>
      </c>
      <c r="J89" s="340">
        <v>1.0824678101134968</v>
      </c>
      <c r="K89" s="340">
        <v>1.5961437167802588</v>
      </c>
      <c r="L89" s="392" t="s">
        <v>751</v>
      </c>
      <c r="M89" s="392" t="s">
        <v>751</v>
      </c>
      <c r="N89" s="392" t="s">
        <v>751</v>
      </c>
      <c r="O89" s="392" t="s">
        <v>751</v>
      </c>
      <c r="P89" s="392" t="s">
        <v>751</v>
      </c>
      <c r="Q89" s="392">
        <v>0.48516604807995534</v>
      </c>
    </row>
    <row r="90" spans="3:17" ht="18.75" x14ac:dyDescent="0.4">
      <c r="C90" s="2567"/>
      <c r="D90" s="391" t="s">
        <v>780</v>
      </c>
      <c r="E90" s="392" t="s">
        <v>751</v>
      </c>
      <c r="F90" s="392" t="s">
        <v>751</v>
      </c>
      <c r="G90" s="340">
        <v>7.6740081344486226</v>
      </c>
      <c r="H90" s="340">
        <v>7.5671585319712449</v>
      </c>
      <c r="I90" s="392" t="s">
        <v>751</v>
      </c>
      <c r="J90" s="392" t="s">
        <v>751</v>
      </c>
      <c r="K90" s="392" t="s">
        <v>751</v>
      </c>
      <c r="L90" s="392" t="s">
        <v>751</v>
      </c>
      <c r="M90" s="392" t="s">
        <v>751</v>
      </c>
      <c r="N90" s="392" t="s">
        <v>751</v>
      </c>
      <c r="O90" s="392" t="s">
        <v>751</v>
      </c>
      <c r="P90" s="392" t="s">
        <v>751</v>
      </c>
      <c r="Q90" s="392" t="s">
        <v>751</v>
      </c>
    </row>
    <row r="91" spans="3:17" ht="18.75" x14ac:dyDescent="0.4">
      <c r="C91" s="2567"/>
      <c r="D91" s="391" t="s">
        <v>781</v>
      </c>
      <c r="E91" s="392" t="s">
        <v>751</v>
      </c>
      <c r="F91" s="392" t="s">
        <v>751</v>
      </c>
      <c r="G91" s="392" t="s">
        <v>751</v>
      </c>
      <c r="H91" s="392" t="s">
        <v>751</v>
      </c>
      <c r="I91" s="392" t="s">
        <v>751</v>
      </c>
      <c r="J91" s="392" t="s">
        <v>751</v>
      </c>
      <c r="K91" s="392" t="s">
        <v>751</v>
      </c>
      <c r="L91" s="392" t="s">
        <v>751</v>
      </c>
      <c r="M91" s="392" t="s">
        <v>751</v>
      </c>
      <c r="N91" s="392" t="s">
        <v>751</v>
      </c>
      <c r="O91" s="392" t="s">
        <v>751</v>
      </c>
      <c r="P91" s="392" t="s">
        <v>751</v>
      </c>
      <c r="Q91" s="392" t="s">
        <v>751</v>
      </c>
    </row>
    <row r="92" spans="3:17" ht="18.75" x14ac:dyDescent="0.4">
      <c r="C92" s="2567"/>
      <c r="D92" s="391" t="s">
        <v>782</v>
      </c>
      <c r="E92" s="340">
        <v>2.1449561356470261</v>
      </c>
      <c r="F92" s="392" t="s">
        <v>751</v>
      </c>
      <c r="G92" s="392" t="s">
        <v>751</v>
      </c>
      <c r="H92" s="392" t="s">
        <v>751</v>
      </c>
      <c r="I92" s="340">
        <v>2.0121938950037226</v>
      </c>
      <c r="J92" s="392" t="s">
        <v>751</v>
      </c>
      <c r="K92" s="392" t="s">
        <v>751</v>
      </c>
      <c r="L92" s="392" t="s">
        <v>751</v>
      </c>
      <c r="M92" s="392" t="s">
        <v>751</v>
      </c>
      <c r="N92" s="392" t="s">
        <v>751</v>
      </c>
      <c r="O92" s="392" t="s">
        <v>751</v>
      </c>
      <c r="P92" s="392" t="s">
        <v>751</v>
      </c>
      <c r="Q92" s="392" t="s">
        <v>751</v>
      </c>
    </row>
    <row r="93" spans="3:17" ht="18.75" x14ac:dyDescent="0.4">
      <c r="C93" s="2567"/>
      <c r="D93" s="391" t="s">
        <v>783</v>
      </c>
      <c r="E93" s="340">
        <v>3.7568562626793898</v>
      </c>
      <c r="F93" s="392" t="s">
        <v>751</v>
      </c>
      <c r="G93" s="392" t="s">
        <v>751</v>
      </c>
      <c r="H93" s="392" t="s">
        <v>751</v>
      </c>
      <c r="I93" s="392" t="s">
        <v>751</v>
      </c>
      <c r="J93" s="340">
        <v>3.325131342688036</v>
      </c>
      <c r="K93" s="340">
        <v>3.2451728054518907</v>
      </c>
      <c r="L93" s="392" t="s">
        <v>751</v>
      </c>
      <c r="M93" s="392" t="s">
        <v>751</v>
      </c>
      <c r="N93" s="340">
        <v>3.0309459582335645</v>
      </c>
      <c r="O93" s="392" t="s">
        <v>751</v>
      </c>
      <c r="P93" s="392" t="s">
        <v>751</v>
      </c>
      <c r="Q93" s="392" t="s">
        <v>751</v>
      </c>
    </row>
    <row r="94" spans="3:17" ht="18.75" x14ac:dyDescent="0.4">
      <c r="C94" s="2567"/>
      <c r="D94" s="391" t="s">
        <v>784</v>
      </c>
      <c r="E94" s="392" t="s">
        <v>751</v>
      </c>
      <c r="F94" s="392" t="s">
        <v>751</v>
      </c>
      <c r="G94" s="392" t="s">
        <v>751</v>
      </c>
      <c r="H94" s="392" t="s">
        <v>751</v>
      </c>
      <c r="I94" s="392" t="s">
        <v>751</v>
      </c>
      <c r="J94" s="392" t="s">
        <v>751</v>
      </c>
      <c r="K94" s="392" t="s">
        <v>751</v>
      </c>
      <c r="L94" s="392" t="s">
        <v>751</v>
      </c>
      <c r="M94" s="392" t="s">
        <v>751</v>
      </c>
      <c r="N94" s="392" t="s">
        <v>751</v>
      </c>
      <c r="O94" s="392" t="s">
        <v>751</v>
      </c>
      <c r="P94" s="392" t="s">
        <v>751</v>
      </c>
      <c r="Q94" s="392" t="s">
        <v>751</v>
      </c>
    </row>
    <row r="95" spans="3:17" ht="18.75" x14ac:dyDescent="0.4">
      <c r="C95" s="2567"/>
      <c r="D95" s="391" t="s">
        <v>785</v>
      </c>
      <c r="E95" s="392" t="s">
        <v>786</v>
      </c>
      <c r="F95" s="392" t="s">
        <v>786</v>
      </c>
      <c r="G95" s="392" t="s">
        <v>786</v>
      </c>
      <c r="H95" s="392" t="s">
        <v>786</v>
      </c>
      <c r="I95" s="392" t="s">
        <v>786</v>
      </c>
      <c r="J95" s="392" t="s">
        <v>786</v>
      </c>
      <c r="K95" s="392" t="s">
        <v>786</v>
      </c>
      <c r="L95" s="392" t="s">
        <v>786</v>
      </c>
      <c r="M95" s="392" t="s">
        <v>786</v>
      </c>
      <c r="N95" s="392" t="s">
        <v>751</v>
      </c>
      <c r="O95" s="392" t="s">
        <v>751</v>
      </c>
      <c r="P95" s="392" t="s">
        <v>751</v>
      </c>
      <c r="Q95" s="392" t="s">
        <v>751</v>
      </c>
    </row>
    <row r="96" spans="3:17" ht="18.75" x14ac:dyDescent="0.4">
      <c r="C96" s="2567" t="s">
        <v>330</v>
      </c>
      <c r="D96" s="391" t="s">
        <v>330</v>
      </c>
      <c r="E96" s="340">
        <v>3.9932381167889046</v>
      </c>
      <c r="F96" s="340">
        <v>0.65887437901089774</v>
      </c>
      <c r="G96" s="340">
        <v>1.9568705725803297</v>
      </c>
      <c r="H96" s="340">
        <v>0.6459030370360801</v>
      </c>
      <c r="I96" s="340">
        <v>0.63969294738525506</v>
      </c>
      <c r="J96" s="340">
        <v>3.1686882897955559</v>
      </c>
      <c r="K96" s="340">
        <v>1.2567392643048345</v>
      </c>
      <c r="L96" s="340">
        <v>0.62321992808042026</v>
      </c>
      <c r="M96" s="392" t="s">
        <v>751</v>
      </c>
      <c r="N96" s="340">
        <v>1.2274155538098979</v>
      </c>
      <c r="O96" s="392" t="s">
        <v>751</v>
      </c>
      <c r="P96" s="392" t="s">
        <v>751</v>
      </c>
      <c r="Q96" s="392" t="s">
        <v>751</v>
      </c>
    </row>
    <row r="97" spans="3:17" ht="18.75" x14ac:dyDescent="0.4">
      <c r="C97" s="2567"/>
      <c r="D97" s="391" t="s">
        <v>787</v>
      </c>
      <c r="E97" s="392" t="s">
        <v>751</v>
      </c>
      <c r="F97" s="392" t="s">
        <v>751</v>
      </c>
      <c r="G97" s="340">
        <v>1.7052915195852731</v>
      </c>
      <c r="H97" s="392" t="s">
        <v>751</v>
      </c>
      <c r="I97" s="340">
        <v>1.6705367434556722</v>
      </c>
      <c r="J97" s="340">
        <v>1.6543144520910535</v>
      </c>
      <c r="K97" s="340">
        <v>1.6398819285011481</v>
      </c>
      <c r="L97" s="392" t="s">
        <v>751</v>
      </c>
      <c r="M97" s="392" t="s">
        <v>751</v>
      </c>
      <c r="N97" s="392" t="s">
        <v>751</v>
      </c>
      <c r="O97" s="392" t="s">
        <v>751</v>
      </c>
      <c r="P97" s="392" t="s">
        <v>751</v>
      </c>
      <c r="Q97" s="392" t="s">
        <v>751</v>
      </c>
    </row>
    <row r="98" spans="3:17" ht="18.75" x14ac:dyDescent="0.4">
      <c r="C98" s="2567"/>
      <c r="D98" s="391" t="s">
        <v>788</v>
      </c>
      <c r="E98" s="340">
        <v>2.0030245670963156</v>
      </c>
      <c r="F98" s="340">
        <v>0.98819111616186561</v>
      </c>
      <c r="G98" s="340">
        <v>0.97530527054968197</v>
      </c>
      <c r="H98" s="392" t="s">
        <v>751</v>
      </c>
      <c r="I98" s="340">
        <v>1.9012491206722815</v>
      </c>
      <c r="J98" s="340">
        <v>2.8171659310733399</v>
      </c>
      <c r="K98" s="392" t="s">
        <v>751</v>
      </c>
      <c r="L98" s="392" t="s">
        <v>751</v>
      </c>
      <c r="M98" s="392" t="s">
        <v>751</v>
      </c>
      <c r="N98" s="392" t="s">
        <v>751</v>
      </c>
      <c r="O98" s="392" t="s">
        <v>751</v>
      </c>
      <c r="P98" s="392" t="s">
        <v>751</v>
      </c>
      <c r="Q98" s="392" t="s">
        <v>751</v>
      </c>
    </row>
    <row r="99" spans="3:17" ht="18.75" x14ac:dyDescent="0.4">
      <c r="C99" s="2567"/>
      <c r="D99" s="391" t="s">
        <v>789</v>
      </c>
      <c r="E99" s="392" t="s">
        <v>751</v>
      </c>
      <c r="F99" s="392" t="s">
        <v>751</v>
      </c>
      <c r="G99" s="392" t="s">
        <v>751</v>
      </c>
      <c r="H99" s="392" t="s">
        <v>751</v>
      </c>
      <c r="I99" s="392" t="s">
        <v>751</v>
      </c>
      <c r="J99" s="392" t="s">
        <v>751</v>
      </c>
      <c r="K99" s="392" t="s">
        <v>751</v>
      </c>
      <c r="L99" s="392" t="s">
        <v>751</v>
      </c>
      <c r="M99" s="340">
        <v>6.1519532451553367</v>
      </c>
      <c r="N99" s="392" t="s">
        <v>751</v>
      </c>
      <c r="O99" s="392" t="s">
        <v>751</v>
      </c>
      <c r="P99" s="392" t="s">
        <v>751</v>
      </c>
      <c r="Q99" s="392" t="s">
        <v>751</v>
      </c>
    </row>
    <row r="100" spans="3:17" ht="18.75" x14ac:dyDescent="0.4">
      <c r="C100" s="2567"/>
      <c r="D100" s="391" t="s">
        <v>790</v>
      </c>
      <c r="E100" s="340">
        <v>1.3795006207752794</v>
      </c>
      <c r="F100" s="340">
        <v>1.3768225688755489</v>
      </c>
      <c r="G100" s="392" t="s">
        <v>751</v>
      </c>
      <c r="H100" s="340">
        <v>4.1059892696813751</v>
      </c>
      <c r="I100" s="340">
        <v>2.7294066269992903</v>
      </c>
      <c r="J100" s="340">
        <v>4.084244346725117</v>
      </c>
      <c r="K100" s="392" t="s">
        <v>751</v>
      </c>
      <c r="L100" s="340">
        <v>2.7183146449201492</v>
      </c>
      <c r="M100" s="392" t="s">
        <v>751</v>
      </c>
      <c r="N100" s="392" t="s">
        <v>751</v>
      </c>
      <c r="O100" s="392" t="s">
        <v>751</v>
      </c>
      <c r="P100" s="392" t="s">
        <v>751</v>
      </c>
      <c r="Q100" s="392" t="s">
        <v>751</v>
      </c>
    </row>
    <row r="101" spans="3:17" ht="18.75" x14ac:dyDescent="0.4">
      <c r="C101" s="2567"/>
      <c r="D101" s="391" t="s">
        <v>791</v>
      </c>
      <c r="E101" s="392" t="s">
        <v>751</v>
      </c>
      <c r="F101" s="340">
        <v>13.984058173682003</v>
      </c>
      <c r="G101" s="392" t="s">
        <v>751</v>
      </c>
      <c r="H101" s="392" t="s">
        <v>751</v>
      </c>
      <c r="I101" s="340">
        <v>6.7957866123003736</v>
      </c>
      <c r="J101" s="392" t="s">
        <v>751</v>
      </c>
      <c r="K101" s="392" t="s">
        <v>751</v>
      </c>
      <c r="L101" s="392" t="s">
        <v>751</v>
      </c>
      <c r="M101" s="392" t="s">
        <v>751</v>
      </c>
      <c r="N101" s="392" t="s">
        <v>751</v>
      </c>
      <c r="O101" s="392" t="s">
        <v>751</v>
      </c>
      <c r="P101" s="392" t="s">
        <v>751</v>
      </c>
      <c r="Q101" s="392">
        <v>6.404098623118796</v>
      </c>
    </row>
    <row r="102" spans="3:17" ht="18.75" x14ac:dyDescent="0.4">
      <c r="C102" s="2567"/>
      <c r="D102" s="391" t="s">
        <v>792</v>
      </c>
      <c r="E102" s="392" t="s">
        <v>751</v>
      </c>
      <c r="F102" s="340">
        <v>2.1675047685104909</v>
      </c>
      <c r="G102" s="392" t="s">
        <v>751</v>
      </c>
      <c r="H102" s="392" t="s">
        <v>751</v>
      </c>
      <c r="I102" s="340">
        <v>4.2060988433228186</v>
      </c>
      <c r="J102" s="340">
        <v>4.1659723379436766</v>
      </c>
      <c r="K102" s="392" t="s">
        <v>751</v>
      </c>
      <c r="L102" s="392" t="s">
        <v>751</v>
      </c>
      <c r="M102" s="392" t="s">
        <v>751</v>
      </c>
      <c r="N102" s="392" t="s">
        <v>751</v>
      </c>
      <c r="O102" s="392" t="s">
        <v>751</v>
      </c>
      <c r="P102" s="392" t="s">
        <v>751</v>
      </c>
      <c r="Q102" s="392" t="s">
        <v>751</v>
      </c>
    </row>
    <row r="103" spans="3:17" ht="18.75" x14ac:dyDescent="0.4">
      <c r="C103" s="2567"/>
      <c r="D103" s="391" t="s">
        <v>793</v>
      </c>
      <c r="E103" s="392" t="s">
        <v>751</v>
      </c>
      <c r="F103" s="340">
        <v>2.3543815039789049</v>
      </c>
      <c r="G103" s="340">
        <v>2.3289394009967861</v>
      </c>
      <c r="H103" s="340">
        <v>2.3033513762524476</v>
      </c>
      <c r="I103" s="392" t="s">
        <v>751</v>
      </c>
      <c r="J103" s="392" t="s">
        <v>751</v>
      </c>
      <c r="K103" s="392" t="s">
        <v>751</v>
      </c>
      <c r="L103" s="392" t="s">
        <v>751</v>
      </c>
      <c r="M103" s="392" t="s">
        <v>751</v>
      </c>
      <c r="N103" s="392" t="s">
        <v>751</v>
      </c>
      <c r="O103" s="392" t="s">
        <v>751</v>
      </c>
      <c r="P103" s="392" t="s">
        <v>751</v>
      </c>
      <c r="Q103" s="392" t="s">
        <v>751</v>
      </c>
    </row>
    <row r="104" spans="3:17" ht="18.75" x14ac:dyDescent="0.4">
      <c r="C104" s="2570" t="s">
        <v>331</v>
      </c>
      <c r="D104" s="391" t="s">
        <v>331</v>
      </c>
      <c r="E104" s="340">
        <v>0.78833889112251587</v>
      </c>
      <c r="F104" s="340">
        <v>1.5558632707357676</v>
      </c>
      <c r="G104" s="340">
        <v>0.7677778972098952</v>
      </c>
      <c r="H104" s="340">
        <v>1.5159209598811518</v>
      </c>
      <c r="I104" s="340">
        <v>0.74842456628796383</v>
      </c>
      <c r="J104" s="340">
        <v>1.4782840079236024</v>
      </c>
      <c r="K104" s="340">
        <v>0.73020416508455765</v>
      </c>
      <c r="L104" s="392" t="s">
        <v>751</v>
      </c>
      <c r="M104" s="392" t="s">
        <v>751</v>
      </c>
      <c r="N104" s="340">
        <v>0.70580097824015586</v>
      </c>
      <c r="O104" s="392" t="s">
        <v>751</v>
      </c>
      <c r="P104" s="392" t="s">
        <v>751</v>
      </c>
      <c r="Q104" s="392" t="s">
        <v>751</v>
      </c>
    </row>
    <row r="105" spans="3:17" ht="18.75" x14ac:dyDescent="0.4">
      <c r="C105" s="2570"/>
      <c r="D105" s="391" t="s">
        <v>794</v>
      </c>
      <c r="E105" s="340">
        <v>2.4737167594310452</v>
      </c>
      <c r="F105" s="392" t="s">
        <v>751</v>
      </c>
      <c r="G105" s="392" t="s">
        <v>751</v>
      </c>
      <c r="H105" s="392" t="s">
        <v>751</v>
      </c>
      <c r="I105" s="392" t="s">
        <v>751</v>
      </c>
      <c r="J105" s="340">
        <v>2.2843567251461989</v>
      </c>
      <c r="K105" s="340">
        <v>2.2497693986366398</v>
      </c>
      <c r="L105" s="340">
        <v>2.2169999556600009</v>
      </c>
      <c r="M105" s="392" t="s">
        <v>751</v>
      </c>
      <c r="N105" s="392" t="s">
        <v>751</v>
      </c>
      <c r="O105" s="392" t="s">
        <v>751</v>
      </c>
      <c r="P105" s="392" t="s">
        <v>751</v>
      </c>
      <c r="Q105" s="392" t="s">
        <v>751</v>
      </c>
    </row>
    <row r="106" spans="3:17" ht="18.75" x14ac:dyDescent="0.4">
      <c r="C106" s="2570"/>
      <c r="D106" s="391" t="s">
        <v>795</v>
      </c>
      <c r="E106" s="340">
        <v>2.2707661565012036</v>
      </c>
      <c r="F106" s="340">
        <v>2.2447192978518036</v>
      </c>
      <c r="G106" s="340">
        <v>2.2180326050792947</v>
      </c>
      <c r="H106" s="392" t="s">
        <v>751</v>
      </c>
      <c r="I106" s="340">
        <v>2.1663308853794327</v>
      </c>
      <c r="J106" s="392" t="s">
        <v>751</v>
      </c>
      <c r="K106" s="340">
        <v>4.2372881355932206</v>
      </c>
      <c r="L106" s="392" t="s">
        <v>751</v>
      </c>
      <c r="M106" s="392" t="s">
        <v>751</v>
      </c>
      <c r="N106" s="392" t="s">
        <v>751</v>
      </c>
      <c r="O106" s="392" t="s">
        <v>751</v>
      </c>
      <c r="P106" s="392" t="s">
        <v>751</v>
      </c>
      <c r="Q106" s="392" t="s">
        <v>751</v>
      </c>
    </row>
    <row r="107" spans="3:17" ht="18.75" x14ac:dyDescent="0.4">
      <c r="C107" s="2570"/>
      <c r="D107" s="391" t="s">
        <v>796</v>
      </c>
      <c r="E107" s="392" t="s">
        <v>751</v>
      </c>
      <c r="F107" s="392" t="s">
        <v>751</v>
      </c>
      <c r="G107" s="392" t="s">
        <v>751</v>
      </c>
      <c r="H107" s="392" t="s">
        <v>751</v>
      </c>
      <c r="I107" s="392" t="s">
        <v>751</v>
      </c>
      <c r="J107" s="392" t="s">
        <v>751</v>
      </c>
      <c r="K107" s="392" t="s">
        <v>751</v>
      </c>
      <c r="L107" s="392" t="s">
        <v>751</v>
      </c>
      <c r="M107" s="392" t="s">
        <v>751</v>
      </c>
      <c r="N107" s="340">
        <v>2.3692191053828657</v>
      </c>
      <c r="O107" s="392" t="s">
        <v>751</v>
      </c>
      <c r="P107" s="392" t="s">
        <v>751</v>
      </c>
      <c r="Q107" s="392" t="s">
        <v>751</v>
      </c>
    </row>
    <row r="108" spans="3:17" ht="18.75" x14ac:dyDescent="0.4">
      <c r="C108" s="2570"/>
      <c r="D108" s="391" t="s">
        <v>797</v>
      </c>
      <c r="E108" s="392" t="s">
        <v>751</v>
      </c>
      <c r="F108" s="392" t="s">
        <v>751</v>
      </c>
      <c r="G108" s="392" t="s">
        <v>751</v>
      </c>
      <c r="H108" s="392" t="s">
        <v>751</v>
      </c>
      <c r="I108" s="392" t="s">
        <v>751</v>
      </c>
      <c r="J108" s="340">
        <v>1.9328900572135455</v>
      </c>
      <c r="K108" s="392" t="s">
        <v>751</v>
      </c>
      <c r="L108" s="392" t="s">
        <v>751</v>
      </c>
      <c r="M108" s="392" t="s">
        <v>751</v>
      </c>
      <c r="N108" s="392" t="s">
        <v>751</v>
      </c>
      <c r="O108" s="392" t="s">
        <v>751</v>
      </c>
      <c r="P108" s="392" t="s">
        <v>751</v>
      </c>
      <c r="Q108" s="392" t="s">
        <v>751</v>
      </c>
    </row>
    <row r="109" spans="3:17" ht="18.75" x14ac:dyDescent="0.4">
      <c r="C109" s="2570"/>
      <c r="D109" s="391" t="s">
        <v>798</v>
      </c>
      <c r="E109" s="392" t="s">
        <v>751</v>
      </c>
      <c r="F109" s="340">
        <v>4.7908781679681889</v>
      </c>
      <c r="G109" s="392" t="s">
        <v>751</v>
      </c>
      <c r="H109" s="392" t="s">
        <v>751</v>
      </c>
      <c r="I109" s="392" t="s">
        <v>751</v>
      </c>
      <c r="J109" s="392" t="s">
        <v>751</v>
      </c>
      <c r="K109" s="340">
        <v>4.4949880882815654</v>
      </c>
      <c r="L109" s="392" t="s">
        <v>751</v>
      </c>
      <c r="M109" s="392" t="s">
        <v>751</v>
      </c>
      <c r="N109" s="340">
        <v>4.3485823621499389</v>
      </c>
      <c r="O109" s="392" t="s">
        <v>751</v>
      </c>
      <c r="P109" s="392" t="s">
        <v>751</v>
      </c>
      <c r="Q109" s="392" t="s">
        <v>751</v>
      </c>
    </row>
    <row r="110" spans="3:17" ht="18.75" x14ac:dyDescent="0.4">
      <c r="C110" s="2570"/>
      <c r="D110" s="391" t="s">
        <v>799</v>
      </c>
      <c r="E110" s="392" t="s">
        <v>751</v>
      </c>
      <c r="F110" s="392" t="s">
        <v>751</v>
      </c>
      <c r="G110" s="340">
        <v>4.0859687831984965</v>
      </c>
      <c r="H110" s="340">
        <v>4.040240798351582</v>
      </c>
      <c r="I110" s="392" t="s">
        <v>751</v>
      </c>
      <c r="J110" s="392" t="s">
        <v>751</v>
      </c>
      <c r="K110" s="392" t="s">
        <v>751</v>
      </c>
      <c r="L110" s="392" t="s">
        <v>751</v>
      </c>
      <c r="M110" s="392" t="s">
        <v>751</v>
      </c>
      <c r="N110" s="392" t="s">
        <v>751</v>
      </c>
      <c r="O110" s="392" t="s">
        <v>751</v>
      </c>
      <c r="P110" s="392" t="s">
        <v>751</v>
      </c>
      <c r="Q110" s="392" t="s">
        <v>751</v>
      </c>
    </row>
    <row r="111" spans="3:17" ht="18.75" x14ac:dyDescent="0.4">
      <c r="C111" s="2570"/>
      <c r="D111" s="391" t="s">
        <v>800</v>
      </c>
      <c r="E111" s="392" t="s">
        <v>751</v>
      </c>
      <c r="F111" s="340">
        <v>4.518957024718695</v>
      </c>
      <c r="G111" s="392" t="s">
        <v>751</v>
      </c>
      <c r="H111" s="392" t="s">
        <v>751</v>
      </c>
      <c r="I111" s="392" t="s">
        <v>751</v>
      </c>
      <c r="J111" s="340">
        <v>8.5375224109963277</v>
      </c>
      <c r="K111" s="392" t="s">
        <v>751</v>
      </c>
      <c r="L111" s="392" t="s">
        <v>751</v>
      </c>
      <c r="M111" s="392" t="s">
        <v>751</v>
      </c>
      <c r="N111" s="392" t="s">
        <v>751</v>
      </c>
      <c r="O111" s="392" t="s">
        <v>751</v>
      </c>
      <c r="P111" s="392" t="s">
        <v>751</v>
      </c>
      <c r="Q111" s="392" t="s">
        <v>751</v>
      </c>
    </row>
    <row r="112" spans="3:17" ht="18.75" x14ac:dyDescent="0.4">
      <c r="C112" s="2570"/>
      <c r="D112" s="391" t="s">
        <v>801</v>
      </c>
      <c r="E112" s="340">
        <v>3.4789869190091847</v>
      </c>
      <c r="F112" s="392" t="s">
        <v>751</v>
      </c>
      <c r="G112" s="392" t="s">
        <v>751</v>
      </c>
      <c r="H112" s="392" t="s">
        <v>751</v>
      </c>
      <c r="I112" s="340">
        <v>3.3479527269074962</v>
      </c>
      <c r="J112" s="392" t="s">
        <v>751</v>
      </c>
      <c r="K112" s="392" t="s">
        <v>751</v>
      </c>
      <c r="L112" s="340">
        <v>3.2694696920159552</v>
      </c>
      <c r="M112" s="392" t="s">
        <v>751</v>
      </c>
      <c r="N112" s="392" t="s">
        <v>751</v>
      </c>
      <c r="O112" s="392" t="s">
        <v>751</v>
      </c>
      <c r="P112" s="392" t="s">
        <v>751</v>
      </c>
      <c r="Q112" s="392">
        <v>3.1726894888797235</v>
      </c>
    </row>
    <row r="113" spans="3:17" ht="18.75" x14ac:dyDescent="0.4">
      <c r="C113" s="2570"/>
      <c r="D113" s="391" t="s">
        <v>802</v>
      </c>
      <c r="E113" s="392" t="s">
        <v>751</v>
      </c>
      <c r="F113" s="340">
        <v>1.5506760947773228</v>
      </c>
      <c r="G113" s="340">
        <v>1.5057292999864484</v>
      </c>
      <c r="H113" s="392" t="s">
        <v>751</v>
      </c>
      <c r="I113" s="392" t="s">
        <v>751</v>
      </c>
      <c r="J113" s="392" t="s">
        <v>751</v>
      </c>
      <c r="K113" s="340">
        <v>1.344194424281528</v>
      </c>
      <c r="L113" s="392" t="s">
        <v>751</v>
      </c>
      <c r="M113" s="392" t="s">
        <v>751</v>
      </c>
      <c r="N113" s="392" t="s">
        <v>751</v>
      </c>
      <c r="O113" s="392" t="s">
        <v>751</v>
      </c>
      <c r="P113" s="392" t="s">
        <v>751</v>
      </c>
      <c r="Q113" s="392" t="s">
        <v>751</v>
      </c>
    </row>
    <row r="114" spans="3:17" ht="18.75" x14ac:dyDescent="0.4">
      <c r="C114" s="2570" t="s">
        <v>332</v>
      </c>
      <c r="D114" s="391" t="s">
        <v>803</v>
      </c>
      <c r="E114" s="392" t="s">
        <v>751</v>
      </c>
      <c r="F114" s="392" t="s">
        <v>751</v>
      </c>
      <c r="G114" s="340">
        <v>1.5122873345935728</v>
      </c>
      <c r="H114" s="340">
        <v>2.9645879963832029</v>
      </c>
      <c r="I114" s="392" t="s">
        <v>751</v>
      </c>
      <c r="J114" s="340">
        <v>1.4263707422833343</v>
      </c>
      <c r="K114" s="340">
        <v>1.3980539089587294</v>
      </c>
      <c r="L114" s="392" t="s">
        <v>751</v>
      </c>
      <c r="M114" s="392" t="s">
        <v>751</v>
      </c>
      <c r="N114" s="340">
        <v>1.3220518244315178</v>
      </c>
      <c r="O114" s="392" t="s">
        <v>751</v>
      </c>
      <c r="P114" s="392" t="s">
        <v>751</v>
      </c>
      <c r="Q114" s="392" t="s">
        <v>751</v>
      </c>
    </row>
    <row r="115" spans="3:17" ht="18.75" x14ac:dyDescent="0.4">
      <c r="C115" s="2570"/>
      <c r="D115" s="391" t="s">
        <v>804</v>
      </c>
      <c r="E115" s="392" t="s">
        <v>751</v>
      </c>
      <c r="F115" s="340">
        <v>1.946623581398065</v>
      </c>
      <c r="G115" s="392" t="s">
        <v>751</v>
      </c>
      <c r="H115" s="340">
        <v>3.801847697981219</v>
      </c>
      <c r="I115" s="340">
        <v>1.8792753514244906</v>
      </c>
      <c r="J115" s="392" t="s">
        <v>751</v>
      </c>
      <c r="K115" s="340">
        <v>1.8383704684167954</v>
      </c>
      <c r="L115" s="392" t="s">
        <v>751</v>
      </c>
      <c r="M115" s="392" t="s">
        <v>751</v>
      </c>
      <c r="N115" s="392" t="s">
        <v>751</v>
      </c>
      <c r="O115" s="392" t="s">
        <v>751</v>
      </c>
      <c r="P115" s="392" t="s">
        <v>751</v>
      </c>
      <c r="Q115" s="392" t="s">
        <v>751</v>
      </c>
    </row>
    <row r="116" spans="3:17" ht="18.75" x14ac:dyDescent="0.4">
      <c r="C116" s="2570"/>
      <c r="D116" s="391" t="s">
        <v>805</v>
      </c>
      <c r="E116" s="392" t="s">
        <v>751</v>
      </c>
      <c r="F116" s="340">
        <v>6.8838522036931868</v>
      </c>
      <c r="G116" s="340">
        <v>3.3728519149366747</v>
      </c>
      <c r="H116" s="392" t="s">
        <v>751</v>
      </c>
      <c r="I116" s="340">
        <v>1.6205879493080091</v>
      </c>
      <c r="J116" s="340">
        <v>4.770082045411181</v>
      </c>
      <c r="K116" s="340">
        <v>3.1192488848685236</v>
      </c>
      <c r="L116" s="340">
        <v>3.0606779401637465</v>
      </c>
      <c r="M116" s="392" t="s">
        <v>751</v>
      </c>
      <c r="N116" s="392" t="s">
        <v>751</v>
      </c>
      <c r="O116" s="392" t="s">
        <v>751</v>
      </c>
      <c r="P116" s="392" t="s">
        <v>751</v>
      </c>
      <c r="Q116" s="392" t="s">
        <v>751</v>
      </c>
    </row>
    <row r="117" spans="3:17" ht="18.75" x14ac:dyDescent="0.4">
      <c r="C117" s="2570"/>
      <c r="D117" s="391" t="s">
        <v>806</v>
      </c>
      <c r="E117" s="340">
        <v>4.8868689830425645</v>
      </c>
      <c r="F117" s="392" t="s">
        <v>751</v>
      </c>
      <c r="G117" s="392" t="s">
        <v>751</v>
      </c>
      <c r="H117" s="392" t="s">
        <v>751</v>
      </c>
      <c r="I117" s="392" t="s">
        <v>751</v>
      </c>
      <c r="J117" s="340">
        <v>4.4841038518452088</v>
      </c>
      <c r="K117" s="340">
        <v>13.228679777758181</v>
      </c>
      <c r="L117" s="392" t="s">
        <v>751</v>
      </c>
      <c r="M117" s="392" t="s">
        <v>751</v>
      </c>
      <c r="N117" s="392" t="s">
        <v>751</v>
      </c>
      <c r="O117" s="392" t="s">
        <v>751</v>
      </c>
      <c r="P117" s="392" t="s">
        <v>751</v>
      </c>
      <c r="Q117" s="392" t="s">
        <v>751</v>
      </c>
    </row>
    <row r="118" spans="3:17" ht="18.75" x14ac:dyDescent="0.4">
      <c r="C118" s="2570"/>
      <c r="D118" s="391" t="s">
        <v>807</v>
      </c>
      <c r="E118" s="392" t="s">
        <v>751</v>
      </c>
      <c r="F118" s="340">
        <v>2.626878217925817</v>
      </c>
      <c r="G118" s="340">
        <v>2.5709584533113947</v>
      </c>
      <c r="H118" s="392" t="s">
        <v>751</v>
      </c>
      <c r="I118" s="392" t="s">
        <v>751</v>
      </c>
      <c r="J118" s="392" t="s">
        <v>751</v>
      </c>
      <c r="K118" s="340">
        <v>4.7253396337861782</v>
      </c>
      <c r="L118" s="340">
        <v>2.3120852697047467</v>
      </c>
      <c r="M118" s="340">
        <v>2.2646466018977738</v>
      </c>
      <c r="N118" s="340">
        <v>2.2199036561813217</v>
      </c>
      <c r="O118" s="392" t="s">
        <v>751</v>
      </c>
      <c r="P118" s="392" t="s">
        <v>751</v>
      </c>
      <c r="Q118" s="392" t="s">
        <v>751</v>
      </c>
    </row>
    <row r="119" spans="3:17" ht="18.75" x14ac:dyDescent="0.4">
      <c r="C119" s="2570"/>
      <c r="D119" s="391" t="s">
        <v>808</v>
      </c>
      <c r="E119" s="392" t="s">
        <v>751</v>
      </c>
      <c r="F119" s="392" t="s">
        <v>751</v>
      </c>
      <c r="G119" s="340">
        <v>3.3751856352099363</v>
      </c>
      <c r="H119" s="392" t="s">
        <v>751</v>
      </c>
      <c r="I119" s="392" t="s">
        <v>751</v>
      </c>
      <c r="J119" s="392" t="s">
        <v>751</v>
      </c>
      <c r="K119" s="392" t="s">
        <v>751</v>
      </c>
      <c r="L119" s="392" t="s">
        <v>751</v>
      </c>
      <c r="M119" s="392" t="s">
        <v>751</v>
      </c>
      <c r="N119" s="392" t="s">
        <v>751</v>
      </c>
      <c r="O119" s="392" t="s">
        <v>751</v>
      </c>
      <c r="P119" s="392" t="s">
        <v>751</v>
      </c>
      <c r="Q119" s="392" t="s">
        <v>751</v>
      </c>
    </row>
    <row r="120" spans="3:17" ht="18.75" x14ac:dyDescent="0.4">
      <c r="C120" s="2570"/>
      <c r="D120" s="391" t="s">
        <v>809</v>
      </c>
      <c r="E120" s="392" t="s">
        <v>751</v>
      </c>
      <c r="F120" s="340">
        <v>5.4019014693171998</v>
      </c>
      <c r="G120" s="392" t="s">
        <v>751</v>
      </c>
      <c r="H120" s="392" t="s">
        <v>751</v>
      </c>
      <c r="I120" s="340">
        <v>5.2408154708872701</v>
      </c>
      <c r="J120" s="340">
        <v>5.1904910204505343</v>
      </c>
      <c r="K120" s="392" t="s">
        <v>751</v>
      </c>
      <c r="L120" s="392" t="s">
        <v>751</v>
      </c>
      <c r="M120" s="392" t="s">
        <v>751</v>
      </c>
      <c r="N120" s="392" t="s">
        <v>751</v>
      </c>
      <c r="O120" s="392" t="s">
        <v>751</v>
      </c>
      <c r="P120" s="392" t="s">
        <v>751</v>
      </c>
      <c r="Q120" s="392" t="s">
        <v>751</v>
      </c>
    </row>
    <row r="121" spans="3:17" ht="18.75" x14ac:dyDescent="0.4">
      <c r="C121" s="2570"/>
      <c r="D121" s="391" t="s">
        <v>810</v>
      </c>
      <c r="E121" s="340">
        <v>4.9478007025877</v>
      </c>
      <c r="F121" s="392" t="s">
        <v>751</v>
      </c>
      <c r="G121" s="392" t="s">
        <v>751</v>
      </c>
      <c r="H121" s="392" t="s">
        <v>751</v>
      </c>
      <c r="I121" s="392" t="s">
        <v>751</v>
      </c>
      <c r="J121" s="340">
        <v>9.5025419299662666</v>
      </c>
      <c r="K121" s="392" t="s">
        <v>751</v>
      </c>
      <c r="L121" s="392" t="s">
        <v>751</v>
      </c>
      <c r="M121" s="392" t="s">
        <v>751</v>
      </c>
      <c r="N121" s="392" t="s">
        <v>751</v>
      </c>
      <c r="O121" s="392" t="s">
        <v>751</v>
      </c>
      <c r="P121" s="392" t="s">
        <v>751</v>
      </c>
      <c r="Q121" s="392" t="s">
        <v>751</v>
      </c>
    </row>
    <row r="122" spans="3:17" ht="18.75" x14ac:dyDescent="0.4">
      <c r="C122" s="2570"/>
      <c r="D122" s="391" t="s">
        <v>811</v>
      </c>
      <c r="E122" s="392" t="s">
        <v>751</v>
      </c>
      <c r="F122" s="392" t="s">
        <v>751</v>
      </c>
      <c r="G122" s="340">
        <v>17.599436818021822</v>
      </c>
      <c r="H122" s="392" t="s">
        <v>751</v>
      </c>
      <c r="I122" s="392" t="s">
        <v>751</v>
      </c>
      <c r="J122" s="340">
        <v>8.6251509401414523</v>
      </c>
      <c r="K122" s="392" t="s">
        <v>751</v>
      </c>
      <c r="L122" s="392" t="s">
        <v>751</v>
      </c>
      <c r="M122" s="392" t="s">
        <v>751</v>
      </c>
      <c r="N122" s="392" t="s">
        <v>751</v>
      </c>
      <c r="O122" s="392" t="s">
        <v>751</v>
      </c>
      <c r="P122" s="392" t="s">
        <v>751</v>
      </c>
      <c r="Q122" s="392" t="s">
        <v>751</v>
      </c>
    </row>
    <row r="123" spans="3:17" ht="18.75" x14ac:dyDescent="0.4">
      <c r="C123" s="2570"/>
      <c r="D123" s="391" t="s">
        <v>812</v>
      </c>
      <c r="E123" s="340">
        <v>9.020792927698345</v>
      </c>
      <c r="F123" s="392" t="s">
        <v>751</v>
      </c>
      <c r="G123" s="392" t="s">
        <v>751</v>
      </c>
      <c r="H123" s="392" t="s">
        <v>751</v>
      </c>
      <c r="I123" s="392" t="s">
        <v>751</v>
      </c>
      <c r="J123" s="340">
        <v>4.0708324852432325</v>
      </c>
      <c r="K123" s="392" t="s">
        <v>751</v>
      </c>
      <c r="L123" s="340">
        <v>7.81646930081682</v>
      </c>
      <c r="M123" s="392" t="s">
        <v>751</v>
      </c>
      <c r="N123" s="392" t="s">
        <v>751</v>
      </c>
      <c r="O123" s="392" t="s">
        <v>751</v>
      </c>
      <c r="P123" s="392" t="s">
        <v>751</v>
      </c>
      <c r="Q123" s="392" t="s">
        <v>751</v>
      </c>
    </row>
    <row r="124" spans="3:17" ht="18.75" x14ac:dyDescent="0.4">
      <c r="C124" s="2570"/>
      <c r="D124" s="391" t="s">
        <v>813</v>
      </c>
      <c r="E124" s="392" t="s">
        <v>751</v>
      </c>
      <c r="F124" s="392" t="s">
        <v>751</v>
      </c>
      <c r="G124" s="392" t="s">
        <v>751</v>
      </c>
      <c r="H124" s="392" t="s">
        <v>751</v>
      </c>
      <c r="I124" s="392" t="s">
        <v>751</v>
      </c>
      <c r="J124" s="392" t="s">
        <v>751</v>
      </c>
      <c r="K124" s="392" t="s">
        <v>751</v>
      </c>
      <c r="L124" s="392" t="s">
        <v>751</v>
      </c>
      <c r="M124" s="392" t="s">
        <v>751</v>
      </c>
      <c r="N124" s="392" t="s">
        <v>751</v>
      </c>
      <c r="O124" s="392" t="s">
        <v>751</v>
      </c>
      <c r="P124" s="392" t="s">
        <v>751</v>
      </c>
      <c r="Q124" s="392" t="s">
        <v>751</v>
      </c>
    </row>
    <row r="125" spans="3:17" ht="18.75" x14ac:dyDescent="0.4">
      <c r="C125" s="2567" t="s">
        <v>533</v>
      </c>
      <c r="D125" s="391" t="s">
        <v>533</v>
      </c>
      <c r="E125" s="340">
        <v>0.8292974192264313</v>
      </c>
      <c r="F125" s="340">
        <v>0.81609336108050756</v>
      </c>
      <c r="G125" s="340">
        <v>3.2123353678123996</v>
      </c>
      <c r="H125" s="340">
        <v>0.79042010828755493</v>
      </c>
      <c r="I125" s="340">
        <v>2.3346121820063654</v>
      </c>
      <c r="J125" s="340">
        <v>0.76650672226395422</v>
      </c>
      <c r="K125" s="340">
        <v>1.5101177891875568</v>
      </c>
      <c r="L125" s="340">
        <v>2.2321428571428572</v>
      </c>
      <c r="M125" s="392" t="s">
        <v>751</v>
      </c>
      <c r="N125" s="392" t="s">
        <v>751</v>
      </c>
      <c r="O125" s="340">
        <v>0.71376568500092785</v>
      </c>
      <c r="P125" s="392" t="s">
        <v>751</v>
      </c>
      <c r="Q125" s="392" t="s">
        <v>751</v>
      </c>
    </row>
    <row r="126" spans="3:17" ht="18.75" x14ac:dyDescent="0.4">
      <c r="C126" s="2567"/>
      <c r="D126" s="391" t="s">
        <v>814</v>
      </c>
      <c r="E126" s="340">
        <v>6.1370401055570909</v>
      </c>
      <c r="F126" s="392" t="s">
        <v>751</v>
      </c>
      <c r="G126" s="340">
        <v>2.9670068834559697</v>
      </c>
      <c r="H126" s="340">
        <v>2.9162170831996734</v>
      </c>
      <c r="I126" s="340">
        <v>8.6053582697492974</v>
      </c>
      <c r="J126" s="392" t="s">
        <v>751</v>
      </c>
      <c r="K126" s="392" t="s">
        <v>751</v>
      </c>
      <c r="L126" s="392" t="s">
        <v>751</v>
      </c>
      <c r="M126" s="392" t="s">
        <v>751</v>
      </c>
      <c r="N126" s="392" t="s">
        <v>751</v>
      </c>
      <c r="O126" s="392" t="s">
        <v>751</v>
      </c>
      <c r="P126" s="392" t="s">
        <v>751</v>
      </c>
      <c r="Q126" s="392" t="s">
        <v>751</v>
      </c>
    </row>
    <row r="127" spans="3:17" ht="18.75" x14ac:dyDescent="0.4">
      <c r="C127" s="2567"/>
      <c r="D127" s="391" t="s">
        <v>815</v>
      </c>
      <c r="E127" s="392" t="s">
        <v>751</v>
      </c>
      <c r="F127" s="392" t="s">
        <v>751</v>
      </c>
      <c r="G127" s="392" t="s">
        <v>751</v>
      </c>
      <c r="H127" s="340">
        <v>4.1062702747094812</v>
      </c>
      <c r="I127" s="340">
        <v>2.0244144381237725</v>
      </c>
      <c r="J127" s="392" t="s">
        <v>751</v>
      </c>
      <c r="K127" s="392" t="s">
        <v>751</v>
      </c>
      <c r="L127" s="392" t="s">
        <v>751</v>
      </c>
      <c r="M127" s="392" t="s">
        <v>751</v>
      </c>
      <c r="N127" s="392" t="s">
        <v>751</v>
      </c>
      <c r="O127" s="392" t="s">
        <v>751</v>
      </c>
      <c r="P127" s="392" t="s">
        <v>751</v>
      </c>
      <c r="Q127" s="392" t="s">
        <v>751</v>
      </c>
    </row>
    <row r="128" spans="3:17" ht="18.75" x14ac:dyDescent="0.4">
      <c r="C128" s="2567"/>
      <c r="D128" s="391" t="s">
        <v>816</v>
      </c>
      <c r="E128" s="392" t="s">
        <v>751</v>
      </c>
      <c r="F128" s="392" t="s">
        <v>751</v>
      </c>
      <c r="G128" s="392" t="s">
        <v>751</v>
      </c>
      <c r="H128" s="340">
        <v>15.084093823063579</v>
      </c>
      <c r="I128" s="392" t="s">
        <v>751</v>
      </c>
      <c r="J128" s="392" t="s">
        <v>751</v>
      </c>
      <c r="K128" s="392" t="s">
        <v>751</v>
      </c>
      <c r="L128" s="340">
        <v>7.2009793331893137</v>
      </c>
      <c r="M128" s="392" t="s">
        <v>751</v>
      </c>
      <c r="N128" s="392" t="s">
        <v>751</v>
      </c>
      <c r="O128" s="392" t="s">
        <v>751</v>
      </c>
      <c r="P128" s="392" t="s">
        <v>751</v>
      </c>
      <c r="Q128" s="392" t="s">
        <v>751</v>
      </c>
    </row>
    <row r="129" spans="3:17" ht="18.75" x14ac:dyDescent="0.4">
      <c r="C129" s="2567"/>
      <c r="D129" s="391" t="s">
        <v>817</v>
      </c>
      <c r="E129" s="340">
        <v>3.4135518006485746</v>
      </c>
      <c r="F129" s="392" t="s">
        <v>751</v>
      </c>
      <c r="G129" s="392" t="s">
        <v>751</v>
      </c>
      <c r="H129" s="392" t="s">
        <v>751</v>
      </c>
      <c r="I129" s="392" t="s">
        <v>751</v>
      </c>
      <c r="J129" s="392" t="s">
        <v>751</v>
      </c>
      <c r="K129" s="340">
        <v>3.2817012339196641</v>
      </c>
      <c r="L129" s="392" t="s">
        <v>751</v>
      </c>
      <c r="M129" s="392" t="s">
        <v>751</v>
      </c>
      <c r="N129" s="392" t="s">
        <v>751</v>
      </c>
      <c r="O129" s="392" t="s">
        <v>751</v>
      </c>
      <c r="P129" s="392" t="s">
        <v>751</v>
      </c>
      <c r="Q129" s="392" t="s">
        <v>751</v>
      </c>
    </row>
    <row r="130" spans="3:17" ht="18.75" x14ac:dyDescent="0.4">
      <c r="C130" s="2567"/>
      <c r="D130" s="391" t="s">
        <v>818</v>
      </c>
      <c r="E130" s="392" t="s">
        <v>751</v>
      </c>
      <c r="F130" s="392" t="s">
        <v>751</v>
      </c>
      <c r="G130" s="392" t="s">
        <v>751</v>
      </c>
      <c r="H130" s="392" t="s">
        <v>751</v>
      </c>
      <c r="I130" s="340">
        <v>3.3224798989966113</v>
      </c>
      <c r="J130" s="392" t="s">
        <v>751</v>
      </c>
      <c r="K130" s="340">
        <v>3.2120258246876308</v>
      </c>
      <c r="L130" s="392" t="s">
        <v>751</v>
      </c>
      <c r="M130" s="392" t="s">
        <v>751</v>
      </c>
      <c r="N130" s="392" t="s">
        <v>751</v>
      </c>
      <c r="O130" s="392" t="s">
        <v>751</v>
      </c>
      <c r="P130" s="392" t="s">
        <v>751</v>
      </c>
      <c r="Q130" s="392" t="s">
        <v>751</v>
      </c>
    </row>
    <row r="131" spans="3:17" ht="18.75" x14ac:dyDescent="0.4">
      <c r="C131" s="2567"/>
      <c r="D131" s="391" t="s">
        <v>819</v>
      </c>
      <c r="E131" s="340">
        <v>2.4680998099563145</v>
      </c>
      <c r="F131" s="392" t="s">
        <v>751</v>
      </c>
      <c r="G131" s="392" t="s">
        <v>751</v>
      </c>
      <c r="H131" s="340">
        <v>2.3802723031514805</v>
      </c>
      <c r="I131" s="340">
        <v>4.7041113933577945</v>
      </c>
      <c r="J131" s="340">
        <v>4.6507301646358483</v>
      </c>
      <c r="K131" s="392" t="s">
        <v>751</v>
      </c>
      <c r="L131" s="392" t="s">
        <v>751</v>
      </c>
      <c r="M131" s="392" t="s">
        <v>751</v>
      </c>
      <c r="N131" s="392" t="s">
        <v>751</v>
      </c>
      <c r="O131" s="392" t="s">
        <v>751</v>
      </c>
      <c r="P131" s="392" t="s">
        <v>751</v>
      </c>
      <c r="Q131" s="392" t="s">
        <v>751</v>
      </c>
    </row>
    <row r="132" spans="3:17" ht="18.75" x14ac:dyDescent="0.4">
      <c r="C132" s="2567"/>
      <c r="D132" s="391" t="s">
        <v>820</v>
      </c>
      <c r="E132" s="392" t="s">
        <v>751</v>
      </c>
      <c r="F132" s="392" t="s">
        <v>751</v>
      </c>
      <c r="G132" s="392" t="s">
        <v>751</v>
      </c>
      <c r="H132" s="340">
        <v>4.5808520384791569</v>
      </c>
      <c r="I132" s="392" t="s">
        <v>751</v>
      </c>
      <c r="J132" s="340">
        <v>4.5517649468581443</v>
      </c>
      <c r="K132" s="340">
        <v>2.2720043622483752</v>
      </c>
      <c r="L132" s="392" t="s">
        <v>751</v>
      </c>
      <c r="M132" s="392" t="s">
        <v>751</v>
      </c>
      <c r="N132" s="392" t="s">
        <v>751</v>
      </c>
      <c r="O132" s="340">
        <v>2.2569287713279769</v>
      </c>
      <c r="P132" s="392" t="s">
        <v>751</v>
      </c>
      <c r="Q132" s="392" t="s">
        <v>751</v>
      </c>
    </row>
    <row r="133" spans="3:17" ht="18.75" x14ac:dyDescent="0.4">
      <c r="C133" s="2567"/>
      <c r="D133" s="391" t="s">
        <v>821</v>
      </c>
      <c r="E133" s="392" t="s">
        <v>751</v>
      </c>
      <c r="F133" s="392" t="s">
        <v>751</v>
      </c>
      <c r="G133" s="392" t="s">
        <v>751</v>
      </c>
      <c r="H133" s="392" t="s">
        <v>751</v>
      </c>
      <c r="I133" s="340">
        <v>5.571341021783943</v>
      </c>
      <c r="J133" s="340">
        <v>5.4629882545752526</v>
      </c>
      <c r="K133" s="392" t="s">
        <v>751</v>
      </c>
      <c r="L133" s="392" t="s">
        <v>751</v>
      </c>
      <c r="M133" s="392" t="s">
        <v>751</v>
      </c>
      <c r="N133" s="392" t="s">
        <v>751</v>
      </c>
      <c r="O133" s="392" t="s">
        <v>751</v>
      </c>
      <c r="P133" s="392" t="s">
        <v>751</v>
      </c>
      <c r="Q133" s="392" t="s">
        <v>751</v>
      </c>
    </row>
    <row r="134" spans="3:17" ht="18.75" x14ac:dyDescent="0.4">
      <c r="C134" s="2567"/>
      <c r="D134" s="391" t="s">
        <v>822</v>
      </c>
      <c r="E134" s="392" t="s">
        <v>751</v>
      </c>
      <c r="F134" s="392" t="s">
        <v>751</v>
      </c>
      <c r="G134" s="340">
        <v>4.1933116678897164</v>
      </c>
      <c r="H134" s="392" t="s">
        <v>751</v>
      </c>
      <c r="I134" s="340">
        <v>2.0446134658242858</v>
      </c>
      <c r="J134" s="340">
        <v>4.0403224177289347</v>
      </c>
      <c r="K134" s="340">
        <v>1.9961673586713511</v>
      </c>
      <c r="L134" s="392" t="s">
        <v>751</v>
      </c>
      <c r="M134" s="340">
        <v>1.9496597843676278</v>
      </c>
      <c r="N134" s="392" t="s">
        <v>751</v>
      </c>
      <c r="O134" s="392" t="s">
        <v>751</v>
      </c>
      <c r="P134" s="392" t="s">
        <v>751</v>
      </c>
      <c r="Q134" s="392">
        <v>1.869718046518585</v>
      </c>
    </row>
    <row r="135" spans="3:17" ht="18.75" x14ac:dyDescent="0.4">
      <c r="C135" s="2567"/>
      <c r="D135" s="391" t="s">
        <v>823</v>
      </c>
      <c r="E135" s="392" t="s">
        <v>751</v>
      </c>
      <c r="F135" s="392" t="s">
        <v>751</v>
      </c>
      <c r="G135" s="340">
        <v>4.8019207683073226</v>
      </c>
      <c r="H135" s="392" t="s">
        <v>751</v>
      </c>
      <c r="I135" s="392" t="s">
        <v>751</v>
      </c>
      <c r="J135" s="392" t="s">
        <v>751</v>
      </c>
      <c r="K135" s="392" t="s">
        <v>751</v>
      </c>
      <c r="L135" s="392" t="s">
        <v>751</v>
      </c>
      <c r="M135" s="340">
        <v>4.0425273881230543</v>
      </c>
      <c r="N135" s="392" t="s">
        <v>751</v>
      </c>
      <c r="O135" s="392" t="s">
        <v>751</v>
      </c>
      <c r="P135" s="392" t="s">
        <v>751</v>
      </c>
      <c r="Q135" s="392" t="s">
        <v>751</v>
      </c>
    </row>
    <row r="136" spans="3:17" ht="18.75" x14ac:dyDescent="0.4">
      <c r="C136" s="2567"/>
      <c r="D136" s="391" t="s">
        <v>824</v>
      </c>
      <c r="E136" s="391"/>
      <c r="F136" s="391"/>
      <c r="G136" s="391"/>
      <c r="H136" s="391"/>
      <c r="I136" s="391"/>
      <c r="J136" s="391"/>
      <c r="K136" s="391"/>
      <c r="L136" s="391"/>
      <c r="M136" s="391"/>
      <c r="N136" s="391"/>
      <c r="O136" s="391"/>
      <c r="P136" s="391"/>
      <c r="Q136" s="392" t="s">
        <v>751</v>
      </c>
    </row>
    <row r="137" spans="3:17" ht="18.75" x14ac:dyDescent="0.4">
      <c r="C137" s="2567"/>
      <c r="D137" s="391" t="s">
        <v>825</v>
      </c>
      <c r="E137" s="391"/>
      <c r="F137" s="391"/>
      <c r="G137" s="391"/>
      <c r="H137" s="391"/>
      <c r="I137" s="391"/>
      <c r="J137" s="391"/>
      <c r="K137" s="391"/>
      <c r="L137" s="391"/>
      <c r="M137" s="391"/>
      <c r="N137" s="391"/>
      <c r="O137" s="391"/>
      <c r="P137" s="391"/>
      <c r="Q137" s="392" t="s">
        <v>751</v>
      </c>
    </row>
    <row r="138" spans="3:17" ht="18.75" x14ac:dyDescent="0.4">
      <c r="C138" s="2567" t="s">
        <v>334</v>
      </c>
      <c r="D138" s="391" t="s">
        <v>334</v>
      </c>
      <c r="E138" s="340">
        <v>2.0850056816404825</v>
      </c>
      <c r="F138" s="392" t="s">
        <v>751</v>
      </c>
      <c r="G138" s="340">
        <v>2.0670339096912884</v>
      </c>
      <c r="H138" s="340">
        <v>1.0286478424111507</v>
      </c>
      <c r="I138" s="392" t="s">
        <v>751</v>
      </c>
      <c r="J138" s="392" t="s">
        <v>751</v>
      </c>
      <c r="K138" s="392" t="s">
        <v>751</v>
      </c>
      <c r="L138" s="340">
        <v>1.0116542570411138</v>
      </c>
      <c r="M138" s="340">
        <v>1.0079425875902108</v>
      </c>
      <c r="N138" s="340">
        <v>1.0045707971269275</v>
      </c>
      <c r="O138" s="392" t="s">
        <v>751</v>
      </c>
      <c r="P138" s="392" t="s">
        <v>751</v>
      </c>
      <c r="Q138" s="392" t="s">
        <v>751</v>
      </c>
    </row>
    <row r="139" spans="3:17" ht="18.75" x14ac:dyDescent="0.4">
      <c r="C139" s="2567"/>
      <c r="D139" s="391" t="s">
        <v>826</v>
      </c>
      <c r="E139" s="392" t="s">
        <v>751</v>
      </c>
      <c r="F139" s="340">
        <v>2.2863413964973249</v>
      </c>
      <c r="G139" s="392" t="s">
        <v>751</v>
      </c>
      <c r="H139" s="340">
        <v>0.73740330799123965</v>
      </c>
      <c r="I139" s="340">
        <v>1.4512840235398268</v>
      </c>
      <c r="J139" s="340">
        <v>0.71441328808715843</v>
      </c>
      <c r="K139" s="340">
        <v>1.4067566522005193</v>
      </c>
      <c r="L139" s="392" t="s">
        <v>751</v>
      </c>
      <c r="M139" s="392" t="s">
        <v>751</v>
      </c>
      <c r="N139" s="392" t="s">
        <v>751</v>
      </c>
      <c r="O139" s="392" t="s">
        <v>751</v>
      </c>
      <c r="P139" s="392" t="s">
        <v>751</v>
      </c>
      <c r="Q139" s="392" t="s">
        <v>751</v>
      </c>
    </row>
    <row r="140" spans="3:17" ht="18.75" x14ac:dyDescent="0.4">
      <c r="C140" s="2567"/>
      <c r="D140" s="391" t="s">
        <v>827</v>
      </c>
      <c r="E140" s="340">
        <v>1.6712347082024199</v>
      </c>
      <c r="F140" s="392" t="s">
        <v>751</v>
      </c>
      <c r="G140" s="392" t="s">
        <v>751</v>
      </c>
      <c r="H140" s="392" t="s">
        <v>751</v>
      </c>
      <c r="I140" s="392" t="s">
        <v>751</v>
      </c>
      <c r="J140" s="340">
        <v>3.1935107860826801</v>
      </c>
      <c r="K140" s="392" t="s">
        <v>751</v>
      </c>
      <c r="L140" s="392" t="s">
        <v>751</v>
      </c>
      <c r="M140" s="392" t="s">
        <v>751</v>
      </c>
      <c r="N140" s="392" t="s">
        <v>751</v>
      </c>
      <c r="O140" s="392" t="s">
        <v>751</v>
      </c>
      <c r="P140" s="392" t="s">
        <v>751</v>
      </c>
      <c r="Q140" s="392" t="s">
        <v>751</v>
      </c>
    </row>
    <row r="141" spans="3:17" ht="18.75" x14ac:dyDescent="0.4">
      <c r="C141" s="2567"/>
      <c r="D141" s="391" t="s">
        <v>828</v>
      </c>
      <c r="E141" s="392" t="s">
        <v>751</v>
      </c>
      <c r="F141" s="340">
        <v>2.7875341472933042</v>
      </c>
      <c r="G141" s="392" t="s">
        <v>751</v>
      </c>
      <c r="H141" s="340">
        <v>2.6716537536735241</v>
      </c>
      <c r="I141" s="392" t="s">
        <v>751</v>
      </c>
      <c r="J141" s="392" t="s">
        <v>751</v>
      </c>
      <c r="K141" s="340">
        <v>2.5101661730006528</v>
      </c>
      <c r="L141" s="340">
        <v>2.4581499963127751</v>
      </c>
      <c r="M141" s="392" t="s">
        <v>751</v>
      </c>
      <c r="N141" s="392" t="s">
        <v>751</v>
      </c>
      <c r="O141" s="392" t="s">
        <v>751</v>
      </c>
      <c r="P141" s="392" t="s">
        <v>751</v>
      </c>
      <c r="Q141" s="392" t="s">
        <v>751</v>
      </c>
    </row>
    <row r="142" spans="3:17" ht="18.75" x14ac:dyDescent="0.4">
      <c r="C142" s="2567"/>
      <c r="D142" s="391" t="s">
        <v>829</v>
      </c>
      <c r="E142" s="340">
        <v>2.4649970420035499</v>
      </c>
      <c r="F142" s="340">
        <v>4.86050354816759</v>
      </c>
      <c r="G142" s="340">
        <v>2.3957260247718071</v>
      </c>
      <c r="H142" s="392" t="s">
        <v>751</v>
      </c>
      <c r="I142" s="392" t="s">
        <v>751</v>
      </c>
      <c r="J142" s="392" t="s">
        <v>751</v>
      </c>
      <c r="K142" s="340">
        <v>2.266237592349182</v>
      </c>
      <c r="L142" s="392" t="s">
        <v>751</v>
      </c>
      <c r="M142" s="392" t="s">
        <v>751</v>
      </c>
      <c r="N142" s="392" t="s">
        <v>751</v>
      </c>
      <c r="O142" s="392" t="s">
        <v>751</v>
      </c>
      <c r="P142" s="392" t="s">
        <v>751</v>
      </c>
      <c r="Q142" s="392" t="s">
        <v>751</v>
      </c>
    </row>
    <row r="143" spans="3:17" ht="18.75" x14ac:dyDescent="0.4">
      <c r="C143" s="2568"/>
      <c r="D143" s="395" t="s">
        <v>830</v>
      </c>
      <c r="E143" s="396" t="s">
        <v>751</v>
      </c>
      <c r="F143" s="396" t="s">
        <v>751</v>
      </c>
      <c r="G143" s="397">
        <v>2.1083257784992937</v>
      </c>
      <c r="H143" s="396" t="s">
        <v>751</v>
      </c>
      <c r="I143" s="397">
        <v>2.0253984971543151</v>
      </c>
      <c r="J143" s="396" t="s">
        <v>751</v>
      </c>
      <c r="K143" s="396" t="s">
        <v>751</v>
      </c>
      <c r="L143" s="396" t="s">
        <v>751</v>
      </c>
      <c r="M143" s="396" t="s">
        <v>751</v>
      </c>
      <c r="N143" s="396" t="s">
        <v>751</v>
      </c>
      <c r="O143" s="396" t="s">
        <v>751</v>
      </c>
      <c r="P143" s="396" t="s">
        <v>751</v>
      </c>
      <c r="Q143" s="396" t="s">
        <v>751</v>
      </c>
    </row>
    <row r="144" spans="3:17" ht="18.75" x14ac:dyDescent="0.4">
      <c r="C144" s="5" t="s">
        <v>831</v>
      </c>
      <c r="D144" s="5"/>
      <c r="E144" s="5"/>
      <c r="F144" s="5"/>
      <c r="G144" s="5"/>
      <c r="H144" s="5"/>
      <c r="I144" s="5"/>
      <c r="J144" s="5"/>
      <c r="K144" s="5"/>
      <c r="L144" s="5"/>
      <c r="M144" s="5"/>
      <c r="N144" s="5"/>
      <c r="O144" s="5"/>
      <c r="P144" s="5"/>
    </row>
  </sheetData>
  <mergeCells count="22">
    <mergeCell ref="A5:B5"/>
    <mergeCell ref="C5:X5"/>
    <mergeCell ref="C1:D1"/>
    <mergeCell ref="A3:B3"/>
    <mergeCell ref="C3:X3"/>
    <mergeCell ref="A4:B4"/>
    <mergeCell ref="C4:X4"/>
    <mergeCell ref="A6:B6"/>
    <mergeCell ref="C6:X6"/>
    <mergeCell ref="C11:C12"/>
    <mergeCell ref="D11:D12"/>
    <mergeCell ref="E11:T11"/>
    <mergeCell ref="V11:AB11"/>
    <mergeCell ref="C125:C137"/>
    <mergeCell ref="C138:C143"/>
    <mergeCell ref="AD11:AE11"/>
    <mergeCell ref="C60:C79"/>
    <mergeCell ref="C80:C95"/>
    <mergeCell ref="C96:C103"/>
    <mergeCell ref="C104:C113"/>
    <mergeCell ref="C114:C124"/>
    <mergeCell ref="V13:AB27"/>
  </mergeCells>
  <conditionalFormatting sqref="E60:P60">
    <cfRule type="cellIs" dxfId="328" priority="83" operator="equal">
      <formula>0</formula>
    </cfRule>
  </conditionalFormatting>
  <conditionalFormatting sqref="E61:P61">
    <cfRule type="cellIs" dxfId="327" priority="82" operator="equal">
      <formula>0</formula>
    </cfRule>
  </conditionalFormatting>
  <conditionalFormatting sqref="E62:P62">
    <cfRule type="cellIs" dxfId="326" priority="81" operator="equal">
      <formula>0</formula>
    </cfRule>
  </conditionalFormatting>
  <conditionalFormatting sqref="E63:P63">
    <cfRule type="cellIs" dxfId="325" priority="80" operator="equal">
      <formula>0</formula>
    </cfRule>
  </conditionalFormatting>
  <conditionalFormatting sqref="E64:P64">
    <cfRule type="cellIs" dxfId="324" priority="79" operator="equal">
      <formula>0</formula>
    </cfRule>
  </conditionalFormatting>
  <conditionalFormatting sqref="E65:P65">
    <cfRule type="cellIs" dxfId="323" priority="78" operator="equal">
      <formula>0</formula>
    </cfRule>
  </conditionalFormatting>
  <conditionalFormatting sqref="E66:P66">
    <cfRule type="cellIs" dxfId="322" priority="77" operator="equal">
      <formula>0</formula>
    </cfRule>
  </conditionalFormatting>
  <conditionalFormatting sqref="E67:P67">
    <cfRule type="cellIs" dxfId="321" priority="76" operator="equal">
      <formula>0</formula>
    </cfRule>
  </conditionalFormatting>
  <conditionalFormatting sqref="E68:P68">
    <cfRule type="cellIs" dxfId="320" priority="75" operator="equal">
      <formula>0</formula>
    </cfRule>
  </conditionalFormatting>
  <conditionalFormatting sqref="E69:P69">
    <cfRule type="cellIs" dxfId="319" priority="74" operator="equal">
      <formula>0</formula>
    </cfRule>
  </conditionalFormatting>
  <conditionalFormatting sqref="E70:P70">
    <cfRule type="cellIs" dxfId="318" priority="73" operator="equal">
      <formula>0</formula>
    </cfRule>
  </conditionalFormatting>
  <conditionalFormatting sqref="E71:P71">
    <cfRule type="cellIs" dxfId="317" priority="72" operator="equal">
      <formula>0</formula>
    </cfRule>
  </conditionalFormatting>
  <conditionalFormatting sqref="E72:P72">
    <cfRule type="cellIs" dxfId="316" priority="71" operator="equal">
      <formula>0</formula>
    </cfRule>
  </conditionalFormatting>
  <conditionalFormatting sqref="E73:P73">
    <cfRule type="cellIs" dxfId="315" priority="70" operator="equal">
      <formula>0</formula>
    </cfRule>
  </conditionalFormatting>
  <conditionalFormatting sqref="E74:P74">
    <cfRule type="cellIs" dxfId="314" priority="69" operator="equal">
      <formula>0</formula>
    </cfRule>
  </conditionalFormatting>
  <conditionalFormatting sqref="E75:P75">
    <cfRule type="cellIs" dxfId="313" priority="68" operator="equal">
      <formula>0</formula>
    </cfRule>
  </conditionalFormatting>
  <conditionalFormatting sqref="E76:P76">
    <cfRule type="cellIs" dxfId="312" priority="67" operator="equal">
      <formula>0</formula>
    </cfRule>
  </conditionalFormatting>
  <conditionalFormatting sqref="E77:P77">
    <cfRule type="cellIs" dxfId="311" priority="66" operator="equal">
      <formula>0</formula>
    </cfRule>
  </conditionalFormatting>
  <conditionalFormatting sqref="E78:P78">
    <cfRule type="cellIs" dxfId="310" priority="65" operator="equal">
      <formula>0</formula>
    </cfRule>
  </conditionalFormatting>
  <conditionalFormatting sqref="E79:P79">
    <cfRule type="cellIs" dxfId="309" priority="64" operator="equal">
      <formula>0</formula>
    </cfRule>
  </conditionalFormatting>
  <conditionalFormatting sqref="E80:P80">
    <cfRule type="cellIs" dxfId="308" priority="63" operator="equal">
      <formula>0</formula>
    </cfRule>
  </conditionalFormatting>
  <conditionalFormatting sqref="E81:P81">
    <cfRule type="cellIs" dxfId="307" priority="62" operator="equal">
      <formula>0</formula>
    </cfRule>
  </conditionalFormatting>
  <conditionalFormatting sqref="E82:P82">
    <cfRule type="cellIs" dxfId="306" priority="61" operator="equal">
      <formula>0</formula>
    </cfRule>
  </conditionalFormatting>
  <conditionalFormatting sqref="E83:P83">
    <cfRule type="cellIs" dxfId="305" priority="60" operator="equal">
      <formula>0</formula>
    </cfRule>
  </conditionalFormatting>
  <conditionalFormatting sqref="E84:P84">
    <cfRule type="cellIs" dxfId="304" priority="59" operator="equal">
      <formula>0</formula>
    </cfRule>
  </conditionalFormatting>
  <conditionalFormatting sqref="E85:P85">
    <cfRule type="cellIs" dxfId="303" priority="58" operator="equal">
      <formula>0</formula>
    </cfRule>
  </conditionalFormatting>
  <conditionalFormatting sqref="E86:P86">
    <cfRule type="cellIs" dxfId="302" priority="57" operator="equal">
      <formula>0</formula>
    </cfRule>
  </conditionalFormatting>
  <conditionalFormatting sqref="E87:P87">
    <cfRule type="cellIs" dxfId="301" priority="56" operator="equal">
      <formula>0</formula>
    </cfRule>
  </conditionalFormatting>
  <conditionalFormatting sqref="E88:P88">
    <cfRule type="cellIs" dxfId="300" priority="55" operator="equal">
      <formula>0</formula>
    </cfRule>
  </conditionalFormatting>
  <conditionalFormatting sqref="E89:P89">
    <cfRule type="cellIs" dxfId="299" priority="54" operator="equal">
      <formula>0</formula>
    </cfRule>
  </conditionalFormatting>
  <conditionalFormatting sqref="E90:P90">
    <cfRule type="cellIs" dxfId="298" priority="53" operator="equal">
      <formula>0</formula>
    </cfRule>
  </conditionalFormatting>
  <conditionalFormatting sqref="E91:P91">
    <cfRule type="cellIs" dxfId="297" priority="52" operator="equal">
      <formula>0</formula>
    </cfRule>
  </conditionalFormatting>
  <conditionalFormatting sqref="E92:P92">
    <cfRule type="cellIs" dxfId="296" priority="51" operator="equal">
      <formula>0</formula>
    </cfRule>
  </conditionalFormatting>
  <conditionalFormatting sqref="E93:P93">
    <cfRule type="cellIs" dxfId="295" priority="50" operator="equal">
      <formula>0</formula>
    </cfRule>
  </conditionalFormatting>
  <conditionalFormatting sqref="E94:P94">
    <cfRule type="cellIs" dxfId="294" priority="49" operator="equal">
      <formula>0</formula>
    </cfRule>
  </conditionalFormatting>
  <conditionalFormatting sqref="E95:P95">
    <cfRule type="cellIs" dxfId="293" priority="48" operator="equal">
      <formula>0</formula>
    </cfRule>
  </conditionalFormatting>
  <conditionalFormatting sqref="E96:P96">
    <cfRule type="cellIs" dxfId="292" priority="47" operator="equal">
      <formula>0</formula>
    </cfRule>
  </conditionalFormatting>
  <conditionalFormatting sqref="E97:P97">
    <cfRule type="cellIs" dxfId="291" priority="46" operator="equal">
      <formula>0</formula>
    </cfRule>
  </conditionalFormatting>
  <conditionalFormatting sqref="E98:P98">
    <cfRule type="cellIs" dxfId="290" priority="45" operator="equal">
      <formula>0</formula>
    </cfRule>
  </conditionalFormatting>
  <conditionalFormatting sqref="E99:P99">
    <cfRule type="cellIs" dxfId="289" priority="44" operator="equal">
      <formula>0</formula>
    </cfRule>
  </conditionalFormatting>
  <conditionalFormatting sqref="E100:P100">
    <cfRule type="cellIs" dxfId="288" priority="43" operator="equal">
      <formula>0</formula>
    </cfRule>
  </conditionalFormatting>
  <conditionalFormatting sqref="E101:P101">
    <cfRule type="cellIs" dxfId="287" priority="42" operator="equal">
      <formula>0</formula>
    </cfRule>
  </conditionalFormatting>
  <conditionalFormatting sqref="E102:P102">
    <cfRule type="cellIs" dxfId="286" priority="41" operator="equal">
      <formula>0</formula>
    </cfRule>
  </conditionalFormatting>
  <conditionalFormatting sqref="E103:P103">
    <cfRule type="cellIs" dxfId="285" priority="40" operator="equal">
      <formula>0</formula>
    </cfRule>
  </conditionalFormatting>
  <conditionalFormatting sqref="E104:P104">
    <cfRule type="cellIs" dxfId="284" priority="39" operator="equal">
      <formula>0</formula>
    </cfRule>
  </conditionalFormatting>
  <conditionalFormatting sqref="E105:P105">
    <cfRule type="cellIs" dxfId="283" priority="38" operator="equal">
      <formula>0</formula>
    </cfRule>
  </conditionalFormatting>
  <conditionalFormatting sqref="E106:P106">
    <cfRule type="cellIs" dxfId="282" priority="37" operator="equal">
      <formula>0</formula>
    </cfRule>
  </conditionalFormatting>
  <conditionalFormatting sqref="E107:P107">
    <cfRule type="cellIs" dxfId="281" priority="36" operator="equal">
      <formula>0</formula>
    </cfRule>
  </conditionalFormatting>
  <conditionalFormatting sqref="E108:P108">
    <cfRule type="cellIs" dxfId="280" priority="35" operator="equal">
      <formula>0</formula>
    </cfRule>
  </conditionalFormatting>
  <conditionalFormatting sqref="E109:P109">
    <cfRule type="cellIs" dxfId="279" priority="34" operator="equal">
      <formula>0</formula>
    </cfRule>
  </conditionalFormatting>
  <conditionalFormatting sqref="E110:P110">
    <cfRule type="cellIs" dxfId="278" priority="33" operator="equal">
      <formula>0</formula>
    </cfRule>
  </conditionalFormatting>
  <conditionalFormatting sqref="E111:P111">
    <cfRule type="cellIs" dxfId="277" priority="32" operator="equal">
      <formula>0</formula>
    </cfRule>
  </conditionalFormatting>
  <conditionalFormatting sqref="E112:P112">
    <cfRule type="cellIs" dxfId="276" priority="31" operator="equal">
      <formula>0</formula>
    </cfRule>
  </conditionalFormatting>
  <conditionalFormatting sqref="E113:P113">
    <cfRule type="cellIs" dxfId="275" priority="30" operator="equal">
      <formula>0</formula>
    </cfRule>
  </conditionalFormatting>
  <conditionalFormatting sqref="E114:P114">
    <cfRule type="cellIs" dxfId="274" priority="29" operator="equal">
      <formula>0</formula>
    </cfRule>
  </conditionalFormatting>
  <conditionalFormatting sqref="E115:P115">
    <cfRule type="cellIs" dxfId="273" priority="28" operator="equal">
      <formula>0</formula>
    </cfRule>
  </conditionalFormatting>
  <conditionalFormatting sqref="E116:P116">
    <cfRule type="cellIs" dxfId="272" priority="27" operator="equal">
      <formula>0</formula>
    </cfRule>
  </conditionalFormatting>
  <conditionalFormatting sqref="E117:P117">
    <cfRule type="cellIs" dxfId="271" priority="26" operator="equal">
      <formula>0</formula>
    </cfRule>
  </conditionalFormatting>
  <conditionalFormatting sqref="E118:P118">
    <cfRule type="cellIs" dxfId="270" priority="25" operator="equal">
      <formula>0</formula>
    </cfRule>
  </conditionalFormatting>
  <conditionalFormatting sqref="E119:P119">
    <cfRule type="cellIs" dxfId="269" priority="24" operator="equal">
      <formula>0</formula>
    </cfRule>
  </conditionalFormatting>
  <conditionalFormatting sqref="E120:P120">
    <cfRule type="cellIs" dxfId="268" priority="23" operator="equal">
      <formula>0</formula>
    </cfRule>
  </conditionalFormatting>
  <conditionalFormatting sqref="E121:P121">
    <cfRule type="cellIs" dxfId="267" priority="22" operator="equal">
      <formula>0</formula>
    </cfRule>
  </conditionalFormatting>
  <conditionalFormatting sqref="E122:P122">
    <cfRule type="cellIs" dxfId="266" priority="21" operator="equal">
      <formula>0</formula>
    </cfRule>
  </conditionalFormatting>
  <conditionalFormatting sqref="E123:P123">
    <cfRule type="cellIs" dxfId="265" priority="20" operator="equal">
      <formula>0</formula>
    </cfRule>
  </conditionalFormatting>
  <conditionalFormatting sqref="E124:P124">
    <cfRule type="cellIs" dxfId="264" priority="19" operator="equal">
      <formula>0</formula>
    </cfRule>
  </conditionalFormatting>
  <conditionalFormatting sqref="E125:P125">
    <cfRule type="cellIs" dxfId="263" priority="18" operator="equal">
      <formula>0</formula>
    </cfRule>
  </conditionalFormatting>
  <conditionalFormatting sqref="E126:P126">
    <cfRule type="cellIs" dxfId="262" priority="17" operator="equal">
      <formula>0</formula>
    </cfRule>
  </conditionalFormatting>
  <conditionalFormatting sqref="E127:P127">
    <cfRule type="cellIs" dxfId="261" priority="16" operator="equal">
      <formula>0</formula>
    </cfRule>
  </conditionalFormatting>
  <conditionalFormatting sqref="E128:P128">
    <cfRule type="cellIs" dxfId="260" priority="15" operator="equal">
      <formula>0</formula>
    </cfRule>
  </conditionalFormatting>
  <conditionalFormatting sqref="E129:P129">
    <cfRule type="cellIs" dxfId="259" priority="14" operator="equal">
      <formula>0</formula>
    </cfRule>
  </conditionalFormatting>
  <conditionalFormatting sqref="E130:P130">
    <cfRule type="cellIs" dxfId="258" priority="13" operator="equal">
      <formula>0</formula>
    </cfRule>
  </conditionalFormatting>
  <conditionalFormatting sqref="E131:P131">
    <cfRule type="cellIs" dxfId="257" priority="12" operator="equal">
      <formula>0</formula>
    </cfRule>
  </conditionalFormatting>
  <conditionalFormatting sqref="E132:P132">
    <cfRule type="cellIs" dxfId="256" priority="11" operator="equal">
      <formula>0</formula>
    </cfRule>
  </conditionalFormatting>
  <conditionalFormatting sqref="E133:P133">
    <cfRule type="cellIs" dxfId="255" priority="10" operator="equal">
      <formula>0</formula>
    </cfRule>
  </conditionalFormatting>
  <conditionalFormatting sqref="E134:P134">
    <cfRule type="cellIs" dxfId="254" priority="9" operator="equal">
      <formula>0</formula>
    </cfRule>
  </conditionalFormatting>
  <conditionalFormatting sqref="E135:P135">
    <cfRule type="cellIs" dxfId="253" priority="8" operator="equal">
      <formula>0</formula>
    </cfRule>
  </conditionalFormatting>
  <conditionalFormatting sqref="E138:P138">
    <cfRule type="cellIs" dxfId="252" priority="7" operator="equal">
      <formula>0</formula>
    </cfRule>
  </conditionalFormatting>
  <conditionalFormatting sqref="E139:P139">
    <cfRule type="cellIs" dxfId="251" priority="6" operator="equal">
      <formula>0</formula>
    </cfRule>
  </conditionalFormatting>
  <conditionalFormatting sqref="E140:P140">
    <cfRule type="cellIs" dxfId="250" priority="5" operator="equal">
      <formula>0</formula>
    </cfRule>
  </conditionalFormatting>
  <conditionalFormatting sqref="E141:P141">
    <cfRule type="cellIs" dxfId="249" priority="4" operator="equal">
      <formula>0</formula>
    </cfRule>
  </conditionalFormatting>
  <conditionalFormatting sqref="E142:P142">
    <cfRule type="cellIs" dxfId="248" priority="3" operator="equal">
      <formula>0</formula>
    </cfRule>
  </conditionalFormatting>
  <conditionalFormatting sqref="E143:P143">
    <cfRule type="cellIs" dxfId="247" priority="2" operator="equal">
      <formula>0</formula>
    </cfRule>
  </conditionalFormatting>
  <conditionalFormatting sqref="Q61:Q143">
    <cfRule type="cellIs" dxfId="246" priority="1" operator="equal">
      <formula>0</formula>
    </cfRule>
  </conditionalFormatting>
  <hyperlinks>
    <hyperlink ref="A1" location="'ODS 3.'!A1" display="REGRESAR" xr:uid="{183C0431-6153-4C98-B1C8-8C9FF91100EB}"/>
    <hyperlink ref="C1" location="'Metadato 3.9.2'!A1" display="VER METADATO" xr:uid="{E1AE2E4B-53D0-4A70-B55E-3399FA41FA8D}"/>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8780-E5AB-40E7-A3B9-9831888430E8}">
  <sheetPr>
    <tabColor theme="0" tint="-0.499984740745262"/>
  </sheetPr>
  <dimension ref="A1:D45"/>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2578125" defaultRowHeight="18.75" x14ac:dyDescent="0.25"/>
  <cols>
    <col min="1" max="1" width="11.28515625" style="222" customWidth="1"/>
    <col min="2" max="2" width="26.42578125" style="222" customWidth="1"/>
    <col min="3" max="3" width="24" style="222" customWidth="1"/>
    <col min="4" max="4" width="85.7109375" style="222" customWidth="1"/>
    <col min="5" max="5" width="11.42578125" style="222"/>
    <col min="6" max="6" width="7.28515625" style="222" customWidth="1"/>
    <col min="7" max="7" width="40.28515625" style="222" bestFit="1" customWidth="1"/>
    <col min="8" max="16384" width="11.42578125" style="222"/>
  </cols>
  <sheetData>
    <row r="1" spans="1:4" x14ac:dyDescent="0.25">
      <c r="B1" s="223" t="s">
        <v>39</v>
      </c>
    </row>
    <row r="3" spans="1:4" ht="23.25" customHeight="1" x14ac:dyDescent="0.25">
      <c r="B3" s="2604" t="s">
        <v>75</v>
      </c>
      <c r="C3" s="2604"/>
      <c r="D3" s="2604"/>
    </row>
    <row r="4" spans="1:4" x14ac:dyDescent="0.25">
      <c r="A4" s="224"/>
      <c r="B4" s="2606" t="s">
        <v>234</v>
      </c>
      <c r="C4" s="2606"/>
      <c r="D4" s="359" t="s">
        <v>832</v>
      </c>
    </row>
    <row r="5" spans="1:4" ht="32.25" customHeight="1" x14ac:dyDescent="0.25">
      <c r="B5" s="2445" t="s">
        <v>79</v>
      </c>
      <c r="C5" s="2445"/>
      <c r="D5" s="49" t="s">
        <v>708</v>
      </c>
    </row>
    <row r="6" spans="1:4" x14ac:dyDescent="0.25">
      <c r="B6" s="2445" t="s">
        <v>80</v>
      </c>
      <c r="C6" s="2445"/>
      <c r="D6" s="50" t="s">
        <v>711</v>
      </c>
    </row>
    <row r="7" spans="1:4" ht="37.5" x14ac:dyDescent="0.25">
      <c r="B7" s="2446" t="s">
        <v>81</v>
      </c>
      <c r="C7" s="2446"/>
      <c r="D7" s="93" t="s">
        <v>712</v>
      </c>
    </row>
    <row r="8" spans="1:4" x14ac:dyDescent="0.25">
      <c r="B8" s="2446" t="s">
        <v>82</v>
      </c>
      <c r="C8" s="2446"/>
      <c r="D8" s="94" t="s">
        <v>1502</v>
      </c>
    </row>
    <row r="9" spans="1:4" x14ac:dyDescent="0.4">
      <c r="B9" s="5"/>
      <c r="C9" s="5"/>
      <c r="D9" s="5"/>
    </row>
    <row r="10" spans="1:4" ht="23.25" customHeight="1" x14ac:dyDescent="0.25">
      <c r="B10" s="2604" t="s">
        <v>85</v>
      </c>
      <c r="C10" s="2604"/>
      <c r="D10" s="2604"/>
    </row>
    <row r="11" spans="1:4" x14ac:dyDescent="0.25">
      <c r="B11" s="2633" t="s">
        <v>86</v>
      </c>
      <c r="C11" s="2634"/>
      <c r="D11" s="359" t="s">
        <v>167</v>
      </c>
    </row>
    <row r="12" spans="1:4" ht="18.75" customHeight="1" x14ac:dyDescent="0.25">
      <c r="B12" s="2455" t="s">
        <v>88</v>
      </c>
      <c r="C12" s="2455"/>
      <c r="D12" s="169" t="s">
        <v>1503</v>
      </c>
    </row>
    <row r="13" spans="1:4" x14ac:dyDescent="0.25">
      <c r="B13" s="2445" t="s">
        <v>90</v>
      </c>
      <c r="C13" s="2445"/>
      <c r="D13" s="54" t="s">
        <v>711</v>
      </c>
    </row>
    <row r="14" spans="1:4" x14ac:dyDescent="0.25">
      <c r="B14" s="2445" t="s">
        <v>91</v>
      </c>
      <c r="C14" s="2456"/>
      <c r="D14" s="54" t="s">
        <v>214</v>
      </c>
    </row>
    <row r="15" spans="1:4" ht="37.5" x14ac:dyDescent="0.25">
      <c r="B15" s="2445" t="s">
        <v>93</v>
      </c>
      <c r="C15" s="2445"/>
      <c r="D15" s="56" t="s">
        <v>1504</v>
      </c>
    </row>
    <row r="16" spans="1:4" ht="46.5" customHeight="1" x14ac:dyDescent="0.4">
      <c r="B16" s="2445" t="s">
        <v>95</v>
      </c>
      <c r="C16" s="2445"/>
      <c r="D16" s="425"/>
    </row>
    <row r="17" spans="2:4" x14ac:dyDescent="0.25">
      <c r="B17" s="2445" t="s">
        <v>97</v>
      </c>
      <c r="C17" s="2445"/>
      <c r="D17" s="56" t="s">
        <v>989</v>
      </c>
    </row>
    <row r="18" spans="2:4" x14ac:dyDescent="0.25">
      <c r="B18" s="2446" t="s">
        <v>99</v>
      </c>
      <c r="C18" s="2446"/>
      <c r="D18" s="49"/>
    </row>
    <row r="19" spans="2:4" ht="37.5" x14ac:dyDescent="0.25">
      <c r="B19" s="2457" t="s">
        <v>100</v>
      </c>
      <c r="C19" s="2458"/>
      <c r="D19" s="56" t="s">
        <v>1505</v>
      </c>
    </row>
    <row r="20" spans="2:4" x14ac:dyDescent="0.25">
      <c r="B20" s="2445" t="s">
        <v>102</v>
      </c>
      <c r="C20" s="2445"/>
      <c r="D20" s="56" t="s">
        <v>1506</v>
      </c>
    </row>
    <row r="21" spans="2:4" x14ac:dyDescent="0.25">
      <c r="B21" s="2451" t="s">
        <v>104</v>
      </c>
      <c r="C21" s="95" t="s">
        <v>105</v>
      </c>
      <c r="D21" s="49" t="s">
        <v>839</v>
      </c>
    </row>
    <row r="22" spans="2:4" x14ac:dyDescent="0.25">
      <c r="B22" s="2452"/>
      <c r="C22" s="96" t="s">
        <v>107</v>
      </c>
      <c r="D22" s="55" t="s">
        <v>1507</v>
      </c>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x14ac:dyDescent="0.25">
      <c r="B27" s="2447" t="s">
        <v>117</v>
      </c>
      <c r="C27" s="2448"/>
      <c r="D27" s="49"/>
    </row>
    <row r="28" spans="2:4" ht="37.5" x14ac:dyDescent="0.25">
      <c r="B28" s="97" t="s">
        <v>118</v>
      </c>
      <c r="C28" s="98"/>
      <c r="D28" s="56" t="s">
        <v>1508</v>
      </c>
    </row>
    <row r="29" spans="2:4" x14ac:dyDescent="0.25">
      <c r="B29" s="2487" t="s">
        <v>120</v>
      </c>
      <c r="C29" s="2456"/>
      <c r="D29" s="49"/>
    </row>
    <row r="30" spans="2:4" x14ac:dyDescent="0.25">
      <c r="B30" s="628"/>
      <c r="C30" s="628"/>
      <c r="D30" s="629"/>
    </row>
    <row r="31" spans="2:4" ht="23.25" customHeight="1" x14ac:dyDescent="0.25">
      <c r="B31" s="2604" t="s">
        <v>121</v>
      </c>
      <c r="C31" s="2604"/>
      <c r="D31" s="2604"/>
    </row>
    <row r="32" spans="2:4" x14ac:dyDescent="0.25">
      <c r="B32" s="2631" t="s">
        <v>122</v>
      </c>
      <c r="C32" s="2632"/>
      <c r="D32" s="574"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row r="37" spans="2:4" x14ac:dyDescent="0.25">
      <c r="B37" s="689"/>
      <c r="C37" s="690"/>
      <c r="D37" s="691"/>
    </row>
    <row r="40" spans="2:4" ht="19.5" x14ac:dyDescent="0.25">
      <c r="B40" s="2604" t="s">
        <v>1509</v>
      </c>
      <c r="C40" s="2604"/>
      <c r="D40" s="2604"/>
    </row>
    <row r="41" spans="2:4" x14ac:dyDescent="0.25">
      <c r="B41" s="2631" t="s">
        <v>122</v>
      </c>
      <c r="C41" s="2632"/>
      <c r="D41" s="574" t="s">
        <v>1510</v>
      </c>
    </row>
    <row r="42" spans="2:4" x14ac:dyDescent="0.25">
      <c r="B42" s="2442" t="s">
        <v>124</v>
      </c>
      <c r="C42" s="2443"/>
      <c r="D42" s="59" t="s">
        <v>1511</v>
      </c>
    </row>
    <row r="43" spans="2:4" x14ac:dyDescent="0.25">
      <c r="B43" s="2442" t="s">
        <v>126</v>
      </c>
      <c r="C43" s="2443"/>
      <c r="D43" s="59" t="s">
        <v>1482</v>
      </c>
    </row>
    <row r="44" spans="2:4" x14ac:dyDescent="0.25">
      <c r="B44" s="2442" t="s">
        <v>128</v>
      </c>
      <c r="C44" s="2443"/>
      <c r="D44" s="59" t="s">
        <v>1512</v>
      </c>
    </row>
    <row r="45" spans="2:4" x14ac:dyDescent="0.25">
      <c r="B45" s="2442" t="s">
        <v>130</v>
      </c>
      <c r="C45" s="2443"/>
      <c r="D45" s="59" t="s">
        <v>1513</v>
      </c>
    </row>
  </sheetData>
  <mergeCells count="36">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45:C45"/>
    <mergeCell ref="B31:D31"/>
    <mergeCell ref="B32:C32"/>
    <mergeCell ref="B33:C33"/>
    <mergeCell ref="B34:C34"/>
    <mergeCell ref="B35:C35"/>
    <mergeCell ref="B36:C36"/>
    <mergeCell ref="B40:D40"/>
    <mergeCell ref="B41:C41"/>
    <mergeCell ref="B42:C42"/>
    <mergeCell ref="B43:C43"/>
    <mergeCell ref="B44:C44"/>
  </mergeCells>
  <dataValidations count="5">
    <dataValidation type="list" allowBlank="1" showInputMessage="1" showErrorMessage="1" sqref="D7" xr:uid="{D85CA6FD-E740-4A7A-A3F2-AFB2C444B1CD}">
      <formula1>Nombre_indicador_ODS</formula1>
    </dataValidation>
    <dataValidation type="list" allowBlank="1" showInputMessage="1" showErrorMessage="1" sqref="D6" xr:uid="{58503181-B270-4192-8391-034C5610E5DA}">
      <formula1>Numero_indicador</formula1>
    </dataValidation>
    <dataValidation type="list" allowBlank="1" showInputMessage="1" showErrorMessage="1" sqref="D5" xr:uid="{93D80880-8A47-4A5D-8246-9137B1239E5D}">
      <formula1>Metas_ODS</formula1>
    </dataValidation>
    <dataValidation type="list" allowBlank="1" showInputMessage="1" showErrorMessage="1" sqref="D4" xr:uid="{CB291A67-A42E-4D10-94D5-8B02576557D7}">
      <formula1>ODS</formula1>
    </dataValidation>
    <dataValidation allowBlank="1" showDropDown="1" showInputMessage="1" showErrorMessage="1" sqref="D13" xr:uid="{36B0E1BB-4D7E-4542-B83D-887B02EE9B16}"/>
  </dataValidations>
  <hyperlinks>
    <hyperlink ref="B1" location="'3.9.2'!A1" display="REGRESAR" xr:uid="{8CA625E0-7D10-468C-A40A-A7317461C1D8}"/>
    <hyperlink ref="D8" r:id="rId1" xr:uid="{5AB43109-4253-4D3F-88E4-A15E1C1CA562}"/>
  </hyperlinks>
  <pageMargins left="0.7" right="0.7" top="0.75" bottom="0.75" header="0.3" footer="0.3"/>
  <pageSetup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73D6-F930-4E35-B55F-F9A6A8589FA2}">
  <dimension ref="A1:AE142"/>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5.5703125" style="22" customWidth="1"/>
    <col min="3" max="3" width="9.42578125" style="22" customWidth="1"/>
    <col min="4" max="4" width="15.7109375" style="22" customWidth="1"/>
    <col min="5" max="5" width="6.42578125" style="22" customWidth="1"/>
    <col min="6" max="6" width="6.5703125" style="22" customWidth="1"/>
    <col min="7" max="7" width="7.7109375" style="22" customWidth="1"/>
    <col min="8" max="8" width="8" style="22" customWidth="1"/>
    <col min="9" max="9" width="7.5703125" style="22" customWidth="1"/>
    <col min="10" max="10" width="8.28515625" style="22" customWidth="1"/>
    <col min="11" max="11" width="7.5703125" style="22" customWidth="1"/>
    <col min="12" max="12" width="7.7109375" style="22" customWidth="1"/>
    <col min="13" max="13" width="6.7109375" style="22" customWidth="1"/>
    <col min="14" max="15" width="7.42578125" style="22" customWidth="1"/>
    <col min="16" max="16" width="7.28515625" style="22" customWidth="1"/>
    <col min="17" max="17" width="8.28515625" style="22" customWidth="1"/>
    <col min="18" max="18" width="6.7109375" style="22" customWidth="1"/>
    <col min="19" max="19" width="6.5703125" style="22" customWidth="1"/>
    <col min="20" max="20" width="7.7109375" style="22" customWidth="1"/>
    <col min="21" max="21" width="2.28515625" style="22" customWidth="1"/>
    <col min="22" max="22" width="7.5703125" style="22" customWidth="1"/>
    <col min="23" max="23" width="10.42578125" style="22" customWidth="1"/>
    <col min="24" max="24" width="8.42578125" style="22" customWidth="1"/>
    <col min="25" max="25" width="9.28515625" style="22" customWidth="1"/>
    <col min="26" max="26" width="12" style="22" customWidth="1"/>
    <col min="27" max="27" width="9.7109375" style="22" customWidth="1"/>
    <col min="28" max="28" width="9.28515625" style="22" customWidth="1"/>
    <col min="29" max="29" width="2.42578125" style="22" customWidth="1"/>
    <col min="30" max="30" width="10.7109375" style="22" customWidth="1"/>
    <col min="31" max="31" width="8.7109375" style="22" customWidth="1"/>
    <col min="32" max="16384" width="11.42578125" style="22"/>
  </cols>
  <sheetData>
    <row r="1" spans="1:31" s="16" customFormat="1" ht="19.5" x14ac:dyDescent="0.4">
      <c r="A1" s="15" t="s">
        <v>39</v>
      </c>
      <c r="C1" s="2421" t="s">
        <v>149</v>
      </c>
      <c r="D1" s="2421"/>
    </row>
    <row r="2" spans="1:31" s="16" customFormat="1" ht="19.5" x14ac:dyDescent="0.4"/>
    <row r="3" spans="1:31" s="16" customFormat="1" ht="19.5" x14ac:dyDescent="0.4">
      <c r="A3" s="2574" t="s">
        <v>41</v>
      </c>
      <c r="B3" s="2574"/>
      <c r="C3" s="2574" t="s">
        <v>733</v>
      </c>
      <c r="D3" s="2575"/>
      <c r="E3" s="2575"/>
      <c r="F3" s="2575"/>
      <c r="G3" s="2575"/>
      <c r="H3" s="2575"/>
      <c r="I3" s="2575"/>
      <c r="J3" s="2575"/>
      <c r="K3" s="2575"/>
      <c r="L3" s="2575"/>
      <c r="M3" s="2575"/>
      <c r="N3" s="2575"/>
      <c r="O3" s="2575"/>
      <c r="P3" s="2575"/>
      <c r="Q3" s="2575"/>
    </row>
    <row r="4" spans="1:31" s="16" customFormat="1" ht="19.5" x14ac:dyDescent="0.4">
      <c r="A4" s="2574" t="s">
        <v>42</v>
      </c>
      <c r="B4" s="2574"/>
      <c r="C4" s="2574" t="s">
        <v>1485</v>
      </c>
      <c r="D4" s="2575"/>
      <c r="E4" s="2575"/>
      <c r="F4" s="2575"/>
      <c r="G4" s="2575"/>
      <c r="H4" s="2575"/>
      <c r="I4" s="2575"/>
      <c r="J4" s="2575"/>
      <c r="K4" s="2575"/>
      <c r="L4" s="2575"/>
      <c r="M4" s="2575"/>
      <c r="N4" s="2575"/>
      <c r="O4" s="2575"/>
      <c r="P4" s="2575"/>
      <c r="Q4" s="2575"/>
    </row>
    <row r="5" spans="1:31" s="16" customFormat="1" ht="19.5" x14ac:dyDescent="0.4">
      <c r="A5" s="2574" t="s">
        <v>43</v>
      </c>
      <c r="B5" s="2574"/>
      <c r="C5" s="2574" t="s">
        <v>714</v>
      </c>
      <c r="D5" s="2575"/>
      <c r="E5" s="2575"/>
      <c r="F5" s="2575"/>
      <c r="G5" s="2575"/>
      <c r="H5" s="2575"/>
      <c r="I5" s="2575"/>
      <c r="J5" s="2575"/>
      <c r="K5" s="2575"/>
      <c r="L5" s="2575"/>
      <c r="M5" s="2575"/>
      <c r="N5" s="2575"/>
      <c r="O5" s="2575"/>
      <c r="P5" s="2575"/>
      <c r="Q5" s="2575"/>
    </row>
    <row r="6" spans="1:31" s="16" customFormat="1" ht="42" customHeight="1" x14ac:dyDescent="0.4">
      <c r="A6" s="2574" t="s">
        <v>132</v>
      </c>
      <c r="B6" s="2575"/>
      <c r="C6" s="2574" t="s">
        <v>1514</v>
      </c>
      <c r="D6" s="2575"/>
      <c r="E6" s="2575"/>
      <c r="F6" s="2575"/>
      <c r="G6" s="2575"/>
      <c r="H6" s="2575"/>
      <c r="I6" s="2575"/>
      <c r="J6" s="2575"/>
      <c r="K6" s="2575"/>
      <c r="L6" s="2575"/>
      <c r="M6" s="2575"/>
      <c r="N6" s="2575"/>
      <c r="O6" s="2575"/>
      <c r="P6" s="2575"/>
      <c r="Q6" s="2575"/>
    </row>
    <row r="7" spans="1:31" s="16" customFormat="1" ht="19.5" x14ac:dyDescent="0.4"/>
    <row r="8" spans="1:31" s="16" customFormat="1" ht="19.5" x14ac:dyDescent="0.4"/>
    <row r="9" spans="1:31" s="16" customFormat="1" ht="17.45" customHeight="1" x14ac:dyDescent="0.4">
      <c r="C9" s="163" t="s">
        <v>1515</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4.45" customHeight="1" x14ac:dyDescent="0.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row>
    <row r="11" spans="1:31" ht="12.75" customHeight="1" x14ac:dyDescent="0.25">
      <c r="C11" s="2576" t="s">
        <v>247</v>
      </c>
      <c r="D11" s="2578" t="s">
        <v>258</v>
      </c>
      <c r="E11" s="2581" t="s">
        <v>737</v>
      </c>
      <c r="F11" s="2581"/>
      <c r="G11" s="2581"/>
      <c r="H11" s="2581"/>
      <c r="I11" s="2581"/>
      <c r="J11" s="2581"/>
      <c r="K11" s="2581"/>
      <c r="L11" s="2581"/>
      <c r="M11" s="2581"/>
      <c r="N11" s="2581"/>
      <c r="O11" s="2581"/>
      <c r="P11" s="2581"/>
      <c r="Q11" s="2581"/>
      <c r="R11" s="2581"/>
      <c r="S11" s="2581"/>
      <c r="T11" s="2581"/>
      <c r="U11" s="408"/>
      <c r="V11" s="2581" t="s">
        <v>8179</v>
      </c>
      <c r="W11" s="2581"/>
      <c r="X11" s="2581"/>
      <c r="Y11" s="2581"/>
      <c r="Z11" s="2581"/>
      <c r="AA11" s="2581"/>
      <c r="AB11" s="2581"/>
      <c r="AC11" s="408"/>
      <c r="AD11" s="2581" t="s">
        <v>48</v>
      </c>
      <c r="AE11" s="2581"/>
    </row>
    <row r="12" spans="1:31" ht="37.5" x14ac:dyDescent="0.25">
      <c r="C12" s="2577"/>
      <c r="D12" s="2579"/>
      <c r="E12" s="412" t="s">
        <v>1329</v>
      </c>
      <c r="F12" s="687" t="s">
        <v>1470</v>
      </c>
      <c r="G12" s="687" t="s">
        <v>857</v>
      </c>
      <c r="H12" s="687" t="s">
        <v>858</v>
      </c>
      <c r="I12" s="687" t="s">
        <v>859</v>
      </c>
      <c r="J12" s="687" t="s">
        <v>860</v>
      </c>
      <c r="K12" s="687" t="s">
        <v>861</v>
      </c>
      <c r="L12" s="687" t="s">
        <v>862</v>
      </c>
      <c r="M12" s="687" t="s">
        <v>1203</v>
      </c>
      <c r="N12" s="687" t="s">
        <v>1204</v>
      </c>
      <c r="O12" s="687" t="s">
        <v>1205</v>
      </c>
      <c r="P12" s="412" t="s">
        <v>1206</v>
      </c>
      <c r="Q12" s="412" t="s">
        <v>1207</v>
      </c>
      <c r="R12" s="412" t="s">
        <v>1208</v>
      </c>
      <c r="S12" s="412" t="s">
        <v>1223</v>
      </c>
      <c r="T12" s="412" t="s">
        <v>1224</v>
      </c>
      <c r="U12" s="412"/>
      <c r="V12" s="412" t="s">
        <v>328</v>
      </c>
      <c r="W12" s="412" t="s">
        <v>329</v>
      </c>
      <c r="X12" s="412" t="s">
        <v>330</v>
      </c>
      <c r="Y12" s="412" t="s">
        <v>331</v>
      </c>
      <c r="Z12" s="412" t="s">
        <v>1471</v>
      </c>
      <c r="AA12" s="412" t="s">
        <v>533</v>
      </c>
      <c r="AB12" s="412" t="s">
        <v>334</v>
      </c>
      <c r="AC12" s="412"/>
      <c r="AD12" s="412" t="s">
        <v>894</v>
      </c>
      <c r="AE12" s="412" t="s">
        <v>895</v>
      </c>
    </row>
    <row r="13" spans="1:31" ht="18.75" x14ac:dyDescent="0.4">
      <c r="C13" s="2378">
        <v>2010</v>
      </c>
      <c r="D13" s="413">
        <v>1.1469169768856529</v>
      </c>
      <c r="E13" s="413">
        <v>0</v>
      </c>
      <c r="F13" s="413">
        <v>0</v>
      </c>
      <c r="G13" s="413">
        <v>0</v>
      </c>
      <c r="H13" s="413">
        <v>0.2342798238215725</v>
      </c>
      <c r="I13" s="413">
        <v>0.44988910233627416</v>
      </c>
      <c r="J13" s="413">
        <v>1.2219322169760598</v>
      </c>
      <c r="K13" s="413">
        <v>0.84037850647931833</v>
      </c>
      <c r="L13" s="413">
        <v>1.940115113496734</v>
      </c>
      <c r="M13" s="413">
        <v>2.995925541263881</v>
      </c>
      <c r="N13" s="413">
        <v>1.0420538186062183</v>
      </c>
      <c r="O13" s="413">
        <v>3.7013579871192741</v>
      </c>
      <c r="P13" s="413">
        <v>4.7696775697962819</v>
      </c>
      <c r="Q13" s="413">
        <v>0.75376695033429564</v>
      </c>
      <c r="R13" s="413">
        <v>2.0380088653385644</v>
      </c>
      <c r="S13" s="413">
        <v>1.3437428613660491</v>
      </c>
      <c r="T13" s="413">
        <v>0.83116537697505677</v>
      </c>
      <c r="U13" s="413"/>
      <c r="V13" s="2603" t="s">
        <v>8178</v>
      </c>
      <c r="W13" s="2603"/>
      <c r="X13" s="2603"/>
      <c r="Y13" s="2603"/>
      <c r="Z13" s="2603"/>
      <c r="AA13" s="2603"/>
      <c r="AB13" s="2603"/>
      <c r="AC13" s="413"/>
      <c r="AD13" s="413">
        <v>1.832203329200697</v>
      </c>
      <c r="AE13" s="413">
        <v>0.44611549394799721</v>
      </c>
    </row>
    <row r="14" spans="1:31" ht="18.75" x14ac:dyDescent="0.4">
      <c r="C14" s="2382">
        <v>2011</v>
      </c>
      <c r="D14" s="413">
        <v>1.3065778135683315</v>
      </c>
      <c r="E14" s="413">
        <v>0.82351520209063056</v>
      </c>
      <c r="F14" s="413">
        <v>0</v>
      </c>
      <c r="G14" s="413">
        <v>0</v>
      </c>
      <c r="H14" s="413">
        <v>0</v>
      </c>
      <c r="I14" s="413">
        <v>0.22733989587832767</v>
      </c>
      <c r="J14" s="413">
        <v>1.1729214658703313</v>
      </c>
      <c r="K14" s="413">
        <v>1.8945545090397313</v>
      </c>
      <c r="L14" s="413">
        <v>2.5431137248668838</v>
      </c>
      <c r="M14" s="413">
        <v>3.008956660994226</v>
      </c>
      <c r="N14" s="413">
        <v>2.0633517774056105</v>
      </c>
      <c r="O14" s="413">
        <v>2.3795831763469431</v>
      </c>
      <c r="P14" s="413">
        <v>4.5096506523961279</v>
      </c>
      <c r="Q14" s="413">
        <v>2.1420462253575434</v>
      </c>
      <c r="R14" s="413">
        <v>1.9462826002335538</v>
      </c>
      <c r="S14" s="413">
        <v>1.3007284079084287</v>
      </c>
      <c r="T14" s="413">
        <v>0</v>
      </c>
      <c r="U14" s="413"/>
      <c r="V14" s="2572"/>
      <c r="W14" s="2572"/>
      <c r="X14" s="2572"/>
      <c r="Y14" s="2572"/>
      <c r="Z14" s="2572"/>
      <c r="AA14" s="2572"/>
      <c r="AB14" s="2572"/>
      <c r="AC14" s="413"/>
      <c r="AD14" s="413">
        <v>1.9815969948650791</v>
      </c>
      <c r="AE14" s="413">
        <v>0.61652579786144812</v>
      </c>
    </row>
    <row r="15" spans="1:31" ht="18.75" x14ac:dyDescent="0.4">
      <c r="C15" s="2378">
        <v>2012</v>
      </c>
      <c r="D15" s="413">
        <v>1.0961945234077624</v>
      </c>
      <c r="E15" s="413">
        <v>0.54661925335293526</v>
      </c>
      <c r="F15" s="413">
        <v>0</v>
      </c>
      <c r="G15" s="413">
        <v>0</v>
      </c>
      <c r="H15" s="413">
        <v>0</v>
      </c>
      <c r="I15" s="413">
        <v>0.22813758037494741</v>
      </c>
      <c r="J15" s="413">
        <v>0.9205597685738095</v>
      </c>
      <c r="K15" s="413">
        <v>1.3105769535096243</v>
      </c>
      <c r="L15" s="413">
        <v>0.93337604231513827</v>
      </c>
      <c r="M15" s="413">
        <v>2.0067310136687322</v>
      </c>
      <c r="N15" s="413">
        <v>1.0173026840949952</v>
      </c>
      <c r="O15" s="413">
        <v>4.5953376431632718</v>
      </c>
      <c r="P15" s="413">
        <v>4.3014485181687396</v>
      </c>
      <c r="Q15" s="413">
        <v>1.3368290625490085</v>
      </c>
      <c r="R15" s="413">
        <v>1.8555635487008688</v>
      </c>
      <c r="S15" s="413">
        <v>1.2622795087103049</v>
      </c>
      <c r="T15" s="413">
        <v>0.77501487209750364</v>
      </c>
      <c r="U15" s="413"/>
      <c r="V15" s="2572"/>
      <c r="W15" s="2572"/>
      <c r="X15" s="2572"/>
      <c r="Y15" s="2572"/>
      <c r="Z15" s="2572"/>
      <c r="AA15" s="2572"/>
      <c r="AB15" s="2572"/>
      <c r="AC15" s="413"/>
      <c r="AD15" s="413">
        <v>1.8289840224249208</v>
      </c>
      <c r="AE15" s="413">
        <v>0.34761043081491855</v>
      </c>
    </row>
    <row r="16" spans="1:31" ht="18.75" x14ac:dyDescent="0.4">
      <c r="A16" s="23"/>
      <c r="C16" s="2378">
        <v>2013</v>
      </c>
      <c r="D16" s="413">
        <v>1.1881604542808686</v>
      </c>
      <c r="E16" s="413">
        <v>0</v>
      </c>
      <c r="F16" s="413">
        <v>0</v>
      </c>
      <c r="G16" s="413">
        <v>0</v>
      </c>
      <c r="H16" s="413">
        <v>0.23925740814507956</v>
      </c>
      <c r="I16" s="413">
        <v>0.22685335851875696</v>
      </c>
      <c r="J16" s="413">
        <v>1.131276342875096</v>
      </c>
      <c r="K16" s="413">
        <v>0.77078815033304693</v>
      </c>
      <c r="L16" s="413">
        <v>1.5049479095826637</v>
      </c>
      <c r="M16" s="413">
        <v>1.6660878669065493</v>
      </c>
      <c r="N16" s="413">
        <v>1.6874835110467399</v>
      </c>
      <c r="O16" s="413">
        <v>4.0981617809241957</v>
      </c>
      <c r="P16" s="413">
        <v>4.1281061285427292</v>
      </c>
      <c r="Q16" s="413">
        <v>1.8811447658517348</v>
      </c>
      <c r="R16" s="413">
        <v>1.7719522830277252</v>
      </c>
      <c r="S16" s="413">
        <v>2.4460348817989916</v>
      </c>
      <c r="T16" s="413">
        <v>3.0003277936187986</v>
      </c>
      <c r="U16" s="413"/>
      <c r="V16" s="2572"/>
      <c r="W16" s="2572"/>
      <c r="X16" s="2572"/>
      <c r="Y16" s="2572"/>
      <c r="Z16" s="2572"/>
      <c r="AA16" s="2572"/>
      <c r="AB16" s="2572"/>
      <c r="AC16" s="413"/>
      <c r="AD16" s="413">
        <v>1.9740848952335284</v>
      </c>
      <c r="AE16" s="413">
        <v>0.38588217428852489</v>
      </c>
    </row>
    <row r="17" spans="3:31" ht="18.75" x14ac:dyDescent="0.4">
      <c r="C17" s="2378">
        <v>2014</v>
      </c>
      <c r="D17" s="413">
        <v>1.3198886448343004</v>
      </c>
      <c r="E17" s="413">
        <v>0</v>
      </c>
      <c r="F17" s="413">
        <v>0</v>
      </c>
      <c r="G17" s="413">
        <v>0.26058969722547903</v>
      </c>
      <c r="H17" s="413">
        <v>0</v>
      </c>
      <c r="I17" s="413">
        <v>0</v>
      </c>
      <c r="J17" s="413">
        <v>0.88916448602935749</v>
      </c>
      <c r="K17" s="413">
        <v>1.7558951039462136</v>
      </c>
      <c r="L17" s="413">
        <v>1.164952704024619</v>
      </c>
      <c r="M17" s="413">
        <v>2.6409179229892055</v>
      </c>
      <c r="N17" s="413">
        <v>2.3688452974131047</v>
      </c>
      <c r="O17" s="413">
        <v>2.5433365610595771</v>
      </c>
      <c r="P17" s="413">
        <v>5.295741705960971</v>
      </c>
      <c r="Q17" s="413">
        <v>4.1208382288462584</v>
      </c>
      <c r="R17" s="413">
        <v>3.3808424617299009</v>
      </c>
      <c r="S17" s="413">
        <v>1.1761204336535407</v>
      </c>
      <c r="T17" s="413">
        <v>0.72570191452377442</v>
      </c>
      <c r="U17" s="413"/>
      <c r="V17" s="2572"/>
      <c r="W17" s="2572"/>
      <c r="X17" s="2572"/>
      <c r="Y17" s="2572"/>
      <c r="Z17" s="2572"/>
      <c r="AA17" s="2572"/>
      <c r="AB17" s="2572"/>
      <c r="AC17" s="413"/>
      <c r="AD17" s="413">
        <v>2.3233403661334262</v>
      </c>
      <c r="AE17" s="413">
        <v>0.29625776782484581</v>
      </c>
    </row>
    <row r="18" spans="3:31" ht="18.75" x14ac:dyDescent="0.4">
      <c r="C18" s="2382">
        <v>2015</v>
      </c>
      <c r="D18" s="413">
        <v>1.0968012320164353</v>
      </c>
      <c r="E18" s="413">
        <v>0</v>
      </c>
      <c r="F18" s="413">
        <v>0</v>
      </c>
      <c r="G18" s="413">
        <v>0</v>
      </c>
      <c r="H18" s="413">
        <v>0</v>
      </c>
      <c r="I18" s="413">
        <v>0.45921378588374423</v>
      </c>
      <c r="J18" s="413">
        <v>0.88586018728346905</v>
      </c>
      <c r="K18" s="413">
        <v>1.4532242640321216</v>
      </c>
      <c r="L18" s="413">
        <v>1.6832694957563241</v>
      </c>
      <c r="M18" s="413">
        <v>0.65298359481253831</v>
      </c>
      <c r="N18" s="413">
        <v>3.0615364154483853</v>
      </c>
      <c r="O18" s="413">
        <v>3.2150532042608235</v>
      </c>
      <c r="P18" s="413">
        <v>2.9744057624764393</v>
      </c>
      <c r="Q18" s="413">
        <v>1.6592609983698468</v>
      </c>
      <c r="R18" s="413">
        <v>0.80399705744850769</v>
      </c>
      <c r="S18" s="413">
        <v>0</v>
      </c>
      <c r="T18" s="413">
        <v>2.8088133990965214</v>
      </c>
      <c r="U18" s="413"/>
      <c r="V18" s="2572"/>
      <c r="W18" s="2572"/>
      <c r="X18" s="2572"/>
      <c r="Y18" s="2572"/>
      <c r="Z18" s="2572"/>
      <c r="AA18" s="2572"/>
      <c r="AB18" s="2572"/>
      <c r="AC18" s="413"/>
      <c r="AD18" s="413">
        <v>1.7627769992966626</v>
      </c>
      <c r="AE18" s="413">
        <v>0.41790281036196614</v>
      </c>
    </row>
    <row r="19" spans="3:31" ht="18.75" x14ac:dyDescent="0.4">
      <c r="C19" s="2382">
        <v>2016</v>
      </c>
      <c r="D19" s="413">
        <v>1.5336233258139333</v>
      </c>
      <c r="E19" s="413">
        <v>0.26981943972296174</v>
      </c>
      <c r="F19" s="413">
        <v>0.54153026791676173</v>
      </c>
      <c r="G19" s="413">
        <v>0.54179037113013984</v>
      </c>
      <c r="H19" s="413">
        <v>0.24554915367562244</v>
      </c>
      <c r="I19" s="413">
        <v>0.91958402853938048</v>
      </c>
      <c r="J19" s="413">
        <v>1.5676322393365314</v>
      </c>
      <c r="K19" s="413">
        <v>1.3982573412916623</v>
      </c>
      <c r="L19" s="413">
        <v>0.81395299462603865</v>
      </c>
      <c r="M19" s="413">
        <v>3.8544470081629032</v>
      </c>
      <c r="N19" s="413">
        <v>2.7303074868846005</v>
      </c>
      <c r="O19" s="413">
        <v>3.5304999519874398</v>
      </c>
      <c r="P19" s="413">
        <v>3.6827875935752958</v>
      </c>
      <c r="Q19" s="413">
        <v>3.136114029622866</v>
      </c>
      <c r="R19" s="413">
        <v>1.5219276797329395</v>
      </c>
      <c r="S19" s="413">
        <v>1.0751987834240853</v>
      </c>
      <c r="T19" s="413">
        <v>0.67957521190807268</v>
      </c>
      <c r="U19" s="413"/>
      <c r="V19" s="2572"/>
      <c r="W19" s="2572"/>
      <c r="X19" s="2572"/>
      <c r="Y19" s="2572"/>
      <c r="Z19" s="2572"/>
      <c r="AA19" s="2572"/>
      <c r="AB19" s="2572"/>
      <c r="AC19" s="413"/>
      <c r="AD19" s="413">
        <v>2.4312870397709059</v>
      </c>
      <c r="AE19" s="413">
        <v>0.61918208122647522</v>
      </c>
    </row>
    <row r="20" spans="3:31" ht="18.75" x14ac:dyDescent="0.4">
      <c r="C20" s="2382">
        <v>2017</v>
      </c>
      <c r="D20" s="413">
        <v>1.1318871711338518</v>
      </c>
      <c r="E20" s="413">
        <v>0.53895108836099692</v>
      </c>
      <c r="F20" s="413">
        <v>0</v>
      </c>
      <c r="G20" s="413">
        <v>0.2730423520910002</v>
      </c>
      <c r="H20" s="413">
        <v>0.24870833951960752</v>
      </c>
      <c r="I20" s="413">
        <v>0.4621849115123482</v>
      </c>
      <c r="J20" s="413">
        <v>1.1205248586299306</v>
      </c>
      <c r="K20" s="413">
        <v>0.68483998893221976</v>
      </c>
      <c r="L20" s="413">
        <v>1.3138797957767407</v>
      </c>
      <c r="M20" s="413">
        <v>2.202272608273554</v>
      </c>
      <c r="N20" s="413">
        <v>1.7105271925954735</v>
      </c>
      <c r="O20" s="413">
        <v>1.3962695662183502</v>
      </c>
      <c r="P20" s="413">
        <v>3.9595702920085678</v>
      </c>
      <c r="Q20" s="413">
        <v>1.4974482022571263</v>
      </c>
      <c r="R20" s="413">
        <v>2.1377272253498294</v>
      </c>
      <c r="S20" s="413">
        <v>2.0511434347830488</v>
      </c>
      <c r="T20" s="413">
        <v>1.9737161650209361</v>
      </c>
      <c r="U20" s="413"/>
      <c r="V20" s="2572"/>
      <c r="W20" s="2572"/>
      <c r="X20" s="2572"/>
      <c r="Y20" s="2572"/>
      <c r="Z20" s="2572"/>
      <c r="AA20" s="2572"/>
      <c r="AB20" s="2572"/>
      <c r="AC20" s="413"/>
      <c r="AD20" s="413">
        <v>1.8431187749660107</v>
      </c>
      <c r="AE20" s="413">
        <v>0.40787693752471621</v>
      </c>
    </row>
    <row r="21" spans="3:31" ht="18.75" x14ac:dyDescent="0.4">
      <c r="C21" s="2382">
        <v>2018</v>
      </c>
      <c r="D21" s="413">
        <v>1.8187625293718825</v>
      </c>
      <c r="E21" s="413">
        <v>0</v>
      </c>
      <c r="F21" s="413">
        <v>0.53784179421840361</v>
      </c>
      <c r="G21" s="413">
        <v>0</v>
      </c>
      <c r="H21" s="413">
        <v>0.25359599502604069</v>
      </c>
      <c r="I21" s="413">
        <v>0.93635070798361941</v>
      </c>
      <c r="J21" s="413">
        <v>1.5617989324410513</v>
      </c>
      <c r="K21" s="413">
        <v>1.5725439400896943</v>
      </c>
      <c r="L21" s="413">
        <v>1.5459514805360466</v>
      </c>
      <c r="M21" s="413">
        <v>4.2601548992965297</v>
      </c>
      <c r="N21" s="413">
        <v>3.4044188873096437</v>
      </c>
      <c r="O21" s="413">
        <v>3.1222219748556319</v>
      </c>
      <c r="P21" s="413">
        <v>4.2321240135864402</v>
      </c>
      <c r="Q21" s="413">
        <v>4.307192393880773</v>
      </c>
      <c r="R21" s="413">
        <v>3.3386123261220217</v>
      </c>
      <c r="S21" s="413">
        <v>0.9781648666686017</v>
      </c>
      <c r="T21" s="413">
        <v>3.179390985653888</v>
      </c>
      <c r="U21" s="413"/>
      <c r="V21" s="2572"/>
      <c r="W21" s="2572"/>
      <c r="X21" s="2572"/>
      <c r="Y21" s="2572"/>
      <c r="Z21" s="2572"/>
      <c r="AA21" s="2572"/>
      <c r="AB21" s="2572"/>
      <c r="AC21" s="413"/>
      <c r="AD21" s="413">
        <v>2.7743958819801939</v>
      </c>
      <c r="AE21" s="413">
        <v>0.8466614776604976</v>
      </c>
    </row>
    <row r="22" spans="3:31" ht="18.75" x14ac:dyDescent="0.4">
      <c r="C22" s="2382">
        <v>2019</v>
      </c>
      <c r="D22" s="413">
        <v>2.471329050389484</v>
      </c>
      <c r="E22" s="413">
        <v>0.27174524759086255</v>
      </c>
      <c r="F22" s="413">
        <v>0.26944432524144574</v>
      </c>
      <c r="G22" s="413">
        <v>0</v>
      </c>
      <c r="H22" s="413">
        <v>0.25665432244405662</v>
      </c>
      <c r="I22" s="413">
        <v>0.94670227956711961</v>
      </c>
      <c r="J22" s="413">
        <v>2.469726871980034</v>
      </c>
      <c r="K22" s="413">
        <v>1.5462065937618967</v>
      </c>
      <c r="L22" s="413">
        <v>2.5160581289945605</v>
      </c>
      <c r="M22" s="413">
        <v>5.5924683425600952</v>
      </c>
      <c r="N22" s="413">
        <v>3.3696374468070225</v>
      </c>
      <c r="O22" s="413">
        <v>5.2122345197812949</v>
      </c>
      <c r="P22" s="413">
        <v>8.6203796032726316</v>
      </c>
      <c r="Q22" s="413">
        <v>5.520490122556728</v>
      </c>
      <c r="R22" s="413">
        <v>5.0093623060895025</v>
      </c>
      <c r="S22" s="413">
        <v>0</v>
      </c>
      <c r="T22" s="413">
        <v>1.2249462900359369</v>
      </c>
      <c r="U22" s="413"/>
      <c r="V22" s="2572"/>
      <c r="W22" s="2572"/>
      <c r="X22" s="2572"/>
      <c r="Y22" s="2572"/>
      <c r="Z22" s="2572"/>
      <c r="AA22" s="2572"/>
      <c r="AB22" s="2572"/>
      <c r="AC22" s="413"/>
      <c r="AD22" s="413">
        <v>4.1573888122484588</v>
      </c>
      <c r="AE22" s="413">
        <v>0.75747614438784017</v>
      </c>
    </row>
    <row r="23" spans="3:31" ht="18.75" x14ac:dyDescent="0.4">
      <c r="C23" s="2382">
        <v>2020</v>
      </c>
      <c r="D23" s="413">
        <v>3.4238278982212509</v>
      </c>
      <c r="E23" s="413">
        <v>0</v>
      </c>
      <c r="F23" s="413">
        <v>0</v>
      </c>
      <c r="G23" s="413">
        <v>0</v>
      </c>
      <c r="H23" s="413">
        <v>0</v>
      </c>
      <c r="I23" s="413">
        <v>1.4296260332839854</v>
      </c>
      <c r="J23" s="413">
        <v>1.8093159158705825</v>
      </c>
      <c r="K23" s="413">
        <v>4.6236354271604334</v>
      </c>
      <c r="L23" s="413">
        <v>3.8878060125410139</v>
      </c>
      <c r="M23" s="413">
        <v>5.9522339424477728</v>
      </c>
      <c r="N23" s="413">
        <v>7.3262094161707569</v>
      </c>
      <c r="O23" s="413">
        <v>6.6313696455794835</v>
      </c>
      <c r="P23" s="413">
        <v>8.1002494602594997</v>
      </c>
      <c r="Q23" s="413">
        <v>6.6380932686243783</v>
      </c>
      <c r="R23" s="413">
        <v>7.6395938100075131</v>
      </c>
      <c r="S23" s="413">
        <v>7.0798881602046881</v>
      </c>
      <c r="T23" s="413">
        <v>1.7655845770316259</v>
      </c>
      <c r="U23" s="413"/>
      <c r="V23" s="2572"/>
      <c r="W23" s="2572"/>
      <c r="X23" s="2572"/>
      <c r="Y23" s="2572"/>
      <c r="Z23" s="2572"/>
      <c r="AA23" s="2572"/>
      <c r="AB23" s="2572"/>
      <c r="AC23" s="413"/>
      <c r="AD23" s="413">
        <v>5.9016512733373352</v>
      </c>
      <c r="AE23" s="413">
        <v>0.90705170380459454</v>
      </c>
    </row>
    <row r="24" spans="3:31" ht="18.75" x14ac:dyDescent="0.4">
      <c r="C24" s="2382">
        <v>2021</v>
      </c>
      <c r="D24" s="413">
        <v>3.1957928825911583</v>
      </c>
      <c r="E24" s="413">
        <v>0</v>
      </c>
      <c r="F24" s="413">
        <v>0</v>
      </c>
      <c r="G24" s="413">
        <v>0</v>
      </c>
      <c r="H24" s="413">
        <v>0.26686726045627296</v>
      </c>
      <c r="I24" s="413">
        <v>1.2034649946349554</v>
      </c>
      <c r="J24" s="413">
        <v>2.2660247065599703</v>
      </c>
      <c r="K24" s="413">
        <v>2.8950518370707776</v>
      </c>
      <c r="L24" s="413">
        <v>4.4428570478202261</v>
      </c>
      <c r="M24" s="413">
        <v>5.2065485558978422</v>
      </c>
      <c r="N24" s="413">
        <v>8.8391821667888664</v>
      </c>
      <c r="O24" s="413">
        <v>7.6984841582176387</v>
      </c>
      <c r="P24" s="413">
        <v>5.4545491159902175</v>
      </c>
      <c r="Q24" s="413">
        <v>3.8321505906969922</v>
      </c>
      <c r="R24" s="413">
        <v>5.548185688432703</v>
      </c>
      <c r="S24" s="413">
        <v>4.181232514636303</v>
      </c>
      <c r="T24" s="413">
        <v>5.0861446927238081</v>
      </c>
      <c r="U24" s="413"/>
      <c r="V24" s="2572"/>
      <c r="W24" s="2572"/>
      <c r="X24" s="2572"/>
      <c r="Y24" s="2572"/>
      <c r="Z24" s="2572"/>
      <c r="AA24" s="2572"/>
      <c r="AB24" s="2572"/>
      <c r="AC24" s="413"/>
      <c r="AD24" s="413">
        <v>5.1909897282431388</v>
      </c>
      <c r="AE24" s="413">
        <v>1.1707875190190673</v>
      </c>
    </row>
    <row r="25" spans="3:31" ht="18.75" x14ac:dyDescent="0.4">
      <c r="C25" s="2382">
        <v>2022</v>
      </c>
      <c r="D25" s="413">
        <v>2.320953908935798</v>
      </c>
      <c r="E25" s="413">
        <v>0</v>
      </c>
      <c r="F25" s="413">
        <v>0</v>
      </c>
      <c r="G25" s="413">
        <v>0</v>
      </c>
      <c r="H25" s="413">
        <v>0.53814287598999266</v>
      </c>
      <c r="I25" s="413">
        <v>1.4632598896910916</v>
      </c>
      <c r="J25" s="413">
        <v>2.2790281151609961</v>
      </c>
      <c r="K25" s="413">
        <v>4.6813222146546183</v>
      </c>
      <c r="L25" s="413">
        <v>2.9779449740051596</v>
      </c>
      <c r="M25" s="413">
        <v>3.7145095178066931</v>
      </c>
      <c r="N25" s="413">
        <v>2.8839359164974132</v>
      </c>
      <c r="O25" s="413">
        <v>4.2066447878014426</v>
      </c>
      <c r="P25" s="413">
        <v>4.3116554477365447</v>
      </c>
      <c r="Q25" s="413">
        <v>2.8819177234924678</v>
      </c>
      <c r="R25" s="413">
        <v>4.2348599137015199</v>
      </c>
      <c r="S25" s="413">
        <v>3.1270119535142498</v>
      </c>
      <c r="T25" s="413">
        <v>1.0850277928100514</v>
      </c>
      <c r="U25" s="413"/>
      <c r="V25" s="2572"/>
      <c r="W25" s="2572"/>
      <c r="X25" s="2572"/>
      <c r="Y25" s="2572"/>
      <c r="Z25" s="2572"/>
      <c r="AA25" s="2572"/>
      <c r="AB25" s="2572"/>
      <c r="AC25" s="413"/>
      <c r="AD25" s="413">
        <v>3.6571583293258612</v>
      </c>
      <c r="AE25" s="413">
        <v>0.96585330856105422</v>
      </c>
    </row>
    <row r="26" spans="3:31" ht="18.75" x14ac:dyDescent="0.4">
      <c r="C26" s="2382">
        <v>2023</v>
      </c>
      <c r="D26" s="413">
        <v>1.6912960035924005</v>
      </c>
      <c r="E26" s="413">
        <v>0</v>
      </c>
      <c r="F26" s="413">
        <v>0</v>
      </c>
      <c r="G26" s="413">
        <v>0</v>
      </c>
      <c r="H26" s="413">
        <v>0.79937103079034899</v>
      </c>
      <c r="I26" s="413">
        <v>1.2435633339752656</v>
      </c>
      <c r="J26" s="413">
        <v>2.5402234584387737</v>
      </c>
      <c r="K26" s="413">
        <v>2.4420048084199149</v>
      </c>
      <c r="L26" s="413">
        <v>2.028913895824402</v>
      </c>
      <c r="M26" s="413">
        <v>2.3407926590016173</v>
      </c>
      <c r="N26" s="413">
        <v>2.7873032453427982</v>
      </c>
      <c r="O26" s="413">
        <v>1.3945132487235945</v>
      </c>
      <c r="P26" s="413">
        <v>4.9964711345709309</v>
      </c>
      <c r="Q26" s="413">
        <v>1.9988379503380793</v>
      </c>
      <c r="R26" s="413">
        <v>1.0142322429137154</v>
      </c>
      <c r="S26" s="413">
        <v>2.1944612799531642</v>
      </c>
      <c r="T26" s="413">
        <v>2.0808006700903054</v>
      </c>
      <c r="U26" s="413"/>
      <c r="V26" s="2572"/>
      <c r="W26" s="2572"/>
      <c r="X26" s="2572"/>
      <c r="Y26" s="2572"/>
      <c r="Z26" s="2572"/>
      <c r="AA26" s="2572"/>
      <c r="AB26" s="2572"/>
      <c r="AC26" s="413"/>
      <c r="AD26" s="413">
        <v>2.869514905510385</v>
      </c>
      <c r="AE26" s="413">
        <v>0.49737815261211787</v>
      </c>
    </row>
    <row r="27" spans="3:31" ht="19.5" x14ac:dyDescent="0.4">
      <c r="C27" s="383" t="s">
        <v>8168</v>
      </c>
      <c r="D27" s="420">
        <v>1.6912960035924005</v>
      </c>
      <c r="E27" s="420">
        <v>0</v>
      </c>
      <c r="F27" s="420">
        <v>0</v>
      </c>
      <c r="G27" s="420">
        <v>0</v>
      </c>
      <c r="H27" s="420">
        <v>0.79937103079034899</v>
      </c>
      <c r="I27" s="420">
        <v>1.2435633339752656</v>
      </c>
      <c r="J27" s="420">
        <v>2.5402234584387737</v>
      </c>
      <c r="K27" s="420">
        <v>2.4420048084199149</v>
      </c>
      <c r="L27" s="420">
        <v>2.028913895824402</v>
      </c>
      <c r="M27" s="420">
        <v>2.3407926590016173</v>
      </c>
      <c r="N27" s="420">
        <v>2.7873032453427982</v>
      </c>
      <c r="O27" s="420">
        <v>1.3945132487235945</v>
      </c>
      <c r="P27" s="420">
        <v>4.9964711345709309</v>
      </c>
      <c r="Q27" s="420">
        <v>1.9988379503380793</v>
      </c>
      <c r="R27" s="420">
        <v>1.0142322429137154</v>
      </c>
      <c r="S27" s="420">
        <v>2.1944612799531642</v>
      </c>
      <c r="T27" s="420">
        <v>2.0808006700903054</v>
      </c>
      <c r="U27" s="420"/>
      <c r="V27" s="2573"/>
      <c r="W27" s="2573"/>
      <c r="X27" s="2573"/>
      <c r="Y27" s="2573"/>
      <c r="Z27" s="2573"/>
      <c r="AA27" s="2573"/>
      <c r="AB27" s="2573"/>
      <c r="AC27" s="420"/>
      <c r="AD27" s="420">
        <v>2.869514905510385</v>
      </c>
      <c r="AE27" s="420">
        <v>0.49737815261211787</v>
      </c>
    </row>
    <row r="28" spans="3:31"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3:31" ht="18.75" x14ac:dyDescent="0.4">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row>
    <row r="30" spans="3:31" ht="19.899999999999999" customHeight="1" x14ac:dyDescent="0.4">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row>
    <row r="31" spans="3:31" ht="19.899999999999999" customHeight="1" x14ac:dyDescent="0.25">
      <c r="C31" s="435"/>
      <c r="D31" s="435"/>
    </row>
    <row r="32" spans="3:31" ht="19.5" x14ac:dyDescent="0.25">
      <c r="C32" s="367" t="s">
        <v>8191</v>
      </c>
      <c r="D32" s="618"/>
      <c r="E32" s="618"/>
      <c r="F32" s="618"/>
      <c r="G32" s="618"/>
      <c r="H32" s="618"/>
      <c r="I32" s="618"/>
      <c r="J32" s="618"/>
    </row>
    <row r="51" spans="3:19" ht="18.75" x14ac:dyDescent="0.4">
      <c r="C51" s="5" t="s">
        <v>8192</v>
      </c>
    </row>
    <row r="55" spans="3:19" ht="18.75" x14ac:dyDescent="0.4">
      <c r="C55" s="154" t="s">
        <v>1516</v>
      </c>
      <c r="D55" s="5"/>
      <c r="E55" s="5"/>
      <c r="F55" s="5"/>
      <c r="G55" s="5"/>
      <c r="H55" s="5"/>
      <c r="I55" s="5"/>
      <c r="J55" s="5"/>
      <c r="K55" s="5"/>
      <c r="L55" s="5"/>
      <c r="M55" s="5"/>
      <c r="N55" s="5"/>
      <c r="O55" s="5"/>
      <c r="P55" s="5"/>
    </row>
    <row r="56" spans="3:19" ht="18.75" x14ac:dyDescent="0.4">
      <c r="C56" s="5"/>
      <c r="D56" s="5"/>
      <c r="E56" s="5"/>
      <c r="F56" s="5"/>
      <c r="G56" s="5"/>
      <c r="H56" s="5"/>
      <c r="I56" s="5"/>
      <c r="J56" s="5"/>
      <c r="K56" s="5"/>
      <c r="L56" s="5"/>
      <c r="M56" s="5"/>
      <c r="N56" s="5"/>
      <c r="O56" s="5"/>
      <c r="P56" s="5"/>
    </row>
    <row r="57" spans="3:19" ht="18.75" x14ac:dyDescent="0.25">
      <c r="C57" s="388" t="s">
        <v>749</v>
      </c>
      <c r="D57" s="389" t="s">
        <v>750</v>
      </c>
      <c r="E57" s="390">
        <v>2010</v>
      </c>
      <c r="F57" s="390">
        <v>2011</v>
      </c>
      <c r="G57" s="390">
        <v>2012</v>
      </c>
      <c r="H57" s="390">
        <v>2013</v>
      </c>
      <c r="I57" s="390">
        <v>2014</v>
      </c>
      <c r="J57" s="390">
        <v>2015</v>
      </c>
      <c r="K57" s="390">
        <v>2016</v>
      </c>
      <c r="L57" s="390">
        <v>2017</v>
      </c>
      <c r="M57" s="390">
        <v>2018</v>
      </c>
      <c r="N57" s="390">
        <v>2019</v>
      </c>
      <c r="O57" s="390">
        <v>2020</v>
      </c>
      <c r="P57" s="390">
        <v>2021</v>
      </c>
      <c r="Q57" s="390">
        <v>2022</v>
      </c>
      <c r="R57" s="2379">
        <v>2023</v>
      </c>
      <c r="S57" s="2379">
        <v>2024</v>
      </c>
    </row>
    <row r="58" spans="3:19" ht="18.75" x14ac:dyDescent="0.4">
      <c r="C58" s="2567" t="s">
        <v>328</v>
      </c>
      <c r="D58" s="391" t="s">
        <v>328</v>
      </c>
      <c r="E58" s="340">
        <v>2.8137486009416679</v>
      </c>
      <c r="F58" s="340">
        <v>2.1728670981359901</v>
      </c>
      <c r="G58" s="340">
        <v>1.845273792498962</v>
      </c>
      <c r="H58" s="340">
        <v>1.5236841463711939</v>
      </c>
      <c r="I58" s="340">
        <v>1.5104873134170547</v>
      </c>
      <c r="J58" s="340">
        <v>2.095933888256782</v>
      </c>
      <c r="K58" s="340">
        <v>1.1876766669042018</v>
      </c>
      <c r="L58" s="340">
        <v>0.2944805510320071</v>
      </c>
      <c r="M58" s="340">
        <v>2.6301331431844486</v>
      </c>
      <c r="N58" s="340">
        <v>2.609822793032353</v>
      </c>
      <c r="O58" s="340">
        <v>5.4692312563687757</v>
      </c>
      <c r="P58" s="340">
        <v>3.7177060038092189</v>
      </c>
      <c r="Q58" s="423">
        <v>2.8412481034668908</v>
      </c>
    </row>
    <row r="59" spans="3:19" ht="18.75" x14ac:dyDescent="0.4">
      <c r="C59" s="2567"/>
      <c r="D59" s="391" t="s">
        <v>752</v>
      </c>
      <c r="E59" s="392" t="s">
        <v>751</v>
      </c>
      <c r="F59" s="340">
        <v>1.5689227776208856</v>
      </c>
      <c r="G59" s="340">
        <v>3.1021218513463209</v>
      </c>
      <c r="H59" s="392" t="s">
        <v>751</v>
      </c>
      <c r="I59" s="340">
        <v>3.0337504740235115</v>
      </c>
      <c r="J59" s="392" t="s">
        <v>751</v>
      </c>
      <c r="K59" s="340">
        <v>2.9690329859564741</v>
      </c>
      <c r="L59" s="392" t="s">
        <v>751</v>
      </c>
      <c r="M59" s="340">
        <v>2.9100221161680828</v>
      </c>
      <c r="N59" s="340">
        <v>2.8820935527567224</v>
      </c>
      <c r="O59" s="340">
        <v>5.7098809489822138</v>
      </c>
      <c r="P59" s="340">
        <v>1.415588460122873</v>
      </c>
      <c r="Q59" s="340">
        <v>2.8089098620825257</v>
      </c>
    </row>
    <row r="60" spans="3:19" ht="18.75" x14ac:dyDescent="0.4">
      <c r="C60" s="2567"/>
      <c r="D60" s="391" t="s">
        <v>753</v>
      </c>
      <c r="E60" s="392" t="s">
        <v>751</v>
      </c>
      <c r="F60" s="340">
        <v>1.7952676744102547</v>
      </c>
      <c r="G60" s="340">
        <v>0.88703990349005846</v>
      </c>
      <c r="H60" s="340">
        <v>0.87664700055228761</v>
      </c>
      <c r="I60" s="340">
        <v>1.2999956666811112</v>
      </c>
      <c r="J60" s="340">
        <v>0.85704490915323972</v>
      </c>
      <c r="K60" s="340">
        <v>1.271924803805599</v>
      </c>
      <c r="L60" s="392" t="s">
        <v>751</v>
      </c>
      <c r="M60" s="340">
        <v>2.4930299038936972</v>
      </c>
      <c r="N60" s="340">
        <v>3.2924114032668954</v>
      </c>
      <c r="O60" s="340">
        <v>7.7485237023261879</v>
      </c>
      <c r="P60" s="340">
        <v>2.4258890883508806</v>
      </c>
      <c r="Q60" s="340">
        <v>3.2081229673533387</v>
      </c>
    </row>
    <row r="61" spans="3:19" ht="18.75" x14ac:dyDescent="0.4">
      <c r="C61" s="2567"/>
      <c r="D61" s="391" t="s">
        <v>754</v>
      </c>
      <c r="E61" s="340">
        <v>2.9366850698931048</v>
      </c>
      <c r="F61" s="340">
        <v>8.6994345367551116</v>
      </c>
      <c r="G61" s="392" t="s">
        <v>751</v>
      </c>
      <c r="H61" s="392" t="s">
        <v>751</v>
      </c>
      <c r="I61" s="340">
        <v>2.7901007226360872</v>
      </c>
      <c r="J61" s="340">
        <v>2.756947507719453</v>
      </c>
      <c r="K61" s="340">
        <v>5.4588132539985805</v>
      </c>
      <c r="L61" s="392" t="s">
        <v>751</v>
      </c>
      <c r="M61" s="392" t="s">
        <v>751</v>
      </c>
      <c r="N61" s="392" t="s">
        <v>751</v>
      </c>
      <c r="O61" s="340">
        <v>2.6327567596029802</v>
      </c>
      <c r="P61" s="340">
        <v>5.2222048148728391</v>
      </c>
      <c r="Q61" s="340">
        <v>2.5911434716140231</v>
      </c>
    </row>
    <row r="62" spans="3:19" ht="18.75" x14ac:dyDescent="0.4">
      <c r="C62" s="2567"/>
      <c r="D62" s="391" t="s">
        <v>755</v>
      </c>
      <c r="E62" s="392" t="s">
        <v>751</v>
      </c>
      <c r="F62" s="392" t="s">
        <v>751</v>
      </c>
      <c r="G62" s="392" t="s">
        <v>751</v>
      </c>
      <c r="H62" s="392" t="s">
        <v>751</v>
      </c>
      <c r="I62" s="392" t="s">
        <v>751</v>
      </c>
      <c r="J62" s="392" t="s">
        <v>751</v>
      </c>
      <c r="K62" s="392" t="s">
        <v>751</v>
      </c>
      <c r="L62" s="392" t="s">
        <v>751</v>
      </c>
      <c r="M62" s="392" t="s">
        <v>751</v>
      </c>
      <c r="N62" s="392" t="s">
        <v>751</v>
      </c>
      <c r="O62" s="340">
        <v>10.790396547073104</v>
      </c>
      <c r="P62" s="392" t="s">
        <v>751</v>
      </c>
      <c r="Q62" s="392">
        <v>5.3228296162239843</v>
      </c>
    </row>
    <row r="63" spans="3:19" ht="18.75" x14ac:dyDescent="0.4">
      <c r="C63" s="2567"/>
      <c r="D63" s="391" t="s">
        <v>756</v>
      </c>
      <c r="E63" s="392" t="s">
        <v>751</v>
      </c>
      <c r="F63" s="392" t="s">
        <v>751</v>
      </c>
      <c r="G63" s="392" t="s">
        <v>751</v>
      </c>
      <c r="H63" s="392" t="s">
        <v>751</v>
      </c>
      <c r="I63" s="392" t="s">
        <v>751</v>
      </c>
      <c r="J63" s="340">
        <v>4.9390846229832075</v>
      </c>
      <c r="K63" s="392" t="s">
        <v>751</v>
      </c>
      <c r="L63" s="392" t="s">
        <v>751</v>
      </c>
      <c r="M63" s="340">
        <v>3.2011780335163338</v>
      </c>
      <c r="N63" s="392" t="s">
        <v>751</v>
      </c>
      <c r="O63" s="340">
        <v>7.8704213823608118</v>
      </c>
      <c r="P63" s="340">
        <v>1.5619630751929023</v>
      </c>
      <c r="Q63" s="340">
        <v>1.5508684863523574</v>
      </c>
    </row>
    <row r="64" spans="3:19" ht="18.75" x14ac:dyDescent="0.4">
      <c r="C64" s="2567"/>
      <c r="D64" s="391" t="s">
        <v>757</v>
      </c>
      <c r="E64" s="392" t="s">
        <v>751</v>
      </c>
      <c r="F64" s="340">
        <v>7.206947497387481</v>
      </c>
      <c r="G64" s="340">
        <v>3.5632839224629418</v>
      </c>
      <c r="H64" s="340">
        <v>3.5231116121758737</v>
      </c>
      <c r="I64" s="392" t="s">
        <v>751</v>
      </c>
      <c r="J64" s="340">
        <v>3.4474437204812634</v>
      </c>
      <c r="K64" s="392" t="s">
        <v>751</v>
      </c>
      <c r="L64" s="392" t="s">
        <v>751</v>
      </c>
      <c r="M64" s="392" t="s">
        <v>751</v>
      </c>
      <c r="N64" s="340">
        <v>3.3259054777663222</v>
      </c>
      <c r="O64" s="340">
        <v>3.298370604921169</v>
      </c>
      <c r="P64" s="340">
        <v>9.821253191907287</v>
      </c>
      <c r="Q64" s="340">
        <v>6.5021619688546437</v>
      </c>
    </row>
    <row r="65" spans="3:17" ht="18.75" x14ac:dyDescent="0.4">
      <c r="C65" s="2567"/>
      <c r="D65" s="391" t="s">
        <v>758</v>
      </c>
      <c r="E65" s="340">
        <v>0.79752448400165887</v>
      </c>
      <c r="F65" s="340">
        <v>1.5775856629014957</v>
      </c>
      <c r="G65" s="340">
        <v>5.4626471988325545</v>
      </c>
      <c r="H65" s="340">
        <v>4.6327038003613508</v>
      </c>
      <c r="I65" s="340">
        <v>1.528420988277011</v>
      </c>
      <c r="J65" s="340">
        <v>1.5127448755767339</v>
      </c>
      <c r="K65" s="340">
        <v>1.4974879639404899</v>
      </c>
      <c r="L65" s="392" t="s">
        <v>751</v>
      </c>
      <c r="M65" s="340">
        <v>2.9387563183260843</v>
      </c>
      <c r="N65" s="340">
        <v>2.1845508563439355</v>
      </c>
      <c r="O65" s="340">
        <v>3.6094567767550982</v>
      </c>
      <c r="P65" s="340">
        <v>2.1477970761322469</v>
      </c>
      <c r="Q65" s="340">
        <v>1.4208178227387684</v>
      </c>
    </row>
    <row r="66" spans="3:17" ht="18.75" x14ac:dyDescent="0.4">
      <c r="C66" s="2567"/>
      <c r="D66" s="391" t="s">
        <v>759</v>
      </c>
      <c r="E66" s="340">
        <v>3.8199285673357908</v>
      </c>
      <c r="F66" s="392" t="s">
        <v>751</v>
      </c>
      <c r="G66" s="392" t="s">
        <v>751</v>
      </c>
      <c r="H66" s="392" t="s">
        <v>751</v>
      </c>
      <c r="I66" s="340">
        <v>1.7942691044802899</v>
      </c>
      <c r="J66" s="392" t="s">
        <v>751</v>
      </c>
      <c r="K66" s="340">
        <v>1.7428282617030917</v>
      </c>
      <c r="L66" s="340">
        <v>3.4388486734641242</v>
      </c>
      <c r="M66" s="392" t="s">
        <v>751</v>
      </c>
      <c r="N66" s="340">
        <v>8.3750690943200272</v>
      </c>
      <c r="O66" s="392" t="s">
        <v>751</v>
      </c>
      <c r="P66" s="340">
        <v>1.6350021255027634</v>
      </c>
      <c r="Q66" s="392" t="s">
        <v>751</v>
      </c>
    </row>
    <row r="67" spans="3:17" ht="18.75" x14ac:dyDescent="0.4">
      <c r="C67" s="2567"/>
      <c r="D67" s="391" t="s">
        <v>760</v>
      </c>
      <c r="E67" s="340">
        <v>2.470142156681117</v>
      </c>
      <c r="F67" s="340">
        <v>3.6442263307499814</v>
      </c>
      <c r="G67" s="392" t="s">
        <v>751</v>
      </c>
      <c r="H67" s="340">
        <v>2.3516408574082566</v>
      </c>
      <c r="I67" s="340">
        <v>2.3148951931201314</v>
      </c>
      <c r="J67" s="340">
        <v>1.1398089680169603</v>
      </c>
      <c r="K67" s="340">
        <v>1.1216546649617516</v>
      </c>
      <c r="L67" s="392" t="s">
        <v>751</v>
      </c>
      <c r="M67" s="340">
        <v>5.4396901552487567</v>
      </c>
      <c r="N67" s="340">
        <v>1.0724205604469847</v>
      </c>
      <c r="O67" s="340">
        <v>5.2883191606379825</v>
      </c>
      <c r="P67" s="340">
        <v>2.0862018608920598</v>
      </c>
      <c r="Q67" s="340">
        <v>1.0292513225879494</v>
      </c>
    </row>
    <row r="68" spans="3:17" ht="18.75" x14ac:dyDescent="0.4">
      <c r="C68" s="2567"/>
      <c r="D68" s="391" t="s">
        <v>761</v>
      </c>
      <c r="E68" s="340">
        <v>4.7026366115935669</v>
      </c>
      <c r="F68" s="392" t="s">
        <v>751</v>
      </c>
      <c r="G68" s="392" t="s">
        <v>751</v>
      </c>
      <c r="H68" s="392" t="s">
        <v>751</v>
      </c>
      <c r="I68" s="340">
        <v>2.9788945322390861</v>
      </c>
      <c r="J68" s="392" t="s">
        <v>751</v>
      </c>
      <c r="K68" s="392" t="s">
        <v>751</v>
      </c>
      <c r="L68" s="340">
        <v>4.3165467625899288</v>
      </c>
      <c r="M68" s="340">
        <v>2.8470966731675373</v>
      </c>
      <c r="N68" s="340">
        <v>7.0450318435439332</v>
      </c>
      <c r="O68" s="340">
        <v>6.9771011540125309</v>
      </c>
      <c r="P68" s="392" t="s">
        <v>751</v>
      </c>
      <c r="Q68" s="392" t="s">
        <v>751</v>
      </c>
    </row>
    <row r="69" spans="3:17" ht="18.75" x14ac:dyDescent="0.4">
      <c r="C69" s="2567"/>
      <c r="D69" s="391" t="s">
        <v>762</v>
      </c>
      <c r="E69" s="392" t="s">
        <v>751</v>
      </c>
      <c r="F69" s="392" t="s">
        <v>751</v>
      </c>
      <c r="G69" s="392" t="s">
        <v>751</v>
      </c>
      <c r="H69" s="392" t="s">
        <v>751</v>
      </c>
      <c r="I69" s="392" t="s">
        <v>751</v>
      </c>
      <c r="J69" s="392" t="s">
        <v>751</v>
      </c>
      <c r="K69" s="392" t="s">
        <v>751</v>
      </c>
      <c r="L69" s="392" t="s">
        <v>751</v>
      </c>
      <c r="M69" s="340">
        <v>9.22636896249481</v>
      </c>
      <c r="N69" s="392" t="s">
        <v>751</v>
      </c>
      <c r="O69" s="392" t="s">
        <v>751</v>
      </c>
      <c r="P69" s="340">
        <v>4.5220222483494616</v>
      </c>
      <c r="Q69" s="340">
        <v>4.4929685042907845</v>
      </c>
    </row>
    <row r="70" spans="3:17" ht="18.75" x14ac:dyDescent="0.4">
      <c r="C70" s="2567"/>
      <c r="D70" s="391" t="s">
        <v>763</v>
      </c>
      <c r="E70" s="340">
        <v>3.8589675975354059</v>
      </c>
      <c r="F70" s="340">
        <v>3.8213639721804706</v>
      </c>
      <c r="G70" s="340">
        <v>1.2617500473156267</v>
      </c>
      <c r="H70" s="340">
        <v>1.2500937570317774</v>
      </c>
      <c r="I70" s="392" t="s">
        <v>751</v>
      </c>
      <c r="J70" s="340">
        <v>1.2269035408436189</v>
      </c>
      <c r="K70" s="340">
        <v>1.2163082611657099</v>
      </c>
      <c r="L70" s="340">
        <v>2.4128653983037558</v>
      </c>
      <c r="M70" s="340">
        <v>1.1966875688095351</v>
      </c>
      <c r="N70" s="340">
        <v>8.3120584218963369</v>
      </c>
      <c r="O70" s="340">
        <v>2.356462007941277</v>
      </c>
      <c r="P70" s="340">
        <v>2.3395643731137263</v>
      </c>
      <c r="Q70" s="340">
        <v>2.323825015976297</v>
      </c>
    </row>
    <row r="71" spans="3:17" ht="18.75" x14ac:dyDescent="0.4">
      <c r="C71" s="2567"/>
      <c r="D71" s="391" t="s">
        <v>764</v>
      </c>
      <c r="E71" s="392" t="s">
        <v>751</v>
      </c>
      <c r="F71" s="340">
        <v>1.7034614336331426</v>
      </c>
      <c r="G71" s="392" t="s">
        <v>751</v>
      </c>
      <c r="H71" s="392" t="s">
        <v>751</v>
      </c>
      <c r="I71" s="340">
        <v>3.321321221581945</v>
      </c>
      <c r="J71" s="340">
        <v>1.6466597506957139</v>
      </c>
      <c r="K71" s="340">
        <v>1.6353764636619348</v>
      </c>
      <c r="L71" s="340">
        <v>1.6249065678723473</v>
      </c>
      <c r="M71" s="340">
        <v>1.6150392454536644</v>
      </c>
      <c r="N71" s="340">
        <v>8.0269706212875267</v>
      </c>
      <c r="O71" s="392" t="s">
        <v>751</v>
      </c>
      <c r="P71" s="392" t="s">
        <v>751</v>
      </c>
      <c r="Q71" s="392">
        <v>3.1616054632542405</v>
      </c>
    </row>
    <row r="72" spans="3:17" ht="18.75" x14ac:dyDescent="0.4">
      <c r="C72" s="2567"/>
      <c r="D72" s="391" t="s">
        <v>765</v>
      </c>
      <c r="E72" s="340">
        <v>1.6767832589959424</v>
      </c>
      <c r="F72" s="392" t="s">
        <v>751</v>
      </c>
      <c r="G72" s="340">
        <v>1.656424442199069</v>
      </c>
      <c r="H72" s="392" t="s">
        <v>751</v>
      </c>
      <c r="I72" s="340">
        <v>1.6384847293223228</v>
      </c>
      <c r="J72" s="340">
        <v>1.62903593653276</v>
      </c>
      <c r="K72" s="392" t="s">
        <v>751</v>
      </c>
      <c r="L72" s="392" t="s">
        <v>751</v>
      </c>
      <c r="M72" s="340">
        <v>1.6101244626209605</v>
      </c>
      <c r="N72" s="392" t="s">
        <v>751</v>
      </c>
      <c r="O72" s="392" t="s">
        <v>751</v>
      </c>
      <c r="P72" s="340">
        <v>3.1891314400523014</v>
      </c>
      <c r="Q72" s="392" t="s">
        <v>751</v>
      </c>
    </row>
    <row r="73" spans="3:17" ht="18.75" x14ac:dyDescent="0.4">
      <c r="C73" s="2567"/>
      <c r="D73" s="391" t="s">
        <v>766</v>
      </c>
      <c r="E73" s="392" t="s">
        <v>751</v>
      </c>
      <c r="F73" s="392" t="s">
        <v>751</v>
      </c>
      <c r="G73" s="392" t="s">
        <v>751</v>
      </c>
      <c r="H73" s="392" t="s">
        <v>751</v>
      </c>
      <c r="I73" s="392" t="s">
        <v>751</v>
      </c>
      <c r="J73" s="392" t="s">
        <v>751</v>
      </c>
      <c r="K73" s="392" t="s">
        <v>751</v>
      </c>
      <c r="L73" s="392" t="s">
        <v>751</v>
      </c>
      <c r="M73" s="392" t="s">
        <v>751</v>
      </c>
      <c r="N73" s="392" t="s">
        <v>751</v>
      </c>
      <c r="O73" s="340">
        <v>14.553922282055012</v>
      </c>
      <c r="P73" s="392" t="s">
        <v>751</v>
      </c>
      <c r="Q73" s="392" t="s">
        <v>751</v>
      </c>
    </row>
    <row r="74" spans="3:17" ht="18.75" x14ac:dyDescent="0.4">
      <c r="C74" s="2567"/>
      <c r="D74" s="391" t="s">
        <v>767</v>
      </c>
      <c r="E74" s="392" t="s">
        <v>751</v>
      </c>
      <c r="F74" s="392" t="s">
        <v>751</v>
      </c>
      <c r="G74" s="392" t="s">
        <v>751</v>
      </c>
      <c r="H74" s="392" t="s">
        <v>751</v>
      </c>
      <c r="I74" s="392" t="s">
        <v>751</v>
      </c>
      <c r="J74" s="392" t="s">
        <v>751</v>
      </c>
      <c r="K74" s="392" t="s">
        <v>751</v>
      </c>
      <c r="L74" s="392" t="s">
        <v>751</v>
      </c>
      <c r="M74" s="392" t="s">
        <v>751</v>
      </c>
      <c r="N74" s="392" t="s">
        <v>751</v>
      </c>
      <c r="O74" s="392" t="s">
        <v>751</v>
      </c>
      <c r="P74" s="392" t="s">
        <v>751</v>
      </c>
      <c r="Q74" s="392" t="s">
        <v>751</v>
      </c>
    </row>
    <row r="75" spans="3:17" ht="18.75" x14ac:dyDescent="0.4">
      <c r="C75" s="2567"/>
      <c r="D75" s="391" t="s">
        <v>768</v>
      </c>
      <c r="E75" s="340">
        <v>2.7573275980919294</v>
      </c>
      <c r="F75" s="340">
        <v>1.3644798602772623</v>
      </c>
      <c r="G75" s="340">
        <v>1.3503477145364933</v>
      </c>
      <c r="H75" s="340">
        <v>2.6731177909354575</v>
      </c>
      <c r="I75" s="392" t="s">
        <v>751</v>
      </c>
      <c r="J75" s="340">
        <v>1.31004938886196</v>
      </c>
      <c r="K75" s="340">
        <v>3.8946876460507864</v>
      </c>
      <c r="L75" s="392" t="s">
        <v>751</v>
      </c>
      <c r="M75" s="392" t="s">
        <v>751</v>
      </c>
      <c r="N75" s="340">
        <v>3.7993439799394637</v>
      </c>
      <c r="O75" s="340">
        <v>5.0265780313407138</v>
      </c>
      <c r="P75" s="340">
        <v>2.4955703626063737</v>
      </c>
      <c r="Q75" s="392" t="s">
        <v>751</v>
      </c>
    </row>
    <row r="76" spans="3:17" ht="18.75" x14ac:dyDescent="0.4">
      <c r="C76" s="2567"/>
      <c r="D76" s="391" t="s">
        <v>769</v>
      </c>
      <c r="E76" s="392" t="s">
        <v>751</v>
      </c>
      <c r="F76" s="340">
        <v>1.4361213235294117</v>
      </c>
      <c r="G76" s="340">
        <v>0.71439797682492967</v>
      </c>
      <c r="H76" s="340">
        <v>1.4214742109041287</v>
      </c>
      <c r="I76" s="392" t="s">
        <v>751</v>
      </c>
      <c r="J76" s="340">
        <v>0.70423527091930871</v>
      </c>
      <c r="K76" s="340">
        <v>0.70278513749991212</v>
      </c>
      <c r="L76" s="340">
        <v>0.70150824272185197</v>
      </c>
      <c r="M76" s="392" t="s">
        <v>751</v>
      </c>
      <c r="N76" s="340">
        <v>0.69931537025252277</v>
      </c>
      <c r="O76" s="340">
        <v>0.69872901192730419</v>
      </c>
      <c r="P76" s="340">
        <v>2.7928670176369552</v>
      </c>
      <c r="Q76" s="340">
        <v>2.0937731187448527</v>
      </c>
    </row>
    <row r="77" spans="3:17" ht="18.75" x14ac:dyDescent="0.4">
      <c r="C77" s="2567"/>
      <c r="D77" s="391" t="s">
        <v>770</v>
      </c>
      <c r="E77" s="392" t="s">
        <v>751</v>
      </c>
      <c r="F77" s="340">
        <v>8.0198893255273074</v>
      </c>
      <c r="G77" s="392" t="s">
        <v>751</v>
      </c>
      <c r="H77" s="392" t="s">
        <v>751</v>
      </c>
      <c r="I77" s="392" t="s">
        <v>751</v>
      </c>
      <c r="J77" s="392" t="s">
        <v>751</v>
      </c>
      <c r="K77" s="392" t="s">
        <v>751</v>
      </c>
      <c r="L77" s="392" t="s">
        <v>751</v>
      </c>
      <c r="M77" s="392" t="s">
        <v>751</v>
      </c>
      <c r="N77" s="392" t="s">
        <v>751</v>
      </c>
      <c r="O77" s="392" t="s">
        <v>751</v>
      </c>
      <c r="P77" s="340">
        <v>7.2077266830041804</v>
      </c>
      <c r="Q77" s="340">
        <v>7.147962830593281</v>
      </c>
    </row>
    <row r="78" spans="3:17" ht="18.75" x14ac:dyDescent="0.4">
      <c r="C78" s="2567" t="s">
        <v>329</v>
      </c>
      <c r="D78" s="391" t="s">
        <v>329</v>
      </c>
      <c r="E78" s="340">
        <v>2.200970628046969</v>
      </c>
      <c r="F78" s="340">
        <v>1.8063975375188768</v>
      </c>
      <c r="G78" s="340">
        <v>1.0675624701972144</v>
      </c>
      <c r="H78" s="340">
        <v>1.4022344606129868</v>
      </c>
      <c r="I78" s="340">
        <v>1.3819264746019189</v>
      </c>
      <c r="J78" s="340">
        <v>1.7029914748246771</v>
      </c>
      <c r="K78" s="340">
        <v>2.3499474618888878</v>
      </c>
      <c r="L78" s="340">
        <v>0.99313413269596185</v>
      </c>
      <c r="M78" s="340">
        <v>3.2657753277205539</v>
      </c>
      <c r="N78" s="340">
        <v>0.64464557386348986</v>
      </c>
      <c r="O78" s="340">
        <v>2.5460760194647514</v>
      </c>
      <c r="P78" s="340">
        <v>3.1437939934671961</v>
      </c>
      <c r="Q78" s="340">
        <v>1.553412536660536</v>
      </c>
    </row>
    <row r="79" spans="3:17" ht="18.75" x14ac:dyDescent="0.4">
      <c r="C79" s="2567"/>
      <c r="D79" s="391" t="s">
        <v>771</v>
      </c>
      <c r="E79" s="340">
        <v>2.4167139939823823</v>
      </c>
      <c r="F79" s="392" t="s">
        <v>751</v>
      </c>
      <c r="G79" s="392" t="s">
        <v>751</v>
      </c>
      <c r="H79" s="392" t="s">
        <v>751</v>
      </c>
      <c r="I79" s="392" t="s">
        <v>751</v>
      </c>
      <c r="J79" s="392" t="s">
        <v>751</v>
      </c>
      <c r="K79" s="340">
        <v>2.2296295470507577</v>
      </c>
      <c r="L79" s="340">
        <v>2.2028129921910278</v>
      </c>
      <c r="M79" s="340">
        <v>4.3547842748739836</v>
      </c>
      <c r="N79" s="340">
        <v>2.1534552188987233</v>
      </c>
      <c r="O79" s="340">
        <v>8.522243054371911</v>
      </c>
      <c r="P79" s="340">
        <v>7.3806184958299506</v>
      </c>
      <c r="Q79" s="340">
        <v>2.087813432991628</v>
      </c>
    </row>
    <row r="80" spans="3:17" ht="18.75" x14ac:dyDescent="0.4">
      <c r="C80" s="2567"/>
      <c r="D80" s="391" t="s">
        <v>772</v>
      </c>
      <c r="E80" s="392" t="s">
        <v>751</v>
      </c>
      <c r="F80" s="392" t="s">
        <v>751</v>
      </c>
      <c r="G80" s="340">
        <v>2.3868627076570554</v>
      </c>
      <c r="H80" s="392" t="s">
        <v>751</v>
      </c>
      <c r="I80" s="340">
        <v>1.1576083810846791</v>
      </c>
      <c r="J80" s="392" t="s">
        <v>751</v>
      </c>
      <c r="K80" s="340">
        <v>1.1243155728950001</v>
      </c>
      <c r="L80" s="340">
        <v>1.1086843243123385</v>
      </c>
      <c r="M80" s="392" t="s">
        <v>751</v>
      </c>
      <c r="N80" s="340">
        <v>2.5916135385891255</v>
      </c>
      <c r="O80" s="392" t="s">
        <v>751</v>
      </c>
      <c r="P80" s="340">
        <v>5.0715082665584745</v>
      </c>
      <c r="Q80" s="340">
        <v>1.2551460990059244</v>
      </c>
    </row>
    <row r="81" spans="3:17" ht="18.75" x14ac:dyDescent="0.4">
      <c r="C81" s="2567"/>
      <c r="D81" s="391" t="s">
        <v>773</v>
      </c>
      <c r="E81" s="392" t="s">
        <v>751</v>
      </c>
      <c r="F81" s="392" t="s">
        <v>751</v>
      </c>
      <c r="G81" s="392" t="s">
        <v>751</v>
      </c>
      <c r="H81" s="392" t="s">
        <v>751</v>
      </c>
      <c r="I81" s="392" t="s">
        <v>751</v>
      </c>
      <c r="J81" s="392" t="s">
        <v>751</v>
      </c>
      <c r="K81" s="340">
        <v>14.590020426028595</v>
      </c>
      <c r="L81" s="392" t="s">
        <v>751</v>
      </c>
      <c r="M81" s="392" t="s">
        <v>751</v>
      </c>
      <c r="N81" s="392" t="s">
        <v>751</v>
      </c>
      <c r="O81" s="392" t="s">
        <v>751</v>
      </c>
      <c r="P81" s="340">
        <v>13.873473917869035</v>
      </c>
      <c r="Q81" s="392" t="s">
        <v>751</v>
      </c>
    </row>
    <row r="82" spans="3:17" ht="18.75" x14ac:dyDescent="0.4">
      <c r="C82" s="2567"/>
      <c r="D82" s="391" t="s">
        <v>774</v>
      </c>
      <c r="E82" s="392" t="s">
        <v>751</v>
      </c>
      <c r="F82" s="392" t="s">
        <v>751</v>
      </c>
      <c r="G82" s="392" t="s">
        <v>751</v>
      </c>
      <c r="H82" s="392" t="s">
        <v>751</v>
      </c>
      <c r="I82" s="392" t="s">
        <v>751</v>
      </c>
      <c r="J82" s="340">
        <v>3.5973811065544283</v>
      </c>
      <c r="K82" s="340">
        <v>7.1143995446784292</v>
      </c>
      <c r="L82" s="392" t="s">
        <v>751</v>
      </c>
      <c r="M82" s="392" t="s">
        <v>751</v>
      </c>
      <c r="N82" s="392" t="s">
        <v>751</v>
      </c>
      <c r="O82" s="392" t="s">
        <v>751</v>
      </c>
      <c r="P82" s="392" t="s">
        <v>751</v>
      </c>
      <c r="Q82" s="392" t="s">
        <v>751</v>
      </c>
    </row>
    <row r="83" spans="3:17" ht="18.75" x14ac:dyDescent="0.4">
      <c r="C83" s="2567"/>
      <c r="D83" s="391" t="s">
        <v>775</v>
      </c>
      <c r="E83" s="392" t="s">
        <v>751</v>
      </c>
      <c r="F83" s="340">
        <v>2.2832614105988998</v>
      </c>
      <c r="G83" s="340">
        <v>2.2521508040178371</v>
      </c>
      <c r="H83" s="392" t="s">
        <v>751</v>
      </c>
      <c r="I83" s="392" t="s">
        <v>751</v>
      </c>
      <c r="J83" s="392" t="s">
        <v>751</v>
      </c>
      <c r="K83" s="340">
        <v>2.1406858757545919</v>
      </c>
      <c r="L83" s="392" t="s">
        <v>751</v>
      </c>
      <c r="M83" s="392" t="s">
        <v>751</v>
      </c>
      <c r="N83" s="392" t="s">
        <v>751</v>
      </c>
      <c r="O83" s="340">
        <v>2.0490543614122081</v>
      </c>
      <c r="P83" s="340">
        <v>2.0288914137315373</v>
      </c>
      <c r="Q83" s="340">
        <v>2.0094847681054575</v>
      </c>
    </row>
    <row r="84" spans="3:17" ht="18.75" x14ac:dyDescent="0.4">
      <c r="C84" s="2567"/>
      <c r="D84" s="391" t="s">
        <v>776</v>
      </c>
      <c r="E84" s="392" t="s">
        <v>751</v>
      </c>
      <c r="F84" s="392" t="s">
        <v>751</v>
      </c>
      <c r="G84" s="392" t="s">
        <v>751</v>
      </c>
      <c r="H84" s="392" t="s">
        <v>751</v>
      </c>
      <c r="I84" s="392" t="s">
        <v>751</v>
      </c>
      <c r="J84" s="392" t="s">
        <v>751</v>
      </c>
      <c r="K84" s="392" t="s">
        <v>751</v>
      </c>
      <c r="L84" s="340">
        <v>2.5300442757748263</v>
      </c>
      <c r="M84" s="340">
        <v>2.5</v>
      </c>
      <c r="N84" s="392" t="s">
        <v>751</v>
      </c>
      <c r="O84" s="340">
        <v>7.3299452697419865</v>
      </c>
      <c r="P84" s="340">
        <v>7.2505800464037122</v>
      </c>
      <c r="Q84" s="392" t="s">
        <v>751</v>
      </c>
    </row>
    <row r="85" spans="3:17" ht="18.75" x14ac:dyDescent="0.4">
      <c r="C85" s="2567"/>
      <c r="D85" s="391" t="s">
        <v>777</v>
      </c>
      <c r="E85" s="392" t="s">
        <v>751</v>
      </c>
      <c r="F85" s="392" t="s">
        <v>751</v>
      </c>
      <c r="G85" s="392" t="s">
        <v>751</v>
      </c>
      <c r="H85" s="392" t="s">
        <v>751</v>
      </c>
      <c r="I85" s="392" t="s">
        <v>751</v>
      </c>
      <c r="J85" s="392" t="s">
        <v>751</v>
      </c>
      <c r="K85" s="392" t="s">
        <v>751</v>
      </c>
      <c r="L85" s="392" t="s">
        <v>751</v>
      </c>
      <c r="M85" s="392" t="s">
        <v>751</v>
      </c>
      <c r="N85" s="340">
        <v>2.9814257177782415</v>
      </c>
      <c r="O85" s="340">
        <v>5.8813150620478734</v>
      </c>
      <c r="P85" s="340">
        <v>2.901073397156948</v>
      </c>
      <c r="Q85" s="392" t="s">
        <v>751</v>
      </c>
    </row>
    <row r="86" spans="3:17" ht="18.75" x14ac:dyDescent="0.4">
      <c r="C86" s="2567"/>
      <c r="D86" s="391" t="s">
        <v>778</v>
      </c>
      <c r="E86" s="392" t="s">
        <v>751</v>
      </c>
      <c r="F86" s="340">
        <v>4.822065772977143</v>
      </c>
      <c r="G86" s="392" t="s">
        <v>751</v>
      </c>
      <c r="H86" s="392" t="s">
        <v>751</v>
      </c>
      <c r="I86" s="340">
        <v>4.5930553003858172</v>
      </c>
      <c r="J86" s="392" t="s">
        <v>751</v>
      </c>
      <c r="K86" s="392" t="s">
        <v>751</v>
      </c>
      <c r="L86" s="392" t="s">
        <v>751</v>
      </c>
      <c r="M86" s="392" t="s">
        <v>751</v>
      </c>
      <c r="N86" s="340">
        <v>4.2613031064899651</v>
      </c>
      <c r="O86" s="340">
        <v>4.2041537038594132</v>
      </c>
      <c r="P86" s="340">
        <v>8.296689620841283</v>
      </c>
      <c r="Q86" s="340">
        <v>4.090314136125655</v>
      </c>
    </row>
    <row r="87" spans="3:17" ht="18.75" x14ac:dyDescent="0.4">
      <c r="C87" s="2567"/>
      <c r="D87" s="391" t="s">
        <v>779</v>
      </c>
      <c r="E87" s="392" t="s">
        <v>751</v>
      </c>
      <c r="F87" s="392" t="s">
        <v>751</v>
      </c>
      <c r="G87" s="340">
        <v>0.57070133487042229</v>
      </c>
      <c r="H87" s="340">
        <v>1.1206993163734169</v>
      </c>
      <c r="I87" s="340">
        <v>0.55051528230423674</v>
      </c>
      <c r="J87" s="340">
        <v>2.1649356202269936</v>
      </c>
      <c r="K87" s="340">
        <v>0.53204790559341963</v>
      </c>
      <c r="L87" s="340">
        <v>0.52321505185061168</v>
      </c>
      <c r="M87" s="340">
        <v>1.5447434953425985</v>
      </c>
      <c r="N87" s="340">
        <v>1.5211593262278291</v>
      </c>
      <c r="O87" s="340">
        <v>1.4988683543924337</v>
      </c>
      <c r="P87" s="340">
        <v>0.98449906226464323</v>
      </c>
      <c r="Q87" s="340">
        <v>2.4258302403997769</v>
      </c>
    </row>
    <row r="88" spans="3:17" ht="18.75" x14ac:dyDescent="0.4">
      <c r="C88" s="2567"/>
      <c r="D88" s="391" t="s">
        <v>780</v>
      </c>
      <c r="E88" s="392" t="s">
        <v>751</v>
      </c>
      <c r="F88" s="392" t="s">
        <v>751</v>
      </c>
      <c r="G88" s="392" t="s">
        <v>751</v>
      </c>
      <c r="H88" s="392" t="s">
        <v>751</v>
      </c>
      <c r="I88" s="392" t="s">
        <v>751</v>
      </c>
      <c r="J88" s="392" t="s">
        <v>751</v>
      </c>
      <c r="K88" s="392" t="s">
        <v>751</v>
      </c>
      <c r="L88" s="392" t="s">
        <v>751</v>
      </c>
      <c r="M88" s="392" t="s">
        <v>751</v>
      </c>
      <c r="N88" s="392" t="s">
        <v>751</v>
      </c>
      <c r="O88" s="340">
        <v>6.9730144341398788</v>
      </c>
      <c r="P88" s="340">
        <v>6.9017875629788108</v>
      </c>
      <c r="Q88" s="392" t="s">
        <v>751</v>
      </c>
    </row>
    <row r="89" spans="3:17" ht="18.75" x14ac:dyDescent="0.4">
      <c r="C89" s="2567"/>
      <c r="D89" s="391" t="s">
        <v>781</v>
      </c>
      <c r="E89" s="392" t="s">
        <v>751</v>
      </c>
      <c r="F89" s="392" t="s">
        <v>751</v>
      </c>
      <c r="G89" s="392" t="s">
        <v>751</v>
      </c>
      <c r="H89" s="392" t="s">
        <v>751</v>
      </c>
      <c r="I89" s="392" t="s">
        <v>751</v>
      </c>
      <c r="J89" s="392" t="s">
        <v>751</v>
      </c>
      <c r="K89" s="392" t="s">
        <v>751</v>
      </c>
      <c r="L89" s="392" t="s">
        <v>751</v>
      </c>
      <c r="M89" s="392" t="s">
        <v>751</v>
      </c>
      <c r="N89" s="392" t="s">
        <v>751</v>
      </c>
      <c r="O89" s="340">
        <v>4.5114138771090859</v>
      </c>
      <c r="P89" s="392" t="s">
        <v>751</v>
      </c>
      <c r="Q89" s="392" t="s">
        <v>751</v>
      </c>
    </row>
    <row r="90" spans="3:17" ht="18.75" x14ac:dyDescent="0.4">
      <c r="C90" s="2567"/>
      <c r="D90" s="391" t="s">
        <v>782</v>
      </c>
      <c r="E90" s="392" t="s">
        <v>751</v>
      </c>
      <c r="F90" s="392" t="s">
        <v>751</v>
      </c>
      <c r="G90" s="392" t="s">
        <v>751</v>
      </c>
      <c r="H90" s="392" t="s">
        <v>751</v>
      </c>
      <c r="I90" s="392" t="s">
        <v>751</v>
      </c>
      <c r="J90" s="392" t="s">
        <v>751</v>
      </c>
      <c r="K90" s="340">
        <v>1.9532012969256611</v>
      </c>
      <c r="L90" s="340">
        <v>1.9256691700365876</v>
      </c>
      <c r="M90" s="340">
        <v>1.8992991586104726</v>
      </c>
      <c r="N90" s="392" t="s">
        <v>751</v>
      </c>
      <c r="O90" s="392" t="s">
        <v>751</v>
      </c>
      <c r="P90" s="340">
        <v>9.129752035934704</v>
      </c>
      <c r="Q90" s="392" t="s">
        <v>751</v>
      </c>
    </row>
    <row r="91" spans="3:17" ht="18.75" x14ac:dyDescent="0.4">
      <c r="C91" s="2567"/>
      <c r="D91" s="391" t="s">
        <v>783</v>
      </c>
      <c r="E91" s="392" t="s">
        <v>751</v>
      </c>
      <c r="F91" s="392" t="s">
        <v>751</v>
      </c>
      <c r="G91" s="340">
        <v>3.5729598399313991</v>
      </c>
      <c r="H91" s="392" t="s">
        <v>751</v>
      </c>
      <c r="I91" s="340">
        <v>3.4025178632187818</v>
      </c>
      <c r="J91" s="340">
        <v>3.325131342688036</v>
      </c>
      <c r="K91" s="392" t="s">
        <v>751</v>
      </c>
      <c r="L91" s="392" t="s">
        <v>751</v>
      </c>
      <c r="M91" s="392" t="s">
        <v>751</v>
      </c>
      <c r="N91" s="340">
        <v>3.0309459582335645</v>
      </c>
      <c r="O91" s="340">
        <v>2.9683279408709073</v>
      </c>
      <c r="P91" s="340">
        <v>2.9035161580674198</v>
      </c>
      <c r="Q91" s="392" t="s">
        <v>751</v>
      </c>
    </row>
    <row r="92" spans="3:17" ht="18.75" x14ac:dyDescent="0.4">
      <c r="C92" s="2567"/>
      <c r="D92" s="391" t="s">
        <v>784</v>
      </c>
      <c r="E92" s="392" t="s">
        <v>751</v>
      </c>
      <c r="F92" s="392" t="s">
        <v>751</v>
      </c>
      <c r="G92" s="392" t="s">
        <v>751</v>
      </c>
      <c r="H92" s="340">
        <v>5.7120009139201464</v>
      </c>
      <c r="I92" s="392" t="s">
        <v>751</v>
      </c>
      <c r="J92" s="392" t="s">
        <v>751</v>
      </c>
      <c r="K92" s="392" t="s">
        <v>751</v>
      </c>
      <c r="L92" s="392" t="s">
        <v>751</v>
      </c>
      <c r="M92" s="392" t="s">
        <v>751</v>
      </c>
      <c r="N92" s="392" t="s">
        <v>751</v>
      </c>
      <c r="O92" s="340">
        <v>5.1985859846121851</v>
      </c>
      <c r="P92" s="392" t="s">
        <v>751</v>
      </c>
      <c r="Q92" s="392">
        <v>5.0771730300568638</v>
      </c>
    </row>
    <row r="93" spans="3:17" ht="18.75" x14ac:dyDescent="0.4">
      <c r="C93" s="2567"/>
      <c r="D93" s="391" t="s">
        <v>785</v>
      </c>
      <c r="E93" s="392" t="s">
        <v>786</v>
      </c>
      <c r="F93" s="392" t="s">
        <v>786</v>
      </c>
      <c r="G93" s="392" t="s">
        <v>786</v>
      </c>
      <c r="H93" s="392" t="s">
        <v>786</v>
      </c>
      <c r="I93" s="392" t="s">
        <v>786</v>
      </c>
      <c r="J93" s="392" t="s">
        <v>786</v>
      </c>
      <c r="K93" s="392" t="s">
        <v>786</v>
      </c>
      <c r="L93" s="392" t="s">
        <v>786</v>
      </c>
      <c r="M93" s="392" t="s">
        <v>786</v>
      </c>
      <c r="N93" s="392" t="s">
        <v>751</v>
      </c>
      <c r="O93" s="392" t="s">
        <v>751</v>
      </c>
      <c r="P93" s="340">
        <v>6.1881188118811883</v>
      </c>
      <c r="Q93" s="340">
        <v>6.0569351907934585</v>
      </c>
    </row>
    <row r="94" spans="3:17" ht="18.75" x14ac:dyDescent="0.4">
      <c r="C94" s="2567" t="s">
        <v>330</v>
      </c>
      <c r="D94" s="391" t="s">
        <v>330</v>
      </c>
      <c r="E94" s="340">
        <v>1.9966190583944523</v>
      </c>
      <c r="F94" s="340">
        <v>1.3177487580217955</v>
      </c>
      <c r="G94" s="340">
        <v>1.3045803817202197</v>
      </c>
      <c r="H94" s="340">
        <v>0.6459030370360801</v>
      </c>
      <c r="I94" s="340">
        <v>1.9190788421557652</v>
      </c>
      <c r="J94" s="340">
        <v>1.2674753159182226</v>
      </c>
      <c r="K94" s="340">
        <v>1.2567392643048345</v>
      </c>
      <c r="L94" s="340">
        <v>1.2464398561608405</v>
      </c>
      <c r="M94" s="340">
        <v>2.4733037773531943</v>
      </c>
      <c r="N94" s="340">
        <v>3.6822466614296938</v>
      </c>
      <c r="O94" s="340">
        <v>3.6558392893048421</v>
      </c>
      <c r="P94" s="340">
        <v>1.816035594297648</v>
      </c>
      <c r="Q94" s="340">
        <v>2.4066809463069481</v>
      </c>
    </row>
    <row r="95" spans="3:17" ht="18.75" x14ac:dyDescent="0.4">
      <c r="C95" s="2567"/>
      <c r="D95" s="391" t="s">
        <v>787</v>
      </c>
      <c r="E95" s="340">
        <v>1.7412198986610019</v>
      </c>
      <c r="F95" s="340">
        <v>1.723246596587972</v>
      </c>
      <c r="G95" s="392" t="s">
        <v>751</v>
      </c>
      <c r="H95" s="392" t="s">
        <v>751</v>
      </c>
      <c r="I95" s="392" t="s">
        <v>751</v>
      </c>
      <c r="J95" s="392" t="s">
        <v>751</v>
      </c>
      <c r="K95" s="340">
        <v>1.6398819285011481</v>
      </c>
      <c r="L95" s="392" t="s">
        <v>751</v>
      </c>
      <c r="M95" s="340">
        <v>1.6127211443869238</v>
      </c>
      <c r="N95" s="392" t="s">
        <v>751</v>
      </c>
      <c r="O95" s="340">
        <v>3.1775790025579509</v>
      </c>
      <c r="P95" s="392" t="s">
        <v>751</v>
      </c>
      <c r="Q95" s="392">
        <v>3.1349927895165841</v>
      </c>
    </row>
    <row r="96" spans="3:17" ht="18.75" x14ac:dyDescent="0.4">
      <c r="C96" s="2567"/>
      <c r="D96" s="391" t="s">
        <v>788</v>
      </c>
      <c r="E96" s="392" t="s">
        <v>751</v>
      </c>
      <c r="F96" s="340">
        <v>0.98819111616186561</v>
      </c>
      <c r="G96" s="392" t="s">
        <v>751</v>
      </c>
      <c r="H96" s="340">
        <v>2.8883647041833149</v>
      </c>
      <c r="I96" s="340">
        <v>0.95062456033614073</v>
      </c>
      <c r="J96" s="392" t="s">
        <v>751</v>
      </c>
      <c r="K96" s="340">
        <v>2.7840935455431302</v>
      </c>
      <c r="L96" s="392" t="s">
        <v>751</v>
      </c>
      <c r="M96" s="340">
        <v>1.8149808519520119</v>
      </c>
      <c r="N96" s="340">
        <v>2.6937478113299034</v>
      </c>
      <c r="O96" s="340">
        <v>6.2217797845486542</v>
      </c>
      <c r="P96" s="340">
        <v>2.64126358049691</v>
      </c>
      <c r="Q96" s="340">
        <v>1.7449722985647602</v>
      </c>
    </row>
    <row r="97" spans="3:17" ht="18.75" x14ac:dyDescent="0.4">
      <c r="C97" s="2567"/>
      <c r="D97" s="391" t="s">
        <v>789</v>
      </c>
      <c r="E97" s="340">
        <v>6.3954975697109235</v>
      </c>
      <c r="F97" s="392" t="s">
        <v>751</v>
      </c>
      <c r="G97" s="392" t="s">
        <v>751</v>
      </c>
      <c r="H97" s="392" t="s">
        <v>751</v>
      </c>
      <c r="I97" s="340">
        <v>6.2390816071874227</v>
      </c>
      <c r="J97" s="340">
        <v>12.405408758218583</v>
      </c>
      <c r="K97" s="340">
        <v>6.1850569025235043</v>
      </c>
      <c r="L97" s="392" t="s">
        <v>751</v>
      </c>
      <c r="M97" s="392" t="s">
        <v>751</v>
      </c>
      <c r="N97" s="392" t="s">
        <v>751</v>
      </c>
      <c r="O97" s="340">
        <v>6.1270755468414935</v>
      </c>
      <c r="P97" s="392" t="s">
        <v>751</v>
      </c>
      <c r="Q97" s="392" t="s">
        <v>751</v>
      </c>
    </row>
    <row r="98" spans="3:17" ht="18.75" x14ac:dyDescent="0.4">
      <c r="C98" s="2567"/>
      <c r="D98" s="391" t="s">
        <v>790</v>
      </c>
      <c r="E98" s="392" t="s">
        <v>751</v>
      </c>
      <c r="F98" s="392" t="s">
        <v>751</v>
      </c>
      <c r="G98" s="392" t="s">
        <v>751</v>
      </c>
      <c r="H98" s="392" t="s">
        <v>751</v>
      </c>
      <c r="I98" s="340">
        <v>1.3647033134996451</v>
      </c>
      <c r="J98" s="392" t="s">
        <v>751</v>
      </c>
      <c r="K98" s="392" t="s">
        <v>751</v>
      </c>
      <c r="L98" s="340">
        <v>1.3591573224600746</v>
      </c>
      <c r="M98" s="392" t="s">
        <v>751</v>
      </c>
      <c r="N98" s="340">
        <v>2.7153252959704575</v>
      </c>
      <c r="O98" s="340">
        <v>9.5032514696099586</v>
      </c>
      <c r="P98" s="340">
        <v>4.075754693910822</v>
      </c>
      <c r="Q98" s="340">
        <v>2.7193865064041556</v>
      </c>
    </row>
    <row r="99" spans="3:17" ht="18.75" x14ac:dyDescent="0.4">
      <c r="C99" s="2567"/>
      <c r="D99" s="391" t="s">
        <v>791</v>
      </c>
      <c r="E99" s="392" t="s">
        <v>751</v>
      </c>
      <c r="F99" s="392" t="s">
        <v>751</v>
      </c>
      <c r="G99" s="392" t="s">
        <v>751</v>
      </c>
      <c r="H99" s="392" t="s">
        <v>751</v>
      </c>
      <c r="I99" s="340">
        <v>6.7957866123003736</v>
      </c>
      <c r="J99" s="392" t="s">
        <v>751</v>
      </c>
      <c r="K99" s="340">
        <v>6.6773504273504276</v>
      </c>
      <c r="L99" s="392" t="s">
        <v>751</v>
      </c>
      <c r="M99" s="392" t="s">
        <v>751</v>
      </c>
      <c r="N99" s="340">
        <v>6.5265631118652925</v>
      </c>
      <c r="O99" s="392" t="s">
        <v>751</v>
      </c>
      <c r="P99" s="392" t="s">
        <v>751</v>
      </c>
      <c r="Q99" s="392" t="s">
        <v>751</v>
      </c>
    </row>
    <row r="100" spans="3:17" ht="18.75" x14ac:dyDescent="0.4">
      <c r="C100" s="2567"/>
      <c r="D100" s="391" t="s">
        <v>792</v>
      </c>
      <c r="E100" s="392" t="s">
        <v>751</v>
      </c>
      <c r="F100" s="340">
        <v>6.5025143055314727</v>
      </c>
      <c r="G100" s="340">
        <v>2.1456464832854141</v>
      </c>
      <c r="H100" s="340">
        <v>2.1239990654404113</v>
      </c>
      <c r="I100" s="340">
        <v>2.1030494216614093</v>
      </c>
      <c r="J100" s="392" t="s">
        <v>751</v>
      </c>
      <c r="K100" s="340">
        <v>2.0649211200132158</v>
      </c>
      <c r="L100" s="392" t="s">
        <v>751</v>
      </c>
      <c r="M100" s="340">
        <v>2.0313230006703367</v>
      </c>
      <c r="N100" s="340">
        <v>4.0319329086364002</v>
      </c>
      <c r="O100" s="340">
        <v>2.0011206275514288</v>
      </c>
      <c r="P100" s="392" t="s">
        <v>751</v>
      </c>
      <c r="Q100" s="392">
        <v>3.9529597786342521</v>
      </c>
    </row>
    <row r="101" spans="3:17" ht="18.75" x14ac:dyDescent="0.4">
      <c r="C101" s="2567"/>
      <c r="D101" s="391" t="s">
        <v>793</v>
      </c>
      <c r="E101" s="340">
        <v>2.3797624997025295</v>
      </c>
      <c r="F101" s="392" t="s">
        <v>751</v>
      </c>
      <c r="G101" s="392" t="s">
        <v>751</v>
      </c>
      <c r="H101" s="392" t="s">
        <v>751</v>
      </c>
      <c r="I101" s="340">
        <v>2.278838703796545</v>
      </c>
      <c r="J101" s="392" t="s">
        <v>751</v>
      </c>
      <c r="K101" s="340">
        <v>2.2345869366047686</v>
      </c>
      <c r="L101" s="392" t="s">
        <v>751</v>
      </c>
      <c r="M101" s="340">
        <v>4.3909721612364976</v>
      </c>
      <c r="N101" s="340">
        <v>6.5309676717100249</v>
      </c>
      <c r="O101" s="340">
        <v>8.6385625431928119</v>
      </c>
      <c r="P101" s="392" t="s">
        <v>751</v>
      </c>
      <c r="Q101" s="392" t="s">
        <v>751</v>
      </c>
    </row>
    <row r="102" spans="3:17" ht="18.75" x14ac:dyDescent="0.4">
      <c r="C102" s="2570" t="s">
        <v>331</v>
      </c>
      <c r="D102" s="391" t="s">
        <v>331</v>
      </c>
      <c r="E102" s="340">
        <v>0.78833889112251587</v>
      </c>
      <c r="F102" s="340">
        <v>0.77793163536788379</v>
      </c>
      <c r="G102" s="392" t="s">
        <v>751</v>
      </c>
      <c r="H102" s="340">
        <v>0.75796047994057592</v>
      </c>
      <c r="I102" s="340">
        <v>1.4968491325759277</v>
      </c>
      <c r="J102" s="340">
        <v>0.73914200396180119</v>
      </c>
      <c r="K102" s="392" t="s">
        <v>751</v>
      </c>
      <c r="L102" s="340">
        <v>1.4433971796019112</v>
      </c>
      <c r="M102" s="340">
        <v>2.1408539152650023</v>
      </c>
      <c r="N102" s="340">
        <v>2.1174029347204675</v>
      </c>
      <c r="O102" s="340">
        <v>0.69828501201050219</v>
      </c>
      <c r="P102" s="340">
        <v>2.7653720116698697</v>
      </c>
      <c r="Q102" s="392" t="s">
        <v>751</v>
      </c>
    </row>
    <row r="103" spans="3:17" ht="18.75" x14ac:dyDescent="0.4">
      <c r="C103" s="2570"/>
      <c r="D103" s="391" t="s">
        <v>794</v>
      </c>
      <c r="E103" s="392" t="s">
        <v>751</v>
      </c>
      <c r="F103" s="392" t="s">
        <v>751</v>
      </c>
      <c r="G103" s="392" t="s">
        <v>751</v>
      </c>
      <c r="H103" s="392" t="s">
        <v>751</v>
      </c>
      <c r="I103" s="340">
        <v>4.6392948271862675</v>
      </c>
      <c r="J103" s="392" t="s">
        <v>751</v>
      </c>
      <c r="K103" s="392" t="s">
        <v>751</v>
      </c>
      <c r="L103" s="340">
        <v>2.2169999556600009</v>
      </c>
      <c r="M103" s="392" t="s">
        <v>751</v>
      </c>
      <c r="N103" s="392" t="s">
        <v>751</v>
      </c>
      <c r="O103" s="340">
        <v>2.1275690396153357</v>
      </c>
      <c r="P103" s="340">
        <v>4.2007099199764761</v>
      </c>
      <c r="Q103" s="392" t="s">
        <v>751</v>
      </c>
    </row>
    <row r="104" spans="3:17" ht="18.75" x14ac:dyDescent="0.4">
      <c r="C104" s="2570"/>
      <c r="D104" s="391" t="s">
        <v>795</v>
      </c>
      <c r="E104" s="392" t="s">
        <v>751</v>
      </c>
      <c r="F104" s="392" t="s">
        <v>751</v>
      </c>
      <c r="G104" s="392" t="s">
        <v>751</v>
      </c>
      <c r="H104" s="340">
        <v>6.57620728205353</v>
      </c>
      <c r="I104" s="340">
        <v>2.1663308853794327</v>
      </c>
      <c r="J104" s="392" t="s">
        <v>751</v>
      </c>
      <c r="K104" s="392" t="s">
        <v>751</v>
      </c>
      <c r="L104" s="340">
        <v>2.0976673938580301</v>
      </c>
      <c r="M104" s="392" t="s">
        <v>751</v>
      </c>
      <c r="N104" s="340">
        <v>6.1752537000061754</v>
      </c>
      <c r="O104" s="340">
        <v>10.194719135487817</v>
      </c>
      <c r="P104" s="340">
        <v>8.0871797982248648</v>
      </c>
      <c r="Q104" s="340">
        <v>8.0264874084478777</v>
      </c>
    </row>
    <row r="105" spans="3:17" ht="18.75" x14ac:dyDescent="0.4">
      <c r="C105" s="2570"/>
      <c r="D105" s="391" t="s">
        <v>796</v>
      </c>
      <c r="E105" s="392" t="s">
        <v>751</v>
      </c>
      <c r="F105" s="392" t="s">
        <v>751</v>
      </c>
      <c r="G105" s="392" t="s">
        <v>751</v>
      </c>
      <c r="H105" s="392" t="s">
        <v>751</v>
      </c>
      <c r="I105" s="340">
        <v>2.5490046136983509</v>
      </c>
      <c r="J105" s="340">
        <v>2.5098511658258666</v>
      </c>
      <c r="K105" s="392" t="s">
        <v>751</v>
      </c>
      <c r="L105" s="392" t="s">
        <v>751</v>
      </c>
      <c r="M105" s="340">
        <v>2.401710017532483</v>
      </c>
      <c r="N105" s="340">
        <v>2.3692191053828657</v>
      </c>
      <c r="O105" s="392" t="s">
        <v>751</v>
      </c>
      <c r="P105" s="340">
        <v>2.307497057941251</v>
      </c>
      <c r="Q105" s="340">
        <v>4.5580928939331784</v>
      </c>
    </row>
    <row r="106" spans="3:17" ht="18.75" x14ac:dyDescent="0.4">
      <c r="C106" s="2570"/>
      <c r="D106" s="391" t="s">
        <v>797</v>
      </c>
      <c r="E106" s="392" t="s">
        <v>751</v>
      </c>
      <c r="F106" s="392" t="s">
        <v>751</v>
      </c>
      <c r="G106" s="340">
        <v>2.014910336490026</v>
      </c>
      <c r="H106" s="392" t="s">
        <v>751</v>
      </c>
      <c r="I106" s="340">
        <v>3.9194167907815314</v>
      </c>
      <c r="J106" s="392" t="s">
        <v>751</v>
      </c>
      <c r="K106" s="340">
        <v>1.9057783198658333</v>
      </c>
      <c r="L106" s="340">
        <v>1.8798052521758748</v>
      </c>
      <c r="M106" s="340">
        <v>1.8552531492922208</v>
      </c>
      <c r="N106" s="340">
        <v>5.4958140216535067</v>
      </c>
      <c r="O106" s="392" t="s">
        <v>751</v>
      </c>
      <c r="P106" s="340">
        <v>3.5763460472435309</v>
      </c>
      <c r="Q106" s="392" t="s">
        <v>751</v>
      </c>
    </row>
    <row r="107" spans="3:17" ht="18.75" x14ac:dyDescent="0.4">
      <c r="C107" s="2570"/>
      <c r="D107" s="391" t="s">
        <v>798</v>
      </c>
      <c r="E107" s="340">
        <v>4.8513074273516716</v>
      </c>
      <c r="F107" s="392" t="s">
        <v>751</v>
      </c>
      <c r="G107" s="340">
        <v>4.7270148900969033</v>
      </c>
      <c r="H107" s="340">
        <v>4.6657024214995566</v>
      </c>
      <c r="I107" s="392" t="s">
        <v>751</v>
      </c>
      <c r="J107" s="340">
        <v>4.5485558335228564</v>
      </c>
      <c r="K107" s="340">
        <v>4.4949880882815654</v>
      </c>
      <c r="L107" s="392" t="s">
        <v>751</v>
      </c>
      <c r="M107" s="392" t="s">
        <v>751</v>
      </c>
      <c r="N107" s="392" t="s">
        <v>751</v>
      </c>
      <c r="O107" s="392" t="s">
        <v>751</v>
      </c>
      <c r="P107" s="392" t="s">
        <v>751</v>
      </c>
      <c r="Q107" s="392">
        <v>4.2274360600295919</v>
      </c>
    </row>
    <row r="108" spans="3:17" ht="18.75" x14ac:dyDescent="0.4">
      <c r="C108" s="2570"/>
      <c r="D108" s="391" t="s">
        <v>799</v>
      </c>
      <c r="E108" s="340">
        <v>8.3608544793277879</v>
      </c>
      <c r="F108" s="340">
        <v>4.1335978835978837</v>
      </c>
      <c r="G108" s="392" t="s">
        <v>751</v>
      </c>
      <c r="H108" s="392" t="s">
        <v>751</v>
      </c>
      <c r="I108" s="340">
        <v>3.9961636828644505</v>
      </c>
      <c r="J108" s="392" t="s">
        <v>751</v>
      </c>
      <c r="K108" s="392" t="s">
        <v>751</v>
      </c>
      <c r="L108" s="340">
        <v>3.8785246092386454</v>
      </c>
      <c r="M108" s="392" t="s">
        <v>751</v>
      </c>
      <c r="N108" s="392" t="s">
        <v>751</v>
      </c>
      <c r="O108" s="392" t="s">
        <v>751</v>
      </c>
      <c r="P108" s="392" t="s">
        <v>751</v>
      </c>
      <c r="Q108" s="392">
        <v>11.171936096525528</v>
      </c>
    </row>
    <row r="109" spans="3:17" ht="18.75" x14ac:dyDescent="0.4">
      <c r="C109" s="2570"/>
      <c r="D109" s="391" t="s">
        <v>800</v>
      </c>
      <c r="E109" s="392" t="s">
        <v>751</v>
      </c>
      <c r="F109" s="392" t="s">
        <v>751</v>
      </c>
      <c r="G109" s="392" t="s">
        <v>751</v>
      </c>
      <c r="H109" s="392" t="s">
        <v>751</v>
      </c>
      <c r="I109" s="392" t="s">
        <v>751</v>
      </c>
      <c r="J109" s="392" t="s">
        <v>751</v>
      </c>
      <c r="K109" s="392" t="s">
        <v>751</v>
      </c>
      <c r="L109" s="392" t="s">
        <v>751</v>
      </c>
      <c r="M109" s="392" t="s">
        <v>751</v>
      </c>
      <c r="N109" s="392" t="s">
        <v>751</v>
      </c>
      <c r="O109" s="392" t="s">
        <v>751</v>
      </c>
      <c r="P109" s="392" t="s">
        <v>751</v>
      </c>
      <c r="Q109" s="392">
        <v>3.9368528798078817</v>
      </c>
    </row>
    <row r="110" spans="3:17" ht="18.75" x14ac:dyDescent="0.4">
      <c r="C110" s="2570"/>
      <c r="D110" s="391" t="s">
        <v>801</v>
      </c>
      <c r="E110" s="340">
        <v>3.4789869190091847</v>
      </c>
      <c r="F110" s="340">
        <v>3.4451870736580994</v>
      </c>
      <c r="G110" s="392" t="s">
        <v>751</v>
      </c>
      <c r="H110" s="392" t="s">
        <v>751</v>
      </c>
      <c r="I110" s="392" t="s">
        <v>751</v>
      </c>
      <c r="J110" s="392" t="s">
        <v>751</v>
      </c>
      <c r="K110" s="340">
        <v>3.2927230819888051</v>
      </c>
      <c r="L110" s="392" t="s">
        <v>751</v>
      </c>
      <c r="M110" s="392" t="s">
        <v>751</v>
      </c>
      <c r="N110" s="392" t="s">
        <v>751</v>
      </c>
      <c r="O110" s="340">
        <v>3.2051282051282053</v>
      </c>
      <c r="P110" s="340">
        <v>3.1879622545269064</v>
      </c>
      <c r="Q110" s="340">
        <v>3.1726894888797235</v>
      </c>
    </row>
    <row r="111" spans="3:17" ht="18.75" x14ac:dyDescent="0.4">
      <c r="C111" s="2570"/>
      <c r="D111" s="391" t="s">
        <v>802</v>
      </c>
      <c r="E111" s="392" t="s">
        <v>751</v>
      </c>
      <c r="F111" s="392" t="s">
        <v>751</v>
      </c>
      <c r="G111" s="340">
        <v>1.5057292999864484</v>
      </c>
      <c r="H111" s="392" t="s">
        <v>751</v>
      </c>
      <c r="I111" s="340">
        <v>1.4224953413277572</v>
      </c>
      <c r="J111" s="340">
        <v>1.3846963360934947</v>
      </c>
      <c r="K111" s="340">
        <v>1.344194424281528</v>
      </c>
      <c r="L111" s="340">
        <v>2.6119549176581214</v>
      </c>
      <c r="M111" s="392" t="s">
        <v>751</v>
      </c>
      <c r="N111" s="392" t="s">
        <v>751</v>
      </c>
      <c r="O111" s="392" t="s">
        <v>751</v>
      </c>
      <c r="P111" s="340">
        <v>1.1716324354723437</v>
      </c>
      <c r="Q111" s="340">
        <v>1.1404199026081403</v>
      </c>
    </row>
    <row r="112" spans="3:17" ht="18.75" x14ac:dyDescent="0.4">
      <c r="C112" s="2570" t="s">
        <v>332</v>
      </c>
      <c r="D112" s="391" t="s">
        <v>803</v>
      </c>
      <c r="E112" s="340">
        <v>3.149655900092915</v>
      </c>
      <c r="F112" s="340">
        <v>1.5432813247526891</v>
      </c>
      <c r="G112" s="340">
        <v>1.5122873345935728</v>
      </c>
      <c r="H112" s="392" t="s">
        <v>751</v>
      </c>
      <c r="I112" s="392" t="s">
        <v>751</v>
      </c>
      <c r="J112" s="340">
        <v>2.8527414845666685</v>
      </c>
      <c r="K112" s="392" t="s">
        <v>751</v>
      </c>
      <c r="L112" s="340">
        <v>1.3711966433106171</v>
      </c>
      <c r="M112" s="340">
        <v>2.6917900403768504</v>
      </c>
      <c r="N112" s="392" t="s">
        <v>751</v>
      </c>
      <c r="O112" s="392" t="s">
        <v>751</v>
      </c>
      <c r="P112" s="340">
        <v>3.8308305240576157</v>
      </c>
      <c r="Q112" s="340">
        <v>10.048988820499938</v>
      </c>
    </row>
    <row r="113" spans="3:17" ht="18.75" x14ac:dyDescent="0.4">
      <c r="C113" s="2570"/>
      <c r="D113" s="391" t="s">
        <v>804</v>
      </c>
      <c r="E113" s="392" t="s">
        <v>751</v>
      </c>
      <c r="F113" s="340">
        <v>1.946623581398065</v>
      </c>
      <c r="G113" s="392" t="s">
        <v>751</v>
      </c>
      <c r="H113" s="340">
        <v>1.9009238489906095</v>
      </c>
      <c r="I113" s="392" t="s">
        <v>751</v>
      </c>
      <c r="J113" s="392" t="s">
        <v>751</v>
      </c>
      <c r="K113" s="392" t="s">
        <v>751</v>
      </c>
      <c r="L113" s="340">
        <v>3.6391426179991999</v>
      </c>
      <c r="M113" s="340">
        <v>3.6028246144977665</v>
      </c>
      <c r="N113" s="340">
        <v>5.3520774980821724</v>
      </c>
      <c r="O113" s="340">
        <v>1.767065434433037</v>
      </c>
      <c r="P113" s="340">
        <v>14.004376367614881</v>
      </c>
      <c r="Q113" s="340">
        <v>5.206164098292378</v>
      </c>
    </row>
    <row r="114" spans="3:17" ht="18.75" x14ac:dyDescent="0.4">
      <c r="C114" s="2570"/>
      <c r="D114" s="391" t="s">
        <v>805</v>
      </c>
      <c r="E114" s="340">
        <v>3.5094491919493236</v>
      </c>
      <c r="F114" s="392" t="s">
        <v>751</v>
      </c>
      <c r="G114" s="340">
        <v>1.6864259574683373</v>
      </c>
      <c r="H114" s="340">
        <v>1.6530291759649558</v>
      </c>
      <c r="I114" s="392" t="s">
        <v>751</v>
      </c>
      <c r="J114" s="340">
        <v>1.590027348470394</v>
      </c>
      <c r="K114" s="340">
        <v>6.2384977697370472</v>
      </c>
      <c r="L114" s="340">
        <v>1.5303389700818733</v>
      </c>
      <c r="M114" s="340">
        <v>1.5023812743197971</v>
      </c>
      <c r="N114" s="340">
        <v>1.4758404911597154</v>
      </c>
      <c r="O114" s="340">
        <v>5.8022309578032756</v>
      </c>
      <c r="P114" s="340">
        <v>8.5561497326203213</v>
      </c>
      <c r="Q114" s="340">
        <v>4.2085180405140008</v>
      </c>
    </row>
    <row r="115" spans="3:17" ht="18.75" x14ac:dyDescent="0.4">
      <c r="C115" s="2570"/>
      <c r="D115" s="391" t="s">
        <v>806</v>
      </c>
      <c r="E115" s="392" t="s">
        <v>751</v>
      </c>
      <c r="F115" s="340">
        <v>4.8021513638109878</v>
      </c>
      <c r="G115" s="392" t="s">
        <v>751</v>
      </c>
      <c r="H115" s="392" t="s">
        <v>751</v>
      </c>
      <c r="I115" s="392" t="s">
        <v>751</v>
      </c>
      <c r="J115" s="392" t="s">
        <v>751</v>
      </c>
      <c r="K115" s="392" t="s">
        <v>751</v>
      </c>
      <c r="L115" s="392" t="s">
        <v>751</v>
      </c>
      <c r="M115" s="392" t="s">
        <v>751</v>
      </c>
      <c r="N115" s="340">
        <v>4.2062757634390513</v>
      </c>
      <c r="O115" s="392" t="s">
        <v>751</v>
      </c>
      <c r="P115" s="392" t="s">
        <v>751</v>
      </c>
      <c r="Q115" s="392" t="s">
        <v>751</v>
      </c>
    </row>
    <row r="116" spans="3:17" ht="18.75" x14ac:dyDescent="0.4">
      <c r="C116" s="2570"/>
      <c r="D116" s="391" t="s">
        <v>807</v>
      </c>
      <c r="E116" s="392" t="s">
        <v>751</v>
      </c>
      <c r="F116" s="392" t="s">
        <v>751</v>
      </c>
      <c r="G116" s="340">
        <v>2.5709584533113947</v>
      </c>
      <c r="H116" s="340">
        <v>2.5169263295663336</v>
      </c>
      <c r="I116" s="392" t="s">
        <v>751</v>
      </c>
      <c r="J116" s="392" t="s">
        <v>751</v>
      </c>
      <c r="K116" s="392" t="s">
        <v>751</v>
      </c>
      <c r="L116" s="340">
        <v>11.560426348523734</v>
      </c>
      <c r="M116" s="340">
        <v>4.5292932037955476</v>
      </c>
      <c r="N116" s="340">
        <v>2.2199036561813217</v>
      </c>
      <c r="O116" s="340">
        <v>4.3535993382529012</v>
      </c>
      <c r="P116" s="340">
        <v>10.671219720414044</v>
      </c>
      <c r="Q116" s="340">
        <v>2.0939777200770582</v>
      </c>
    </row>
    <row r="117" spans="3:17" ht="18.75" x14ac:dyDescent="0.4">
      <c r="C117" s="2570"/>
      <c r="D117" s="391" t="s">
        <v>808</v>
      </c>
      <c r="E117" s="392" t="s">
        <v>751</v>
      </c>
      <c r="F117" s="340">
        <v>3.4206745570226453</v>
      </c>
      <c r="G117" s="340">
        <v>3.3751856352099363</v>
      </c>
      <c r="H117" s="392" t="s">
        <v>751</v>
      </c>
      <c r="I117" s="392" t="s">
        <v>751</v>
      </c>
      <c r="J117" s="392" t="s">
        <v>751</v>
      </c>
      <c r="K117" s="392" t="s">
        <v>751</v>
      </c>
      <c r="L117" s="392" t="s">
        <v>751</v>
      </c>
      <c r="M117" s="340">
        <v>3.1296945418127189</v>
      </c>
      <c r="N117" s="392" t="s">
        <v>751</v>
      </c>
      <c r="O117" s="392" t="s">
        <v>751</v>
      </c>
      <c r="P117" s="392" t="s">
        <v>751</v>
      </c>
      <c r="Q117" s="392" t="s">
        <v>751</v>
      </c>
    </row>
    <row r="118" spans="3:17" ht="18.75" x14ac:dyDescent="0.4">
      <c r="C118" s="2570"/>
      <c r="D118" s="391" t="s">
        <v>809</v>
      </c>
      <c r="E118" s="392" t="s">
        <v>751</v>
      </c>
      <c r="F118" s="392" t="s">
        <v>751</v>
      </c>
      <c r="G118" s="340">
        <v>5.348737697903295</v>
      </c>
      <c r="H118" s="392" t="s">
        <v>751</v>
      </c>
      <c r="I118" s="392" t="s">
        <v>751</v>
      </c>
      <c r="J118" s="392" t="s">
        <v>751</v>
      </c>
      <c r="K118" s="392" t="s">
        <v>751</v>
      </c>
      <c r="L118" s="392" t="s">
        <v>751</v>
      </c>
      <c r="M118" s="392" t="s">
        <v>751</v>
      </c>
      <c r="N118" s="392" t="s">
        <v>751</v>
      </c>
      <c r="O118" s="340">
        <v>4.9960031974420467</v>
      </c>
      <c r="P118" s="340">
        <v>4.9617941847772151</v>
      </c>
      <c r="Q118" s="392" t="s">
        <v>751</v>
      </c>
    </row>
    <row r="119" spans="3:17" ht="18.75" x14ac:dyDescent="0.4">
      <c r="C119" s="2570"/>
      <c r="D119" s="391" t="s">
        <v>810</v>
      </c>
      <c r="E119" s="392" t="s">
        <v>751</v>
      </c>
      <c r="F119" s="340">
        <v>4.9106265959536435</v>
      </c>
      <c r="G119" s="392" t="s">
        <v>751</v>
      </c>
      <c r="H119" s="392" t="s">
        <v>751</v>
      </c>
      <c r="I119" s="392" t="s">
        <v>751</v>
      </c>
      <c r="J119" s="392" t="s">
        <v>751</v>
      </c>
      <c r="K119" s="340">
        <v>4.7189844745410783</v>
      </c>
      <c r="L119" s="392" t="s">
        <v>751</v>
      </c>
      <c r="M119" s="392" t="s">
        <v>751</v>
      </c>
      <c r="N119" s="340">
        <v>9.2511216985059441</v>
      </c>
      <c r="O119" s="340">
        <v>4.5979125477033431</v>
      </c>
      <c r="P119" s="340">
        <v>4.5739377029684851</v>
      </c>
      <c r="Q119" s="392" t="s">
        <v>751</v>
      </c>
    </row>
    <row r="120" spans="3:17" ht="18.75" x14ac:dyDescent="0.4">
      <c r="C120" s="2570"/>
      <c r="D120" s="391" t="s">
        <v>811</v>
      </c>
      <c r="E120" s="392" t="s">
        <v>751</v>
      </c>
      <c r="F120" s="392" t="s">
        <v>751</v>
      </c>
      <c r="G120" s="392" t="s">
        <v>751</v>
      </c>
      <c r="H120" s="392" t="s">
        <v>751</v>
      </c>
      <c r="I120" s="392" t="s">
        <v>751</v>
      </c>
      <c r="J120" s="392" t="s">
        <v>751</v>
      </c>
      <c r="K120" s="340">
        <v>8.5925416738271192</v>
      </c>
      <c r="L120" s="392" t="s">
        <v>751</v>
      </c>
      <c r="M120" s="392" t="s">
        <v>751</v>
      </c>
      <c r="N120" s="392" t="s">
        <v>751</v>
      </c>
      <c r="O120" s="392" t="s">
        <v>751</v>
      </c>
      <c r="P120" s="340">
        <v>8.4638171815488779</v>
      </c>
      <c r="Q120" s="392" t="s">
        <v>751</v>
      </c>
    </row>
    <row r="121" spans="3:17" ht="18.75" x14ac:dyDescent="0.4">
      <c r="C121" s="2570"/>
      <c r="D121" s="391" t="s">
        <v>812</v>
      </c>
      <c r="E121" s="392" t="s">
        <v>751</v>
      </c>
      <c r="F121" s="392" t="s">
        <v>751</v>
      </c>
      <c r="G121" s="392" t="s">
        <v>751</v>
      </c>
      <c r="H121" s="392" t="s">
        <v>751</v>
      </c>
      <c r="I121" s="392" t="s">
        <v>751</v>
      </c>
      <c r="J121" s="392" t="s">
        <v>751</v>
      </c>
      <c r="K121" s="340">
        <v>3.9866050071758887</v>
      </c>
      <c r="L121" s="392" t="s">
        <v>751</v>
      </c>
      <c r="M121" s="340">
        <v>15.327432271908648</v>
      </c>
      <c r="N121" s="340">
        <v>3.7595398323245233</v>
      </c>
      <c r="O121" s="392" t="s">
        <v>751</v>
      </c>
      <c r="P121" s="340">
        <v>3.6256843479206702</v>
      </c>
      <c r="Q121" s="392" t="s">
        <v>751</v>
      </c>
    </row>
    <row r="122" spans="3:17" ht="18.75" x14ac:dyDescent="0.4">
      <c r="C122" s="2570"/>
      <c r="D122" s="391" t="s">
        <v>813</v>
      </c>
      <c r="E122" s="392" t="s">
        <v>751</v>
      </c>
      <c r="F122" s="340">
        <v>13.363624214887077</v>
      </c>
      <c r="G122" s="392" t="s">
        <v>751</v>
      </c>
      <c r="H122" s="392" t="s">
        <v>751</v>
      </c>
      <c r="I122" s="392" t="s">
        <v>751</v>
      </c>
      <c r="J122" s="392" t="s">
        <v>751</v>
      </c>
      <c r="K122" s="392" t="s">
        <v>751</v>
      </c>
      <c r="L122" s="392" t="s">
        <v>751</v>
      </c>
      <c r="M122" s="392" t="s">
        <v>751</v>
      </c>
      <c r="N122" s="392" t="s">
        <v>751</v>
      </c>
      <c r="O122" s="340">
        <v>12.503125781445362</v>
      </c>
      <c r="P122" s="392" t="s">
        <v>751</v>
      </c>
      <c r="Q122" s="392" t="s">
        <v>751</v>
      </c>
    </row>
    <row r="123" spans="3:17" ht="18.75" x14ac:dyDescent="0.4">
      <c r="C123" s="2567" t="s">
        <v>533</v>
      </c>
      <c r="D123" s="391" t="s">
        <v>533</v>
      </c>
      <c r="E123" s="340">
        <v>0.8292974192264313</v>
      </c>
      <c r="F123" s="340">
        <v>0.81609336108050756</v>
      </c>
      <c r="G123" s="340">
        <v>1.6061676839061998</v>
      </c>
      <c r="H123" s="340">
        <v>2.3712603248626647</v>
      </c>
      <c r="I123" s="340">
        <v>0.77820406066878856</v>
      </c>
      <c r="J123" s="340">
        <v>0.76650672226395422</v>
      </c>
      <c r="K123" s="340">
        <v>2.265176683781335</v>
      </c>
      <c r="L123" s="340">
        <v>0.74404761904761907</v>
      </c>
      <c r="M123" s="340">
        <v>1.467050055747902</v>
      </c>
      <c r="N123" s="340">
        <v>2.170421495854495</v>
      </c>
      <c r="O123" s="340">
        <v>2.1412970550027839</v>
      </c>
      <c r="P123" s="340">
        <v>4.2250545736215761</v>
      </c>
      <c r="Q123" s="340">
        <v>2.8791063253965969</v>
      </c>
    </row>
    <row r="124" spans="3:17" ht="18.75" x14ac:dyDescent="0.4">
      <c r="C124" s="2567"/>
      <c r="D124" s="391" t="s">
        <v>814</v>
      </c>
      <c r="E124" s="392" t="s">
        <v>751</v>
      </c>
      <c r="F124" s="392" t="s">
        <v>751</v>
      </c>
      <c r="G124" s="392" t="s">
        <v>751</v>
      </c>
      <c r="H124" s="392" t="s">
        <v>751</v>
      </c>
      <c r="I124" s="340">
        <v>2.8684527565830993</v>
      </c>
      <c r="J124" s="392" t="s">
        <v>751</v>
      </c>
      <c r="K124" s="392" t="s">
        <v>751</v>
      </c>
      <c r="L124" s="392" t="s">
        <v>751</v>
      </c>
      <c r="M124" s="392" t="s">
        <v>751</v>
      </c>
      <c r="N124" s="392" t="s">
        <v>751</v>
      </c>
      <c r="O124" s="392" t="s">
        <v>751</v>
      </c>
      <c r="P124" s="340">
        <v>2.5830448933202459</v>
      </c>
      <c r="Q124" s="340">
        <v>2.5481602283151563</v>
      </c>
    </row>
    <row r="125" spans="3:17" ht="18.75" x14ac:dyDescent="0.4">
      <c r="C125" s="2567"/>
      <c r="D125" s="391" t="s">
        <v>815</v>
      </c>
      <c r="E125" s="392" t="s">
        <v>751</v>
      </c>
      <c r="F125" s="340">
        <v>2.1130927225086635</v>
      </c>
      <c r="G125" s="340">
        <v>2.0832031331375123</v>
      </c>
      <c r="H125" s="392" t="s">
        <v>751</v>
      </c>
      <c r="I125" s="392" t="s">
        <v>751</v>
      </c>
      <c r="J125" s="340">
        <v>1.997722596240286</v>
      </c>
      <c r="K125" s="392" t="s">
        <v>751</v>
      </c>
      <c r="L125" s="392" t="s">
        <v>751</v>
      </c>
      <c r="M125" s="392" t="s">
        <v>751</v>
      </c>
      <c r="N125" s="340">
        <v>3.7890269778720826</v>
      </c>
      <c r="O125" s="392" t="s">
        <v>751</v>
      </c>
      <c r="P125" s="340">
        <v>1.848053076084345</v>
      </c>
      <c r="Q125" s="392" t="s">
        <v>751</v>
      </c>
    </row>
    <row r="126" spans="3:17" ht="18.75" x14ac:dyDescent="0.4">
      <c r="C126" s="2567"/>
      <c r="D126" s="391" t="s">
        <v>816</v>
      </c>
      <c r="E126" s="340">
        <v>7.8210542781166907</v>
      </c>
      <c r="F126" s="392" t="s">
        <v>751</v>
      </c>
      <c r="G126" s="340">
        <v>7.6335877862595423</v>
      </c>
      <c r="H126" s="392" t="s">
        <v>751</v>
      </c>
      <c r="I126" s="392" t="s">
        <v>751</v>
      </c>
      <c r="J126" s="392" t="s">
        <v>751</v>
      </c>
      <c r="K126" s="392" t="s">
        <v>751</v>
      </c>
      <c r="L126" s="392" t="s">
        <v>751</v>
      </c>
      <c r="M126" s="340">
        <v>7.128599942971201</v>
      </c>
      <c r="N126" s="392" t="s">
        <v>751</v>
      </c>
      <c r="O126" s="392" t="s">
        <v>751</v>
      </c>
      <c r="P126" s="392" t="s">
        <v>751</v>
      </c>
      <c r="Q126" s="392">
        <v>6.8554192088846237</v>
      </c>
    </row>
    <row r="127" spans="3:17" ht="18.75" x14ac:dyDescent="0.4">
      <c r="C127" s="2567"/>
      <c r="D127" s="391" t="s">
        <v>817</v>
      </c>
      <c r="E127" s="392" t="s">
        <v>751</v>
      </c>
      <c r="F127" s="392" t="s">
        <v>751</v>
      </c>
      <c r="G127" s="392" t="s">
        <v>751</v>
      </c>
      <c r="H127" s="392" t="s">
        <v>751</v>
      </c>
      <c r="I127" s="340">
        <v>3.3234736947057062</v>
      </c>
      <c r="J127" s="392" t="s">
        <v>751</v>
      </c>
      <c r="K127" s="392" t="s">
        <v>751</v>
      </c>
      <c r="L127" s="392" t="s">
        <v>751</v>
      </c>
      <c r="M127" s="392" t="s">
        <v>751</v>
      </c>
      <c r="N127" s="340">
        <v>9.6833543139343465</v>
      </c>
      <c r="O127" s="340">
        <v>3.2114069173704998</v>
      </c>
      <c r="P127" s="392" t="s">
        <v>751</v>
      </c>
      <c r="Q127" s="392" t="s">
        <v>751</v>
      </c>
    </row>
    <row r="128" spans="3:17" ht="18.75" x14ac:dyDescent="0.4">
      <c r="C128" s="2567"/>
      <c r="D128" s="391" t="s">
        <v>818</v>
      </c>
      <c r="E128" s="392" t="s">
        <v>751</v>
      </c>
      <c r="F128" s="392" t="s">
        <v>751</v>
      </c>
      <c r="G128" s="392" t="s">
        <v>751</v>
      </c>
      <c r="H128" s="340">
        <v>3.3819202543204034</v>
      </c>
      <c r="I128" s="340">
        <v>3.3224798989966113</v>
      </c>
      <c r="J128" s="392" t="s">
        <v>751</v>
      </c>
      <c r="K128" s="340">
        <v>3.2120258246876308</v>
      </c>
      <c r="L128" s="340">
        <v>9.4843666023837372</v>
      </c>
      <c r="M128" s="340">
        <v>3.1132281062233429</v>
      </c>
      <c r="N128" s="340">
        <v>3.0673905708413853</v>
      </c>
      <c r="O128" s="392" t="s">
        <v>751</v>
      </c>
      <c r="P128" s="340">
        <v>5.9616072493144152</v>
      </c>
      <c r="Q128" s="340">
        <v>2.9394473838918285</v>
      </c>
    </row>
    <row r="129" spans="3:17" ht="18.75" x14ac:dyDescent="0.4">
      <c r="C129" s="2567"/>
      <c r="D129" s="391" t="s">
        <v>819</v>
      </c>
      <c r="E129" s="392" t="s">
        <v>751</v>
      </c>
      <c r="F129" s="340">
        <v>2.4381323905888088</v>
      </c>
      <c r="G129" s="392" t="s">
        <v>751</v>
      </c>
      <c r="H129" s="340">
        <v>4.7605446063029611</v>
      </c>
      <c r="I129" s="340">
        <v>4.7041113933577945</v>
      </c>
      <c r="J129" s="340">
        <v>4.6507301646358483</v>
      </c>
      <c r="K129" s="392" t="s">
        <v>751</v>
      </c>
      <c r="L129" s="392" t="s">
        <v>751</v>
      </c>
      <c r="M129" s="392" t="s">
        <v>751</v>
      </c>
      <c r="N129" s="392" t="s">
        <v>751</v>
      </c>
      <c r="O129" s="340">
        <v>4.3885634037697763</v>
      </c>
      <c r="P129" s="340">
        <v>6.5150824157925591</v>
      </c>
      <c r="Q129" s="340">
        <v>2.9685041707483597</v>
      </c>
    </row>
    <row r="130" spans="3:17" ht="18.75" x14ac:dyDescent="0.4">
      <c r="C130" s="2567"/>
      <c r="D130" s="391" t="s">
        <v>820</v>
      </c>
      <c r="E130" s="340">
        <v>2.3131549119844554</v>
      </c>
      <c r="F130" s="340">
        <v>2.3062198750028831</v>
      </c>
      <c r="G130" s="392" t="s">
        <v>751</v>
      </c>
      <c r="H130" s="340">
        <v>2.2904260192395784</v>
      </c>
      <c r="I130" s="340">
        <v>2.2825317842550956</v>
      </c>
      <c r="J130" s="392" t="s">
        <v>751</v>
      </c>
      <c r="K130" s="340">
        <v>2.2720043622483752</v>
      </c>
      <c r="L130" s="392" t="s">
        <v>751</v>
      </c>
      <c r="M130" s="392" t="s">
        <v>751</v>
      </c>
      <c r="N130" s="392" t="s">
        <v>751</v>
      </c>
      <c r="O130" s="340">
        <v>4.5138575426559537</v>
      </c>
      <c r="P130" s="340">
        <v>2.257693089201454</v>
      </c>
      <c r="Q130" s="392" t="s">
        <v>751</v>
      </c>
    </row>
    <row r="131" spans="3:17" ht="18.75" x14ac:dyDescent="0.4">
      <c r="C131" s="2567"/>
      <c r="D131" s="391" t="s">
        <v>821</v>
      </c>
      <c r="E131" s="392" t="s">
        <v>751</v>
      </c>
      <c r="F131" s="392" t="s">
        <v>751</v>
      </c>
      <c r="G131" s="392" t="s">
        <v>751</v>
      </c>
      <c r="H131" s="392" t="s">
        <v>751</v>
      </c>
      <c r="I131" s="392" t="s">
        <v>751</v>
      </c>
      <c r="J131" s="392" t="s">
        <v>751</v>
      </c>
      <c r="K131" s="392" t="s">
        <v>751</v>
      </c>
      <c r="L131" s="340">
        <v>10.482729702814613</v>
      </c>
      <c r="M131" s="392" t="s">
        <v>751</v>
      </c>
      <c r="N131" s="340">
        <v>5.043373007867662</v>
      </c>
      <c r="O131" s="340">
        <v>4.95074013565028</v>
      </c>
      <c r="P131" s="340">
        <v>4.8557832378362633</v>
      </c>
      <c r="Q131" s="392" t="s">
        <v>751</v>
      </c>
    </row>
    <row r="132" spans="3:17" ht="18.75" x14ac:dyDescent="0.4">
      <c r="C132" s="2567"/>
      <c r="D132" s="391" t="s">
        <v>822</v>
      </c>
      <c r="E132" s="392" t="s">
        <v>751</v>
      </c>
      <c r="F132" s="392" t="s">
        <v>751</v>
      </c>
      <c r="G132" s="340">
        <v>2.0966558339448582</v>
      </c>
      <c r="H132" s="392" t="s">
        <v>751</v>
      </c>
      <c r="I132" s="392" t="s">
        <v>751</v>
      </c>
      <c r="J132" s="340">
        <v>2.0201612088644674</v>
      </c>
      <c r="K132" s="392" t="s">
        <v>751</v>
      </c>
      <c r="L132" s="340">
        <v>3.9455513908068656</v>
      </c>
      <c r="M132" s="340">
        <v>3.8993195687352555</v>
      </c>
      <c r="N132" s="340">
        <v>1.9280825219319386</v>
      </c>
      <c r="O132" s="340">
        <v>3.8154104427783819</v>
      </c>
      <c r="P132" s="340">
        <v>3.7770055899682728</v>
      </c>
      <c r="Q132" s="392" t="s">
        <v>751</v>
      </c>
    </row>
    <row r="133" spans="3:17" ht="18.75" x14ac:dyDescent="0.4">
      <c r="C133" s="2567"/>
      <c r="D133" s="391" t="s">
        <v>823</v>
      </c>
      <c r="E133" s="340">
        <v>5.1140431625242924</v>
      </c>
      <c r="F133" s="340">
        <v>4.9544193420531117</v>
      </c>
      <c r="G133" s="340">
        <v>4.8019207683073226</v>
      </c>
      <c r="H133" s="340">
        <v>23.285055651283006</v>
      </c>
      <c r="I133" s="392" t="s">
        <v>751</v>
      </c>
      <c r="J133" s="340">
        <v>4.392322220758115</v>
      </c>
      <c r="K133" s="340">
        <v>12.806830309498398</v>
      </c>
      <c r="L133" s="340">
        <v>8.3046132126396213</v>
      </c>
      <c r="M133" s="340">
        <v>8.0850547762461087</v>
      </c>
      <c r="N133" s="340">
        <v>3.9399550845120364</v>
      </c>
      <c r="O133" s="340">
        <v>7.6840325802981395</v>
      </c>
      <c r="P133" s="340">
        <v>7.4847498222371911</v>
      </c>
      <c r="Q133" s="340">
        <v>18.245511604145381</v>
      </c>
    </row>
    <row r="134" spans="3:17" ht="18.75" x14ac:dyDescent="0.4">
      <c r="C134" s="2567"/>
      <c r="D134" s="391" t="s">
        <v>824</v>
      </c>
      <c r="E134" s="391"/>
      <c r="F134" s="391"/>
      <c r="G134" s="391"/>
      <c r="H134" s="391"/>
      <c r="I134" s="391"/>
      <c r="J134" s="391"/>
      <c r="K134" s="391"/>
      <c r="L134" s="391"/>
      <c r="M134" s="391"/>
      <c r="N134" s="391"/>
      <c r="O134" s="391"/>
      <c r="P134" s="391"/>
      <c r="Q134" s="392" t="s">
        <v>751</v>
      </c>
    </row>
    <row r="135" spans="3:17" ht="18.75" x14ac:dyDescent="0.4">
      <c r="C135" s="2567"/>
      <c r="D135" s="391" t="s">
        <v>825</v>
      </c>
      <c r="E135" s="391"/>
      <c r="F135" s="391"/>
      <c r="G135" s="391"/>
      <c r="H135" s="391"/>
      <c r="I135" s="391"/>
      <c r="J135" s="391"/>
      <c r="K135" s="391"/>
      <c r="L135" s="391"/>
      <c r="M135" s="391"/>
      <c r="N135" s="391"/>
      <c r="O135" s="391"/>
      <c r="P135" s="391"/>
      <c r="Q135" s="392" t="s">
        <v>751</v>
      </c>
    </row>
    <row r="136" spans="3:17" ht="18.75" x14ac:dyDescent="0.4">
      <c r="C136" s="2567" t="s">
        <v>334</v>
      </c>
      <c r="D136" s="391" t="s">
        <v>334</v>
      </c>
      <c r="E136" s="392" t="s">
        <v>751</v>
      </c>
      <c r="F136" s="340">
        <v>1.0382706563947091</v>
      </c>
      <c r="G136" s="340">
        <v>1.0335169548456442</v>
      </c>
      <c r="H136" s="392" t="s">
        <v>751</v>
      </c>
      <c r="I136" s="340">
        <v>2.0479003901250241</v>
      </c>
      <c r="J136" s="392" t="s">
        <v>751</v>
      </c>
      <c r="K136" s="340">
        <v>3.0469535542713211</v>
      </c>
      <c r="L136" s="340">
        <v>4.0466170281644551</v>
      </c>
      <c r="M136" s="392" t="s">
        <v>751</v>
      </c>
      <c r="N136" s="340">
        <v>2.0091415942538551</v>
      </c>
      <c r="O136" s="340">
        <v>6.0098561641091388</v>
      </c>
      <c r="P136" s="340">
        <v>0.99959016803110723</v>
      </c>
      <c r="Q136" s="340">
        <v>4.9882277824334569</v>
      </c>
    </row>
    <row r="137" spans="3:17" ht="18.75" x14ac:dyDescent="0.4">
      <c r="C137" s="2567"/>
      <c r="D137" s="391" t="s">
        <v>826</v>
      </c>
      <c r="E137" s="340">
        <v>0.77462933986087645</v>
      </c>
      <c r="F137" s="392" t="s">
        <v>751</v>
      </c>
      <c r="G137" s="340">
        <v>0.74958585381576681</v>
      </c>
      <c r="H137" s="340">
        <v>1.4748066159824793</v>
      </c>
      <c r="I137" s="340">
        <v>2.9025680470796535</v>
      </c>
      <c r="J137" s="340">
        <v>0.71441328808715843</v>
      </c>
      <c r="K137" s="340">
        <v>0.70337832610025963</v>
      </c>
      <c r="L137" s="340">
        <v>1.3856268922467248</v>
      </c>
      <c r="M137" s="340">
        <v>0.68267773514834584</v>
      </c>
      <c r="N137" s="340">
        <v>2.0189376350164543</v>
      </c>
      <c r="O137" s="340">
        <v>1.9911856847023841</v>
      </c>
      <c r="P137" s="340">
        <v>4.5844821827374593</v>
      </c>
      <c r="Q137" s="340">
        <v>1.2930421402433505</v>
      </c>
    </row>
    <row r="138" spans="3:17" ht="18.75" x14ac:dyDescent="0.4">
      <c r="C138" s="2567"/>
      <c r="D138" s="391" t="s">
        <v>827</v>
      </c>
      <c r="E138" s="392" t="s">
        <v>751</v>
      </c>
      <c r="F138" s="340">
        <v>1.6562872664634953</v>
      </c>
      <c r="G138" s="340">
        <v>1.6413084510972147</v>
      </c>
      <c r="H138" s="392" t="s">
        <v>751</v>
      </c>
      <c r="I138" s="340">
        <v>3.2213381438649611</v>
      </c>
      <c r="J138" s="340">
        <v>1.5967553930413401</v>
      </c>
      <c r="K138" s="340">
        <v>1.5842337061563321</v>
      </c>
      <c r="L138" s="340">
        <v>1.5724753907601345</v>
      </c>
      <c r="M138" s="340">
        <v>1.5613777597351903</v>
      </c>
      <c r="N138" s="340">
        <v>7.7518178012743988</v>
      </c>
      <c r="O138" s="392" t="s">
        <v>751</v>
      </c>
      <c r="P138" s="340">
        <v>4.593688272313841</v>
      </c>
      <c r="Q138" s="340">
        <v>1.5226957806099919</v>
      </c>
    </row>
    <row r="139" spans="3:17" ht="18.75" x14ac:dyDescent="0.4">
      <c r="C139" s="2567"/>
      <c r="D139" s="391" t="s">
        <v>828</v>
      </c>
      <c r="E139" s="392" t="s">
        <v>751</v>
      </c>
      <c r="F139" s="392" t="s">
        <v>751</v>
      </c>
      <c r="G139" s="340">
        <v>2.7290341947984609</v>
      </c>
      <c r="H139" s="392" t="s">
        <v>751</v>
      </c>
      <c r="I139" s="392" t="s">
        <v>751</v>
      </c>
      <c r="J139" s="392" t="s">
        <v>751</v>
      </c>
      <c r="K139" s="340">
        <v>5.0203323460013056</v>
      </c>
      <c r="L139" s="392" t="s">
        <v>751</v>
      </c>
      <c r="M139" s="392" t="s">
        <v>751</v>
      </c>
      <c r="N139" s="340">
        <v>4.7224386673278076</v>
      </c>
      <c r="O139" s="340">
        <v>2.3173359905452693</v>
      </c>
      <c r="P139" s="340">
        <v>2.2736574053021692</v>
      </c>
      <c r="Q139" s="340">
        <v>2.2320432123565914</v>
      </c>
    </row>
    <row r="140" spans="3:17" ht="18.75" x14ac:dyDescent="0.4">
      <c r="C140" s="2567"/>
      <c r="D140" s="391" t="s">
        <v>829</v>
      </c>
      <c r="E140" s="392" t="s">
        <v>751</v>
      </c>
      <c r="F140" s="392" t="s">
        <v>751</v>
      </c>
      <c r="G140" s="392" t="s">
        <v>751</v>
      </c>
      <c r="H140" s="392" t="s">
        <v>751</v>
      </c>
      <c r="I140" s="392" t="s">
        <v>751</v>
      </c>
      <c r="J140" s="392" t="s">
        <v>751</v>
      </c>
      <c r="K140" s="340">
        <v>2.266237592349182</v>
      </c>
      <c r="L140" s="392" t="s">
        <v>751</v>
      </c>
      <c r="M140" s="392" t="s">
        <v>751</v>
      </c>
      <c r="N140" s="340">
        <v>4.3630969261982155</v>
      </c>
      <c r="O140" s="392" t="s">
        <v>751</v>
      </c>
      <c r="P140" s="392" t="s">
        <v>751</v>
      </c>
      <c r="Q140" s="392">
        <v>2.1101052942541831</v>
      </c>
    </row>
    <row r="141" spans="3:17" ht="18.75" x14ac:dyDescent="0.4">
      <c r="C141" s="2568"/>
      <c r="D141" s="395" t="s">
        <v>830</v>
      </c>
      <c r="E141" s="396" t="s">
        <v>751</v>
      </c>
      <c r="F141" s="396" t="s">
        <v>751</v>
      </c>
      <c r="G141" s="396" t="s">
        <v>751</v>
      </c>
      <c r="H141" s="397">
        <v>2.0659022828220222</v>
      </c>
      <c r="I141" s="396" t="s">
        <v>751</v>
      </c>
      <c r="J141" s="397">
        <v>1.9870444700552399</v>
      </c>
      <c r="K141" s="397">
        <v>1.9494317406476012</v>
      </c>
      <c r="L141" s="396" t="s">
        <v>751</v>
      </c>
      <c r="M141" s="396" t="s">
        <v>751</v>
      </c>
      <c r="N141" s="397">
        <v>1.8451886705415628</v>
      </c>
      <c r="O141" s="397">
        <v>3.6279204759831667</v>
      </c>
      <c r="P141" s="397">
        <v>1.7831033130059557</v>
      </c>
      <c r="Q141" s="397">
        <v>7.0149594009224669</v>
      </c>
    </row>
    <row r="142" spans="3:17" ht="18.75" x14ac:dyDescent="0.4">
      <c r="C142" s="5" t="s">
        <v>831</v>
      </c>
      <c r="D142" s="5"/>
      <c r="E142" s="5"/>
      <c r="F142" s="5"/>
      <c r="G142" s="5"/>
      <c r="H142" s="5"/>
      <c r="I142" s="5"/>
      <c r="J142" s="5"/>
      <c r="K142" s="5"/>
      <c r="L142" s="5"/>
      <c r="M142" s="5"/>
      <c r="N142" s="5"/>
      <c r="O142" s="5"/>
      <c r="P142" s="5"/>
    </row>
  </sheetData>
  <mergeCells count="22">
    <mergeCell ref="A5:B5"/>
    <mergeCell ref="C5:Q5"/>
    <mergeCell ref="C1:D1"/>
    <mergeCell ref="A3:B3"/>
    <mergeCell ref="C3:Q3"/>
    <mergeCell ref="A4:B4"/>
    <mergeCell ref="C4:Q4"/>
    <mergeCell ref="A6:B6"/>
    <mergeCell ref="C6:Q6"/>
    <mergeCell ref="C11:C12"/>
    <mergeCell ref="D11:D12"/>
    <mergeCell ref="E11:T11"/>
    <mergeCell ref="C123:C135"/>
    <mergeCell ref="C136:C141"/>
    <mergeCell ref="AD11:AE11"/>
    <mergeCell ref="C58:C77"/>
    <mergeCell ref="C78:C93"/>
    <mergeCell ref="C94:C101"/>
    <mergeCell ref="C102:C111"/>
    <mergeCell ref="C112:C122"/>
    <mergeCell ref="V11:AB11"/>
    <mergeCell ref="V13:AB27"/>
  </mergeCells>
  <conditionalFormatting sqref="E58:P58">
    <cfRule type="cellIs" dxfId="245" priority="84" operator="equal">
      <formula>0</formula>
    </cfRule>
  </conditionalFormatting>
  <conditionalFormatting sqref="E59:P59">
    <cfRule type="cellIs" dxfId="244" priority="83" operator="equal">
      <formula>0</formula>
    </cfRule>
  </conditionalFormatting>
  <conditionalFormatting sqref="E60:P60">
    <cfRule type="cellIs" dxfId="243" priority="82" operator="equal">
      <formula>0</formula>
    </cfRule>
  </conditionalFormatting>
  <conditionalFormatting sqref="E61:P61">
    <cfRule type="cellIs" dxfId="242" priority="81" operator="equal">
      <formula>0</formula>
    </cfRule>
  </conditionalFormatting>
  <conditionalFormatting sqref="E62:P62">
    <cfRule type="cellIs" dxfId="241" priority="80" operator="equal">
      <formula>0</formula>
    </cfRule>
  </conditionalFormatting>
  <conditionalFormatting sqref="E63:P63">
    <cfRule type="cellIs" dxfId="240" priority="79" operator="equal">
      <formula>0</formula>
    </cfRule>
  </conditionalFormatting>
  <conditionalFormatting sqref="E64:P64">
    <cfRule type="cellIs" dxfId="239" priority="78" operator="equal">
      <formula>0</formula>
    </cfRule>
  </conditionalFormatting>
  <conditionalFormatting sqref="E65:P65">
    <cfRule type="cellIs" dxfId="238" priority="77" operator="equal">
      <formula>0</formula>
    </cfRule>
  </conditionalFormatting>
  <conditionalFormatting sqref="E66:P66">
    <cfRule type="cellIs" dxfId="237" priority="76" operator="equal">
      <formula>0</formula>
    </cfRule>
  </conditionalFormatting>
  <conditionalFormatting sqref="E67:P67">
    <cfRule type="cellIs" dxfId="236" priority="75" operator="equal">
      <formula>0</formula>
    </cfRule>
  </conditionalFormatting>
  <conditionalFormatting sqref="E68:P68">
    <cfRule type="cellIs" dxfId="235" priority="74" operator="equal">
      <formula>0</formula>
    </cfRule>
  </conditionalFormatting>
  <conditionalFormatting sqref="E69:P69">
    <cfRule type="cellIs" dxfId="234" priority="73" operator="equal">
      <formula>0</formula>
    </cfRule>
  </conditionalFormatting>
  <conditionalFormatting sqref="E70:P70">
    <cfRule type="cellIs" dxfId="233" priority="72" operator="equal">
      <formula>0</formula>
    </cfRule>
  </conditionalFormatting>
  <conditionalFormatting sqref="E71:P71">
    <cfRule type="cellIs" dxfId="232" priority="71" operator="equal">
      <formula>0</formula>
    </cfRule>
  </conditionalFormatting>
  <conditionalFormatting sqref="E72:P72">
    <cfRule type="cellIs" dxfId="231" priority="70" operator="equal">
      <formula>0</formula>
    </cfRule>
  </conditionalFormatting>
  <conditionalFormatting sqref="E73:P73">
    <cfRule type="cellIs" dxfId="230" priority="69" operator="equal">
      <formula>0</formula>
    </cfRule>
  </conditionalFormatting>
  <conditionalFormatting sqref="E74:P74">
    <cfRule type="cellIs" dxfId="229" priority="68" operator="equal">
      <formula>0</formula>
    </cfRule>
  </conditionalFormatting>
  <conditionalFormatting sqref="E75:P75">
    <cfRule type="cellIs" dxfId="228" priority="67" operator="equal">
      <formula>0</formula>
    </cfRule>
  </conditionalFormatting>
  <conditionalFormatting sqref="E76:P76">
    <cfRule type="cellIs" dxfId="227" priority="66" operator="equal">
      <formula>0</formula>
    </cfRule>
  </conditionalFormatting>
  <conditionalFormatting sqref="E77:P77">
    <cfRule type="cellIs" dxfId="226" priority="65" operator="equal">
      <formula>0</formula>
    </cfRule>
  </conditionalFormatting>
  <conditionalFormatting sqref="E78:P78">
    <cfRule type="cellIs" dxfId="225" priority="64" operator="equal">
      <formula>0</formula>
    </cfRule>
  </conditionalFormatting>
  <conditionalFormatting sqref="E79:P79">
    <cfRule type="cellIs" dxfId="224" priority="63" operator="equal">
      <formula>0</formula>
    </cfRule>
  </conditionalFormatting>
  <conditionalFormatting sqref="E80:P80">
    <cfRule type="cellIs" dxfId="223" priority="62" operator="equal">
      <formula>0</formula>
    </cfRule>
  </conditionalFormatting>
  <conditionalFormatting sqref="E81:P81">
    <cfRule type="cellIs" dxfId="222" priority="61" operator="equal">
      <formula>0</formula>
    </cfRule>
  </conditionalFormatting>
  <conditionalFormatting sqref="E82:P82">
    <cfRule type="cellIs" dxfId="221" priority="60" operator="equal">
      <formula>0</formula>
    </cfRule>
  </conditionalFormatting>
  <conditionalFormatting sqref="E83:P83">
    <cfRule type="cellIs" dxfId="220" priority="59" operator="equal">
      <formula>0</formula>
    </cfRule>
  </conditionalFormatting>
  <conditionalFormatting sqref="E84:P84">
    <cfRule type="cellIs" dxfId="219" priority="58" operator="equal">
      <formula>0</formula>
    </cfRule>
  </conditionalFormatting>
  <conditionalFormatting sqref="E85:P85">
    <cfRule type="cellIs" dxfId="218" priority="57" operator="equal">
      <formula>0</formula>
    </cfRule>
  </conditionalFormatting>
  <conditionalFormatting sqref="E86:P86">
    <cfRule type="cellIs" dxfId="217" priority="56" operator="equal">
      <formula>0</formula>
    </cfRule>
  </conditionalFormatting>
  <conditionalFormatting sqref="E87:P87">
    <cfRule type="cellIs" dxfId="216" priority="55" operator="equal">
      <formula>0</formula>
    </cfRule>
  </conditionalFormatting>
  <conditionalFormatting sqref="E88:P88">
    <cfRule type="cellIs" dxfId="215" priority="54" operator="equal">
      <formula>0</formula>
    </cfRule>
  </conditionalFormatting>
  <conditionalFormatting sqref="E89:P89">
    <cfRule type="cellIs" dxfId="214" priority="53" operator="equal">
      <formula>0</formula>
    </cfRule>
  </conditionalFormatting>
  <conditionalFormatting sqref="E90:P90">
    <cfRule type="cellIs" dxfId="213" priority="52" operator="equal">
      <formula>0</formula>
    </cfRule>
  </conditionalFormatting>
  <conditionalFormatting sqref="E91:P91">
    <cfRule type="cellIs" dxfId="212" priority="51" operator="equal">
      <formula>0</formula>
    </cfRule>
  </conditionalFormatting>
  <conditionalFormatting sqref="E92:P92">
    <cfRule type="cellIs" dxfId="211" priority="50" operator="equal">
      <formula>0</formula>
    </cfRule>
  </conditionalFormatting>
  <conditionalFormatting sqref="E93:P93">
    <cfRule type="cellIs" dxfId="210" priority="49" operator="equal">
      <formula>0</formula>
    </cfRule>
  </conditionalFormatting>
  <conditionalFormatting sqref="E94:P94">
    <cfRule type="cellIs" dxfId="209" priority="48" operator="equal">
      <formula>0</formula>
    </cfRule>
  </conditionalFormatting>
  <conditionalFormatting sqref="E95:P95">
    <cfRule type="cellIs" dxfId="208" priority="47" operator="equal">
      <formula>0</formula>
    </cfRule>
  </conditionalFormatting>
  <conditionalFormatting sqref="E96:P96">
    <cfRule type="cellIs" dxfId="207" priority="46" operator="equal">
      <formula>0</formula>
    </cfRule>
  </conditionalFormatting>
  <conditionalFormatting sqref="E97:P97">
    <cfRule type="cellIs" dxfId="206" priority="45" operator="equal">
      <formula>0</formula>
    </cfRule>
  </conditionalFormatting>
  <conditionalFormatting sqref="E98:P98">
    <cfRule type="cellIs" dxfId="205" priority="44" operator="equal">
      <formula>0</formula>
    </cfRule>
  </conditionalFormatting>
  <conditionalFormatting sqref="E99:P99">
    <cfRule type="cellIs" dxfId="204" priority="43" operator="equal">
      <formula>0</formula>
    </cfRule>
  </conditionalFormatting>
  <conditionalFormatting sqref="E100:P100">
    <cfRule type="cellIs" dxfId="203" priority="42" operator="equal">
      <formula>0</formula>
    </cfRule>
  </conditionalFormatting>
  <conditionalFormatting sqref="E101:P101">
    <cfRule type="cellIs" dxfId="202" priority="41" operator="equal">
      <formula>0</formula>
    </cfRule>
  </conditionalFormatting>
  <conditionalFormatting sqref="E102:P102">
    <cfRule type="cellIs" dxfId="201" priority="40" operator="equal">
      <formula>0</formula>
    </cfRule>
  </conditionalFormatting>
  <conditionalFormatting sqref="E103:P103">
    <cfRule type="cellIs" dxfId="200" priority="39" operator="equal">
      <formula>0</formula>
    </cfRule>
  </conditionalFormatting>
  <conditionalFormatting sqref="E104:P104">
    <cfRule type="cellIs" dxfId="199" priority="38" operator="equal">
      <formula>0</formula>
    </cfRule>
  </conditionalFormatting>
  <conditionalFormatting sqref="E105:P105">
    <cfRule type="cellIs" dxfId="198" priority="37" operator="equal">
      <formula>0</formula>
    </cfRule>
  </conditionalFormatting>
  <conditionalFormatting sqref="E106:P106">
    <cfRule type="cellIs" dxfId="197" priority="36" operator="equal">
      <formula>0</formula>
    </cfRule>
  </conditionalFormatting>
  <conditionalFormatting sqref="E107:P107">
    <cfRule type="cellIs" dxfId="196" priority="35" operator="equal">
      <formula>0</formula>
    </cfRule>
  </conditionalFormatting>
  <conditionalFormatting sqref="E108:P108">
    <cfRule type="cellIs" dxfId="195" priority="34" operator="equal">
      <formula>0</formula>
    </cfRule>
  </conditionalFormatting>
  <conditionalFormatting sqref="E109:P109">
    <cfRule type="cellIs" dxfId="194" priority="33" operator="equal">
      <formula>0</formula>
    </cfRule>
  </conditionalFormatting>
  <conditionalFormatting sqref="E110:P110">
    <cfRule type="cellIs" dxfId="193" priority="32" operator="equal">
      <formula>0</formula>
    </cfRule>
  </conditionalFormatting>
  <conditionalFormatting sqref="E111:P111">
    <cfRule type="cellIs" dxfId="192" priority="31" operator="equal">
      <formula>0</formula>
    </cfRule>
  </conditionalFormatting>
  <conditionalFormatting sqref="E112:P112">
    <cfRule type="cellIs" dxfId="191" priority="30" operator="equal">
      <formula>0</formula>
    </cfRule>
  </conditionalFormatting>
  <conditionalFormatting sqref="E113:P113">
    <cfRule type="cellIs" dxfId="190" priority="29" operator="equal">
      <formula>0</formula>
    </cfRule>
  </conditionalFormatting>
  <conditionalFormatting sqref="E114:P114">
    <cfRule type="cellIs" dxfId="189" priority="28" operator="equal">
      <formula>0</formula>
    </cfRule>
  </conditionalFormatting>
  <conditionalFormatting sqref="E115:P115">
    <cfRule type="cellIs" dxfId="188" priority="27" operator="equal">
      <formula>0</formula>
    </cfRule>
  </conditionalFormatting>
  <conditionalFormatting sqref="E116:P116">
    <cfRule type="cellIs" dxfId="187" priority="26" operator="equal">
      <formula>0</formula>
    </cfRule>
  </conditionalFormatting>
  <conditionalFormatting sqref="E117:P117">
    <cfRule type="cellIs" dxfId="186" priority="25" operator="equal">
      <formula>0</formula>
    </cfRule>
  </conditionalFormatting>
  <conditionalFormatting sqref="E118:P118">
    <cfRule type="cellIs" dxfId="185" priority="24" operator="equal">
      <formula>0</formula>
    </cfRule>
  </conditionalFormatting>
  <conditionalFormatting sqref="E119:P119">
    <cfRule type="cellIs" dxfId="184" priority="23" operator="equal">
      <formula>0</formula>
    </cfRule>
  </conditionalFormatting>
  <conditionalFormatting sqref="E120:P120">
    <cfRule type="cellIs" dxfId="183" priority="22" operator="equal">
      <formula>0</formula>
    </cfRule>
  </conditionalFormatting>
  <conditionalFormatting sqref="E121:P121">
    <cfRule type="cellIs" dxfId="182" priority="21" operator="equal">
      <formula>0</formula>
    </cfRule>
  </conditionalFormatting>
  <conditionalFormatting sqref="E122:P122">
    <cfRule type="cellIs" dxfId="181" priority="20" operator="equal">
      <formula>0</formula>
    </cfRule>
  </conditionalFormatting>
  <conditionalFormatting sqref="E123:P123">
    <cfRule type="cellIs" dxfId="180" priority="19" operator="equal">
      <formula>0</formula>
    </cfRule>
  </conditionalFormatting>
  <conditionalFormatting sqref="E124:P124">
    <cfRule type="cellIs" dxfId="179" priority="18" operator="equal">
      <formula>0</formula>
    </cfRule>
  </conditionalFormatting>
  <conditionalFormatting sqref="E125:P125">
    <cfRule type="cellIs" dxfId="178" priority="17" operator="equal">
      <formula>0</formula>
    </cfRule>
  </conditionalFormatting>
  <conditionalFormatting sqref="E126:P126">
    <cfRule type="cellIs" dxfId="177" priority="16" operator="equal">
      <formula>0</formula>
    </cfRule>
  </conditionalFormatting>
  <conditionalFormatting sqref="E127:P127">
    <cfRule type="cellIs" dxfId="176" priority="15" operator="equal">
      <formula>0</formula>
    </cfRule>
  </conditionalFormatting>
  <conditionalFormatting sqref="E128:P128">
    <cfRule type="cellIs" dxfId="175" priority="14" operator="equal">
      <formula>0</formula>
    </cfRule>
  </conditionalFormatting>
  <conditionalFormatting sqref="E129:P129">
    <cfRule type="cellIs" dxfId="174" priority="13" operator="equal">
      <formula>0</formula>
    </cfRule>
  </conditionalFormatting>
  <conditionalFormatting sqref="E130:P130">
    <cfRule type="cellIs" dxfId="173" priority="12" operator="equal">
      <formula>0</formula>
    </cfRule>
  </conditionalFormatting>
  <conditionalFormatting sqref="E131:P131">
    <cfRule type="cellIs" dxfId="172" priority="11" operator="equal">
      <formula>0</formula>
    </cfRule>
  </conditionalFormatting>
  <conditionalFormatting sqref="E132:P132">
    <cfRule type="cellIs" dxfId="171" priority="10" operator="equal">
      <formula>0</formula>
    </cfRule>
  </conditionalFormatting>
  <conditionalFormatting sqref="E133:P133">
    <cfRule type="cellIs" dxfId="170" priority="9" operator="equal">
      <formula>0</formula>
    </cfRule>
  </conditionalFormatting>
  <conditionalFormatting sqref="E136:P136">
    <cfRule type="cellIs" dxfId="169" priority="8" operator="equal">
      <formula>0</formula>
    </cfRule>
  </conditionalFormatting>
  <conditionalFormatting sqref="E137:P137">
    <cfRule type="cellIs" dxfId="168" priority="7" operator="equal">
      <formula>0</formula>
    </cfRule>
  </conditionalFormatting>
  <conditionalFormatting sqref="E138:P138">
    <cfRule type="cellIs" dxfId="167" priority="6" operator="equal">
      <formula>0</formula>
    </cfRule>
  </conditionalFormatting>
  <conditionalFormatting sqref="E139:P139">
    <cfRule type="cellIs" dxfId="166" priority="5" operator="equal">
      <formula>0</formula>
    </cfRule>
  </conditionalFormatting>
  <conditionalFormatting sqref="E140:P140">
    <cfRule type="cellIs" dxfId="165" priority="4" operator="equal">
      <formula>0</formula>
    </cfRule>
  </conditionalFormatting>
  <conditionalFormatting sqref="E141:P141">
    <cfRule type="cellIs" dxfId="164" priority="3" operator="equal">
      <formula>0</formula>
    </cfRule>
  </conditionalFormatting>
  <conditionalFormatting sqref="Q60:Q140">
    <cfRule type="cellIs" dxfId="163" priority="2" operator="equal">
      <formula>0</formula>
    </cfRule>
  </conditionalFormatting>
  <conditionalFormatting sqref="Q141">
    <cfRule type="cellIs" dxfId="162" priority="1" operator="equal">
      <formula>0</formula>
    </cfRule>
  </conditionalFormatting>
  <hyperlinks>
    <hyperlink ref="A1" location="'ODS 3.'!A1" display="REGRESAR" xr:uid="{7F45F5F5-C287-4074-A6FF-8BC122B2EBBC}"/>
    <hyperlink ref="C1" location="'Metadato 3.9.3'!A1" display="VER METADATO" xr:uid="{726A321C-8F39-49DC-A85E-98FFD5813E1B}"/>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1C2F4-51EF-4024-9B88-440A4D32268C}">
  <sheetPr>
    <tabColor theme="0" tint="-0.499984740745262"/>
  </sheetPr>
  <dimension ref="A1:D36"/>
  <sheetViews>
    <sheetView showGridLines="0" zoomScaleNormal="100" workbookViewId="0">
      <pane ySplit="1" topLeftCell="A8" activePane="bottomLeft" state="frozen"/>
      <selection activeCell="R16" sqref="R16"/>
      <selection pane="bottomLeft" activeCell="R16" sqref="R16"/>
    </sheetView>
  </sheetViews>
  <sheetFormatPr baseColWidth="10" defaultColWidth="11.42578125" defaultRowHeight="18.75" x14ac:dyDescent="0.25"/>
  <cols>
    <col min="1" max="1" width="8.5703125" style="222" customWidth="1"/>
    <col min="2" max="2" width="26.42578125" style="222" customWidth="1"/>
    <col min="3" max="3" width="24" style="222" customWidth="1"/>
    <col min="4" max="4" width="68.42578125" style="222" customWidth="1"/>
    <col min="5" max="5" width="11.42578125" style="222"/>
    <col min="6" max="6" width="7.28515625" style="222" customWidth="1"/>
    <col min="7" max="7" width="40.7109375" style="222" bestFit="1" customWidth="1"/>
    <col min="8" max="16384" width="11.42578125" style="222"/>
  </cols>
  <sheetData>
    <row r="1" spans="1:4" x14ac:dyDescent="0.25">
      <c r="B1" s="223" t="s">
        <v>39</v>
      </c>
    </row>
    <row r="3" spans="1:4" ht="23.25" customHeight="1" x14ac:dyDescent="0.25">
      <c r="B3" s="2604" t="s">
        <v>75</v>
      </c>
      <c r="C3" s="2604"/>
      <c r="D3" s="2604"/>
    </row>
    <row r="4" spans="1:4" x14ac:dyDescent="0.25">
      <c r="A4" s="224"/>
      <c r="B4" s="2606" t="s">
        <v>234</v>
      </c>
      <c r="C4" s="2606"/>
      <c r="D4" s="359" t="s">
        <v>832</v>
      </c>
    </row>
    <row r="5" spans="1:4" ht="56.25" x14ac:dyDescent="0.25">
      <c r="B5" s="2445" t="s">
        <v>79</v>
      </c>
      <c r="C5" s="2445"/>
      <c r="D5" s="49" t="s">
        <v>708</v>
      </c>
    </row>
    <row r="6" spans="1:4" x14ac:dyDescent="0.25">
      <c r="B6" s="2445" t="s">
        <v>80</v>
      </c>
      <c r="C6" s="2445"/>
      <c r="D6" s="50" t="s">
        <v>713</v>
      </c>
    </row>
    <row r="7" spans="1:4" ht="15" customHeight="1" x14ac:dyDescent="0.25">
      <c r="B7" s="2446" t="s">
        <v>81</v>
      </c>
      <c r="C7" s="2446"/>
      <c r="D7" s="93" t="s">
        <v>714</v>
      </c>
    </row>
    <row r="8" spans="1:4" ht="15" customHeight="1" x14ac:dyDescent="0.25">
      <c r="B8" s="2446" t="s">
        <v>82</v>
      </c>
      <c r="C8" s="2446"/>
      <c r="D8" s="202" t="s">
        <v>1517</v>
      </c>
    </row>
    <row r="9" spans="1:4" x14ac:dyDescent="0.4">
      <c r="B9" s="5"/>
      <c r="C9" s="5"/>
      <c r="D9" s="5"/>
    </row>
    <row r="10" spans="1:4" ht="23.25" customHeight="1" x14ac:dyDescent="0.25">
      <c r="B10" s="2604" t="s">
        <v>85</v>
      </c>
      <c r="C10" s="2604"/>
      <c r="D10" s="2604"/>
    </row>
    <row r="11" spans="1:4" x14ac:dyDescent="0.25">
      <c r="B11" s="2633" t="s">
        <v>86</v>
      </c>
      <c r="C11" s="2634"/>
      <c r="D11" s="359" t="s">
        <v>167</v>
      </c>
    </row>
    <row r="12" spans="1:4" ht="32.25" customHeight="1" x14ac:dyDescent="0.25">
      <c r="B12" s="2455" t="s">
        <v>88</v>
      </c>
      <c r="C12" s="2455"/>
      <c r="D12" s="214" t="s">
        <v>1518</v>
      </c>
    </row>
    <row r="13" spans="1:4" x14ac:dyDescent="0.25">
      <c r="B13" s="2445" t="s">
        <v>90</v>
      </c>
      <c r="C13" s="2445"/>
      <c r="D13" s="54" t="s">
        <v>713</v>
      </c>
    </row>
    <row r="14" spans="1:4" x14ac:dyDescent="0.25">
      <c r="B14" s="2445" t="s">
        <v>91</v>
      </c>
      <c r="C14" s="2456"/>
      <c r="D14" s="54" t="s">
        <v>92</v>
      </c>
    </row>
    <row r="15" spans="1:4" ht="37.5" x14ac:dyDescent="0.25">
      <c r="B15" s="2445" t="s">
        <v>93</v>
      </c>
      <c r="C15" s="2445"/>
      <c r="D15" s="56" t="s">
        <v>1519</v>
      </c>
    </row>
    <row r="16" spans="1:4" ht="47.25" customHeight="1" x14ac:dyDescent="0.25">
      <c r="B16" s="2445" t="s">
        <v>95</v>
      </c>
      <c r="C16" s="2445"/>
      <c r="D16" s="56"/>
    </row>
    <row r="17" spans="2:4" x14ac:dyDescent="0.25">
      <c r="B17" s="2445" t="s">
        <v>97</v>
      </c>
      <c r="C17" s="2445"/>
      <c r="D17" s="56" t="s">
        <v>989</v>
      </c>
    </row>
    <row r="18" spans="2:4" x14ac:dyDescent="0.25">
      <c r="B18" s="2446" t="s">
        <v>99</v>
      </c>
      <c r="C18" s="2446"/>
      <c r="D18" s="49"/>
    </row>
    <row r="19" spans="2:4" ht="37.5" x14ac:dyDescent="0.25">
      <c r="B19" s="2457" t="s">
        <v>100</v>
      </c>
      <c r="C19" s="2458"/>
      <c r="D19" s="56" t="s">
        <v>1520</v>
      </c>
    </row>
    <row r="20" spans="2:4" x14ac:dyDescent="0.25">
      <c r="B20" s="2445" t="s">
        <v>102</v>
      </c>
      <c r="C20" s="2445"/>
      <c r="D20" s="56" t="s">
        <v>1521</v>
      </c>
    </row>
    <row r="21" spans="2:4" x14ac:dyDescent="0.25">
      <c r="B21" s="2451" t="s">
        <v>104</v>
      </c>
      <c r="C21" s="95" t="s">
        <v>105</v>
      </c>
      <c r="D21" s="49" t="s">
        <v>839</v>
      </c>
    </row>
    <row r="22" spans="2:4" x14ac:dyDescent="0.25">
      <c r="B22" s="2452"/>
      <c r="C22" s="96" t="s">
        <v>107</v>
      </c>
      <c r="D22" s="55" t="s">
        <v>1507</v>
      </c>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x14ac:dyDescent="0.25">
      <c r="B27" s="2447" t="s">
        <v>117</v>
      </c>
      <c r="C27" s="2448"/>
      <c r="D27" s="49"/>
    </row>
    <row r="28" spans="2:4" x14ac:dyDescent="0.25">
      <c r="B28" s="97" t="s">
        <v>118</v>
      </c>
      <c r="C28" s="98"/>
      <c r="D28" s="49"/>
    </row>
    <row r="29" spans="2:4" x14ac:dyDescent="0.25">
      <c r="B29" s="2487" t="s">
        <v>120</v>
      </c>
      <c r="C29" s="2456"/>
      <c r="D29" s="49"/>
    </row>
    <row r="30" spans="2:4" x14ac:dyDescent="0.25">
      <c r="B30" s="628"/>
      <c r="C30" s="628"/>
      <c r="D30" s="629"/>
    </row>
    <row r="31" spans="2:4" ht="23.25" customHeight="1" x14ac:dyDescent="0.25">
      <c r="B31" s="2604" t="s">
        <v>121</v>
      </c>
      <c r="C31" s="2604"/>
      <c r="D31" s="2604"/>
    </row>
    <row r="32" spans="2:4" x14ac:dyDescent="0.25">
      <c r="B32" s="2631" t="s">
        <v>122</v>
      </c>
      <c r="C32" s="2632"/>
      <c r="D32" s="574"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68D6B115-592D-4024-A0E9-0C39AD7C2B2E}">
      <formula1>Nombre_indicador_ODS</formula1>
    </dataValidation>
    <dataValidation type="list" allowBlank="1" showInputMessage="1" showErrorMessage="1" sqref="D6" xr:uid="{35AB062E-590C-417D-B832-676D881DBCA1}">
      <formula1>Numero_indicador</formula1>
    </dataValidation>
    <dataValidation type="list" allowBlank="1" showInputMessage="1" showErrorMessage="1" sqref="D5" xr:uid="{F0F53C50-7509-4AF5-A696-C75BBF4BAD55}">
      <formula1>Metas_ODS</formula1>
    </dataValidation>
    <dataValidation type="list" allowBlank="1" showInputMessage="1" showErrorMessage="1" sqref="D4" xr:uid="{91054333-F7D5-4CEE-95D9-F597E61FD00E}">
      <formula1>ODS</formula1>
    </dataValidation>
    <dataValidation allowBlank="1" showDropDown="1" showInputMessage="1" showErrorMessage="1" sqref="D13" xr:uid="{FA0D3CD1-F85D-468D-8938-77C63E45DF7B}"/>
  </dataValidations>
  <hyperlinks>
    <hyperlink ref="B1" location="'3.9.3'!A1" display="REGRESAR" xr:uid="{57369C69-EEAE-4C9A-9D24-20F9EE725ADC}"/>
    <hyperlink ref="D8" r:id="rId1" xr:uid="{45DB57C4-7EC8-401E-A4FA-1649A6892917}"/>
  </hyperlinks>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C5695-7D9A-412D-8450-A160644D9736}">
  <dimension ref="A1:Q25"/>
  <sheetViews>
    <sheetView showGridLines="0" zoomScaleNormal="100" workbookViewId="0">
      <pane ySplit="1" topLeftCell="A2" activePane="bottomLeft" state="frozen"/>
      <selection activeCell="C1" sqref="C1"/>
      <selection pane="bottomLeft"/>
    </sheetView>
  </sheetViews>
  <sheetFormatPr baseColWidth="10" defaultColWidth="11.42578125" defaultRowHeight="12.75" x14ac:dyDescent="0.25"/>
  <cols>
    <col min="1" max="2" width="15.28515625" style="22" customWidth="1"/>
    <col min="3" max="3" width="11.42578125" style="22"/>
    <col min="4" max="4" width="18.42578125" style="22" customWidth="1"/>
    <col min="5" max="16384" width="11.42578125" style="22"/>
  </cols>
  <sheetData>
    <row r="1" spans="1:17" s="16" customFormat="1" ht="19.5" x14ac:dyDescent="0.4">
      <c r="A1" s="15" t="s">
        <v>39</v>
      </c>
      <c r="C1" s="2421" t="s">
        <v>149</v>
      </c>
      <c r="D1" s="2421"/>
    </row>
    <row r="2" spans="1:17" s="16" customFormat="1" ht="19.5" x14ac:dyDescent="0.4"/>
    <row r="3" spans="1:17" s="16" customFormat="1" ht="19.5" x14ac:dyDescent="0.4">
      <c r="A3" s="2574" t="s">
        <v>41</v>
      </c>
      <c r="B3" s="2574"/>
      <c r="C3" s="2574" t="s">
        <v>733</v>
      </c>
      <c r="D3" s="2575"/>
      <c r="E3" s="2575"/>
      <c r="F3" s="2575"/>
      <c r="G3" s="2575"/>
      <c r="H3" s="2575"/>
      <c r="I3" s="2575"/>
      <c r="J3" s="2575"/>
      <c r="K3" s="2575"/>
      <c r="L3" s="2575"/>
      <c r="M3" s="2575"/>
      <c r="N3" s="2575"/>
      <c r="O3" s="2575"/>
      <c r="P3" s="2575"/>
      <c r="Q3" s="2575"/>
    </row>
    <row r="4" spans="1:17" s="16" customFormat="1" ht="19.5" x14ac:dyDescent="0.4">
      <c r="A4" s="2574" t="s">
        <v>42</v>
      </c>
      <c r="B4" s="2574"/>
      <c r="C4" s="2574" t="s">
        <v>715</v>
      </c>
      <c r="D4" s="2575"/>
      <c r="E4" s="2575"/>
      <c r="F4" s="2575"/>
      <c r="G4" s="2575"/>
      <c r="H4" s="2575"/>
      <c r="I4" s="2575"/>
      <c r="J4" s="2575"/>
      <c r="K4" s="2575"/>
      <c r="L4" s="2575"/>
      <c r="M4" s="2575"/>
      <c r="N4" s="2575"/>
      <c r="O4" s="2575"/>
      <c r="P4" s="2575"/>
      <c r="Q4" s="2575"/>
    </row>
    <row r="5" spans="1:17" s="16" customFormat="1" ht="19.5" x14ac:dyDescent="0.4">
      <c r="A5" s="2574" t="s">
        <v>43</v>
      </c>
      <c r="B5" s="2574"/>
      <c r="C5" s="2574" t="s">
        <v>717</v>
      </c>
      <c r="D5" s="2575"/>
      <c r="E5" s="2575"/>
      <c r="F5" s="2575"/>
      <c r="G5" s="2575"/>
      <c r="H5" s="2575"/>
      <c r="I5" s="2575"/>
      <c r="J5" s="2575"/>
      <c r="K5" s="2575"/>
      <c r="L5" s="2575"/>
      <c r="M5" s="2575"/>
      <c r="N5" s="2575"/>
      <c r="O5" s="2575"/>
      <c r="P5" s="2575"/>
      <c r="Q5" s="2575"/>
    </row>
    <row r="6" spans="1:17" s="16" customFormat="1" ht="19.5" x14ac:dyDescent="0.4">
      <c r="A6" s="2574" t="s">
        <v>132</v>
      </c>
      <c r="B6" s="2575"/>
      <c r="C6" s="2574" t="s">
        <v>1522</v>
      </c>
      <c r="D6" s="2575"/>
      <c r="E6" s="2575"/>
      <c r="F6" s="2575"/>
      <c r="G6" s="2575"/>
      <c r="H6" s="2575"/>
      <c r="I6" s="2575"/>
      <c r="J6" s="2575"/>
      <c r="K6" s="2575"/>
      <c r="L6" s="2575"/>
      <c r="M6" s="2575"/>
      <c r="N6" s="2575"/>
      <c r="O6" s="2575"/>
      <c r="P6" s="2575"/>
      <c r="Q6" s="2575"/>
    </row>
    <row r="7" spans="1:17" s="16" customFormat="1" ht="19.5" x14ac:dyDescent="0.4"/>
    <row r="8" spans="1:17" s="16" customFormat="1" ht="19.5" x14ac:dyDescent="0.4"/>
    <row r="9" spans="1:17" s="16" customFormat="1" ht="75" customHeight="1" x14ac:dyDescent="0.4">
      <c r="C9" s="2659" t="s">
        <v>1523</v>
      </c>
      <c r="D9" s="2659"/>
      <c r="G9" s="2660" t="s">
        <v>1524</v>
      </c>
      <c r="H9" s="2660"/>
      <c r="I9" s="2660"/>
      <c r="J9" s="2660"/>
      <c r="K9" s="2660"/>
      <c r="L9" s="2660"/>
    </row>
    <row r="10" spans="1:17" s="16" customFormat="1" ht="19.5" x14ac:dyDescent="0.4">
      <c r="C10" s="632" t="s">
        <v>46</v>
      </c>
      <c r="D10" s="632" t="s">
        <v>98</v>
      </c>
      <c r="G10" s="692"/>
      <c r="H10" s="692"/>
      <c r="I10" s="692"/>
      <c r="J10" s="692"/>
      <c r="K10" s="692"/>
      <c r="L10" s="692"/>
    </row>
    <row r="11" spans="1:17" s="16" customFormat="1" ht="19.5" x14ac:dyDescent="0.4">
      <c r="C11" s="4">
        <v>1990</v>
      </c>
      <c r="D11" s="252">
        <v>23.120715224424188</v>
      </c>
      <c r="G11" s="692"/>
      <c r="H11" s="692"/>
      <c r="I11" s="692"/>
      <c r="J11" s="692"/>
      <c r="K11" s="692"/>
      <c r="L11" s="692"/>
    </row>
    <row r="12" spans="1:17" ht="18.75" x14ac:dyDescent="0.4">
      <c r="C12" s="256">
        <v>1995</v>
      </c>
      <c r="D12" s="252">
        <v>19.626219371433621</v>
      </c>
      <c r="G12" s="693"/>
      <c r="H12" s="693"/>
      <c r="I12" s="693"/>
      <c r="J12" s="693"/>
      <c r="K12" s="693"/>
      <c r="L12" s="693"/>
    </row>
    <row r="13" spans="1:17" ht="18.75" x14ac:dyDescent="0.4">
      <c r="C13" s="4">
        <v>2000</v>
      </c>
      <c r="D13" s="252">
        <v>17.63560049370566</v>
      </c>
    </row>
    <row r="14" spans="1:17" ht="18.75" x14ac:dyDescent="0.4">
      <c r="C14" s="4">
        <v>2006</v>
      </c>
      <c r="D14" s="252">
        <v>16.289200604773796</v>
      </c>
    </row>
    <row r="15" spans="1:17" ht="18.75" x14ac:dyDescent="0.4">
      <c r="C15" s="4">
        <v>2010</v>
      </c>
      <c r="D15" s="252">
        <v>14.797104603371672</v>
      </c>
    </row>
    <row r="16" spans="1:17" ht="18.75" x14ac:dyDescent="0.4">
      <c r="C16" s="4">
        <v>2015</v>
      </c>
      <c r="D16" s="252">
        <v>11.489166160103553</v>
      </c>
    </row>
    <row r="17" spans="3:15" ht="18.75" x14ac:dyDescent="0.25">
      <c r="C17" s="694">
        <v>2022</v>
      </c>
      <c r="D17" s="695">
        <v>7.7045524086210913</v>
      </c>
    </row>
    <row r="18" spans="3:15" ht="46.9" customHeight="1" x14ac:dyDescent="0.4">
      <c r="C18" s="2661" t="s">
        <v>1525</v>
      </c>
      <c r="D18" s="2661"/>
      <c r="E18" s="429"/>
      <c r="F18" s="429" t="s">
        <v>1145</v>
      </c>
      <c r="G18" s="5" t="s">
        <v>1526</v>
      </c>
      <c r="H18" s="429"/>
      <c r="I18" s="429"/>
      <c r="J18" s="429"/>
      <c r="K18" s="429"/>
      <c r="L18" s="429"/>
      <c r="M18" s="429"/>
      <c r="N18" s="429"/>
      <c r="O18" s="429"/>
    </row>
    <row r="19" spans="3:15" ht="11.25" customHeight="1" x14ac:dyDescent="0.25">
      <c r="C19" s="2662"/>
      <c r="D19" s="2662"/>
      <c r="E19" s="429"/>
      <c r="F19" s="429"/>
      <c r="G19" s="429"/>
      <c r="H19" s="429"/>
      <c r="I19" s="429"/>
      <c r="J19" s="429"/>
      <c r="K19" s="429"/>
      <c r="L19" s="429"/>
      <c r="M19" s="429"/>
      <c r="N19" s="429"/>
      <c r="O19" s="429"/>
    </row>
    <row r="20" spans="3:15" ht="11.25" customHeight="1" x14ac:dyDescent="0.25">
      <c r="C20" s="2662"/>
      <c r="D20" s="2662"/>
      <c r="E20" s="429"/>
      <c r="F20" s="429"/>
      <c r="G20" s="429"/>
      <c r="H20" s="429"/>
      <c r="I20" s="429"/>
      <c r="J20" s="429"/>
      <c r="K20" s="429"/>
      <c r="L20" s="429"/>
      <c r="M20" s="429"/>
      <c r="N20" s="429"/>
      <c r="O20" s="429"/>
    </row>
    <row r="21" spans="3:15" ht="17.45" customHeight="1" x14ac:dyDescent="0.25">
      <c r="C21" s="429"/>
      <c r="D21" s="429"/>
      <c r="E21" s="429"/>
      <c r="F21" s="429"/>
      <c r="H21" s="429"/>
      <c r="I21" s="429"/>
      <c r="J21" s="429"/>
      <c r="K21" s="429"/>
      <c r="L21" s="429"/>
      <c r="M21" s="429"/>
      <c r="N21" s="429"/>
      <c r="O21" s="429"/>
    </row>
    <row r="22" spans="3:15" ht="11.25" customHeight="1" x14ac:dyDescent="0.25">
      <c r="C22" s="429"/>
      <c r="D22" s="429"/>
      <c r="E22" s="429"/>
      <c r="F22" s="429"/>
      <c r="G22" s="429"/>
      <c r="H22" s="429"/>
      <c r="I22" s="429"/>
      <c r="J22" s="429"/>
      <c r="K22" s="429"/>
      <c r="L22" s="429"/>
      <c r="M22" s="429"/>
      <c r="N22" s="429"/>
      <c r="O22" s="429"/>
    </row>
    <row r="23" spans="3:15" ht="11.25" customHeight="1" x14ac:dyDescent="0.25">
      <c r="C23" s="429"/>
      <c r="D23" s="429"/>
      <c r="E23" s="429"/>
      <c r="F23" s="429"/>
      <c r="G23" s="429"/>
      <c r="H23" s="429"/>
      <c r="I23" s="429"/>
      <c r="J23" s="429"/>
      <c r="K23" s="429"/>
      <c r="L23" s="429"/>
      <c r="M23" s="429"/>
      <c r="N23" s="429"/>
      <c r="O23" s="429"/>
    </row>
    <row r="24" spans="3:15" ht="11.25" customHeight="1" x14ac:dyDescent="0.25">
      <c r="C24" s="429"/>
      <c r="D24" s="429"/>
      <c r="E24" s="429"/>
      <c r="F24" s="429"/>
      <c r="G24" s="429"/>
      <c r="H24" s="429"/>
      <c r="I24" s="429"/>
      <c r="J24" s="429"/>
      <c r="K24" s="429"/>
      <c r="L24" s="429"/>
      <c r="M24" s="429"/>
      <c r="N24" s="429"/>
      <c r="O24" s="429"/>
    </row>
    <row r="25" spans="3:15" ht="11.25" customHeight="1" x14ac:dyDescent="0.25">
      <c r="C25" s="429"/>
      <c r="D25" s="429"/>
      <c r="E25" s="429"/>
      <c r="F25" s="429"/>
      <c r="G25" s="429"/>
      <c r="H25" s="429"/>
      <c r="I25" s="429"/>
      <c r="J25" s="429"/>
      <c r="K25" s="429"/>
      <c r="L25" s="429"/>
      <c r="M25" s="429"/>
      <c r="N25" s="429"/>
      <c r="O25" s="429"/>
    </row>
  </sheetData>
  <mergeCells count="12">
    <mergeCell ref="A5:B5"/>
    <mergeCell ref="C5:Q5"/>
    <mergeCell ref="C1:D1"/>
    <mergeCell ref="A3:B3"/>
    <mergeCell ref="C3:Q3"/>
    <mergeCell ref="A4:B4"/>
    <mergeCell ref="C4:Q4"/>
    <mergeCell ref="A6:B6"/>
    <mergeCell ref="C6:Q6"/>
    <mergeCell ref="C9:D9"/>
    <mergeCell ref="G9:L9"/>
    <mergeCell ref="C18:D20"/>
  </mergeCells>
  <hyperlinks>
    <hyperlink ref="A1" location="'ODS 3.'!A1" display="REGRESAR" xr:uid="{E79C61BF-608B-4599-81C6-87ECF9F7F363}"/>
    <hyperlink ref="C1" location="'Metadato 3.a.1'!A1" display="VER METADATO" xr:uid="{86D93C29-E604-49CF-8DCD-0899B80EF14C}"/>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8F9E-3E45-4303-814C-6357269C8249}">
  <sheetPr>
    <tabColor theme="0" tint="-0.499984740745262"/>
  </sheetPr>
  <dimension ref="B1:N39"/>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3.7109375" style="222" customWidth="1"/>
    <col min="2" max="2" width="11.42578125" style="222"/>
    <col min="3" max="3" width="26.42578125" style="222" customWidth="1"/>
    <col min="4" max="4" width="24" style="222" customWidth="1"/>
    <col min="5" max="5" width="85.7109375" style="222" customWidth="1"/>
    <col min="6" max="6" width="11.42578125" style="222"/>
    <col min="7" max="7" width="7.28515625" style="222" customWidth="1"/>
    <col min="8" max="16384" width="11.42578125" style="222"/>
  </cols>
  <sheetData>
    <row r="1" spans="2:7" x14ac:dyDescent="0.25">
      <c r="C1" s="223" t="s">
        <v>39</v>
      </c>
    </row>
    <row r="2" spans="2:7" ht="19.5" thickBot="1" x14ac:dyDescent="0.3"/>
    <row r="3" spans="2:7" ht="23.25" customHeight="1" thickBot="1" x14ac:dyDescent="0.3">
      <c r="C3" s="2604" t="s">
        <v>75</v>
      </c>
      <c r="D3" s="2604"/>
      <c r="E3" s="2604"/>
      <c r="G3" s="91" t="s">
        <v>76</v>
      </c>
    </row>
    <row r="4" spans="2:7" x14ac:dyDescent="0.25">
      <c r="B4" s="224"/>
      <c r="C4" s="2606" t="s">
        <v>234</v>
      </c>
      <c r="D4" s="2606"/>
      <c r="E4" s="359" t="s">
        <v>832</v>
      </c>
    </row>
    <row r="5" spans="2:7" ht="37.5" x14ac:dyDescent="0.25">
      <c r="C5" s="2445" t="s">
        <v>79</v>
      </c>
      <c r="D5" s="2445"/>
      <c r="E5" s="49" t="s">
        <v>715</v>
      </c>
    </row>
    <row r="6" spans="2:7" x14ac:dyDescent="0.25">
      <c r="C6" s="2445" t="s">
        <v>80</v>
      </c>
      <c r="D6" s="2445"/>
      <c r="E6" s="50" t="s">
        <v>716</v>
      </c>
    </row>
    <row r="7" spans="2:7" ht="37.5" x14ac:dyDescent="0.25">
      <c r="C7" s="2446" t="s">
        <v>81</v>
      </c>
      <c r="D7" s="2446"/>
      <c r="E7" s="93" t="s">
        <v>717</v>
      </c>
    </row>
    <row r="8" spans="2:7" x14ac:dyDescent="0.25">
      <c r="C8" s="2446" t="s">
        <v>82</v>
      </c>
      <c r="D8" s="2446"/>
      <c r="E8" s="94" t="s">
        <v>1527</v>
      </c>
    </row>
    <row r="9" spans="2:7" x14ac:dyDescent="0.4">
      <c r="C9" s="5"/>
      <c r="D9" s="5"/>
      <c r="E9" s="5"/>
    </row>
    <row r="10" spans="2:7" ht="23.25" customHeight="1" x14ac:dyDescent="0.25">
      <c r="C10" s="2604" t="s">
        <v>85</v>
      </c>
      <c r="D10" s="2604"/>
      <c r="E10" s="2604"/>
    </row>
    <row r="11" spans="2:7" x14ac:dyDescent="0.25">
      <c r="C11" s="2664" t="s">
        <v>86</v>
      </c>
      <c r="D11" s="2664"/>
      <c r="E11" s="696" t="s">
        <v>167</v>
      </c>
    </row>
    <row r="12" spans="2:7" ht="33.75" customHeight="1" x14ac:dyDescent="0.25">
      <c r="C12" s="2647" t="s">
        <v>88</v>
      </c>
      <c r="D12" s="2647"/>
      <c r="E12" s="593" t="s">
        <v>1528</v>
      </c>
    </row>
    <row r="13" spans="2:7" x14ac:dyDescent="0.25">
      <c r="C13" s="2642" t="s">
        <v>90</v>
      </c>
      <c r="D13" s="2642"/>
      <c r="E13" s="54" t="s">
        <v>716</v>
      </c>
    </row>
    <row r="14" spans="2:7" x14ac:dyDescent="0.25">
      <c r="C14" s="2642" t="s">
        <v>91</v>
      </c>
      <c r="D14" s="2642"/>
      <c r="E14" s="54" t="s">
        <v>1529</v>
      </c>
    </row>
    <row r="15" spans="2:7" ht="79.5" customHeight="1" x14ac:dyDescent="0.25">
      <c r="C15" s="2642" t="s">
        <v>93</v>
      </c>
      <c r="D15" s="2642"/>
      <c r="E15" s="610" t="s">
        <v>1530</v>
      </c>
    </row>
    <row r="16" spans="2:7" ht="125.45" customHeight="1" x14ac:dyDescent="0.4">
      <c r="C16" s="2642" t="s">
        <v>95</v>
      </c>
      <c r="D16" s="2642"/>
      <c r="E16" s="203" t="s">
        <v>1531</v>
      </c>
    </row>
    <row r="17" spans="2:14" x14ac:dyDescent="0.25">
      <c r="C17" s="2642" t="s">
        <v>97</v>
      </c>
      <c r="D17" s="2642"/>
      <c r="E17" s="56" t="s">
        <v>1285</v>
      </c>
    </row>
    <row r="18" spans="2:14" ht="56.25" x14ac:dyDescent="0.25">
      <c r="C18" s="2643" t="s">
        <v>99</v>
      </c>
      <c r="D18" s="2643"/>
      <c r="E18" s="592" t="s">
        <v>1532</v>
      </c>
    </row>
    <row r="19" spans="2:14" ht="37.5" customHeight="1" x14ac:dyDescent="0.25">
      <c r="C19" s="2643" t="s">
        <v>100</v>
      </c>
      <c r="D19" s="2643"/>
      <c r="E19" s="56" t="s">
        <v>1533</v>
      </c>
    </row>
    <row r="20" spans="2:14" x14ac:dyDescent="0.25">
      <c r="C20" s="2642" t="s">
        <v>102</v>
      </c>
      <c r="D20" s="2642"/>
      <c r="E20" s="56" t="s">
        <v>140</v>
      </c>
    </row>
    <row r="21" spans="2:14" x14ac:dyDescent="0.25">
      <c r="C21" s="2644" t="s">
        <v>104</v>
      </c>
      <c r="D21" s="595" t="s">
        <v>105</v>
      </c>
      <c r="E21" s="592" t="s">
        <v>1534</v>
      </c>
    </row>
    <row r="22" spans="2:14" x14ac:dyDescent="0.25">
      <c r="C22" s="2644"/>
      <c r="D22" s="596" t="s">
        <v>107</v>
      </c>
      <c r="E22" s="56" t="s">
        <v>1535</v>
      </c>
    </row>
    <row r="23" spans="2:14" x14ac:dyDescent="0.25">
      <c r="C23" s="2645" t="s">
        <v>109</v>
      </c>
      <c r="D23" s="2645"/>
      <c r="E23" s="56" t="s">
        <v>574</v>
      </c>
    </row>
    <row r="24" spans="2:14" ht="37.5" x14ac:dyDescent="0.25">
      <c r="C24" s="2645" t="s">
        <v>111</v>
      </c>
      <c r="D24" s="2645"/>
      <c r="E24" s="59" t="s">
        <v>1536</v>
      </c>
    </row>
    <row r="25" spans="2:14" x14ac:dyDescent="0.25">
      <c r="C25" s="2642" t="s">
        <v>113</v>
      </c>
      <c r="D25" s="2642"/>
      <c r="E25" s="56" t="s">
        <v>1537</v>
      </c>
    </row>
    <row r="26" spans="2:14" ht="15" customHeight="1" x14ac:dyDescent="0.25">
      <c r="C26" s="2643" t="s">
        <v>115</v>
      </c>
      <c r="D26" s="2643"/>
      <c r="E26" s="59" t="s">
        <v>1538</v>
      </c>
    </row>
    <row r="27" spans="2:14" ht="168.75" x14ac:dyDescent="0.25">
      <c r="C27" s="2646" t="s">
        <v>117</v>
      </c>
      <c r="D27" s="2646"/>
      <c r="E27" s="592" t="s">
        <v>1539</v>
      </c>
    </row>
    <row r="28" spans="2:14" ht="112.5" x14ac:dyDescent="0.25">
      <c r="C28" s="597" t="s">
        <v>118</v>
      </c>
      <c r="D28" s="598"/>
      <c r="E28" s="56" t="s">
        <v>1540</v>
      </c>
    </row>
    <row r="29" spans="2:14" ht="131.25" x14ac:dyDescent="0.25">
      <c r="C29" s="2641" t="s">
        <v>120</v>
      </c>
      <c r="D29" s="2641"/>
      <c r="E29" s="599" t="s">
        <v>1541</v>
      </c>
    </row>
    <row r="30" spans="2:14" x14ac:dyDescent="0.25">
      <c r="C30" s="628"/>
      <c r="D30" s="628"/>
      <c r="E30" s="629"/>
    </row>
    <row r="31" spans="2:14" ht="23.25" customHeight="1" x14ac:dyDescent="0.25">
      <c r="B31" s="272"/>
      <c r="C31" s="2639" t="s">
        <v>121</v>
      </c>
      <c r="D31" s="2639"/>
      <c r="E31" s="2639"/>
      <c r="F31" s="272"/>
      <c r="G31" s="272"/>
      <c r="H31" s="272"/>
      <c r="I31" s="272"/>
      <c r="J31" s="272"/>
      <c r="K31" s="272"/>
      <c r="L31" s="272"/>
      <c r="M31" s="272"/>
      <c r="N31" s="272"/>
    </row>
    <row r="32" spans="2:14" ht="15" customHeight="1" x14ac:dyDescent="0.25">
      <c r="B32" s="272"/>
      <c r="C32" s="2663" t="s">
        <v>122</v>
      </c>
      <c r="D32" s="2663"/>
      <c r="E32" s="574" t="s">
        <v>1264</v>
      </c>
      <c r="F32" s="272"/>
      <c r="G32" s="272"/>
      <c r="H32" s="272"/>
      <c r="I32" s="272"/>
      <c r="J32" s="272"/>
      <c r="K32" s="272"/>
      <c r="L32" s="272"/>
      <c r="M32" s="272"/>
      <c r="N32" s="272"/>
    </row>
    <row r="33" spans="2:14" ht="15" customHeight="1" x14ac:dyDescent="0.25">
      <c r="B33" s="272"/>
      <c r="C33" s="2640" t="s">
        <v>124</v>
      </c>
      <c r="D33" s="2640"/>
      <c r="E33" s="59" t="s">
        <v>1265</v>
      </c>
      <c r="F33" s="272"/>
      <c r="G33" s="272"/>
      <c r="H33" s="272"/>
      <c r="I33" s="272"/>
      <c r="J33" s="272"/>
      <c r="K33" s="272"/>
      <c r="L33" s="272"/>
      <c r="M33" s="272"/>
      <c r="N33" s="272"/>
    </row>
    <row r="34" spans="2:14" ht="15" customHeight="1" x14ac:dyDescent="0.25">
      <c r="B34" s="272"/>
      <c r="C34" s="2640" t="s">
        <v>126</v>
      </c>
      <c r="D34" s="2640"/>
      <c r="E34" s="59" t="s">
        <v>185</v>
      </c>
      <c r="F34" s="272"/>
      <c r="G34" s="272"/>
      <c r="H34" s="272"/>
      <c r="I34" s="272"/>
      <c r="J34" s="272"/>
      <c r="K34" s="272"/>
      <c r="L34" s="272"/>
      <c r="M34" s="272"/>
      <c r="N34" s="272"/>
    </row>
    <row r="35" spans="2:14" ht="15" customHeight="1" x14ac:dyDescent="0.25">
      <c r="B35" s="272"/>
      <c r="C35" s="2640" t="s">
        <v>128</v>
      </c>
      <c r="D35" s="2640"/>
      <c r="E35" s="59" t="s">
        <v>1295</v>
      </c>
      <c r="F35" s="272"/>
      <c r="G35" s="272"/>
      <c r="H35" s="272"/>
      <c r="I35" s="272"/>
      <c r="J35" s="272"/>
      <c r="K35" s="272"/>
      <c r="L35" s="272"/>
      <c r="M35" s="272"/>
      <c r="N35" s="272"/>
    </row>
    <row r="36" spans="2:14" ht="15" customHeight="1" x14ac:dyDescent="0.25">
      <c r="B36" s="272"/>
      <c r="C36" s="2640" t="s">
        <v>130</v>
      </c>
      <c r="D36" s="2640"/>
      <c r="E36" s="600" t="s">
        <v>1325</v>
      </c>
      <c r="F36" s="272"/>
      <c r="G36" s="272"/>
      <c r="H36" s="272"/>
      <c r="I36" s="272"/>
      <c r="J36" s="272"/>
      <c r="K36" s="272"/>
      <c r="L36" s="272"/>
      <c r="M36" s="272"/>
      <c r="N36" s="272"/>
    </row>
    <row r="37" spans="2:14" ht="11.25" customHeight="1" x14ac:dyDescent="0.25">
      <c r="B37" s="272"/>
      <c r="C37" s="272"/>
      <c r="D37" s="272"/>
      <c r="E37" s="272"/>
      <c r="F37" s="272"/>
      <c r="G37" s="272"/>
      <c r="H37" s="272"/>
      <c r="I37" s="272"/>
      <c r="J37" s="272"/>
      <c r="K37" s="272"/>
      <c r="L37" s="272"/>
      <c r="M37" s="272"/>
      <c r="N37" s="272"/>
    </row>
    <row r="38" spans="2:14" ht="11.25" customHeight="1" x14ac:dyDescent="0.25">
      <c r="B38" s="272"/>
      <c r="C38" s="272"/>
      <c r="D38" s="272"/>
      <c r="E38" s="272"/>
      <c r="F38" s="272"/>
      <c r="G38" s="272"/>
      <c r="H38" s="272"/>
      <c r="I38" s="272"/>
      <c r="J38" s="272"/>
      <c r="K38" s="272"/>
      <c r="L38" s="272"/>
      <c r="M38" s="272"/>
      <c r="N38" s="272"/>
    </row>
    <row r="39" spans="2:14" ht="11.25" customHeight="1" x14ac:dyDescent="0.25">
      <c r="B39" s="272"/>
      <c r="C39" s="272"/>
      <c r="D39" s="272"/>
      <c r="E39" s="272"/>
      <c r="F39" s="272"/>
      <c r="G39" s="272"/>
      <c r="H39" s="272"/>
      <c r="I39" s="272"/>
      <c r="J39" s="272"/>
      <c r="K39" s="272"/>
      <c r="L39" s="272"/>
      <c r="M39" s="272"/>
      <c r="N39" s="272"/>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allowBlank="1" showDropDown="1" showInputMessage="1" showErrorMessage="1" sqref="E13" xr:uid="{02AD3616-1736-49B0-BD2D-486593C508CF}">
      <formula1>0</formula1>
      <formula2>0</formula2>
    </dataValidation>
    <dataValidation type="list" allowBlank="1" showInputMessage="1" showErrorMessage="1" sqref="E14" xr:uid="{3E56D064-2A3B-4367-AF31-E86F569FE8D3}">
      <formula1>Tipo_indicador</formula1>
      <formula2>0</formula2>
    </dataValidation>
    <dataValidation type="list" allowBlank="1" showInputMessage="1" showErrorMessage="1" sqref="E25" xr:uid="{512DFEEC-660E-4686-928B-6CE9C5A3A5E7}">
      <formula1>Tipo_operación</formula1>
      <formula2>0</formula2>
    </dataValidation>
    <dataValidation type="list" allowBlank="1" showInputMessage="1" showErrorMessage="1" sqref="E4" xr:uid="{CB620831-8C75-4317-ADA6-221B6886D52E}">
      <formula1>ODS</formula1>
    </dataValidation>
    <dataValidation type="list" allowBlank="1" showInputMessage="1" showErrorMessage="1" sqref="E5" xr:uid="{05CC5A19-D70A-404E-BB20-440448067F2F}">
      <formula1>Metas_ODS</formula1>
    </dataValidation>
    <dataValidation type="list" allowBlank="1" showInputMessage="1" showErrorMessage="1" sqref="E6" xr:uid="{15B4C1FF-AFF0-4C82-8E99-2C86CB22CDE2}">
      <formula1>Numero_indicador</formula1>
    </dataValidation>
    <dataValidation type="list" allowBlank="1" showInputMessage="1" showErrorMessage="1" sqref="E7" xr:uid="{37110AAB-2C3B-4E31-9F1A-F5CBCE3C17E6}">
      <formula1>Nombre_indicador_ODS</formula1>
    </dataValidation>
  </dataValidations>
  <hyperlinks>
    <hyperlink ref="C1" location="'3.a.1'!A1" display="REGRESAR" xr:uid="{C437D963-727D-4B28-A407-F4A3846C9497}"/>
    <hyperlink ref="E8" r:id="rId1" xr:uid="{8AAF5B00-AB6D-4398-8903-296B6E3BF8F0}"/>
    <hyperlink ref="E36" r:id="rId2" xr:uid="{416B3F3F-44F2-404E-A23B-5C921C06D724}"/>
  </hyperlinks>
  <pageMargins left="0.7" right="0.7" top="0.75" bottom="0.75" header="0.3" footer="0.3"/>
  <pageSetup orientation="portrait" r:id="rId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D308-DBDC-4835-959F-307CEE9D0E12}">
  <dimension ref="A1:O56"/>
  <sheetViews>
    <sheetView showGridLines="0" zoomScaleNormal="100" workbookViewId="0">
      <pane ySplit="1" topLeftCell="A3" activePane="bottomLeft" state="frozen"/>
      <selection activeCell="C1" sqref="C1"/>
      <selection pane="bottomLeft"/>
    </sheetView>
  </sheetViews>
  <sheetFormatPr baseColWidth="10" defaultColWidth="11.42578125" defaultRowHeight="12.75" x14ac:dyDescent="0.25"/>
  <cols>
    <col min="1" max="2" width="15.7109375" style="22" customWidth="1"/>
    <col min="3" max="3" width="9.28515625" style="22" customWidth="1"/>
    <col min="4" max="4" width="15.28515625" style="22" customWidth="1"/>
    <col min="5" max="5" width="13.7109375" style="22" customWidth="1"/>
    <col min="6" max="6" width="14.7109375" style="22" customWidth="1"/>
    <col min="7" max="7" width="12.7109375" style="22" customWidth="1"/>
    <col min="8" max="8" width="14.28515625" style="22" customWidth="1"/>
    <col min="9" max="9" width="16.85546875" style="22" customWidth="1"/>
    <col min="10" max="16384" width="11.42578125" style="22"/>
  </cols>
  <sheetData>
    <row r="1" spans="1:15" s="16" customFormat="1" ht="19.5" x14ac:dyDescent="0.4">
      <c r="A1" s="15" t="s">
        <v>39</v>
      </c>
      <c r="C1" s="2421" t="s">
        <v>149</v>
      </c>
      <c r="D1" s="2421"/>
    </row>
    <row r="2" spans="1:15" s="16" customFormat="1" ht="19.5" x14ac:dyDescent="0.4"/>
    <row r="3" spans="1:15" s="16" customFormat="1" ht="18" customHeight="1" x14ac:dyDescent="0.4">
      <c r="A3" s="2574" t="s">
        <v>41</v>
      </c>
      <c r="B3" s="2574"/>
      <c r="C3" s="2635" t="s">
        <v>733</v>
      </c>
      <c r="D3" s="2637"/>
      <c r="E3" s="2637"/>
      <c r="F3" s="2637"/>
      <c r="G3" s="2637"/>
      <c r="H3" s="2637"/>
      <c r="I3" s="2637"/>
      <c r="J3" s="2637"/>
      <c r="K3" s="2637"/>
      <c r="L3" s="2637"/>
      <c r="M3" s="2637"/>
      <c r="N3" s="2637"/>
      <c r="O3" s="2637"/>
    </row>
    <row r="4" spans="1:15" s="16" customFormat="1" ht="55.9" customHeight="1" x14ac:dyDescent="0.4">
      <c r="A4" s="2574" t="s">
        <v>42</v>
      </c>
      <c r="B4" s="2574"/>
      <c r="C4" s="2635" t="s">
        <v>718</v>
      </c>
      <c r="D4" s="2636"/>
      <c r="E4" s="2636"/>
      <c r="F4" s="2636"/>
      <c r="G4" s="2636"/>
      <c r="H4" s="2636"/>
      <c r="I4" s="2636"/>
      <c r="J4" s="2636"/>
      <c r="K4" s="2636"/>
      <c r="L4" s="2636"/>
      <c r="M4" s="2636"/>
      <c r="N4" s="2636"/>
      <c r="O4" s="2636"/>
    </row>
    <row r="5" spans="1:15" s="16" customFormat="1" ht="19.5" x14ac:dyDescent="0.4">
      <c r="A5" s="2574" t="s">
        <v>43</v>
      </c>
      <c r="B5" s="2574"/>
      <c r="C5" s="2635" t="s">
        <v>720</v>
      </c>
      <c r="D5" s="2636"/>
      <c r="E5" s="2636"/>
      <c r="F5" s="2636"/>
      <c r="G5" s="2636"/>
      <c r="H5" s="2636"/>
      <c r="I5" s="2636"/>
      <c r="J5" s="2636"/>
      <c r="K5" s="2636"/>
      <c r="L5" s="2636"/>
      <c r="M5" s="2636"/>
      <c r="N5" s="2636"/>
      <c r="O5" s="2636"/>
    </row>
    <row r="6" spans="1:15" s="16" customFormat="1" ht="19.5" x14ac:dyDescent="0.4">
      <c r="A6" s="2574" t="s">
        <v>132</v>
      </c>
      <c r="B6" s="2575"/>
      <c r="C6" s="2635" t="s">
        <v>1542</v>
      </c>
      <c r="D6" s="2636"/>
      <c r="E6" s="2636"/>
      <c r="F6" s="2636"/>
      <c r="G6" s="2636"/>
      <c r="H6" s="2636"/>
      <c r="I6" s="2636"/>
      <c r="J6" s="2636"/>
      <c r="K6" s="2636"/>
      <c r="L6" s="2636"/>
      <c r="M6" s="2636"/>
      <c r="N6" s="2636"/>
      <c r="O6" s="2636"/>
    </row>
    <row r="7" spans="1:15" s="16" customFormat="1" ht="19.5" x14ac:dyDescent="0.4"/>
    <row r="8" spans="1:15" s="16" customFormat="1" ht="19.5" x14ac:dyDescent="0.4"/>
    <row r="9" spans="1:15" s="16" customFormat="1" ht="13.15" customHeight="1" x14ac:dyDescent="0.4">
      <c r="C9" s="264" t="s">
        <v>1542</v>
      </c>
      <c r="D9" s="264"/>
      <c r="E9" s="264"/>
      <c r="F9" s="264"/>
      <c r="G9" s="264"/>
      <c r="H9" s="264"/>
      <c r="I9" s="264"/>
      <c r="J9" s="264"/>
    </row>
    <row r="10" spans="1:15" ht="13.15" customHeight="1" x14ac:dyDescent="0.25">
      <c r="C10" s="139"/>
      <c r="D10" s="139"/>
      <c r="E10" s="139"/>
      <c r="F10" s="139"/>
      <c r="G10" s="139"/>
      <c r="H10" s="139"/>
      <c r="I10" s="139"/>
      <c r="J10" s="139"/>
    </row>
    <row r="11" spans="1:15" ht="66.599999999999994" customHeight="1" x14ac:dyDescent="0.25">
      <c r="A11" s="23"/>
      <c r="C11" s="409" t="s">
        <v>46</v>
      </c>
      <c r="D11" s="409" t="s">
        <v>1543</v>
      </c>
      <c r="E11" s="409" t="s">
        <v>1544</v>
      </c>
      <c r="F11" s="409" t="s">
        <v>1545</v>
      </c>
      <c r="G11" s="409" t="s">
        <v>1546</v>
      </c>
      <c r="H11" s="409" t="s">
        <v>1547</v>
      </c>
      <c r="I11" s="409" t="s">
        <v>1548</v>
      </c>
      <c r="J11" s="409" t="s">
        <v>1549</v>
      </c>
    </row>
    <row r="12" spans="1:15" ht="18.75" x14ac:dyDescent="0.4">
      <c r="A12" s="23"/>
      <c r="C12" s="164">
        <v>2011</v>
      </c>
      <c r="D12" s="4">
        <v>85</v>
      </c>
      <c r="E12" s="4">
        <v>82</v>
      </c>
      <c r="F12" s="4">
        <v>78</v>
      </c>
      <c r="G12" s="4">
        <v>84</v>
      </c>
      <c r="H12" s="4">
        <v>81</v>
      </c>
      <c r="I12" s="4">
        <v>83</v>
      </c>
      <c r="J12" s="4">
        <v>68</v>
      </c>
    </row>
    <row r="13" spans="1:15" ht="18.75" x14ac:dyDescent="0.4">
      <c r="A13" s="23"/>
      <c r="C13" s="164">
        <v>2012</v>
      </c>
      <c r="D13" s="4">
        <v>91</v>
      </c>
      <c r="E13" s="4">
        <v>90</v>
      </c>
      <c r="F13" s="4">
        <v>78</v>
      </c>
      <c r="G13" s="4">
        <v>91</v>
      </c>
      <c r="H13" s="4">
        <v>90</v>
      </c>
      <c r="I13" s="4">
        <v>90</v>
      </c>
      <c r="J13" s="4">
        <v>105</v>
      </c>
    </row>
    <row r="14" spans="1:15" ht="18.75" x14ac:dyDescent="0.4">
      <c r="A14" s="23"/>
      <c r="C14" s="164">
        <v>2013</v>
      </c>
      <c r="D14" s="4">
        <v>95</v>
      </c>
      <c r="E14" s="4">
        <v>94</v>
      </c>
      <c r="F14" s="4">
        <v>79</v>
      </c>
      <c r="G14" s="4">
        <v>94</v>
      </c>
      <c r="H14" s="4">
        <v>94</v>
      </c>
      <c r="I14" s="4">
        <v>91</v>
      </c>
      <c r="J14" s="4">
        <v>93</v>
      </c>
    </row>
    <row r="15" spans="1:15" ht="18.75" x14ac:dyDescent="0.4">
      <c r="A15" s="23"/>
      <c r="C15" s="164">
        <v>2014</v>
      </c>
      <c r="D15" s="4">
        <v>91</v>
      </c>
      <c r="E15" s="4">
        <v>91</v>
      </c>
      <c r="F15" s="4">
        <v>80</v>
      </c>
      <c r="G15" s="4">
        <v>91</v>
      </c>
      <c r="H15" s="4">
        <v>91</v>
      </c>
      <c r="I15" s="4">
        <v>95</v>
      </c>
      <c r="J15" s="4">
        <v>92</v>
      </c>
    </row>
    <row r="16" spans="1:15" ht="18.75" x14ac:dyDescent="0.4">
      <c r="A16" s="23"/>
      <c r="C16" s="164">
        <v>2015</v>
      </c>
      <c r="D16" s="4">
        <v>92</v>
      </c>
      <c r="E16" s="4">
        <v>92</v>
      </c>
      <c r="F16" s="4">
        <v>83</v>
      </c>
      <c r="G16" s="4">
        <v>92</v>
      </c>
      <c r="H16" s="4">
        <v>92</v>
      </c>
      <c r="I16" s="4">
        <v>93</v>
      </c>
      <c r="J16" s="4">
        <v>94</v>
      </c>
    </row>
    <row r="17" spans="1:10" ht="18.75" x14ac:dyDescent="0.4">
      <c r="A17" s="23"/>
      <c r="C17" s="164">
        <v>2016</v>
      </c>
      <c r="D17" s="4">
        <v>98</v>
      </c>
      <c r="E17" s="4">
        <v>98</v>
      </c>
      <c r="F17" s="4">
        <v>90</v>
      </c>
      <c r="G17" s="4">
        <v>97</v>
      </c>
      <c r="H17" s="4">
        <v>98</v>
      </c>
      <c r="I17" s="4">
        <v>94</v>
      </c>
      <c r="J17" s="4">
        <v>97</v>
      </c>
    </row>
    <row r="18" spans="1:10" ht="18.75" x14ac:dyDescent="0.4">
      <c r="A18" s="23"/>
      <c r="C18" s="164">
        <v>2017</v>
      </c>
      <c r="D18" s="4">
        <v>96</v>
      </c>
      <c r="E18" s="4">
        <v>96</v>
      </c>
      <c r="F18" s="4">
        <v>90</v>
      </c>
      <c r="G18" s="4">
        <v>97</v>
      </c>
      <c r="H18" s="4">
        <v>96</v>
      </c>
      <c r="I18" s="4">
        <v>94</v>
      </c>
      <c r="J18" s="4">
        <v>98</v>
      </c>
    </row>
    <row r="19" spans="1:10" ht="18.75" x14ac:dyDescent="0.4">
      <c r="A19" s="23"/>
      <c r="C19" s="164">
        <v>2018</v>
      </c>
      <c r="D19" s="4">
        <v>94</v>
      </c>
      <c r="E19" s="4">
        <v>94</v>
      </c>
      <c r="F19" s="4">
        <v>92</v>
      </c>
      <c r="G19" s="4">
        <v>98</v>
      </c>
      <c r="H19" s="4">
        <v>94</v>
      </c>
      <c r="I19" s="4">
        <v>95</v>
      </c>
      <c r="J19" s="4">
        <v>95</v>
      </c>
    </row>
    <row r="20" spans="1:10" ht="18.75" x14ac:dyDescent="0.4">
      <c r="A20" s="23"/>
      <c r="C20" s="164">
        <v>2019</v>
      </c>
      <c r="D20" s="4">
        <v>100</v>
      </c>
      <c r="E20" s="4">
        <v>100</v>
      </c>
      <c r="F20" s="4">
        <v>93</v>
      </c>
      <c r="G20" s="4">
        <v>102</v>
      </c>
      <c r="H20" s="4">
        <v>100</v>
      </c>
      <c r="I20" s="4">
        <v>97</v>
      </c>
      <c r="J20" s="4">
        <v>100</v>
      </c>
    </row>
    <row r="21" spans="1:10" ht="18.75" x14ac:dyDescent="0.4">
      <c r="A21" s="23"/>
      <c r="C21" s="164">
        <v>2020</v>
      </c>
      <c r="D21" s="4">
        <v>97</v>
      </c>
      <c r="E21" s="4">
        <v>97</v>
      </c>
      <c r="F21" s="4">
        <v>89</v>
      </c>
      <c r="G21" s="4">
        <v>101</v>
      </c>
      <c r="H21" s="4">
        <v>97</v>
      </c>
      <c r="I21" s="4">
        <v>95</v>
      </c>
      <c r="J21" s="4">
        <v>100</v>
      </c>
    </row>
    <row r="22" spans="1:10" ht="18.75" x14ac:dyDescent="0.4">
      <c r="A22" s="23"/>
      <c r="C22" s="164">
        <v>2021</v>
      </c>
      <c r="D22" s="4">
        <v>99</v>
      </c>
      <c r="E22" s="4">
        <v>99</v>
      </c>
      <c r="F22" s="4">
        <v>76</v>
      </c>
      <c r="G22" s="4">
        <v>94</v>
      </c>
      <c r="H22" s="4">
        <v>99</v>
      </c>
      <c r="I22" s="4">
        <v>81</v>
      </c>
      <c r="J22" s="4">
        <v>93</v>
      </c>
    </row>
    <row r="23" spans="1:10" ht="18.75" x14ac:dyDescent="0.4">
      <c r="A23" s="23"/>
      <c r="C23" s="164">
        <v>2022</v>
      </c>
      <c r="D23" s="4">
        <v>94</v>
      </c>
      <c r="E23" s="4">
        <v>94</v>
      </c>
      <c r="F23" s="4">
        <v>80</v>
      </c>
      <c r="G23" s="4">
        <v>94</v>
      </c>
      <c r="H23" s="4">
        <v>94</v>
      </c>
      <c r="I23" s="4">
        <v>95</v>
      </c>
      <c r="J23" s="4">
        <v>95</v>
      </c>
    </row>
    <row r="24" spans="1:10" ht="18.75" x14ac:dyDescent="0.4">
      <c r="A24" s="23"/>
      <c r="C24" s="166">
        <v>2023</v>
      </c>
      <c r="D24" s="82">
        <v>99</v>
      </c>
      <c r="E24" s="82">
        <v>99</v>
      </c>
      <c r="F24" s="82">
        <v>87</v>
      </c>
      <c r="G24" s="82">
        <v>98</v>
      </c>
      <c r="H24" s="82">
        <v>99</v>
      </c>
      <c r="I24" s="82">
        <v>97</v>
      </c>
      <c r="J24" s="82">
        <v>98</v>
      </c>
    </row>
    <row r="25" spans="1:10" ht="18.75" x14ac:dyDescent="0.4">
      <c r="A25" s="23"/>
      <c r="C25" s="164"/>
      <c r="D25" s="4"/>
      <c r="E25" s="4"/>
      <c r="F25" s="4"/>
      <c r="G25" s="4"/>
      <c r="H25" s="4"/>
      <c r="I25" s="4"/>
      <c r="J25" s="4"/>
    </row>
    <row r="26" spans="1:10" ht="18.75" x14ac:dyDescent="0.4">
      <c r="A26" s="23"/>
      <c r="C26" s="5" t="s">
        <v>1550</v>
      </c>
      <c r="D26" s="5"/>
      <c r="E26" s="5"/>
      <c r="F26" s="5"/>
      <c r="G26" s="5"/>
      <c r="H26" s="5"/>
      <c r="I26" s="5"/>
      <c r="J26" s="5"/>
    </row>
    <row r="27" spans="1:10" ht="18.75" x14ac:dyDescent="0.4">
      <c r="A27" s="23"/>
      <c r="C27" s="5"/>
      <c r="D27" s="5"/>
      <c r="E27" s="5"/>
      <c r="F27" s="5"/>
      <c r="G27" s="5"/>
      <c r="H27" s="5"/>
      <c r="I27" s="5"/>
      <c r="J27" s="5"/>
    </row>
    <row r="28" spans="1:10" ht="19.5" x14ac:dyDescent="0.25">
      <c r="A28" s="23"/>
      <c r="C28" s="105" t="s">
        <v>1551</v>
      </c>
    </row>
    <row r="29" spans="1:10" x14ac:dyDescent="0.25">
      <c r="A29" s="23"/>
    </row>
    <row r="30" spans="1:10" x14ac:dyDescent="0.25">
      <c r="A30" s="23"/>
    </row>
    <row r="31" spans="1:10" x14ac:dyDescent="0.25">
      <c r="A31" s="23"/>
    </row>
    <row r="32" spans="1:10" x14ac:dyDescent="0.25">
      <c r="A32" s="23"/>
    </row>
    <row r="56" spans="3:3" ht="18.75" x14ac:dyDescent="0.4">
      <c r="C56" s="5" t="s">
        <v>1550</v>
      </c>
    </row>
  </sheetData>
  <mergeCells count="9">
    <mergeCell ref="A6:B6"/>
    <mergeCell ref="C6:O6"/>
    <mergeCell ref="C1:D1"/>
    <mergeCell ref="A3:B3"/>
    <mergeCell ref="C3:O3"/>
    <mergeCell ref="A4:B4"/>
    <mergeCell ref="C4:O4"/>
    <mergeCell ref="A5:B5"/>
    <mergeCell ref="C5:O5"/>
  </mergeCells>
  <hyperlinks>
    <hyperlink ref="A1" location="'ODS 3.'!A1" display="REGRESAR" xr:uid="{E9A97C0A-C31E-4D4F-A9AD-AA85998BC48F}"/>
    <hyperlink ref="C1" location="'Metadato 3.b.1'!A1" display="VER METADATO" xr:uid="{AEE153AA-476E-4CEA-B484-43FB0BB2F3BA}"/>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E644-3263-4F18-9CF6-7AC14ADA924E}">
  <sheetPr>
    <tabColor theme="0" tint="-0.499984740745262"/>
  </sheetPr>
  <dimension ref="B1:G36"/>
  <sheetViews>
    <sheetView showGridLines="0" zoomScaleNormal="100" workbookViewId="0">
      <pane ySplit="1" topLeftCell="A7" activePane="bottomLeft" state="frozen"/>
      <selection pane="bottomLeft"/>
    </sheetView>
  </sheetViews>
  <sheetFormatPr baseColWidth="10" defaultColWidth="11.42578125" defaultRowHeight="18.75" x14ac:dyDescent="0.25"/>
  <cols>
    <col min="1" max="1" width="3.7109375" style="222" customWidth="1"/>
    <col min="2" max="2" width="6.7109375" style="222" customWidth="1"/>
    <col min="3" max="3" width="26.42578125" style="222" customWidth="1"/>
    <col min="4" max="4" width="24" style="222" customWidth="1"/>
    <col min="5" max="5" width="85.7109375" style="222" customWidth="1"/>
    <col min="6" max="6" width="11.42578125" style="222"/>
    <col min="7" max="7" width="7.28515625" style="222" customWidth="1"/>
    <col min="8" max="16384" width="11.42578125" style="222"/>
  </cols>
  <sheetData>
    <row r="1" spans="2:7" x14ac:dyDescent="0.25">
      <c r="C1" s="223" t="s">
        <v>39</v>
      </c>
    </row>
    <row r="2" spans="2:7" ht="19.5" thickBot="1" x14ac:dyDescent="0.3"/>
    <row r="3" spans="2:7" ht="23.25" customHeight="1" thickBot="1" x14ac:dyDescent="0.3">
      <c r="C3" s="2604" t="s">
        <v>75</v>
      </c>
      <c r="D3" s="2604"/>
      <c r="E3" s="2604"/>
      <c r="G3" s="91" t="s">
        <v>265</v>
      </c>
    </row>
    <row r="4" spans="2:7" x14ac:dyDescent="0.25">
      <c r="B4" s="224"/>
      <c r="C4" s="2606" t="s">
        <v>234</v>
      </c>
      <c r="D4" s="2606"/>
      <c r="E4" s="359" t="s">
        <v>832</v>
      </c>
    </row>
    <row r="5" spans="2:7" ht="131.25" x14ac:dyDescent="0.25">
      <c r="C5" s="2445" t="s">
        <v>79</v>
      </c>
      <c r="D5" s="2445"/>
      <c r="E5" s="49" t="s">
        <v>718</v>
      </c>
    </row>
    <row r="6" spans="2:7" x14ac:dyDescent="0.25">
      <c r="C6" s="2445" t="s">
        <v>80</v>
      </c>
      <c r="D6" s="2445"/>
      <c r="E6" s="50" t="s">
        <v>719</v>
      </c>
    </row>
    <row r="7" spans="2:7" ht="16.5" customHeight="1" x14ac:dyDescent="0.25">
      <c r="C7" s="2446" t="s">
        <v>81</v>
      </c>
      <c r="D7" s="2446"/>
      <c r="E7" s="667" t="s">
        <v>720</v>
      </c>
    </row>
    <row r="8" spans="2:7" ht="16.5" customHeight="1" x14ac:dyDescent="0.25">
      <c r="C8" s="2446" t="s">
        <v>82</v>
      </c>
      <c r="D8" s="2446"/>
      <c r="E8" s="697" t="s">
        <v>1552</v>
      </c>
    </row>
    <row r="9" spans="2:7" x14ac:dyDescent="0.4">
      <c r="C9" s="5"/>
      <c r="D9" s="5"/>
      <c r="E9" s="5"/>
    </row>
    <row r="10" spans="2:7" ht="23.25" customHeight="1" x14ac:dyDescent="0.25">
      <c r="C10" s="2604" t="s">
        <v>85</v>
      </c>
      <c r="D10" s="2604"/>
      <c r="E10" s="2604"/>
    </row>
    <row r="11" spans="2:7" ht="18" customHeight="1" x14ac:dyDescent="0.25">
      <c r="C11" s="2633" t="s">
        <v>86</v>
      </c>
      <c r="D11" s="2634"/>
      <c r="E11" s="359" t="s">
        <v>1553</v>
      </c>
    </row>
    <row r="12" spans="2:7" ht="33.6" customHeight="1" x14ac:dyDescent="0.25">
      <c r="C12" s="2455" t="s">
        <v>88</v>
      </c>
      <c r="D12" s="2455"/>
      <c r="E12" s="169" t="s">
        <v>1554</v>
      </c>
    </row>
    <row r="13" spans="2:7" x14ac:dyDescent="0.25">
      <c r="C13" s="2445" t="s">
        <v>90</v>
      </c>
      <c r="D13" s="2445"/>
      <c r="E13" s="54" t="s">
        <v>719</v>
      </c>
    </row>
    <row r="14" spans="2:7" x14ac:dyDescent="0.25">
      <c r="C14" s="2445" t="s">
        <v>91</v>
      </c>
      <c r="D14" s="2456"/>
      <c r="E14" s="698" t="s">
        <v>98</v>
      </c>
    </row>
    <row r="15" spans="2:7" ht="166.5" customHeight="1" x14ac:dyDescent="0.25">
      <c r="C15" s="2445" t="s">
        <v>93</v>
      </c>
      <c r="D15" s="2445"/>
      <c r="E15" s="56" t="s">
        <v>1555</v>
      </c>
    </row>
    <row r="16" spans="2:7" ht="36.75" customHeight="1" x14ac:dyDescent="0.25">
      <c r="C16" s="2445" t="s">
        <v>95</v>
      </c>
      <c r="D16" s="2445"/>
      <c r="E16" s="56"/>
    </row>
    <row r="17" spans="3:5" x14ac:dyDescent="0.25">
      <c r="C17" s="2445" t="s">
        <v>97</v>
      </c>
      <c r="D17" s="2445"/>
      <c r="E17" s="56" t="s">
        <v>238</v>
      </c>
    </row>
    <row r="18" spans="3:5" ht="37.5" x14ac:dyDescent="0.25">
      <c r="C18" s="2446" t="s">
        <v>99</v>
      </c>
      <c r="D18" s="2446"/>
      <c r="E18" s="49" t="s">
        <v>1556</v>
      </c>
    </row>
    <row r="19" spans="3:5" ht="37.5" x14ac:dyDescent="0.25">
      <c r="C19" s="2457" t="s">
        <v>100</v>
      </c>
      <c r="D19" s="2458"/>
      <c r="E19" s="56" t="s">
        <v>1557</v>
      </c>
    </row>
    <row r="20" spans="3:5" x14ac:dyDescent="0.25">
      <c r="C20" s="2445" t="s">
        <v>102</v>
      </c>
      <c r="D20" s="2445"/>
      <c r="E20" s="56" t="s">
        <v>140</v>
      </c>
    </row>
    <row r="21" spans="3:5" x14ac:dyDescent="0.25">
      <c r="C21" s="2451" t="s">
        <v>104</v>
      </c>
      <c r="D21" s="95" t="s">
        <v>105</v>
      </c>
      <c r="E21" s="49" t="s">
        <v>1558</v>
      </c>
    </row>
    <row r="22" spans="3:5" x14ac:dyDescent="0.25">
      <c r="C22" s="2452"/>
      <c r="D22" s="96" t="s">
        <v>107</v>
      </c>
      <c r="E22" s="56" t="s">
        <v>1559</v>
      </c>
    </row>
    <row r="23" spans="3:5" x14ac:dyDescent="0.25">
      <c r="C23" s="2444" t="s">
        <v>109</v>
      </c>
      <c r="D23" s="2444"/>
      <c r="E23" s="56" t="s">
        <v>143</v>
      </c>
    </row>
    <row r="24" spans="3:5" x14ac:dyDescent="0.25">
      <c r="C24" s="2444" t="s">
        <v>111</v>
      </c>
      <c r="D24" s="2444"/>
      <c r="E24" s="49" t="s">
        <v>522</v>
      </c>
    </row>
    <row r="25" spans="3:5" x14ac:dyDescent="0.25">
      <c r="C25" s="2445" t="s">
        <v>113</v>
      </c>
      <c r="D25" s="2445"/>
      <c r="E25" s="56" t="s">
        <v>220</v>
      </c>
    </row>
    <row r="26" spans="3:5" ht="15" customHeight="1" x14ac:dyDescent="0.25">
      <c r="C26" s="2446" t="s">
        <v>115</v>
      </c>
      <c r="D26" s="2446"/>
      <c r="E26" s="49" t="s">
        <v>1560</v>
      </c>
    </row>
    <row r="27" spans="3:5" x14ac:dyDescent="0.25">
      <c r="C27" s="2447" t="s">
        <v>117</v>
      </c>
      <c r="D27" s="2448"/>
      <c r="E27" s="49" t="s">
        <v>1561</v>
      </c>
    </row>
    <row r="28" spans="3:5" ht="56.25" x14ac:dyDescent="0.25">
      <c r="C28" s="97" t="s">
        <v>118</v>
      </c>
      <c r="D28" s="98"/>
      <c r="E28" s="56" t="s">
        <v>1562</v>
      </c>
    </row>
    <row r="29" spans="3:5" x14ac:dyDescent="0.25">
      <c r="C29" s="2449" t="s">
        <v>120</v>
      </c>
      <c r="D29" s="2450"/>
      <c r="E29" s="62"/>
    </row>
    <row r="30" spans="3:5" ht="15.75" customHeight="1" x14ac:dyDescent="0.25">
      <c r="C30" s="628"/>
      <c r="D30" s="628"/>
      <c r="E30" s="629"/>
    </row>
    <row r="31" spans="3:5" ht="23.25" customHeight="1" x14ac:dyDescent="0.25">
      <c r="C31" s="2604" t="s">
        <v>121</v>
      </c>
      <c r="D31" s="2604"/>
      <c r="E31" s="2604"/>
    </row>
    <row r="32" spans="3:5" x14ac:dyDescent="0.25">
      <c r="C32" s="2631" t="s">
        <v>122</v>
      </c>
      <c r="D32" s="2632"/>
      <c r="E32" s="574" t="s">
        <v>1563</v>
      </c>
    </row>
    <row r="33" spans="3:5" x14ac:dyDescent="0.25">
      <c r="C33" s="2442" t="s">
        <v>124</v>
      </c>
      <c r="D33" s="2443"/>
      <c r="E33" s="59" t="s">
        <v>1564</v>
      </c>
    </row>
    <row r="34" spans="3:5" x14ac:dyDescent="0.25">
      <c r="C34" s="2442" t="s">
        <v>126</v>
      </c>
      <c r="D34" s="2443"/>
      <c r="E34" s="59" t="s">
        <v>522</v>
      </c>
    </row>
    <row r="35" spans="3:5" x14ac:dyDescent="0.25">
      <c r="C35" s="2442" t="s">
        <v>128</v>
      </c>
      <c r="D35" s="2443"/>
      <c r="E35" s="59" t="s">
        <v>1565</v>
      </c>
    </row>
    <row r="36" spans="3:5" x14ac:dyDescent="0.25">
      <c r="C36" s="2442" t="s">
        <v>130</v>
      </c>
      <c r="D36" s="2443"/>
      <c r="E36" s="65" t="s">
        <v>1566</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allowBlank="1" showDropDown="1" showInputMessage="1" showErrorMessage="1" sqref="E13" xr:uid="{38F4FE5B-13E3-4CE7-8B53-F2B6C6F26A97}"/>
    <dataValidation type="list" allowBlank="1" showInputMessage="1" showErrorMessage="1" sqref="E4" xr:uid="{BA5D5218-ABB5-4B54-B708-D7A167815481}">
      <formula1>ODS</formula1>
    </dataValidation>
    <dataValidation type="list" allowBlank="1" showInputMessage="1" showErrorMessage="1" sqref="E5" xr:uid="{AB5E6004-240E-4E2D-B954-5B66914ECC50}">
      <formula1>Metas_ODS</formula1>
    </dataValidation>
    <dataValidation type="list" allowBlank="1" showInputMessage="1" showErrorMessage="1" sqref="E6" xr:uid="{E27B353A-C96F-41E5-B3ED-3E36A9EE7AF6}">
      <formula1>Numero_indicador</formula1>
    </dataValidation>
    <dataValidation type="list" allowBlank="1" showInputMessage="1" showErrorMessage="1" sqref="E7" xr:uid="{7ABFD84C-70DD-4F49-9E69-A0DD4016DD06}">
      <formula1>Nombre_indicador_ODS</formula1>
    </dataValidation>
    <dataValidation type="list" allowBlank="1" showInputMessage="1" showErrorMessage="1" sqref="E14" xr:uid="{B3DFBEB9-74BA-4BAF-816C-F8BFBB490204}">
      <formula1>Tipo_indicador</formula1>
    </dataValidation>
    <dataValidation type="list" allowBlank="1" showInputMessage="1" showErrorMessage="1" sqref="E25" xr:uid="{6518B062-C237-413F-B5AF-BA71955A84BF}">
      <formula1>Tipo_operación</formula1>
    </dataValidation>
  </dataValidations>
  <hyperlinks>
    <hyperlink ref="C1" location="'3.b.1'!A1" display="REGRESAR" xr:uid="{99B4DC10-F099-4CE6-BFB5-D6E1E0C39183}"/>
    <hyperlink ref="E8" r:id="rId1" xr:uid="{3E6F4B21-655A-4CBE-B6EF-05D2C1EA3BBE}"/>
    <hyperlink ref="E36" r:id="rId2" xr:uid="{44EDC4A4-9C25-4B3E-A27B-05A384E9CDA0}"/>
  </hyperlinks>
  <pageMargins left="0.7" right="0.7" top="0.75" bottom="0.75" header="0.3" footer="0.3"/>
  <pageSetup orientation="portrait"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53A5-4483-4CF0-965D-21BABC8312FC}">
  <sheetPr>
    <tabColor rgb="FF7030A0"/>
  </sheetPr>
  <dimension ref="A1:P3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7109375" style="22" customWidth="1"/>
    <col min="3" max="3" width="11.7109375" style="89" customWidth="1"/>
    <col min="4" max="6" width="11.7109375" style="22" customWidth="1"/>
    <col min="7" max="16384" width="11.42578125" style="22"/>
  </cols>
  <sheetData>
    <row r="1" spans="1:16" s="16" customFormat="1" ht="19.5" x14ac:dyDescent="0.4">
      <c r="A1" s="15" t="s">
        <v>39</v>
      </c>
      <c r="B1" s="161"/>
      <c r="C1" s="2421" t="s">
        <v>149</v>
      </c>
      <c r="D1" s="2421"/>
    </row>
    <row r="2" spans="1:16" s="16" customFormat="1" ht="19.5" x14ac:dyDescent="0.4">
      <c r="C2" s="218"/>
    </row>
    <row r="3" spans="1:16" s="16" customFormat="1" ht="19.5" x14ac:dyDescent="0.4">
      <c r="A3" s="2574" t="s">
        <v>41</v>
      </c>
      <c r="B3" s="2574"/>
      <c r="C3" s="2574" t="s">
        <v>733</v>
      </c>
      <c r="D3" s="2575"/>
      <c r="E3" s="2575"/>
      <c r="F3" s="2575"/>
      <c r="G3" s="2575"/>
      <c r="H3" s="2575"/>
      <c r="I3" s="2575"/>
      <c r="J3" s="2575"/>
      <c r="K3" s="2575"/>
      <c r="L3" s="2575"/>
      <c r="M3" s="2575"/>
      <c r="N3" s="2575"/>
      <c r="O3" s="2575"/>
      <c r="P3" s="2575"/>
    </row>
    <row r="4" spans="1:16" s="16" customFormat="1" ht="67.900000000000006" customHeight="1" x14ac:dyDescent="0.4">
      <c r="A4" s="2574" t="s">
        <v>42</v>
      </c>
      <c r="B4" s="2574"/>
      <c r="C4" s="2574" t="s">
        <v>1567</v>
      </c>
      <c r="D4" s="2575"/>
      <c r="E4" s="2575"/>
      <c r="F4" s="2575"/>
      <c r="G4" s="2575"/>
      <c r="H4" s="2575"/>
      <c r="I4" s="2575"/>
      <c r="J4" s="2575"/>
      <c r="K4" s="2575"/>
      <c r="L4" s="2575"/>
      <c r="M4" s="2575"/>
      <c r="N4" s="2575"/>
      <c r="O4" s="2575"/>
      <c r="P4" s="2575"/>
    </row>
    <row r="5" spans="1:16" s="16" customFormat="1" ht="20.45" customHeight="1" x14ac:dyDescent="0.4">
      <c r="A5" s="2665" t="s">
        <v>43</v>
      </c>
      <c r="B5" s="2665"/>
      <c r="C5" s="2665" t="s">
        <v>722</v>
      </c>
      <c r="D5" s="2666"/>
      <c r="E5" s="2666"/>
      <c r="F5" s="2666"/>
      <c r="G5" s="2666"/>
      <c r="H5" s="2666"/>
      <c r="I5" s="2666"/>
      <c r="J5" s="2666"/>
      <c r="K5" s="2666"/>
      <c r="L5" s="2666"/>
      <c r="M5" s="2666"/>
      <c r="N5" s="2666"/>
      <c r="O5" s="2666"/>
      <c r="P5" s="2666"/>
    </row>
    <row r="6" spans="1:16" s="16" customFormat="1" ht="19.5" x14ac:dyDescent="0.4">
      <c r="A6" s="2665" t="s">
        <v>132</v>
      </c>
      <c r="B6" s="2666"/>
      <c r="C6" s="2665"/>
      <c r="D6" s="2666"/>
      <c r="E6" s="2666"/>
      <c r="F6" s="2666"/>
      <c r="G6" s="2666"/>
      <c r="H6" s="2666"/>
      <c r="I6" s="2666"/>
      <c r="J6" s="2666"/>
      <c r="K6" s="2666"/>
      <c r="L6" s="2666"/>
      <c r="M6" s="2666"/>
      <c r="N6" s="2666"/>
      <c r="O6" s="2666"/>
      <c r="P6" s="2666"/>
    </row>
    <row r="7" spans="1:16" s="16" customFormat="1" ht="19.5" x14ac:dyDescent="0.4">
      <c r="A7" s="217"/>
      <c r="C7" s="218"/>
    </row>
    <row r="8" spans="1:16" s="16" customFormat="1" ht="19.5" x14ac:dyDescent="0.4">
      <c r="A8" s="363"/>
      <c r="C8" s="218"/>
    </row>
    <row r="9" spans="1:16" s="16" customFormat="1" ht="11.25" customHeight="1" x14ac:dyDescent="0.4">
      <c r="A9" s="217"/>
      <c r="C9" s="2506" t="s">
        <v>650</v>
      </c>
      <c r="D9" s="2506"/>
      <c r="E9" s="2506"/>
      <c r="F9" s="2506"/>
      <c r="G9" s="2506"/>
      <c r="H9" s="2506"/>
      <c r="I9" s="2506"/>
      <c r="J9" s="2506"/>
      <c r="K9" s="2506"/>
      <c r="L9" s="2506"/>
      <c r="M9" s="2506"/>
      <c r="N9" s="2506"/>
      <c r="O9" s="2506"/>
      <c r="P9" s="2506"/>
    </row>
    <row r="10" spans="1:16" s="16" customFormat="1" ht="11.25" customHeight="1" x14ac:dyDescent="0.4">
      <c r="A10" s="217"/>
      <c r="C10" s="2506"/>
      <c r="D10" s="2506"/>
      <c r="E10" s="2506"/>
      <c r="F10" s="2506"/>
      <c r="G10" s="2506"/>
      <c r="H10" s="2506"/>
      <c r="I10" s="2506"/>
      <c r="J10" s="2506"/>
      <c r="K10" s="2506"/>
      <c r="L10" s="2506"/>
      <c r="M10" s="2506"/>
      <c r="N10" s="2506"/>
      <c r="O10" s="2506"/>
      <c r="P10" s="2506"/>
    </row>
    <row r="11" spans="1:16" s="16" customFormat="1" ht="19.5" x14ac:dyDescent="0.4">
      <c r="A11" s="217"/>
      <c r="C11" s="218"/>
    </row>
    <row r="12" spans="1:16" s="16" customFormat="1" ht="11.25" customHeight="1" x14ac:dyDescent="0.4">
      <c r="A12" s="217"/>
      <c r="C12" s="218"/>
    </row>
    <row r="13" spans="1:16" s="16" customFormat="1" ht="11.25" customHeight="1" x14ac:dyDescent="0.4">
      <c r="A13" s="217"/>
      <c r="C13" s="2493" t="s">
        <v>1568</v>
      </c>
      <c r="D13" s="2493"/>
      <c r="E13" s="2493"/>
      <c r="F13" s="2493"/>
      <c r="G13" s="2493"/>
      <c r="H13" s="2493"/>
      <c r="I13" s="2493"/>
      <c r="J13" s="2493"/>
      <c r="K13" s="2493"/>
      <c r="L13" s="2493"/>
      <c r="M13" s="2493"/>
      <c r="N13" s="2493"/>
      <c r="O13" s="374"/>
    </row>
    <row r="14" spans="1:16" s="16" customFormat="1" ht="11.25" customHeight="1" x14ac:dyDescent="0.4">
      <c r="A14" s="217"/>
      <c r="C14" s="2493"/>
      <c r="D14" s="2493"/>
      <c r="E14" s="2493"/>
      <c r="F14" s="2493"/>
      <c r="G14" s="2493"/>
      <c r="H14" s="2493"/>
      <c r="I14" s="2493"/>
      <c r="J14" s="2493"/>
      <c r="K14" s="2493"/>
      <c r="L14" s="2493"/>
      <c r="M14" s="2493"/>
      <c r="N14" s="2493"/>
      <c r="O14" s="374"/>
    </row>
    <row r="15" spans="1:16" s="16" customFormat="1" ht="11.25" customHeight="1" x14ac:dyDescent="0.4">
      <c r="A15" s="217"/>
      <c r="C15" s="2493"/>
      <c r="D15" s="2493"/>
      <c r="E15" s="2493"/>
      <c r="F15" s="2493"/>
      <c r="G15" s="2493"/>
      <c r="H15" s="2493"/>
      <c r="I15" s="2493"/>
      <c r="J15" s="2493"/>
      <c r="K15" s="2493"/>
      <c r="L15" s="2493"/>
      <c r="M15" s="2493"/>
      <c r="N15" s="2493"/>
      <c r="O15" s="374"/>
    </row>
    <row r="16" spans="1:16" s="16" customFormat="1" ht="19.5" x14ac:dyDescent="0.4">
      <c r="A16" s="217"/>
      <c r="C16" s="2493"/>
      <c r="D16" s="2493"/>
      <c r="E16" s="2493"/>
      <c r="F16" s="2493"/>
      <c r="G16" s="2493"/>
      <c r="H16" s="2493"/>
      <c r="I16" s="2493"/>
      <c r="J16" s="2493"/>
      <c r="K16" s="2493"/>
      <c r="L16" s="2493"/>
      <c r="M16" s="2493"/>
      <c r="N16" s="2493"/>
      <c r="O16" s="374"/>
    </row>
    <row r="17" spans="1:15" s="16" customFormat="1" ht="19.5" x14ac:dyDescent="0.4">
      <c r="A17" s="217"/>
      <c r="C17" s="2493"/>
      <c r="D17" s="2493"/>
      <c r="E17" s="2493"/>
      <c r="F17" s="2493"/>
      <c r="G17" s="2493"/>
      <c r="H17" s="2493"/>
      <c r="I17" s="2493"/>
      <c r="J17" s="2493"/>
      <c r="K17" s="2493"/>
      <c r="L17" s="2493"/>
      <c r="M17" s="2493"/>
      <c r="N17" s="2493"/>
      <c r="O17" s="374"/>
    </row>
    <row r="18" spans="1:15" s="16" customFormat="1" ht="19.5" x14ac:dyDescent="0.4">
      <c r="A18" s="217"/>
      <c r="C18" s="2493"/>
      <c r="D18" s="2493"/>
      <c r="E18" s="2493"/>
      <c r="F18" s="2493"/>
      <c r="G18" s="2493"/>
      <c r="H18" s="2493"/>
      <c r="I18" s="2493"/>
      <c r="J18" s="2493"/>
      <c r="K18" s="2493"/>
      <c r="L18" s="2493"/>
      <c r="M18" s="2493"/>
      <c r="N18" s="2493"/>
      <c r="O18" s="374"/>
    </row>
    <row r="19" spans="1:15" s="16" customFormat="1" ht="19.5" x14ac:dyDescent="0.4">
      <c r="A19" s="217"/>
      <c r="C19" s="2493"/>
      <c r="D19" s="2493"/>
      <c r="E19" s="2493"/>
      <c r="F19" s="2493"/>
      <c r="G19" s="2493"/>
      <c r="H19" s="2493"/>
      <c r="I19" s="2493"/>
      <c r="J19" s="2493"/>
      <c r="K19" s="2493"/>
      <c r="L19" s="2493"/>
      <c r="M19" s="2493"/>
      <c r="N19" s="2493"/>
      <c r="O19" s="374"/>
    </row>
    <row r="20" spans="1:15" s="16" customFormat="1" ht="19.5" x14ac:dyDescent="0.4">
      <c r="A20" s="217"/>
      <c r="C20" s="218"/>
    </row>
    <row r="21" spans="1:15" x14ac:dyDescent="0.25">
      <c r="A21" s="23"/>
    </row>
    <row r="22" spans="1:15" ht="15.75" x14ac:dyDescent="0.25">
      <c r="A22" s="221"/>
      <c r="B22" s="220"/>
      <c r="C22" s="220"/>
      <c r="D22" s="220"/>
      <c r="E22" s="220"/>
      <c r="F22" s="220"/>
      <c r="G22" s="220"/>
      <c r="H22" s="220"/>
      <c r="I22" s="220"/>
      <c r="J22" s="220"/>
      <c r="K22" s="220"/>
      <c r="L22" s="220"/>
      <c r="M22" s="220"/>
      <c r="N22" s="220"/>
      <c r="O22" s="220"/>
    </row>
    <row r="23" spans="1:15" ht="15.75" x14ac:dyDescent="0.25">
      <c r="A23" s="221"/>
      <c r="B23" s="220"/>
      <c r="C23" s="220"/>
      <c r="D23" s="220"/>
      <c r="E23" s="220"/>
      <c r="F23" s="220"/>
      <c r="G23" s="220"/>
      <c r="H23" s="220"/>
      <c r="I23" s="220"/>
      <c r="J23" s="220"/>
      <c r="K23" s="220"/>
      <c r="L23" s="220"/>
      <c r="M23" s="220"/>
      <c r="N23" s="220"/>
      <c r="O23" s="220"/>
    </row>
    <row r="24" spans="1:15" ht="15.75" x14ac:dyDescent="0.25">
      <c r="A24" s="221"/>
      <c r="B24" s="220"/>
      <c r="C24" s="220"/>
      <c r="D24" s="220"/>
      <c r="E24" s="220"/>
      <c r="F24" s="220"/>
      <c r="G24" s="220"/>
      <c r="H24" s="220"/>
      <c r="I24" s="220"/>
      <c r="J24" s="220"/>
      <c r="K24" s="220"/>
      <c r="L24" s="220"/>
      <c r="M24" s="220"/>
      <c r="N24" s="220"/>
      <c r="O24" s="220"/>
    </row>
    <row r="25" spans="1:15" ht="15.75" x14ac:dyDescent="0.25">
      <c r="A25" s="221"/>
      <c r="B25" s="220"/>
      <c r="C25" s="220"/>
      <c r="D25" s="220"/>
      <c r="E25" s="220"/>
      <c r="F25" s="220"/>
      <c r="G25" s="220"/>
      <c r="H25" s="220"/>
      <c r="I25" s="220"/>
      <c r="J25" s="220"/>
      <c r="K25" s="220"/>
      <c r="L25" s="220"/>
      <c r="M25" s="220"/>
      <c r="N25" s="220"/>
      <c r="O25" s="220"/>
    </row>
    <row r="26" spans="1:15" ht="15.75" x14ac:dyDescent="0.25">
      <c r="A26" s="221"/>
      <c r="B26" s="220"/>
      <c r="C26" s="220"/>
      <c r="D26" s="220"/>
      <c r="E26" s="220"/>
      <c r="F26" s="220"/>
      <c r="G26" s="220"/>
      <c r="H26" s="220"/>
      <c r="I26" s="220"/>
      <c r="J26" s="220"/>
      <c r="K26" s="220"/>
      <c r="L26" s="220"/>
      <c r="M26" s="220"/>
      <c r="N26" s="220"/>
      <c r="O26" s="220"/>
    </row>
    <row r="27" spans="1:15" ht="16.5" x14ac:dyDescent="0.35">
      <c r="A27" s="2494" t="s">
        <v>652</v>
      </c>
      <c r="B27" s="2494"/>
      <c r="C27" s="2494"/>
      <c r="D27" s="2494"/>
      <c r="E27" s="2494"/>
      <c r="F27" s="2494"/>
      <c r="G27" s="2494"/>
      <c r="H27" s="2494"/>
      <c r="I27" s="2494"/>
      <c r="J27" s="2494"/>
      <c r="K27" s="2494"/>
      <c r="L27" s="2494"/>
      <c r="M27" s="2494"/>
      <c r="N27" s="2494"/>
      <c r="O27" s="2494"/>
    </row>
    <row r="28" spans="1:15" x14ac:dyDescent="0.25">
      <c r="A28" s="23"/>
    </row>
    <row r="29" spans="1:15" x14ac:dyDescent="0.25">
      <c r="A29" s="23"/>
    </row>
    <row r="30" spans="1:15" x14ac:dyDescent="0.25">
      <c r="A30" s="23"/>
    </row>
    <row r="31" spans="1:15" x14ac:dyDescent="0.25">
      <c r="A31" s="23"/>
    </row>
    <row r="32" spans="1:15" x14ac:dyDescent="0.25">
      <c r="A32" s="2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3.'!A1" display="REGRESAR" xr:uid="{8B6AA153-1648-4C5A-A483-40D1D101CA6A}"/>
    <hyperlink ref="C1" location="'Metadato 3.b.2'!A1" display="VER METADATO" xr:uid="{CCE1D8AD-FB3D-4B95-95A0-B0F0E5AE72C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3C93-E24D-44C3-BD24-09842B0BD3B4}">
  <dimension ref="A1:W52"/>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4.5703125" style="22" customWidth="1"/>
    <col min="3" max="3" width="8.42578125" style="22" customWidth="1"/>
    <col min="4" max="4" width="8.7109375" style="22" customWidth="1"/>
    <col min="5" max="5" width="1" style="22" customWidth="1"/>
    <col min="6" max="7" width="9.28515625" style="22" customWidth="1"/>
    <col min="8" max="8" width="0.7109375" style="22" customWidth="1"/>
    <col min="9" max="10" width="8.42578125" style="22" customWidth="1"/>
    <col min="11" max="11" width="1.28515625" style="22" customWidth="1"/>
    <col min="12" max="12" width="8.28515625" style="22" customWidth="1"/>
    <col min="13" max="13" width="9.28515625" style="22" customWidth="1"/>
    <col min="14" max="17" width="8.28515625" style="22" customWidth="1"/>
    <col min="18" max="16384" width="11.42578125" style="22"/>
  </cols>
  <sheetData>
    <row r="1" spans="1:23" ht="19.5" x14ac:dyDescent="0.4">
      <c r="A1" s="15" t="s">
        <v>39</v>
      </c>
      <c r="B1" s="16"/>
      <c r="C1" s="2421" t="s">
        <v>149</v>
      </c>
      <c r="D1" s="2421"/>
      <c r="E1" s="16"/>
      <c r="F1" s="16"/>
      <c r="G1" s="16"/>
      <c r="H1" s="16"/>
      <c r="I1" s="16"/>
      <c r="J1" s="16"/>
      <c r="K1" s="16"/>
      <c r="L1" s="16"/>
      <c r="M1" s="16"/>
      <c r="N1" s="16"/>
      <c r="O1" s="16"/>
      <c r="P1" s="16"/>
      <c r="Q1" s="16"/>
      <c r="R1" s="16"/>
      <c r="S1" s="16"/>
      <c r="T1" s="16"/>
      <c r="U1" s="16"/>
      <c r="V1" s="16"/>
      <c r="W1" s="16"/>
    </row>
    <row r="2" spans="1:23" ht="19.5" x14ac:dyDescent="0.4">
      <c r="A2" s="161"/>
      <c r="B2" s="16"/>
      <c r="C2" s="16"/>
      <c r="D2" s="16"/>
      <c r="E2" s="16"/>
      <c r="F2" s="16"/>
      <c r="G2" s="16"/>
      <c r="H2" s="16"/>
      <c r="I2" s="16"/>
      <c r="J2" s="16"/>
      <c r="K2" s="16"/>
      <c r="L2" s="16"/>
      <c r="M2" s="16"/>
      <c r="N2" s="16"/>
      <c r="O2" s="16"/>
      <c r="P2" s="16"/>
      <c r="Q2" s="16"/>
      <c r="R2" s="16"/>
      <c r="S2" s="16"/>
      <c r="T2" s="16"/>
      <c r="U2" s="16"/>
      <c r="V2" s="16"/>
      <c r="W2" s="16"/>
    </row>
    <row r="3" spans="1:23" s="133" customFormat="1" ht="19.5" x14ac:dyDescent="0.25">
      <c r="A3" s="2413" t="s">
        <v>41</v>
      </c>
      <c r="B3" s="2413"/>
      <c r="C3" s="2414" t="s">
        <v>2</v>
      </c>
      <c r="D3" s="2415"/>
      <c r="E3" s="2415"/>
      <c r="F3" s="2415"/>
      <c r="G3" s="2415"/>
      <c r="H3" s="2415"/>
      <c r="I3" s="2415"/>
      <c r="J3" s="2415"/>
      <c r="K3" s="2415"/>
      <c r="L3" s="2415"/>
      <c r="M3" s="2415"/>
      <c r="N3" s="2415"/>
      <c r="O3" s="2415"/>
      <c r="P3" s="2415"/>
      <c r="Q3" s="2415"/>
      <c r="R3" s="2415"/>
      <c r="S3" s="2415"/>
      <c r="T3" s="2415"/>
      <c r="U3" s="2415"/>
      <c r="V3" s="2415"/>
      <c r="W3" s="2466"/>
    </row>
    <row r="4" spans="1:23" s="133" customFormat="1" ht="40.15" customHeight="1" x14ac:dyDescent="0.25">
      <c r="A4" s="2413" t="s">
        <v>42</v>
      </c>
      <c r="B4" s="2413"/>
      <c r="C4" s="2414" t="s">
        <v>17</v>
      </c>
      <c r="D4" s="2415"/>
      <c r="E4" s="2415"/>
      <c r="F4" s="2415"/>
      <c r="G4" s="2415"/>
      <c r="H4" s="2415"/>
      <c r="I4" s="2415"/>
      <c r="J4" s="2415"/>
      <c r="K4" s="2415"/>
      <c r="L4" s="2415"/>
      <c r="M4" s="2415"/>
      <c r="N4" s="2415"/>
      <c r="O4" s="2415"/>
      <c r="P4" s="2415"/>
      <c r="Q4" s="2415"/>
      <c r="R4" s="2415"/>
      <c r="S4" s="2415"/>
      <c r="T4" s="2415"/>
      <c r="U4" s="2415"/>
      <c r="V4" s="2415"/>
      <c r="W4" s="2466"/>
    </row>
    <row r="5" spans="1:23" s="133" customFormat="1" ht="17.45" customHeight="1" x14ac:dyDescent="0.25">
      <c r="A5" s="2413" t="s">
        <v>43</v>
      </c>
      <c r="B5" s="2413"/>
      <c r="C5" s="2414" t="s">
        <v>19</v>
      </c>
      <c r="D5" s="2415"/>
      <c r="E5" s="2415"/>
      <c r="F5" s="2415"/>
      <c r="G5" s="2415"/>
      <c r="H5" s="2415"/>
      <c r="I5" s="2415"/>
      <c r="J5" s="2415"/>
      <c r="K5" s="2415"/>
      <c r="L5" s="2415"/>
      <c r="M5" s="2415"/>
      <c r="N5" s="2415"/>
      <c r="O5" s="2415"/>
      <c r="P5" s="2415"/>
      <c r="Q5" s="2415"/>
      <c r="R5" s="2415"/>
      <c r="S5" s="2415"/>
      <c r="T5" s="2415"/>
      <c r="U5" s="2415"/>
      <c r="V5" s="2415"/>
      <c r="W5" s="2466"/>
    </row>
    <row r="6" spans="1:23" s="133" customFormat="1" ht="17.45" customHeight="1" x14ac:dyDescent="0.25">
      <c r="A6" s="2413" t="s">
        <v>132</v>
      </c>
      <c r="B6" s="2413"/>
      <c r="C6" s="2414" t="s">
        <v>232</v>
      </c>
      <c r="D6" s="2415"/>
      <c r="E6" s="2415"/>
      <c r="F6" s="2415"/>
      <c r="G6" s="2415"/>
      <c r="H6" s="2415"/>
      <c r="I6" s="2415"/>
      <c r="J6" s="2415"/>
      <c r="K6" s="2415"/>
      <c r="L6" s="2415"/>
      <c r="M6" s="2415"/>
      <c r="N6" s="2415"/>
      <c r="O6" s="2415"/>
      <c r="P6" s="2415"/>
      <c r="Q6" s="2415"/>
      <c r="R6" s="2415"/>
      <c r="S6" s="2415"/>
      <c r="T6" s="2415"/>
      <c r="U6" s="2415"/>
      <c r="V6" s="2415"/>
      <c r="W6" s="2466"/>
    </row>
    <row r="7" spans="1:23" ht="12.75" customHeight="1" x14ac:dyDescent="0.4">
      <c r="A7" s="162"/>
      <c r="B7" s="162"/>
      <c r="C7" s="43"/>
      <c r="D7" s="16"/>
      <c r="E7" s="16"/>
      <c r="F7" s="16"/>
      <c r="G7" s="16"/>
      <c r="H7" s="16"/>
      <c r="I7" s="16"/>
      <c r="J7" s="16"/>
      <c r="K7" s="16"/>
      <c r="L7" s="16"/>
      <c r="M7" s="16"/>
      <c r="N7" s="16"/>
      <c r="O7" s="16"/>
      <c r="P7" s="16"/>
      <c r="Q7" s="16"/>
      <c r="R7" s="16"/>
      <c r="S7" s="16"/>
      <c r="T7" s="16"/>
      <c r="U7" s="16"/>
      <c r="V7" s="16"/>
      <c r="W7" s="16"/>
    </row>
    <row r="8" spans="1:23" ht="19.5" x14ac:dyDescent="0.4">
      <c r="A8" s="16"/>
      <c r="B8" s="16"/>
      <c r="C8" s="16"/>
      <c r="D8" s="16"/>
      <c r="E8" s="16"/>
      <c r="F8" s="16"/>
      <c r="G8" s="16"/>
      <c r="H8" s="16"/>
      <c r="I8" s="16"/>
      <c r="J8" s="16"/>
      <c r="K8" s="16"/>
      <c r="L8" s="16"/>
      <c r="M8" s="16"/>
      <c r="N8" s="16"/>
      <c r="O8" s="16"/>
      <c r="P8" s="16"/>
      <c r="Q8" s="16"/>
      <c r="R8" s="16"/>
      <c r="S8" s="16"/>
      <c r="T8" s="16"/>
      <c r="U8" s="16"/>
      <c r="V8" s="16"/>
      <c r="W8" s="16"/>
    </row>
    <row r="9" spans="1:23" ht="16.149999999999999" customHeight="1" x14ac:dyDescent="0.4">
      <c r="A9" s="16"/>
      <c r="B9" s="16"/>
      <c r="C9" s="163" t="s">
        <v>233</v>
      </c>
      <c r="D9" s="163"/>
      <c r="E9" s="163"/>
      <c r="F9" s="163"/>
      <c r="G9" s="163"/>
      <c r="H9" s="163"/>
      <c r="I9" s="163"/>
      <c r="J9" s="163"/>
      <c r="K9" s="163"/>
      <c r="L9" s="163"/>
      <c r="M9" s="163"/>
      <c r="N9" s="163"/>
      <c r="O9" s="163"/>
      <c r="P9" s="163"/>
      <c r="Q9" s="163"/>
      <c r="R9" s="16"/>
      <c r="S9" s="16"/>
      <c r="T9" s="16"/>
      <c r="U9" s="16"/>
      <c r="V9" s="16"/>
      <c r="W9" s="16"/>
    </row>
    <row r="10" spans="1:23" ht="16.149999999999999" customHeight="1" x14ac:dyDescent="0.25">
      <c r="C10" s="139"/>
      <c r="D10" s="139"/>
      <c r="E10" s="139"/>
      <c r="F10" s="139"/>
      <c r="G10" s="139"/>
      <c r="H10" s="139"/>
      <c r="I10" s="139"/>
      <c r="J10" s="139"/>
      <c r="K10" s="139"/>
      <c r="L10" s="139"/>
      <c r="M10" s="139"/>
      <c r="N10" s="139"/>
      <c r="O10" s="139"/>
      <c r="P10" s="139"/>
      <c r="Q10" s="139"/>
    </row>
    <row r="11" spans="1:23" ht="12.75" customHeight="1" x14ac:dyDescent="0.25">
      <c r="C11" s="2416" t="s">
        <v>46</v>
      </c>
      <c r="D11" s="2416" t="s">
        <v>47</v>
      </c>
      <c r="E11" s="26"/>
      <c r="F11" s="2418" t="s">
        <v>48</v>
      </c>
      <c r="G11" s="2418"/>
      <c r="H11" s="26"/>
      <c r="I11" s="2418" t="s">
        <v>49</v>
      </c>
      <c r="J11" s="2418"/>
      <c r="K11" s="26"/>
      <c r="L11" s="2418" t="s">
        <v>50</v>
      </c>
      <c r="M11" s="2418"/>
      <c r="N11" s="2418"/>
      <c r="O11" s="2418"/>
      <c r="P11" s="2418"/>
      <c r="Q11" s="2418"/>
    </row>
    <row r="12" spans="1:23" ht="37.5" x14ac:dyDescent="0.25">
      <c r="C12" s="2417"/>
      <c r="D12" s="2417"/>
      <c r="E12" s="27"/>
      <c r="F12" s="27" t="s">
        <v>53</v>
      </c>
      <c r="G12" s="27" t="s">
        <v>54</v>
      </c>
      <c r="H12" s="27"/>
      <c r="I12" s="27" t="s">
        <v>55</v>
      </c>
      <c r="J12" s="27" t="s">
        <v>56</v>
      </c>
      <c r="K12" s="27"/>
      <c r="L12" s="27" t="s">
        <v>57</v>
      </c>
      <c r="M12" s="27" t="s">
        <v>58</v>
      </c>
      <c r="N12" s="27" t="s">
        <v>59</v>
      </c>
      <c r="O12" s="27" t="s">
        <v>60</v>
      </c>
      <c r="P12" s="28" t="s">
        <v>61</v>
      </c>
      <c r="Q12" s="28" t="s">
        <v>62</v>
      </c>
    </row>
    <row r="13" spans="1:23" ht="18.75" x14ac:dyDescent="0.4">
      <c r="C13" s="164">
        <v>2010</v>
      </c>
      <c r="D13" s="165">
        <v>89.577390864038065</v>
      </c>
      <c r="E13" s="165"/>
      <c r="F13" s="165">
        <v>88.689732185344752</v>
      </c>
      <c r="G13" s="165">
        <v>90.41736766874763</v>
      </c>
      <c r="H13" s="165"/>
      <c r="I13" s="165">
        <v>95.860813110880301</v>
      </c>
      <c r="J13" s="165">
        <v>72.753247616199872</v>
      </c>
      <c r="K13" s="165"/>
      <c r="L13" s="165">
        <v>95.04690935640842</v>
      </c>
      <c r="M13" s="165">
        <v>86.165253047239233</v>
      </c>
      <c r="N13" s="165">
        <v>92.332054564271758</v>
      </c>
      <c r="O13" s="165">
        <v>81.5615534103936</v>
      </c>
      <c r="P13" s="165">
        <v>73.339995065383661</v>
      </c>
      <c r="Q13" s="165">
        <v>73.061508272832526</v>
      </c>
    </row>
    <row r="14" spans="1:23" ht="18.75" x14ac:dyDescent="0.4">
      <c r="C14" s="164">
        <v>2011</v>
      </c>
      <c r="D14" s="165">
        <v>91.291792909332187</v>
      </c>
      <c r="E14" s="165"/>
      <c r="F14" s="165">
        <v>90.560324128981534</v>
      </c>
      <c r="G14" s="165">
        <v>91.987487100267614</v>
      </c>
      <c r="H14" s="165"/>
      <c r="I14" s="165">
        <v>97.189703045637458</v>
      </c>
      <c r="J14" s="165">
        <v>75.50598228331485</v>
      </c>
      <c r="K14" s="165"/>
      <c r="L14" s="165">
        <v>96.264604056588638</v>
      </c>
      <c r="M14" s="165">
        <v>84.32580824158174</v>
      </c>
      <c r="N14" s="165">
        <v>92.66105263157894</v>
      </c>
      <c r="O14" s="165">
        <v>80.150978188837982</v>
      </c>
      <c r="P14" s="165">
        <v>79.820857543140605</v>
      </c>
      <c r="Q14" s="165">
        <v>80.954095612105391</v>
      </c>
    </row>
    <row r="15" spans="1:23" ht="18.75" x14ac:dyDescent="0.4">
      <c r="C15" s="164">
        <v>2012</v>
      </c>
      <c r="D15" s="165">
        <v>92.14622741910307</v>
      </c>
      <c r="E15" s="165"/>
      <c r="F15" s="165">
        <v>91.685493906152089</v>
      </c>
      <c r="G15" s="165">
        <v>92.584024963248652</v>
      </c>
      <c r="H15" s="165"/>
      <c r="I15" s="165">
        <v>97.675871695827823</v>
      </c>
      <c r="J15" s="165">
        <v>77.364340595510654</v>
      </c>
      <c r="K15" s="165"/>
      <c r="L15" s="165">
        <v>96.813760389388392</v>
      </c>
      <c r="M15" s="165">
        <v>86.160986895482083</v>
      </c>
      <c r="N15" s="165">
        <v>93.658987769159324</v>
      </c>
      <c r="O15" s="165">
        <v>83.603182217957936</v>
      </c>
      <c r="P15" s="165">
        <v>79.852319661896075</v>
      </c>
      <c r="Q15" s="165">
        <v>81.726474112274929</v>
      </c>
    </row>
    <row r="16" spans="1:23" ht="18.75" x14ac:dyDescent="0.4">
      <c r="C16" s="164">
        <v>2013</v>
      </c>
      <c r="D16" s="165">
        <v>91.561074247673915</v>
      </c>
      <c r="E16" s="165"/>
      <c r="F16" s="165">
        <v>90.92233171755008</v>
      </c>
      <c r="G16" s="165">
        <v>92.158225878113299</v>
      </c>
      <c r="H16" s="165"/>
      <c r="I16" s="165">
        <v>96.946476023092899</v>
      </c>
      <c r="J16" s="165">
        <v>77.19002396378805</v>
      </c>
      <c r="K16" s="165"/>
      <c r="L16" s="165">
        <v>96.547631997606842</v>
      </c>
      <c r="M16" s="165">
        <v>85.450536171077815</v>
      </c>
      <c r="N16" s="165">
        <v>91.676135106021931</v>
      </c>
      <c r="O16" s="165">
        <v>83.771213821718874</v>
      </c>
      <c r="P16" s="165">
        <v>79.306527123603956</v>
      </c>
      <c r="Q16" s="165">
        <v>79.090734390182504</v>
      </c>
    </row>
    <row r="17" spans="3:17" ht="18.75" x14ac:dyDescent="0.4">
      <c r="C17" s="164">
        <v>2014</v>
      </c>
      <c r="D17" s="165">
        <v>92.388379283074244</v>
      </c>
      <c r="E17" s="165"/>
      <c r="F17" s="165">
        <v>91.843601076442368</v>
      </c>
      <c r="G17" s="165">
        <v>92.906165956855475</v>
      </c>
      <c r="H17" s="165"/>
      <c r="I17" s="165">
        <v>97.214048524959068</v>
      </c>
      <c r="J17" s="165">
        <v>79.530997561230322</v>
      </c>
      <c r="K17" s="165"/>
      <c r="L17" s="165">
        <v>96.843367509320345</v>
      </c>
      <c r="M17" s="165">
        <v>87.425251341927975</v>
      </c>
      <c r="N17" s="165">
        <v>93.886011115023422</v>
      </c>
      <c r="O17" s="165">
        <v>82.137277396155611</v>
      </c>
      <c r="P17" s="165">
        <v>78.962378513219022</v>
      </c>
      <c r="Q17" s="165">
        <v>85.807096584294811</v>
      </c>
    </row>
    <row r="18" spans="3:17" ht="18.75" x14ac:dyDescent="0.4">
      <c r="C18" s="164">
        <v>2015</v>
      </c>
      <c r="D18" s="165">
        <v>92.240934164599267</v>
      </c>
      <c r="E18" s="165"/>
      <c r="F18" s="165">
        <v>91.682619053596198</v>
      </c>
      <c r="G18" s="165">
        <v>92.76928113180881</v>
      </c>
      <c r="H18" s="165"/>
      <c r="I18" s="165">
        <v>96.792622619234365</v>
      </c>
      <c r="J18" s="165">
        <v>80.138130559418158</v>
      </c>
      <c r="K18" s="165"/>
      <c r="L18" s="165">
        <v>96.714383112870152</v>
      </c>
      <c r="M18" s="165">
        <v>88.654705456334298</v>
      </c>
      <c r="N18" s="165">
        <v>92.952049806514253</v>
      </c>
      <c r="O18" s="165">
        <v>85.385800706091501</v>
      </c>
      <c r="P18" s="165">
        <v>79.961648647215952</v>
      </c>
      <c r="Q18" s="165">
        <v>80.396584977118096</v>
      </c>
    </row>
    <row r="19" spans="3:17" ht="18.75" x14ac:dyDescent="0.4">
      <c r="C19" s="164">
        <v>2016</v>
      </c>
      <c r="D19" s="165">
        <v>92.245614408226814</v>
      </c>
      <c r="E19" s="165"/>
      <c r="F19" s="165">
        <v>91.579844543846278</v>
      </c>
      <c r="G19" s="165">
        <v>92.87362726236185</v>
      </c>
      <c r="H19" s="165"/>
      <c r="I19" s="165">
        <v>96.634173562840402</v>
      </c>
      <c r="J19" s="165">
        <v>80.596457190176025</v>
      </c>
      <c r="K19" s="165"/>
      <c r="L19" s="165">
        <v>96.055146396292699</v>
      </c>
      <c r="M19" s="165">
        <v>89.854054664923069</v>
      </c>
      <c r="N19" s="165">
        <v>92.97504690563359</v>
      </c>
      <c r="O19" s="165">
        <v>86.928265785739626</v>
      </c>
      <c r="P19" s="165">
        <v>79.30587629758179</v>
      </c>
      <c r="Q19" s="165">
        <v>83.833851168950233</v>
      </c>
    </row>
    <row r="20" spans="3:17" ht="18.75" x14ac:dyDescent="0.4">
      <c r="C20" s="164">
        <v>2017</v>
      </c>
      <c r="D20" s="165">
        <v>90.992257464572347</v>
      </c>
      <c r="E20" s="165"/>
      <c r="F20" s="165">
        <v>90.361509388785336</v>
      </c>
      <c r="G20" s="165">
        <v>91.589389326675757</v>
      </c>
      <c r="H20" s="165"/>
      <c r="I20" s="165">
        <v>95.192270751961956</v>
      </c>
      <c r="J20" s="165">
        <v>79.855089581656983</v>
      </c>
      <c r="K20" s="165"/>
      <c r="L20" s="165">
        <v>94.510551899712937</v>
      </c>
      <c r="M20" s="165">
        <v>90.715749348559669</v>
      </c>
      <c r="N20" s="165">
        <v>87.106191629194058</v>
      </c>
      <c r="O20" s="165">
        <v>85.516210079552266</v>
      </c>
      <c r="P20" s="165">
        <v>79.219249916129485</v>
      </c>
      <c r="Q20" s="165">
        <v>85.079721805809641</v>
      </c>
    </row>
    <row r="21" spans="3:17" ht="18.75" x14ac:dyDescent="0.4">
      <c r="C21" s="164">
        <v>2018</v>
      </c>
      <c r="D21" s="165">
        <v>92.872056187524649</v>
      </c>
      <c r="E21" s="165"/>
      <c r="F21" s="165">
        <v>92.335390502318475</v>
      </c>
      <c r="G21" s="165">
        <v>93.379567521746395</v>
      </c>
      <c r="H21" s="165"/>
      <c r="I21" s="165">
        <v>96.760864547948771</v>
      </c>
      <c r="J21" s="165">
        <v>82.586005310566136</v>
      </c>
      <c r="K21" s="165"/>
      <c r="L21" s="165">
        <v>96.349024280429177</v>
      </c>
      <c r="M21" s="165">
        <v>90.587156873754608</v>
      </c>
      <c r="N21" s="165">
        <v>93.030482491967547</v>
      </c>
      <c r="O21" s="165">
        <v>85.934762318033691</v>
      </c>
      <c r="P21" s="165">
        <v>81.73980251322574</v>
      </c>
      <c r="Q21" s="165">
        <v>86.968610503738716</v>
      </c>
    </row>
    <row r="22" spans="3:17" ht="18.75" x14ac:dyDescent="0.4">
      <c r="C22" s="164">
        <v>2019</v>
      </c>
      <c r="D22" s="165">
        <v>93.091528599352131</v>
      </c>
      <c r="E22" s="165"/>
      <c r="F22" s="165">
        <v>92.703164166980329</v>
      </c>
      <c r="G22" s="165">
        <v>93.456770095674429</v>
      </c>
      <c r="H22" s="165"/>
      <c r="I22" s="165">
        <v>97.070792828895847</v>
      </c>
      <c r="J22" s="165">
        <v>82.581270564122647</v>
      </c>
      <c r="K22" s="165"/>
      <c r="L22" s="165">
        <v>96.240103036573572</v>
      </c>
      <c r="M22" s="165">
        <v>93.893923254653146</v>
      </c>
      <c r="N22" s="165">
        <v>92.548648639582439</v>
      </c>
      <c r="O22" s="165">
        <v>87.148380650346454</v>
      </c>
      <c r="P22" s="165">
        <v>82.237269962912833</v>
      </c>
      <c r="Q22" s="165">
        <v>86.12960732353649</v>
      </c>
    </row>
    <row r="23" spans="3:17" ht="18.75" x14ac:dyDescent="0.4">
      <c r="C23" s="164">
        <v>2020</v>
      </c>
      <c r="D23" s="165">
        <v>93.556722662359959</v>
      </c>
      <c r="E23" s="165"/>
      <c r="F23" s="165">
        <v>93.305596588033509</v>
      </c>
      <c r="G23" s="165">
        <v>93.793351881814615</v>
      </c>
      <c r="H23" s="165"/>
      <c r="I23" s="165">
        <v>97.059599504708771</v>
      </c>
      <c r="J23" s="165">
        <v>84.311514102933799</v>
      </c>
      <c r="K23" s="165"/>
      <c r="L23" s="165">
        <v>96.132768406241595</v>
      </c>
      <c r="M23" s="165">
        <v>92.982772456245485</v>
      </c>
      <c r="N23" s="165">
        <v>93.339586932180381</v>
      </c>
      <c r="O23" s="165">
        <v>90.744639734480032</v>
      </c>
      <c r="P23" s="165">
        <v>84.834886389318683</v>
      </c>
      <c r="Q23" s="165">
        <v>86.919054422590747</v>
      </c>
    </row>
    <row r="24" spans="3:17" ht="18.75" x14ac:dyDescent="0.4">
      <c r="C24" s="164">
        <v>2021</v>
      </c>
      <c r="D24" s="165">
        <v>92.724347248612489</v>
      </c>
      <c r="E24" s="165"/>
      <c r="F24" s="165">
        <v>92.255337524587404</v>
      </c>
      <c r="G24" s="165">
        <v>93.158636031663505</v>
      </c>
      <c r="H24" s="165"/>
      <c r="I24" s="165">
        <v>96.534034913179227</v>
      </c>
      <c r="J24" s="165">
        <v>82.683584910177274</v>
      </c>
      <c r="K24" s="165"/>
      <c r="L24" s="165">
        <v>95.929525343225919</v>
      </c>
      <c r="M24" s="165">
        <v>92.313432275221047</v>
      </c>
      <c r="N24" s="165">
        <v>88.135091242241899</v>
      </c>
      <c r="O24" s="165">
        <v>87.826805077701536</v>
      </c>
      <c r="P24" s="165">
        <v>81.967498623916342</v>
      </c>
      <c r="Q24" s="165">
        <v>88.466258525896137</v>
      </c>
    </row>
    <row r="25" spans="3:17" ht="18.75" x14ac:dyDescent="0.4">
      <c r="C25" s="164">
        <v>2022</v>
      </c>
      <c r="D25" s="165">
        <v>93.526665490229178</v>
      </c>
      <c r="E25" s="165"/>
      <c r="F25" s="165">
        <v>92.992512195877069</v>
      </c>
      <c r="G25" s="165">
        <v>94.013943086940913</v>
      </c>
      <c r="H25" s="165"/>
      <c r="I25" s="165">
        <v>97.154101641874618</v>
      </c>
      <c r="J25" s="165">
        <v>83.988109120402115</v>
      </c>
      <c r="K25" s="165"/>
      <c r="L25" s="165">
        <v>96.719641699533156</v>
      </c>
      <c r="M25" s="165">
        <v>86.579146879638074</v>
      </c>
      <c r="N25" s="165">
        <v>89.767258433234687</v>
      </c>
      <c r="O25" s="165">
        <v>90.386674662154931</v>
      </c>
      <c r="P25" s="165">
        <v>84.001379154756918</v>
      </c>
      <c r="Q25" s="165">
        <v>92.072729769315259</v>
      </c>
    </row>
    <row r="26" spans="3:17" ht="18.75" x14ac:dyDescent="0.4">
      <c r="C26" s="2277">
        <v>2023</v>
      </c>
      <c r="D26" s="165">
        <v>94.197443372135254</v>
      </c>
      <c r="E26" s="165"/>
      <c r="F26" s="165">
        <v>93.856672664660564</v>
      </c>
      <c r="G26" s="165">
        <v>94.504667290658546</v>
      </c>
      <c r="H26" s="165"/>
      <c r="I26" s="165">
        <v>97.093123199769053</v>
      </c>
      <c r="J26" s="165">
        <v>86.596517720714971</v>
      </c>
      <c r="K26" s="165"/>
      <c r="L26" s="165">
        <v>96.345364871069506</v>
      </c>
      <c r="M26" s="165">
        <v>89.224494375992521</v>
      </c>
      <c r="N26" s="165">
        <v>93.688379140083569</v>
      </c>
      <c r="O26" s="165">
        <v>90.424203037897811</v>
      </c>
      <c r="P26" s="165">
        <v>86.335474360324312</v>
      </c>
      <c r="Q26" s="165">
        <v>95.071113070231462</v>
      </c>
    </row>
    <row r="27" spans="3:17" ht="18.75" x14ac:dyDescent="0.4">
      <c r="C27" s="166">
        <v>2024</v>
      </c>
      <c r="D27" s="167">
        <v>93.16481617174189</v>
      </c>
      <c r="E27" s="167"/>
      <c r="F27" s="167">
        <v>92.736722023006806</v>
      </c>
      <c r="G27" s="167">
        <v>93.554854723758666</v>
      </c>
      <c r="H27" s="167"/>
      <c r="I27" s="167">
        <v>97.130372810070313</v>
      </c>
      <c r="J27" s="167">
        <v>82.775817595829267</v>
      </c>
      <c r="K27" s="167"/>
      <c r="L27" s="167">
        <v>96.870651151839084</v>
      </c>
      <c r="M27" s="167">
        <v>87.885587711272692</v>
      </c>
      <c r="N27" s="167">
        <v>93.144943592304202</v>
      </c>
      <c r="O27" s="167">
        <v>79.972844534962661</v>
      </c>
      <c r="P27" s="167">
        <v>88.349650203830549</v>
      </c>
      <c r="Q27" s="167">
        <v>87.365378401228796</v>
      </c>
    </row>
    <row r="28" spans="3:17" ht="21.6" customHeight="1" x14ac:dyDescent="0.4">
      <c r="C28" s="2277" t="s">
        <v>8107</v>
      </c>
      <c r="D28" s="165"/>
      <c r="E28" s="165"/>
      <c r="F28" s="165"/>
      <c r="G28" s="165"/>
      <c r="H28" s="165"/>
      <c r="I28" s="165"/>
      <c r="J28" s="165"/>
      <c r="K28" s="165"/>
      <c r="L28" s="165"/>
      <c r="M28" s="165"/>
      <c r="N28" s="165"/>
      <c r="O28" s="165"/>
      <c r="P28" s="165"/>
      <c r="Q28" s="165"/>
    </row>
    <row r="31" spans="3:17" ht="19.5" x14ac:dyDescent="0.25">
      <c r="C31" s="105" t="s">
        <v>8112</v>
      </c>
    </row>
    <row r="32" spans="3:17" ht="18.75" x14ac:dyDescent="0.25">
      <c r="F32" s="168"/>
    </row>
    <row r="52" spans="3:3" ht="18.75" x14ac:dyDescent="0.25">
      <c r="C52" s="36" t="s">
        <v>8113</v>
      </c>
    </row>
  </sheetData>
  <mergeCells count="14">
    <mergeCell ref="A5:B5"/>
    <mergeCell ref="C5:W5"/>
    <mergeCell ref="C1:D1"/>
    <mergeCell ref="A3:B3"/>
    <mergeCell ref="C3:W3"/>
    <mergeCell ref="A4:B4"/>
    <mergeCell ref="C4:W4"/>
    <mergeCell ref="A6:B6"/>
    <mergeCell ref="C6:W6"/>
    <mergeCell ref="C11:C12"/>
    <mergeCell ref="D11:D12"/>
    <mergeCell ref="F11:G11"/>
    <mergeCell ref="I11:J11"/>
    <mergeCell ref="L11:Q11"/>
  </mergeCells>
  <hyperlinks>
    <hyperlink ref="A1" location="'ODS 1.'!A1" display="REGRESAR" xr:uid="{03DCB04D-F821-4409-B4DC-491EA87F955D}"/>
    <hyperlink ref="C1" location="'Metadato 1.4.1'!A1" display="VER METADATO" xr:uid="{2B16B3A6-3802-4841-87E2-A3551C900D0B}"/>
  </hyperlinks>
  <pageMargins left="0.7" right="0.7" top="0.75" bottom="0.75" header="0.3" footer="0.3"/>
  <pageSetup orientation="portrait" horizontalDpi="4294967294" verticalDpi="4294967294"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9CB2-14D6-4709-894C-45AC006AF98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2.42578125" style="5" customWidth="1"/>
    <col min="2" max="2" width="26.42578125" style="5" customWidth="1"/>
    <col min="3" max="3" width="24" style="5" customWidth="1"/>
    <col min="4" max="4" width="78.4257812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604" t="s">
        <v>75</v>
      </c>
      <c r="C3" s="2604"/>
      <c r="D3" s="2604"/>
      <c r="F3" s="91" t="s">
        <v>317</v>
      </c>
    </row>
    <row r="4" spans="1:6" ht="18" customHeight="1" x14ac:dyDescent="0.4">
      <c r="A4" s="92"/>
      <c r="B4" s="2606" t="s">
        <v>234</v>
      </c>
      <c r="C4" s="2606"/>
      <c r="D4" s="359" t="s">
        <v>832</v>
      </c>
    </row>
    <row r="5" spans="1:6" ht="133.5" customHeight="1" x14ac:dyDescent="0.4">
      <c r="B5" s="2445" t="s">
        <v>79</v>
      </c>
      <c r="C5" s="2445"/>
      <c r="D5" s="49" t="s">
        <v>718</v>
      </c>
    </row>
    <row r="6" spans="1:6" x14ac:dyDescent="0.4">
      <c r="B6" s="2445" t="s">
        <v>80</v>
      </c>
      <c r="C6" s="2445"/>
      <c r="D6" s="50" t="s">
        <v>721</v>
      </c>
    </row>
    <row r="7" spans="1:6" ht="37.5" x14ac:dyDescent="0.4">
      <c r="B7" s="2446" t="s">
        <v>81</v>
      </c>
      <c r="C7" s="2446"/>
      <c r="D7" s="93" t="s">
        <v>722</v>
      </c>
    </row>
    <row r="8" spans="1:6" x14ac:dyDescent="0.4">
      <c r="B8" s="2446" t="s">
        <v>82</v>
      </c>
      <c r="C8" s="2446"/>
      <c r="D8" s="94" t="s">
        <v>1569</v>
      </c>
    </row>
    <row r="10" spans="1:6" ht="23.25" customHeight="1" x14ac:dyDescent="0.4">
      <c r="B10" s="2604" t="s">
        <v>85</v>
      </c>
      <c r="C10" s="2604"/>
      <c r="D10" s="2604"/>
    </row>
    <row r="11" spans="1:6" x14ac:dyDescent="0.4">
      <c r="B11" s="2633" t="s">
        <v>86</v>
      </c>
      <c r="C11" s="2634"/>
      <c r="D11" s="359"/>
    </row>
    <row r="12" spans="1:6" x14ac:dyDescent="0.4">
      <c r="B12" s="2455" t="s">
        <v>88</v>
      </c>
      <c r="C12" s="2455"/>
      <c r="D12" s="184"/>
    </row>
    <row r="13" spans="1:6" x14ac:dyDescent="0.4">
      <c r="B13" s="2445" t="s">
        <v>90</v>
      </c>
      <c r="C13" s="2445"/>
      <c r="D13" s="54"/>
    </row>
    <row r="14" spans="1:6" x14ac:dyDescent="0.4">
      <c r="B14" s="2445" t="s">
        <v>91</v>
      </c>
      <c r="C14" s="2456"/>
      <c r="D14" s="54"/>
    </row>
    <row r="15" spans="1:6" x14ac:dyDescent="0.4">
      <c r="B15" s="2445" t="s">
        <v>93</v>
      </c>
      <c r="C15" s="2445"/>
      <c r="D15" s="49"/>
    </row>
    <row r="16" spans="1: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4" t="s">
        <v>109</v>
      </c>
      <c r="C23" s="2444"/>
      <c r="D23" s="49"/>
    </row>
    <row r="24" spans="2:4" x14ac:dyDescent="0.4">
      <c r="B24" s="2444" t="s">
        <v>111</v>
      </c>
      <c r="C24" s="2444"/>
      <c r="D24" s="699" t="s">
        <v>321</v>
      </c>
    </row>
    <row r="25" spans="2:4" x14ac:dyDescent="0.4">
      <c r="B25" s="2445" t="s">
        <v>113</v>
      </c>
      <c r="C25" s="2445"/>
      <c r="D25" s="56"/>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28"/>
      <c r="C30" s="628"/>
      <c r="D30" s="629"/>
    </row>
    <row r="31" spans="2:4" ht="23.25" customHeight="1" x14ac:dyDescent="0.4">
      <c r="B31" s="2604" t="s">
        <v>121</v>
      </c>
      <c r="C31" s="2604"/>
      <c r="D31" s="2604"/>
    </row>
    <row r="32" spans="2:4" x14ac:dyDescent="0.4">
      <c r="B32" s="2631" t="s">
        <v>122</v>
      </c>
      <c r="C32" s="2632"/>
      <c r="D32" s="700"/>
    </row>
    <row r="33" spans="2:4" x14ac:dyDescent="0.4">
      <c r="B33" s="2442" t="s">
        <v>124</v>
      </c>
      <c r="C33" s="2443"/>
      <c r="D33" s="55"/>
    </row>
    <row r="34" spans="2:4" x14ac:dyDescent="0.4">
      <c r="B34" s="2442" t="s">
        <v>126</v>
      </c>
      <c r="C34" s="2443"/>
      <c r="D34" s="185"/>
    </row>
    <row r="35" spans="2:4" x14ac:dyDescent="0.4">
      <c r="B35" s="2442" t="s">
        <v>128</v>
      </c>
      <c r="C35" s="2443"/>
      <c r="D35" s="186"/>
    </row>
    <row r="36" spans="2:4" x14ac:dyDescent="0.4">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B736E5D-0DC6-453D-98CD-1ABA5ECB73A5}"/>
    <dataValidation type="list" allowBlank="1" showInputMessage="1" showErrorMessage="1" sqref="D4" xr:uid="{62DDD786-9EAD-49EE-8383-18665DE40895}">
      <formula1>ODS</formula1>
    </dataValidation>
    <dataValidation type="list" allowBlank="1" showInputMessage="1" showErrorMessage="1" sqref="D5" xr:uid="{F18EAAED-BACC-4B46-BFCB-B267ADF36AC4}">
      <formula1>Metas_ODS</formula1>
    </dataValidation>
    <dataValidation type="list" allowBlank="1" showInputMessage="1" showErrorMessage="1" sqref="D6" xr:uid="{3C21148F-67A2-4EFC-82E6-8C16A92497B4}">
      <formula1>Numero_indicador</formula1>
    </dataValidation>
    <dataValidation type="list" allowBlank="1" showInputMessage="1" showErrorMessage="1" sqref="D7" xr:uid="{7EFA425E-ADF8-4AE5-85C5-175E00F62058}">
      <formula1>Nombre_indicador_ODS</formula1>
    </dataValidation>
    <dataValidation type="list" allowBlank="1" showInputMessage="1" showErrorMessage="1" sqref="D14" xr:uid="{544941DD-6E20-4913-B18A-990ACBB7306F}">
      <formula1>Tipo_indicador</formula1>
    </dataValidation>
    <dataValidation type="list" allowBlank="1" showInputMessage="1" showErrorMessage="1" sqref="D25" xr:uid="{E2F36FB5-8310-4D13-83BF-09CEF334E3DA}">
      <formula1>Tipo_operación</formula1>
    </dataValidation>
  </dataValidations>
  <hyperlinks>
    <hyperlink ref="B1" location="'3.b.2'!A1" display="REGRESAR" xr:uid="{EB03475B-746C-4F40-8611-5BD27B476491}"/>
    <hyperlink ref="D8" r:id="rId1" xr:uid="{5020A51C-5BE9-45A3-BC50-110211FF42DF}"/>
  </hyperlinks>
  <pageMargins left="0.7" right="0.7" top="0.75" bottom="0.75" header="0.3" footer="0.3"/>
  <pageSetup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E19FE-BC63-4233-8C76-137160539D46}">
  <dimension ref="A1:O18"/>
  <sheetViews>
    <sheetView showGridLines="0" zoomScaleNormal="100" workbookViewId="0">
      <pane ySplit="1" topLeftCell="A2" activePane="bottomLeft" state="frozen"/>
      <selection pane="bottomLeft"/>
    </sheetView>
  </sheetViews>
  <sheetFormatPr baseColWidth="10" defaultColWidth="11.42578125" defaultRowHeight="12.75" x14ac:dyDescent="0.25"/>
  <cols>
    <col min="1" max="2" width="15.28515625" style="22" customWidth="1"/>
    <col min="3" max="3" width="15.5703125" style="89" customWidth="1"/>
    <col min="4" max="4" width="18.7109375" style="22" customWidth="1"/>
    <col min="5" max="8" width="11.5703125" style="22" customWidth="1"/>
    <col min="9" max="16384" width="11.42578125" style="22"/>
  </cols>
  <sheetData>
    <row r="1" spans="1:15" s="16" customFormat="1" ht="19.5" x14ac:dyDescent="0.4">
      <c r="A1" s="15" t="s">
        <v>39</v>
      </c>
      <c r="B1" s="161"/>
      <c r="C1" s="2421" t="s">
        <v>149</v>
      </c>
      <c r="D1" s="2421"/>
    </row>
    <row r="2" spans="1:15" s="16" customFormat="1" ht="19.5" x14ac:dyDescent="0.4">
      <c r="C2" s="218"/>
    </row>
    <row r="3" spans="1:15" s="16" customFormat="1" ht="19.5" x14ac:dyDescent="0.4">
      <c r="A3" s="2574" t="s">
        <v>41</v>
      </c>
      <c r="B3" s="2574"/>
      <c r="C3" s="2574" t="s">
        <v>733</v>
      </c>
      <c r="D3" s="2575"/>
      <c r="E3" s="2575"/>
      <c r="F3" s="2575"/>
      <c r="G3" s="2575"/>
      <c r="H3" s="2575"/>
      <c r="I3" s="2575"/>
      <c r="J3" s="2575"/>
      <c r="K3" s="2575"/>
      <c r="L3" s="2575"/>
      <c r="M3" s="2575"/>
      <c r="N3" s="2575"/>
      <c r="O3" s="2575"/>
    </row>
    <row r="4" spans="1:15" s="16" customFormat="1" ht="69" customHeight="1" x14ac:dyDescent="0.4">
      <c r="A4" s="2574" t="s">
        <v>42</v>
      </c>
      <c r="B4" s="2574"/>
      <c r="C4" s="2574" t="s">
        <v>1567</v>
      </c>
      <c r="D4" s="2575"/>
      <c r="E4" s="2575"/>
      <c r="F4" s="2575"/>
      <c r="G4" s="2575"/>
      <c r="H4" s="2575"/>
      <c r="I4" s="2575"/>
      <c r="J4" s="2575"/>
      <c r="K4" s="2575"/>
      <c r="L4" s="2575"/>
      <c r="M4" s="2575"/>
      <c r="N4" s="2575"/>
      <c r="O4" s="2575"/>
    </row>
    <row r="5" spans="1:15" s="16" customFormat="1" ht="19.5" x14ac:dyDescent="0.4">
      <c r="A5" s="2574" t="s">
        <v>43</v>
      </c>
      <c r="B5" s="2574"/>
      <c r="C5" s="2574" t="s">
        <v>724</v>
      </c>
      <c r="D5" s="2575"/>
      <c r="E5" s="2575"/>
      <c r="F5" s="2575"/>
      <c r="G5" s="2575"/>
      <c r="H5" s="2575"/>
      <c r="I5" s="2575"/>
      <c r="J5" s="2575"/>
      <c r="K5" s="2575"/>
      <c r="L5" s="2575"/>
      <c r="M5" s="2575"/>
      <c r="N5" s="2575"/>
      <c r="O5" s="2575"/>
    </row>
    <row r="6" spans="1:15" s="16" customFormat="1" ht="19.5" x14ac:dyDescent="0.4">
      <c r="A6" s="2574" t="s">
        <v>132</v>
      </c>
      <c r="B6" s="2575"/>
      <c r="C6" s="2574" t="s">
        <v>1570</v>
      </c>
      <c r="D6" s="2575"/>
      <c r="E6" s="2575"/>
      <c r="F6" s="2575"/>
      <c r="G6" s="2575"/>
      <c r="H6" s="2575"/>
      <c r="I6" s="2575"/>
      <c r="J6" s="2575"/>
      <c r="K6" s="2575"/>
      <c r="L6" s="2575"/>
      <c r="M6" s="2575"/>
      <c r="N6" s="2575"/>
      <c r="O6" s="2575"/>
    </row>
    <row r="7" spans="1:15" s="16" customFormat="1" ht="19.5" x14ac:dyDescent="0.4">
      <c r="A7" s="217"/>
      <c r="C7" s="218"/>
    </row>
    <row r="8" spans="1:15" s="16" customFormat="1" ht="11.25" customHeight="1" x14ac:dyDescent="0.4">
      <c r="A8" s="217"/>
      <c r="C8" s="218"/>
    </row>
    <row r="9" spans="1:15" s="16" customFormat="1" ht="19.5" x14ac:dyDescent="0.4">
      <c r="A9" s="217"/>
      <c r="C9" s="138" t="s">
        <v>1570</v>
      </c>
      <c r="D9" s="138"/>
    </row>
    <row r="10" spans="1:15" ht="16.5" x14ac:dyDescent="0.25">
      <c r="A10" s="23"/>
      <c r="C10" s="139"/>
      <c r="D10" s="139"/>
    </row>
    <row r="11" spans="1:15" ht="18.75" x14ac:dyDescent="0.4">
      <c r="C11" s="632" t="s">
        <v>46</v>
      </c>
      <c r="D11" s="701" t="s">
        <v>98</v>
      </c>
    </row>
    <row r="12" spans="1:15" ht="18.75" x14ac:dyDescent="0.25">
      <c r="C12" s="580">
        <v>2020</v>
      </c>
      <c r="D12" s="6">
        <v>97.67</v>
      </c>
    </row>
    <row r="13" spans="1:15" ht="18.75" x14ac:dyDescent="0.4">
      <c r="C13" s="580">
        <v>2021</v>
      </c>
      <c r="D13" s="4">
        <v>100</v>
      </c>
    </row>
    <row r="14" spans="1:15" ht="18.75" x14ac:dyDescent="0.4">
      <c r="C14" s="580">
        <v>2022</v>
      </c>
      <c r="D14" s="4">
        <v>100</v>
      </c>
    </row>
    <row r="15" spans="1:15" ht="18.75" x14ac:dyDescent="0.4">
      <c r="C15" s="702">
        <v>2023</v>
      </c>
      <c r="D15" s="82">
        <v>100</v>
      </c>
    </row>
    <row r="16" spans="1:15" ht="18.75" x14ac:dyDescent="0.25">
      <c r="C16" s="36" t="s">
        <v>1571</v>
      </c>
      <c r="D16" s="36"/>
    </row>
    <row r="17" spans="3:4" ht="18.75" x14ac:dyDescent="0.25">
      <c r="C17" s="36" t="s">
        <v>1572</v>
      </c>
      <c r="D17" s="36"/>
    </row>
    <row r="18" spans="3:4" ht="21" customHeight="1" x14ac:dyDescent="0.25">
      <c r="C18" s="36" t="s">
        <v>1573</v>
      </c>
      <c r="D18" s="36"/>
    </row>
  </sheetData>
  <mergeCells count="9">
    <mergeCell ref="A6:B6"/>
    <mergeCell ref="C6:O6"/>
    <mergeCell ref="C1:D1"/>
    <mergeCell ref="A3:B3"/>
    <mergeCell ref="C3:O3"/>
    <mergeCell ref="A4:B4"/>
    <mergeCell ref="C4:O4"/>
    <mergeCell ref="A5:B5"/>
    <mergeCell ref="C5:O5"/>
  </mergeCells>
  <hyperlinks>
    <hyperlink ref="A1" location="'ODS 3.'!A1" display="REGRESAR" xr:uid="{05DCBB7E-EF5F-42DC-81D8-936ACCEC55F5}"/>
    <hyperlink ref="C1" location="'Metadato 3.b.3'!A1" display="VER METADATO" xr:uid="{C2F50659-F01F-4884-82FB-78C31D58AA64}"/>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A133-2B28-4B4A-B442-A39F0A261461}">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604" t="s">
        <v>75</v>
      </c>
      <c r="C3" s="2604"/>
      <c r="D3" s="2604"/>
      <c r="F3" s="91" t="s">
        <v>76</v>
      </c>
    </row>
    <row r="4" spans="1:6" x14ac:dyDescent="0.4">
      <c r="A4" s="92"/>
      <c r="B4" s="2606" t="s">
        <v>234</v>
      </c>
      <c r="C4" s="2606"/>
      <c r="D4" s="359" t="s">
        <v>832</v>
      </c>
    </row>
    <row r="5" spans="1:6" ht="131.25" x14ac:dyDescent="0.4">
      <c r="B5" s="2445" t="s">
        <v>79</v>
      </c>
      <c r="C5" s="2445"/>
      <c r="D5" s="49" t="s">
        <v>718</v>
      </c>
    </row>
    <row r="6" spans="1:6" x14ac:dyDescent="0.4">
      <c r="B6" s="2445" t="s">
        <v>80</v>
      </c>
      <c r="C6" s="2445"/>
      <c r="D6" s="50" t="s">
        <v>723</v>
      </c>
    </row>
    <row r="7" spans="1:6" ht="32.25" customHeight="1" x14ac:dyDescent="0.4">
      <c r="B7" s="2446" t="s">
        <v>81</v>
      </c>
      <c r="C7" s="2446"/>
      <c r="D7" s="93" t="s">
        <v>724</v>
      </c>
    </row>
    <row r="8" spans="1:6" x14ac:dyDescent="0.4">
      <c r="B8" s="2446" t="s">
        <v>82</v>
      </c>
      <c r="C8" s="2446"/>
      <c r="D8" s="94" t="s">
        <v>1574</v>
      </c>
    </row>
    <row r="10" spans="1:6" ht="23.25" customHeight="1" x14ac:dyDescent="0.4">
      <c r="B10" s="2604" t="s">
        <v>85</v>
      </c>
      <c r="C10" s="2604"/>
      <c r="D10" s="2604"/>
    </row>
    <row r="11" spans="1:6" x14ac:dyDescent="0.4">
      <c r="B11" s="2633" t="s">
        <v>86</v>
      </c>
      <c r="C11" s="2634"/>
      <c r="D11" s="359"/>
    </row>
    <row r="12" spans="1:6" ht="15" customHeight="1" x14ac:dyDescent="0.4">
      <c r="B12" s="2455" t="s">
        <v>88</v>
      </c>
      <c r="C12" s="2455"/>
      <c r="D12" s="184" t="s">
        <v>1575</v>
      </c>
    </row>
    <row r="13" spans="1:6" x14ac:dyDescent="0.4">
      <c r="B13" s="2445" t="s">
        <v>90</v>
      </c>
      <c r="C13" s="2445"/>
      <c r="D13" s="54" t="s">
        <v>723</v>
      </c>
    </row>
    <row r="14" spans="1:6" x14ac:dyDescent="0.4">
      <c r="B14" s="2445" t="s">
        <v>91</v>
      </c>
      <c r="C14" s="2456"/>
      <c r="D14" s="54" t="s">
        <v>1576</v>
      </c>
    </row>
    <row r="15" spans="1:6" ht="93.75" x14ac:dyDescent="0.4">
      <c r="B15" s="2445" t="s">
        <v>93</v>
      </c>
      <c r="C15" s="2445"/>
      <c r="D15" s="49" t="s">
        <v>1577</v>
      </c>
    </row>
    <row r="16" spans="1:6" ht="56.25" x14ac:dyDescent="0.4">
      <c r="B16" s="2445" t="s">
        <v>95</v>
      </c>
      <c r="C16" s="2445"/>
      <c r="D16" s="49" t="s">
        <v>1578</v>
      </c>
    </row>
    <row r="17" spans="2:4" x14ac:dyDescent="0.4">
      <c r="B17" s="2445" t="s">
        <v>97</v>
      </c>
      <c r="C17" s="2445"/>
      <c r="D17" s="55" t="s">
        <v>98</v>
      </c>
    </row>
    <row r="18" spans="2:4" ht="37.5" x14ac:dyDescent="0.4">
      <c r="B18" s="2446" t="s">
        <v>99</v>
      </c>
      <c r="C18" s="2446"/>
      <c r="D18" s="49" t="s">
        <v>1579</v>
      </c>
    </row>
    <row r="19" spans="2:4" ht="15" customHeight="1" x14ac:dyDescent="0.4">
      <c r="B19" s="2457" t="s">
        <v>100</v>
      </c>
      <c r="C19" s="2458"/>
      <c r="D19" s="55" t="s">
        <v>1580</v>
      </c>
    </row>
    <row r="20" spans="2:4" x14ac:dyDescent="0.4">
      <c r="B20" s="2445" t="s">
        <v>102</v>
      </c>
      <c r="C20" s="2445"/>
      <c r="D20" s="49"/>
    </row>
    <row r="21" spans="2:4" x14ac:dyDescent="0.4">
      <c r="B21" s="2451" t="s">
        <v>104</v>
      </c>
      <c r="C21" s="95" t="s">
        <v>105</v>
      </c>
      <c r="D21" s="49" t="s">
        <v>140</v>
      </c>
    </row>
    <row r="22" spans="2:4" x14ac:dyDescent="0.4">
      <c r="B22" s="2452"/>
      <c r="C22" s="96" t="s">
        <v>107</v>
      </c>
      <c r="D22" s="55" t="s">
        <v>1581</v>
      </c>
    </row>
    <row r="23" spans="2:4" x14ac:dyDescent="0.4">
      <c r="B23" s="2444" t="s">
        <v>109</v>
      </c>
      <c r="C23" s="2444"/>
      <c r="D23" s="49" t="s">
        <v>1582</v>
      </c>
    </row>
    <row r="24" spans="2:4" ht="37.5" x14ac:dyDescent="0.4">
      <c r="B24" s="2444" t="s">
        <v>111</v>
      </c>
      <c r="C24" s="2444"/>
      <c r="D24" s="49" t="s">
        <v>1583</v>
      </c>
    </row>
    <row r="25" spans="2:4" x14ac:dyDescent="0.4">
      <c r="B25" s="2445" t="s">
        <v>113</v>
      </c>
      <c r="C25" s="2445"/>
      <c r="D25" s="56" t="s">
        <v>220</v>
      </c>
    </row>
    <row r="26" spans="2:4" ht="15" customHeight="1" x14ac:dyDescent="0.4">
      <c r="B26" s="2446" t="s">
        <v>115</v>
      </c>
      <c r="C26" s="2446"/>
      <c r="D26" s="49" t="s">
        <v>1584</v>
      </c>
    </row>
    <row r="27" spans="2:4" x14ac:dyDescent="0.4">
      <c r="B27" s="2447" t="s">
        <v>117</v>
      </c>
      <c r="C27" s="2448"/>
      <c r="D27" s="49" t="s">
        <v>1585</v>
      </c>
    </row>
    <row r="28" spans="2:4" ht="56.25" x14ac:dyDescent="0.4">
      <c r="B28" s="97" t="s">
        <v>118</v>
      </c>
      <c r="C28" s="98"/>
      <c r="D28" s="49" t="s">
        <v>1586</v>
      </c>
    </row>
    <row r="29" spans="2:4" x14ac:dyDescent="0.4">
      <c r="B29" s="2449" t="s">
        <v>120</v>
      </c>
      <c r="C29" s="2450"/>
      <c r="D29" s="62" t="s">
        <v>1587</v>
      </c>
    </row>
    <row r="30" spans="2:4" x14ac:dyDescent="0.4">
      <c r="B30" s="703"/>
      <c r="C30" s="703"/>
      <c r="D30" s="704"/>
    </row>
    <row r="31" spans="2:4" ht="23.25" customHeight="1" x14ac:dyDescent="0.4">
      <c r="B31" s="628"/>
      <c r="C31" s="628"/>
      <c r="D31" s="629"/>
    </row>
    <row r="32" spans="2:4" ht="19.5" x14ac:dyDescent="0.4">
      <c r="B32" s="2604" t="s">
        <v>121</v>
      </c>
      <c r="C32" s="2604"/>
      <c r="D32" s="2604"/>
    </row>
    <row r="33" spans="2:4" x14ac:dyDescent="0.4">
      <c r="B33" s="2631" t="s">
        <v>122</v>
      </c>
      <c r="C33" s="2632"/>
      <c r="D33" s="700" t="s">
        <v>1588</v>
      </c>
    </row>
    <row r="34" spans="2:4" x14ac:dyDescent="0.4">
      <c r="B34" s="2442" t="s">
        <v>124</v>
      </c>
      <c r="C34" s="2443"/>
      <c r="D34" s="55" t="s">
        <v>1589</v>
      </c>
    </row>
    <row r="35" spans="2:4" x14ac:dyDescent="0.4">
      <c r="B35" s="2442" t="s">
        <v>126</v>
      </c>
      <c r="C35" s="2443"/>
      <c r="D35" s="185" t="s">
        <v>1590</v>
      </c>
    </row>
    <row r="36" spans="2:4" x14ac:dyDescent="0.4">
      <c r="B36" s="2442" t="s">
        <v>128</v>
      </c>
      <c r="C36" s="2443"/>
      <c r="D36" s="186" t="s">
        <v>1591</v>
      </c>
    </row>
    <row r="37" spans="2:4" x14ac:dyDescent="0.4">
      <c r="B37" s="2442" t="s">
        <v>130</v>
      </c>
      <c r="C37" s="2443"/>
      <c r="D37" s="364" t="s">
        <v>1592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2:D32"/>
    <mergeCell ref="B33:C33"/>
    <mergeCell ref="B34:C34"/>
    <mergeCell ref="B35:C35"/>
    <mergeCell ref="B36:C36"/>
  </mergeCells>
  <dataValidations count="7">
    <dataValidation allowBlank="1" showDropDown="1" showInputMessage="1" showErrorMessage="1" sqref="D13" xr:uid="{9F835DA5-6281-4C2E-8A41-2E8726DCD4B1}"/>
    <dataValidation type="list" allowBlank="1" showInputMessage="1" showErrorMessage="1" sqref="D4" xr:uid="{1901BF3F-90C0-468B-B0F2-B055D80368D0}">
      <formula1>ODS</formula1>
    </dataValidation>
    <dataValidation type="list" allowBlank="1" showInputMessage="1" showErrorMessage="1" sqref="D5" xr:uid="{45AD551F-34F3-4BBE-9B6F-1AD505442A56}">
      <formula1>Metas_ODS</formula1>
    </dataValidation>
    <dataValidation type="list" allowBlank="1" showInputMessage="1" showErrorMessage="1" sqref="D6" xr:uid="{7065D73F-F140-42A7-9C96-3358AC977B5B}">
      <formula1>Numero_indicador</formula1>
    </dataValidation>
    <dataValidation type="list" allowBlank="1" showInputMessage="1" showErrorMessage="1" sqref="D7" xr:uid="{C93700F1-CEDE-4C1B-B4D5-2C00CD0E5D71}">
      <formula1>Nombre_indicador_ODS</formula1>
    </dataValidation>
    <dataValidation type="list" allowBlank="1" showInputMessage="1" showErrorMessage="1" sqref="D14" xr:uid="{B1C0D5A1-7A58-43F9-A6D0-C42DB2DBA380}">
      <formula1>Tipo_indicador</formula1>
    </dataValidation>
    <dataValidation type="list" allowBlank="1" showInputMessage="1" showErrorMessage="1" sqref="D25" xr:uid="{69377A06-F4E6-4A03-B693-67BA89AFD9C1}">
      <formula1>Tipo_operación</formula1>
    </dataValidation>
  </dataValidations>
  <hyperlinks>
    <hyperlink ref="B1" location="'3.b.3'!A1" display="REGRESAR" xr:uid="{62D0BE8E-179F-484D-87F2-6351061472C3}"/>
    <hyperlink ref="D8" r:id="rId1" xr:uid="{C7540AE4-B7BC-471A-B90F-33C3B6A88D1F}"/>
    <hyperlink ref="D37" r:id="rId2" xr:uid="{D0A12123-0BB1-4D33-9FE0-A4BD87FF5F25}"/>
  </hyperlinks>
  <pageMargins left="0.7" right="0.7" top="0.75" bottom="0.75" header="0.3" footer="0.3"/>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090A-1BA7-40DB-B12A-C1B2995DF4EC}">
  <dimension ref="A1:BO4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5703125" style="22" customWidth="1"/>
    <col min="2" max="2" width="15.5703125" style="89" customWidth="1"/>
    <col min="3" max="3" width="9" style="22" customWidth="1"/>
    <col min="4" max="4" width="11.28515625" style="22" customWidth="1"/>
    <col min="5" max="5" width="3" style="22" customWidth="1"/>
    <col min="6" max="6" width="9" style="22" customWidth="1"/>
    <col min="7" max="7" width="14.85546875" style="22" customWidth="1"/>
    <col min="8" max="8" width="1.7109375" style="22" customWidth="1"/>
    <col min="9" max="9" width="9.5703125" style="22" customWidth="1"/>
    <col min="10" max="10" width="14.7109375" style="22" customWidth="1"/>
    <col min="11" max="11" width="1.42578125" style="22" customWidth="1"/>
    <col min="12" max="12" width="13.7109375" style="22" customWidth="1"/>
    <col min="13" max="13" width="15.140625" style="22" customWidth="1"/>
    <col min="14" max="29" width="13.7109375" style="22" customWidth="1"/>
    <col min="30" max="30" width="7.7109375" style="22" bestFit="1" customWidth="1"/>
    <col min="31" max="31" width="11.42578125" style="22"/>
    <col min="32" max="32" width="2.7109375" style="22" customWidth="1"/>
    <col min="33" max="34" width="11.42578125" style="22"/>
    <col min="35" max="35" width="2.28515625" style="22" customWidth="1"/>
    <col min="36" max="37" width="11.42578125" style="22"/>
    <col min="38" max="38" width="2.7109375" style="22" customWidth="1"/>
    <col min="39" max="40" width="11.42578125" style="22"/>
    <col min="41" max="41" width="1.7109375" style="22" customWidth="1"/>
    <col min="42" max="43" width="11.42578125" style="22"/>
    <col min="44" max="44" width="1.28515625" style="22" customWidth="1"/>
    <col min="45" max="46" width="11.42578125" style="22"/>
    <col min="47" max="47" width="1.5703125" style="22" customWidth="1"/>
    <col min="48" max="49" width="11.42578125" style="22"/>
    <col min="50" max="50" width="1.7109375" style="22" customWidth="1"/>
    <col min="51" max="52" width="11.42578125" style="22"/>
    <col min="53" max="53" width="1.7109375" style="22" customWidth="1"/>
    <col min="54" max="55" width="11.42578125" style="22"/>
    <col min="56" max="56" width="1.7109375" style="22" customWidth="1"/>
    <col min="57" max="58" width="11.42578125" style="22"/>
    <col min="59" max="59" width="1.42578125" style="22" customWidth="1"/>
    <col min="60" max="61" width="11.42578125" style="22"/>
    <col min="62" max="62" width="1.5703125" style="22" customWidth="1"/>
    <col min="63" max="64" width="11.42578125" style="22"/>
    <col min="65" max="65" width="2.5703125" style="22" customWidth="1"/>
    <col min="66" max="16384" width="11.42578125" style="22"/>
  </cols>
  <sheetData>
    <row r="1" spans="1:67" s="16" customFormat="1" ht="19.5" x14ac:dyDescent="0.4">
      <c r="A1" s="15" t="s">
        <v>39</v>
      </c>
      <c r="B1" s="407"/>
      <c r="C1" s="2421" t="s">
        <v>149</v>
      </c>
      <c r="D1" s="2421"/>
    </row>
    <row r="2" spans="1:67" s="16" customFormat="1" ht="19.5" x14ac:dyDescent="0.4">
      <c r="B2" s="218"/>
    </row>
    <row r="3" spans="1:67" s="16" customFormat="1" ht="15" customHeight="1" x14ac:dyDescent="0.4">
      <c r="A3" s="2574" t="s">
        <v>41</v>
      </c>
      <c r="B3" s="2574"/>
      <c r="C3" s="2635" t="s">
        <v>733</v>
      </c>
      <c r="D3" s="2637"/>
      <c r="E3" s="2637"/>
      <c r="F3" s="2637"/>
      <c r="G3" s="2637"/>
      <c r="H3" s="2637"/>
      <c r="I3" s="2637"/>
      <c r="J3" s="2637"/>
      <c r="K3" s="2637"/>
      <c r="L3" s="2637"/>
      <c r="M3" s="2637"/>
      <c r="N3" s="2637"/>
      <c r="O3" s="2637"/>
      <c r="P3" s="2637"/>
      <c r="Q3" s="2637"/>
      <c r="R3" s="2637"/>
      <c r="S3" s="705"/>
      <c r="T3" s="705"/>
      <c r="U3" s="705"/>
      <c r="V3" s="705"/>
      <c r="W3" s="705"/>
      <c r="X3" s="705"/>
      <c r="Y3" s="705"/>
      <c r="Z3" s="705"/>
      <c r="AA3" s="705"/>
      <c r="AB3" s="706"/>
    </row>
    <row r="4" spans="1:67" s="16" customFormat="1" ht="33" customHeight="1" x14ac:dyDescent="0.4">
      <c r="A4" s="2574" t="s">
        <v>42</v>
      </c>
      <c r="B4" s="2574"/>
      <c r="C4" s="2635" t="s">
        <v>725</v>
      </c>
      <c r="D4" s="2636"/>
      <c r="E4" s="2636"/>
      <c r="F4" s="2636"/>
      <c r="G4" s="2636"/>
      <c r="H4" s="2636"/>
      <c r="I4" s="2636"/>
      <c r="J4" s="2636"/>
      <c r="K4" s="2636"/>
      <c r="L4" s="2636"/>
      <c r="M4" s="2636"/>
      <c r="N4" s="2636"/>
      <c r="O4" s="2636"/>
      <c r="P4" s="2636"/>
      <c r="Q4" s="2636"/>
      <c r="R4" s="2636"/>
      <c r="S4" s="707"/>
      <c r="T4" s="707"/>
      <c r="U4" s="707"/>
      <c r="V4" s="707"/>
      <c r="W4" s="707"/>
      <c r="X4" s="707"/>
      <c r="Y4" s="707"/>
      <c r="Z4" s="707"/>
      <c r="AA4" s="707"/>
      <c r="AB4" s="708"/>
    </row>
    <row r="5" spans="1:67" s="16" customFormat="1" ht="17.45" customHeight="1" x14ac:dyDescent="0.4">
      <c r="A5" s="2574" t="s">
        <v>43</v>
      </c>
      <c r="B5" s="2574"/>
      <c r="C5" s="2635" t="s">
        <v>727</v>
      </c>
      <c r="D5" s="2636"/>
      <c r="E5" s="2636"/>
      <c r="F5" s="2636"/>
      <c r="G5" s="2636"/>
      <c r="H5" s="2636"/>
      <c r="I5" s="2636"/>
      <c r="J5" s="2636"/>
      <c r="K5" s="2636"/>
      <c r="L5" s="2636"/>
      <c r="M5" s="2636"/>
      <c r="N5" s="2636"/>
      <c r="O5" s="2636"/>
      <c r="P5" s="2636"/>
      <c r="Q5" s="2636"/>
      <c r="R5" s="2636"/>
      <c r="S5" s="707"/>
      <c r="T5" s="707"/>
      <c r="U5" s="707"/>
      <c r="V5" s="707"/>
      <c r="W5" s="707"/>
      <c r="X5" s="707"/>
      <c r="Y5" s="707"/>
      <c r="Z5" s="707"/>
      <c r="AA5" s="707"/>
      <c r="AB5" s="708"/>
    </row>
    <row r="6" spans="1:67" s="16" customFormat="1" ht="16.149999999999999" customHeight="1" x14ac:dyDescent="0.4">
      <c r="A6" s="2574" t="s">
        <v>132</v>
      </c>
      <c r="B6" s="2575"/>
      <c r="C6" s="2635" t="s">
        <v>1593</v>
      </c>
      <c r="D6" s="2636"/>
      <c r="E6" s="2636"/>
      <c r="F6" s="2636"/>
      <c r="G6" s="2636"/>
      <c r="H6" s="2636"/>
      <c r="I6" s="2636"/>
      <c r="J6" s="2636"/>
      <c r="K6" s="2636"/>
      <c r="L6" s="2636"/>
      <c r="M6" s="2636"/>
      <c r="N6" s="2636"/>
      <c r="O6" s="2636"/>
      <c r="P6" s="2636"/>
      <c r="Q6" s="2636"/>
      <c r="R6" s="2636"/>
      <c r="S6" s="707"/>
      <c r="T6" s="707"/>
      <c r="U6" s="707"/>
      <c r="V6" s="707"/>
      <c r="W6" s="707"/>
      <c r="X6" s="707"/>
      <c r="Y6" s="707"/>
      <c r="Z6" s="707"/>
      <c r="AA6" s="707"/>
      <c r="AB6" s="708"/>
    </row>
    <row r="7" spans="1:67" s="16" customFormat="1" ht="19.5" x14ac:dyDescent="0.4"/>
    <row r="8" spans="1:67" s="16" customFormat="1" ht="19.5" x14ac:dyDescent="0.4"/>
    <row r="9" spans="1:67" s="16" customFormat="1" ht="19.5" x14ac:dyDescent="0.4">
      <c r="B9" s="709"/>
      <c r="C9" s="138" t="s">
        <v>1594</v>
      </c>
      <c r="D9" s="138"/>
      <c r="E9" s="138"/>
      <c r="F9" s="138"/>
      <c r="G9" s="138"/>
      <c r="H9" s="138"/>
      <c r="I9" s="138"/>
      <c r="J9" s="138"/>
      <c r="K9" s="138"/>
      <c r="L9" s="138"/>
      <c r="M9" s="138"/>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row>
    <row r="10" spans="1:67" ht="16.5" x14ac:dyDescent="0.25">
      <c r="B10" s="711"/>
      <c r="C10" s="139"/>
      <c r="D10" s="139"/>
      <c r="E10" s="139"/>
      <c r="F10" s="139"/>
      <c r="G10" s="139"/>
      <c r="H10" s="139"/>
      <c r="I10" s="139"/>
      <c r="J10" s="139"/>
      <c r="K10" s="139"/>
      <c r="L10" s="139"/>
      <c r="M10" s="139"/>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row>
    <row r="11" spans="1:67" ht="29.25" customHeight="1" x14ac:dyDescent="0.25">
      <c r="C11" s="2578" t="s">
        <v>46</v>
      </c>
      <c r="D11" s="2611" t="s">
        <v>1595</v>
      </c>
      <c r="E11" s="408"/>
      <c r="F11" s="2581" t="s">
        <v>1596</v>
      </c>
      <c r="G11" s="2581"/>
      <c r="H11" s="408"/>
      <c r="I11" s="2581" t="s">
        <v>1597</v>
      </c>
      <c r="J11" s="2581"/>
      <c r="K11" s="408"/>
      <c r="L11" s="2581" t="s">
        <v>1598</v>
      </c>
      <c r="M11" s="2581"/>
    </row>
    <row r="12" spans="1:67" ht="42.75" customHeight="1" x14ac:dyDescent="0.25">
      <c r="C12" s="2653"/>
      <c r="D12" s="2668"/>
      <c r="E12" s="377"/>
      <c r="F12" s="377" t="s">
        <v>259</v>
      </c>
      <c r="G12" s="377" t="s">
        <v>1599</v>
      </c>
      <c r="H12" s="377"/>
      <c r="I12" s="377" t="s">
        <v>259</v>
      </c>
      <c r="J12" s="377" t="s">
        <v>1599</v>
      </c>
      <c r="K12" s="377"/>
      <c r="L12" s="377" t="s">
        <v>259</v>
      </c>
      <c r="M12" s="377" t="s">
        <v>1599</v>
      </c>
    </row>
    <row r="13" spans="1:67" ht="18.75" x14ac:dyDescent="0.4">
      <c r="C13" s="713">
        <v>2010</v>
      </c>
      <c r="D13" s="714">
        <v>4538307</v>
      </c>
      <c r="E13" s="715"/>
      <c r="F13" s="716">
        <v>31131</v>
      </c>
      <c r="G13" s="717">
        <v>68.596064567690107</v>
      </c>
      <c r="H13" s="718"/>
      <c r="I13" s="716">
        <v>19739</v>
      </c>
      <c r="J13" s="719">
        <v>43.494192878533774</v>
      </c>
      <c r="K13" s="718"/>
      <c r="L13" s="716">
        <v>11392</v>
      </c>
      <c r="M13" s="717">
        <v>25.101871689156329</v>
      </c>
    </row>
    <row r="14" spans="1:67" ht="18.75" x14ac:dyDescent="0.4">
      <c r="C14" s="720">
        <v>2011</v>
      </c>
      <c r="D14" s="721">
        <v>4592346</v>
      </c>
      <c r="E14" s="722"/>
      <c r="F14" s="723">
        <v>32140</v>
      </c>
      <c r="G14" s="558">
        <v>69.986015862045235</v>
      </c>
      <c r="H14" s="724"/>
      <c r="I14" s="723">
        <v>20275</v>
      </c>
      <c r="J14" s="725">
        <v>44.149547965244778</v>
      </c>
      <c r="K14" s="724"/>
      <c r="L14" s="723">
        <v>11865</v>
      </c>
      <c r="M14" s="558">
        <v>25.83646789680046</v>
      </c>
    </row>
    <row r="15" spans="1:67" ht="18.75" x14ac:dyDescent="0.4">
      <c r="C15" s="720">
        <v>2012</v>
      </c>
      <c r="D15" s="721">
        <v>4651166</v>
      </c>
      <c r="E15" s="722"/>
      <c r="F15" s="723">
        <v>32199</v>
      </c>
      <c r="G15" s="558">
        <v>69.227802232816458</v>
      </c>
      <c r="H15" s="724"/>
      <c r="I15" s="723">
        <v>20379</v>
      </c>
      <c r="J15" s="725">
        <v>43.81481976777436</v>
      </c>
      <c r="K15" s="724"/>
      <c r="L15" s="723">
        <v>11820</v>
      </c>
      <c r="M15" s="558">
        <v>25.412982465042099</v>
      </c>
    </row>
    <row r="16" spans="1:67" ht="18.75" x14ac:dyDescent="0.4">
      <c r="C16" s="720">
        <v>2013</v>
      </c>
      <c r="D16" s="721">
        <v>4711986</v>
      </c>
      <c r="E16" s="722"/>
      <c r="F16" s="723">
        <v>32845</v>
      </c>
      <c r="G16" s="558">
        <v>69.705215592745816</v>
      </c>
      <c r="H16" s="724"/>
      <c r="I16" s="723">
        <v>20536</v>
      </c>
      <c r="J16" s="725">
        <v>43.582472443678739</v>
      </c>
      <c r="K16" s="724"/>
      <c r="L16" s="723">
        <v>12309</v>
      </c>
      <c r="M16" s="558">
        <v>26.122743149067084</v>
      </c>
    </row>
    <row r="17" spans="3:13" ht="18.75" x14ac:dyDescent="0.4">
      <c r="C17" s="720">
        <v>2014</v>
      </c>
      <c r="D17" s="721">
        <v>4772098</v>
      </c>
      <c r="E17" s="722"/>
      <c r="F17" s="723">
        <v>33551</v>
      </c>
      <c r="G17" s="558">
        <v>70.30660309155428</v>
      </c>
      <c r="H17" s="724"/>
      <c r="I17" s="723">
        <v>20932</v>
      </c>
      <c r="J17" s="725">
        <v>43.863307082126141</v>
      </c>
      <c r="K17" s="724"/>
      <c r="L17" s="723">
        <v>12619</v>
      </c>
      <c r="M17" s="558">
        <v>26.443296009428138</v>
      </c>
    </row>
    <row r="18" spans="3:13" ht="18.75" x14ac:dyDescent="0.4">
      <c r="C18" s="720">
        <v>2015</v>
      </c>
      <c r="D18" s="721">
        <v>4833752</v>
      </c>
      <c r="E18" s="722"/>
      <c r="F18" s="723">
        <v>34476</v>
      </c>
      <c r="G18" s="558">
        <v>71.323477083640199</v>
      </c>
      <c r="H18" s="724"/>
      <c r="I18" s="723">
        <v>21411</v>
      </c>
      <c r="J18" s="725">
        <v>44.294783844930393</v>
      </c>
      <c r="K18" s="724"/>
      <c r="L18" s="723">
        <v>13065</v>
      </c>
      <c r="M18" s="558">
        <v>27.028693238709806</v>
      </c>
    </row>
    <row r="19" spans="3:13" ht="18.75" x14ac:dyDescent="0.4">
      <c r="C19" s="720">
        <v>2016</v>
      </c>
      <c r="D19" s="721">
        <v>4889762</v>
      </c>
      <c r="E19" s="722"/>
      <c r="F19" s="723">
        <v>34260</v>
      </c>
      <c r="G19" s="558">
        <v>70.064759798125138</v>
      </c>
      <c r="H19" s="724"/>
      <c r="I19" s="723">
        <v>21068</v>
      </c>
      <c r="J19" s="725">
        <v>43.085941606155885</v>
      </c>
      <c r="K19" s="724"/>
      <c r="L19" s="723">
        <v>13192</v>
      </c>
      <c r="M19" s="558">
        <v>26.97881819196926</v>
      </c>
    </row>
    <row r="20" spans="3:13" ht="18.75" x14ac:dyDescent="0.4">
      <c r="C20" s="720">
        <v>2017</v>
      </c>
      <c r="D20" s="721">
        <v>4946700</v>
      </c>
      <c r="E20" s="722"/>
      <c r="F20" s="723">
        <v>36355</v>
      </c>
      <c r="G20" s="558">
        <v>73.493440071158545</v>
      </c>
      <c r="H20" s="724"/>
      <c r="I20" s="723">
        <v>22084</v>
      </c>
      <c r="J20" s="725">
        <v>44.643904016819292</v>
      </c>
      <c r="K20" s="724"/>
      <c r="L20" s="723">
        <v>14271</v>
      </c>
      <c r="M20" s="558">
        <v>28.849536054339257</v>
      </c>
    </row>
    <row r="21" spans="3:13" ht="18.75" x14ac:dyDescent="0.4">
      <c r="C21" s="720">
        <v>2018</v>
      </c>
      <c r="D21" s="721">
        <v>5003673</v>
      </c>
      <c r="E21" s="722"/>
      <c r="F21" s="723">
        <v>36535</v>
      </c>
      <c r="G21" s="558">
        <v>73.016362180342327</v>
      </c>
      <c r="H21" s="724"/>
      <c r="I21" s="723">
        <v>22268</v>
      </c>
      <c r="J21" s="725">
        <v>44.503307870038675</v>
      </c>
      <c r="K21" s="724"/>
      <c r="L21" s="723">
        <v>14267</v>
      </c>
      <c r="M21" s="558">
        <v>28.513054310303652</v>
      </c>
    </row>
    <row r="22" spans="3:13" ht="18.75" x14ac:dyDescent="0.4">
      <c r="C22" s="301">
        <v>2019</v>
      </c>
      <c r="D22" s="726">
        <v>5057999</v>
      </c>
      <c r="E22" s="727"/>
      <c r="F22" s="728">
        <v>38655</v>
      </c>
      <c r="G22" s="729">
        <v>76.423502653915122</v>
      </c>
      <c r="H22" s="730"/>
      <c r="I22" s="728">
        <v>23397</v>
      </c>
      <c r="J22" s="731">
        <v>46.257423143025534</v>
      </c>
      <c r="K22" s="730"/>
      <c r="L22" s="728">
        <v>15258</v>
      </c>
      <c r="M22" s="729">
        <v>30.166079510889581</v>
      </c>
    </row>
    <row r="23" spans="3:13" ht="18.75" x14ac:dyDescent="0.4">
      <c r="C23" s="301">
        <v>2020</v>
      </c>
      <c r="D23" s="726">
        <v>5111238</v>
      </c>
      <c r="E23" s="727"/>
      <c r="F23" s="728">
        <v>41346</v>
      </c>
      <c r="G23" s="729">
        <v>80.892339585830285</v>
      </c>
      <c r="H23" s="730"/>
      <c r="I23" s="728">
        <v>25272</v>
      </c>
      <c r="J23" s="731">
        <v>49.443989890511844</v>
      </c>
      <c r="K23" s="730"/>
      <c r="L23" s="728">
        <v>16074</v>
      </c>
      <c r="M23" s="729">
        <v>31.448349695318434</v>
      </c>
    </row>
    <row r="24" spans="3:13" ht="18.75" x14ac:dyDescent="0.4">
      <c r="C24" s="301">
        <v>2021</v>
      </c>
      <c r="D24" s="726">
        <v>5163038</v>
      </c>
      <c r="E24" s="727"/>
      <c r="F24" s="728">
        <v>43968</v>
      </c>
      <c r="G24" s="729">
        <v>85.159164042565635</v>
      </c>
      <c r="H24" s="730"/>
      <c r="I24" s="728">
        <v>27190</v>
      </c>
      <c r="J24" s="731">
        <v>52.662792720100065</v>
      </c>
      <c r="K24" s="730"/>
      <c r="L24" s="728">
        <v>16778</v>
      </c>
      <c r="M24" s="729">
        <v>32.496371322465571</v>
      </c>
    </row>
    <row r="25" spans="3:13" ht="18.75" x14ac:dyDescent="0.4">
      <c r="C25" s="301">
        <v>2022</v>
      </c>
      <c r="D25" s="726">
        <v>5163038</v>
      </c>
      <c r="E25" s="727"/>
      <c r="F25" s="728">
        <v>43381</v>
      </c>
      <c r="G25" s="729">
        <v>84.022236520436223</v>
      </c>
      <c r="H25" s="730"/>
      <c r="I25" s="728">
        <v>26719</v>
      </c>
      <c r="J25" s="731">
        <v>51.750539120572036</v>
      </c>
      <c r="K25" s="730"/>
      <c r="L25" s="728">
        <v>16662</v>
      </c>
      <c r="M25" s="729">
        <v>32.271697399864188</v>
      </c>
    </row>
    <row r="26" spans="3:13" ht="18.75" x14ac:dyDescent="0.4">
      <c r="C26" s="732">
        <v>2023</v>
      </c>
      <c r="D26" s="733">
        <v>5163038</v>
      </c>
      <c r="E26" s="734"/>
      <c r="F26" s="735">
        <v>42912</v>
      </c>
      <c r="G26" s="736">
        <f>+F26/D26*10000</f>
        <v>83.113856609228904</v>
      </c>
      <c r="H26" s="737"/>
      <c r="I26" s="735">
        <v>26228</v>
      </c>
      <c r="J26" s="738">
        <f>+I26/D26*10000</f>
        <v>50.799548637836871</v>
      </c>
      <c r="K26" s="737"/>
      <c r="L26" s="735">
        <v>16684</v>
      </c>
      <c r="M26" s="736">
        <f>+L26/D26*10000</f>
        <v>32.314307971392033</v>
      </c>
    </row>
    <row r="27" spans="3:13" ht="19.5" x14ac:dyDescent="0.4">
      <c r="C27" s="5" t="s">
        <v>1600</v>
      </c>
      <c r="D27" s="5"/>
      <c r="E27" s="5"/>
      <c r="F27" s="5"/>
      <c r="G27" s="5"/>
      <c r="H27" s="5"/>
      <c r="I27" s="5"/>
      <c r="J27" s="5"/>
      <c r="K27" s="5"/>
      <c r="L27" s="5"/>
      <c r="M27" s="5"/>
    </row>
    <row r="28" spans="3:13" ht="17.45" customHeight="1" x14ac:dyDescent="0.4">
      <c r="C28" s="2667" t="s">
        <v>1601</v>
      </c>
      <c r="D28" s="2667"/>
      <c r="E28" s="2667"/>
      <c r="F28" s="2667"/>
      <c r="G28" s="2667"/>
      <c r="H28" s="2667"/>
      <c r="I28" s="2667"/>
      <c r="J28" s="2667"/>
      <c r="K28" s="2667"/>
      <c r="L28" s="2667"/>
      <c r="M28" s="2667"/>
    </row>
    <row r="29" spans="3:13" ht="18.75" x14ac:dyDescent="0.4">
      <c r="D29" s="5"/>
      <c r="E29" s="5"/>
      <c r="F29" s="5"/>
      <c r="G29" s="5"/>
      <c r="H29" s="5"/>
      <c r="I29" s="5"/>
      <c r="J29" s="5"/>
      <c r="K29" s="5"/>
      <c r="L29" s="5"/>
      <c r="M29" s="5"/>
    </row>
    <row r="30" spans="3:13" ht="19.5" x14ac:dyDescent="0.4">
      <c r="C30" s="105" t="s">
        <v>1602</v>
      </c>
      <c r="D30" s="156"/>
      <c r="E30" s="156"/>
      <c r="F30" s="156"/>
      <c r="G30" s="340"/>
    </row>
    <row r="31" spans="3:13" ht="18.75" x14ac:dyDescent="0.4">
      <c r="C31" s="156"/>
      <c r="D31" s="156"/>
      <c r="E31" s="156"/>
      <c r="F31" s="156"/>
      <c r="G31" s="340"/>
    </row>
    <row r="32" spans="3:13" ht="18.75" x14ac:dyDescent="0.4">
      <c r="C32" s="156"/>
      <c r="D32" s="156"/>
      <c r="E32" s="156"/>
      <c r="F32" s="156"/>
      <c r="G32" s="340"/>
    </row>
    <row r="33" spans="3:17" ht="18.75" x14ac:dyDescent="0.4">
      <c r="C33" s="156"/>
      <c r="D33" s="156"/>
      <c r="E33" s="156"/>
      <c r="F33" s="156"/>
      <c r="G33" s="340"/>
    </row>
    <row r="34" spans="3:17" ht="18.75" x14ac:dyDescent="0.4">
      <c r="C34" s="156"/>
      <c r="D34" s="156"/>
      <c r="E34" s="156"/>
      <c r="F34" s="156"/>
      <c r="G34" s="340"/>
    </row>
    <row r="35" spans="3:17" ht="18.75" x14ac:dyDescent="0.4">
      <c r="C35" s="156"/>
      <c r="D35" s="156"/>
      <c r="E35" s="156"/>
      <c r="F35" s="156"/>
      <c r="G35" s="340"/>
    </row>
    <row r="36" spans="3:17" ht="18.75" x14ac:dyDescent="0.4">
      <c r="C36" s="156"/>
      <c r="D36" s="156"/>
      <c r="E36" s="156"/>
      <c r="F36" s="156"/>
      <c r="G36" s="340"/>
    </row>
    <row r="37" spans="3:17" ht="18.75" x14ac:dyDescent="0.4">
      <c r="C37" s="156"/>
      <c r="D37" s="156"/>
      <c r="E37" s="156"/>
      <c r="F37" s="156"/>
      <c r="G37" s="340"/>
    </row>
    <row r="38" spans="3:17" ht="18.75" x14ac:dyDescent="0.4">
      <c r="C38" s="156"/>
      <c r="D38" s="156"/>
      <c r="E38" s="156"/>
      <c r="F38" s="156"/>
      <c r="G38" s="340"/>
      <c r="Q38" s="270"/>
    </row>
    <row r="49" spans="3:3" ht="18.75" x14ac:dyDescent="0.25">
      <c r="C49" s="36" t="s">
        <v>1603</v>
      </c>
    </row>
  </sheetData>
  <protectedRanges>
    <protectedRange password="EBC2" sqref="C9:C12 D9:D10 I12:J12 L12:M12 E9:H12" name="p3cdd4a75544b594a63a32c7fc56762cb_1_1_2"/>
    <protectedRange password="EBC2" sqref="I11:L11 K12" name="p1f56dce16526161fc89d4889cbc42cfb_2_1"/>
    <protectedRange password="EBC2" sqref="F13:F25 H13:H25" name="p3cdd4a75544b594a63a32c7fc56762cb_1_1_1"/>
    <protectedRange password="EBC2" sqref="I13:L13 C13 E13 J14:J25" name="p3cdd4a75544b594a63a32c7fc56762cb_3_1_1"/>
    <protectedRange password="EBC2" sqref="I14 C14 E14 K14:L14" name="p3cdd4a75544b594a63a32c7fc56762cb_4_1_1"/>
    <protectedRange password="EBC2" sqref="I15 C15 E15 K15:L15" name="p3cdd4a75544b594a63a32c7fc56762cb_5_1_1"/>
    <protectedRange password="EBC2" sqref="I16 C16 E16 K16:L16" name="p1f56dce16526161fc89d4889cbc42cfb_2_2"/>
    <protectedRange password="EBC2" sqref="I17 C17 E17 K17:L17" name="p1f56dce16526161fc89d4889cbc42cfb_1_1_1"/>
    <protectedRange password="EBC2" sqref="I18 C18 E18 K18:L18" name="p80db86f3ed746667206d68ed5b814a2c_2_1"/>
    <protectedRange password="EBC2" sqref="I19 C19 E19 K19:L19" name="p80db86f3ed746667206d68ed5b814a2c_1_1_1"/>
    <protectedRange password="EBC2" sqref="I20 C20 E20 K20:L20" name="pe6c733e44c2106749b6a90e02e239945_2_1"/>
    <protectedRange password="EBC2" sqref="C21:C25 E21:E25 I21:I25 K21:L25" name="pe6c733e44c2106749b6a90e02e239945_1_1_1"/>
    <protectedRange password="EBC2" sqref="C26" name="pe6c733e44c2106749b6a90e02e239945_1_1_1_1"/>
    <protectedRange password="EBC2" sqref="F26 H26" name="p3cdd4a75544b594a63a32c7fc56762cb_1_1"/>
    <protectedRange password="EBC2" sqref="J26" name="p3cdd4a75544b594a63a32c7fc56762cb_3_1"/>
    <protectedRange password="EBC2" sqref="E26 I26 K26:L26" name="pe6c733e44c2106749b6a90e02e239945_1_1"/>
  </protectedRanges>
  <mergeCells count="15">
    <mergeCell ref="A5:B5"/>
    <mergeCell ref="C5:R5"/>
    <mergeCell ref="C1:D1"/>
    <mergeCell ref="A3:B3"/>
    <mergeCell ref="C3:R3"/>
    <mergeCell ref="A4:B4"/>
    <mergeCell ref="C4:R4"/>
    <mergeCell ref="C28:M28"/>
    <mergeCell ref="A6:B6"/>
    <mergeCell ref="C6:R6"/>
    <mergeCell ref="C11:C12"/>
    <mergeCell ref="D11:D12"/>
    <mergeCell ref="F11:G11"/>
    <mergeCell ref="I11:J11"/>
    <mergeCell ref="L11:M11"/>
  </mergeCells>
  <hyperlinks>
    <hyperlink ref="A1" location="'ODS 3.'!A1" display="REGRESAR" xr:uid="{C12A2C0C-61AA-4004-B47B-07AFDEA6759E}"/>
    <hyperlink ref="C1" location="'Metadato 3.c.1'!A1" display="VER METADATO" xr:uid="{28D29504-DB16-4991-BBB5-DAF4AD658878}"/>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C392-B102-4545-884C-548581E353D3}">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9" style="5" customWidth="1"/>
    <col min="2" max="2" width="26.42578125" style="5" customWidth="1"/>
    <col min="3" max="3" width="24" style="5" customWidth="1"/>
    <col min="4" max="4" width="68.42578125" style="5" customWidth="1"/>
    <col min="5" max="5" width="9.5703125" style="5" customWidth="1"/>
    <col min="6" max="6" width="7.28515625" style="5" customWidth="1"/>
    <col min="7" max="7" width="2.7109375" style="5" customWidth="1"/>
    <col min="8" max="8" width="9" style="5" customWidth="1"/>
    <col min="9" max="9" width="9.7109375" style="5" customWidth="1"/>
    <col min="10" max="10" width="13.28515625" style="5" customWidth="1"/>
    <col min="11" max="11" width="1.7109375" style="5" customWidth="1"/>
    <col min="12" max="13" width="7.7109375" style="5" bestFit="1" customWidth="1"/>
    <col min="14" max="14" width="3.28515625" style="5" customWidth="1"/>
    <col min="15" max="15" width="7.7109375" style="5" bestFit="1" customWidth="1"/>
    <col min="16" max="16" width="2.7109375" style="5" customWidth="1"/>
    <col min="17" max="18" width="7.7109375" style="5" bestFit="1" customWidth="1"/>
    <col min="19" max="19" width="2.42578125" style="5" customWidth="1"/>
    <col min="20" max="20" width="3" style="5" customWidth="1"/>
    <col min="21" max="22" width="7.7109375" style="5" bestFit="1" customWidth="1"/>
    <col min="23" max="23" width="2.28515625" style="5" customWidth="1"/>
    <col min="24" max="25" width="7.7109375" style="5" bestFit="1" customWidth="1"/>
    <col min="26" max="26" width="1.42578125" style="5" customWidth="1"/>
    <col min="27" max="27" width="7.7109375" style="5" bestFit="1" customWidth="1"/>
    <col min="28" max="28" width="11.42578125" style="5"/>
    <col min="29" max="29" width="2.7109375" style="5" customWidth="1"/>
    <col min="30" max="31" width="11.42578125" style="5"/>
    <col min="32" max="32" width="2.28515625" style="5" customWidth="1"/>
    <col min="33" max="34" width="11.42578125" style="5"/>
    <col min="35" max="35" width="2.7109375" style="5" customWidth="1"/>
    <col min="36" max="37" width="11.42578125" style="5"/>
    <col min="38" max="38" width="1.7109375" style="5" customWidth="1"/>
    <col min="39" max="40" width="11.42578125" style="5"/>
    <col min="41" max="41" width="1.28515625" style="5" customWidth="1"/>
    <col min="42" max="43" width="11.42578125" style="5"/>
    <col min="44" max="44" width="1.5703125" style="5" customWidth="1"/>
    <col min="45" max="46" width="11.42578125" style="5"/>
    <col min="47" max="47" width="1.7109375" style="5" customWidth="1"/>
    <col min="48" max="49" width="11.42578125" style="5"/>
    <col min="50" max="50" width="1.7109375" style="5" customWidth="1"/>
    <col min="51" max="52" width="11.42578125" style="5"/>
    <col min="53" max="53" width="1.7109375" style="5" customWidth="1"/>
    <col min="54" max="55" width="11.42578125" style="5"/>
    <col min="56" max="56" width="1.42578125" style="5" customWidth="1"/>
    <col min="57" max="58" width="11.42578125" style="5"/>
    <col min="59" max="59" width="1.5703125" style="5" customWidth="1"/>
    <col min="60" max="61" width="11.42578125" style="5"/>
    <col min="62" max="62" width="2.5703125" style="5" customWidth="1"/>
    <col min="63" max="16384" width="11.42578125" style="5"/>
  </cols>
  <sheetData>
    <row r="1" spans="2:6" x14ac:dyDescent="0.4">
      <c r="B1" s="90" t="s">
        <v>39</v>
      </c>
    </row>
    <row r="2" spans="2:6" ht="19.5" thickBot="1" x14ac:dyDescent="0.45"/>
    <row r="3" spans="2:6" ht="23.25" customHeight="1" thickBot="1" x14ac:dyDescent="0.45">
      <c r="B3" s="2604" t="s">
        <v>75</v>
      </c>
      <c r="C3" s="2604"/>
      <c r="D3" s="2604"/>
      <c r="F3" s="91" t="s">
        <v>76</v>
      </c>
    </row>
    <row r="4" spans="2:6" x14ac:dyDescent="0.4">
      <c r="B4" s="2606" t="s">
        <v>234</v>
      </c>
      <c r="C4" s="2606"/>
      <c r="D4" s="359" t="s">
        <v>832</v>
      </c>
      <c r="E4" s="92"/>
    </row>
    <row r="5" spans="2:6" ht="50.45" customHeight="1" x14ac:dyDescent="0.4">
      <c r="B5" s="2445" t="s">
        <v>79</v>
      </c>
      <c r="C5" s="2445"/>
      <c r="D5" s="49" t="s">
        <v>725</v>
      </c>
    </row>
    <row r="6" spans="2:6" x14ac:dyDescent="0.4">
      <c r="B6" s="2445" t="s">
        <v>80</v>
      </c>
      <c r="C6" s="2445"/>
      <c r="D6" s="50" t="s">
        <v>726</v>
      </c>
    </row>
    <row r="7" spans="2:6" ht="15" customHeight="1" x14ac:dyDescent="0.4">
      <c r="B7" s="2446" t="s">
        <v>81</v>
      </c>
      <c r="C7" s="2446"/>
      <c r="D7" s="93" t="s">
        <v>727</v>
      </c>
    </row>
    <row r="8" spans="2:6" x14ac:dyDescent="0.4">
      <c r="B8" s="2446" t="s">
        <v>82</v>
      </c>
      <c r="C8" s="2446"/>
      <c r="D8" s="94" t="s">
        <v>1604</v>
      </c>
    </row>
    <row r="10" spans="2:6" ht="23.25" customHeight="1" x14ac:dyDescent="0.4">
      <c r="B10" s="2604" t="s">
        <v>85</v>
      </c>
      <c r="C10" s="2604"/>
      <c r="D10" s="2604"/>
    </row>
    <row r="11" spans="2:6" x14ac:dyDescent="0.4">
      <c r="B11" s="2633" t="s">
        <v>86</v>
      </c>
      <c r="C11" s="2634"/>
      <c r="D11" s="359" t="s">
        <v>167</v>
      </c>
    </row>
    <row r="12" spans="2:6" ht="37.5" x14ac:dyDescent="0.4">
      <c r="B12" s="2455" t="s">
        <v>88</v>
      </c>
      <c r="C12" s="2455"/>
      <c r="D12" s="739" t="s">
        <v>1605</v>
      </c>
    </row>
    <row r="13" spans="2:6" x14ac:dyDescent="0.4">
      <c r="B13" s="2445" t="s">
        <v>90</v>
      </c>
      <c r="C13" s="2445"/>
      <c r="D13" s="54" t="s">
        <v>726</v>
      </c>
    </row>
    <row r="14" spans="2:6" x14ac:dyDescent="0.4">
      <c r="B14" s="2445" t="s">
        <v>91</v>
      </c>
      <c r="C14" s="2456"/>
      <c r="D14" s="54" t="s">
        <v>92</v>
      </c>
    </row>
    <row r="15" spans="2:6" ht="150" x14ac:dyDescent="0.4">
      <c r="B15" s="2445" t="s">
        <v>93</v>
      </c>
      <c r="C15" s="2445"/>
      <c r="D15" s="203" t="s">
        <v>1606</v>
      </c>
    </row>
    <row r="16" spans="2:6" ht="84.75" customHeight="1" x14ac:dyDescent="0.4">
      <c r="B16" s="2445" t="s">
        <v>95</v>
      </c>
      <c r="C16" s="2445"/>
      <c r="D16" s="203" t="s">
        <v>1607</v>
      </c>
    </row>
    <row r="17" spans="1:5" x14ac:dyDescent="0.4">
      <c r="B17" s="2445" t="s">
        <v>97</v>
      </c>
      <c r="C17" s="2445"/>
      <c r="D17" s="203" t="s">
        <v>1608</v>
      </c>
    </row>
    <row r="18" spans="1:5" x14ac:dyDescent="0.4">
      <c r="B18" s="2446" t="s">
        <v>99</v>
      </c>
      <c r="C18" s="2446"/>
      <c r="D18" s="49"/>
    </row>
    <row r="19" spans="1:5" ht="56.25" x14ac:dyDescent="0.4">
      <c r="B19" s="2457" t="s">
        <v>100</v>
      </c>
      <c r="C19" s="2458"/>
      <c r="D19" s="203" t="s">
        <v>1609</v>
      </c>
    </row>
    <row r="20" spans="1:5" x14ac:dyDescent="0.4">
      <c r="B20" s="2445" t="s">
        <v>102</v>
      </c>
      <c r="C20" s="2445"/>
      <c r="D20" s="203" t="s">
        <v>140</v>
      </c>
    </row>
    <row r="21" spans="1:5" x14ac:dyDescent="0.4">
      <c r="B21" s="2451" t="s">
        <v>104</v>
      </c>
      <c r="C21" s="95" t="s">
        <v>105</v>
      </c>
      <c r="D21" s="49"/>
    </row>
    <row r="22" spans="1:5" x14ac:dyDescent="0.4">
      <c r="B22" s="2452"/>
      <c r="C22" s="96" t="s">
        <v>107</v>
      </c>
      <c r="D22" s="203" t="s">
        <v>1610</v>
      </c>
    </row>
    <row r="23" spans="1:5" x14ac:dyDescent="0.4">
      <c r="B23" s="2444" t="s">
        <v>109</v>
      </c>
      <c r="C23" s="2444"/>
      <c r="D23" s="203" t="s">
        <v>143</v>
      </c>
    </row>
    <row r="24" spans="1:5" x14ac:dyDescent="0.4">
      <c r="B24" s="2444" t="s">
        <v>111</v>
      </c>
      <c r="C24" s="2444"/>
      <c r="D24" s="205" t="s">
        <v>1611</v>
      </c>
    </row>
    <row r="25" spans="1:5" x14ac:dyDescent="0.4">
      <c r="B25" s="2445" t="s">
        <v>113</v>
      </c>
      <c r="C25" s="2445"/>
      <c r="D25" s="56" t="s">
        <v>220</v>
      </c>
    </row>
    <row r="26" spans="1:5" ht="15" customHeight="1" x14ac:dyDescent="0.4">
      <c r="B26" s="2446" t="s">
        <v>115</v>
      </c>
      <c r="C26" s="2446"/>
      <c r="D26" s="205" t="s">
        <v>1612</v>
      </c>
    </row>
    <row r="27" spans="1:5" x14ac:dyDescent="0.4">
      <c r="B27" s="2447" t="s">
        <v>117</v>
      </c>
      <c r="C27" s="2448"/>
      <c r="D27" s="49"/>
    </row>
    <row r="28" spans="1:5" ht="37.5" x14ac:dyDescent="0.4">
      <c r="B28" s="97" t="s">
        <v>118</v>
      </c>
      <c r="C28" s="98"/>
      <c r="D28" s="203" t="s">
        <v>1613</v>
      </c>
    </row>
    <row r="29" spans="1:5" x14ac:dyDescent="0.4">
      <c r="B29" s="2449" t="s">
        <v>120</v>
      </c>
      <c r="C29" s="2450"/>
      <c r="D29" s="62"/>
    </row>
    <row r="30" spans="1:5" x14ac:dyDescent="0.4">
      <c r="B30" s="628"/>
      <c r="C30" s="628"/>
      <c r="D30" s="629"/>
    </row>
    <row r="31" spans="1:5" ht="23.25" customHeight="1" x14ac:dyDescent="0.4">
      <c r="A31" s="156"/>
      <c r="B31" s="2604" t="s">
        <v>121</v>
      </c>
      <c r="C31" s="2604"/>
      <c r="D31" s="2604"/>
      <c r="E31" s="340"/>
    </row>
    <row r="32" spans="1:5" x14ac:dyDescent="0.4">
      <c r="A32" s="156"/>
      <c r="B32" s="2631" t="s">
        <v>122</v>
      </c>
      <c r="C32" s="2632"/>
      <c r="D32" s="652" t="s">
        <v>1614</v>
      </c>
      <c r="E32" s="340"/>
    </row>
    <row r="33" spans="1:5" x14ac:dyDescent="0.4">
      <c r="A33" s="156"/>
      <c r="B33" s="2442" t="s">
        <v>124</v>
      </c>
      <c r="C33" s="2443"/>
      <c r="D33" s="205" t="s">
        <v>1615</v>
      </c>
      <c r="E33" s="340"/>
    </row>
    <row r="34" spans="1:5" x14ac:dyDescent="0.4">
      <c r="A34" s="156"/>
      <c r="B34" s="2442" t="s">
        <v>126</v>
      </c>
      <c r="C34" s="2443"/>
      <c r="D34" s="205" t="s">
        <v>522</v>
      </c>
      <c r="E34" s="340"/>
    </row>
    <row r="35" spans="1:5" x14ac:dyDescent="0.4">
      <c r="A35" s="156"/>
      <c r="B35" s="2442" t="s">
        <v>128</v>
      </c>
      <c r="C35" s="2443"/>
      <c r="D35" s="205"/>
      <c r="E35" s="340"/>
    </row>
    <row r="36" spans="1:5" x14ac:dyDescent="0.4">
      <c r="A36" s="156"/>
      <c r="B36" s="2442" t="s">
        <v>130</v>
      </c>
      <c r="C36" s="2443"/>
      <c r="D36" s="208" t="s">
        <v>1616</v>
      </c>
      <c r="E36" s="340"/>
    </row>
    <row r="37" spans="1:5" x14ac:dyDescent="0.4">
      <c r="A37" s="156"/>
      <c r="B37" s="156"/>
      <c r="C37" s="156"/>
      <c r="D37" s="156"/>
      <c r="E37" s="34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19C3C2F-9606-420B-BF60-5ECDC7814923}"/>
    <dataValidation type="list" allowBlank="1" showInputMessage="1" showErrorMessage="1" sqref="D4" xr:uid="{B5503F66-4BF9-4829-A0E6-A4C35EF7DD3B}">
      <formula1>ODS</formula1>
    </dataValidation>
    <dataValidation type="list" allowBlank="1" showInputMessage="1" showErrorMessage="1" sqref="D5" xr:uid="{ED501E94-4132-40C2-8724-4C6EC96D821D}">
      <formula1>Metas_ODS</formula1>
    </dataValidation>
    <dataValidation type="list" allowBlank="1" showInputMessage="1" showErrorMessage="1" sqref="D6" xr:uid="{3A4CFCB5-C638-4387-A3F2-FD07CF3C89DA}">
      <formula1>Numero_indicador</formula1>
    </dataValidation>
    <dataValidation type="list" allowBlank="1" showInputMessage="1" showErrorMessage="1" sqref="D7" xr:uid="{68700486-D550-4748-8185-AFBFDDBBA241}">
      <formula1>Nombre_indicador_ODS</formula1>
    </dataValidation>
    <dataValidation type="list" allowBlank="1" showInputMessage="1" showErrorMessage="1" sqref="D14" xr:uid="{D360672D-D95D-4DCE-822B-DB9554EC6F86}">
      <formula1>Tipo_indicador</formula1>
    </dataValidation>
    <dataValidation type="list" allowBlank="1" showInputMessage="1" showErrorMessage="1" sqref="D25" xr:uid="{E16FFECB-15FB-44D7-B9E0-670231EB146B}">
      <formula1>Tipo_operación</formula1>
    </dataValidation>
  </dataValidations>
  <hyperlinks>
    <hyperlink ref="B1" location="'3.c.1'!A1" display="REGRESAR" xr:uid="{C6BE2DCA-B309-4EFE-A104-03721DA9D2C0}"/>
    <hyperlink ref="D8" r:id="rId1" xr:uid="{418AA82E-A976-4FB5-B26A-E745037D5892}"/>
    <hyperlink ref="D36" r:id="rId2" xr:uid="{24C0060B-CC48-45A2-B827-CA78C91CA284}"/>
  </hyperlinks>
  <pageMargins left="0.7" right="0.7" top="0.75" bottom="0.75" header="0.3" footer="0.3"/>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9E84-ADB7-4483-8F69-2309A7F33E7B}">
  <dimension ref="A1:P20"/>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5.28515625" style="22" customWidth="1"/>
    <col min="3" max="3" width="11.7109375" style="89" customWidth="1"/>
    <col min="4" max="4" width="13.7109375" style="22" customWidth="1"/>
    <col min="5" max="10" width="11.7109375" style="22" customWidth="1"/>
    <col min="11" max="16384" width="11.42578125" style="22"/>
  </cols>
  <sheetData>
    <row r="1" spans="1:16" s="16" customFormat="1" ht="19.5" x14ac:dyDescent="0.4">
      <c r="A1" s="15" t="s">
        <v>39</v>
      </c>
      <c r="B1" s="161"/>
      <c r="C1" s="2421" t="s">
        <v>149</v>
      </c>
      <c r="D1" s="2421"/>
    </row>
    <row r="2" spans="1:16" s="16" customFormat="1" ht="19.5" x14ac:dyDescent="0.4">
      <c r="C2" s="218"/>
    </row>
    <row r="3" spans="1:16" s="162" customFormat="1" ht="19.5" x14ac:dyDescent="0.25">
      <c r="A3" s="2574" t="s">
        <v>41</v>
      </c>
      <c r="B3" s="2574"/>
      <c r="C3" s="2574" t="s">
        <v>733</v>
      </c>
      <c r="D3" s="2575"/>
      <c r="E3" s="2575"/>
      <c r="F3" s="2575"/>
      <c r="G3" s="2575"/>
      <c r="H3" s="2575"/>
      <c r="I3" s="2575"/>
      <c r="J3" s="2575"/>
      <c r="K3" s="2575"/>
      <c r="L3" s="2575"/>
      <c r="M3" s="2575"/>
      <c r="N3" s="2575"/>
      <c r="O3" s="2575"/>
      <c r="P3" s="2575"/>
    </row>
    <row r="4" spans="1:16" s="162" customFormat="1" ht="19.5" x14ac:dyDescent="0.25">
      <c r="A4" s="2574" t="s">
        <v>42</v>
      </c>
      <c r="B4" s="2574"/>
      <c r="C4" s="2574" t="s">
        <v>728</v>
      </c>
      <c r="D4" s="2575"/>
      <c r="E4" s="2575"/>
      <c r="F4" s="2575"/>
      <c r="G4" s="2575"/>
      <c r="H4" s="2575"/>
      <c r="I4" s="2575"/>
      <c r="J4" s="2575"/>
      <c r="K4" s="2575"/>
      <c r="L4" s="2575"/>
      <c r="M4" s="2575"/>
      <c r="N4" s="2575"/>
      <c r="O4" s="2575"/>
      <c r="P4" s="2575"/>
    </row>
    <row r="5" spans="1:16" s="162" customFormat="1" ht="19.5" x14ac:dyDescent="0.25">
      <c r="A5" s="2574" t="s">
        <v>43</v>
      </c>
      <c r="B5" s="2574"/>
      <c r="C5" s="2574" t="s">
        <v>730</v>
      </c>
      <c r="D5" s="2575"/>
      <c r="E5" s="2575"/>
      <c r="F5" s="2575"/>
      <c r="G5" s="2575"/>
      <c r="H5" s="2575"/>
      <c r="I5" s="2575"/>
      <c r="J5" s="2575"/>
      <c r="K5" s="2575"/>
      <c r="L5" s="2575"/>
      <c r="M5" s="2575"/>
      <c r="N5" s="2575"/>
      <c r="O5" s="2575"/>
      <c r="P5" s="2575"/>
    </row>
    <row r="6" spans="1:16" s="162" customFormat="1" ht="19.5" x14ac:dyDescent="0.25">
      <c r="A6" s="2574" t="s">
        <v>132</v>
      </c>
      <c r="B6" s="2575"/>
      <c r="C6" s="2574" t="s">
        <v>1617</v>
      </c>
      <c r="D6" s="2575"/>
      <c r="E6" s="2575"/>
      <c r="F6" s="2575"/>
      <c r="G6" s="2575"/>
      <c r="H6" s="2575"/>
      <c r="I6" s="2575"/>
      <c r="J6" s="2575"/>
      <c r="K6" s="2575"/>
      <c r="L6" s="2575"/>
      <c r="M6" s="2575"/>
      <c r="N6" s="2575"/>
      <c r="O6" s="2575"/>
      <c r="P6" s="2575"/>
    </row>
    <row r="7" spans="1:16" s="16" customFormat="1" ht="19.5" x14ac:dyDescent="0.4">
      <c r="A7" s="217"/>
      <c r="C7" s="218"/>
    </row>
    <row r="8" spans="1:16" s="16" customFormat="1" ht="19.5" x14ac:dyDescent="0.4">
      <c r="A8" s="217"/>
      <c r="C8" s="218"/>
    </row>
    <row r="9" spans="1:16" s="16" customFormat="1" ht="19.5" x14ac:dyDescent="0.4">
      <c r="C9" s="163" t="s">
        <v>1617</v>
      </c>
      <c r="D9" s="163"/>
    </row>
    <row r="10" spans="1:16" ht="16.5" x14ac:dyDescent="0.25">
      <c r="C10" s="139"/>
      <c r="D10" s="139"/>
    </row>
    <row r="11" spans="1:16" ht="18.75" x14ac:dyDescent="0.4">
      <c r="C11" s="632" t="s">
        <v>247</v>
      </c>
      <c r="D11" s="701" t="s">
        <v>98</v>
      </c>
    </row>
    <row r="12" spans="1:16" ht="18.75" x14ac:dyDescent="0.4">
      <c r="C12" s="256">
        <v>2017</v>
      </c>
      <c r="D12" s="740">
        <v>0.87</v>
      </c>
    </row>
    <row r="13" spans="1:16" ht="18.75" x14ac:dyDescent="0.4">
      <c r="C13" s="256">
        <v>2018</v>
      </c>
      <c r="D13" s="740">
        <v>0.7</v>
      </c>
    </row>
    <row r="14" spans="1:16" ht="18.75" x14ac:dyDescent="0.4">
      <c r="C14" s="256" t="s">
        <v>1618</v>
      </c>
      <c r="D14" s="740">
        <v>0.77</v>
      </c>
    </row>
    <row r="15" spans="1:16" ht="18.75" x14ac:dyDescent="0.4">
      <c r="C15" s="256">
        <v>2020</v>
      </c>
      <c r="D15" s="740">
        <v>0.77</v>
      </c>
    </row>
    <row r="16" spans="1:16" ht="18.75" x14ac:dyDescent="0.4">
      <c r="C16" s="256">
        <v>2021</v>
      </c>
      <c r="D16" s="740">
        <v>0.67</v>
      </c>
    </row>
    <row r="17" spans="3:6" ht="18.75" x14ac:dyDescent="0.4">
      <c r="C17" s="256">
        <v>2022</v>
      </c>
      <c r="D17" s="740" t="s">
        <v>1619</v>
      </c>
    </row>
    <row r="18" spans="3:6" ht="17.45" customHeight="1" x14ac:dyDescent="0.4">
      <c r="C18" s="256">
        <v>2023</v>
      </c>
      <c r="D18" s="740" t="s">
        <v>1619</v>
      </c>
    </row>
    <row r="19" spans="3:6" ht="18.75" x14ac:dyDescent="0.4">
      <c r="C19" s="281" t="s">
        <v>1620</v>
      </c>
      <c r="D19" s="281"/>
    </row>
    <row r="20" spans="3:6" ht="18.75" x14ac:dyDescent="0.25">
      <c r="C20" s="2629" t="s">
        <v>1621</v>
      </c>
      <c r="D20" s="2629"/>
      <c r="E20" s="2629"/>
      <c r="F20" s="2629"/>
    </row>
  </sheetData>
  <mergeCells count="10">
    <mergeCell ref="A6:B6"/>
    <mergeCell ref="C6:P6"/>
    <mergeCell ref="C20:F20"/>
    <mergeCell ref="C1:D1"/>
    <mergeCell ref="A3:B3"/>
    <mergeCell ref="C3:P3"/>
    <mergeCell ref="A4:B4"/>
    <mergeCell ref="C4:P4"/>
    <mergeCell ref="A5:B5"/>
    <mergeCell ref="C5:P5"/>
  </mergeCells>
  <hyperlinks>
    <hyperlink ref="A1" location="'ODS 3.'!A1" display="REGRESAR" xr:uid="{5A11473B-4352-4A5B-96FA-EC01F530E80F}"/>
    <hyperlink ref="C1" location="'Metadato 3.d.1'!A1" display="VER METADATO" xr:uid="{7F4976D3-72C7-442C-80A5-E39F8AD950C7}"/>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FA98-79C8-4611-A770-FC3FFCC560AC}">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604" t="s">
        <v>75</v>
      </c>
      <c r="C3" s="2604"/>
      <c r="D3" s="2604"/>
      <c r="F3" s="91" t="s">
        <v>76</v>
      </c>
    </row>
    <row r="4" spans="1:6" x14ac:dyDescent="0.4">
      <c r="A4" s="92"/>
      <c r="B4" s="2606" t="s">
        <v>234</v>
      </c>
      <c r="C4" s="2606"/>
      <c r="D4" s="359" t="s">
        <v>832</v>
      </c>
    </row>
    <row r="5" spans="1:6" ht="37.5" x14ac:dyDescent="0.4">
      <c r="B5" s="2445" t="s">
        <v>79</v>
      </c>
      <c r="C5" s="2445"/>
      <c r="D5" s="49" t="s">
        <v>728</v>
      </c>
    </row>
    <row r="6" spans="1:6" x14ac:dyDescent="0.4">
      <c r="B6" s="2445" t="s">
        <v>80</v>
      </c>
      <c r="C6" s="2445"/>
      <c r="D6" s="50" t="s">
        <v>729</v>
      </c>
    </row>
    <row r="7" spans="1:6" ht="26.65" customHeight="1" x14ac:dyDescent="0.4">
      <c r="B7" s="2446" t="s">
        <v>81</v>
      </c>
      <c r="C7" s="2446"/>
      <c r="D7" s="667" t="s">
        <v>730</v>
      </c>
    </row>
    <row r="8" spans="1:6" x14ac:dyDescent="0.4">
      <c r="B8" s="2474" t="s">
        <v>82</v>
      </c>
      <c r="C8" s="2474"/>
      <c r="D8" s="94" t="s">
        <v>1622</v>
      </c>
    </row>
    <row r="10" spans="1:6" ht="23.25" customHeight="1" x14ac:dyDescent="0.4">
      <c r="B10" s="2604" t="s">
        <v>85</v>
      </c>
      <c r="C10" s="2604"/>
      <c r="D10" s="2604"/>
    </row>
    <row r="11" spans="1:6" ht="37.15" customHeight="1" x14ac:dyDescent="0.4">
      <c r="B11" s="2633" t="s">
        <v>86</v>
      </c>
      <c r="C11" s="2634"/>
      <c r="D11" s="359" t="s">
        <v>1623</v>
      </c>
    </row>
    <row r="12" spans="1:6" ht="14.65" customHeight="1" x14ac:dyDescent="0.4">
      <c r="B12" s="2455" t="s">
        <v>88</v>
      </c>
      <c r="C12" s="2455"/>
      <c r="D12" s="214" t="s">
        <v>1624</v>
      </c>
    </row>
    <row r="13" spans="1:6" x14ac:dyDescent="0.4">
      <c r="B13" s="2445" t="s">
        <v>90</v>
      </c>
      <c r="C13" s="2445"/>
      <c r="D13" s="54" t="s">
        <v>729</v>
      </c>
    </row>
    <row r="14" spans="1:6" x14ac:dyDescent="0.4">
      <c r="B14" s="2445" t="s">
        <v>91</v>
      </c>
      <c r="C14" s="2456"/>
      <c r="D14" s="54" t="s">
        <v>214</v>
      </c>
    </row>
    <row r="15" spans="1:6" ht="93.75" x14ac:dyDescent="0.4">
      <c r="B15" s="2445" t="s">
        <v>93</v>
      </c>
      <c r="C15" s="2445"/>
      <c r="D15" s="49" t="s">
        <v>1625</v>
      </c>
    </row>
    <row r="16" spans="1:6" ht="66" customHeight="1" x14ac:dyDescent="0.4">
      <c r="B16" s="2445" t="s">
        <v>95</v>
      </c>
      <c r="C16" s="2445"/>
      <c r="D16" s="49"/>
    </row>
    <row r="17" spans="2:4" x14ac:dyDescent="0.4">
      <c r="B17" s="2445" t="s">
        <v>97</v>
      </c>
      <c r="C17" s="2445"/>
      <c r="D17" s="55" t="s">
        <v>98</v>
      </c>
    </row>
    <row r="18" spans="2:4" x14ac:dyDescent="0.4">
      <c r="B18" s="2446" t="s">
        <v>99</v>
      </c>
      <c r="C18" s="2446"/>
      <c r="D18" s="49"/>
    </row>
    <row r="19" spans="2:4" ht="75" x14ac:dyDescent="0.4">
      <c r="B19" s="2457" t="s">
        <v>100</v>
      </c>
      <c r="C19" s="2458"/>
      <c r="D19" s="55" t="s">
        <v>1626</v>
      </c>
    </row>
    <row r="20" spans="2:4" x14ac:dyDescent="0.4">
      <c r="B20" s="2445" t="s">
        <v>102</v>
      </c>
      <c r="C20" s="2445"/>
      <c r="D20" s="49" t="s">
        <v>140</v>
      </c>
    </row>
    <row r="21" spans="2:4" x14ac:dyDescent="0.4">
      <c r="B21" s="2451" t="s">
        <v>104</v>
      </c>
      <c r="C21" s="95" t="s">
        <v>105</v>
      </c>
      <c r="D21" s="49" t="s">
        <v>1186</v>
      </c>
    </row>
    <row r="22" spans="2:4" x14ac:dyDescent="0.4">
      <c r="B22" s="2452"/>
      <c r="C22" s="96" t="s">
        <v>107</v>
      </c>
      <c r="D22" s="55" t="s">
        <v>1186</v>
      </c>
    </row>
    <row r="23" spans="2:4" x14ac:dyDescent="0.4">
      <c r="B23" s="2444" t="s">
        <v>109</v>
      </c>
      <c r="C23" s="2444"/>
      <c r="D23" s="49" t="s">
        <v>143</v>
      </c>
    </row>
    <row r="24" spans="2:4" x14ac:dyDescent="0.4">
      <c r="B24" s="2444" t="s">
        <v>111</v>
      </c>
      <c r="C24" s="2444"/>
      <c r="D24" s="205" t="s">
        <v>522</v>
      </c>
    </row>
    <row r="25" spans="2:4" x14ac:dyDescent="0.4">
      <c r="B25" s="2445" t="s">
        <v>113</v>
      </c>
      <c r="C25" s="2445"/>
      <c r="D25" s="56" t="s">
        <v>220</v>
      </c>
    </row>
    <row r="26" spans="2:4" ht="14.65" customHeight="1" x14ac:dyDescent="0.4">
      <c r="B26" s="2446" t="s">
        <v>115</v>
      </c>
      <c r="C26" s="2446"/>
      <c r="D26" s="205" t="s">
        <v>1627</v>
      </c>
    </row>
    <row r="27" spans="2:4" x14ac:dyDescent="0.4">
      <c r="B27" s="2447" t="s">
        <v>117</v>
      </c>
      <c r="C27" s="2448"/>
      <c r="D27" s="49"/>
    </row>
    <row r="28" spans="2:4" ht="112.5" x14ac:dyDescent="0.4">
      <c r="B28" s="97" t="s">
        <v>118</v>
      </c>
      <c r="C28" s="98"/>
      <c r="D28" s="49" t="s">
        <v>1628</v>
      </c>
    </row>
    <row r="29" spans="2:4" x14ac:dyDescent="0.4">
      <c r="B29" s="2449" t="s">
        <v>120</v>
      </c>
      <c r="C29" s="2450"/>
      <c r="D29" s="62" t="s">
        <v>1629</v>
      </c>
    </row>
    <row r="30" spans="2:4" x14ac:dyDescent="0.4">
      <c r="B30" s="628"/>
      <c r="C30" s="628"/>
      <c r="D30" s="629"/>
    </row>
    <row r="31" spans="2:4" ht="23.25" customHeight="1" x14ac:dyDescent="0.4">
      <c r="B31" s="2604" t="s">
        <v>121</v>
      </c>
      <c r="C31" s="2604"/>
      <c r="D31" s="2604"/>
    </row>
    <row r="32" spans="2:4" x14ac:dyDescent="0.4">
      <c r="B32" s="2631" t="s">
        <v>122</v>
      </c>
      <c r="C32" s="2632"/>
      <c r="D32" s="741" t="s">
        <v>1630</v>
      </c>
    </row>
    <row r="33" spans="2:4" x14ac:dyDescent="0.4">
      <c r="B33" s="2442" t="s">
        <v>124</v>
      </c>
      <c r="C33" s="2443"/>
      <c r="D33" s="699" t="s">
        <v>1631</v>
      </c>
    </row>
    <row r="34" spans="2:4" x14ac:dyDescent="0.4">
      <c r="B34" s="2442" t="s">
        <v>126</v>
      </c>
      <c r="C34" s="2443"/>
      <c r="D34" s="699" t="s">
        <v>522</v>
      </c>
    </row>
    <row r="35" spans="2:4" x14ac:dyDescent="0.4">
      <c r="B35" s="2442" t="s">
        <v>128</v>
      </c>
      <c r="C35" s="2443"/>
      <c r="D35" s="699" t="s">
        <v>1632</v>
      </c>
    </row>
    <row r="36" spans="2:4" x14ac:dyDescent="0.4">
      <c r="B36" s="2442" t="s">
        <v>130</v>
      </c>
      <c r="C36" s="2443"/>
      <c r="D36" s="742" t="s">
        <v>1633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CD7EEB8-CBC4-40B0-BF32-DA531616A6AA}"/>
    <dataValidation type="list" allowBlank="1" showInputMessage="1" showErrorMessage="1" sqref="D4" xr:uid="{C33F4620-FFAA-4532-B65F-53D67AFBF856}">
      <formula1>ODS</formula1>
    </dataValidation>
    <dataValidation type="list" allowBlank="1" showInputMessage="1" showErrorMessage="1" sqref="D5" xr:uid="{22710D7C-C96C-4BEC-96EA-A4AC61DB26AF}">
      <formula1>Metas_ODS</formula1>
    </dataValidation>
    <dataValidation type="list" allowBlank="1" showInputMessage="1" showErrorMessage="1" sqref="D6" xr:uid="{E80FA3E6-C939-4816-9564-DBFF87670B54}">
      <formula1>Numero_indicador</formula1>
    </dataValidation>
    <dataValidation type="list" allowBlank="1" showInputMessage="1" showErrorMessage="1" sqref="D7" xr:uid="{CD837DED-D0C7-4021-AA3A-B2663E93340F}">
      <formula1>Nombre_indicador_ODS</formula1>
    </dataValidation>
    <dataValidation type="list" allowBlank="1" showInputMessage="1" showErrorMessage="1" sqref="D14" xr:uid="{283B62C3-582C-4120-AC5A-CB819D818C09}">
      <formula1>Tipo_indicador</formula1>
    </dataValidation>
    <dataValidation type="list" allowBlank="1" showInputMessage="1" showErrorMessage="1" sqref="D25" xr:uid="{BE72605A-9058-4E40-B2D9-944124786CC2}">
      <formula1>Tipo_operación</formula1>
    </dataValidation>
  </dataValidations>
  <hyperlinks>
    <hyperlink ref="B1" location="'3.d.1'!A1" display="REGRESAR" xr:uid="{DCD8798E-EEED-45A9-8281-EE988450852A}"/>
    <hyperlink ref="D8" r:id="rId1" xr:uid="{05D699F4-6863-4B42-ACE4-73FC745DF597}"/>
    <hyperlink ref="D36" r:id="rId2" xr:uid="{E70F5594-9D19-4AA7-99CB-8951B835ADB7}"/>
  </hyperlinks>
  <pageMargins left="0.7" right="0.7" top="0.75" bottom="0.75" header="0.3" footer="0.3"/>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78B59-8FAC-45CD-AD6D-6AB564351702}">
  <sheetPr>
    <tabColor theme="5"/>
  </sheetPr>
  <dimension ref="A1:O11"/>
  <sheetViews>
    <sheetView showGridLines="0" zoomScaleNormal="100" workbookViewId="0">
      <pane ySplit="1" topLeftCell="A5" activePane="bottomLeft" state="frozen"/>
      <selection activeCell="R16" sqref="R16"/>
      <selection pane="bottomLeft" activeCell="R16" sqref="R16"/>
    </sheetView>
  </sheetViews>
  <sheetFormatPr baseColWidth="10" defaultColWidth="11.42578125" defaultRowHeight="12.75" x14ac:dyDescent="0.25"/>
  <cols>
    <col min="1" max="2" width="15.28515625" style="22" customWidth="1"/>
    <col min="3" max="3" width="11.7109375" style="89" customWidth="1"/>
    <col min="4" max="10" width="11.7109375" style="22" customWidth="1"/>
    <col min="11" max="16384" width="11.42578125" style="22"/>
  </cols>
  <sheetData>
    <row r="1" spans="1:15" s="16" customFormat="1" ht="19.5" x14ac:dyDescent="0.4">
      <c r="A1" s="15" t="s">
        <v>39</v>
      </c>
      <c r="B1" s="161"/>
      <c r="C1" s="2421" t="s">
        <v>149</v>
      </c>
      <c r="D1" s="2421"/>
    </row>
    <row r="2" spans="1:15" s="16" customFormat="1" ht="19.5" x14ac:dyDescent="0.4">
      <c r="C2" s="218"/>
    </row>
    <row r="3" spans="1:15" s="162" customFormat="1" ht="19.5" x14ac:dyDescent="0.25">
      <c r="A3" s="2574" t="s">
        <v>41</v>
      </c>
      <c r="B3" s="2574"/>
      <c r="C3" s="2574" t="s">
        <v>733</v>
      </c>
      <c r="D3" s="2575"/>
      <c r="E3" s="2575"/>
      <c r="F3" s="2575"/>
      <c r="G3" s="2575"/>
      <c r="H3" s="2575"/>
      <c r="I3" s="2575"/>
      <c r="J3" s="2575"/>
      <c r="K3" s="2575"/>
      <c r="L3" s="2575"/>
      <c r="M3" s="2575"/>
      <c r="N3" s="2575"/>
      <c r="O3" s="2575"/>
    </row>
    <row r="4" spans="1:15" s="162" customFormat="1" ht="19.5" x14ac:dyDescent="0.25">
      <c r="A4" s="2574" t="s">
        <v>42</v>
      </c>
      <c r="B4" s="2574"/>
      <c r="C4" s="2574" t="s">
        <v>728</v>
      </c>
      <c r="D4" s="2575"/>
      <c r="E4" s="2575"/>
      <c r="F4" s="2575"/>
      <c r="G4" s="2575"/>
      <c r="H4" s="2575"/>
      <c r="I4" s="2575"/>
      <c r="J4" s="2575"/>
      <c r="K4" s="2575"/>
      <c r="L4" s="2575"/>
      <c r="M4" s="2575"/>
      <c r="N4" s="2575"/>
      <c r="O4" s="2575"/>
    </row>
    <row r="5" spans="1:15" s="162" customFormat="1" ht="19.5" x14ac:dyDescent="0.25">
      <c r="A5" s="2574" t="s">
        <v>43</v>
      </c>
      <c r="B5" s="2574"/>
      <c r="C5" s="2574" t="s">
        <v>1634</v>
      </c>
      <c r="D5" s="2575"/>
      <c r="E5" s="2575"/>
      <c r="F5" s="2575"/>
      <c r="G5" s="2575"/>
      <c r="H5" s="2575"/>
      <c r="I5" s="2575"/>
      <c r="J5" s="2575"/>
      <c r="K5" s="2575"/>
      <c r="L5" s="2575"/>
      <c r="M5" s="2575"/>
      <c r="N5" s="2575"/>
      <c r="O5" s="2575"/>
    </row>
    <row r="6" spans="1:15" s="162" customFormat="1" ht="19.5" x14ac:dyDescent="0.25">
      <c r="A6" s="2574" t="s">
        <v>132</v>
      </c>
      <c r="B6" s="2575"/>
      <c r="C6" s="2574"/>
      <c r="D6" s="2575"/>
      <c r="E6" s="2575"/>
      <c r="F6" s="2575"/>
      <c r="G6" s="2575"/>
      <c r="H6" s="2575"/>
      <c r="I6" s="2575"/>
      <c r="J6" s="2575"/>
      <c r="K6" s="2575"/>
      <c r="L6" s="2575"/>
      <c r="M6" s="2575"/>
      <c r="N6" s="2575"/>
      <c r="O6" s="2575"/>
    </row>
    <row r="7" spans="1:15" s="16" customFormat="1" ht="19.5" x14ac:dyDescent="0.4">
      <c r="A7" s="217"/>
      <c r="C7" s="218"/>
    </row>
    <row r="8" spans="1:15" s="16" customFormat="1" ht="19.5" x14ac:dyDescent="0.4">
      <c r="A8" s="217"/>
      <c r="C8" s="218"/>
    </row>
    <row r="9" spans="1:15" s="16" customFormat="1" ht="19.5" x14ac:dyDescent="0.4">
      <c r="C9" s="218"/>
    </row>
    <row r="10" spans="1:15" s="16" customFormat="1" ht="19.5" x14ac:dyDescent="0.4">
      <c r="C10" s="2506" t="s">
        <v>243</v>
      </c>
      <c r="D10" s="2506"/>
      <c r="E10" s="2506"/>
      <c r="F10" s="2506"/>
      <c r="G10" s="2506"/>
      <c r="H10" s="2506"/>
      <c r="I10" s="2506"/>
      <c r="J10" s="2506"/>
      <c r="K10" s="2506"/>
      <c r="L10" s="2506"/>
      <c r="M10" s="2506"/>
      <c r="N10" s="2506"/>
      <c r="O10" s="2506"/>
    </row>
    <row r="11" spans="1:15" s="16" customFormat="1" ht="19.5" x14ac:dyDescent="0.4">
      <c r="C11" s="2506"/>
      <c r="D11" s="2506"/>
      <c r="E11" s="2506"/>
      <c r="F11" s="2506"/>
      <c r="G11" s="2506"/>
      <c r="H11" s="2506"/>
      <c r="I11" s="2506"/>
      <c r="J11" s="2506"/>
      <c r="K11" s="2506"/>
      <c r="L11" s="2506"/>
      <c r="M11" s="2506"/>
      <c r="N11" s="2506"/>
      <c r="O11" s="2506"/>
    </row>
  </sheetData>
  <mergeCells count="10">
    <mergeCell ref="A6:B6"/>
    <mergeCell ref="C6:O6"/>
    <mergeCell ref="C10:O11"/>
    <mergeCell ref="C1:D1"/>
    <mergeCell ref="A3:B3"/>
    <mergeCell ref="C3:O3"/>
    <mergeCell ref="A4:B4"/>
    <mergeCell ref="C4:O4"/>
    <mergeCell ref="A5:B5"/>
    <mergeCell ref="C5:O5"/>
  </mergeCells>
  <hyperlinks>
    <hyperlink ref="A1" location="'ODS 3.'!A1" display="REGRESAR" xr:uid="{0AE6A423-C834-4EDC-867B-3FA409E29237}"/>
    <hyperlink ref="C1" location="'Metadato 3.d.1'!A1" display="VER METADATO" xr:uid="{1DBC3C9A-D78F-4CAB-8063-BFC2D9CEDA55}"/>
    <hyperlink ref="C1:D1" location="'Metadato 3.d.2'!A1" display="VER METADATO" xr:uid="{AEBC4951-2CC3-4177-93D6-26540D0F059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88FB-8551-4915-8C90-8AF640EB79B3}">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604" t="s">
        <v>75</v>
      </c>
      <c r="C3" s="2604"/>
      <c r="D3" s="2604"/>
      <c r="F3" s="91" t="s">
        <v>76</v>
      </c>
    </row>
    <row r="4" spans="1:6" x14ac:dyDescent="0.4">
      <c r="A4" s="92"/>
      <c r="B4" s="2606" t="s">
        <v>234</v>
      </c>
      <c r="C4" s="2606"/>
      <c r="D4" s="359" t="s">
        <v>832</v>
      </c>
    </row>
    <row r="5" spans="1:6" ht="37.5" x14ac:dyDescent="0.4">
      <c r="B5" s="2445" t="s">
        <v>79</v>
      </c>
      <c r="C5" s="2445"/>
      <c r="D5" s="49" t="s">
        <v>728</v>
      </c>
    </row>
    <row r="6" spans="1:6" x14ac:dyDescent="0.4">
      <c r="B6" s="2445" t="s">
        <v>80</v>
      </c>
      <c r="C6" s="2445"/>
      <c r="D6" s="50" t="s">
        <v>731</v>
      </c>
    </row>
    <row r="7" spans="1:6" ht="35.450000000000003" customHeight="1" x14ac:dyDescent="0.4">
      <c r="B7" s="2446" t="s">
        <v>81</v>
      </c>
      <c r="C7" s="2446"/>
      <c r="D7" s="667" t="s">
        <v>732</v>
      </c>
    </row>
    <row r="8" spans="1:6" x14ac:dyDescent="0.4">
      <c r="B8" s="2474" t="s">
        <v>82</v>
      </c>
      <c r="C8" s="2474"/>
      <c r="D8" s="94" t="s">
        <v>1622</v>
      </c>
    </row>
    <row r="10" spans="1:6" ht="23.25" customHeight="1" x14ac:dyDescent="0.4">
      <c r="B10" s="2604" t="s">
        <v>85</v>
      </c>
      <c r="C10" s="2604"/>
      <c r="D10" s="2604"/>
    </row>
    <row r="11" spans="1:6" x14ac:dyDescent="0.4">
      <c r="B11" s="2633" t="s">
        <v>86</v>
      </c>
      <c r="C11" s="2634"/>
      <c r="D11" s="359"/>
    </row>
    <row r="12" spans="1:6" x14ac:dyDescent="0.4">
      <c r="B12" s="2455" t="s">
        <v>88</v>
      </c>
      <c r="C12" s="2455"/>
      <c r="D12" s="214"/>
    </row>
    <row r="13" spans="1:6" x14ac:dyDescent="0.4">
      <c r="B13" s="2445" t="s">
        <v>90</v>
      </c>
      <c r="C13" s="2445"/>
      <c r="D13" s="54"/>
    </row>
    <row r="14" spans="1:6" x14ac:dyDescent="0.4">
      <c r="B14" s="2445" t="s">
        <v>91</v>
      </c>
      <c r="C14" s="2456"/>
      <c r="D14" s="54"/>
    </row>
    <row r="15" spans="1:6" x14ac:dyDescent="0.4">
      <c r="B15" s="2445" t="s">
        <v>93</v>
      </c>
      <c r="C15" s="2445"/>
      <c r="D15" s="49"/>
    </row>
    <row r="16" spans="1:6" ht="66" customHeight="1"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4" t="s">
        <v>109</v>
      </c>
      <c r="C23" s="2444"/>
      <c r="D23" s="49"/>
    </row>
    <row r="24" spans="2:4" x14ac:dyDescent="0.4">
      <c r="B24" s="2444" t="s">
        <v>111</v>
      </c>
      <c r="C24" s="2444"/>
      <c r="D24" s="205"/>
    </row>
    <row r="25" spans="2:4" x14ac:dyDescent="0.4">
      <c r="B25" s="2445" t="s">
        <v>113</v>
      </c>
      <c r="C25" s="2445"/>
      <c r="D25" s="56"/>
    </row>
    <row r="26" spans="2:4" x14ac:dyDescent="0.4">
      <c r="B26" s="2446" t="s">
        <v>115</v>
      </c>
      <c r="C26" s="2446"/>
      <c r="D26" s="205"/>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28"/>
      <c r="C30" s="628"/>
      <c r="D30" s="629"/>
    </row>
    <row r="31" spans="2:4" ht="23.25" customHeight="1" x14ac:dyDescent="0.4">
      <c r="B31" s="2604" t="s">
        <v>121</v>
      </c>
      <c r="C31" s="2604"/>
      <c r="D31" s="2604"/>
    </row>
    <row r="32" spans="2:4" x14ac:dyDescent="0.4">
      <c r="B32" s="2631" t="s">
        <v>122</v>
      </c>
      <c r="C32" s="2632"/>
      <c r="D32" s="741"/>
    </row>
    <row r="33" spans="2:4" x14ac:dyDescent="0.4">
      <c r="B33" s="2442" t="s">
        <v>124</v>
      </c>
      <c r="C33" s="2443"/>
      <c r="D33" s="699"/>
    </row>
    <row r="34" spans="2:4" x14ac:dyDescent="0.4">
      <c r="B34" s="2442" t="s">
        <v>126</v>
      </c>
      <c r="C34" s="2443"/>
      <c r="D34" s="699"/>
    </row>
    <row r="35" spans="2:4" x14ac:dyDescent="0.4">
      <c r="B35" s="2442" t="s">
        <v>128</v>
      </c>
      <c r="C35" s="2443"/>
      <c r="D35" s="699"/>
    </row>
    <row r="36" spans="2:4" x14ac:dyDescent="0.4">
      <c r="B36" s="2442" t="s">
        <v>130</v>
      </c>
      <c r="C36" s="2443"/>
      <c r="D36" s="74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23B0FF8-ABDD-4F85-A175-F60854AF179C}">
      <formula1>Tipo_operación</formula1>
    </dataValidation>
    <dataValidation type="list" allowBlank="1" showInputMessage="1" showErrorMessage="1" sqref="D14" xr:uid="{EC1B5732-AA27-493E-9027-30A9B2545D09}">
      <formula1>Tipo_indicador</formula1>
    </dataValidation>
    <dataValidation type="list" allowBlank="1" showInputMessage="1" showErrorMessage="1" sqref="D7" xr:uid="{6D79D075-94AE-4026-8392-BD05F785A7BD}">
      <formula1>Nombre_indicador_ODS</formula1>
    </dataValidation>
    <dataValidation type="list" allowBlank="1" showInputMessage="1" showErrorMessage="1" sqref="D6" xr:uid="{7EB9D6C2-B497-49A2-85FF-DE8855841F57}">
      <formula1>Numero_indicador</formula1>
    </dataValidation>
    <dataValidation type="list" allowBlank="1" showInputMessage="1" showErrorMessage="1" sqref="D5" xr:uid="{8672788A-FDCD-4AB5-B302-5190AFB48031}">
      <formula1>Metas_ODS</formula1>
    </dataValidation>
    <dataValidation type="list" allowBlank="1" showInputMessage="1" showErrorMessage="1" sqref="D4" xr:uid="{01FE8D6F-4C95-411B-9648-67ED69F7BC70}">
      <formula1>ODS</formula1>
    </dataValidation>
    <dataValidation allowBlank="1" showDropDown="1" showInputMessage="1" showErrorMessage="1" sqref="D13" xr:uid="{80B2381F-D9FB-4E2D-A25A-D31013D32424}"/>
  </dataValidations>
  <hyperlinks>
    <hyperlink ref="B1" location="'3.d.2'!A1" display="REGRESAR" xr:uid="{43567D03-51BF-4B38-A682-9DBD4CA5F01C}"/>
    <hyperlink ref="D8" r:id="rId1" xr:uid="{1EDA6202-AE46-44F3-BAF4-99AF2FC3B83F}"/>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0C21-0142-462F-A690-37C969A1E619}">
  <sheetPr>
    <tabColor rgb="FFC00000"/>
  </sheetPr>
  <dimension ref="A1:E16"/>
  <sheetViews>
    <sheetView showGridLines="0" workbookViewId="0">
      <pane ySplit="4" topLeftCell="A14" activePane="bottomLeft" state="frozen"/>
      <selection activeCell="R16" sqref="R16"/>
      <selection pane="bottomLeft" sqref="A1:B1"/>
    </sheetView>
  </sheetViews>
  <sheetFormatPr baseColWidth="10" defaultColWidth="11.5703125" defaultRowHeight="18.75" x14ac:dyDescent="0.4"/>
  <cols>
    <col min="1" max="2" width="11.5703125" style="5"/>
    <col min="3" max="3" width="62.42578125" style="5" customWidth="1"/>
    <col min="4" max="4" width="18.28515625" style="5" customWidth="1"/>
    <col min="5" max="5" width="82.7109375" style="5" customWidth="1"/>
    <col min="6" max="16384" width="11.5703125" style="5"/>
  </cols>
  <sheetData>
    <row r="1" spans="1:5" ht="19.5" x14ac:dyDescent="0.4">
      <c r="A1" s="2410" t="s">
        <v>1</v>
      </c>
      <c r="B1" s="2410"/>
    </row>
    <row r="3" spans="1:5" ht="56.25" customHeight="1" x14ac:dyDescent="0.4">
      <c r="C3" s="2669" t="s">
        <v>1635</v>
      </c>
      <c r="D3" s="2669"/>
      <c r="E3" s="2669"/>
    </row>
    <row r="4" spans="1:5" s="263" customFormat="1" ht="47.45" customHeight="1" x14ac:dyDescent="0.4">
      <c r="C4" s="8" t="s">
        <v>3</v>
      </c>
      <c r="D4" s="8" t="s">
        <v>4</v>
      </c>
      <c r="E4" s="8" t="s">
        <v>5</v>
      </c>
    </row>
    <row r="5" spans="1:5" s="3" customFormat="1" ht="66" customHeight="1" x14ac:dyDescent="0.25">
      <c r="C5" s="2408" t="s">
        <v>1636</v>
      </c>
      <c r="D5" s="11" t="s">
        <v>1637</v>
      </c>
      <c r="E5" s="12" t="s">
        <v>1638</v>
      </c>
    </row>
    <row r="6" spans="1:5" s="3" customFormat="1" ht="39" customHeight="1" x14ac:dyDescent="0.25">
      <c r="C6" s="2409"/>
      <c r="D6" s="11" t="s">
        <v>1639</v>
      </c>
      <c r="E6" s="12" t="s">
        <v>1640</v>
      </c>
    </row>
    <row r="7" spans="1:5" s="3" customFormat="1" ht="39" customHeight="1" x14ac:dyDescent="0.25">
      <c r="C7" s="2408" t="s">
        <v>1641</v>
      </c>
      <c r="D7" s="11" t="s">
        <v>1642</v>
      </c>
      <c r="E7" s="12" t="s">
        <v>1643</v>
      </c>
    </row>
    <row r="8" spans="1:5" s="3" customFormat="1" ht="60" customHeight="1" x14ac:dyDescent="0.25">
      <c r="C8" s="2409"/>
      <c r="D8" s="11" t="s">
        <v>1644</v>
      </c>
      <c r="E8" s="12" t="s">
        <v>1645</v>
      </c>
    </row>
    <row r="9" spans="1:5" s="3" customFormat="1" ht="58.5" x14ac:dyDescent="0.25">
      <c r="C9" s="10" t="s">
        <v>1646</v>
      </c>
      <c r="D9" s="11" t="s">
        <v>1647</v>
      </c>
      <c r="E9" s="12" t="s">
        <v>1648</v>
      </c>
    </row>
    <row r="10" spans="1:5" s="3" customFormat="1" ht="78" x14ac:dyDescent="0.25">
      <c r="C10" s="10" t="s">
        <v>1649</v>
      </c>
      <c r="D10" s="11" t="s">
        <v>1650</v>
      </c>
      <c r="E10" s="12" t="s">
        <v>1651</v>
      </c>
    </row>
    <row r="11" spans="1:5" s="3" customFormat="1" ht="117" x14ac:dyDescent="0.25">
      <c r="C11" s="10" t="s">
        <v>1652</v>
      </c>
      <c r="D11" s="11" t="s">
        <v>1653</v>
      </c>
      <c r="E11" s="12" t="s">
        <v>1654</v>
      </c>
    </row>
    <row r="12" spans="1:5" s="3" customFormat="1" ht="78" x14ac:dyDescent="0.25">
      <c r="C12" s="10" t="s">
        <v>1655</v>
      </c>
      <c r="D12" s="11" t="s">
        <v>1656</v>
      </c>
      <c r="E12" s="12" t="s">
        <v>1657</v>
      </c>
    </row>
    <row r="13" spans="1:5" s="3" customFormat="1" ht="114.75" customHeight="1" x14ac:dyDescent="0.25">
      <c r="C13" s="10" t="s">
        <v>1658</v>
      </c>
      <c r="D13" s="11" t="s">
        <v>1659</v>
      </c>
      <c r="E13" s="12" t="s">
        <v>1660</v>
      </c>
    </row>
    <row r="14" spans="1:5" s="3" customFormat="1" ht="97.5" x14ac:dyDescent="0.25">
      <c r="C14" s="10" t="s">
        <v>1661</v>
      </c>
      <c r="D14" s="11" t="s">
        <v>1662</v>
      </c>
      <c r="E14" s="12" t="s">
        <v>1663</v>
      </c>
    </row>
    <row r="15" spans="1:5" s="3" customFormat="1" ht="195" x14ac:dyDescent="0.25">
      <c r="C15" s="10" t="s">
        <v>1664</v>
      </c>
      <c r="D15" s="13" t="s">
        <v>1665</v>
      </c>
      <c r="E15" s="14" t="s">
        <v>1666</v>
      </c>
    </row>
    <row r="16" spans="1:5" ht="97.5" x14ac:dyDescent="0.4">
      <c r="C16" s="10" t="s">
        <v>1667</v>
      </c>
      <c r="D16" s="11" t="s">
        <v>1668</v>
      </c>
      <c r="E16" s="12" t="s">
        <v>1669</v>
      </c>
    </row>
  </sheetData>
  <mergeCells count="4">
    <mergeCell ref="A1:B1"/>
    <mergeCell ref="C3:E3"/>
    <mergeCell ref="C5:C6"/>
    <mergeCell ref="C7:C8"/>
  </mergeCells>
  <hyperlinks>
    <hyperlink ref="A1" location="Objetivos!A1" display="REGRESAR A INICIO" xr:uid="{47A58848-261D-4166-84C8-44FF4AF39529}"/>
    <hyperlink ref="A1:B1" location="'Lista de Objetivos'!A1" display="REGRESAR A INICIO" xr:uid="{4B0656CD-FB18-4449-B526-F0661425292B}"/>
    <hyperlink ref="D5" location="'4.1.1'!A1" display="4.1.1" xr:uid="{2C26F7A0-3527-4DD2-858B-F157752C296C}"/>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32F1823B-C750-476C-8092-A411E145046B}"/>
    <hyperlink ref="D6" location="'4.1.2'!A1" display="4.1.2" xr:uid="{1BB80E85-613A-4582-897E-187A06DC4B25}"/>
    <hyperlink ref="E6" location="'4.1.2'!A1" display="4.1.2 _x0009_Índice de finalización (enseñanza primaria, primer ciclo de enseñanza secundaria y segundo ciclo de enseñanza secundaria)" xr:uid="{C77DC0E8-10FE-430A-957F-3286B875BCED}"/>
    <hyperlink ref="D7" location="'4.2.1'!A1" display="4.2.1" xr:uid="{DA94C2C2-A315-4388-B74A-2A8499B59DBF}"/>
    <hyperlink ref="E7" location="'4.2.1'!A1" display="4.2.1 Proporción de niños de 24 a 59 meses cuyo desarrollo es adecuado en cuanto a la salud, el aprendizaje y el bienestar psicosocial, desglosada por sexoi" xr:uid="{ECC2B1F7-FE7B-4E99-824E-746F28775770}"/>
    <hyperlink ref="D8" location="'4.2.2'!A1" display="4.2.2" xr:uid="{80AF7F06-C8B7-4892-ACCC-99645DDB154E}"/>
    <hyperlink ref="E8" location="'4.2.2'!A1" display="4.2.2 Tasa de participación en el aprendizaje organizado (un año antes de la edad oficial de ingreso en la enseñanza primaria), desglosada por sexo" xr:uid="{E0C09411-18BE-4949-8650-C7F01B8CC683}"/>
    <hyperlink ref="D9" location="'4.3.1'!A1" display="4.3.1" xr:uid="{DC633814-94D6-4690-9258-4EDABEFA7582}"/>
    <hyperlink ref="E9" location="'4.3.1'!A1" display="4.3.1 Tasa de participación de los jóvenes y adultos en la enseñanza y formación académica y no académica en los últimos 12 meses, desglosada por sexo" xr:uid="{311F7FFB-18F3-4D81-91E6-A98C0E983465}"/>
    <hyperlink ref="D10" location="'4.4.1'!A1" display="4.4.1" xr:uid="{90BE8F72-319E-4959-84A1-CB861A45FB20}"/>
    <hyperlink ref="E10" location="'4.4.1'!A1" display="4.4.1 Proporción de jóvenes y adultos con competencias en tecnología de la información y las comunicaciones (TIC), desglosada por tipo de competencia técnica" xr:uid="{083BC446-74A6-48B9-83F2-6FA19E2DAF96}"/>
    <hyperlink ref="D11" location="'4.5.1'!A1" display="4.5.1" xr:uid="{E9FF87E1-62E8-43E2-8E4C-99EF64BC318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629B3521-C2E7-42DB-986B-8B8F948BD14A}"/>
    <hyperlink ref="D12" location="'4.6.1'!A1" display="4.6.1" xr:uid="{90779026-E29D-4F9C-8333-1460D5F82340}"/>
    <hyperlink ref="E12" location="'4.6.1'!A1" display="4.6.1 Proporción de la población en un grupo de edad determinado que ha alcanzado al menos un nivel fijo de competencia funcional en a) alfabetización y b) nociones elementales de aritmética, desglosada por sexo" xr:uid="{23A8BB2D-3BB3-4B68-9DF0-BAF5CA46D848}"/>
    <hyperlink ref="D13" location="'4.7.1'!A1" display="4.7.1" xr:uid="{3F4C1875-B683-4702-8F75-0DD3592E24A5}"/>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A35B8A70-05B1-4EF9-A97B-1817DC341731}"/>
    <hyperlink ref="D14" location="'4.a.1'!A1" display="4.a.1" xr:uid="{F6F2CFD3-2B82-43F9-8176-1156A1B587CE}"/>
    <hyperlink ref="E14" location="'4.a.1'!A1" display="4.a.1 Proporción de escuelas que ofrecen servicios básicos, desglosada por tipo de servicio" xr:uid="{6CCF8BC9-BA88-434E-8B9C-B06038AC90E4}"/>
    <hyperlink ref="D15" location="'4.b.1'!A1" display="4.b.1" xr:uid="{ED580B31-8462-403E-950E-2D0C81D2776E}"/>
    <hyperlink ref="E15" location="'4.b.1'!A1" display="4.b.1 Volumen de la asistencia oficial para el desarrollo destinada a becas, desglosado por sector y tipo de estudio" xr:uid="{B2E90988-3508-4DC0-829F-0D2339FD6CE0}"/>
    <hyperlink ref="D16" location="'4.c.1'!A1" display="4.c.1" xr:uid="{C825ED69-8B58-49D2-A6B2-E059C97BBBFC}"/>
    <hyperlink ref="E16" location="'4.c.1'!A1" display="4.c.1 Proporción de docentes con las calificaciones mínimas requeridas, por nivel educativoi" xr:uid="{1EBA78FB-D31B-472D-B3C9-4F5A127CB22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2E05-DB39-4B00-AE65-9225E4812406}">
  <sheetPr>
    <tabColor theme="0" tint="-0.499984740745262"/>
  </sheetPr>
  <dimension ref="A1:G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8.75" x14ac:dyDescent="0.4"/>
  <cols>
    <col min="1" max="1" width="8.42578125" style="5" customWidth="1"/>
    <col min="2" max="2" width="26.42578125" style="5" customWidth="1"/>
    <col min="3" max="3" width="24" style="5" customWidth="1"/>
    <col min="4" max="4" width="85.7109375" style="5" customWidth="1"/>
    <col min="5" max="5" width="9.28515625" style="5" customWidth="1"/>
    <col min="6" max="6" width="7.28515625" style="5" customWidth="1"/>
    <col min="7" max="7" width="8.42578125" style="5" customWidth="1"/>
    <col min="8" max="8" width="1.28515625" style="5" customWidth="1"/>
    <col min="9" max="9" width="8.28515625" style="5" customWidth="1"/>
    <col min="10" max="10" width="9.28515625" style="5" customWidth="1"/>
    <col min="11" max="14" width="8.28515625" style="5" customWidth="1"/>
    <col min="15" max="16384" width="11.42578125" style="5"/>
  </cols>
  <sheetData>
    <row r="1" spans="1:7" x14ac:dyDescent="0.4">
      <c r="B1" s="90" t="s">
        <v>39</v>
      </c>
    </row>
    <row r="2" spans="1:7" ht="19.5" thickBot="1" x14ac:dyDescent="0.45"/>
    <row r="3" spans="1:7" ht="23.25" customHeight="1" thickBot="1" x14ac:dyDescent="0.45">
      <c r="B3" s="2431" t="s">
        <v>75</v>
      </c>
      <c r="C3" s="2431"/>
      <c r="D3" s="2431"/>
      <c r="F3" s="91" t="s">
        <v>76</v>
      </c>
    </row>
    <row r="4" spans="1:7" ht="18" customHeight="1" x14ac:dyDescent="0.4">
      <c r="A4" s="92"/>
      <c r="B4" s="2445" t="s">
        <v>234</v>
      </c>
      <c r="C4" s="2445"/>
      <c r="D4" s="49" t="s">
        <v>78</v>
      </c>
    </row>
    <row r="5" spans="1:7" ht="61.5" customHeight="1" x14ac:dyDescent="0.4">
      <c r="B5" s="2445" t="s">
        <v>79</v>
      </c>
      <c r="C5" s="2445"/>
      <c r="D5" s="49" t="s">
        <v>17</v>
      </c>
    </row>
    <row r="6" spans="1:7" x14ac:dyDescent="0.4">
      <c r="B6" s="2445" t="s">
        <v>80</v>
      </c>
      <c r="C6" s="2445"/>
      <c r="D6" s="50" t="s">
        <v>18</v>
      </c>
    </row>
    <row r="7" spans="1:7" ht="15" customHeight="1" x14ac:dyDescent="0.4">
      <c r="B7" s="2446" t="s">
        <v>81</v>
      </c>
      <c r="C7" s="2446"/>
      <c r="D7" s="93" t="s">
        <v>19</v>
      </c>
    </row>
    <row r="8" spans="1:7" ht="15" customHeight="1" x14ac:dyDescent="0.4">
      <c r="B8" s="2474" t="s">
        <v>210</v>
      </c>
      <c r="C8" s="2474"/>
      <c r="D8" s="94" t="s">
        <v>235</v>
      </c>
    </row>
    <row r="10" spans="1:7" ht="23.25" customHeight="1" x14ac:dyDescent="0.4">
      <c r="B10" s="2431" t="s">
        <v>85</v>
      </c>
      <c r="C10" s="2431"/>
      <c r="D10" s="2431"/>
    </row>
    <row r="11" spans="1:7" x14ac:dyDescent="0.4">
      <c r="B11" s="2453" t="s">
        <v>86</v>
      </c>
      <c r="C11" s="2454"/>
      <c r="D11" s="49" t="s">
        <v>167</v>
      </c>
    </row>
    <row r="12" spans="1:7" ht="32.25" customHeight="1" x14ac:dyDescent="0.4">
      <c r="B12" s="2455" t="s">
        <v>88</v>
      </c>
      <c r="C12" s="2455"/>
      <c r="D12" s="169" t="s">
        <v>236</v>
      </c>
    </row>
    <row r="13" spans="1:7" x14ac:dyDescent="0.4">
      <c r="B13" s="2445" t="s">
        <v>90</v>
      </c>
      <c r="C13" s="2445"/>
      <c r="D13" s="54" t="s">
        <v>18</v>
      </c>
    </row>
    <row r="14" spans="1:7" x14ac:dyDescent="0.4">
      <c r="B14" s="2445" t="s">
        <v>91</v>
      </c>
      <c r="C14" s="2456"/>
      <c r="D14" s="54" t="s">
        <v>214</v>
      </c>
    </row>
    <row r="15" spans="1:7" ht="288" customHeight="1" x14ac:dyDescent="0.4">
      <c r="B15" s="2445" t="s">
        <v>93</v>
      </c>
      <c r="C15" s="2445"/>
      <c r="D15" s="56" t="s">
        <v>237</v>
      </c>
    </row>
    <row r="16" spans="1:7" ht="42.75" customHeight="1" x14ac:dyDescent="0.4">
      <c r="B16" s="2445" t="s">
        <v>95</v>
      </c>
      <c r="C16" s="2445"/>
      <c r="D16" s="49" t="s">
        <v>216</v>
      </c>
      <c r="G16" s="170"/>
    </row>
    <row r="17" spans="2:4" ht="15" customHeight="1" x14ac:dyDescent="0.4">
      <c r="B17" s="2445" t="s">
        <v>97</v>
      </c>
      <c r="C17" s="2445"/>
      <c r="D17" s="56" t="s">
        <v>238</v>
      </c>
    </row>
    <row r="18" spans="2:4" x14ac:dyDescent="0.4">
      <c r="B18" s="2446" t="s">
        <v>99</v>
      </c>
      <c r="C18" s="2446"/>
      <c r="D18" s="49"/>
    </row>
    <row r="19" spans="2:4" ht="31.5" customHeight="1" x14ac:dyDescent="0.4">
      <c r="B19" s="2457" t="s">
        <v>100</v>
      </c>
      <c r="C19" s="2458"/>
      <c r="D19" s="56" t="s">
        <v>239</v>
      </c>
    </row>
    <row r="20" spans="2:4" x14ac:dyDescent="0.4">
      <c r="B20" s="2445" t="s">
        <v>102</v>
      </c>
      <c r="C20" s="2445"/>
      <c r="D20" s="49" t="s">
        <v>140</v>
      </c>
    </row>
    <row r="21" spans="2:4" x14ac:dyDescent="0.4">
      <c r="B21" s="2451" t="s">
        <v>104</v>
      </c>
      <c r="C21" s="95" t="s">
        <v>105</v>
      </c>
      <c r="D21" s="49" t="s">
        <v>141</v>
      </c>
    </row>
    <row r="22" spans="2:4" x14ac:dyDescent="0.4">
      <c r="B22" s="2452"/>
      <c r="C22" s="96" t="s">
        <v>107</v>
      </c>
      <c r="D22" s="55" t="s">
        <v>48</v>
      </c>
    </row>
    <row r="23" spans="2:4" x14ac:dyDescent="0.4">
      <c r="B23" s="2444" t="s">
        <v>109</v>
      </c>
      <c r="C23" s="2444"/>
      <c r="D23" s="49" t="s">
        <v>143</v>
      </c>
    </row>
    <row r="24" spans="2:4" x14ac:dyDescent="0.4">
      <c r="B24" s="2444" t="s">
        <v>111</v>
      </c>
      <c r="C24" s="2444"/>
      <c r="D24" s="59" t="s">
        <v>147</v>
      </c>
    </row>
    <row r="25" spans="2:4" x14ac:dyDescent="0.4">
      <c r="B25" s="2445" t="s">
        <v>113</v>
      </c>
      <c r="C25" s="2445"/>
      <c r="D25" s="56" t="s">
        <v>144</v>
      </c>
    </row>
    <row r="26" spans="2:4" ht="15" customHeight="1" x14ac:dyDescent="0.4">
      <c r="B26" s="2446" t="s">
        <v>115</v>
      </c>
      <c r="C26" s="2446"/>
      <c r="D26" s="59" t="s">
        <v>145</v>
      </c>
    </row>
    <row r="27" spans="2:4" x14ac:dyDescent="0.4">
      <c r="B27" s="2447" t="s">
        <v>117</v>
      </c>
      <c r="C27" s="2448"/>
      <c r="D27" s="49"/>
    </row>
    <row r="28" spans="2:4" ht="56.25" x14ac:dyDescent="0.4">
      <c r="B28" s="97" t="s">
        <v>118</v>
      </c>
      <c r="C28" s="98"/>
      <c r="D28" s="56" t="s">
        <v>240</v>
      </c>
    </row>
    <row r="29" spans="2:4" x14ac:dyDescent="0.4">
      <c r="B29" s="2449" t="s">
        <v>120</v>
      </c>
      <c r="C29" s="2450"/>
      <c r="D29" s="62"/>
    </row>
    <row r="30" spans="2:4" x14ac:dyDescent="0.4">
      <c r="B30" s="63"/>
      <c r="C30" s="63"/>
      <c r="D30" s="64"/>
    </row>
    <row r="31" spans="2:4" ht="23.25" customHeight="1" x14ac:dyDescent="0.4">
      <c r="B31" s="2431" t="s">
        <v>121</v>
      </c>
      <c r="C31" s="2431"/>
      <c r="D31" s="2431"/>
    </row>
    <row r="32" spans="2:4" x14ac:dyDescent="0.4">
      <c r="B32" s="2442" t="s">
        <v>122</v>
      </c>
      <c r="C32" s="2443"/>
      <c r="D32" s="59" t="s">
        <v>123</v>
      </c>
    </row>
    <row r="33" spans="2:4" x14ac:dyDescent="0.4">
      <c r="B33" s="2442" t="s">
        <v>124</v>
      </c>
      <c r="C33" s="2443"/>
      <c r="D33" s="59" t="s">
        <v>125</v>
      </c>
    </row>
    <row r="34" spans="2:4" x14ac:dyDescent="0.4">
      <c r="B34" s="2442" t="s">
        <v>126</v>
      </c>
      <c r="C34" s="2443"/>
      <c r="D34" s="59" t="s">
        <v>147</v>
      </c>
    </row>
    <row r="35" spans="2:4" x14ac:dyDescent="0.4">
      <c r="B35" s="2442" t="s">
        <v>128</v>
      </c>
      <c r="C35" s="2443"/>
      <c r="D35" s="59" t="s">
        <v>241</v>
      </c>
    </row>
    <row r="36" spans="2:4" x14ac:dyDescent="0.4">
      <c r="B36" s="2442" t="s">
        <v>130</v>
      </c>
      <c r="C36" s="2443"/>
      <c r="D36" s="59"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9ACB96AA-2C1B-436D-899E-FF158E9622D3}">
      <formula1>Nombre_indicador_ODS</formula1>
    </dataValidation>
    <dataValidation type="list" allowBlank="1" showInputMessage="1" showErrorMessage="1" sqref="D6" xr:uid="{13A09471-53ED-4FEE-8200-C4F6EB8D0F1A}">
      <formula1>Numero_indicador</formula1>
    </dataValidation>
    <dataValidation type="list" allowBlank="1" showInputMessage="1" showErrorMessage="1" sqref="D5" xr:uid="{6C8BBA3D-3B56-4ED4-814D-0CA4FF78C3F0}">
      <formula1>Metas_ODS</formula1>
    </dataValidation>
    <dataValidation type="list" allowBlank="1" showInputMessage="1" showErrorMessage="1" sqref="D4" xr:uid="{AA721EFD-F5CF-4B25-9505-EA5ACF01AAEC}">
      <formula1>ODS</formula1>
    </dataValidation>
    <dataValidation allowBlank="1" showDropDown="1" showInputMessage="1" showErrorMessage="1" sqref="D13" xr:uid="{3DE0141E-EE08-4114-8142-0BFD0F61EA3F}"/>
  </dataValidations>
  <hyperlinks>
    <hyperlink ref="B1" location="'1.4.1'!A1" display="REGRESAR" xr:uid="{56103E9A-9114-466D-A905-0C1ABAED59E9}"/>
    <hyperlink ref="D8" r:id="rId1" xr:uid="{7EDF29FE-655F-4C6A-9028-9179983A10C8}"/>
  </hyperlinks>
  <pageMargins left="0.7" right="0.7" top="0.75" bottom="0.75" header="0.3" footer="0.3"/>
  <pageSetup orientation="portrait" horizontalDpi="4294967294" verticalDpi="4294967294"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BCD1-23F2-4EA5-9D61-54F2BB8CC592}">
  <dimension ref="A1:U46"/>
  <sheetViews>
    <sheetView showGridLines="0" workbookViewId="0">
      <pane ySplit="1" topLeftCell="A2" activePane="bottomLeft" state="frozen"/>
      <selection activeCell="B1" sqref="B1"/>
      <selection pane="bottomLeft"/>
    </sheetView>
  </sheetViews>
  <sheetFormatPr baseColWidth="10" defaultColWidth="11.42578125" defaultRowHeight="12.75" x14ac:dyDescent="0.25"/>
  <cols>
    <col min="1" max="2" width="15.5703125" style="175" customWidth="1"/>
    <col min="3" max="3" width="8.28515625" style="175" customWidth="1"/>
    <col min="4" max="6" width="11.42578125" style="175"/>
    <col min="7" max="7" width="11.28515625" style="175" customWidth="1"/>
    <col min="8" max="16384" width="11.42578125" style="175"/>
  </cols>
  <sheetData>
    <row r="1" spans="1:21" s="162" customFormat="1" ht="19.5" x14ac:dyDescent="0.25">
      <c r="A1" s="68" t="s">
        <v>39</v>
      </c>
      <c r="C1" s="2562" t="s">
        <v>149</v>
      </c>
      <c r="D1" s="2562"/>
    </row>
    <row r="2" spans="1:21" s="162" customFormat="1" ht="19.5" x14ac:dyDescent="0.25"/>
    <row r="3" spans="1:21" s="162" customFormat="1" ht="19.5" x14ac:dyDescent="0.25">
      <c r="A3" s="2671" t="s">
        <v>41</v>
      </c>
      <c r="B3" s="2671"/>
      <c r="C3" s="2671" t="s">
        <v>1670</v>
      </c>
      <c r="D3" s="2671"/>
      <c r="E3" s="2671"/>
      <c r="F3" s="2671"/>
      <c r="G3" s="2671"/>
      <c r="H3" s="2671"/>
      <c r="I3" s="2671"/>
      <c r="J3" s="2671"/>
      <c r="K3" s="2671"/>
      <c r="L3" s="2671"/>
      <c r="M3" s="2671"/>
      <c r="N3" s="2671"/>
      <c r="O3" s="2671"/>
      <c r="P3" s="2671"/>
      <c r="Q3" s="2671"/>
      <c r="R3" s="2671"/>
    </row>
    <row r="4" spans="1:21" s="162" customFormat="1" ht="15.75" customHeight="1" x14ac:dyDescent="0.25">
      <c r="A4" s="2671" t="s">
        <v>42</v>
      </c>
      <c r="B4" s="2671"/>
      <c r="C4" s="2672" t="s">
        <v>1636</v>
      </c>
      <c r="D4" s="2672"/>
      <c r="E4" s="2672"/>
      <c r="F4" s="2672"/>
      <c r="G4" s="2672"/>
      <c r="H4" s="2672"/>
      <c r="I4" s="2672"/>
      <c r="J4" s="2672"/>
      <c r="K4" s="2672"/>
      <c r="L4" s="2672"/>
      <c r="M4" s="2672"/>
      <c r="N4" s="2672"/>
      <c r="O4" s="2672"/>
      <c r="P4" s="2672"/>
      <c r="Q4" s="2672"/>
      <c r="R4" s="2672"/>
    </row>
    <row r="5" spans="1:21" s="162" customFormat="1" ht="34.15" customHeight="1" x14ac:dyDescent="0.25">
      <c r="A5" s="2671" t="s">
        <v>43</v>
      </c>
      <c r="B5" s="2671"/>
      <c r="C5" s="2672" t="s">
        <v>1671</v>
      </c>
      <c r="D5" s="2672"/>
      <c r="E5" s="2672"/>
      <c r="F5" s="2672"/>
      <c r="G5" s="2672"/>
      <c r="H5" s="2672"/>
      <c r="I5" s="2672"/>
      <c r="J5" s="2672"/>
      <c r="K5" s="2672"/>
      <c r="L5" s="2672"/>
      <c r="M5" s="2672"/>
      <c r="N5" s="2672"/>
      <c r="O5" s="2672"/>
      <c r="P5" s="2672"/>
      <c r="Q5" s="2672"/>
      <c r="R5" s="2672"/>
    </row>
    <row r="6" spans="1:21" s="162" customFormat="1" ht="36.6" customHeight="1" x14ac:dyDescent="0.25">
      <c r="A6" s="2671" t="s">
        <v>132</v>
      </c>
      <c r="B6" s="2671"/>
      <c r="C6" s="2672" t="s">
        <v>1672</v>
      </c>
      <c r="D6" s="2672"/>
      <c r="E6" s="2672"/>
      <c r="F6" s="2672"/>
      <c r="G6" s="2672"/>
      <c r="H6" s="2672"/>
      <c r="I6" s="2672"/>
      <c r="J6" s="2672"/>
      <c r="K6" s="2672"/>
      <c r="L6" s="2672"/>
      <c r="M6" s="2672"/>
      <c r="N6" s="2672"/>
      <c r="O6" s="2672"/>
      <c r="P6" s="2672"/>
      <c r="Q6" s="2672"/>
      <c r="R6" s="2672"/>
    </row>
    <row r="7" spans="1:21" s="162" customFormat="1" ht="19.5" x14ac:dyDescent="0.25"/>
    <row r="8" spans="1:21" s="162" customFormat="1" ht="19.5" x14ac:dyDescent="0.25"/>
    <row r="9" spans="1:21" s="162" customFormat="1" ht="47.45" customHeight="1" x14ac:dyDescent="0.25">
      <c r="C9" s="2673" t="s">
        <v>1673</v>
      </c>
      <c r="D9" s="2673"/>
      <c r="E9" s="2673"/>
      <c r="F9" s="2673"/>
      <c r="G9" s="2673"/>
      <c r="H9" s="2673"/>
      <c r="I9" s="2673"/>
      <c r="J9" s="2673"/>
      <c r="K9" s="2673"/>
      <c r="L9" s="2673"/>
      <c r="M9" s="2673"/>
      <c r="N9" s="2673"/>
      <c r="O9" s="2673"/>
      <c r="P9" s="2673"/>
      <c r="Q9" s="2673"/>
      <c r="R9" s="2673"/>
      <c r="S9" s="2673"/>
      <c r="T9" s="2673"/>
      <c r="U9" s="2673"/>
    </row>
    <row r="10" spans="1:21" ht="18.75" x14ac:dyDescent="0.25">
      <c r="C10" s="2674" t="s">
        <v>1674</v>
      </c>
      <c r="D10" s="2677" t="s">
        <v>1675</v>
      </c>
      <c r="E10" s="2677"/>
      <c r="F10" s="2677"/>
      <c r="G10" s="2677"/>
      <c r="H10" s="2677"/>
      <c r="I10" s="2677"/>
      <c r="J10" s="2677" t="s">
        <v>1676</v>
      </c>
      <c r="K10" s="2677"/>
      <c r="L10" s="2677"/>
      <c r="M10" s="2677"/>
      <c r="N10" s="2677"/>
      <c r="O10" s="2677"/>
      <c r="P10" s="2677" t="s">
        <v>1677</v>
      </c>
      <c r="Q10" s="2677"/>
      <c r="R10" s="2677"/>
      <c r="S10" s="2677"/>
      <c r="T10" s="2677"/>
      <c r="U10" s="2677"/>
    </row>
    <row r="11" spans="1:21" ht="18.75" x14ac:dyDescent="0.25">
      <c r="C11" s="2675"/>
      <c r="D11" s="2677" t="s">
        <v>1678</v>
      </c>
      <c r="E11" s="2677"/>
      <c r="F11" s="2677"/>
      <c r="G11" s="2677" t="s">
        <v>1679</v>
      </c>
      <c r="H11" s="2677"/>
      <c r="I11" s="2677"/>
      <c r="J11" s="2677" t="s">
        <v>1678</v>
      </c>
      <c r="K11" s="2677"/>
      <c r="L11" s="2677"/>
      <c r="M11" s="2677" t="s">
        <v>1679</v>
      </c>
      <c r="N11" s="2677"/>
      <c r="O11" s="2677"/>
      <c r="P11" s="2677" t="s">
        <v>1678</v>
      </c>
      <c r="Q11" s="2677"/>
      <c r="R11" s="2677"/>
      <c r="S11" s="2677" t="s">
        <v>1679</v>
      </c>
      <c r="T11" s="2677"/>
      <c r="U11" s="2677"/>
    </row>
    <row r="12" spans="1:21" ht="37.5" x14ac:dyDescent="0.25">
      <c r="C12" s="2676"/>
      <c r="D12" s="743" t="s">
        <v>1680</v>
      </c>
      <c r="E12" s="743" t="s">
        <v>895</v>
      </c>
      <c r="F12" s="743" t="s">
        <v>894</v>
      </c>
      <c r="G12" s="743" t="s">
        <v>1680</v>
      </c>
      <c r="H12" s="743" t="s">
        <v>895</v>
      </c>
      <c r="I12" s="743" t="s">
        <v>894</v>
      </c>
      <c r="J12" s="743" t="s">
        <v>1680</v>
      </c>
      <c r="K12" s="743" t="s">
        <v>895</v>
      </c>
      <c r="L12" s="743" t="s">
        <v>894</v>
      </c>
      <c r="M12" s="743" t="s">
        <v>1680</v>
      </c>
      <c r="N12" s="743" t="s">
        <v>895</v>
      </c>
      <c r="O12" s="743" t="s">
        <v>894</v>
      </c>
      <c r="P12" s="743" t="s">
        <v>1680</v>
      </c>
      <c r="Q12" s="743" t="s">
        <v>895</v>
      </c>
      <c r="R12" s="743" t="s">
        <v>894</v>
      </c>
      <c r="S12" s="743" t="s">
        <v>1680</v>
      </c>
      <c r="T12" s="743" t="s">
        <v>895</v>
      </c>
      <c r="U12" s="743" t="s">
        <v>894</v>
      </c>
    </row>
    <row r="13" spans="1:21" ht="18.75" x14ac:dyDescent="0.25">
      <c r="C13" s="744">
        <v>2012</v>
      </c>
      <c r="D13" s="745"/>
      <c r="E13" s="745"/>
      <c r="F13" s="745"/>
      <c r="G13" s="745"/>
      <c r="H13" s="745"/>
      <c r="I13" s="745"/>
      <c r="J13" s="745"/>
      <c r="K13" s="745"/>
      <c r="L13" s="745"/>
      <c r="M13" s="745"/>
      <c r="N13" s="745"/>
      <c r="O13" s="745"/>
      <c r="P13" s="745">
        <v>40.130000000000003</v>
      </c>
      <c r="Q13" s="745">
        <v>33.4</v>
      </c>
      <c r="R13" s="745">
        <v>47.74</v>
      </c>
      <c r="S13" s="745">
        <v>67.62</v>
      </c>
      <c r="T13" s="745">
        <v>74.09</v>
      </c>
      <c r="U13" s="745">
        <v>60.29</v>
      </c>
    </row>
    <row r="14" spans="1:21" ht="18.75" x14ac:dyDescent="0.25">
      <c r="C14" s="744">
        <v>2013</v>
      </c>
      <c r="D14" s="745">
        <v>84.36</v>
      </c>
      <c r="E14" s="745">
        <v>83.97</v>
      </c>
      <c r="F14" s="745">
        <v>84.73</v>
      </c>
      <c r="G14" s="745">
        <v>89.28</v>
      </c>
      <c r="H14" s="745">
        <v>91.3</v>
      </c>
      <c r="I14" s="745">
        <v>87.4</v>
      </c>
      <c r="J14" s="745">
        <v>60.09</v>
      </c>
      <c r="K14" s="745">
        <v>56.82</v>
      </c>
      <c r="L14" s="745">
        <v>63.21</v>
      </c>
      <c r="M14" s="745">
        <v>68.3</v>
      </c>
      <c r="N14" s="745">
        <v>69.55</v>
      </c>
      <c r="O14" s="745">
        <v>67.16</v>
      </c>
      <c r="P14" s="745"/>
      <c r="Q14" s="745"/>
      <c r="R14" s="745"/>
      <c r="S14" s="745"/>
      <c r="T14" s="745"/>
      <c r="U14" s="745"/>
    </row>
    <row r="15" spans="1:21" ht="18.75" x14ac:dyDescent="0.25">
      <c r="C15" s="744">
        <v>2015</v>
      </c>
      <c r="D15" s="745"/>
      <c r="E15" s="745"/>
      <c r="F15" s="745"/>
      <c r="G15" s="745"/>
      <c r="H15" s="745"/>
      <c r="I15" s="745"/>
      <c r="J15" s="745"/>
      <c r="K15" s="745"/>
      <c r="L15" s="745"/>
      <c r="M15" s="745"/>
      <c r="N15" s="745"/>
      <c r="O15" s="745"/>
      <c r="P15" s="745">
        <v>37.5</v>
      </c>
      <c r="Q15" s="745">
        <v>32.479999999999997</v>
      </c>
      <c r="R15" s="745">
        <v>42.69</v>
      </c>
      <c r="S15" s="745">
        <v>59.69</v>
      </c>
      <c r="T15" s="745">
        <v>63.31</v>
      </c>
      <c r="U15" s="745">
        <v>55.96</v>
      </c>
    </row>
    <row r="16" spans="1:21" ht="18.75" x14ac:dyDescent="0.25">
      <c r="C16" s="744">
        <v>2018</v>
      </c>
      <c r="D16" s="745"/>
      <c r="E16" s="745"/>
      <c r="F16" s="745"/>
      <c r="G16" s="745"/>
      <c r="H16" s="745"/>
      <c r="I16" s="745"/>
      <c r="J16" s="745"/>
      <c r="K16" s="745"/>
      <c r="L16" s="745"/>
      <c r="M16" s="745"/>
      <c r="N16" s="745"/>
      <c r="O16" s="745"/>
      <c r="P16" s="745">
        <v>40</v>
      </c>
      <c r="Q16" s="745">
        <v>35.49</v>
      </c>
      <c r="R16" s="745">
        <v>44.63</v>
      </c>
      <c r="S16" s="745">
        <v>58.04</v>
      </c>
      <c r="T16" s="745">
        <v>61.28</v>
      </c>
      <c r="U16" s="745">
        <v>54.71</v>
      </c>
    </row>
    <row r="17" spans="3:21" ht="18.75" x14ac:dyDescent="0.25">
      <c r="C17" s="746">
        <v>2019</v>
      </c>
      <c r="D17" s="747">
        <v>66.61</v>
      </c>
      <c r="E17" s="747">
        <v>64.33</v>
      </c>
      <c r="F17" s="747">
        <v>68.83</v>
      </c>
      <c r="G17" s="747">
        <v>74.69</v>
      </c>
      <c r="H17" s="747">
        <v>77.48</v>
      </c>
      <c r="I17" s="747">
        <v>71.97</v>
      </c>
      <c r="J17" s="747">
        <v>20.92</v>
      </c>
      <c r="K17" s="747">
        <v>19.09</v>
      </c>
      <c r="L17" s="747">
        <v>22.76</v>
      </c>
      <c r="M17" s="747">
        <v>54.05</v>
      </c>
      <c r="N17" s="747">
        <v>56.64</v>
      </c>
      <c r="O17" s="747">
        <v>51.44</v>
      </c>
      <c r="P17" s="747"/>
      <c r="Q17" s="747"/>
      <c r="R17" s="747"/>
      <c r="S17" s="747"/>
      <c r="T17" s="747"/>
      <c r="U17" s="747"/>
    </row>
    <row r="18" spans="3:21" ht="18.75" x14ac:dyDescent="0.25">
      <c r="C18" s="748" t="s">
        <v>1681</v>
      </c>
      <c r="D18" s="36"/>
      <c r="E18" s="36"/>
      <c r="F18" s="36"/>
      <c r="G18" s="36"/>
      <c r="H18" s="36"/>
      <c r="I18" s="36"/>
      <c r="J18" s="36"/>
      <c r="K18" s="36"/>
      <c r="L18" s="36"/>
      <c r="M18" s="36"/>
      <c r="N18" s="36"/>
      <c r="O18" s="36"/>
      <c r="P18" s="36"/>
      <c r="Q18" s="36"/>
      <c r="R18" s="36"/>
      <c r="S18" s="36"/>
      <c r="T18" s="36"/>
      <c r="U18" s="36"/>
    </row>
    <row r="19" spans="3:21" ht="18.75" x14ac:dyDescent="0.25">
      <c r="C19" s="36" t="s">
        <v>1682</v>
      </c>
      <c r="D19" s="36"/>
      <c r="E19" s="36"/>
      <c r="F19" s="36"/>
      <c r="G19" s="36"/>
      <c r="H19" s="36"/>
      <c r="I19" s="36"/>
      <c r="J19" s="36"/>
      <c r="K19" s="36"/>
      <c r="L19" s="36"/>
      <c r="M19" s="36"/>
      <c r="N19" s="36"/>
      <c r="O19" s="36"/>
      <c r="P19" s="36"/>
      <c r="Q19" s="36"/>
      <c r="R19" s="36"/>
      <c r="S19" s="36"/>
      <c r="T19" s="36"/>
      <c r="U19" s="36"/>
    </row>
    <row r="20" spans="3:21" ht="18.75" x14ac:dyDescent="0.25">
      <c r="C20" s="36"/>
      <c r="D20" s="36"/>
      <c r="E20" s="36"/>
      <c r="F20" s="36"/>
      <c r="G20" s="36"/>
      <c r="H20" s="36"/>
      <c r="I20" s="36"/>
      <c r="J20" s="36"/>
      <c r="K20" s="36"/>
      <c r="L20" s="36"/>
      <c r="M20" s="36"/>
      <c r="N20" s="36"/>
      <c r="O20" s="36"/>
      <c r="P20" s="36"/>
      <c r="Q20" s="36"/>
      <c r="R20" s="36"/>
      <c r="S20" s="36"/>
      <c r="T20" s="36"/>
      <c r="U20" s="36"/>
    </row>
    <row r="23" spans="3:21" ht="19.5" x14ac:dyDescent="0.25">
      <c r="C23" s="266" t="s">
        <v>1683</v>
      </c>
    </row>
    <row r="24" spans="3:21" ht="19.5" x14ac:dyDescent="0.25">
      <c r="C24" s="266" t="s">
        <v>1684</v>
      </c>
    </row>
    <row r="25" spans="3:21" x14ac:dyDescent="0.25">
      <c r="M25" s="749"/>
      <c r="N25" s="2670">
        <v>2013</v>
      </c>
      <c r="O25" s="2670"/>
      <c r="P25" s="2670"/>
      <c r="Q25" s="2670">
        <v>2014</v>
      </c>
      <c r="R25" s="2670"/>
      <c r="S25" s="2670"/>
    </row>
    <row r="26" spans="3:21" x14ac:dyDescent="0.25">
      <c r="M26" s="749"/>
      <c r="N26" s="749" t="s">
        <v>1685</v>
      </c>
      <c r="O26" s="749" t="s">
        <v>895</v>
      </c>
      <c r="P26" s="749" t="s">
        <v>894</v>
      </c>
      <c r="Q26" s="749" t="s">
        <v>1685</v>
      </c>
      <c r="R26" s="749" t="s">
        <v>895</v>
      </c>
      <c r="S26" s="749" t="s">
        <v>894</v>
      </c>
    </row>
    <row r="27" spans="3:21" x14ac:dyDescent="0.25">
      <c r="M27" s="749" t="s">
        <v>1686</v>
      </c>
      <c r="N27" s="750">
        <v>60.09</v>
      </c>
      <c r="O27" s="750">
        <v>56.82</v>
      </c>
      <c r="P27" s="750">
        <v>63.21</v>
      </c>
      <c r="Q27" s="750">
        <v>20.92</v>
      </c>
      <c r="R27" s="750">
        <v>19.09</v>
      </c>
      <c r="S27" s="750">
        <v>22.76</v>
      </c>
    </row>
    <row r="28" spans="3:21" x14ac:dyDescent="0.25">
      <c r="M28" s="749" t="s">
        <v>1687</v>
      </c>
      <c r="N28" s="750">
        <v>68.3</v>
      </c>
      <c r="O28" s="750">
        <v>69.55</v>
      </c>
      <c r="P28" s="750">
        <v>67.16</v>
      </c>
      <c r="Q28" s="750">
        <v>54.05</v>
      </c>
      <c r="R28" s="750">
        <v>56.64</v>
      </c>
      <c r="S28" s="750">
        <v>51.44</v>
      </c>
      <c r="T28" s="551"/>
    </row>
    <row r="29" spans="3:21" x14ac:dyDescent="0.25">
      <c r="M29" s="749"/>
      <c r="N29" s="2670" t="s">
        <v>1686</v>
      </c>
      <c r="O29" s="2670"/>
      <c r="P29" s="2670"/>
      <c r="Q29" s="2670" t="s">
        <v>1687</v>
      </c>
      <c r="R29" s="2670"/>
      <c r="S29" s="2670"/>
      <c r="T29" s="551"/>
    </row>
    <row r="30" spans="3:21" x14ac:dyDescent="0.25">
      <c r="M30" s="749"/>
      <c r="N30" s="749" t="s">
        <v>47</v>
      </c>
      <c r="O30" s="749" t="s">
        <v>895</v>
      </c>
      <c r="P30" s="749" t="s">
        <v>894</v>
      </c>
      <c r="Q30" s="749" t="s">
        <v>47</v>
      </c>
      <c r="R30" s="749" t="s">
        <v>895</v>
      </c>
      <c r="S30" s="749" t="s">
        <v>894</v>
      </c>
      <c r="T30" s="551"/>
    </row>
    <row r="31" spans="3:21" x14ac:dyDescent="0.25">
      <c r="M31" s="749">
        <v>2013</v>
      </c>
      <c r="N31" s="751">
        <v>60.09</v>
      </c>
      <c r="O31" s="751">
        <v>56.82</v>
      </c>
      <c r="P31" s="751">
        <v>63.21</v>
      </c>
      <c r="Q31" s="751">
        <v>68.3</v>
      </c>
      <c r="R31" s="751">
        <v>69.55</v>
      </c>
      <c r="S31" s="751">
        <v>67.16</v>
      </c>
      <c r="T31" s="551"/>
    </row>
    <row r="32" spans="3:21" x14ac:dyDescent="0.25">
      <c r="M32" s="749">
        <v>2014</v>
      </c>
      <c r="N32" s="751">
        <v>20.92</v>
      </c>
      <c r="O32" s="751">
        <v>19.09</v>
      </c>
      <c r="P32" s="751">
        <v>22.76</v>
      </c>
      <c r="Q32" s="751">
        <v>54.05</v>
      </c>
      <c r="R32" s="751">
        <v>56.64</v>
      </c>
      <c r="S32" s="751">
        <v>51.44</v>
      </c>
      <c r="T32" s="551"/>
    </row>
    <row r="33" spans="3:20" x14ac:dyDescent="0.25">
      <c r="M33" s="749"/>
      <c r="N33" s="749"/>
      <c r="O33" s="749"/>
      <c r="P33" s="749"/>
      <c r="Q33" s="749"/>
      <c r="R33" s="749"/>
      <c r="S33" s="749"/>
      <c r="T33" s="551"/>
    </row>
    <row r="34" spans="3:20" x14ac:dyDescent="0.25">
      <c r="M34" s="749"/>
      <c r="N34" s="749"/>
      <c r="O34" s="749"/>
      <c r="P34" s="749"/>
      <c r="Q34" s="749"/>
      <c r="R34" s="749"/>
      <c r="S34" s="749"/>
      <c r="T34" s="551"/>
    </row>
    <row r="35" spans="3:20" x14ac:dyDescent="0.25">
      <c r="M35" s="551"/>
      <c r="N35" s="551"/>
      <c r="O35" s="551"/>
      <c r="P35" s="551"/>
      <c r="Q35" s="551"/>
      <c r="R35" s="551"/>
      <c r="S35" s="551"/>
      <c r="T35" s="551"/>
    </row>
    <row r="36" spans="3:20" x14ac:dyDescent="0.25">
      <c r="M36" s="551"/>
      <c r="N36" s="551"/>
      <c r="O36" s="551"/>
      <c r="P36" s="551"/>
      <c r="Q36" s="551"/>
      <c r="R36" s="551"/>
      <c r="S36" s="551"/>
      <c r="T36" s="551"/>
    </row>
    <row r="46" spans="3:20" ht="18.75" x14ac:dyDescent="0.25">
      <c r="C46" s="36" t="s">
        <v>1682</v>
      </c>
    </row>
  </sheetData>
  <mergeCells count="24">
    <mergeCell ref="Q25:S25"/>
    <mergeCell ref="A5:B5"/>
    <mergeCell ref="C5:R5"/>
    <mergeCell ref="C1:D1"/>
    <mergeCell ref="A3:B3"/>
    <mergeCell ref="C3:R3"/>
    <mergeCell ref="A4:B4"/>
    <mergeCell ref="C4:R4"/>
    <mergeCell ref="N29:P29"/>
    <mergeCell ref="Q29:S29"/>
    <mergeCell ref="A6:B6"/>
    <mergeCell ref="C6:R6"/>
    <mergeCell ref="C9:U9"/>
    <mergeCell ref="C10:C12"/>
    <mergeCell ref="D10:I10"/>
    <mergeCell ref="J10:O10"/>
    <mergeCell ref="P10:U10"/>
    <mergeCell ref="D11:F11"/>
    <mergeCell ref="G11:I11"/>
    <mergeCell ref="J11:L11"/>
    <mergeCell ref="M11:O11"/>
    <mergeCell ref="P11:R11"/>
    <mergeCell ref="S11:U11"/>
    <mergeCell ref="N25:P25"/>
  </mergeCells>
  <hyperlinks>
    <hyperlink ref="A1" location="'ODS 4.'!A1" display="REGRESAR" xr:uid="{134D0F6B-5145-4F76-9C2A-CEC9CF1401EF}"/>
    <hyperlink ref="C1" location="'Metadato 4.1.1.a'!A1" display="VER METADATO" xr:uid="{2884D3A9-7FA5-4657-9145-B087BBA8EF94}"/>
    <hyperlink ref="C18" r:id="rId1" xr:uid="{33F6B7DE-2066-47AF-86E8-E7CBDE8D8B97}"/>
    <hyperlink ref="C1:D1" location="'Metadato 4.1.1'!A1" display="VER METADATO" xr:uid="{9120DE59-1CC3-448B-8B51-F64DEF5D9620}"/>
  </hyperlinks>
  <pageMargins left="0.7" right="0.7" top="0.75" bottom="0.75" header="0.3" footer="0.3"/>
  <pageSetup paperSize="9"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FDAF-2DA2-4524-9811-9E079F568E85}">
  <sheetPr>
    <tabColor theme="0" tint="-0.499984740745262"/>
  </sheetPr>
  <dimension ref="A1:F43"/>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ustomWidth="1"/>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78" t="s">
        <v>75</v>
      </c>
      <c r="C3" s="2678"/>
      <c r="D3" s="2678"/>
      <c r="F3" s="91" t="s">
        <v>265</v>
      </c>
    </row>
    <row r="4" spans="1:6" ht="37.5" x14ac:dyDescent="0.25">
      <c r="A4" s="224"/>
      <c r="B4" s="2606" t="s">
        <v>234</v>
      </c>
      <c r="C4" s="2606"/>
      <c r="D4" s="752" t="s">
        <v>1688</v>
      </c>
    </row>
    <row r="5" spans="1:6" ht="37.5" x14ac:dyDescent="0.25">
      <c r="B5" s="2445" t="s">
        <v>1689</v>
      </c>
      <c r="C5" s="2445"/>
      <c r="D5" s="753" t="s">
        <v>1636</v>
      </c>
    </row>
    <row r="6" spans="1:6" x14ac:dyDescent="0.25">
      <c r="B6" s="2445" t="s">
        <v>80</v>
      </c>
      <c r="C6" s="2445"/>
      <c r="D6" s="754" t="s">
        <v>1637</v>
      </c>
    </row>
    <row r="7" spans="1:6" ht="43.5" customHeight="1" x14ac:dyDescent="0.25">
      <c r="B7" s="2446" t="s">
        <v>81</v>
      </c>
      <c r="C7" s="2446"/>
      <c r="D7" s="93" t="s">
        <v>1690</v>
      </c>
    </row>
    <row r="8" spans="1:6" x14ac:dyDescent="0.25">
      <c r="B8" s="2474" t="s">
        <v>82</v>
      </c>
      <c r="C8" s="2474"/>
      <c r="D8" s="94" t="s">
        <v>1691</v>
      </c>
    </row>
    <row r="9" spans="1:6" x14ac:dyDescent="0.25">
      <c r="B9" s="2474"/>
      <c r="C9" s="2474"/>
      <c r="D9" s="94" t="s">
        <v>1692</v>
      </c>
    </row>
    <row r="10" spans="1:6" x14ac:dyDescent="0.4">
      <c r="B10" s="5"/>
      <c r="C10" s="5"/>
      <c r="D10" s="5"/>
    </row>
    <row r="11" spans="1:6" ht="23.25" customHeight="1" x14ac:dyDescent="0.25">
      <c r="B11" s="2678" t="s">
        <v>85</v>
      </c>
      <c r="C11" s="2678"/>
      <c r="D11" s="2678"/>
    </row>
    <row r="12" spans="1:6" ht="18.75" customHeight="1" x14ac:dyDescent="0.25">
      <c r="B12" s="2633" t="s">
        <v>86</v>
      </c>
      <c r="C12" s="2634"/>
      <c r="D12" s="752" t="s">
        <v>167</v>
      </c>
    </row>
    <row r="13" spans="1:6" ht="51" customHeight="1" x14ac:dyDescent="0.25">
      <c r="B13" s="2446" t="s">
        <v>88</v>
      </c>
      <c r="C13" s="2446"/>
      <c r="D13" s="755" t="s">
        <v>1693</v>
      </c>
    </row>
    <row r="14" spans="1:6" x14ac:dyDescent="0.25">
      <c r="B14" s="2445" t="s">
        <v>90</v>
      </c>
      <c r="C14" s="2445"/>
      <c r="D14" s="54" t="s">
        <v>1637</v>
      </c>
    </row>
    <row r="15" spans="1:6" x14ac:dyDescent="0.25">
      <c r="B15" s="2445" t="s">
        <v>91</v>
      </c>
      <c r="C15" s="2456"/>
      <c r="D15" s="54" t="s">
        <v>92</v>
      </c>
    </row>
    <row r="16" spans="1:6" ht="187.5" x14ac:dyDescent="0.25">
      <c r="B16" s="2445" t="s">
        <v>93</v>
      </c>
      <c r="C16" s="2445"/>
      <c r="D16" s="756" t="s">
        <v>1694</v>
      </c>
    </row>
    <row r="17" spans="2:4" ht="113.45" customHeight="1" x14ac:dyDescent="0.4">
      <c r="B17" s="2445" t="s">
        <v>95</v>
      </c>
      <c r="C17" s="2445"/>
      <c r="D17" s="594" t="s">
        <v>1695</v>
      </c>
    </row>
    <row r="18" spans="2:4" x14ac:dyDescent="0.25">
      <c r="B18" s="2445" t="s">
        <v>97</v>
      </c>
      <c r="C18" s="2445"/>
      <c r="D18" s="756" t="s">
        <v>1696</v>
      </c>
    </row>
    <row r="19" spans="2:4" x14ac:dyDescent="0.25">
      <c r="B19" s="2446" t="s">
        <v>99</v>
      </c>
      <c r="C19" s="2446"/>
      <c r="D19" s="753"/>
    </row>
    <row r="20" spans="2:4" ht="93.75" x14ac:dyDescent="0.25">
      <c r="B20" s="2457" t="s">
        <v>100</v>
      </c>
      <c r="C20" s="2458"/>
      <c r="D20" s="756" t="s">
        <v>1697</v>
      </c>
    </row>
    <row r="21" spans="2:4" x14ac:dyDescent="0.25">
      <c r="B21" s="2445" t="s">
        <v>102</v>
      </c>
      <c r="C21" s="2445"/>
      <c r="D21" s="756" t="s">
        <v>140</v>
      </c>
    </row>
    <row r="22" spans="2:4" x14ac:dyDescent="0.25">
      <c r="B22" s="2451" t="s">
        <v>104</v>
      </c>
      <c r="C22" s="95" t="s">
        <v>105</v>
      </c>
      <c r="D22" s="753" t="s">
        <v>313</v>
      </c>
    </row>
    <row r="23" spans="2:4" x14ac:dyDescent="0.25">
      <c r="B23" s="2452"/>
      <c r="C23" s="96" t="s">
        <v>107</v>
      </c>
      <c r="D23" s="756" t="s">
        <v>1698</v>
      </c>
    </row>
    <row r="24" spans="2:4" x14ac:dyDescent="0.25">
      <c r="B24" s="2445" t="s">
        <v>109</v>
      </c>
      <c r="C24" s="2445"/>
      <c r="D24" s="756" t="s">
        <v>1699</v>
      </c>
    </row>
    <row r="25" spans="2:4" ht="75" x14ac:dyDescent="0.25">
      <c r="B25" s="2445" t="s">
        <v>111</v>
      </c>
      <c r="C25" s="2445"/>
      <c r="D25" s="754" t="s">
        <v>1700</v>
      </c>
    </row>
    <row r="26" spans="2:4" x14ac:dyDescent="0.25">
      <c r="B26" s="2445" t="s">
        <v>113</v>
      </c>
      <c r="C26" s="2445"/>
      <c r="D26" s="756" t="s">
        <v>1701</v>
      </c>
    </row>
    <row r="27" spans="2:4" ht="15" customHeight="1" x14ac:dyDescent="0.25">
      <c r="B27" s="2446" t="s">
        <v>115</v>
      </c>
      <c r="C27" s="2446"/>
      <c r="D27" s="754" t="s">
        <v>1702</v>
      </c>
    </row>
    <row r="28" spans="2:4" x14ac:dyDescent="0.25">
      <c r="B28" s="2445" t="s">
        <v>117</v>
      </c>
      <c r="C28" s="2445"/>
      <c r="D28" s="753"/>
    </row>
    <row r="29" spans="2:4" x14ac:dyDescent="0.25">
      <c r="B29" s="2445" t="s">
        <v>118</v>
      </c>
      <c r="C29" s="2445"/>
      <c r="D29" s="756" t="s">
        <v>1703</v>
      </c>
    </row>
    <row r="30" spans="2:4" x14ac:dyDescent="0.25">
      <c r="B30" s="2449" t="s">
        <v>120</v>
      </c>
      <c r="C30" s="2450"/>
      <c r="D30" s="757"/>
    </row>
    <row r="31" spans="2:4" x14ac:dyDescent="0.25">
      <c r="B31" s="628"/>
      <c r="C31" s="628"/>
      <c r="D31" s="629"/>
    </row>
    <row r="32" spans="2:4" ht="23.25" customHeight="1" x14ac:dyDescent="0.25">
      <c r="B32" s="2678" t="s">
        <v>121</v>
      </c>
      <c r="C32" s="2678"/>
      <c r="D32" s="2678"/>
    </row>
    <row r="33" spans="2:4" x14ac:dyDescent="0.25">
      <c r="B33" s="2606" t="s">
        <v>122</v>
      </c>
      <c r="C33" s="2606"/>
      <c r="D33" s="758" t="s">
        <v>1704</v>
      </c>
    </row>
    <row r="34" spans="2:4" x14ac:dyDescent="0.25">
      <c r="B34" s="2445" t="s">
        <v>124</v>
      </c>
      <c r="C34" s="2445"/>
      <c r="D34" s="401" t="s">
        <v>1705</v>
      </c>
    </row>
    <row r="35" spans="2:4" x14ac:dyDescent="0.25">
      <c r="B35" s="2445" t="s">
        <v>126</v>
      </c>
      <c r="C35" s="2445"/>
      <c r="D35" s="699" t="s">
        <v>1706</v>
      </c>
    </row>
    <row r="36" spans="2:4" x14ac:dyDescent="0.25">
      <c r="B36" s="2445" t="s">
        <v>128</v>
      </c>
      <c r="C36" s="2445"/>
      <c r="D36" s="401"/>
    </row>
    <row r="37" spans="2:4" x14ac:dyDescent="0.25">
      <c r="B37" s="2445" t="s">
        <v>130</v>
      </c>
      <c r="C37" s="2445"/>
      <c r="D37" s="401" t="s">
        <v>1707</v>
      </c>
    </row>
    <row r="39" spans="2:4" x14ac:dyDescent="0.25">
      <c r="B39" s="2445" t="s">
        <v>122</v>
      </c>
      <c r="C39" s="2445"/>
      <c r="D39" s="401" t="s">
        <v>1708</v>
      </c>
    </row>
    <row r="40" spans="2:4" x14ac:dyDescent="0.25">
      <c r="B40" s="2445" t="s">
        <v>124</v>
      </c>
      <c r="C40" s="2445"/>
      <c r="D40" s="401" t="s">
        <v>1709</v>
      </c>
    </row>
    <row r="41" spans="2:4" x14ac:dyDescent="0.25">
      <c r="B41" s="2445" t="s">
        <v>126</v>
      </c>
      <c r="C41" s="2445"/>
      <c r="D41" s="699" t="s">
        <v>1706</v>
      </c>
    </row>
    <row r="42" spans="2:4" x14ac:dyDescent="0.25">
      <c r="B42" s="2445" t="s">
        <v>128</v>
      </c>
      <c r="C42" s="2445"/>
      <c r="D42" s="401"/>
    </row>
    <row r="43" spans="2:4" x14ac:dyDescent="0.25">
      <c r="B43" s="2445" t="s">
        <v>130</v>
      </c>
      <c r="C43" s="2445"/>
      <c r="D43" s="401" t="s">
        <v>1710</v>
      </c>
    </row>
  </sheetData>
  <mergeCells count="36">
    <mergeCell ref="B16:C16"/>
    <mergeCell ref="B3:D3"/>
    <mergeCell ref="B4:C4"/>
    <mergeCell ref="B5:C5"/>
    <mergeCell ref="B6:C6"/>
    <mergeCell ref="B7:C7"/>
    <mergeCell ref="B8:C9"/>
    <mergeCell ref="B11:D11"/>
    <mergeCell ref="B12:C12"/>
    <mergeCell ref="B13:C13"/>
    <mergeCell ref="B14:C14"/>
    <mergeCell ref="B15:C15"/>
    <mergeCell ref="B29:C29"/>
    <mergeCell ref="B17:C17"/>
    <mergeCell ref="B18:C18"/>
    <mergeCell ref="B19:C19"/>
    <mergeCell ref="B20:C20"/>
    <mergeCell ref="B21:C21"/>
    <mergeCell ref="B22:B23"/>
    <mergeCell ref="B24:C24"/>
    <mergeCell ref="B25:C25"/>
    <mergeCell ref="B26:C26"/>
    <mergeCell ref="B27:C27"/>
    <mergeCell ref="B28:C28"/>
    <mergeCell ref="B43:C43"/>
    <mergeCell ref="B30:C30"/>
    <mergeCell ref="B32:D32"/>
    <mergeCell ref="B33:C33"/>
    <mergeCell ref="B34:C34"/>
    <mergeCell ref="B35:C35"/>
    <mergeCell ref="B36:C36"/>
    <mergeCell ref="B37:C37"/>
    <mergeCell ref="B39:C39"/>
    <mergeCell ref="B40:C40"/>
    <mergeCell ref="B41:C41"/>
    <mergeCell ref="B42:C42"/>
  </mergeCells>
  <dataValidations count="7">
    <dataValidation type="list" allowBlank="1" showInputMessage="1" showErrorMessage="1" sqref="D26" xr:uid="{BA87974E-D89D-4F1B-9BB3-3F4F1F059FCA}">
      <formula1>Tipo_operación</formula1>
    </dataValidation>
    <dataValidation type="list" allowBlank="1" showInputMessage="1" showErrorMessage="1" sqref="D15" xr:uid="{0258797A-37BD-43C5-BB41-BB288AA33D5A}">
      <formula1>Tipo_indicador</formula1>
    </dataValidation>
    <dataValidation type="list" allowBlank="1" showInputMessage="1" showErrorMessage="1" sqref="D7" xr:uid="{C472C818-BD87-4FBA-908C-0E28C56C4413}">
      <formula1>Nombre_indicador_ODS</formula1>
    </dataValidation>
    <dataValidation type="list" allowBlank="1" showInputMessage="1" showErrorMessage="1" sqref="D6" xr:uid="{FE2F6F39-9717-43F0-8082-9FA3A924ED7D}">
      <formula1>Numero_indicador</formula1>
    </dataValidation>
    <dataValidation type="list" allowBlank="1" showInputMessage="1" showErrorMessage="1" sqref="D5" xr:uid="{D2CCF73A-9BD3-4D83-9FA2-2FAFF34F3CA4}">
      <formula1>Metas_ODS</formula1>
    </dataValidation>
    <dataValidation type="list" allowBlank="1" showInputMessage="1" showErrorMessage="1" sqref="D4" xr:uid="{79ABF7FC-2667-4DA6-8C50-0C05505B6DEB}">
      <formula1>ODS</formula1>
    </dataValidation>
    <dataValidation allowBlank="1" showDropDown="1" showInputMessage="1" showErrorMessage="1" sqref="D14" xr:uid="{DECBE0B5-AB29-46EC-AC21-2075E7C394E8}"/>
  </dataValidations>
  <hyperlinks>
    <hyperlink ref="B1" location="'4.1.1'!A1" display="REGRESAR" xr:uid="{BE9F2EAC-DE83-4C04-9BFC-17BF16BB9A70}"/>
    <hyperlink ref="D8" r:id="rId1" xr:uid="{BA2C214C-3DCF-48F6-BEA0-D6C3FDA31BFA}"/>
    <hyperlink ref="D9" r:id="rId2" xr:uid="{27F1D44F-588C-40C4-AF0C-51269A8FDAD0}"/>
    <hyperlink ref="D37" r:id="rId3" xr:uid="{639D7715-2470-40C1-87F4-6986D9FB85CE}"/>
  </hyperlinks>
  <pageMargins left="0.7" right="0.7" top="0.75" bottom="0.75" header="0.3" footer="0.3"/>
  <pageSetup paperSize="9" orientation="portrait" r:id="rId4"/>
  <drawing r:id="rId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7B3C-0DDA-469D-9B9F-57A927A5724A}">
  <dimension ref="A1:M53"/>
  <sheetViews>
    <sheetView showGridLines="0" workbookViewId="0">
      <pane ySplit="1" topLeftCell="A2" activePane="bottomLeft" state="frozen"/>
      <selection pane="bottomLeft"/>
    </sheetView>
  </sheetViews>
  <sheetFormatPr baseColWidth="10" defaultColWidth="11.42578125" defaultRowHeight="12.75" x14ac:dyDescent="0.25"/>
  <cols>
    <col min="1" max="1" width="15.28515625" style="22" customWidth="1"/>
    <col min="2" max="2" width="18.28515625" style="22" customWidth="1"/>
    <col min="3" max="16384" width="11.42578125" style="22"/>
  </cols>
  <sheetData>
    <row r="1" spans="1:13" s="16" customFormat="1" ht="19.5" x14ac:dyDescent="0.4">
      <c r="A1" s="68" t="s">
        <v>39</v>
      </c>
      <c r="C1" s="2421" t="s">
        <v>149</v>
      </c>
      <c r="D1" s="2421"/>
    </row>
    <row r="2" spans="1:13" s="16" customFormat="1" ht="19.5" x14ac:dyDescent="0.4"/>
    <row r="3" spans="1:13" s="16" customFormat="1" ht="15.75" customHeight="1" x14ac:dyDescent="0.4">
      <c r="A3" s="2671" t="s">
        <v>41</v>
      </c>
      <c r="B3" s="2671"/>
      <c r="C3" s="2671" t="s">
        <v>1670</v>
      </c>
      <c r="D3" s="2671"/>
      <c r="E3" s="2671"/>
      <c r="F3" s="2671"/>
      <c r="G3" s="2671"/>
      <c r="H3" s="2671"/>
      <c r="I3" s="2671"/>
      <c r="J3" s="2671"/>
      <c r="K3" s="2671"/>
      <c r="L3" s="2671"/>
      <c r="M3" s="2671"/>
    </row>
    <row r="4" spans="1:13" s="16" customFormat="1" ht="15.75" customHeight="1" x14ac:dyDescent="0.4">
      <c r="A4" s="2671" t="s">
        <v>42</v>
      </c>
      <c r="B4" s="2671"/>
      <c r="C4" s="2672" t="s">
        <v>1636</v>
      </c>
      <c r="D4" s="2672"/>
      <c r="E4" s="2672"/>
      <c r="F4" s="2672"/>
      <c r="G4" s="2672"/>
      <c r="H4" s="2672"/>
      <c r="I4" s="2672"/>
      <c r="J4" s="2672"/>
      <c r="K4" s="2672"/>
      <c r="L4" s="2672"/>
      <c r="M4" s="2672"/>
    </row>
    <row r="5" spans="1:13" s="16" customFormat="1" ht="19.5" x14ac:dyDescent="0.4">
      <c r="A5" s="2671" t="s">
        <v>43</v>
      </c>
      <c r="B5" s="2671"/>
      <c r="C5" s="2672" t="s">
        <v>1711</v>
      </c>
      <c r="D5" s="2672"/>
      <c r="E5" s="2672"/>
      <c r="F5" s="2672"/>
      <c r="G5" s="2672"/>
      <c r="H5" s="2672"/>
      <c r="I5" s="2672"/>
      <c r="J5" s="2672"/>
      <c r="K5" s="2672"/>
      <c r="L5" s="2672"/>
      <c r="M5" s="2672"/>
    </row>
    <row r="6" spans="1:13" s="16" customFormat="1" ht="26.45" customHeight="1" x14ac:dyDescent="0.4">
      <c r="A6" s="2671" t="s">
        <v>132</v>
      </c>
      <c r="B6" s="2671"/>
      <c r="C6" s="2671" t="s">
        <v>1712</v>
      </c>
      <c r="D6" s="2671"/>
      <c r="E6" s="2671"/>
      <c r="F6" s="2671"/>
      <c r="G6" s="2671"/>
      <c r="H6" s="2671"/>
      <c r="I6" s="2671"/>
      <c r="J6" s="2671"/>
      <c r="K6" s="2671"/>
      <c r="L6" s="2671"/>
      <c r="M6" s="2671"/>
    </row>
    <row r="7" spans="1:13" s="16" customFormat="1" ht="19.5" x14ac:dyDescent="0.4"/>
    <row r="8" spans="1:13" s="16" customFormat="1" ht="19.5" x14ac:dyDescent="0.4">
      <c r="C8" s="5"/>
      <c r="D8" s="5"/>
      <c r="E8" s="5"/>
      <c r="G8" s="218"/>
      <c r="H8" s="218"/>
      <c r="I8" s="218"/>
      <c r="J8" s="218"/>
      <c r="K8" s="218"/>
      <c r="L8" s="218"/>
    </row>
    <row r="9" spans="1:13" ht="28.9" customHeight="1" x14ac:dyDescent="0.25">
      <c r="C9" s="2679" t="s">
        <v>1713</v>
      </c>
      <c r="D9" s="2679"/>
      <c r="E9" s="2679"/>
    </row>
    <row r="10" spans="1:13" ht="25.15" customHeight="1" x14ac:dyDescent="0.25">
      <c r="C10" s="2680"/>
      <c r="D10" s="2680"/>
      <c r="E10" s="2680"/>
    </row>
    <row r="11" spans="1:13" ht="18.75" x14ac:dyDescent="0.4">
      <c r="C11" s="759" t="s">
        <v>46</v>
      </c>
      <c r="D11" s="760" t="s">
        <v>544</v>
      </c>
      <c r="E11" s="761" t="s">
        <v>545</v>
      </c>
    </row>
    <row r="12" spans="1:13" ht="18.75" x14ac:dyDescent="0.25">
      <c r="C12" s="762">
        <v>2010</v>
      </c>
      <c r="D12" s="542">
        <v>66.100000000000009</v>
      </c>
      <c r="E12" s="542">
        <v>27.296121823022972</v>
      </c>
    </row>
    <row r="13" spans="1:13" ht="18.75" x14ac:dyDescent="0.25">
      <c r="C13" s="762">
        <v>2011</v>
      </c>
      <c r="D13" s="542">
        <v>68.300000000000011</v>
      </c>
      <c r="E13" s="542">
        <v>29.082224457437068</v>
      </c>
    </row>
    <row r="14" spans="1:13" ht="18.75" x14ac:dyDescent="0.25">
      <c r="C14" s="762">
        <v>2012</v>
      </c>
      <c r="D14" s="542">
        <v>70.8</v>
      </c>
      <c r="E14" s="542">
        <v>31.549079139533802</v>
      </c>
    </row>
    <row r="15" spans="1:13" ht="18.75" x14ac:dyDescent="0.25">
      <c r="C15" s="762">
        <v>2013</v>
      </c>
      <c r="D15" s="542">
        <v>75.599999999999994</v>
      </c>
      <c r="E15" s="542">
        <v>33.415630471944723</v>
      </c>
    </row>
    <row r="16" spans="1:13" ht="18.75" x14ac:dyDescent="0.25">
      <c r="C16" s="762">
        <v>2014</v>
      </c>
      <c r="D16" s="542">
        <v>79.600000000000009</v>
      </c>
      <c r="E16" s="542">
        <v>35.04668078131099</v>
      </c>
    </row>
    <row r="17" spans="3:9" ht="18.75" x14ac:dyDescent="0.25">
      <c r="C17" s="762">
        <v>2015</v>
      </c>
      <c r="D17" s="542">
        <v>83.374974580398771</v>
      </c>
      <c r="E17" s="542">
        <v>45.2970222475657</v>
      </c>
    </row>
    <row r="18" spans="3:9" ht="18.75" x14ac:dyDescent="0.25">
      <c r="C18" s="762">
        <v>2016</v>
      </c>
      <c r="D18" s="542">
        <v>85.110846378109116</v>
      </c>
      <c r="E18" s="542">
        <v>50.409335398760227</v>
      </c>
    </row>
    <row r="19" spans="3:9" ht="18.75" x14ac:dyDescent="0.25">
      <c r="C19" s="762">
        <v>2017</v>
      </c>
      <c r="D19" s="542">
        <v>89.059930763675055</v>
      </c>
      <c r="E19" s="542">
        <v>62.899567129317354</v>
      </c>
    </row>
    <row r="20" spans="3:9" ht="18.75" x14ac:dyDescent="0.25">
      <c r="C20" s="762">
        <v>2018</v>
      </c>
      <c r="D20" s="542">
        <v>88.226040355819677</v>
      </c>
      <c r="E20" s="542">
        <v>65.834317570626482</v>
      </c>
    </row>
    <row r="21" spans="3:9" ht="18.75" x14ac:dyDescent="0.25">
      <c r="C21" s="762">
        <v>2019</v>
      </c>
      <c r="D21" s="542">
        <v>89.72513009192231</v>
      </c>
      <c r="E21" s="542">
        <v>68.467901033290076</v>
      </c>
    </row>
    <row r="22" spans="3:9" ht="18.75" x14ac:dyDescent="0.25">
      <c r="C22" s="762">
        <v>2020</v>
      </c>
      <c r="D22" s="542">
        <v>88.544533277512514</v>
      </c>
      <c r="E22" s="542">
        <v>68.814714807682734</v>
      </c>
    </row>
    <row r="23" spans="3:9" ht="18.75" x14ac:dyDescent="0.25">
      <c r="C23" s="763">
        <v>2021</v>
      </c>
      <c r="D23" s="764">
        <v>88.657677524195122</v>
      </c>
      <c r="E23" s="764">
        <v>67.064179437166146</v>
      </c>
    </row>
    <row r="24" spans="3:9" ht="23.45" customHeight="1" x14ac:dyDescent="0.25">
      <c r="C24" s="765" t="s">
        <v>1714</v>
      </c>
      <c r="D24" s="765"/>
      <c r="E24" s="765"/>
    </row>
    <row r="26" spans="3:9" ht="16.5" x14ac:dyDescent="0.25">
      <c r="H26" s="766"/>
      <c r="I26" s="766"/>
    </row>
    <row r="28" spans="3:9" ht="19.5" x14ac:dyDescent="0.4">
      <c r="C28" s="236" t="s">
        <v>1715</v>
      </c>
    </row>
    <row r="53" spans="3:3" ht="16.5" x14ac:dyDescent="0.25">
      <c r="C53" s="766" t="s">
        <v>1716</v>
      </c>
    </row>
  </sheetData>
  <mergeCells count="10">
    <mergeCell ref="A6:B6"/>
    <mergeCell ref="C6:M6"/>
    <mergeCell ref="C9:E10"/>
    <mergeCell ref="C1:D1"/>
    <mergeCell ref="A3:B3"/>
    <mergeCell ref="C3:M3"/>
    <mergeCell ref="A4:B4"/>
    <mergeCell ref="C4:M4"/>
    <mergeCell ref="A5:B5"/>
    <mergeCell ref="C5:M5"/>
  </mergeCells>
  <hyperlinks>
    <hyperlink ref="A1" location="'ODS 4.'!A1" display="REGRESAR" xr:uid="{50448FE3-5F53-4024-B41F-4C8064DB54BF}"/>
    <hyperlink ref="C1" location="'Metadato 4.1.1.c'!A1" display="VER METADATO" xr:uid="{338116AD-2C10-4FD8-91F1-09DC551CC4A1}"/>
    <hyperlink ref="C1:D1" location="'Metadato 4.1.2'!A1" display="VER METADATO" xr:uid="{98C4D856-7482-4065-9615-C19A6A998F83}"/>
  </hyperlink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A81B-E818-45E3-9C59-47147E3267FB}">
  <sheetPr>
    <tabColor theme="0" tint="-0.499984740745262"/>
  </sheetPr>
  <dimension ref="A1:H41"/>
  <sheetViews>
    <sheetView showGridLines="0" zoomScaleNormal="100" workbookViewId="0">
      <pane ySplit="1" topLeftCell="A11" activePane="bottomLeft" state="frozen"/>
      <selection pane="bottomLeft"/>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8" x14ac:dyDescent="0.4">
      <c r="B1" s="158" t="s">
        <v>39</v>
      </c>
    </row>
    <row r="2" spans="1:8" ht="19.5" thickBot="1" x14ac:dyDescent="0.45"/>
    <row r="3" spans="1:8" ht="23.25" customHeight="1" thickBot="1" x14ac:dyDescent="0.45">
      <c r="B3" s="2678" t="s">
        <v>75</v>
      </c>
      <c r="C3" s="2678"/>
      <c r="D3" s="2678"/>
      <c r="F3" s="91" t="s">
        <v>265</v>
      </c>
    </row>
    <row r="4" spans="1:8" ht="37.5" x14ac:dyDescent="0.4">
      <c r="A4" s="92"/>
      <c r="B4" s="2606" t="s">
        <v>234</v>
      </c>
      <c r="C4" s="2606"/>
      <c r="D4" s="752" t="s">
        <v>1688</v>
      </c>
    </row>
    <row r="5" spans="1:8" ht="37.5" x14ac:dyDescent="0.4">
      <c r="B5" s="2445" t="s">
        <v>1689</v>
      </c>
      <c r="C5" s="2445"/>
      <c r="D5" s="753" t="s">
        <v>1636</v>
      </c>
    </row>
    <row r="6" spans="1:8" x14ac:dyDescent="0.4">
      <c r="B6" s="2445" t="s">
        <v>80</v>
      </c>
      <c r="C6" s="2445"/>
      <c r="D6" s="754" t="s">
        <v>1639</v>
      </c>
    </row>
    <row r="7" spans="1:8" ht="37.5" x14ac:dyDescent="0.4">
      <c r="B7" s="2446" t="s">
        <v>81</v>
      </c>
      <c r="C7" s="2446"/>
      <c r="D7" s="93" t="s">
        <v>1640</v>
      </c>
    </row>
    <row r="8" spans="1:8" x14ac:dyDescent="0.4">
      <c r="B8" s="2474" t="s">
        <v>82</v>
      </c>
      <c r="C8" s="2474"/>
      <c r="D8" s="94"/>
    </row>
    <row r="10" spans="1:8" ht="19.5" x14ac:dyDescent="0.4">
      <c r="B10" s="2678" t="s">
        <v>85</v>
      </c>
      <c r="C10" s="2678"/>
      <c r="D10" s="2678"/>
    </row>
    <row r="11" spans="1:8" ht="17.25" customHeight="1" x14ac:dyDescent="0.4">
      <c r="B11" s="2633" t="s">
        <v>86</v>
      </c>
      <c r="C11" s="2634"/>
      <c r="D11" s="752"/>
    </row>
    <row r="12" spans="1:8" ht="37.5" x14ac:dyDescent="0.4">
      <c r="B12" s="2446" t="s">
        <v>88</v>
      </c>
      <c r="C12" s="2446"/>
      <c r="D12" s="755" t="s">
        <v>1712</v>
      </c>
    </row>
    <row r="13" spans="1:8" x14ac:dyDescent="0.4">
      <c r="B13" s="2445" t="s">
        <v>90</v>
      </c>
      <c r="C13" s="2445"/>
      <c r="D13" s="54" t="s">
        <v>1639</v>
      </c>
    </row>
    <row r="14" spans="1:8" x14ac:dyDescent="0.4">
      <c r="B14" s="2445" t="s">
        <v>91</v>
      </c>
      <c r="C14" s="2456"/>
      <c r="D14" s="54" t="s">
        <v>214</v>
      </c>
      <c r="H14" s="222"/>
    </row>
    <row r="15" spans="1:8" x14ac:dyDescent="0.4">
      <c r="B15" s="2445" t="s">
        <v>93</v>
      </c>
      <c r="C15" s="2445"/>
      <c r="D15" s="756"/>
    </row>
    <row r="16" spans="1:8" x14ac:dyDescent="0.4">
      <c r="B16" s="2445" t="s">
        <v>95</v>
      </c>
      <c r="C16" s="2445"/>
      <c r="D16" s="594"/>
    </row>
    <row r="17" spans="2:4" ht="20.25" customHeight="1" x14ac:dyDescent="0.4">
      <c r="B17" s="2445" t="s">
        <v>97</v>
      </c>
      <c r="C17" s="2445"/>
      <c r="D17" s="756" t="s">
        <v>238</v>
      </c>
    </row>
    <row r="18" spans="2:4" x14ac:dyDescent="0.4">
      <c r="B18" s="2446" t="s">
        <v>99</v>
      </c>
      <c r="C18" s="2446"/>
      <c r="D18" s="753"/>
    </row>
    <row r="19" spans="2:4" x14ac:dyDescent="0.4">
      <c r="B19" s="2457" t="s">
        <v>100</v>
      </c>
      <c r="C19" s="2458"/>
      <c r="D19" s="756"/>
    </row>
    <row r="20" spans="2:4" x14ac:dyDescent="0.4">
      <c r="B20" s="2445" t="s">
        <v>102</v>
      </c>
      <c r="C20" s="2445"/>
      <c r="D20" s="756" t="s">
        <v>140</v>
      </c>
    </row>
    <row r="21" spans="2:4" x14ac:dyDescent="0.4">
      <c r="B21" s="2451" t="s">
        <v>104</v>
      </c>
      <c r="C21" s="95" t="s">
        <v>105</v>
      </c>
      <c r="D21" s="753"/>
    </row>
    <row r="22" spans="2:4" x14ac:dyDescent="0.4">
      <c r="B22" s="2452"/>
      <c r="C22" s="96" t="s">
        <v>107</v>
      </c>
      <c r="D22" s="756"/>
    </row>
    <row r="23" spans="2:4" x14ac:dyDescent="0.4">
      <c r="B23" s="2445" t="s">
        <v>109</v>
      </c>
      <c r="C23" s="2445"/>
      <c r="D23" s="756" t="s">
        <v>1717</v>
      </c>
    </row>
    <row r="24" spans="2:4" x14ac:dyDescent="0.4">
      <c r="B24" s="2445" t="s">
        <v>111</v>
      </c>
      <c r="C24" s="2445"/>
      <c r="D24" s="754"/>
    </row>
    <row r="25" spans="2:4" x14ac:dyDescent="0.4">
      <c r="B25" s="2445" t="s">
        <v>113</v>
      </c>
      <c r="C25" s="2445"/>
      <c r="D25" s="756"/>
    </row>
    <row r="26" spans="2:4" ht="15" customHeight="1" x14ac:dyDescent="0.4">
      <c r="B26" s="2446" t="s">
        <v>115</v>
      </c>
      <c r="C26" s="2446"/>
      <c r="D26" s="754"/>
    </row>
    <row r="27" spans="2:4" x14ac:dyDescent="0.4">
      <c r="B27" s="2447" t="s">
        <v>117</v>
      </c>
      <c r="C27" s="2448"/>
      <c r="D27" s="753"/>
    </row>
    <row r="28" spans="2:4" x14ac:dyDescent="0.4">
      <c r="B28" s="97" t="s">
        <v>118</v>
      </c>
      <c r="C28" s="98"/>
      <c r="D28" s="756"/>
    </row>
    <row r="29" spans="2:4" x14ac:dyDescent="0.4">
      <c r="B29" s="2449" t="s">
        <v>120</v>
      </c>
      <c r="C29" s="2450"/>
      <c r="D29" s="757"/>
    </row>
    <row r="30" spans="2:4" x14ac:dyDescent="0.4">
      <c r="B30" s="628"/>
      <c r="C30" s="628"/>
      <c r="D30" s="629"/>
    </row>
    <row r="31" spans="2:4" ht="19.5" x14ac:dyDescent="0.4">
      <c r="B31" s="2678" t="s">
        <v>121</v>
      </c>
      <c r="C31" s="2678"/>
      <c r="D31" s="2678"/>
    </row>
    <row r="32" spans="2:4" x14ac:dyDescent="0.4">
      <c r="B32" s="2681" t="s">
        <v>122</v>
      </c>
      <c r="C32" s="2682"/>
      <c r="D32" s="767" t="s">
        <v>1718</v>
      </c>
    </row>
    <row r="33" spans="2:4" x14ac:dyDescent="0.4">
      <c r="B33" s="2447" t="s">
        <v>124</v>
      </c>
      <c r="C33" s="2448"/>
      <c r="D33" s="754" t="s">
        <v>1719</v>
      </c>
    </row>
    <row r="34" spans="2:4" x14ac:dyDescent="0.4">
      <c r="B34" s="2447" t="s">
        <v>126</v>
      </c>
      <c r="C34" s="2448"/>
      <c r="D34" s="754" t="s">
        <v>1706</v>
      </c>
    </row>
    <row r="35" spans="2:4" x14ac:dyDescent="0.4">
      <c r="B35" s="2447" t="s">
        <v>128</v>
      </c>
      <c r="C35" s="2448"/>
      <c r="D35" s="754" t="s">
        <v>1720</v>
      </c>
    </row>
    <row r="36" spans="2:4" x14ac:dyDescent="0.4">
      <c r="B36" s="2442" t="s">
        <v>130</v>
      </c>
      <c r="C36" s="2443"/>
      <c r="D36" s="768" t="s">
        <v>1721</v>
      </c>
    </row>
    <row r="37" spans="2:4" x14ac:dyDescent="0.4">
      <c r="B37" s="2442" t="s">
        <v>122</v>
      </c>
      <c r="C37" s="2443"/>
      <c r="D37" s="401" t="s">
        <v>1708</v>
      </c>
    </row>
    <row r="38" spans="2:4" x14ac:dyDescent="0.4">
      <c r="B38" s="2442" t="s">
        <v>124</v>
      </c>
      <c r="C38" s="2443"/>
      <c r="D38" s="401" t="s">
        <v>1709</v>
      </c>
    </row>
    <row r="39" spans="2:4" x14ac:dyDescent="0.4">
      <c r="B39" s="2442" t="s">
        <v>126</v>
      </c>
      <c r="C39" s="2443"/>
      <c r="D39" s="699" t="s">
        <v>1706</v>
      </c>
    </row>
    <row r="40" spans="2:4" x14ac:dyDescent="0.4">
      <c r="B40" s="2442" t="s">
        <v>128</v>
      </c>
      <c r="C40" s="2443"/>
      <c r="D40" s="222" t="s">
        <v>1722</v>
      </c>
    </row>
    <row r="41" spans="2:4" x14ac:dyDescent="0.4">
      <c r="B41" s="2442" t="s">
        <v>130</v>
      </c>
      <c r="C41" s="2443"/>
      <c r="D41" s="401" t="s">
        <v>1710</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C4065A11-8995-46F9-A7D0-4CD003B8D80A}"/>
    <dataValidation type="list" allowBlank="1" showInputMessage="1" showErrorMessage="1" sqref="D4" xr:uid="{28973D03-FD26-489C-AFD1-75E9A5BD1640}">
      <formula1>ODS</formula1>
    </dataValidation>
    <dataValidation type="list" allowBlank="1" showInputMessage="1" showErrorMessage="1" sqref="D5" xr:uid="{731D4F9C-D53D-4E9A-AA9F-F482C0FC040B}">
      <formula1>Metas_ODS</formula1>
    </dataValidation>
    <dataValidation type="list" allowBlank="1" showInputMessage="1" showErrorMessage="1" sqref="D6" xr:uid="{A27E01FF-B351-4EB5-B5E1-1D7ED464BBFE}">
      <formula1>Numero_indicador</formula1>
    </dataValidation>
    <dataValidation type="list" allowBlank="1" showInputMessage="1" showErrorMessage="1" sqref="D7" xr:uid="{D7B8DDED-D676-425C-8222-3ADB0CFEDEFA}">
      <formula1>Nombre_indicador_ODS</formula1>
    </dataValidation>
    <dataValidation type="list" allowBlank="1" showInputMessage="1" showErrorMessage="1" sqref="D14" xr:uid="{8E29239F-789E-4D38-AAF9-575C5AD4AD36}">
      <formula1>Tipo_indicador</formula1>
    </dataValidation>
    <dataValidation type="list" allowBlank="1" showInputMessage="1" showErrorMessage="1" sqref="D25" xr:uid="{68E664D2-6D14-4003-8CBC-75985A7E027D}">
      <formula1>Tipo_operación</formula1>
    </dataValidation>
  </dataValidations>
  <hyperlinks>
    <hyperlink ref="B1" location="'4.1.2'!A1" display="REGRESAR" xr:uid="{C879C7B0-A04C-48FB-8818-176F477F5D24}"/>
    <hyperlink ref="D36" r:id="rId1" xr:uid="{8E0160C8-9535-47DB-90A7-304930FCC02B}"/>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C769-B7AE-4337-9E00-9F1D0FFD6948}">
  <dimension ref="A1:S103"/>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7109375" style="22" customWidth="1"/>
    <col min="3" max="4" width="11.140625" style="22" customWidth="1"/>
    <col min="5" max="5" width="7.28515625" style="22" customWidth="1"/>
    <col min="6" max="6" width="16.28515625" style="22" customWidth="1"/>
    <col min="7" max="8" width="13.5703125" style="22" customWidth="1"/>
    <col min="9" max="9" width="11.42578125" style="22"/>
    <col min="10" max="10" width="18.42578125" style="22" customWidth="1"/>
    <col min="11" max="11" width="15.28515625" style="22" customWidth="1"/>
    <col min="12" max="16384" width="11.42578125" style="22"/>
  </cols>
  <sheetData>
    <row r="1" spans="1:19" s="16" customFormat="1" ht="19.5" x14ac:dyDescent="0.4">
      <c r="A1" s="68" t="s">
        <v>39</v>
      </c>
      <c r="C1" s="2421" t="s">
        <v>149</v>
      </c>
      <c r="D1" s="2421"/>
      <c r="E1" s="769"/>
      <c r="F1" s="769"/>
      <c r="G1" s="769"/>
      <c r="H1" s="769"/>
    </row>
    <row r="2" spans="1:19" s="16" customFormat="1" ht="19.5" x14ac:dyDescent="0.4"/>
    <row r="3" spans="1:19" s="16" customFormat="1" ht="18" customHeight="1" x14ac:dyDescent="0.4">
      <c r="A3" s="2671" t="s">
        <v>41</v>
      </c>
      <c r="B3" s="2671"/>
      <c r="C3" s="2671" t="s">
        <v>1670</v>
      </c>
      <c r="D3" s="2671"/>
      <c r="E3" s="2671"/>
      <c r="F3" s="2671"/>
      <c r="G3" s="2671"/>
      <c r="H3" s="2671"/>
      <c r="I3" s="2671"/>
      <c r="J3" s="2671"/>
      <c r="K3" s="2671"/>
      <c r="L3" s="2671"/>
      <c r="M3" s="2671"/>
      <c r="N3" s="2671"/>
      <c r="O3" s="2671"/>
      <c r="P3" s="2671"/>
      <c r="Q3" s="2671"/>
      <c r="R3" s="2671"/>
      <c r="S3" s="2671"/>
    </row>
    <row r="4" spans="1:19" s="16" customFormat="1" ht="30" customHeight="1" x14ac:dyDescent="0.4">
      <c r="A4" s="2671" t="s">
        <v>42</v>
      </c>
      <c r="B4" s="2671"/>
      <c r="C4" s="2672" t="s">
        <v>1641</v>
      </c>
      <c r="D4" s="2672"/>
      <c r="E4" s="2672"/>
      <c r="F4" s="2672"/>
      <c r="G4" s="2672"/>
      <c r="H4" s="2672"/>
      <c r="I4" s="2672"/>
      <c r="J4" s="2672"/>
      <c r="K4" s="2672"/>
      <c r="L4" s="2672"/>
      <c r="M4" s="2672"/>
      <c r="N4" s="2672"/>
      <c r="O4" s="2672"/>
      <c r="P4" s="2672"/>
      <c r="Q4" s="2672"/>
      <c r="R4" s="2672"/>
      <c r="S4" s="2672"/>
    </row>
    <row r="5" spans="1:19" s="16" customFormat="1" ht="15.75" customHeight="1" x14ac:dyDescent="0.4">
      <c r="A5" s="2671" t="s">
        <v>43</v>
      </c>
      <c r="B5" s="2671"/>
      <c r="C5" s="2672" t="s">
        <v>1643</v>
      </c>
      <c r="D5" s="2672"/>
      <c r="E5" s="2672"/>
      <c r="F5" s="2672"/>
      <c r="G5" s="2672"/>
      <c r="H5" s="2672"/>
      <c r="I5" s="2672"/>
      <c r="J5" s="2672"/>
      <c r="K5" s="2672"/>
      <c r="L5" s="2672"/>
      <c r="M5" s="2672"/>
      <c r="N5" s="2672"/>
      <c r="O5" s="2672"/>
      <c r="P5" s="2672"/>
      <c r="Q5" s="2672"/>
      <c r="R5" s="2672"/>
      <c r="S5" s="2672"/>
    </row>
    <row r="6" spans="1:19" s="16" customFormat="1" ht="18" customHeight="1" x14ac:dyDescent="0.4">
      <c r="A6" s="2671" t="s">
        <v>132</v>
      </c>
      <c r="B6" s="2671"/>
      <c r="C6" s="2671" t="s">
        <v>1723</v>
      </c>
      <c r="D6" s="2671"/>
      <c r="E6" s="2671"/>
      <c r="F6" s="2671"/>
      <c r="G6" s="2671"/>
      <c r="H6" s="2671"/>
      <c r="I6" s="2671"/>
      <c r="J6" s="2671"/>
      <c r="K6" s="2671"/>
      <c r="L6" s="2671"/>
      <c r="M6" s="2671"/>
      <c r="N6" s="2671"/>
      <c r="O6" s="2671"/>
      <c r="P6" s="2671"/>
      <c r="Q6" s="2671"/>
      <c r="R6" s="2671"/>
      <c r="S6" s="2671"/>
    </row>
    <row r="7" spans="1:19" s="16" customFormat="1" ht="19.5" x14ac:dyDescent="0.4"/>
    <row r="8" spans="1:19" s="16" customFormat="1" ht="19.5" x14ac:dyDescent="0.4"/>
    <row r="9" spans="1:19" s="16" customFormat="1" ht="40.15" customHeight="1" x14ac:dyDescent="0.4">
      <c r="C9" s="2628" t="s">
        <v>1724</v>
      </c>
      <c r="D9" s="2628"/>
      <c r="E9" s="2628"/>
      <c r="F9" s="2628"/>
      <c r="G9" s="2628"/>
      <c r="H9" s="2628"/>
      <c r="I9" s="2628"/>
      <c r="J9" s="2628"/>
      <c r="K9" s="2628"/>
    </row>
    <row r="10" spans="1:19" ht="33.6" customHeight="1" x14ac:dyDescent="0.4">
      <c r="C10" s="2686"/>
      <c r="D10" s="770"/>
      <c r="E10" s="770"/>
      <c r="F10" s="2688" t="s">
        <v>1725</v>
      </c>
      <c r="G10" s="2688"/>
      <c r="H10" s="2688"/>
      <c r="I10" s="2688"/>
      <c r="J10" s="2689" t="s">
        <v>1726</v>
      </c>
      <c r="K10" s="2689" t="s">
        <v>1727</v>
      </c>
    </row>
    <row r="11" spans="1:19" ht="56.25" x14ac:dyDescent="0.4">
      <c r="C11" s="2687"/>
      <c r="D11" s="771"/>
      <c r="E11" s="771"/>
      <c r="F11" s="772" t="s">
        <v>1728</v>
      </c>
      <c r="G11" s="773" t="s">
        <v>1729</v>
      </c>
      <c r="H11" s="773" t="s">
        <v>1730</v>
      </c>
      <c r="I11" s="773" t="s">
        <v>1731</v>
      </c>
      <c r="J11" s="2690"/>
      <c r="K11" s="2690"/>
    </row>
    <row r="12" spans="1:19" ht="18.75" x14ac:dyDescent="0.25">
      <c r="C12" s="2691" t="s">
        <v>47</v>
      </c>
      <c r="D12" s="2691"/>
      <c r="E12" s="2691"/>
      <c r="F12" s="774">
        <v>25.705185387100123</v>
      </c>
      <c r="G12" s="774">
        <v>98.405215146843958</v>
      </c>
      <c r="H12" s="774">
        <v>83.674024928972358</v>
      </c>
      <c r="I12" s="774">
        <v>99.118127088441298</v>
      </c>
      <c r="J12" s="774">
        <v>85.494466371836779</v>
      </c>
      <c r="K12" s="775">
        <v>150560.06177813467</v>
      </c>
    </row>
    <row r="13" spans="1:19" ht="18.75" x14ac:dyDescent="0.25">
      <c r="C13" s="301"/>
      <c r="D13" s="301"/>
      <c r="E13" s="301"/>
      <c r="F13" s="644"/>
      <c r="G13" s="644"/>
      <c r="H13" s="644"/>
      <c r="I13" s="644"/>
      <c r="J13" s="644"/>
      <c r="K13" s="776"/>
    </row>
    <row r="14" spans="1:19" ht="18.75" x14ac:dyDescent="0.25">
      <c r="C14" s="2683" t="s">
        <v>48</v>
      </c>
      <c r="D14" s="2683"/>
      <c r="E14" s="2683"/>
      <c r="F14" s="644"/>
      <c r="G14" s="644"/>
      <c r="H14" s="644"/>
      <c r="I14" s="644"/>
      <c r="J14" s="644"/>
      <c r="K14" s="776"/>
    </row>
    <row r="15" spans="1:19" ht="18.75" x14ac:dyDescent="0.25">
      <c r="C15" s="2626" t="s">
        <v>53</v>
      </c>
      <c r="D15" s="2626"/>
      <c r="E15" s="2626"/>
      <c r="F15" s="644">
        <v>23.539746940661598</v>
      </c>
      <c r="G15" s="644">
        <v>97.852322026695788</v>
      </c>
      <c r="H15" s="644">
        <v>80.705882525386457</v>
      </c>
      <c r="I15" s="644">
        <v>98.971063403712364</v>
      </c>
      <c r="J15" s="644">
        <v>81.817338651932033</v>
      </c>
      <c r="K15" s="776">
        <v>78146.169884482049</v>
      </c>
    </row>
    <row r="16" spans="1:19" ht="18.75" x14ac:dyDescent="0.25">
      <c r="C16" s="2626" t="s">
        <v>54</v>
      </c>
      <c r="D16" s="2626"/>
      <c r="E16" s="2626"/>
      <c r="F16" s="644">
        <v>28.042039770763036</v>
      </c>
      <c r="G16" s="644">
        <v>99.001875242927809</v>
      </c>
      <c r="H16" s="644">
        <v>86.877125251941123</v>
      </c>
      <c r="I16" s="644">
        <v>99.276832322894606</v>
      </c>
      <c r="J16" s="644">
        <v>89.462675233039818</v>
      </c>
      <c r="K16" s="776">
        <v>72413.891893651948</v>
      </c>
    </row>
    <row r="17" spans="3:11" ht="18.75" x14ac:dyDescent="0.25">
      <c r="C17" s="2683" t="s">
        <v>49</v>
      </c>
      <c r="D17" s="2683"/>
      <c r="E17" s="2683"/>
      <c r="F17" s="644"/>
      <c r="G17" s="644"/>
      <c r="H17" s="644"/>
      <c r="I17" s="644"/>
      <c r="J17" s="644"/>
      <c r="K17" s="776"/>
    </row>
    <row r="18" spans="3:11" ht="18.75" x14ac:dyDescent="0.25">
      <c r="C18" s="2626" t="s">
        <v>532</v>
      </c>
      <c r="D18" s="2626"/>
      <c r="E18" s="2626"/>
      <c r="F18" s="644">
        <v>27.413721311882536</v>
      </c>
      <c r="G18" s="644">
        <v>98.390537225649837</v>
      </c>
      <c r="H18" s="644">
        <v>84.931944100329915</v>
      </c>
      <c r="I18" s="644">
        <v>99.091615969644138</v>
      </c>
      <c r="J18" s="644">
        <v>86.462237602378792</v>
      </c>
      <c r="K18" s="776">
        <v>99823.030096807313</v>
      </c>
    </row>
    <row r="19" spans="3:11" ht="18.75" x14ac:dyDescent="0.25">
      <c r="C19" s="2626" t="s">
        <v>56</v>
      </c>
      <c r="D19" s="2626"/>
      <c r="E19" s="2626"/>
      <c r="F19" s="644">
        <v>22.343710988829379</v>
      </c>
      <c r="G19" s="644">
        <v>98.434093355138216</v>
      </c>
      <c r="H19" s="644">
        <v>81.199120522060767</v>
      </c>
      <c r="I19" s="644">
        <v>99.170286627970583</v>
      </c>
      <c r="J19" s="644">
        <v>83.590416145169741</v>
      </c>
      <c r="K19" s="776">
        <v>50737.031681326902</v>
      </c>
    </row>
    <row r="20" spans="3:11" ht="18.75" x14ac:dyDescent="0.25">
      <c r="C20" s="2683" t="s">
        <v>327</v>
      </c>
      <c r="D20" s="2683"/>
      <c r="E20" s="2683"/>
      <c r="F20" s="644"/>
      <c r="G20" s="644"/>
      <c r="H20" s="644"/>
      <c r="I20" s="644"/>
      <c r="J20" s="644"/>
      <c r="K20" s="776"/>
    </row>
    <row r="21" spans="3:11" ht="18.75" x14ac:dyDescent="0.25">
      <c r="C21" s="2626" t="s">
        <v>328</v>
      </c>
      <c r="D21" s="2626"/>
      <c r="E21" s="2626"/>
      <c r="F21" s="644">
        <v>26.445682288279457</v>
      </c>
      <c r="G21" s="644">
        <v>98.990598293474875</v>
      </c>
      <c r="H21" s="644">
        <v>88.661207086811388</v>
      </c>
      <c r="I21" s="644">
        <v>100</v>
      </c>
      <c r="J21" s="644">
        <v>88.904533531099872</v>
      </c>
      <c r="K21" s="776">
        <v>42507.652404618668</v>
      </c>
    </row>
    <row r="22" spans="3:11" ht="18.75" x14ac:dyDescent="0.25">
      <c r="C22" s="2626" t="s">
        <v>329</v>
      </c>
      <c r="D22" s="2626"/>
      <c r="E22" s="2626"/>
      <c r="F22" s="644">
        <v>23.357899037285353</v>
      </c>
      <c r="G22" s="644">
        <v>98.875195170954768</v>
      </c>
      <c r="H22" s="644">
        <v>86.759682035627506</v>
      </c>
      <c r="I22" s="644">
        <v>98.706277711876268</v>
      </c>
      <c r="J22" s="644">
        <v>88.117010808974356</v>
      </c>
      <c r="K22" s="776">
        <v>30192.162957787325</v>
      </c>
    </row>
    <row r="23" spans="3:11" ht="18.75" x14ac:dyDescent="0.25">
      <c r="C23" s="2626" t="s">
        <v>330</v>
      </c>
      <c r="D23" s="2626"/>
      <c r="E23" s="2626"/>
      <c r="F23" s="644">
        <v>28.991294708383087</v>
      </c>
      <c r="G23" s="644">
        <v>99.455017278144268</v>
      </c>
      <c r="H23" s="644">
        <v>82.710856073176785</v>
      </c>
      <c r="I23" s="644">
        <v>97.164138561156363</v>
      </c>
      <c r="J23" s="644">
        <v>82.845374274234032</v>
      </c>
      <c r="K23" s="776">
        <v>16981.363486998711</v>
      </c>
    </row>
    <row r="24" spans="3:11" ht="18.75" x14ac:dyDescent="0.25">
      <c r="C24" s="2626" t="s">
        <v>331</v>
      </c>
      <c r="D24" s="2626"/>
      <c r="E24" s="2626"/>
      <c r="F24" s="644">
        <v>23.012500438695238</v>
      </c>
      <c r="G24" s="644">
        <v>94.111946532885256</v>
      </c>
      <c r="H24" s="644">
        <v>89.775003002228573</v>
      </c>
      <c r="I24" s="644">
        <v>98.071719439013705</v>
      </c>
      <c r="J24" s="644">
        <v>87.7456950960444</v>
      </c>
      <c r="K24" s="776">
        <v>13794.414617846685</v>
      </c>
    </row>
    <row r="25" spans="3:11" ht="18.75" x14ac:dyDescent="0.25">
      <c r="C25" s="2626" t="s">
        <v>332</v>
      </c>
      <c r="D25" s="2626"/>
      <c r="E25" s="2626"/>
      <c r="F25" s="644">
        <v>28.43716307665284</v>
      </c>
      <c r="G25" s="644">
        <v>98.40820846215675</v>
      </c>
      <c r="H25" s="644">
        <v>65.154145955174073</v>
      </c>
      <c r="I25" s="644">
        <v>100</v>
      </c>
      <c r="J25" s="644">
        <v>73.749700368020797</v>
      </c>
      <c r="K25" s="776">
        <v>12343.886066547788</v>
      </c>
    </row>
    <row r="26" spans="3:11" ht="18.75" x14ac:dyDescent="0.25">
      <c r="C26" s="2626" t="s">
        <v>533</v>
      </c>
      <c r="D26" s="2626"/>
      <c r="E26" s="2626"/>
      <c r="F26" s="644">
        <v>28.399794508710695</v>
      </c>
      <c r="G26" s="644">
        <v>97.129870626293112</v>
      </c>
      <c r="H26" s="644">
        <v>79.598888830338097</v>
      </c>
      <c r="I26" s="644">
        <v>99.531766066295603</v>
      </c>
      <c r="J26" s="644">
        <v>85.501070567779976</v>
      </c>
      <c r="K26" s="776">
        <v>17642.63341565651</v>
      </c>
    </row>
    <row r="27" spans="3:11" ht="18.75" x14ac:dyDescent="0.25">
      <c r="C27" s="2626" t="s">
        <v>334</v>
      </c>
      <c r="D27" s="2626"/>
      <c r="E27" s="2626"/>
      <c r="F27" s="644">
        <v>22.165055515220743</v>
      </c>
      <c r="G27" s="644">
        <v>99.854895802123977</v>
      </c>
      <c r="H27" s="644">
        <v>79.436314258690416</v>
      </c>
      <c r="I27" s="644">
        <v>99.374346542259715</v>
      </c>
      <c r="J27" s="644">
        <v>81.672728002673949</v>
      </c>
      <c r="K27" s="776">
        <v>17097.948828678316</v>
      </c>
    </row>
    <row r="28" spans="3:11" ht="18.75" x14ac:dyDescent="0.25">
      <c r="C28" s="2683" t="s">
        <v>1389</v>
      </c>
      <c r="D28" s="2683"/>
      <c r="E28" s="2683"/>
      <c r="F28" s="644"/>
      <c r="G28" s="644"/>
      <c r="H28" s="644"/>
      <c r="I28" s="644"/>
      <c r="J28" s="644"/>
      <c r="K28" s="776"/>
    </row>
    <row r="29" spans="3:11" ht="18.75" x14ac:dyDescent="0.25">
      <c r="C29" s="2626" t="s">
        <v>1732</v>
      </c>
      <c r="D29" s="2626"/>
      <c r="E29" s="2626"/>
      <c r="F29" s="644">
        <v>21.830371158879803</v>
      </c>
      <c r="G29" s="644">
        <v>98.292402315348227</v>
      </c>
      <c r="H29" s="644">
        <v>83.261100398367461</v>
      </c>
      <c r="I29" s="644">
        <v>99.000156350390441</v>
      </c>
      <c r="J29" s="644">
        <v>83.997273929047239</v>
      </c>
      <c r="K29" s="776">
        <v>74810.537004493759</v>
      </c>
    </row>
    <row r="30" spans="3:11" ht="18.75" x14ac:dyDescent="0.25">
      <c r="C30" s="2626" t="s">
        <v>1733</v>
      </c>
      <c r="D30" s="2626"/>
      <c r="E30" s="2626"/>
      <c r="F30" s="644">
        <v>29.531967588995755</v>
      </c>
      <c r="G30" s="644">
        <v>98.516629555454927</v>
      </c>
      <c r="H30" s="644">
        <v>84.081830865302891</v>
      </c>
      <c r="I30" s="644">
        <v>99.23463546642482</v>
      </c>
      <c r="J30" s="644">
        <v>86.973099683119415</v>
      </c>
      <c r="K30" s="776">
        <v>75749.524773640238</v>
      </c>
    </row>
    <row r="31" spans="3:11" ht="18.75" x14ac:dyDescent="0.25">
      <c r="C31" s="2683" t="s">
        <v>1734</v>
      </c>
      <c r="D31" s="2683"/>
      <c r="E31" s="2683"/>
      <c r="F31" s="644"/>
      <c r="G31" s="644"/>
      <c r="H31" s="644"/>
      <c r="I31" s="644"/>
      <c r="J31" s="644"/>
      <c r="K31" s="776"/>
    </row>
    <row r="32" spans="3:11" ht="18.75" x14ac:dyDescent="0.25">
      <c r="C32" s="2655" t="s">
        <v>1735</v>
      </c>
      <c r="D32" s="2655"/>
      <c r="E32" s="2655"/>
      <c r="F32" s="644">
        <v>33.081969001759298</v>
      </c>
      <c r="G32" s="644">
        <v>97.529156342019064</v>
      </c>
      <c r="H32" s="644">
        <v>85.976820131384613</v>
      </c>
      <c r="I32" s="644">
        <v>99.787992402444686</v>
      </c>
      <c r="J32" s="644">
        <v>87.807174535832658</v>
      </c>
      <c r="K32" s="776">
        <v>66474.056809384521</v>
      </c>
    </row>
    <row r="33" spans="3:11" ht="18.75" x14ac:dyDescent="0.25">
      <c r="C33" s="2626" t="s">
        <v>1736</v>
      </c>
      <c r="D33" s="2626"/>
      <c r="E33" s="2626"/>
      <c r="F33" s="644">
        <v>19.939345515853912</v>
      </c>
      <c r="G33" s="644">
        <v>99.094791906825535</v>
      </c>
      <c r="H33" s="644">
        <v>81.793412972740995</v>
      </c>
      <c r="I33" s="644">
        <v>98.58388836597031</v>
      </c>
      <c r="J33" s="644">
        <v>83.612025068236491</v>
      </c>
      <c r="K33" s="776">
        <v>83808.247957900778</v>
      </c>
    </row>
    <row r="34" spans="3:11" ht="18.75" x14ac:dyDescent="0.25">
      <c r="C34" s="2626" t="s">
        <v>878</v>
      </c>
      <c r="D34" s="2626"/>
      <c r="E34" s="2626"/>
      <c r="F34" s="644" t="s">
        <v>548</v>
      </c>
      <c r="G34" s="644" t="s">
        <v>548</v>
      </c>
      <c r="H34" s="644" t="s">
        <v>548</v>
      </c>
      <c r="I34" s="644" t="s">
        <v>548</v>
      </c>
      <c r="J34" s="644" t="s">
        <v>548</v>
      </c>
      <c r="K34" s="776">
        <v>277.75701084876647</v>
      </c>
    </row>
    <row r="35" spans="3:11" ht="18.75" x14ac:dyDescent="0.25">
      <c r="C35" s="2683" t="s">
        <v>542</v>
      </c>
      <c r="D35" s="2683"/>
      <c r="E35" s="2683"/>
      <c r="F35" s="644"/>
      <c r="G35" s="644"/>
      <c r="H35" s="644"/>
      <c r="I35" s="644"/>
      <c r="J35" s="644"/>
      <c r="K35" s="776"/>
    </row>
    <row r="36" spans="3:11" ht="26.45" customHeight="1" x14ac:dyDescent="0.25">
      <c r="C36" s="2526" t="s">
        <v>543</v>
      </c>
      <c r="D36" s="2526"/>
      <c r="E36" s="2526"/>
      <c r="F36" s="647">
        <v>0</v>
      </c>
      <c r="G36" s="647">
        <v>97.743388514710986</v>
      </c>
      <c r="H36" s="647">
        <v>76.100463096398386</v>
      </c>
      <c r="I36" s="647">
        <v>98.480592375702855</v>
      </c>
      <c r="J36" s="647">
        <v>72.324443986812227</v>
      </c>
      <c r="K36" s="776">
        <v>3756.3956863812605</v>
      </c>
    </row>
    <row r="37" spans="3:11" ht="18.75" x14ac:dyDescent="0.25">
      <c r="C37" s="2626" t="s">
        <v>544</v>
      </c>
      <c r="D37" s="2626"/>
      <c r="E37" s="2626"/>
      <c r="F37" s="644">
        <v>21.792087263560113</v>
      </c>
      <c r="G37" s="644">
        <v>97.831994858782522</v>
      </c>
      <c r="H37" s="644">
        <v>80.675200196793838</v>
      </c>
      <c r="I37" s="644">
        <v>98.793459430540068</v>
      </c>
      <c r="J37" s="644">
        <v>81.933113192966658</v>
      </c>
      <c r="K37" s="776">
        <v>31782.263243072579</v>
      </c>
    </row>
    <row r="38" spans="3:11" ht="18.75" x14ac:dyDescent="0.25">
      <c r="C38" s="2626" t="s">
        <v>545</v>
      </c>
      <c r="D38" s="2626"/>
      <c r="E38" s="2626"/>
      <c r="F38" s="644">
        <v>24.758803317839124</v>
      </c>
      <c r="G38" s="644">
        <v>98.877332051949708</v>
      </c>
      <c r="H38" s="644">
        <v>83.644521106880305</v>
      </c>
      <c r="I38" s="644">
        <v>99.152321580885399</v>
      </c>
      <c r="J38" s="644">
        <v>85.214798510504039</v>
      </c>
      <c r="K38" s="776">
        <v>76062.147425479794</v>
      </c>
    </row>
    <row r="39" spans="3:11" ht="18.75" x14ac:dyDescent="0.25">
      <c r="C39" s="2626" t="s">
        <v>546</v>
      </c>
      <c r="D39" s="2626"/>
      <c r="E39" s="2626"/>
      <c r="F39" s="644">
        <v>33.241090025455613</v>
      </c>
      <c r="G39" s="644">
        <v>98.013864271108048</v>
      </c>
      <c r="H39" s="644">
        <v>86.901333900723174</v>
      </c>
      <c r="I39" s="644">
        <v>99.377367106781207</v>
      </c>
      <c r="J39" s="644">
        <v>90.210433023571085</v>
      </c>
      <c r="K39" s="776">
        <v>38938.695958603152</v>
      </c>
    </row>
    <row r="40" spans="3:11" ht="18.75" x14ac:dyDescent="0.25">
      <c r="C40" s="2626" t="s">
        <v>547</v>
      </c>
      <c r="D40" s="2626"/>
      <c r="E40" s="2626"/>
      <c r="F40" s="644" t="s">
        <v>548</v>
      </c>
      <c r="G40" s="644" t="s">
        <v>548</v>
      </c>
      <c r="H40" s="644" t="s">
        <v>548</v>
      </c>
      <c r="I40" s="644" t="s">
        <v>548</v>
      </c>
      <c r="J40" s="644" t="s">
        <v>548</v>
      </c>
      <c r="K40" s="776">
        <v>20.559464597368041</v>
      </c>
    </row>
    <row r="41" spans="3:11" ht="18.75" x14ac:dyDescent="0.25">
      <c r="C41" s="2683" t="s">
        <v>1737</v>
      </c>
      <c r="D41" s="2683"/>
      <c r="E41" s="2683"/>
      <c r="F41" s="644"/>
      <c r="G41" s="644"/>
      <c r="H41" s="644"/>
      <c r="I41" s="644"/>
      <c r="J41" s="644"/>
      <c r="K41" s="776"/>
    </row>
    <row r="42" spans="3:11" ht="18.75" x14ac:dyDescent="0.25">
      <c r="C42" s="2626" t="s">
        <v>555</v>
      </c>
      <c r="D42" s="2626"/>
      <c r="E42" s="2626"/>
      <c r="F42" s="644">
        <v>9.1055447033338481</v>
      </c>
      <c r="G42" s="644">
        <v>90.236871241476962</v>
      </c>
      <c r="H42" s="644">
        <v>55.379761563000535</v>
      </c>
      <c r="I42" s="644">
        <v>95.606157103274228</v>
      </c>
      <c r="J42" s="644">
        <v>51.492175229744305</v>
      </c>
      <c r="K42" s="776">
        <v>8746.7120930910369</v>
      </c>
    </row>
    <row r="43" spans="3:11" ht="18.75" x14ac:dyDescent="0.25">
      <c r="C43" s="2626" t="s">
        <v>556</v>
      </c>
      <c r="D43" s="2626"/>
      <c r="E43" s="2626"/>
      <c r="F43" s="644">
        <v>26.729011974879942</v>
      </c>
      <c r="G43" s="644">
        <v>98.90901928500368</v>
      </c>
      <c r="H43" s="644">
        <v>85.419148192035678</v>
      </c>
      <c r="I43" s="644">
        <v>99.33473709312733</v>
      </c>
      <c r="J43" s="644">
        <v>87.59164729158708</v>
      </c>
      <c r="K43" s="776">
        <v>141813.34968504362</v>
      </c>
    </row>
    <row r="44" spans="3:11" ht="18.75" x14ac:dyDescent="0.25">
      <c r="C44" s="2683" t="s">
        <v>558</v>
      </c>
      <c r="D44" s="2683"/>
      <c r="E44" s="2683"/>
      <c r="F44" s="644"/>
      <c r="G44" s="644"/>
      <c r="H44" s="644"/>
      <c r="I44" s="644"/>
      <c r="J44" s="644"/>
      <c r="K44" s="776"/>
    </row>
    <row r="45" spans="3:11" ht="18.75" x14ac:dyDescent="0.25">
      <c r="C45" s="2626" t="s">
        <v>559</v>
      </c>
      <c r="D45" s="2626"/>
      <c r="E45" s="2626"/>
      <c r="F45" s="644">
        <v>17.09834168904797</v>
      </c>
      <c r="G45" s="644">
        <v>97.577857643772077</v>
      </c>
      <c r="H45" s="644">
        <v>77.532627498127653</v>
      </c>
      <c r="I45" s="644">
        <v>99.273529726866755</v>
      </c>
      <c r="J45" s="644">
        <v>79.223449517719843</v>
      </c>
      <c r="K45" s="776">
        <v>43338.394368187517</v>
      </c>
    </row>
    <row r="46" spans="3:11" ht="18.75" x14ac:dyDescent="0.25">
      <c r="C46" s="2626" t="s">
        <v>560</v>
      </c>
      <c r="D46" s="2626"/>
      <c r="E46" s="2626"/>
      <c r="F46" s="644">
        <v>22.886180952559165</v>
      </c>
      <c r="G46" s="644">
        <v>98.140587201093823</v>
      </c>
      <c r="H46" s="644">
        <v>84.25183945672326</v>
      </c>
      <c r="I46" s="644">
        <v>99.926598348056046</v>
      </c>
      <c r="J46" s="644">
        <v>87.470124450556696</v>
      </c>
      <c r="K46" s="776">
        <v>32083.591752188655</v>
      </c>
    </row>
    <row r="47" spans="3:11" ht="18.75" x14ac:dyDescent="0.25">
      <c r="C47" s="2626" t="s">
        <v>561</v>
      </c>
      <c r="D47" s="2626"/>
      <c r="E47" s="2626"/>
      <c r="F47" s="644">
        <v>27.782318299684658</v>
      </c>
      <c r="G47" s="644">
        <v>98.908611432950408</v>
      </c>
      <c r="H47" s="644">
        <v>82.030950013866189</v>
      </c>
      <c r="I47" s="644">
        <v>97.968203862201264</v>
      </c>
      <c r="J47" s="644">
        <v>82.609079976199553</v>
      </c>
      <c r="K47" s="776">
        <v>31705.343928415841</v>
      </c>
    </row>
    <row r="48" spans="3:11" ht="18.75" x14ac:dyDescent="0.25">
      <c r="C48" s="2626" t="s">
        <v>562</v>
      </c>
      <c r="D48" s="2626"/>
      <c r="E48" s="2626"/>
      <c r="F48" s="644">
        <v>34.921860437389</v>
      </c>
      <c r="G48" s="644">
        <v>99.371727852184151</v>
      </c>
      <c r="H48" s="644">
        <v>89.231310834094316</v>
      </c>
      <c r="I48" s="644">
        <v>98.489838421626828</v>
      </c>
      <c r="J48" s="644">
        <v>90.765888199568039</v>
      </c>
      <c r="K48" s="776">
        <v>22856.495204885683</v>
      </c>
    </row>
    <row r="49" spans="3:11" ht="18.75" x14ac:dyDescent="0.25">
      <c r="C49" s="2685" t="s">
        <v>563</v>
      </c>
      <c r="D49" s="2685"/>
      <c r="E49" s="2685"/>
      <c r="F49" s="651">
        <v>34.790105808982368</v>
      </c>
      <c r="G49" s="651">
        <v>98.711156193130122</v>
      </c>
      <c r="H49" s="651">
        <v>92.066916158067983</v>
      </c>
      <c r="I49" s="651">
        <v>100</v>
      </c>
      <c r="J49" s="651">
        <v>94.212558933226788</v>
      </c>
      <c r="K49" s="777">
        <v>20576.236524456461</v>
      </c>
    </row>
    <row r="50" spans="3:11" ht="19.5" x14ac:dyDescent="0.4">
      <c r="C50" s="2683" t="s">
        <v>1738</v>
      </c>
      <c r="D50" s="2683"/>
      <c r="E50" s="2683"/>
      <c r="F50" s="2684"/>
      <c r="G50" s="2684"/>
      <c r="H50" s="2684"/>
      <c r="I50" s="2684"/>
      <c r="J50" s="2684"/>
      <c r="K50" s="2684"/>
    </row>
    <row r="51" spans="3:11" ht="18.75" x14ac:dyDescent="0.4">
      <c r="C51" s="2684" t="s">
        <v>1408</v>
      </c>
      <c r="D51" s="2684"/>
      <c r="E51" s="2684"/>
      <c r="F51" s="2684"/>
      <c r="G51" s="2684"/>
      <c r="H51" s="2684"/>
      <c r="I51" s="2684"/>
      <c r="J51" s="2684"/>
      <c r="K51" s="2684"/>
    </row>
    <row r="52" spans="3:11" ht="18.75" x14ac:dyDescent="0.4">
      <c r="C52" s="2684" t="s">
        <v>1739</v>
      </c>
      <c r="D52" s="2684"/>
      <c r="E52" s="2684"/>
      <c r="F52" s="2684"/>
      <c r="G52" s="2684"/>
      <c r="H52" s="2684"/>
      <c r="I52" s="2684"/>
      <c r="J52" s="2684"/>
      <c r="K52" s="2684"/>
    </row>
    <row r="53" spans="3:11" ht="18.75" x14ac:dyDescent="0.4">
      <c r="C53" s="5" t="s">
        <v>1740</v>
      </c>
      <c r="D53" s="5"/>
      <c r="E53" s="5"/>
      <c r="F53" s="5"/>
      <c r="G53" s="5"/>
      <c r="H53" s="5"/>
      <c r="I53" s="5"/>
      <c r="J53" s="5"/>
      <c r="K53" s="5"/>
    </row>
    <row r="54" spans="3:11" ht="18.75" x14ac:dyDescent="0.4">
      <c r="C54" s="5"/>
      <c r="D54" s="5"/>
      <c r="E54" s="5"/>
      <c r="F54" s="5"/>
      <c r="G54" s="5"/>
      <c r="H54" s="5"/>
      <c r="I54" s="5"/>
      <c r="J54" s="5"/>
      <c r="K54" s="5"/>
    </row>
    <row r="60" spans="3:11" ht="37.9" customHeight="1" x14ac:dyDescent="0.25">
      <c r="C60" s="2628" t="s">
        <v>1741</v>
      </c>
      <c r="D60" s="2628"/>
      <c r="E60" s="2628"/>
      <c r="F60" s="2628"/>
      <c r="G60" s="2628"/>
      <c r="H60" s="2628"/>
      <c r="I60" s="2628"/>
      <c r="J60" s="2628"/>
      <c r="K60" s="2628"/>
    </row>
    <row r="61" spans="3:11" ht="32.65" customHeight="1" x14ac:dyDescent="0.4">
      <c r="C61" s="2686"/>
      <c r="D61" s="770"/>
      <c r="E61" s="770"/>
      <c r="F61" s="2688" t="s">
        <v>1725</v>
      </c>
      <c r="G61" s="2688"/>
      <c r="H61" s="2688"/>
      <c r="I61" s="2688"/>
      <c r="J61" s="2689" t="s">
        <v>1726</v>
      </c>
      <c r="K61" s="2689" t="s">
        <v>1727</v>
      </c>
    </row>
    <row r="62" spans="3:11" ht="56.25" x14ac:dyDescent="0.4">
      <c r="C62" s="2687"/>
      <c r="D62" s="771"/>
      <c r="E62" s="771"/>
      <c r="F62" s="772" t="s">
        <v>1728</v>
      </c>
      <c r="G62" s="773" t="s">
        <v>1729</v>
      </c>
      <c r="H62" s="773" t="s">
        <v>1730</v>
      </c>
      <c r="I62" s="773" t="s">
        <v>1731</v>
      </c>
      <c r="J62" s="2690"/>
      <c r="K62" s="2690"/>
    </row>
    <row r="63" spans="3:11" ht="18.75" x14ac:dyDescent="0.25">
      <c r="C63" s="226" t="s">
        <v>47</v>
      </c>
      <c r="D63" s="226"/>
      <c r="E63" s="226"/>
      <c r="F63" s="643">
        <v>27.2</v>
      </c>
      <c r="G63" s="643">
        <v>98.1</v>
      </c>
      <c r="H63" s="643">
        <v>79.400000000000006</v>
      </c>
      <c r="I63" s="643">
        <v>99.6</v>
      </c>
      <c r="J63" s="643">
        <v>81.099999999999994</v>
      </c>
      <c r="K63" s="778">
        <v>883</v>
      </c>
    </row>
    <row r="64" spans="3:11" ht="18.75" x14ac:dyDescent="0.25">
      <c r="C64" s="155"/>
      <c r="D64" s="155"/>
      <c r="E64" s="155"/>
      <c r="F64" s="644"/>
      <c r="G64" s="644"/>
      <c r="H64" s="644"/>
      <c r="I64" s="644"/>
      <c r="J64" s="644"/>
      <c r="K64" s="776"/>
    </row>
    <row r="65" spans="3:11" ht="18.75" x14ac:dyDescent="0.25">
      <c r="C65" s="339" t="s">
        <v>48</v>
      </c>
      <c r="D65" s="339"/>
      <c r="E65" s="339"/>
      <c r="F65" s="644"/>
      <c r="G65" s="644"/>
      <c r="H65" s="644"/>
      <c r="I65" s="644"/>
      <c r="J65" s="644"/>
      <c r="K65" s="776"/>
    </row>
    <row r="66" spans="3:11" ht="18.75" x14ac:dyDescent="0.25">
      <c r="C66" s="341" t="s">
        <v>53</v>
      </c>
      <c r="D66" s="341"/>
      <c r="E66" s="341"/>
      <c r="F66" s="644">
        <v>27.8</v>
      </c>
      <c r="G66" s="644">
        <v>98.1</v>
      </c>
      <c r="H66" s="644">
        <v>77.5</v>
      </c>
      <c r="I66" s="644">
        <v>99.8</v>
      </c>
      <c r="J66" s="644">
        <v>79.3</v>
      </c>
      <c r="K66" s="776">
        <v>450</v>
      </c>
    </row>
    <row r="67" spans="3:11" ht="18.75" x14ac:dyDescent="0.25">
      <c r="C67" s="341" t="s">
        <v>54</v>
      </c>
      <c r="D67" s="341"/>
      <c r="E67" s="341"/>
      <c r="F67" s="644">
        <v>26.2</v>
      </c>
      <c r="G67" s="644">
        <v>98.2</v>
      </c>
      <c r="H67" s="644">
        <v>81.400000000000006</v>
      </c>
      <c r="I67" s="644">
        <v>99.4</v>
      </c>
      <c r="J67" s="644">
        <v>82.9</v>
      </c>
      <c r="K67" s="776">
        <v>433</v>
      </c>
    </row>
    <row r="68" spans="3:11" ht="18.75" x14ac:dyDescent="0.25">
      <c r="C68" s="226" t="s">
        <v>49</v>
      </c>
      <c r="D68" s="226"/>
      <c r="E68" s="226"/>
      <c r="F68" s="644"/>
      <c r="G68" s="644"/>
      <c r="H68" s="644"/>
      <c r="I68" s="644"/>
      <c r="J68" s="644"/>
      <c r="K68" s="776"/>
    </row>
    <row r="69" spans="3:11" ht="18.75" x14ac:dyDescent="0.25">
      <c r="C69" s="341" t="s">
        <v>532</v>
      </c>
      <c r="D69" s="341"/>
      <c r="E69" s="341"/>
      <c r="F69" s="644">
        <v>27.413721311882536</v>
      </c>
      <c r="G69" s="644">
        <v>95.7</v>
      </c>
      <c r="H69" s="644">
        <v>81.3</v>
      </c>
      <c r="I69" s="644">
        <v>100</v>
      </c>
      <c r="J69" s="644">
        <v>82.9</v>
      </c>
      <c r="K69" s="776">
        <v>490</v>
      </c>
    </row>
    <row r="70" spans="3:11" ht="18.75" x14ac:dyDescent="0.25">
      <c r="C70" s="341" t="s">
        <v>56</v>
      </c>
      <c r="D70" s="341"/>
      <c r="E70" s="341"/>
      <c r="F70" s="644">
        <v>22.343710988829379</v>
      </c>
      <c r="G70" s="644">
        <v>98.9</v>
      </c>
      <c r="H70" s="644">
        <v>77.099999999999994</v>
      </c>
      <c r="I70" s="644">
        <v>99.1</v>
      </c>
      <c r="J70" s="644">
        <v>78.8</v>
      </c>
      <c r="K70" s="776">
        <v>393</v>
      </c>
    </row>
    <row r="71" spans="3:11" ht="18.75" x14ac:dyDescent="0.25">
      <c r="C71" s="339" t="s">
        <v>327</v>
      </c>
      <c r="D71" s="339"/>
      <c r="E71" s="339"/>
      <c r="F71" s="644"/>
      <c r="G71" s="644"/>
      <c r="H71" s="644"/>
      <c r="I71" s="644"/>
      <c r="J71" s="644"/>
      <c r="K71" s="776"/>
    </row>
    <row r="72" spans="3:11" ht="18.75" x14ac:dyDescent="0.25">
      <c r="C72" s="341" t="s">
        <v>328</v>
      </c>
      <c r="D72" s="341"/>
      <c r="E72" s="341"/>
      <c r="F72" s="644">
        <v>32.299999999999997</v>
      </c>
      <c r="G72" s="644">
        <v>95.7</v>
      </c>
      <c r="H72" s="644">
        <v>81.400000000000006</v>
      </c>
      <c r="I72" s="644">
        <v>99.3</v>
      </c>
      <c r="J72" s="644">
        <v>80.400000000000006</v>
      </c>
      <c r="K72" s="776">
        <v>288</v>
      </c>
    </row>
    <row r="73" spans="3:11" ht="18.75" x14ac:dyDescent="0.25">
      <c r="C73" s="341" t="s">
        <v>329</v>
      </c>
      <c r="D73" s="341"/>
      <c r="E73" s="341"/>
      <c r="F73" s="644">
        <v>25</v>
      </c>
      <c r="G73" s="644">
        <v>100</v>
      </c>
      <c r="H73" s="644">
        <v>82.4</v>
      </c>
      <c r="I73" s="644">
        <v>100</v>
      </c>
      <c r="J73" s="644">
        <v>83.8</v>
      </c>
      <c r="K73" s="776">
        <v>204</v>
      </c>
    </row>
    <row r="74" spans="3:11" ht="18.75" x14ac:dyDescent="0.25">
      <c r="C74" s="341" t="s">
        <v>330</v>
      </c>
      <c r="D74" s="341"/>
      <c r="E74" s="341"/>
      <c r="F74" s="644">
        <v>27</v>
      </c>
      <c r="G74" s="644">
        <v>99.2</v>
      </c>
      <c r="H74" s="644">
        <v>84.6</v>
      </c>
      <c r="I74" s="644">
        <v>100</v>
      </c>
      <c r="J74" s="644">
        <v>84.8</v>
      </c>
      <c r="K74" s="776">
        <v>87</v>
      </c>
    </row>
    <row r="75" spans="3:11" ht="18.75" x14ac:dyDescent="0.25">
      <c r="C75" s="341" t="s">
        <v>331</v>
      </c>
      <c r="D75" s="341"/>
      <c r="E75" s="341"/>
      <c r="F75" s="644">
        <v>20.3</v>
      </c>
      <c r="G75" s="644">
        <v>98.3</v>
      </c>
      <c r="H75" s="644">
        <v>75</v>
      </c>
      <c r="I75" s="644">
        <v>100</v>
      </c>
      <c r="J75" s="644">
        <v>77.3</v>
      </c>
      <c r="K75" s="776">
        <v>44</v>
      </c>
    </row>
    <row r="76" spans="3:11" ht="18.75" x14ac:dyDescent="0.25">
      <c r="C76" s="341" t="s">
        <v>332</v>
      </c>
      <c r="D76" s="341"/>
      <c r="E76" s="341"/>
      <c r="F76" s="644">
        <v>29.4</v>
      </c>
      <c r="G76" s="644">
        <v>99.1</v>
      </c>
      <c r="H76" s="644">
        <v>70.7</v>
      </c>
      <c r="I76" s="644">
        <v>100</v>
      </c>
      <c r="J76" s="644">
        <v>78.599999999999994</v>
      </c>
      <c r="K76" s="776">
        <v>64</v>
      </c>
    </row>
    <row r="77" spans="3:11" ht="18.75" x14ac:dyDescent="0.25">
      <c r="C77" s="341" t="s">
        <v>533</v>
      </c>
      <c r="D77" s="341"/>
      <c r="E77" s="341"/>
      <c r="F77" s="644">
        <v>28.2</v>
      </c>
      <c r="G77" s="644">
        <v>99.1</v>
      </c>
      <c r="H77" s="644">
        <v>77.599999999999994</v>
      </c>
      <c r="I77" s="644">
        <v>99.2</v>
      </c>
      <c r="J77" s="644">
        <v>82.7</v>
      </c>
      <c r="K77" s="776">
        <v>116</v>
      </c>
    </row>
    <row r="78" spans="3:11" ht="18.75" x14ac:dyDescent="0.25">
      <c r="C78" s="341" t="s">
        <v>334</v>
      </c>
      <c r="D78" s="341"/>
      <c r="E78" s="341"/>
      <c r="F78" s="644">
        <v>15</v>
      </c>
      <c r="G78" s="644">
        <v>98.5</v>
      </c>
      <c r="H78" s="644">
        <v>71.099999999999994</v>
      </c>
      <c r="I78" s="644">
        <v>99.2</v>
      </c>
      <c r="J78" s="644">
        <v>74.3</v>
      </c>
      <c r="K78" s="776">
        <v>80</v>
      </c>
    </row>
    <row r="79" spans="3:11" ht="18.75" x14ac:dyDescent="0.25">
      <c r="C79" s="339" t="s">
        <v>1389</v>
      </c>
      <c r="D79" s="339"/>
      <c r="E79" s="339"/>
      <c r="F79" s="644"/>
      <c r="G79" s="644"/>
      <c r="H79" s="644"/>
      <c r="I79" s="644"/>
      <c r="J79" s="644"/>
      <c r="K79" s="776"/>
    </row>
    <row r="80" spans="3:11" ht="18.75" x14ac:dyDescent="0.25">
      <c r="C80" s="341" t="s">
        <v>1732</v>
      </c>
      <c r="D80" s="341"/>
      <c r="E80" s="341"/>
      <c r="F80" s="644">
        <v>15.1</v>
      </c>
      <c r="G80" s="644">
        <v>96.8</v>
      </c>
      <c r="H80" s="644">
        <v>78</v>
      </c>
      <c r="I80" s="644">
        <v>99.4</v>
      </c>
      <c r="J80" s="644">
        <v>77.3</v>
      </c>
      <c r="K80" s="776">
        <v>424</v>
      </c>
    </row>
    <row r="81" spans="3:11" ht="18.75" x14ac:dyDescent="0.25">
      <c r="C81" s="341" t="s">
        <v>1733</v>
      </c>
      <c r="D81" s="341"/>
      <c r="E81" s="341"/>
      <c r="F81" s="644">
        <v>38.4</v>
      </c>
      <c r="G81" s="644">
        <v>98.9</v>
      </c>
      <c r="H81" s="644">
        <v>77.099999999999994</v>
      </c>
      <c r="I81" s="644">
        <v>99.8</v>
      </c>
      <c r="J81" s="644">
        <v>84.6</v>
      </c>
      <c r="K81" s="776">
        <v>459</v>
      </c>
    </row>
    <row r="82" spans="3:11" ht="18.75" x14ac:dyDescent="0.25">
      <c r="C82" s="339" t="s">
        <v>1734</v>
      </c>
      <c r="D82" s="339"/>
      <c r="E82" s="339"/>
      <c r="F82" s="644"/>
      <c r="G82" s="644"/>
      <c r="H82" s="644"/>
      <c r="I82" s="644"/>
      <c r="J82" s="644"/>
      <c r="K82" s="776"/>
    </row>
    <row r="83" spans="3:11" ht="18.75" x14ac:dyDescent="0.25">
      <c r="C83" s="779" t="s">
        <v>1735</v>
      </c>
      <c r="D83" s="779"/>
      <c r="E83" s="779"/>
      <c r="F83" s="644">
        <v>33.4</v>
      </c>
      <c r="G83" s="644">
        <v>99.7</v>
      </c>
      <c r="H83" s="644">
        <v>80.2</v>
      </c>
      <c r="I83" s="644">
        <v>99.7</v>
      </c>
      <c r="J83" s="644">
        <v>81.900000000000006</v>
      </c>
      <c r="K83" s="776">
        <v>154</v>
      </c>
    </row>
    <row r="84" spans="3:11" ht="18.75" x14ac:dyDescent="0.25">
      <c r="C84" s="341" t="s">
        <v>1736</v>
      </c>
      <c r="D84" s="341"/>
      <c r="E84" s="341"/>
      <c r="F84" s="644">
        <v>25.9</v>
      </c>
      <c r="G84" s="644">
        <v>97.8</v>
      </c>
      <c r="H84" s="644">
        <v>79.2</v>
      </c>
      <c r="I84" s="644">
        <v>99.6</v>
      </c>
      <c r="J84" s="644">
        <v>80.900000000000006</v>
      </c>
      <c r="K84" s="776">
        <v>729</v>
      </c>
    </row>
    <row r="85" spans="3:11" ht="18.75" x14ac:dyDescent="0.25">
      <c r="C85" s="341" t="s">
        <v>878</v>
      </c>
      <c r="D85" s="341"/>
      <c r="E85" s="341"/>
      <c r="F85" s="644" t="s">
        <v>548</v>
      </c>
      <c r="G85" s="644"/>
      <c r="H85" s="644" t="s">
        <v>548</v>
      </c>
      <c r="I85" s="644" t="s">
        <v>548</v>
      </c>
      <c r="J85" s="644" t="s">
        <v>548</v>
      </c>
      <c r="K85" s="776">
        <v>0</v>
      </c>
    </row>
    <row r="86" spans="3:11" ht="18.75" x14ac:dyDescent="0.25">
      <c r="C86" s="339" t="s">
        <v>542</v>
      </c>
      <c r="D86" s="339"/>
      <c r="E86" s="339"/>
      <c r="F86" s="644"/>
      <c r="G86" s="644"/>
      <c r="H86" s="644"/>
      <c r="I86" s="644"/>
      <c r="J86" s="644"/>
      <c r="K86" s="776"/>
    </row>
    <row r="87" spans="3:11" ht="18.75" x14ac:dyDescent="0.25">
      <c r="C87" s="341" t="s">
        <v>1742</v>
      </c>
      <c r="D87" s="341"/>
      <c r="E87" s="341"/>
      <c r="F87" s="780">
        <v>16.2</v>
      </c>
      <c r="G87" s="780">
        <v>97.6</v>
      </c>
      <c r="H87" s="780">
        <v>71.5</v>
      </c>
      <c r="I87" s="780">
        <v>99</v>
      </c>
      <c r="J87" s="780">
        <v>73.7</v>
      </c>
      <c r="K87" s="776">
        <v>333</v>
      </c>
    </row>
    <row r="88" spans="3:11" ht="18.75" x14ac:dyDescent="0.25">
      <c r="C88" s="341" t="s">
        <v>1743</v>
      </c>
      <c r="D88" s="341"/>
      <c r="E88" s="341"/>
      <c r="F88" s="644">
        <v>33.9</v>
      </c>
      <c r="G88" s="644">
        <v>97.8</v>
      </c>
      <c r="H88" s="644">
        <v>84.2</v>
      </c>
      <c r="I88" s="644">
        <v>100</v>
      </c>
      <c r="J88" s="644">
        <v>85.6</v>
      </c>
      <c r="K88" s="776">
        <v>550</v>
      </c>
    </row>
    <row r="89" spans="3:11" ht="18.75" x14ac:dyDescent="0.25">
      <c r="C89" s="226" t="s">
        <v>558</v>
      </c>
      <c r="D89" s="226"/>
      <c r="E89" s="226"/>
      <c r="F89" s="644"/>
      <c r="G89" s="644"/>
      <c r="H89" s="644"/>
      <c r="I89" s="644"/>
      <c r="J89" s="644"/>
      <c r="K89" s="776"/>
    </row>
    <row r="90" spans="3:11" ht="18.75" x14ac:dyDescent="0.25">
      <c r="C90" s="341" t="s">
        <v>1744</v>
      </c>
      <c r="D90" s="341"/>
      <c r="E90" s="341"/>
      <c r="F90" s="644">
        <v>21.2</v>
      </c>
      <c r="G90" s="644">
        <v>97.3</v>
      </c>
      <c r="H90" s="644">
        <v>64.3</v>
      </c>
      <c r="I90" s="644">
        <v>98.8</v>
      </c>
      <c r="J90" s="644">
        <v>69.400000000000006</v>
      </c>
      <c r="K90" s="776">
        <v>268</v>
      </c>
    </row>
    <row r="91" spans="3:11" ht="18.75" x14ac:dyDescent="0.25">
      <c r="C91" s="341" t="s">
        <v>560</v>
      </c>
      <c r="D91" s="341"/>
      <c r="E91" s="341"/>
      <c r="F91" s="644">
        <v>15.9</v>
      </c>
      <c r="G91" s="644">
        <v>99.5</v>
      </c>
      <c r="H91" s="644">
        <v>83.5</v>
      </c>
      <c r="I91" s="644">
        <v>99.8</v>
      </c>
      <c r="J91" s="644">
        <v>83.9</v>
      </c>
      <c r="K91" s="776">
        <v>189</v>
      </c>
    </row>
    <row r="92" spans="3:11" ht="18.75" x14ac:dyDescent="0.25">
      <c r="C92" s="341" t="s">
        <v>561</v>
      </c>
      <c r="D92" s="341"/>
      <c r="E92" s="341"/>
      <c r="F92" s="644">
        <v>29.8</v>
      </c>
      <c r="G92" s="644">
        <v>98.7</v>
      </c>
      <c r="H92" s="644">
        <v>88.3</v>
      </c>
      <c r="I92" s="644">
        <v>100</v>
      </c>
      <c r="J92" s="644">
        <v>90.2</v>
      </c>
      <c r="K92" s="776">
        <v>147</v>
      </c>
    </row>
    <row r="93" spans="3:11" ht="18.75" x14ac:dyDescent="0.25">
      <c r="C93" s="341" t="s">
        <v>562</v>
      </c>
      <c r="D93" s="341"/>
      <c r="E93" s="341"/>
      <c r="F93" s="644">
        <v>42.6</v>
      </c>
      <c r="G93" s="644">
        <v>96.2</v>
      </c>
      <c r="H93" s="644">
        <v>81.8</v>
      </c>
      <c r="I93" s="644">
        <v>100</v>
      </c>
      <c r="J93" s="644">
        <v>80.5</v>
      </c>
      <c r="K93" s="776">
        <v>168</v>
      </c>
    </row>
    <row r="94" spans="3:11" ht="18.75" x14ac:dyDescent="0.25">
      <c r="C94" s="341" t="s">
        <v>1745</v>
      </c>
      <c r="D94" s="341"/>
      <c r="E94" s="341"/>
      <c r="F94" s="644">
        <v>34.200000000000003</v>
      </c>
      <c r="G94" s="644">
        <v>100</v>
      </c>
      <c r="H94" s="644">
        <v>93.4</v>
      </c>
      <c r="I94" s="644">
        <v>100</v>
      </c>
      <c r="J94" s="644">
        <v>93.4</v>
      </c>
      <c r="K94" s="776">
        <v>111</v>
      </c>
    </row>
    <row r="95" spans="3:11" ht="18.75" x14ac:dyDescent="0.25">
      <c r="C95" s="781" t="s">
        <v>1746</v>
      </c>
      <c r="D95" s="781"/>
      <c r="E95" s="781"/>
      <c r="F95" s="644"/>
      <c r="G95" s="644"/>
      <c r="H95" s="644"/>
      <c r="I95" s="644"/>
      <c r="J95" s="644"/>
      <c r="K95" s="776"/>
    </row>
    <row r="96" spans="3:11" ht="18.75" x14ac:dyDescent="0.25">
      <c r="C96" s="341" t="s">
        <v>1747</v>
      </c>
      <c r="D96" s="341"/>
      <c r="E96" s="341"/>
      <c r="F96" s="644">
        <v>19.8</v>
      </c>
      <c r="G96" s="644">
        <v>92.7</v>
      </c>
      <c r="H96" s="644">
        <v>92.7</v>
      </c>
      <c r="I96" s="644">
        <v>92.7</v>
      </c>
      <c r="J96" s="644">
        <v>68.5</v>
      </c>
      <c r="K96" s="776">
        <v>35</v>
      </c>
    </row>
    <row r="97" spans="3:11" ht="18.75" x14ac:dyDescent="0.25">
      <c r="C97" s="341" t="s">
        <v>1748</v>
      </c>
      <c r="D97" s="341"/>
      <c r="E97" s="341"/>
      <c r="F97" s="782" t="s">
        <v>1749</v>
      </c>
      <c r="G97" s="782">
        <v>100</v>
      </c>
      <c r="H97" s="782">
        <v>66.099999999999994</v>
      </c>
      <c r="I97" s="782">
        <v>100</v>
      </c>
      <c r="J97" s="782">
        <v>74</v>
      </c>
      <c r="K97" s="776">
        <v>7</v>
      </c>
    </row>
    <row r="98" spans="3:11" ht="18.75" x14ac:dyDescent="0.25">
      <c r="C98" s="341" t="s">
        <v>1750</v>
      </c>
      <c r="D98" s="341"/>
      <c r="E98" s="341"/>
      <c r="F98" s="644">
        <v>28.3</v>
      </c>
      <c r="G98" s="644">
        <v>98.1</v>
      </c>
      <c r="H98" s="644">
        <v>79</v>
      </c>
      <c r="I98" s="644">
        <v>99.9</v>
      </c>
      <c r="J98" s="644">
        <v>80.900000000000006</v>
      </c>
      <c r="K98" s="776">
        <v>746</v>
      </c>
    </row>
    <row r="99" spans="3:11" ht="18.75" x14ac:dyDescent="0.4">
      <c r="C99" s="650" t="s">
        <v>47</v>
      </c>
      <c r="D99" s="650"/>
      <c r="E99" s="650"/>
      <c r="F99" s="153"/>
      <c r="G99" s="153"/>
      <c r="H99" s="651"/>
      <c r="I99" s="651"/>
      <c r="J99" s="651"/>
      <c r="K99" s="777"/>
    </row>
    <row r="100" spans="3:11" ht="19.5" x14ac:dyDescent="0.4">
      <c r="C100" s="2683" t="s">
        <v>1738</v>
      </c>
      <c r="D100" s="2683"/>
      <c r="E100" s="2683"/>
      <c r="F100" s="2684"/>
      <c r="G100" s="2684"/>
      <c r="H100" s="2684"/>
      <c r="I100" s="2684"/>
      <c r="J100" s="2684"/>
      <c r="K100" s="2684"/>
    </row>
    <row r="101" spans="3:11" ht="18.75" x14ac:dyDescent="0.4">
      <c r="C101" s="2684" t="s">
        <v>1408</v>
      </c>
      <c r="D101" s="2684"/>
      <c r="E101" s="2684"/>
      <c r="F101" s="2684"/>
      <c r="G101" s="2684"/>
      <c r="H101" s="2684"/>
      <c r="I101" s="2684"/>
      <c r="J101" s="2684"/>
      <c r="K101" s="2684"/>
    </row>
    <row r="102" spans="3:11" ht="18.75" x14ac:dyDescent="0.4">
      <c r="C102" s="2684" t="s">
        <v>1751</v>
      </c>
      <c r="D102" s="2684"/>
      <c r="E102" s="2684"/>
      <c r="F102" s="2684"/>
      <c r="G102" s="2684"/>
      <c r="H102" s="2684"/>
      <c r="I102" s="2684"/>
      <c r="J102" s="2684"/>
      <c r="K102" s="2684"/>
    </row>
    <row r="103" spans="3:11" ht="18.75" x14ac:dyDescent="0.4">
      <c r="C103" s="5" t="s">
        <v>1752</v>
      </c>
      <c r="D103" s="5"/>
      <c r="E103" s="5"/>
      <c r="F103" s="5"/>
      <c r="G103" s="5"/>
      <c r="H103" s="5"/>
      <c r="I103" s="5"/>
      <c r="J103" s="5"/>
      <c r="K103" s="5"/>
    </row>
  </sheetData>
  <mergeCells count="62">
    <mergeCell ref="A5:B5"/>
    <mergeCell ref="C5:S5"/>
    <mergeCell ref="C1:D1"/>
    <mergeCell ref="A3:B3"/>
    <mergeCell ref="C3:S3"/>
    <mergeCell ref="A4:B4"/>
    <mergeCell ref="C4:S4"/>
    <mergeCell ref="A6:B6"/>
    <mergeCell ref="C6:S6"/>
    <mergeCell ref="C9:K9"/>
    <mergeCell ref="C10:C11"/>
    <mergeCell ref="F10:I10"/>
    <mergeCell ref="J10:J11"/>
    <mergeCell ref="K10:K11"/>
    <mergeCell ref="C24:E24"/>
    <mergeCell ref="C12:E12"/>
    <mergeCell ref="C14:E14"/>
    <mergeCell ref="C15:E15"/>
    <mergeCell ref="C16:E16"/>
    <mergeCell ref="C17:E17"/>
    <mergeCell ref="C18:E18"/>
    <mergeCell ref="C19:E19"/>
    <mergeCell ref="C20:E20"/>
    <mergeCell ref="C21:E21"/>
    <mergeCell ref="C22:E22"/>
    <mergeCell ref="C23:E23"/>
    <mergeCell ref="C36:E36"/>
    <mergeCell ref="C25:E25"/>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100:K100"/>
    <mergeCell ref="C101:K101"/>
    <mergeCell ref="C102:K102"/>
    <mergeCell ref="C49:E49"/>
    <mergeCell ref="C50:K50"/>
    <mergeCell ref="C51:K51"/>
    <mergeCell ref="C52:K52"/>
    <mergeCell ref="C60:K60"/>
    <mergeCell ref="C61:C62"/>
    <mergeCell ref="F61:I61"/>
    <mergeCell ref="J61:J62"/>
    <mergeCell ref="K61:K62"/>
  </mergeCells>
  <hyperlinks>
    <hyperlink ref="A1" location="'ODS 4.'!A1" display="REGRESAR" xr:uid="{8D923A37-7869-49DF-8258-FD1A5FACBDAC}"/>
    <hyperlink ref="C1" location="'Metadato 4.2.1'!A1" display="VER METADATO" xr:uid="{47ED11D7-41E1-4142-86D5-71C25B6D34D5}"/>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85-C4E1-451D-9A2C-4141D925223D}">
  <sheetPr>
    <tabColor theme="0" tint="-0.499984740745262"/>
  </sheetPr>
  <dimension ref="A1:H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8" x14ac:dyDescent="0.4">
      <c r="B1" s="158" t="s">
        <v>39</v>
      </c>
    </row>
    <row r="2" spans="1:8" ht="19.5" thickBot="1" x14ac:dyDescent="0.45"/>
    <row r="3" spans="1:8" ht="23.25" customHeight="1" thickBot="1" x14ac:dyDescent="0.45">
      <c r="B3" s="2678" t="s">
        <v>75</v>
      </c>
      <c r="C3" s="2678"/>
      <c r="D3" s="2678"/>
      <c r="F3" s="91" t="s">
        <v>265</v>
      </c>
    </row>
    <row r="4" spans="1:8" ht="37.5" x14ac:dyDescent="0.4">
      <c r="A4" s="92"/>
      <c r="B4" s="2445" t="s">
        <v>234</v>
      </c>
      <c r="C4" s="2445"/>
      <c r="D4" s="49" t="s">
        <v>1688</v>
      </c>
    </row>
    <row r="5" spans="1:8" ht="56.25" x14ac:dyDescent="0.4">
      <c r="B5" s="2445" t="s">
        <v>79</v>
      </c>
      <c r="C5" s="2445"/>
      <c r="D5" s="49" t="s">
        <v>1641</v>
      </c>
    </row>
    <row r="6" spans="1:8" x14ac:dyDescent="0.4">
      <c r="B6" s="2445" t="s">
        <v>80</v>
      </c>
      <c r="C6" s="2445"/>
      <c r="D6" s="50" t="s">
        <v>1642</v>
      </c>
    </row>
    <row r="7" spans="1:8" ht="33.75" customHeight="1" x14ac:dyDescent="0.4">
      <c r="B7" s="2446" t="s">
        <v>81</v>
      </c>
      <c r="C7" s="2446"/>
      <c r="D7" s="93" t="s">
        <v>1643</v>
      </c>
      <c r="H7" s="115"/>
    </row>
    <row r="8" spans="1:8" x14ac:dyDescent="0.4">
      <c r="B8" s="2446" t="s">
        <v>82</v>
      </c>
      <c r="C8" s="2446"/>
      <c r="D8" s="94" t="s">
        <v>1753</v>
      </c>
    </row>
    <row r="10" spans="1:8" ht="23.25" customHeight="1" x14ac:dyDescent="0.4">
      <c r="B10" s="2678" t="s">
        <v>85</v>
      </c>
      <c r="C10" s="2678"/>
      <c r="D10" s="2678"/>
    </row>
    <row r="11" spans="1:8" x14ac:dyDescent="0.4">
      <c r="B11" s="2453" t="s">
        <v>86</v>
      </c>
      <c r="C11" s="2454"/>
      <c r="D11" s="49" t="s">
        <v>1754</v>
      </c>
    </row>
    <row r="12" spans="1:8" ht="56.25" x14ac:dyDescent="0.4">
      <c r="B12" s="2455" t="s">
        <v>88</v>
      </c>
      <c r="C12" s="2455"/>
      <c r="D12" s="214" t="s">
        <v>1755</v>
      </c>
    </row>
    <row r="13" spans="1:8" x14ac:dyDescent="0.4">
      <c r="B13" s="2445" t="s">
        <v>90</v>
      </c>
      <c r="C13" s="2445"/>
      <c r="D13" s="54" t="s">
        <v>1642</v>
      </c>
    </row>
    <row r="14" spans="1:8" x14ac:dyDescent="0.4">
      <c r="B14" s="2445" t="s">
        <v>91</v>
      </c>
      <c r="C14" s="2456"/>
      <c r="D14" s="54" t="s">
        <v>92</v>
      </c>
    </row>
    <row r="15" spans="1:8" ht="409.5" x14ac:dyDescent="0.4">
      <c r="B15" s="2445" t="s">
        <v>93</v>
      </c>
      <c r="C15" s="2445"/>
      <c r="D15" s="59" t="s">
        <v>1756</v>
      </c>
    </row>
    <row r="16" spans="1:8" ht="37.5" x14ac:dyDescent="0.4">
      <c r="B16" s="2445" t="s">
        <v>95</v>
      </c>
      <c r="C16" s="2445"/>
      <c r="D16" s="203" t="s">
        <v>1757</v>
      </c>
    </row>
    <row r="17" spans="2:4" x14ac:dyDescent="0.4">
      <c r="B17" s="2445" t="s">
        <v>97</v>
      </c>
      <c r="C17" s="2445"/>
      <c r="D17" s="204" t="s">
        <v>238</v>
      </c>
    </row>
    <row r="18" spans="2:4" x14ac:dyDescent="0.4">
      <c r="B18" s="2446" t="s">
        <v>99</v>
      </c>
      <c r="C18" s="2446"/>
      <c r="D18" s="49"/>
    </row>
    <row r="19" spans="2:4" ht="48" customHeight="1" x14ac:dyDescent="0.4">
      <c r="B19" s="2457" t="s">
        <v>100</v>
      </c>
      <c r="C19" s="2458"/>
      <c r="D19" s="56" t="s">
        <v>1758</v>
      </c>
    </row>
    <row r="20" spans="2:4" x14ac:dyDescent="0.4">
      <c r="B20" s="2445" t="s">
        <v>102</v>
      </c>
      <c r="C20" s="2445"/>
      <c r="D20" s="204" t="s">
        <v>1521</v>
      </c>
    </row>
    <row r="21" spans="2:4" x14ac:dyDescent="0.4">
      <c r="B21" s="2451" t="s">
        <v>104</v>
      </c>
      <c r="C21" s="95" t="s">
        <v>105</v>
      </c>
      <c r="D21" s="204" t="s">
        <v>465</v>
      </c>
    </row>
    <row r="22" spans="2:4" x14ac:dyDescent="0.4">
      <c r="B22" s="2452"/>
      <c r="C22" s="96" t="s">
        <v>107</v>
      </c>
      <c r="D22" s="55"/>
    </row>
    <row r="23" spans="2:4" x14ac:dyDescent="0.4">
      <c r="B23" s="2444" t="s">
        <v>109</v>
      </c>
      <c r="C23" s="2444"/>
      <c r="D23" s="49"/>
    </row>
    <row r="24" spans="2:4" x14ac:dyDescent="0.4">
      <c r="B24" s="2444" t="s">
        <v>111</v>
      </c>
      <c r="C24" s="2444"/>
      <c r="D24" s="699" t="s">
        <v>127</v>
      </c>
    </row>
    <row r="25" spans="2:4" x14ac:dyDescent="0.4">
      <c r="B25" s="2445" t="s">
        <v>113</v>
      </c>
      <c r="C25" s="2445"/>
      <c r="D25" s="56" t="s">
        <v>144</v>
      </c>
    </row>
    <row r="26" spans="2:4" ht="15" customHeight="1" x14ac:dyDescent="0.4">
      <c r="B26" s="2446" t="s">
        <v>115</v>
      </c>
      <c r="C26" s="2446"/>
      <c r="D26" s="699" t="s">
        <v>1759</v>
      </c>
    </row>
    <row r="27" spans="2:4" x14ac:dyDescent="0.4">
      <c r="B27" s="2447" t="s">
        <v>117</v>
      </c>
      <c r="C27" s="2448"/>
      <c r="D27" s="49"/>
    </row>
    <row r="28" spans="2:4" x14ac:dyDescent="0.4">
      <c r="B28" s="97" t="s">
        <v>118</v>
      </c>
      <c r="C28" s="98"/>
      <c r="D28" s="204"/>
    </row>
    <row r="29" spans="2:4" x14ac:dyDescent="0.4">
      <c r="B29" s="2449" t="s">
        <v>120</v>
      </c>
      <c r="C29" s="2450"/>
      <c r="D29" s="62"/>
    </row>
    <row r="30" spans="2:4" x14ac:dyDescent="0.4">
      <c r="B30" s="628"/>
      <c r="C30" s="628"/>
      <c r="D30" s="629"/>
    </row>
    <row r="31" spans="2:4" ht="23.25" customHeight="1" x14ac:dyDescent="0.4">
      <c r="B31" s="2678" t="s">
        <v>121</v>
      </c>
      <c r="C31" s="2678"/>
      <c r="D31" s="2678"/>
    </row>
    <row r="32" spans="2:4" x14ac:dyDescent="0.4">
      <c r="B32" s="2631" t="s">
        <v>122</v>
      </c>
      <c r="C32" s="2632"/>
      <c r="D32" s="741"/>
    </row>
    <row r="33" spans="2:4" x14ac:dyDescent="0.4">
      <c r="B33" s="2442" t="s">
        <v>124</v>
      </c>
      <c r="C33" s="2443"/>
      <c r="D33" s="699" t="s">
        <v>1760</v>
      </c>
    </row>
    <row r="34" spans="2:4" x14ac:dyDescent="0.4">
      <c r="B34" s="2442" t="s">
        <v>126</v>
      </c>
      <c r="C34" s="2443"/>
      <c r="D34" s="699"/>
    </row>
    <row r="35" spans="2:4" x14ac:dyDescent="0.4">
      <c r="B35" s="2442" t="s">
        <v>128</v>
      </c>
      <c r="C35" s="2443"/>
      <c r="D35" s="699" t="s">
        <v>1760</v>
      </c>
    </row>
    <row r="36" spans="2:4" x14ac:dyDescent="0.4">
      <c r="B36" s="2442" t="s">
        <v>130</v>
      </c>
      <c r="C36" s="2443"/>
      <c r="D36" s="74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36AE86C-0061-448C-B9A7-67A05DA437EA}">
      <formula1>Tipo_operación</formula1>
    </dataValidation>
    <dataValidation type="list" allowBlank="1" showInputMessage="1" showErrorMessage="1" sqref="D14" xr:uid="{F1E7224F-2516-4770-8520-4E710DBB4D5C}">
      <formula1>Tipo_indicador</formula1>
    </dataValidation>
    <dataValidation type="list" allowBlank="1" showInputMessage="1" showErrorMessage="1" sqref="D7" xr:uid="{DF9821B5-1063-4630-81AD-2D7762F4F7AE}">
      <formula1>Nombre_indicador_ODS</formula1>
    </dataValidation>
    <dataValidation type="list" allowBlank="1" showInputMessage="1" showErrorMessage="1" sqref="D6" xr:uid="{0E9D1C90-183D-4A68-AC82-67E77A1B2E51}">
      <formula1>Numero_indicador</formula1>
    </dataValidation>
    <dataValidation type="list" allowBlank="1" showInputMessage="1" showErrorMessage="1" sqref="D5" xr:uid="{A87FCFAF-6754-4A74-81DA-487C2949F231}">
      <formula1>Metas_ODS</formula1>
    </dataValidation>
    <dataValidation type="list" allowBlank="1" showInputMessage="1" showErrorMessage="1" sqref="D4" xr:uid="{71E26A55-A729-4D5E-971C-BCF843A16009}">
      <formula1>ODS</formula1>
    </dataValidation>
    <dataValidation allowBlank="1" showDropDown="1" showInputMessage="1" showErrorMessage="1" sqref="D13" xr:uid="{172AC634-E31F-4F19-89CE-6D1B3C2EFF16}"/>
  </dataValidations>
  <hyperlinks>
    <hyperlink ref="B1" location="'4.2.1'!A1" display="REGRESAR" xr:uid="{1F5E7223-C20F-4AE3-86ED-6401CC1B02D8}"/>
    <hyperlink ref="D8" r:id="rId1" xr:uid="{9456F298-05AE-4E38-BEB8-88E7DD9C441C}"/>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15B5-793F-4811-AD7E-C4EEB9EBAB61}">
  <dimension ref="A1:S55"/>
  <sheetViews>
    <sheetView showGridLines="0" workbookViewId="0">
      <pane ySplit="1" topLeftCell="A2" activePane="bottomLeft" state="frozen"/>
      <selection activeCell="G16" sqref="G16"/>
      <selection pane="bottomLeft" activeCell="G16" sqref="G16"/>
    </sheetView>
  </sheetViews>
  <sheetFormatPr baseColWidth="10" defaultColWidth="11.42578125" defaultRowHeight="12.75" x14ac:dyDescent="0.25"/>
  <cols>
    <col min="1" max="2" width="15.5703125" style="175" customWidth="1"/>
    <col min="3" max="4" width="8.28515625" style="175" customWidth="1"/>
    <col min="5" max="5" width="9.7109375" style="175" customWidth="1"/>
    <col min="6" max="6" width="10.28515625" style="175" customWidth="1"/>
    <col min="7" max="7" width="1.7109375" style="175" customWidth="1"/>
    <col min="8" max="8" width="8.28515625" style="175" customWidth="1"/>
    <col min="9" max="9" width="9.28515625" style="175" customWidth="1"/>
    <col min="10" max="10" width="9.7109375" style="175" customWidth="1"/>
    <col min="11" max="16384" width="11.42578125" style="175"/>
  </cols>
  <sheetData>
    <row r="1" spans="1:19" s="162" customFormat="1" ht="19.5" x14ac:dyDescent="0.25">
      <c r="A1" s="68" t="s">
        <v>39</v>
      </c>
      <c r="C1" s="2562" t="s">
        <v>149</v>
      </c>
      <c r="D1" s="2562"/>
    </row>
    <row r="2" spans="1:19" s="162" customFormat="1" ht="19.5" x14ac:dyDescent="0.25"/>
    <row r="3" spans="1:19" s="162" customFormat="1" ht="19.5" x14ac:dyDescent="0.25">
      <c r="A3" s="2671" t="s">
        <v>41</v>
      </c>
      <c r="B3" s="2671"/>
      <c r="C3" s="2671" t="s">
        <v>1670</v>
      </c>
      <c r="D3" s="2671"/>
      <c r="E3" s="2671"/>
      <c r="F3" s="2671"/>
      <c r="G3" s="2671"/>
      <c r="H3" s="2671"/>
      <c r="I3" s="2671"/>
      <c r="J3" s="2671"/>
      <c r="K3" s="2671"/>
      <c r="L3" s="2671"/>
      <c r="M3" s="2671"/>
      <c r="N3" s="2671"/>
      <c r="O3" s="2671"/>
      <c r="P3" s="2671"/>
      <c r="Q3" s="2671"/>
      <c r="R3" s="2671"/>
      <c r="S3" s="2671"/>
    </row>
    <row r="4" spans="1:19" s="162" customFormat="1" ht="19.5" x14ac:dyDescent="0.25">
      <c r="A4" s="2671" t="s">
        <v>42</v>
      </c>
      <c r="B4" s="2671"/>
      <c r="C4" s="2671" t="s">
        <v>1641</v>
      </c>
      <c r="D4" s="2671"/>
      <c r="E4" s="2671"/>
      <c r="F4" s="2671"/>
      <c r="G4" s="2671"/>
      <c r="H4" s="2671"/>
      <c r="I4" s="2671"/>
      <c r="J4" s="2671"/>
      <c r="K4" s="2671"/>
      <c r="L4" s="2671"/>
      <c r="M4" s="2671"/>
      <c r="N4" s="2671"/>
      <c r="O4" s="2671"/>
      <c r="P4" s="2671"/>
      <c r="Q4" s="2671"/>
      <c r="R4" s="2692"/>
      <c r="S4" s="2692"/>
    </row>
    <row r="5" spans="1:19" s="162" customFormat="1" ht="19.5" x14ac:dyDescent="0.25">
      <c r="A5" s="2671" t="s">
        <v>43</v>
      </c>
      <c r="B5" s="2671"/>
      <c r="C5" s="2671" t="s">
        <v>1645</v>
      </c>
      <c r="D5" s="2671"/>
      <c r="E5" s="2671"/>
      <c r="F5" s="2671"/>
      <c r="G5" s="2671"/>
      <c r="H5" s="2671"/>
      <c r="I5" s="2671"/>
      <c r="J5" s="2671"/>
      <c r="K5" s="2671"/>
      <c r="L5" s="2671"/>
      <c r="M5" s="2671"/>
      <c r="N5" s="2671"/>
      <c r="O5" s="2671"/>
      <c r="P5" s="2671"/>
      <c r="Q5" s="2671"/>
      <c r="R5" s="2692"/>
      <c r="S5" s="2692"/>
    </row>
    <row r="6" spans="1:19" s="162" customFormat="1" ht="19.5" x14ac:dyDescent="0.25">
      <c r="A6" s="2671" t="s">
        <v>132</v>
      </c>
      <c r="B6" s="2671"/>
      <c r="C6" s="2671" t="s">
        <v>1761</v>
      </c>
      <c r="D6" s="2671"/>
      <c r="E6" s="2671"/>
      <c r="F6" s="2671"/>
      <c r="G6" s="2671"/>
      <c r="H6" s="2671"/>
      <c r="I6" s="2671"/>
      <c r="J6" s="2671"/>
      <c r="K6" s="2671"/>
      <c r="L6" s="2671"/>
      <c r="M6" s="2671"/>
      <c r="N6" s="2671"/>
      <c r="O6" s="2671"/>
      <c r="P6" s="2671"/>
      <c r="Q6" s="2671"/>
      <c r="R6" s="2692"/>
      <c r="S6" s="2692"/>
    </row>
    <row r="7" spans="1:19" s="162" customFormat="1" ht="19.5" x14ac:dyDescent="0.25"/>
    <row r="8" spans="1:19" s="162" customFormat="1" ht="19.5" x14ac:dyDescent="0.25"/>
    <row r="9" spans="1:19" s="162" customFormat="1" ht="32.25" customHeight="1" x14ac:dyDescent="0.25">
      <c r="C9" s="264" t="s">
        <v>1761</v>
      </c>
      <c r="D9" s="264"/>
      <c r="E9" s="264"/>
      <c r="F9" s="264"/>
      <c r="G9" s="264"/>
      <c r="H9" s="264"/>
      <c r="I9" s="264"/>
      <c r="J9" s="264"/>
    </row>
    <row r="10" spans="1:19" ht="18.75" x14ac:dyDescent="0.25">
      <c r="A10" s="35"/>
      <c r="C10" s="2693" t="s">
        <v>46</v>
      </c>
      <c r="D10" s="2695" t="s">
        <v>1762</v>
      </c>
      <c r="E10" s="2695"/>
      <c r="F10" s="2695"/>
      <c r="G10" s="783"/>
      <c r="H10" s="2695" t="s">
        <v>1763</v>
      </c>
      <c r="I10" s="2695"/>
      <c r="J10" s="2695"/>
    </row>
    <row r="11" spans="1:19" ht="18.75" x14ac:dyDescent="0.25">
      <c r="A11" s="35"/>
      <c r="C11" s="2694"/>
      <c r="D11" s="784" t="s">
        <v>47</v>
      </c>
      <c r="E11" s="784" t="s">
        <v>894</v>
      </c>
      <c r="F11" s="784" t="s">
        <v>895</v>
      </c>
      <c r="G11" s="784"/>
      <c r="H11" s="784" t="s">
        <v>47</v>
      </c>
      <c r="I11" s="784" t="s">
        <v>894</v>
      </c>
      <c r="J11" s="784" t="s">
        <v>895</v>
      </c>
    </row>
    <row r="12" spans="1:19" ht="18.75" x14ac:dyDescent="0.25">
      <c r="A12" s="35"/>
      <c r="C12" s="785">
        <v>2010</v>
      </c>
      <c r="D12" s="786">
        <v>92.247351687561604</v>
      </c>
      <c r="E12" s="786">
        <v>92.136175766804442</v>
      </c>
      <c r="F12" s="786">
        <v>92.363337210291903</v>
      </c>
      <c r="G12" s="786"/>
      <c r="H12" s="542">
        <v>88.611215238729926</v>
      </c>
      <c r="I12" s="542">
        <v>88.071024581248636</v>
      </c>
      <c r="J12" s="542">
        <v>89.174775183682726</v>
      </c>
    </row>
    <row r="13" spans="1:19" ht="18.75" x14ac:dyDescent="0.25">
      <c r="A13" s="35"/>
      <c r="C13" s="785">
        <v>2011</v>
      </c>
      <c r="D13" s="786">
        <v>91.37198646258409</v>
      </c>
      <c r="E13" s="786">
        <v>90.524749797132813</v>
      </c>
      <c r="F13" s="786">
        <v>92.271252619792705</v>
      </c>
      <c r="G13" s="786"/>
      <c r="H13" s="542">
        <v>87.774543530034393</v>
      </c>
      <c r="I13" s="542">
        <v>86.591831214498242</v>
      </c>
      <c r="J13" s="542">
        <v>89.029887169475458</v>
      </c>
    </row>
    <row r="14" spans="1:19" ht="18.75" x14ac:dyDescent="0.25">
      <c r="A14" s="262"/>
      <c r="C14" s="785">
        <v>2012</v>
      </c>
      <c r="D14" s="786">
        <v>90.159947782288725</v>
      </c>
      <c r="E14" s="786">
        <v>89.854137221668694</v>
      </c>
      <c r="F14" s="786">
        <v>90.480155548542612</v>
      </c>
      <c r="G14" s="786"/>
      <c r="H14" s="542">
        <v>86.712161896149468</v>
      </c>
      <c r="I14" s="542">
        <v>86.04036806953242</v>
      </c>
      <c r="J14" s="542">
        <v>87.415582995041731</v>
      </c>
    </row>
    <row r="15" spans="1:19" ht="18.75" x14ac:dyDescent="0.25">
      <c r="A15" s="35"/>
      <c r="C15" s="785">
        <v>2013</v>
      </c>
      <c r="D15" s="786">
        <v>88.967495952700673</v>
      </c>
      <c r="E15" s="786">
        <v>88.727861513206236</v>
      </c>
      <c r="F15" s="786">
        <v>89.222217496189401</v>
      </c>
      <c r="G15" s="786"/>
      <c r="H15" s="542">
        <v>84.963844551567618</v>
      </c>
      <c r="I15" s="542">
        <v>84.317907324148948</v>
      </c>
      <c r="J15" s="542">
        <v>85.65044923122899</v>
      </c>
    </row>
    <row r="16" spans="1:19" ht="18.75" x14ac:dyDescent="0.25">
      <c r="A16" s="35"/>
      <c r="C16" s="785">
        <v>2014</v>
      </c>
      <c r="D16" s="786">
        <v>89.320388349514573</v>
      </c>
      <c r="E16" s="786">
        <v>88.760147980680301</v>
      </c>
      <c r="F16" s="786">
        <v>89.91161479232187</v>
      </c>
      <c r="G16" s="786"/>
      <c r="H16" s="542">
        <v>86.758653440270166</v>
      </c>
      <c r="I16" s="542">
        <v>86.134518548967222</v>
      </c>
      <c r="J16" s="542">
        <v>87.417308317969855</v>
      </c>
    </row>
    <row r="17" spans="1:10" ht="18.75" x14ac:dyDescent="0.25">
      <c r="A17" s="35"/>
      <c r="C17" s="785">
        <v>2015</v>
      </c>
      <c r="D17" s="786">
        <v>90.638704296591243</v>
      </c>
      <c r="E17" s="786">
        <v>90.998393510837218</v>
      </c>
      <c r="F17" s="786">
        <v>90.263150658564086</v>
      </c>
      <c r="G17" s="786"/>
      <c r="H17" s="542">
        <v>84.458823212892469</v>
      </c>
      <c r="I17" s="542">
        <v>84.867398804350685</v>
      </c>
      <c r="J17" s="542">
        <v>84.032227019000743</v>
      </c>
    </row>
    <row r="18" spans="1:10" ht="18.75" x14ac:dyDescent="0.25">
      <c r="A18" s="35"/>
      <c r="C18" s="785">
        <v>2016</v>
      </c>
      <c r="D18" s="786">
        <v>90.190754959770359</v>
      </c>
      <c r="E18" s="786">
        <v>90.494956732624161</v>
      </c>
      <c r="F18" s="786">
        <v>89.870182673597995</v>
      </c>
      <c r="G18" s="786"/>
      <c r="H18" s="542">
        <v>89.343740720315608</v>
      </c>
      <c r="I18" s="542">
        <v>89.635120983299345</v>
      </c>
      <c r="J18" s="542">
        <v>89.036679929137748</v>
      </c>
    </row>
    <row r="19" spans="1:10" ht="18.75" x14ac:dyDescent="0.25">
      <c r="C19" s="785">
        <v>2017</v>
      </c>
      <c r="D19" s="787">
        <v>88.451131074791647</v>
      </c>
      <c r="E19" s="786">
        <v>88.154597018862944</v>
      </c>
      <c r="F19" s="786">
        <v>88.760830926460784</v>
      </c>
      <c r="G19" s="786"/>
      <c r="H19" s="542">
        <v>86.374337049464216</v>
      </c>
      <c r="I19" s="542">
        <v>86.2</v>
      </c>
      <c r="J19" s="542">
        <v>86.7</v>
      </c>
    </row>
    <row r="20" spans="1:10" ht="18.75" x14ac:dyDescent="0.25">
      <c r="C20" s="785">
        <v>2018</v>
      </c>
      <c r="D20" s="787">
        <v>102.07319990431385</v>
      </c>
      <c r="E20" s="786">
        <v>101.73748182007066</v>
      </c>
      <c r="F20" s="786">
        <v>102.42501769092591</v>
      </c>
      <c r="G20" s="786"/>
      <c r="H20" s="542">
        <v>88.723836625842836</v>
      </c>
      <c r="I20" s="542">
        <v>87.801248785435803</v>
      </c>
      <c r="J20" s="542">
        <v>89.690672620861875</v>
      </c>
    </row>
    <row r="21" spans="1:10" ht="18.75" x14ac:dyDescent="0.25">
      <c r="C21" s="785">
        <v>2019</v>
      </c>
      <c r="D21" s="786">
        <v>91.929773187094028</v>
      </c>
      <c r="E21" s="787">
        <v>91.88668938428323</v>
      </c>
      <c r="F21" s="787">
        <v>91.974921630094045</v>
      </c>
      <c r="G21" s="786"/>
      <c r="H21" s="542">
        <v>89.143861143648166</v>
      </c>
      <c r="I21" s="542">
        <v>89.007101422885825</v>
      </c>
      <c r="J21" s="542">
        <v>89.28717459452092</v>
      </c>
    </row>
    <row r="22" spans="1:10" ht="18.75" x14ac:dyDescent="0.25">
      <c r="C22" s="785">
        <v>2020</v>
      </c>
      <c r="D22" s="786">
        <v>93.315982649315984</v>
      </c>
      <c r="E22" s="787">
        <v>93.194919011972146</v>
      </c>
      <c r="F22" s="787">
        <v>93.442846990652157</v>
      </c>
      <c r="G22" s="786"/>
      <c r="H22" s="542">
        <v>91.105772439105763</v>
      </c>
      <c r="I22" s="542">
        <v>90.852656563812303</v>
      </c>
      <c r="J22" s="542">
        <v>91.371016235718585</v>
      </c>
    </row>
    <row r="23" spans="1:10" ht="18.75" x14ac:dyDescent="0.25">
      <c r="C23" s="785">
        <v>2021</v>
      </c>
      <c r="D23" s="786">
        <v>93.9</v>
      </c>
      <c r="E23" s="787">
        <v>93.9</v>
      </c>
      <c r="F23" s="787">
        <v>93.8</v>
      </c>
      <c r="G23" s="786"/>
      <c r="H23" s="542">
        <v>91.8</v>
      </c>
      <c r="I23" s="542">
        <v>91.7</v>
      </c>
      <c r="J23" s="542">
        <v>91.9</v>
      </c>
    </row>
    <row r="24" spans="1:10" ht="18.75" x14ac:dyDescent="0.25">
      <c r="C24" s="788">
        <v>2022</v>
      </c>
      <c r="D24" s="789">
        <v>90.75547472876508</v>
      </c>
      <c r="E24" s="790">
        <v>90.133309887083328</v>
      </c>
      <c r="F24" s="790">
        <v>91.407498656340422</v>
      </c>
      <c r="G24" s="789"/>
      <c r="H24" s="764">
        <v>88.872447022571095</v>
      </c>
      <c r="I24" s="764">
        <v>88.068505607124166</v>
      </c>
      <c r="J24" s="764">
        <v>89.714971389302036</v>
      </c>
    </row>
    <row r="25" spans="1:10" ht="18.75" x14ac:dyDescent="0.25">
      <c r="C25" s="155" t="s">
        <v>1764</v>
      </c>
      <c r="D25" s="36"/>
      <c r="E25" s="36"/>
      <c r="F25" s="36"/>
      <c r="G25" s="36"/>
      <c r="H25" s="36"/>
      <c r="I25" s="36"/>
      <c r="J25" s="36"/>
    </row>
    <row r="26" spans="1:10" ht="18.75" x14ac:dyDescent="0.25">
      <c r="C26" s="36" t="s">
        <v>1765</v>
      </c>
      <c r="D26" s="36"/>
      <c r="E26" s="36"/>
      <c r="F26" s="36"/>
      <c r="G26" s="36"/>
      <c r="H26" s="36"/>
      <c r="I26" s="36"/>
      <c r="J26" s="36"/>
    </row>
    <row r="27" spans="1:10" ht="34.5" customHeight="1" x14ac:dyDescent="0.25"/>
    <row r="29" spans="1:10" ht="19.5" x14ac:dyDescent="0.25">
      <c r="C29" s="43" t="s">
        <v>1766</v>
      </c>
      <c r="D29" s="43"/>
      <c r="E29" s="43"/>
      <c r="F29" s="43"/>
      <c r="G29" s="43"/>
      <c r="H29" s="43"/>
      <c r="I29" s="43"/>
      <c r="J29" s="43"/>
    </row>
    <row r="55" spans="3:3" ht="18.75" x14ac:dyDescent="0.25">
      <c r="C55" s="36" t="s">
        <v>1767</v>
      </c>
    </row>
  </sheetData>
  <mergeCells count="12">
    <mergeCell ref="A5:B5"/>
    <mergeCell ref="C5:S5"/>
    <mergeCell ref="C1:D1"/>
    <mergeCell ref="A3:B3"/>
    <mergeCell ref="C3:S3"/>
    <mergeCell ref="A4:B4"/>
    <mergeCell ref="C4:S4"/>
    <mergeCell ref="A6:B6"/>
    <mergeCell ref="C6:S6"/>
    <mergeCell ref="C10:C11"/>
    <mergeCell ref="D10:F10"/>
    <mergeCell ref="H10:J10"/>
  </mergeCells>
  <hyperlinks>
    <hyperlink ref="A1" location="'ODS 4.'!A1" display="REGRESAR" xr:uid="{EE150E0B-AD9D-42DB-90AB-36C1BBEC79B6}"/>
    <hyperlink ref="C1" location="'Metadato 4.2.2'!A1" display="VER METADATO" xr:uid="{69122DEB-AC20-405A-85BD-4377F07E07E8}"/>
  </hyperlink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7129B-C853-47FA-A015-03204247C807}">
  <sheetPr>
    <tabColor theme="0" tint="-0.499984740745262"/>
  </sheetPr>
  <dimension ref="A1:F36"/>
  <sheetViews>
    <sheetView showGridLines="0" zoomScaleNormal="100" workbookViewId="0">
      <pane ySplit="1" topLeftCell="A13" activePane="bottomLeft" state="frozen"/>
      <selection activeCell="R16" sqref="R16"/>
      <selection pane="bottomLeft" activeCell="G16" sqref="G16"/>
    </sheetView>
  </sheetViews>
  <sheetFormatPr baseColWidth="10" defaultColWidth="11.42578125" defaultRowHeight="18.75" x14ac:dyDescent="0.25"/>
  <cols>
    <col min="1" max="1" width="8.28515625" style="36" customWidth="1"/>
    <col min="2" max="2" width="26.42578125" style="36" customWidth="1"/>
    <col min="3" max="3" width="24" style="36" customWidth="1"/>
    <col min="4" max="4" width="85.7109375" style="36" customWidth="1"/>
    <col min="5" max="5" width="2.7109375" style="36" customWidth="1"/>
    <col min="6" max="6" width="7.28515625" style="36" customWidth="1"/>
    <col min="7" max="7" width="9.28515625" style="36" customWidth="1"/>
    <col min="8" max="8" width="9.7109375" style="36" customWidth="1"/>
    <col min="9" max="16384" width="11.42578125" style="36"/>
  </cols>
  <sheetData>
    <row r="1" spans="1:6" x14ac:dyDescent="0.25">
      <c r="B1" s="158" t="s">
        <v>39</v>
      </c>
    </row>
    <row r="2" spans="1:6" ht="19.5" thickBot="1" x14ac:dyDescent="0.3"/>
    <row r="3" spans="1:6" ht="23.25" customHeight="1" thickBot="1" x14ac:dyDescent="0.3">
      <c r="B3" s="2696" t="s">
        <v>75</v>
      </c>
      <c r="C3" s="2696"/>
      <c r="D3" s="2696"/>
      <c r="F3" s="91" t="s">
        <v>76</v>
      </c>
    </row>
    <row r="4" spans="1:6" ht="37.5" x14ac:dyDescent="0.25">
      <c r="A4" s="92"/>
      <c r="B4" s="2606" t="s">
        <v>234</v>
      </c>
      <c r="C4" s="2606"/>
      <c r="D4" s="359" t="s">
        <v>1688</v>
      </c>
    </row>
    <row r="5" spans="1:6" ht="45.75" customHeight="1" x14ac:dyDescent="0.25">
      <c r="B5" s="2445" t="s">
        <v>1689</v>
      </c>
      <c r="C5" s="2445"/>
      <c r="D5" s="49" t="s">
        <v>1641</v>
      </c>
    </row>
    <row r="6" spans="1:6" x14ac:dyDescent="0.25">
      <c r="B6" s="2445" t="s">
        <v>80</v>
      </c>
      <c r="C6" s="2445"/>
      <c r="D6" s="50" t="s">
        <v>1644</v>
      </c>
    </row>
    <row r="7" spans="1:6" ht="37.5" x14ac:dyDescent="0.25">
      <c r="B7" s="2446" t="s">
        <v>81</v>
      </c>
      <c r="C7" s="2446"/>
      <c r="D7" s="93" t="s">
        <v>1645</v>
      </c>
    </row>
    <row r="8" spans="1:6" x14ac:dyDescent="0.25">
      <c r="B8" s="2446" t="s">
        <v>82</v>
      </c>
      <c r="C8" s="2446"/>
      <c r="D8" s="94" t="s">
        <v>1768</v>
      </c>
    </row>
    <row r="9" spans="1:6" x14ac:dyDescent="0.4">
      <c r="B9" s="5"/>
      <c r="C9" s="5"/>
      <c r="D9" s="5"/>
    </row>
    <row r="10" spans="1:6" ht="23.25" customHeight="1" x14ac:dyDescent="0.25">
      <c r="B10" s="2696" t="s">
        <v>85</v>
      </c>
      <c r="C10" s="2696"/>
      <c r="D10" s="2696"/>
    </row>
    <row r="11" spans="1:6" ht="16.5" customHeight="1" x14ac:dyDescent="0.25">
      <c r="B11" s="2633" t="s">
        <v>86</v>
      </c>
      <c r="C11" s="2634"/>
      <c r="D11" s="359" t="s">
        <v>167</v>
      </c>
    </row>
    <row r="12" spans="1:6" ht="36" customHeight="1" x14ac:dyDescent="0.25">
      <c r="B12" s="2455" t="s">
        <v>88</v>
      </c>
      <c r="C12" s="2455"/>
      <c r="D12" s="755" t="s">
        <v>1769</v>
      </c>
    </row>
    <row r="13" spans="1:6" x14ac:dyDescent="0.25">
      <c r="B13" s="2445" t="s">
        <v>90</v>
      </c>
      <c r="C13" s="2445"/>
      <c r="D13" s="54" t="s">
        <v>1644</v>
      </c>
    </row>
    <row r="14" spans="1:6" x14ac:dyDescent="0.25">
      <c r="B14" s="2445" t="s">
        <v>91</v>
      </c>
      <c r="C14" s="2456"/>
      <c r="D14" s="54" t="s">
        <v>92</v>
      </c>
    </row>
    <row r="15" spans="1:6" ht="145.9" customHeight="1" x14ac:dyDescent="0.25">
      <c r="B15" s="2445" t="s">
        <v>93</v>
      </c>
      <c r="C15" s="2445"/>
      <c r="D15" s="55" t="s">
        <v>1770</v>
      </c>
    </row>
    <row r="16" spans="1:6" ht="117" customHeight="1" x14ac:dyDescent="0.25">
      <c r="B16" s="2445" t="s">
        <v>95</v>
      </c>
      <c r="C16" s="2445"/>
      <c r="D16" s="756"/>
    </row>
    <row r="17" spans="2:4" x14ac:dyDescent="0.25">
      <c r="B17" s="2445" t="s">
        <v>97</v>
      </c>
      <c r="C17" s="2445"/>
      <c r="D17" s="204" t="s">
        <v>1771</v>
      </c>
    </row>
    <row r="18" spans="2:4" x14ac:dyDescent="0.25">
      <c r="B18" s="2446" t="s">
        <v>99</v>
      </c>
      <c r="C18" s="2446"/>
      <c r="D18" s="49"/>
    </row>
    <row r="19" spans="2:4" ht="34.5" customHeight="1" x14ac:dyDescent="0.25">
      <c r="B19" s="2457" t="s">
        <v>100</v>
      </c>
      <c r="C19" s="2458"/>
      <c r="D19" s="55" t="s">
        <v>1772</v>
      </c>
    </row>
    <row r="20" spans="2:4" ht="18.75" customHeight="1" x14ac:dyDescent="0.25">
      <c r="B20" s="2445" t="s">
        <v>102</v>
      </c>
      <c r="C20" s="2445"/>
      <c r="D20" s="204" t="s">
        <v>140</v>
      </c>
    </row>
    <row r="21" spans="2:4" x14ac:dyDescent="0.25">
      <c r="B21" s="2451" t="s">
        <v>104</v>
      </c>
      <c r="C21" s="95" t="s">
        <v>105</v>
      </c>
      <c r="D21" s="49"/>
    </row>
    <row r="22" spans="2:4" x14ac:dyDescent="0.25">
      <c r="B22" s="2452"/>
      <c r="C22" s="96" t="s">
        <v>107</v>
      </c>
      <c r="D22" s="204" t="s">
        <v>48</v>
      </c>
    </row>
    <row r="23" spans="2:4" x14ac:dyDescent="0.25">
      <c r="B23" s="2444" t="s">
        <v>109</v>
      </c>
      <c r="C23" s="2444"/>
      <c r="D23" s="204" t="s">
        <v>143</v>
      </c>
    </row>
    <row r="24" spans="2:4" x14ac:dyDescent="0.25">
      <c r="B24" s="2444" t="s">
        <v>111</v>
      </c>
      <c r="C24" s="2444"/>
      <c r="D24" s="49" t="s">
        <v>1706</v>
      </c>
    </row>
    <row r="25" spans="2:4" x14ac:dyDescent="0.25">
      <c r="B25" s="2445" t="s">
        <v>113</v>
      </c>
      <c r="C25" s="2445"/>
      <c r="D25" s="56" t="s">
        <v>1773</v>
      </c>
    </row>
    <row r="26" spans="2:4" ht="15" customHeight="1" x14ac:dyDescent="0.25">
      <c r="B26" s="2446" t="s">
        <v>115</v>
      </c>
      <c r="C26" s="2446"/>
      <c r="D26" s="699" t="s">
        <v>1774</v>
      </c>
    </row>
    <row r="27" spans="2:4" x14ac:dyDescent="0.25">
      <c r="B27" s="2447" t="s">
        <v>117</v>
      </c>
      <c r="C27" s="2448"/>
      <c r="D27" s="49"/>
    </row>
    <row r="28" spans="2:4" x14ac:dyDescent="0.25">
      <c r="B28" s="97" t="s">
        <v>118</v>
      </c>
      <c r="C28" s="98"/>
      <c r="D28" s="49" t="s">
        <v>1775</v>
      </c>
    </row>
    <row r="29" spans="2:4" x14ac:dyDescent="0.25">
      <c r="B29" s="2449" t="s">
        <v>120</v>
      </c>
      <c r="C29" s="2450"/>
      <c r="D29" s="62"/>
    </row>
    <row r="30" spans="2:4" x14ac:dyDescent="0.25">
      <c r="B30" s="628"/>
      <c r="C30" s="628"/>
      <c r="D30" s="629"/>
    </row>
    <row r="31" spans="2:4" ht="23.25" customHeight="1" x14ac:dyDescent="0.25">
      <c r="B31" s="2696" t="s">
        <v>121</v>
      </c>
      <c r="C31" s="2696"/>
      <c r="D31" s="2696"/>
    </row>
    <row r="32" spans="2:4" x14ac:dyDescent="0.25">
      <c r="B32" s="2631" t="s">
        <v>122</v>
      </c>
      <c r="C32" s="2632"/>
      <c r="D32" s="758" t="s">
        <v>1708</v>
      </c>
    </row>
    <row r="33" spans="2:4" x14ac:dyDescent="0.25">
      <c r="B33" s="2442" t="s">
        <v>124</v>
      </c>
      <c r="C33" s="2443"/>
      <c r="D33" s="401" t="s">
        <v>1709</v>
      </c>
    </row>
    <row r="34" spans="2:4" x14ac:dyDescent="0.25">
      <c r="B34" s="2442" t="s">
        <v>126</v>
      </c>
      <c r="C34" s="2443"/>
      <c r="D34" s="699" t="s">
        <v>1706</v>
      </c>
    </row>
    <row r="35" spans="2:4" x14ac:dyDescent="0.25">
      <c r="B35" s="2442" t="s">
        <v>128</v>
      </c>
      <c r="C35" s="2443"/>
      <c r="D35" s="401"/>
    </row>
    <row r="36" spans="2:4" x14ac:dyDescent="0.25">
      <c r="B36" s="2442" t="s">
        <v>130</v>
      </c>
      <c r="C36" s="2443"/>
      <c r="D36" s="401" t="s">
        <v>1710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9863222-BB82-4CAE-9D1B-5A0BB3F075A8}">
      <formula1>Tipo_operación</formula1>
    </dataValidation>
    <dataValidation type="list" allowBlank="1" showInputMessage="1" showErrorMessage="1" sqref="D14" xr:uid="{882C63C4-FE4E-474D-B7D8-2BDBFAD46FF6}">
      <formula1>Tipo_indicador</formula1>
    </dataValidation>
    <dataValidation type="list" allowBlank="1" showInputMessage="1" showErrorMessage="1" sqref="D7" xr:uid="{7405BE3E-47BA-439C-A169-5E97C447DF48}">
      <formula1>Nombre_indicador_ODS</formula1>
    </dataValidation>
    <dataValidation type="list" allowBlank="1" showInputMessage="1" showErrorMessage="1" sqref="D6" xr:uid="{DFAE8910-9B8D-4F72-A195-22DFBE94CA69}">
      <formula1>Numero_indicador</formula1>
    </dataValidation>
    <dataValidation type="list" allowBlank="1" showInputMessage="1" showErrorMessage="1" sqref="D5" xr:uid="{DCD884B3-A587-4DD1-BD56-676C69E4769A}">
      <formula1>Metas_ODS</formula1>
    </dataValidation>
    <dataValidation type="list" allowBlank="1" showInputMessage="1" showErrorMessage="1" sqref="D4" xr:uid="{561288E9-FF59-4919-8435-144530C4BC3B}">
      <formula1>ODS</formula1>
    </dataValidation>
    <dataValidation allowBlank="1" showDropDown="1" showInputMessage="1" showErrorMessage="1" sqref="D13" xr:uid="{6DDC76D9-E8D7-45A3-B9F8-9CB4BBD9F662}"/>
  </dataValidations>
  <hyperlinks>
    <hyperlink ref="B1" location="'4.2.2'!A1" display="REGRESAR" xr:uid="{54CD3C21-3789-448A-9FAE-5270508E41EF}"/>
    <hyperlink ref="D8" r:id="rId1" xr:uid="{40A15D95-CC9D-4A5A-A2B9-8BAD99A74C8F}"/>
  </hyperlinks>
  <pageMargins left="0.7" right="0.7" top="0.75" bottom="0.75" header="0.3" footer="0.3"/>
  <pageSetup paperSize="9"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BABE-6D34-40DD-BAAA-31164711691F}">
  <dimension ref="A1:AL83"/>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1" width="15" style="175" customWidth="1"/>
    <col min="2" max="2" width="18.28515625" style="175" customWidth="1"/>
    <col min="3" max="3" width="8.5703125" style="175" customWidth="1"/>
    <col min="4" max="4" width="8.42578125" style="175" customWidth="1"/>
    <col min="5" max="5" width="7.42578125" style="175" customWidth="1"/>
    <col min="6" max="6" width="8.28515625" style="175" customWidth="1"/>
    <col min="7" max="7" width="3" style="175" customWidth="1"/>
    <col min="8" max="8" width="7.42578125" style="175" customWidth="1"/>
    <col min="9" max="9" width="8.7109375" style="175" customWidth="1"/>
    <col min="10" max="10" width="2.42578125" style="175" customWidth="1"/>
    <col min="11" max="11" width="9.42578125" style="175" customWidth="1"/>
    <col min="12" max="12" width="11" style="175" customWidth="1"/>
    <col min="13" max="13" width="9.42578125" style="175" customWidth="1"/>
    <col min="14" max="14" width="9.5703125" style="175" customWidth="1"/>
    <col min="15" max="15" width="8.7109375" style="175" customWidth="1"/>
    <col min="16" max="16" width="10.28515625" style="175" customWidth="1"/>
    <col min="17" max="17" width="3.28515625" style="175" customWidth="1"/>
    <col min="18" max="18" width="10.28515625" style="175" customWidth="1"/>
    <col min="19" max="19" width="9.28515625" style="175" customWidth="1"/>
    <col min="20" max="20" width="9.7109375" style="175" customWidth="1"/>
    <col min="21" max="21" width="4.7109375" style="175" customWidth="1"/>
    <col min="22" max="22" width="7.5703125" style="175" customWidth="1"/>
    <col min="23" max="23" width="8.28515625" style="175" customWidth="1"/>
    <col min="24" max="24" width="9.42578125" style="175" customWidth="1"/>
    <col min="25" max="25" width="2.5703125" style="175" customWidth="1"/>
    <col min="26" max="26" width="7.7109375" style="175" customWidth="1"/>
    <col min="27" max="27" width="7.28515625" style="175" customWidth="1"/>
    <col min="28" max="28" width="3" style="175" customWidth="1"/>
    <col min="29" max="29" width="7.42578125" style="175" customWidth="1"/>
    <col min="30" max="30" width="10.7109375" style="175" customWidth="1"/>
    <col min="31" max="31" width="7.7109375" style="175" customWidth="1"/>
    <col min="32" max="32" width="7.28515625" style="175" customWidth="1"/>
    <col min="33" max="33" width="8.28515625" style="175" customWidth="1"/>
    <col min="34" max="34" width="8" style="175" customWidth="1"/>
    <col min="35" max="35" width="2.7109375" style="175" customWidth="1"/>
    <col min="36" max="36" width="10" style="175" customWidth="1"/>
    <col min="37" max="37" width="10.7109375" style="175" customWidth="1"/>
    <col min="38" max="38" width="9.5703125" style="175" customWidth="1"/>
    <col min="39" max="16384" width="11.42578125" style="175"/>
  </cols>
  <sheetData>
    <row r="1" spans="1:38" s="162" customFormat="1" ht="19.5" x14ac:dyDescent="0.25">
      <c r="A1" s="68" t="s">
        <v>39</v>
      </c>
      <c r="C1" s="2562" t="s">
        <v>149</v>
      </c>
      <c r="D1" s="2562"/>
    </row>
    <row r="2" spans="1:38" s="162" customFormat="1" ht="19.5" x14ac:dyDescent="0.25"/>
    <row r="3" spans="1:38" s="162" customFormat="1" ht="19.5" x14ac:dyDescent="0.25">
      <c r="A3" s="2671" t="s">
        <v>41</v>
      </c>
      <c r="B3" s="2671"/>
      <c r="C3" s="2698" t="s">
        <v>1670</v>
      </c>
      <c r="D3" s="2699"/>
      <c r="E3" s="2699"/>
      <c r="F3" s="2699"/>
      <c r="G3" s="2699"/>
      <c r="H3" s="2699"/>
      <c r="I3" s="2699"/>
      <c r="J3" s="2699"/>
      <c r="K3" s="2699"/>
      <c r="L3" s="2699"/>
      <c r="M3" s="2699"/>
      <c r="N3" s="2699"/>
      <c r="O3" s="2699"/>
      <c r="P3" s="2699"/>
      <c r="Q3" s="2699"/>
      <c r="R3" s="2699"/>
      <c r="S3" s="2699"/>
      <c r="T3" s="2699"/>
      <c r="U3" s="2699"/>
      <c r="V3" s="2699"/>
      <c r="W3" s="2699"/>
      <c r="X3" s="2705"/>
    </row>
    <row r="4" spans="1:38" s="162" customFormat="1" ht="19.5" x14ac:dyDescent="0.25">
      <c r="A4" s="2671" t="s">
        <v>42</v>
      </c>
      <c r="B4" s="2671"/>
      <c r="C4" s="2698" t="s">
        <v>1646</v>
      </c>
      <c r="D4" s="2699"/>
      <c r="E4" s="2699"/>
      <c r="F4" s="2699"/>
      <c r="G4" s="2699"/>
      <c r="H4" s="2699"/>
      <c r="I4" s="2699"/>
      <c r="J4" s="2699"/>
      <c r="K4" s="2699"/>
      <c r="L4" s="2699"/>
      <c r="M4" s="2699"/>
      <c r="N4" s="2699"/>
      <c r="O4" s="2699"/>
      <c r="P4" s="2699"/>
      <c r="Q4" s="2699"/>
      <c r="R4" s="2700"/>
      <c r="S4" s="2700"/>
      <c r="T4" s="2700"/>
      <c r="U4" s="2700"/>
      <c r="V4" s="2700"/>
      <c r="W4" s="2700"/>
      <c r="X4" s="2701"/>
    </row>
    <row r="5" spans="1:38" s="162" customFormat="1" ht="19.5" x14ac:dyDescent="0.25">
      <c r="A5" s="2671" t="s">
        <v>43</v>
      </c>
      <c r="B5" s="2671"/>
      <c r="C5" s="2698" t="s">
        <v>1648</v>
      </c>
      <c r="D5" s="2699"/>
      <c r="E5" s="2699"/>
      <c r="F5" s="2699"/>
      <c r="G5" s="2699"/>
      <c r="H5" s="2699"/>
      <c r="I5" s="2699"/>
      <c r="J5" s="2699"/>
      <c r="K5" s="2699"/>
      <c r="L5" s="2699"/>
      <c r="M5" s="2699"/>
      <c r="N5" s="2699"/>
      <c r="O5" s="2699"/>
      <c r="P5" s="2699"/>
      <c r="Q5" s="2699"/>
      <c r="R5" s="2700"/>
      <c r="S5" s="2700"/>
      <c r="T5" s="2700"/>
      <c r="U5" s="2700"/>
      <c r="V5" s="2700"/>
      <c r="W5" s="2700"/>
      <c r="X5" s="2701"/>
    </row>
    <row r="6" spans="1:38" s="162" customFormat="1" ht="19.5" x14ac:dyDescent="0.25">
      <c r="A6" s="2671" t="s">
        <v>132</v>
      </c>
      <c r="B6" s="2671"/>
      <c r="C6" s="2698" t="s">
        <v>1776</v>
      </c>
      <c r="D6" s="2699"/>
      <c r="E6" s="2699"/>
      <c r="F6" s="2699"/>
      <c r="G6" s="2699"/>
      <c r="H6" s="2699"/>
      <c r="I6" s="2699"/>
      <c r="J6" s="2699"/>
      <c r="K6" s="2699"/>
      <c r="L6" s="2699"/>
      <c r="M6" s="2699"/>
      <c r="N6" s="2699"/>
      <c r="O6" s="2699"/>
      <c r="P6" s="2699"/>
      <c r="Q6" s="2699"/>
      <c r="R6" s="2700"/>
      <c r="S6" s="2700"/>
      <c r="T6" s="2700"/>
      <c r="U6" s="2700"/>
      <c r="V6" s="2700"/>
      <c r="W6" s="2700"/>
      <c r="X6" s="2701"/>
    </row>
    <row r="7" spans="1:38" s="162" customFormat="1" ht="19.5" x14ac:dyDescent="0.25"/>
    <row r="8" spans="1:38" s="162" customFormat="1" ht="19.5" x14ac:dyDescent="0.25"/>
    <row r="9" spans="1:38" s="162" customFormat="1" ht="19.5" x14ac:dyDescent="0.25">
      <c r="A9" s="173"/>
      <c r="C9" s="2628" t="s">
        <v>1777</v>
      </c>
      <c r="D9" s="2628"/>
      <c r="E9" s="2628"/>
      <c r="F9" s="2628"/>
      <c r="G9" s="2628"/>
      <c r="H9" s="2628"/>
      <c r="I9" s="2628"/>
      <c r="J9" s="2628"/>
      <c r="K9" s="2628"/>
      <c r="L9" s="2628"/>
      <c r="M9" s="2628"/>
      <c r="N9" s="2628"/>
      <c r="O9" s="2628"/>
      <c r="P9" s="2628"/>
      <c r="Q9" s="2628"/>
      <c r="R9" s="2628"/>
      <c r="S9" s="2628"/>
      <c r="T9" s="2628"/>
      <c r="U9" s="2628"/>
      <c r="V9" s="2628"/>
      <c r="W9" s="2628"/>
      <c r="X9" s="2628"/>
      <c r="Y9" s="2628"/>
      <c r="Z9" s="2628"/>
      <c r="AA9" s="2628"/>
      <c r="AB9" s="2628"/>
      <c r="AC9" s="2628"/>
      <c r="AD9" s="2628"/>
      <c r="AE9" s="2628"/>
      <c r="AF9" s="2628"/>
      <c r="AG9" s="2628"/>
      <c r="AH9" s="2628"/>
      <c r="AI9" s="2628"/>
      <c r="AJ9" s="2628"/>
      <c r="AK9" s="2628"/>
      <c r="AL9" s="2628"/>
    </row>
    <row r="10" spans="1:38" s="162" customFormat="1" ht="9.6" customHeight="1" x14ac:dyDescent="0.25">
      <c r="A10" s="17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row>
    <row r="11" spans="1:38" ht="15" customHeight="1" x14ac:dyDescent="0.25">
      <c r="A11" s="35"/>
      <c r="C11" s="2693" t="s">
        <v>247</v>
      </c>
      <c r="D11" s="2697" t="s">
        <v>1778</v>
      </c>
      <c r="E11" s="2697"/>
      <c r="F11" s="2697"/>
      <c r="G11" s="2697"/>
      <c r="H11" s="2697"/>
      <c r="I11" s="2697"/>
      <c r="J11" s="2697"/>
      <c r="K11" s="2697"/>
      <c r="L11" s="2697"/>
      <c r="M11" s="2697"/>
      <c r="N11" s="2697"/>
      <c r="O11" s="2697"/>
      <c r="P11" s="2697"/>
      <c r="Q11" s="2697"/>
      <c r="R11" s="2697"/>
      <c r="S11" s="2697"/>
      <c r="T11" s="2697"/>
      <c r="U11" s="791"/>
      <c r="V11" s="2697" t="s">
        <v>1779</v>
      </c>
      <c r="W11" s="2697"/>
      <c r="X11" s="2697"/>
      <c r="Y11" s="2697"/>
      <c r="Z11" s="2697"/>
      <c r="AA11" s="2697"/>
      <c r="AB11" s="2697"/>
      <c r="AC11" s="2697"/>
      <c r="AD11" s="2697"/>
      <c r="AE11" s="2697"/>
      <c r="AF11" s="2697"/>
      <c r="AG11" s="2697"/>
      <c r="AH11" s="2697"/>
      <c r="AI11" s="2697"/>
      <c r="AJ11" s="2697"/>
      <c r="AK11" s="2697"/>
      <c r="AL11" s="2697"/>
    </row>
    <row r="12" spans="1:38" ht="15" customHeight="1" x14ac:dyDescent="0.25">
      <c r="A12" s="35"/>
      <c r="C12" s="2702"/>
      <c r="D12" s="2703" t="s">
        <v>47</v>
      </c>
      <c r="E12" s="2697" t="s">
        <v>48</v>
      </c>
      <c r="F12" s="2697"/>
      <c r="G12" s="792"/>
      <c r="H12" s="2697" t="s">
        <v>49</v>
      </c>
      <c r="I12" s="2697"/>
      <c r="J12" s="792"/>
      <c r="K12" s="2697" t="s">
        <v>50</v>
      </c>
      <c r="L12" s="2697"/>
      <c r="M12" s="2697"/>
      <c r="N12" s="2697"/>
      <c r="O12" s="2697"/>
      <c r="P12" s="2697"/>
      <c r="Q12" s="792"/>
      <c r="R12" s="2697" t="s">
        <v>1780</v>
      </c>
      <c r="S12" s="2697"/>
      <c r="T12" s="2697"/>
      <c r="U12" s="792"/>
      <c r="V12" s="2697" t="s">
        <v>48</v>
      </c>
      <c r="W12" s="2697"/>
      <c r="X12" s="2697"/>
      <c r="Y12" s="792"/>
      <c r="Z12" s="2697" t="s">
        <v>49</v>
      </c>
      <c r="AA12" s="2697"/>
      <c r="AB12" s="792"/>
      <c r="AC12" s="2697" t="s">
        <v>50</v>
      </c>
      <c r="AD12" s="2697"/>
      <c r="AE12" s="2697"/>
      <c r="AF12" s="2697"/>
      <c r="AG12" s="2697"/>
      <c r="AH12" s="2697"/>
      <c r="AI12" s="792"/>
      <c r="AJ12" s="2697" t="s">
        <v>1780</v>
      </c>
      <c r="AK12" s="2697"/>
      <c r="AL12" s="2697"/>
    </row>
    <row r="13" spans="1:38" ht="36" customHeight="1" x14ac:dyDescent="0.25">
      <c r="A13" s="35"/>
      <c r="C13" s="2694"/>
      <c r="D13" s="2704"/>
      <c r="E13" s="793" t="s">
        <v>53</v>
      </c>
      <c r="F13" s="793" t="s">
        <v>54</v>
      </c>
      <c r="G13" s="793"/>
      <c r="H13" s="793" t="s">
        <v>55</v>
      </c>
      <c r="I13" s="793" t="s">
        <v>56</v>
      </c>
      <c r="J13" s="793"/>
      <c r="K13" s="793" t="s">
        <v>57</v>
      </c>
      <c r="L13" s="793" t="s">
        <v>58</v>
      </c>
      <c r="M13" s="793" t="s">
        <v>59</v>
      </c>
      <c r="N13" s="793" t="s">
        <v>60</v>
      </c>
      <c r="O13" s="793" t="s">
        <v>61</v>
      </c>
      <c r="P13" s="793" t="s">
        <v>62</v>
      </c>
      <c r="Q13" s="793"/>
      <c r="R13" s="793" t="s">
        <v>1781</v>
      </c>
      <c r="S13" s="793" t="s">
        <v>1782</v>
      </c>
      <c r="T13" s="793" t="s">
        <v>1783</v>
      </c>
      <c r="U13" s="793"/>
      <c r="V13" s="793" t="s">
        <v>47</v>
      </c>
      <c r="W13" s="793" t="s">
        <v>53</v>
      </c>
      <c r="X13" s="793" t="s">
        <v>54</v>
      </c>
      <c r="Y13" s="793"/>
      <c r="Z13" s="793" t="s">
        <v>55</v>
      </c>
      <c r="AA13" s="793" t="s">
        <v>56</v>
      </c>
      <c r="AB13" s="793"/>
      <c r="AC13" s="793" t="s">
        <v>57</v>
      </c>
      <c r="AD13" s="793" t="s">
        <v>58</v>
      </c>
      <c r="AE13" s="793" t="s">
        <v>59</v>
      </c>
      <c r="AF13" s="793" t="s">
        <v>60</v>
      </c>
      <c r="AG13" s="793" t="s">
        <v>61</v>
      </c>
      <c r="AH13" s="793" t="s">
        <v>62</v>
      </c>
      <c r="AI13" s="793"/>
      <c r="AJ13" s="793" t="s">
        <v>1781</v>
      </c>
      <c r="AK13" s="793" t="s">
        <v>1782</v>
      </c>
      <c r="AL13" s="793" t="s">
        <v>1783</v>
      </c>
    </row>
    <row r="14" spans="1:38" ht="18.75" x14ac:dyDescent="0.25">
      <c r="A14" s="35"/>
      <c r="C14" s="232">
        <v>2010</v>
      </c>
      <c r="D14" s="794">
        <v>36.704267486000944</v>
      </c>
      <c r="E14" s="794">
        <v>34.922880183092325</v>
      </c>
      <c r="F14" s="794">
        <v>38.420963958476435</v>
      </c>
      <c r="G14" s="794"/>
      <c r="H14" s="794">
        <v>38.843049845450864</v>
      </c>
      <c r="I14" s="794">
        <v>30.698030434583924</v>
      </c>
      <c r="J14" s="794"/>
      <c r="K14" s="794">
        <v>38.438143963618273</v>
      </c>
      <c r="L14" s="794">
        <v>33.206119188626573</v>
      </c>
      <c r="M14" s="794">
        <v>33.607817421497913</v>
      </c>
      <c r="N14" s="794">
        <v>38.062277866843104</v>
      </c>
      <c r="O14" s="794">
        <v>32.216719277239577</v>
      </c>
      <c r="P14" s="794">
        <v>31.998454404945903</v>
      </c>
      <c r="Q14" s="794"/>
      <c r="R14" s="794">
        <v>79.63722431884122</v>
      </c>
      <c r="S14" s="794">
        <v>42.749500720077023</v>
      </c>
      <c r="T14" s="794">
        <v>16.256151181498506</v>
      </c>
      <c r="U14" s="794"/>
      <c r="V14" s="794">
        <v>2.0121568182759062</v>
      </c>
      <c r="W14" s="794">
        <v>2.1308200521304532</v>
      </c>
      <c r="X14" s="794">
        <v>1.8978028231407529</v>
      </c>
      <c r="Y14" s="794"/>
      <c r="Z14" s="794">
        <v>2.2697038954191786</v>
      </c>
      <c r="AA14" s="794">
        <v>1.2889000594068456</v>
      </c>
      <c r="AB14" s="794"/>
      <c r="AC14" s="794">
        <v>2.3611170326156472</v>
      </c>
      <c r="AD14" s="794">
        <v>1.3434136423050236</v>
      </c>
      <c r="AE14" s="794">
        <v>1.7533298216570095</v>
      </c>
      <c r="AF14" s="794">
        <v>0.52760600894046195</v>
      </c>
      <c r="AG14" s="794">
        <v>1.3517742462174811</v>
      </c>
      <c r="AH14" s="794">
        <v>2.0950540958268933</v>
      </c>
      <c r="AI14" s="794"/>
      <c r="AJ14" s="794">
        <v>1.0783650734786181</v>
      </c>
      <c r="AK14" s="794">
        <v>3.1864800566513631</v>
      </c>
      <c r="AL14" s="794">
        <v>1.3818213261921108</v>
      </c>
    </row>
    <row r="15" spans="1:38" ht="18.75" x14ac:dyDescent="0.25">
      <c r="A15" s="35"/>
      <c r="C15" s="232">
        <v>2011</v>
      </c>
      <c r="D15" s="794">
        <v>37.695814531330328</v>
      </c>
      <c r="E15" s="794">
        <v>36.323663080896551</v>
      </c>
      <c r="F15" s="794">
        <v>39.043667282739847</v>
      </c>
      <c r="G15" s="794"/>
      <c r="H15" s="794">
        <v>39.920970965068584</v>
      </c>
      <c r="I15" s="794">
        <v>31.472327774338858</v>
      </c>
      <c r="J15" s="794"/>
      <c r="K15" s="794">
        <v>39.897645835515192</v>
      </c>
      <c r="L15" s="794">
        <v>34.988348734431497</v>
      </c>
      <c r="M15" s="794">
        <v>36.798750026572563</v>
      </c>
      <c r="N15" s="794">
        <v>35.967891846218848</v>
      </c>
      <c r="O15" s="794">
        <v>31.836748992818354</v>
      </c>
      <c r="P15" s="794">
        <v>30.91514041977803</v>
      </c>
      <c r="Q15" s="794"/>
      <c r="R15" s="794">
        <v>81.497081564444301</v>
      </c>
      <c r="S15" s="794">
        <v>45.660360798183497</v>
      </c>
      <c r="T15" s="794">
        <v>16.652834468831028</v>
      </c>
      <c r="U15" s="794"/>
      <c r="V15" s="794">
        <v>2.2268473562955768</v>
      </c>
      <c r="W15" s="794">
        <v>1.9129977462360221</v>
      </c>
      <c r="X15" s="794">
        <v>2.5351391708134643</v>
      </c>
      <c r="Y15" s="794"/>
      <c r="Z15" s="794">
        <v>2.4735344815052351</v>
      </c>
      <c r="AA15" s="794">
        <v>1.5368940417399004</v>
      </c>
      <c r="AB15" s="794"/>
      <c r="AC15" s="794">
        <v>2.5508123999461394</v>
      </c>
      <c r="AD15" s="794">
        <v>2.0265166733627962</v>
      </c>
      <c r="AE15" s="794">
        <v>1.3466975617014945</v>
      </c>
      <c r="AF15" s="794">
        <v>1.6501901140684407</v>
      </c>
      <c r="AG15" s="794">
        <v>1.5484322998773865</v>
      </c>
      <c r="AH15" s="794">
        <v>1.6674136477237336</v>
      </c>
      <c r="AI15" s="794"/>
      <c r="AJ15" s="794">
        <v>0.81871648055548363</v>
      </c>
      <c r="AK15" s="794">
        <v>3.3090774924542501</v>
      </c>
      <c r="AL15" s="794">
        <v>1.867975444076424</v>
      </c>
    </row>
    <row r="16" spans="1:38" ht="18.75" x14ac:dyDescent="0.25">
      <c r="A16" s="35"/>
      <c r="C16" s="232">
        <v>2012</v>
      </c>
      <c r="D16" s="794">
        <v>37.335891190841345</v>
      </c>
      <c r="E16" s="794">
        <v>35.153369345631255</v>
      </c>
      <c r="F16" s="794">
        <v>39.533082593363133</v>
      </c>
      <c r="G16" s="794"/>
      <c r="H16" s="794">
        <v>39.340146052112971</v>
      </c>
      <c r="I16" s="794">
        <v>31.889344716709168</v>
      </c>
      <c r="J16" s="794"/>
      <c r="K16" s="794">
        <v>39.130711673142876</v>
      </c>
      <c r="L16" s="794">
        <v>33.616640752765271</v>
      </c>
      <c r="M16" s="794">
        <v>35.825627476882431</v>
      </c>
      <c r="N16" s="794">
        <v>37.743527719665273</v>
      </c>
      <c r="O16" s="794">
        <v>33.699974675053554</v>
      </c>
      <c r="P16" s="794">
        <v>31.484641638225259</v>
      </c>
      <c r="Q16" s="794"/>
      <c r="R16" s="794">
        <v>81.980731871704393</v>
      </c>
      <c r="S16" s="794">
        <v>47.128898493260593</v>
      </c>
      <c r="T16" s="794">
        <v>15.707013165734685</v>
      </c>
      <c r="U16" s="794"/>
      <c r="V16" s="794">
        <v>1.7685484934111904</v>
      </c>
      <c r="W16" s="794">
        <v>1.6299468852295278</v>
      </c>
      <c r="X16" s="794">
        <v>1.9080816955831619</v>
      </c>
      <c r="Y16" s="794"/>
      <c r="Z16" s="794">
        <v>1.9787784598838145</v>
      </c>
      <c r="AA16" s="794">
        <v>1.1972502494733341</v>
      </c>
      <c r="AB16" s="794"/>
      <c r="AC16" s="794">
        <v>1.9502764111416122</v>
      </c>
      <c r="AD16" s="794">
        <v>1.3373184348540632</v>
      </c>
      <c r="AE16" s="794">
        <v>1.7764861294583885</v>
      </c>
      <c r="AF16" s="794">
        <v>1.4219403765690375</v>
      </c>
      <c r="AG16" s="794">
        <v>0.97877495705025963</v>
      </c>
      <c r="AH16" s="794">
        <v>1.9099501181412446</v>
      </c>
      <c r="AI16" s="794"/>
      <c r="AJ16" s="794">
        <v>0.83653808032351418</v>
      </c>
      <c r="AK16" s="794">
        <v>2.9035001824937812</v>
      </c>
      <c r="AL16" s="794">
        <v>1.1817001024638696</v>
      </c>
    </row>
    <row r="17" spans="1:38" ht="18.75" x14ac:dyDescent="0.25">
      <c r="A17" s="35"/>
      <c r="C17" s="232">
        <v>2013</v>
      </c>
      <c r="D17" s="794">
        <v>38.771511422748517</v>
      </c>
      <c r="E17" s="794">
        <v>37.146392284900436</v>
      </c>
      <c r="F17" s="794">
        <v>40.350410148832026</v>
      </c>
      <c r="G17" s="794"/>
      <c r="H17" s="794">
        <v>40.855576422024235</v>
      </c>
      <c r="I17" s="794">
        <v>33.158757951195724</v>
      </c>
      <c r="J17" s="794"/>
      <c r="K17" s="794">
        <v>41.030650044080836</v>
      </c>
      <c r="L17" s="794">
        <v>34.677096026099605</v>
      </c>
      <c r="M17" s="794">
        <v>35.267032004928822</v>
      </c>
      <c r="N17" s="794">
        <v>38.672223876153616</v>
      </c>
      <c r="O17" s="794">
        <v>32.424277354742031</v>
      </c>
      <c r="P17" s="794">
        <v>34.5740762567034</v>
      </c>
      <c r="Q17" s="794"/>
      <c r="R17" s="794">
        <v>84.034532351298125</v>
      </c>
      <c r="S17" s="794">
        <v>48.390409008437274</v>
      </c>
      <c r="T17" s="794">
        <v>17.085445365704764</v>
      </c>
      <c r="U17" s="794"/>
      <c r="V17" s="794">
        <v>1.3542984437600369</v>
      </c>
      <c r="W17" s="794">
        <v>1.3898918945908325</v>
      </c>
      <c r="X17" s="794">
        <v>1.3197173149893338</v>
      </c>
      <c r="Y17" s="794"/>
      <c r="Z17" s="794">
        <v>1.4560534064555843</v>
      </c>
      <c r="AA17" s="794">
        <v>1.0802544382632593</v>
      </c>
      <c r="AB17" s="794"/>
      <c r="AC17" s="794">
        <v>1.3842911591633631</v>
      </c>
      <c r="AD17" s="794">
        <v>0.79635234464054094</v>
      </c>
      <c r="AE17" s="794">
        <v>2.3898310580758131</v>
      </c>
      <c r="AF17" s="794">
        <v>1.0734487304895164</v>
      </c>
      <c r="AG17" s="794">
        <v>1.2530597576604126</v>
      </c>
      <c r="AH17" s="794">
        <v>1.2935352701985976</v>
      </c>
      <c r="AI17" s="794"/>
      <c r="AJ17" s="794">
        <v>0.29595762298881545</v>
      </c>
      <c r="AK17" s="794">
        <v>2.2478784772226157</v>
      </c>
      <c r="AL17" s="794">
        <v>1.0015161598622946</v>
      </c>
    </row>
    <row r="18" spans="1:38" ht="18.75" x14ac:dyDescent="0.25">
      <c r="C18" s="232">
        <v>2014</v>
      </c>
      <c r="D18" s="794">
        <v>37.94372262580746</v>
      </c>
      <c r="E18" s="794">
        <v>36.713524570113293</v>
      </c>
      <c r="F18" s="794">
        <v>39.195588550810015</v>
      </c>
      <c r="G18" s="794"/>
      <c r="H18" s="794">
        <v>39.835815524105477</v>
      </c>
      <c r="I18" s="794">
        <v>32.749667755080488</v>
      </c>
      <c r="J18" s="794"/>
      <c r="K18" s="794">
        <v>40.363462592587382</v>
      </c>
      <c r="L18" s="794">
        <v>32.878744881825924</v>
      </c>
      <c r="M18" s="794">
        <v>33.494187321781091</v>
      </c>
      <c r="N18" s="794">
        <v>36.215369617157975</v>
      </c>
      <c r="O18" s="794">
        <v>33.222130101201522</v>
      </c>
      <c r="P18" s="794">
        <v>33.632345200066339</v>
      </c>
      <c r="Q18" s="794"/>
      <c r="R18" s="794">
        <v>85.577207705585437</v>
      </c>
      <c r="S18" s="794">
        <v>47.187261865716337</v>
      </c>
      <c r="T18" s="794">
        <v>16.167859662664551</v>
      </c>
      <c r="U18" s="794"/>
      <c r="V18" s="794">
        <v>2.3475050011603278</v>
      </c>
      <c r="W18" s="794">
        <v>1.9617184751689609</v>
      </c>
      <c r="X18" s="794">
        <v>2.7400865078358461</v>
      </c>
      <c r="Y18" s="794"/>
      <c r="Z18" s="794">
        <v>2.5334616842775168</v>
      </c>
      <c r="AA18" s="794">
        <v>1.837028366235115</v>
      </c>
      <c r="AB18" s="794"/>
      <c r="AC18" s="794">
        <v>2.6658608460179813</v>
      </c>
      <c r="AD18" s="794">
        <v>1.513763327522601</v>
      </c>
      <c r="AE18" s="794">
        <v>2.1694398312077627</v>
      </c>
      <c r="AF18" s="794">
        <v>2.17191532886378</v>
      </c>
      <c r="AG18" s="794">
        <v>1.3574690407569716</v>
      </c>
      <c r="AH18" s="794">
        <v>2.0053504856539202</v>
      </c>
      <c r="AI18" s="794"/>
      <c r="AJ18" s="794">
        <v>1.1525316869327202</v>
      </c>
      <c r="AK18" s="794">
        <v>3.4575262263864612</v>
      </c>
      <c r="AL18" s="794">
        <v>1.9019592471763083</v>
      </c>
    </row>
    <row r="19" spans="1:38" ht="18.75" x14ac:dyDescent="0.25">
      <c r="C19" s="232">
        <v>2015</v>
      </c>
      <c r="D19" s="794">
        <v>36.15335637036592</v>
      </c>
      <c r="E19" s="794">
        <v>34.785942009669377</v>
      </c>
      <c r="F19" s="794">
        <v>37.492635523692243</v>
      </c>
      <c r="G19" s="794"/>
      <c r="H19" s="794">
        <v>37.599539717334736</v>
      </c>
      <c r="I19" s="794">
        <v>32.216453413855277</v>
      </c>
      <c r="J19" s="794"/>
      <c r="K19" s="794">
        <v>38.234420466978605</v>
      </c>
      <c r="L19" s="794">
        <v>34.448889032843169</v>
      </c>
      <c r="M19" s="794">
        <v>32.359228719763266</v>
      </c>
      <c r="N19" s="794">
        <v>36.855091790371389</v>
      </c>
      <c r="O19" s="794">
        <v>31.157271950493254</v>
      </c>
      <c r="P19" s="794">
        <v>29.220246431552294</v>
      </c>
      <c r="Q19" s="794"/>
      <c r="R19" s="794">
        <v>84.782930745238403</v>
      </c>
      <c r="S19" s="794">
        <v>45.354849744750275</v>
      </c>
      <c r="T19" s="794">
        <v>15.42079884817023</v>
      </c>
      <c r="U19" s="794"/>
      <c r="V19" s="794">
        <v>2.4083250801150644</v>
      </c>
      <c r="W19" s="794">
        <v>2.2999866718721065</v>
      </c>
      <c r="X19" s="794">
        <v>2.5144343735632053</v>
      </c>
      <c r="Y19" s="794"/>
      <c r="Z19" s="794">
        <v>2.543364963136689</v>
      </c>
      <c r="AA19" s="794">
        <v>2.0407099254882368</v>
      </c>
      <c r="AB19" s="794"/>
      <c r="AC19" s="794">
        <v>2.862397281001932</v>
      </c>
      <c r="AD19" s="794">
        <v>1.6777871348059854</v>
      </c>
      <c r="AE19" s="794">
        <v>2.9023052054044376</v>
      </c>
      <c r="AF19" s="794">
        <v>1.8461882441248572</v>
      </c>
      <c r="AG19" s="794">
        <v>0.88552859843090559</v>
      </c>
      <c r="AH19" s="794">
        <v>1.4273790830256476</v>
      </c>
      <c r="AI19" s="794"/>
      <c r="AJ19" s="794">
        <v>0.60338165992016302</v>
      </c>
      <c r="AK19" s="794">
        <v>3.8493039840008425</v>
      </c>
      <c r="AL19" s="794">
        <v>1.91122402948759</v>
      </c>
    </row>
    <row r="20" spans="1:38" ht="18.75" x14ac:dyDescent="0.25">
      <c r="C20" s="232">
        <v>2016</v>
      </c>
      <c r="D20" s="794">
        <v>36.697166657636032</v>
      </c>
      <c r="E20" s="794">
        <v>34.491195912126088</v>
      </c>
      <c r="F20" s="794">
        <v>38.819268950200659</v>
      </c>
      <c r="G20" s="794"/>
      <c r="H20" s="794">
        <v>38.680664615622263</v>
      </c>
      <c r="I20" s="794">
        <v>31.278517737043387</v>
      </c>
      <c r="J20" s="794"/>
      <c r="K20" s="794">
        <v>39.078134949912055</v>
      </c>
      <c r="L20" s="794">
        <v>33.159211837022276</v>
      </c>
      <c r="M20" s="794">
        <v>33.534929123164417</v>
      </c>
      <c r="N20" s="794">
        <v>37.635582792088726</v>
      </c>
      <c r="O20" s="794">
        <v>31.516475808953455</v>
      </c>
      <c r="P20" s="794">
        <v>28.410984970420127</v>
      </c>
      <c r="Q20" s="794"/>
      <c r="R20" s="794">
        <v>84.720489964416217</v>
      </c>
      <c r="S20" s="794">
        <v>46.089919746477101</v>
      </c>
      <c r="T20" s="794">
        <v>15.694102502403307</v>
      </c>
      <c r="U20" s="794"/>
      <c r="V20" s="794">
        <v>3.1169828567120792</v>
      </c>
      <c r="W20" s="794">
        <v>2.6038094391545576</v>
      </c>
      <c r="X20" s="794">
        <v>3.6106460152551443</v>
      </c>
      <c r="Y20" s="794"/>
      <c r="Z20" s="794">
        <v>3.2815637711755317</v>
      </c>
      <c r="AA20" s="794">
        <v>2.6673699942854632</v>
      </c>
      <c r="AB20" s="794"/>
      <c r="AC20" s="794">
        <v>3.7007945435792706</v>
      </c>
      <c r="AD20" s="794">
        <v>2.8337261190343139</v>
      </c>
      <c r="AE20" s="794">
        <v>2.5942195059842117</v>
      </c>
      <c r="AF20" s="794">
        <v>2.6794663885063281</v>
      </c>
      <c r="AG20" s="794">
        <v>1.1802155410782449</v>
      </c>
      <c r="AH20" s="794">
        <v>1.6918113469393596</v>
      </c>
      <c r="AI20" s="794"/>
      <c r="AJ20" s="794">
        <v>0.86628386536338886</v>
      </c>
      <c r="AK20" s="794">
        <v>4.4411258697446536</v>
      </c>
      <c r="AL20" s="794">
        <v>2.839518319071535</v>
      </c>
    </row>
    <row r="21" spans="1:38" ht="18.75" x14ac:dyDescent="0.25">
      <c r="C21" s="232">
        <v>2017</v>
      </c>
      <c r="D21" s="794">
        <v>37.471532035551867</v>
      </c>
      <c r="E21" s="794">
        <v>35.637294837837807</v>
      </c>
      <c r="F21" s="794">
        <v>39.272510294386976</v>
      </c>
      <c r="G21" s="794"/>
      <c r="H21" s="794">
        <v>38.689131938687417</v>
      </c>
      <c r="I21" s="794">
        <v>34.180473536067112</v>
      </c>
      <c r="J21" s="794"/>
      <c r="K21" s="794">
        <v>38.41855221684429</v>
      </c>
      <c r="L21" s="794">
        <v>34.952993816298829</v>
      </c>
      <c r="M21" s="794">
        <v>35.891968727789624</v>
      </c>
      <c r="N21" s="794">
        <v>43.228113563825346</v>
      </c>
      <c r="O21" s="794">
        <v>35.134638119006958</v>
      </c>
      <c r="P21" s="794">
        <v>31.173645752073686</v>
      </c>
      <c r="Q21" s="794"/>
      <c r="R21" s="794">
        <v>86.793566016643894</v>
      </c>
      <c r="S21" s="794">
        <v>45.80518008492497</v>
      </c>
      <c r="T21" s="794">
        <v>16.190552051577274</v>
      </c>
      <c r="U21" s="794"/>
      <c r="V21" s="794">
        <v>3.4701703427602535</v>
      </c>
      <c r="W21" s="794">
        <v>3.0694750472027907</v>
      </c>
      <c r="X21" s="794">
        <v>3.863600111067131</v>
      </c>
      <c r="Y21" s="794"/>
      <c r="Z21" s="794">
        <v>3.7068678946934246</v>
      </c>
      <c r="AA21" s="794">
        <v>2.8303990286439649</v>
      </c>
      <c r="AB21" s="794"/>
      <c r="AC21" s="794">
        <v>4.1117414232973015</v>
      </c>
      <c r="AD21" s="794">
        <v>3.9992961640943139</v>
      </c>
      <c r="AE21" s="794">
        <v>2.3931515132227985</v>
      </c>
      <c r="AF21" s="794">
        <v>1.8999715923332721</v>
      </c>
      <c r="AG21" s="794">
        <v>1.5657428083541309</v>
      </c>
      <c r="AH21" s="794">
        <v>2.334552377135414</v>
      </c>
      <c r="AI21" s="794"/>
      <c r="AJ21" s="794">
        <v>1.2052074276487392</v>
      </c>
      <c r="AK21" s="794">
        <v>5.5148787873661416</v>
      </c>
      <c r="AL21" s="794">
        <v>2.7157239717976012</v>
      </c>
    </row>
    <row r="22" spans="1:38" ht="18.75" x14ac:dyDescent="0.25">
      <c r="C22" s="232">
        <v>2018</v>
      </c>
      <c r="D22" s="794">
        <v>37.447793035065054</v>
      </c>
      <c r="E22" s="794">
        <v>35.371060249520035</v>
      </c>
      <c r="F22" s="794">
        <v>39.518394729104536</v>
      </c>
      <c r="G22" s="794"/>
      <c r="H22" s="794">
        <v>38.304649763418091</v>
      </c>
      <c r="I22" s="794">
        <v>35.118800244884461</v>
      </c>
      <c r="J22" s="794"/>
      <c r="K22" s="794">
        <v>39.08945227906905</v>
      </c>
      <c r="L22" s="794">
        <v>32.860817468572854</v>
      </c>
      <c r="M22" s="794">
        <v>36.256244305507558</v>
      </c>
      <c r="N22" s="794">
        <v>41.656975473265426</v>
      </c>
      <c r="O22" s="794">
        <v>34.104885095554913</v>
      </c>
      <c r="P22" s="794">
        <v>30.434293191875561</v>
      </c>
      <c r="Q22" s="794"/>
      <c r="R22" s="794">
        <v>87.175182361016923</v>
      </c>
      <c r="S22" s="794">
        <v>46.983148719749252</v>
      </c>
      <c r="T22" s="794">
        <v>16.358568092677327</v>
      </c>
      <c r="U22" s="794"/>
      <c r="V22" s="794">
        <v>3.0954598719990387</v>
      </c>
      <c r="W22" s="794">
        <v>2.8238012987560106</v>
      </c>
      <c r="X22" s="794">
        <v>3.3663164337447702</v>
      </c>
      <c r="Y22" s="794"/>
      <c r="Z22" s="794">
        <v>3.3310535539896686</v>
      </c>
      <c r="AA22" s="794">
        <v>2.4551007914058065</v>
      </c>
      <c r="AB22" s="794"/>
      <c r="AC22" s="794">
        <v>3.5627026015924654</v>
      </c>
      <c r="AD22" s="794">
        <v>3.0108775409822846</v>
      </c>
      <c r="AE22" s="794">
        <v>2.8579806675254225</v>
      </c>
      <c r="AF22" s="794">
        <v>2.3416254973112403</v>
      </c>
      <c r="AG22" s="794">
        <v>1.7361571288467146</v>
      </c>
      <c r="AH22" s="794">
        <v>1.9691991641984257</v>
      </c>
      <c r="AI22" s="794"/>
      <c r="AJ22" s="794">
        <v>0.78402831764725345</v>
      </c>
      <c r="AK22" s="794">
        <v>4.1391052987706258</v>
      </c>
      <c r="AL22" s="794">
        <v>3.0315942171224211</v>
      </c>
    </row>
    <row r="23" spans="1:38" ht="18.75" x14ac:dyDescent="0.25">
      <c r="C23" s="232">
        <v>2019</v>
      </c>
      <c r="D23" s="794">
        <v>38.217380376762335</v>
      </c>
      <c r="E23" s="794">
        <v>36.490208187781512</v>
      </c>
      <c r="F23" s="794">
        <v>39.957924735497727</v>
      </c>
      <c r="G23" s="794"/>
      <c r="H23" s="794">
        <v>39.104741808707907</v>
      </c>
      <c r="I23" s="794">
        <v>35.790609990769568</v>
      </c>
      <c r="J23" s="794"/>
      <c r="K23" s="794">
        <v>39.201493492926801</v>
      </c>
      <c r="L23" s="794">
        <v>36.42461002551449</v>
      </c>
      <c r="M23" s="794">
        <v>38.541806990456259</v>
      </c>
      <c r="N23" s="794">
        <v>40.107921585197317</v>
      </c>
      <c r="O23" s="794">
        <v>35.174589347113056</v>
      </c>
      <c r="P23" s="794">
        <v>34.125543229643185</v>
      </c>
      <c r="Q23" s="794"/>
      <c r="R23" s="794">
        <v>91.138051596085816</v>
      </c>
      <c r="S23" s="794">
        <v>47.484332667414684</v>
      </c>
      <c r="T23" s="794">
        <v>16.662661484789975</v>
      </c>
      <c r="U23" s="794"/>
      <c r="V23" s="794">
        <v>3.315460660171865</v>
      </c>
      <c r="W23" s="794">
        <v>2.5399338548956676</v>
      </c>
      <c r="X23" s="794">
        <v>4.0969917747783899</v>
      </c>
      <c r="Y23" s="794"/>
      <c r="Z23" s="794">
        <v>3.4553265770275252</v>
      </c>
      <c r="AA23" s="794">
        <v>2.9329530901833345</v>
      </c>
      <c r="AB23" s="794"/>
      <c r="AC23" s="794">
        <v>3.694065021629267</v>
      </c>
      <c r="AD23" s="794">
        <v>3.5750844117152765</v>
      </c>
      <c r="AE23" s="794">
        <v>2.6486223226220948</v>
      </c>
      <c r="AF23" s="794">
        <v>2.8714535963591867</v>
      </c>
      <c r="AG23" s="794">
        <v>2.7236070139315105</v>
      </c>
      <c r="AH23" s="794">
        <v>1.7233245654162854</v>
      </c>
      <c r="AI23" s="794"/>
      <c r="AJ23" s="794">
        <v>0.52878747129528103</v>
      </c>
      <c r="AK23" s="794">
        <v>5.1815084425713582</v>
      </c>
      <c r="AL23" s="794">
        <v>2.8212264379885386</v>
      </c>
    </row>
    <row r="24" spans="1:38" ht="18.75" x14ac:dyDescent="0.25">
      <c r="C24" s="232">
        <v>2020</v>
      </c>
      <c r="D24" s="794">
        <v>39.607450941955598</v>
      </c>
      <c r="E24" s="794">
        <v>38.515834850308636</v>
      </c>
      <c r="F24" s="794">
        <v>40.744414237595464</v>
      </c>
      <c r="G24" s="794"/>
      <c r="H24" s="794">
        <v>40.136299969464027</v>
      </c>
      <c r="I24" s="794">
        <v>38.183881242433579</v>
      </c>
      <c r="J24" s="794"/>
      <c r="K24" s="794">
        <v>40.863990050260348</v>
      </c>
      <c r="L24" s="794">
        <v>36.283929950084463</v>
      </c>
      <c r="M24" s="794">
        <v>37.349384977754511</v>
      </c>
      <c r="N24" s="794">
        <v>41.466389514009379</v>
      </c>
      <c r="O24" s="794">
        <v>38.249227199968892</v>
      </c>
      <c r="P24" s="794">
        <v>35.065577649817506</v>
      </c>
      <c r="Q24" s="794"/>
      <c r="R24" s="794">
        <v>93.576483396842676</v>
      </c>
      <c r="S24" s="794">
        <v>49.347027533829156</v>
      </c>
      <c r="T24" s="794">
        <v>16.180202192969059</v>
      </c>
      <c r="U24" s="794"/>
      <c r="V24" s="794">
        <v>2.0707413551721343</v>
      </c>
      <c r="W24" s="794">
        <v>1.8865440832033775</v>
      </c>
      <c r="X24" s="794">
        <v>2.2625904301243942</v>
      </c>
      <c r="Y24" s="794"/>
      <c r="Z24" s="794">
        <v>2.3064616773542568</v>
      </c>
      <c r="AA24" s="794">
        <v>1.4362232020406431</v>
      </c>
      <c r="AB24" s="794"/>
      <c r="AC24" s="794">
        <v>2.4146223388972632</v>
      </c>
      <c r="AD24" s="794">
        <v>3.0843671887540993</v>
      </c>
      <c r="AE24" s="794">
        <v>1.6027218005757655</v>
      </c>
      <c r="AF24" s="794">
        <v>1.1870608647850063</v>
      </c>
      <c r="AG24" s="794">
        <v>0.64934644123155494</v>
      </c>
      <c r="AH24" s="794">
        <v>1.2448638609423963</v>
      </c>
      <c r="AI24" s="794"/>
      <c r="AJ24" s="794">
        <v>0.34022863364180733</v>
      </c>
      <c r="AK24" s="794">
        <v>3.4596505275620597</v>
      </c>
      <c r="AL24" s="794">
        <v>1.6071592193274489</v>
      </c>
    </row>
    <row r="25" spans="1:38" ht="18.75" x14ac:dyDescent="0.25">
      <c r="C25" s="232">
        <v>2021</v>
      </c>
      <c r="D25" s="794">
        <v>39.32324035309199</v>
      </c>
      <c r="E25" s="794">
        <v>37.057443819377866</v>
      </c>
      <c r="F25" s="794">
        <v>41.632569784406101</v>
      </c>
      <c r="G25" s="794"/>
      <c r="H25" s="794">
        <v>39.423262709041239</v>
      </c>
      <c r="I25" s="794">
        <v>39.051608321383824</v>
      </c>
      <c r="J25" s="794"/>
      <c r="K25" s="794">
        <v>39.490383599542263</v>
      </c>
      <c r="L25" s="794">
        <v>35.849012865587447</v>
      </c>
      <c r="M25" s="794">
        <v>39.886927804387291</v>
      </c>
      <c r="N25" s="794">
        <v>40.98856497798306</v>
      </c>
      <c r="O25" s="794">
        <v>39.217466326714565</v>
      </c>
      <c r="P25" s="794">
        <v>39.70021692918241</v>
      </c>
      <c r="Q25" s="794"/>
      <c r="R25" s="794">
        <v>94.076668380987201</v>
      </c>
      <c r="S25" s="794">
        <v>49.277011728343297</v>
      </c>
      <c r="T25" s="794">
        <v>16.611359037209969</v>
      </c>
      <c r="U25" s="794"/>
      <c r="V25" s="794">
        <v>3.1053201189634163</v>
      </c>
      <c r="W25" s="794">
        <v>2.3646811256022042</v>
      </c>
      <c r="X25" s="794">
        <v>3.8601890579427813</v>
      </c>
      <c r="Y25" s="794"/>
      <c r="Z25" s="794">
        <v>3.4874908388300354</v>
      </c>
      <c r="AA25" s="794">
        <v>2.0674540528070424</v>
      </c>
      <c r="AB25" s="794"/>
      <c r="AC25" s="794">
        <v>3.4026427699024779</v>
      </c>
      <c r="AD25" s="794">
        <v>3.8619943592319279</v>
      </c>
      <c r="AE25" s="794">
        <v>3.0575421560265075</v>
      </c>
      <c r="AF25" s="794">
        <v>1.3959861090764949</v>
      </c>
      <c r="AG25" s="794">
        <v>2.3017589945659176</v>
      </c>
      <c r="AH25" s="794">
        <v>2.5864633288109524</v>
      </c>
      <c r="AI25" s="794"/>
      <c r="AJ25" s="794">
        <v>0.65285859405881685</v>
      </c>
      <c r="AK25" s="794">
        <v>4.9872413834413525</v>
      </c>
      <c r="AL25" s="794">
        <v>2.4705019228106315</v>
      </c>
    </row>
    <row r="26" spans="1:38" ht="18.75" x14ac:dyDescent="0.25">
      <c r="C26" s="232">
        <v>2022</v>
      </c>
      <c r="D26" s="794">
        <v>38.356350986682571</v>
      </c>
      <c r="E26" s="794">
        <v>35.686193360673215</v>
      </c>
      <c r="F26" s="794">
        <v>41.057241115975323</v>
      </c>
      <c r="G26" s="794"/>
      <c r="H26" s="794">
        <v>39.033639122583949</v>
      </c>
      <c r="I26" s="794">
        <v>36.528908272500409</v>
      </c>
      <c r="J26" s="794"/>
      <c r="K26" s="794">
        <v>40.008744501563406</v>
      </c>
      <c r="L26" s="794">
        <v>31.115408134595995</v>
      </c>
      <c r="M26" s="794">
        <v>35.444609507640067</v>
      </c>
      <c r="N26" s="794">
        <v>42.123306506315657</v>
      </c>
      <c r="O26" s="794">
        <v>36.348401807667479</v>
      </c>
      <c r="P26" s="794">
        <v>33.976317373949108</v>
      </c>
      <c r="Q26" s="794"/>
      <c r="R26" s="794">
        <v>94.749496088278505</v>
      </c>
      <c r="S26" s="794">
        <v>46.704124714661127</v>
      </c>
      <c r="T26" s="794">
        <v>15.685643639606409</v>
      </c>
      <c r="U26" s="794"/>
      <c r="V26" s="794">
        <v>2.443262046823198</v>
      </c>
      <c r="W26" s="794">
        <v>1.9688475864404229</v>
      </c>
      <c r="X26" s="794">
        <v>2.9231368380191731</v>
      </c>
      <c r="Y26" s="794"/>
      <c r="Z26" s="794">
        <v>2.5478499814590236</v>
      </c>
      <c r="AA26" s="794">
        <v>2.1610653730438232</v>
      </c>
      <c r="AB26" s="794"/>
      <c r="AC26" s="794">
        <v>2.3720224870259319</v>
      </c>
      <c r="AD26" s="794">
        <v>4.0788669079610624</v>
      </c>
      <c r="AE26" s="794">
        <v>3.2565789473684208</v>
      </c>
      <c r="AF26" s="794">
        <v>0.98355546592846532</v>
      </c>
      <c r="AG26" s="794">
        <v>2.6071070452328948</v>
      </c>
      <c r="AH26" s="794">
        <v>1.9282087876963332</v>
      </c>
      <c r="AI26" s="794"/>
      <c r="AJ26" s="794">
        <v>0.41124321000307468</v>
      </c>
      <c r="AK26" s="794">
        <v>4.2005084947807223</v>
      </c>
      <c r="AL26" s="794">
        <v>1.7949250615620027</v>
      </c>
    </row>
    <row r="27" spans="1:38" ht="18.75" x14ac:dyDescent="0.25">
      <c r="C27" s="2362">
        <v>2023</v>
      </c>
      <c r="D27" s="2363">
        <v>37.641366686150533</v>
      </c>
      <c r="E27" s="2363">
        <v>35.471557207265171</v>
      </c>
      <c r="F27" s="2363">
        <v>39.847882113127575</v>
      </c>
      <c r="G27" s="2363"/>
      <c r="H27" s="2363">
        <v>39.212699066794599</v>
      </c>
      <c r="I27" s="2363">
        <v>33.424703748998439</v>
      </c>
      <c r="J27" s="2363"/>
      <c r="K27" s="2363">
        <v>39.145440584078287</v>
      </c>
      <c r="L27" s="2363">
        <v>35.332652354862951</v>
      </c>
      <c r="M27" s="2363">
        <v>36.50761626147483</v>
      </c>
      <c r="N27" s="2363">
        <v>39.072613315700757</v>
      </c>
      <c r="O27" s="2363">
        <v>33.607257276745159</v>
      </c>
      <c r="P27" s="2363">
        <v>32.859243651368494</v>
      </c>
      <c r="Q27" s="2363"/>
      <c r="R27" s="2363">
        <v>93.21082624589215</v>
      </c>
      <c r="S27" s="2363">
        <v>45.742975514489238</v>
      </c>
      <c r="T27" s="2363">
        <v>15.244252837508562</v>
      </c>
      <c r="U27" s="2363"/>
      <c r="V27" s="2363">
        <v>2.5671636854655233</v>
      </c>
      <c r="W27" s="2363">
        <v>1.9666613684128198</v>
      </c>
      <c r="X27" s="2363">
        <v>3.177824501268077</v>
      </c>
      <c r="Y27" s="2363"/>
      <c r="Z27" s="2363">
        <v>2.7948144196778961</v>
      </c>
      <c r="AA27" s="2363">
        <v>1.9562640277016357</v>
      </c>
      <c r="AB27" s="2363"/>
      <c r="AC27" s="2363">
        <v>2.6071843599735556</v>
      </c>
      <c r="AD27" s="2363">
        <v>3.6232556961597875</v>
      </c>
      <c r="AE27" s="2363">
        <v>0.96506271226335794</v>
      </c>
      <c r="AF27" s="2363">
        <v>2.1736498505266493</v>
      </c>
      <c r="AG27" s="2363">
        <v>3.1122131825043886</v>
      </c>
      <c r="AH27" s="2363">
        <v>2.1377932881192248</v>
      </c>
      <c r="AI27" s="2363"/>
      <c r="AJ27" s="2363">
        <v>0.81438904410829527</v>
      </c>
      <c r="AK27" s="2363">
        <v>4.1441360080376599</v>
      </c>
      <c r="AL27" s="2363">
        <v>2.0515632332164788</v>
      </c>
    </row>
    <row r="28" spans="1:38" ht="18.75" x14ac:dyDescent="0.25">
      <c r="C28" s="2284">
        <v>2024</v>
      </c>
      <c r="D28" s="796">
        <v>37.04502573363316</v>
      </c>
      <c r="E28" s="796">
        <v>35.273054412657913</v>
      </c>
      <c r="F28" s="796">
        <v>38.827472228293587</v>
      </c>
      <c r="G28" s="796"/>
      <c r="H28" s="796">
        <v>38.826505672204057</v>
      </c>
      <c r="I28" s="796">
        <v>32.26042067883548</v>
      </c>
      <c r="J28" s="796"/>
      <c r="K28" s="796">
        <v>38.448406441279815</v>
      </c>
      <c r="L28" s="796">
        <v>35.474570020451267</v>
      </c>
      <c r="M28" s="796">
        <v>37.700408244110172</v>
      </c>
      <c r="N28" s="796">
        <v>36.185585916009536</v>
      </c>
      <c r="O28" s="796">
        <v>34.800510086416239</v>
      </c>
      <c r="P28" s="796">
        <v>31.140569917743832</v>
      </c>
      <c r="Q28" s="796"/>
      <c r="R28" s="796">
        <v>91.225426113891274</v>
      </c>
      <c r="S28" s="796">
        <v>45.34391694309484</v>
      </c>
      <c r="T28" s="796">
        <v>15.280307984310703</v>
      </c>
      <c r="U28" s="796"/>
      <c r="V28" s="796">
        <v>2.9305182346542864</v>
      </c>
      <c r="W28" s="796">
        <v>2.3675135262889047</v>
      </c>
      <c r="X28" s="796">
        <v>3.4968511978485632</v>
      </c>
      <c r="Y28" s="796"/>
      <c r="Z28" s="796">
        <v>3.0043924275004614</v>
      </c>
      <c r="AA28" s="796">
        <v>2.7321108157111049</v>
      </c>
      <c r="AB28" s="796"/>
      <c r="AC28" s="796">
        <v>3.5108575543498506</v>
      </c>
      <c r="AD28" s="796">
        <v>1.9646628893284608</v>
      </c>
      <c r="AE28" s="796">
        <v>1.5537484732110436</v>
      </c>
      <c r="AF28" s="796">
        <v>2.0447460113698881</v>
      </c>
      <c r="AG28" s="796">
        <v>1.9114674480756446</v>
      </c>
      <c r="AH28" s="796">
        <v>2.3891010575793183</v>
      </c>
      <c r="AI28" s="796"/>
      <c r="AJ28" s="796">
        <v>0.73024305353172847</v>
      </c>
      <c r="AK28" s="796">
        <v>4.7750919957987952</v>
      </c>
      <c r="AL28" s="796">
        <v>2.3703988966979712</v>
      </c>
    </row>
    <row r="29" spans="1:38" ht="18.75" x14ac:dyDescent="0.25">
      <c r="C29" s="2278" t="s">
        <v>8115</v>
      </c>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row>
    <row r="30" spans="1:38" ht="18.75" x14ac:dyDescent="0.25">
      <c r="C30" s="2283"/>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c r="AL30" s="794"/>
    </row>
    <row r="31" spans="1:38" ht="18.75" x14ac:dyDescent="0.4">
      <c r="C31" s="72"/>
      <c r="D31" s="797"/>
      <c r="E31" s="797"/>
      <c r="F31" s="797"/>
      <c r="G31" s="797"/>
      <c r="H31" s="797"/>
      <c r="I31" s="797"/>
      <c r="J31" s="797"/>
      <c r="K31" s="797"/>
      <c r="L31" s="797"/>
      <c r="M31" s="797"/>
      <c r="N31" s="797"/>
      <c r="O31" s="797"/>
      <c r="P31" s="797"/>
      <c r="Q31" s="797"/>
      <c r="R31" s="797"/>
      <c r="S31" s="797"/>
      <c r="T31" s="797"/>
      <c r="U31" s="797"/>
      <c r="V31" s="797"/>
      <c r="W31" s="5"/>
      <c r="X31" s="5"/>
      <c r="Y31" s="5"/>
      <c r="Z31" s="5"/>
      <c r="AA31" s="5"/>
      <c r="AB31" s="5"/>
      <c r="AC31" s="5"/>
      <c r="AD31" s="5"/>
      <c r="AE31" s="5"/>
      <c r="AF31" s="5"/>
      <c r="AG31" s="5"/>
      <c r="AH31" s="5"/>
      <c r="AI31" s="5"/>
      <c r="AJ31" s="5"/>
      <c r="AK31" s="5"/>
      <c r="AL31" s="5"/>
    </row>
    <row r="32" spans="1:38" ht="46.5" customHeight="1" x14ac:dyDescent="0.25">
      <c r="C32" s="2602" t="s">
        <v>8116</v>
      </c>
      <c r="D32" s="2602"/>
      <c r="E32" s="2602"/>
      <c r="F32" s="2602"/>
      <c r="G32" s="2602"/>
      <c r="H32" s="2602"/>
      <c r="I32" s="2602"/>
      <c r="J32" s="2602"/>
      <c r="K32" s="2602"/>
      <c r="N32" s="2602" t="s">
        <v>8118</v>
      </c>
      <c r="O32" s="2602"/>
      <c r="P32" s="2602"/>
      <c r="Q32" s="2602"/>
      <c r="R32" s="2602"/>
      <c r="S32" s="2602"/>
      <c r="T32" s="2602"/>
      <c r="U32" s="2602"/>
    </row>
    <row r="33" spans="6:13" x14ac:dyDescent="0.25">
      <c r="M33" s="551"/>
    </row>
    <row r="34" spans="6:13" ht="23.25" customHeight="1" x14ac:dyDescent="0.25">
      <c r="F34" s="22"/>
    </row>
    <row r="52" spans="3:14" ht="18.75" x14ac:dyDescent="0.4">
      <c r="C52" s="5" t="s">
        <v>8117</v>
      </c>
      <c r="N52" s="5" t="s">
        <v>8117</v>
      </c>
    </row>
    <row r="83" spans="10:10" ht="18.75" x14ac:dyDescent="0.25">
      <c r="J83" s="155" t="s">
        <v>1581</v>
      </c>
    </row>
  </sheetData>
  <mergeCells count="24">
    <mergeCell ref="AC12:AH12"/>
    <mergeCell ref="A5:B5"/>
    <mergeCell ref="C5:X5"/>
    <mergeCell ref="C1:D1"/>
    <mergeCell ref="A3:B3"/>
    <mergeCell ref="C3:X3"/>
    <mergeCell ref="A4:B4"/>
    <mergeCell ref="C4:X4"/>
    <mergeCell ref="AJ12:AL12"/>
    <mergeCell ref="C32:K32"/>
    <mergeCell ref="N32:U32"/>
    <mergeCell ref="A6:B6"/>
    <mergeCell ref="C6:X6"/>
    <mergeCell ref="C9:AL9"/>
    <mergeCell ref="C11:C13"/>
    <mergeCell ref="D11:T11"/>
    <mergeCell ref="V11:AL11"/>
    <mergeCell ref="D12:D13"/>
    <mergeCell ref="E12:F12"/>
    <mergeCell ref="H12:I12"/>
    <mergeCell ref="K12:P12"/>
    <mergeCell ref="R12:T12"/>
    <mergeCell ref="V12:X12"/>
    <mergeCell ref="Z12:AA12"/>
  </mergeCells>
  <hyperlinks>
    <hyperlink ref="A1" location="'ODS 4.'!A1" display="REGRESAR" xr:uid="{ACE2668D-83FC-4718-9883-D49E99127C9E}"/>
    <hyperlink ref="C1" location="'Metadato 4.3.1'!A1" display="VER METADATO" xr:uid="{9F6E1E4C-5A27-433B-8F4E-79857C71FDCE}"/>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879A7-A088-4AEE-A31B-6CF992985569}">
  <sheetPr>
    <tabColor theme="0" tint="-0.499984740745262"/>
  </sheetPr>
  <dimension ref="B1:G36"/>
  <sheetViews>
    <sheetView showGridLines="0" zoomScaleNormal="100" workbookViewId="0">
      <pane ySplit="1" topLeftCell="A2" activePane="bottomLeft" state="frozen"/>
      <selection activeCell="R16" sqref="R16"/>
      <selection pane="bottomLeft" activeCell="C1" sqref="C1"/>
    </sheetView>
  </sheetViews>
  <sheetFormatPr baseColWidth="10" defaultColWidth="11.42578125" defaultRowHeight="12.75" x14ac:dyDescent="0.25"/>
  <cols>
    <col min="1" max="1" width="3.7109375" style="175" customWidth="1"/>
    <col min="2" max="2" width="8.5703125" style="175" customWidth="1"/>
    <col min="3" max="3" width="26.42578125" style="175" customWidth="1"/>
    <col min="4" max="4" width="24" style="175" customWidth="1"/>
    <col min="5" max="5" width="85.7109375" style="175" customWidth="1"/>
    <col min="6" max="6" width="3" style="175" customWidth="1"/>
    <col min="7" max="7" width="7.28515625" style="175" customWidth="1"/>
    <col min="8" max="8" width="8.7109375" style="175" customWidth="1"/>
    <col min="9" max="9" width="3.7109375" style="175" customWidth="1"/>
    <col min="10" max="10" width="9.42578125" style="175" customWidth="1"/>
    <col min="11" max="11" width="11" style="175" customWidth="1"/>
    <col min="12" max="12" width="9.42578125" style="175" customWidth="1"/>
    <col min="13" max="13" width="9.5703125" style="175" customWidth="1"/>
    <col min="14" max="14" width="8.7109375" style="175" customWidth="1"/>
    <col min="15" max="15" width="10.28515625" style="175" customWidth="1"/>
    <col min="16" max="16" width="3.28515625" style="175" customWidth="1"/>
    <col min="17" max="17" width="10.28515625" style="175" customWidth="1"/>
    <col min="18" max="18" width="9.28515625" style="175" customWidth="1"/>
    <col min="19" max="19" width="9.7109375" style="175" customWidth="1"/>
    <col min="20" max="20" width="4.7109375" style="175" customWidth="1"/>
    <col min="21" max="21" width="7.5703125" style="175" customWidth="1"/>
    <col min="22" max="22" width="8.28515625" style="175" customWidth="1"/>
    <col min="23" max="23" width="9.42578125" style="175" customWidth="1"/>
    <col min="24" max="24" width="2.5703125" style="175" customWidth="1"/>
    <col min="25" max="25" width="7.7109375" style="175" customWidth="1"/>
    <col min="26" max="26" width="7.28515625" style="175" customWidth="1"/>
    <col min="27" max="27" width="3" style="175" customWidth="1"/>
    <col min="28" max="28" width="7.42578125" style="175" customWidth="1"/>
    <col min="29" max="29" width="10.7109375" style="175" customWidth="1"/>
    <col min="30" max="30" width="7.7109375" style="175" customWidth="1"/>
    <col min="31" max="31" width="7.28515625" style="175" customWidth="1"/>
    <col min="32" max="32" width="8.28515625" style="175" customWidth="1"/>
    <col min="33" max="33" width="8" style="175" customWidth="1"/>
    <col min="34" max="34" width="2.7109375" style="175" customWidth="1"/>
    <col min="35" max="35" width="10" style="175" customWidth="1"/>
    <col min="36" max="36" width="10.7109375" style="175" customWidth="1"/>
    <col min="37" max="37" width="9.5703125" style="175" customWidth="1"/>
    <col min="38" max="16384" width="11.42578125" style="175"/>
  </cols>
  <sheetData>
    <row r="1" spans="2:7" ht="18.75" x14ac:dyDescent="0.25">
      <c r="C1" s="158" t="s">
        <v>39</v>
      </c>
    </row>
    <row r="2" spans="2:7" ht="13.5" thickBot="1" x14ac:dyDescent="0.3"/>
    <row r="3" spans="2:7" ht="23.25" customHeight="1" thickBot="1" x14ac:dyDescent="0.3">
      <c r="C3" s="2696" t="s">
        <v>75</v>
      </c>
      <c r="D3" s="2696"/>
      <c r="E3" s="2696"/>
      <c r="G3" s="47" t="s">
        <v>76</v>
      </c>
    </row>
    <row r="4" spans="2:7" ht="37.5" x14ac:dyDescent="0.25">
      <c r="B4" s="798"/>
      <c r="C4" s="2445" t="s">
        <v>234</v>
      </c>
      <c r="D4" s="2445"/>
      <c r="E4" s="49" t="s">
        <v>1688</v>
      </c>
    </row>
    <row r="5" spans="2:7" ht="37.5" x14ac:dyDescent="0.25">
      <c r="C5" s="2445" t="s">
        <v>79</v>
      </c>
      <c r="D5" s="2445"/>
      <c r="E5" s="49" t="s">
        <v>1646</v>
      </c>
    </row>
    <row r="6" spans="2:7" ht="18.75" x14ac:dyDescent="0.25">
      <c r="C6" s="2445" t="s">
        <v>80</v>
      </c>
      <c r="D6" s="2445"/>
      <c r="E6" s="50" t="s">
        <v>1647</v>
      </c>
    </row>
    <row r="7" spans="2:7" ht="37.5" x14ac:dyDescent="0.25">
      <c r="C7" s="2446" t="s">
        <v>81</v>
      </c>
      <c r="D7" s="2446"/>
      <c r="E7" s="93" t="s">
        <v>1648</v>
      </c>
    </row>
    <row r="8" spans="2:7" ht="18.75" x14ac:dyDescent="0.25">
      <c r="C8" s="2446" t="s">
        <v>82</v>
      </c>
      <c r="D8" s="2446"/>
      <c r="E8" s="94" t="s">
        <v>1784</v>
      </c>
    </row>
    <row r="9" spans="2:7" ht="18.75" x14ac:dyDescent="0.4">
      <c r="C9" s="5"/>
      <c r="D9" s="5"/>
      <c r="E9" s="5"/>
    </row>
    <row r="10" spans="2:7" ht="23.25" customHeight="1" x14ac:dyDescent="0.25">
      <c r="C10" s="2696" t="s">
        <v>85</v>
      </c>
      <c r="D10" s="2696"/>
      <c r="E10" s="2696"/>
    </row>
    <row r="11" spans="2:7" ht="18.75" x14ac:dyDescent="0.25">
      <c r="C11" s="2453" t="s">
        <v>86</v>
      </c>
      <c r="D11" s="2454"/>
      <c r="E11" s="49"/>
    </row>
    <row r="12" spans="2:7" ht="37.5" x14ac:dyDescent="0.25">
      <c r="C12" s="2455" t="s">
        <v>88</v>
      </c>
      <c r="D12" s="2455"/>
      <c r="E12" s="799" t="s">
        <v>1785</v>
      </c>
    </row>
    <row r="13" spans="2:7" ht="18.75" x14ac:dyDescent="0.25">
      <c r="C13" s="2445" t="s">
        <v>90</v>
      </c>
      <c r="D13" s="2445"/>
      <c r="E13" s="54" t="s">
        <v>1647</v>
      </c>
    </row>
    <row r="14" spans="2:7" ht="18.75" x14ac:dyDescent="0.25">
      <c r="C14" s="2445" t="s">
        <v>91</v>
      </c>
      <c r="D14" s="2456"/>
      <c r="E14" s="54" t="s">
        <v>567</v>
      </c>
    </row>
    <row r="15" spans="2:7" ht="119.45" customHeight="1" x14ac:dyDescent="0.25">
      <c r="C15" s="2445" t="s">
        <v>93</v>
      </c>
      <c r="D15" s="2445"/>
      <c r="E15" s="49" t="s">
        <v>1786</v>
      </c>
    </row>
    <row r="16" spans="2:7" ht="49.5" customHeight="1" x14ac:dyDescent="0.25">
      <c r="C16" s="2445" t="s">
        <v>95</v>
      </c>
      <c r="D16" s="2445"/>
      <c r="E16" s="49"/>
    </row>
    <row r="17" spans="3:5" ht="18.75" x14ac:dyDescent="0.25">
      <c r="C17" s="2445" t="s">
        <v>97</v>
      </c>
      <c r="D17" s="2445"/>
      <c r="E17" s="55" t="s">
        <v>98</v>
      </c>
    </row>
    <row r="18" spans="3:5" ht="18.75" x14ac:dyDescent="0.25">
      <c r="C18" s="2446" t="s">
        <v>99</v>
      </c>
      <c r="D18" s="2446"/>
      <c r="E18" s="49"/>
    </row>
    <row r="19" spans="3:5" ht="75" x14ac:dyDescent="0.25">
      <c r="C19" s="2457" t="s">
        <v>100</v>
      </c>
      <c r="D19" s="2458"/>
      <c r="E19" s="55" t="s">
        <v>1787</v>
      </c>
    </row>
    <row r="20" spans="3:5" ht="18.75" x14ac:dyDescent="0.25">
      <c r="C20" s="2445" t="s">
        <v>102</v>
      </c>
      <c r="D20" s="2445"/>
      <c r="E20" s="56" t="s">
        <v>140</v>
      </c>
    </row>
    <row r="21" spans="3:5" ht="18.75" x14ac:dyDescent="0.25">
      <c r="C21" s="2451" t="s">
        <v>104</v>
      </c>
      <c r="D21" s="95" t="s">
        <v>105</v>
      </c>
      <c r="E21" s="49" t="s">
        <v>1457</v>
      </c>
    </row>
    <row r="22" spans="3:5" ht="18.75" x14ac:dyDescent="0.25">
      <c r="C22" s="2452"/>
      <c r="D22" s="96" t="s">
        <v>107</v>
      </c>
      <c r="E22" s="56" t="s">
        <v>1788</v>
      </c>
    </row>
    <row r="23" spans="3:5" ht="18.75" x14ac:dyDescent="0.25">
      <c r="C23" s="2444" t="s">
        <v>109</v>
      </c>
      <c r="D23" s="2444"/>
      <c r="E23" s="56" t="s">
        <v>143</v>
      </c>
    </row>
    <row r="24" spans="3:5" ht="18.75" x14ac:dyDescent="0.25">
      <c r="C24" s="2444" t="s">
        <v>111</v>
      </c>
      <c r="D24" s="2444"/>
      <c r="E24" s="59" t="s">
        <v>127</v>
      </c>
    </row>
    <row r="25" spans="3:5" ht="18.75" x14ac:dyDescent="0.25">
      <c r="C25" s="2445" t="s">
        <v>113</v>
      </c>
      <c r="D25" s="2445"/>
      <c r="E25" s="56" t="s">
        <v>144</v>
      </c>
    </row>
    <row r="26" spans="3:5" ht="15" customHeight="1" x14ac:dyDescent="0.25">
      <c r="C26" s="2446" t="s">
        <v>115</v>
      </c>
      <c r="D26" s="2446"/>
      <c r="E26" s="59" t="s">
        <v>116</v>
      </c>
    </row>
    <row r="27" spans="3:5" ht="18.75" x14ac:dyDescent="0.25">
      <c r="C27" s="2447" t="s">
        <v>117</v>
      </c>
      <c r="D27" s="2448"/>
      <c r="E27" s="49"/>
    </row>
    <row r="28" spans="3:5" ht="56.25" x14ac:dyDescent="0.4">
      <c r="C28" s="97" t="s">
        <v>118</v>
      </c>
      <c r="D28" s="98"/>
      <c r="E28" s="203" t="s">
        <v>1789</v>
      </c>
    </row>
    <row r="29" spans="3:5" ht="18.75" x14ac:dyDescent="0.25">
      <c r="C29" s="2449" t="s">
        <v>120</v>
      </c>
      <c r="D29" s="2450"/>
      <c r="E29" s="62"/>
    </row>
    <row r="30" spans="3:5" ht="18.75" x14ac:dyDescent="0.25">
      <c r="C30" s="63"/>
      <c r="D30" s="63"/>
      <c r="E30" s="64"/>
    </row>
    <row r="31" spans="3:5" ht="23.25" customHeight="1" x14ac:dyDescent="0.25">
      <c r="C31" s="2696" t="s">
        <v>121</v>
      </c>
      <c r="D31" s="2696"/>
      <c r="E31" s="2696"/>
    </row>
    <row r="32" spans="3:5" ht="18.75" x14ac:dyDescent="0.25">
      <c r="C32" s="2442" t="s">
        <v>122</v>
      </c>
      <c r="D32" s="2443"/>
      <c r="E32" s="59" t="s">
        <v>123</v>
      </c>
    </row>
    <row r="33" spans="3:5" ht="18.75" x14ac:dyDescent="0.25">
      <c r="C33" s="2442" t="s">
        <v>124</v>
      </c>
      <c r="D33" s="2443"/>
      <c r="E33" s="59" t="s">
        <v>1790</v>
      </c>
    </row>
    <row r="34" spans="3:5" ht="18.75" x14ac:dyDescent="0.25">
      <c r="C34" s="2442" t="s">
        <v>126</v>
      </c>
      <c r="D34" s="2443"/>
      <c r="E34" s="59" t="s">
        <v>127</v>
      </c>
    </row>
    <row r="35" spans="3:5" ht="18.75" x14ac:dyDescent="0.25">
      <c r="C35" s="2442" t="s">
        <v>128</v>
      </c>
      <c r="D35" s="2443"/>
      <c r="E35" s="59" t="s">
        <v>1791</v>
      </c>
    </row>
    <row r="36" spans="3:5" ht="18.75" x14ac:dyDescent="0.25">
      <c r="C36" s="2442" t="s">
        <v>130</v>
      </c>
      <c r="D36" s="2443"/>
      <c r="E36" s="65" t="s">
        <v>1792</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5">
    <dataValidation type="list" allowBlank="1" showInputMessage="1" showErrorMessage="1" sqref="E7" xr:uid="{81B27357-58D7-4BC1-81CB-767A0BE46E28}">
      <formula1>Nombre_indicador_ODS</formula1>
    </dataValidation>
    <dataValidation type="list" allowBlank="1" showInputMessage="1" showErrorMessage="1" sqref="E6" xr:uid="{78EB3CB7-D645-4B03-80E0-A1D079389895}">
      <formula1>Numero_indicador</formula1>
    </dataValidation>
    <dataValidation type="list" allowBlank="1" showInputMessage="1" showErrorMessage="1" sqref="E5" xr:uid="{02567493-46AD-4338-972A-567F3017210D}">
      <formula1>Metas_ODS</formula1>
    </dataValidation>
    <dataValidation type="list" allowBlank="1" showInputMessage="1" showErrorMessage="1" sqref="E4" xr:uid="{CF76C3EC-FC13-460C-B3CF-E3629D6E2186}">
      <formula1>ODS</formula1>
    </dataValidation>
    <dataValidation allowBlank="1" showDropDown="1" showInputMessage="1" showErrorMessage="1" sqref="E13" xr:uid="{FB10D739-8018-4BC9-A960-BDA9131FBEB2}"/>
  </dataValidations>
  <hyperlinks>
    <hyperlink ref="C1" location="'4.3.1'!A1" display="REGRESAR" xr:uid="{6E786580-19C5-4C86-A9E7-BCC3C2F88DE0}"/>
    <hyperlink ref="E8" r:id="rId1" xr:uid="{AA457820-2CB5-4315-9FF6-9FFF66F3B607}"/>
    <hyperlink ref="E36" r:id="rId2" xr:uid="{CA859A75-7D22-4FFC-8248-C663C4724964}"/>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B18E-2FF0-4E07-88C0-7CCB513FD283}">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1.25" x14ac:dyDescent="0.2"/>
  <cols>
    <col min="1" max="1" width="14.7109375" style="182" customWidth="1"/>
    <col min="2" max="2" width="15.5703125" style="182" customWidth="1"/>
    <col min="3" max="3" width="11.28515625" style="183" customWidth="1"/>
    <col min="4" max="4" width="11.28515625" style="121" customWidth="1"/>
    <col min="5" max="5" width="12" style="121" customWidth="1"/>
    <col min="6" max="16384" width="11.42578125" style="121"/>
  </cols>
  <sheetData>
    <row r="1" spans="1:17" s="22" customFormat="1" ht="19.5" x14ac:dyDescent="0.4">
      <c r="A1" s="68" t="s">
        <v>39</v>
      </c>
      <c r="B1" s="171"/>
      <c r="C1" s="2421" t="s">
        <v>149</v>
      </c>
      <c r="D1" s="2421"/>
      <c r="E1" s="16"/>
      <c r="F1" s="16"/>
      <c r="G1" s="16"/>
      <c r="H1" s="16"/>
      <c r="I1" s="16"/>
      <c r="J1" s="16"/>
      <c r="K1" s="16"/>
      <c r="L1" s="16"/>
      <c r="M1" s="16"/>
      <c r="N1" s="16"/>
      <c r="O1" s="16"/>
      <c r="P1" s="16"/>
      <c r="Q1" s="16"/>
    </row>
    <row r="2" spans="1:17" s="22" customFormat="1" ht="19.5" x14ac:dyDescent="0.4">
      <c r="A2" s="162"/>
      <c r="B2" s="162"/>
      <c r="C2" s="172"/>
      <c r="D2" s="16"/>
      <c r="E2" s="16"/>
      <c r="F2" s="16"/>
      <c r="G2" s="16"/>
      <c r="H2" s="16"/>
      <c r="I2" s="16"/>
      <c r="J2" s="16"/>
      <c r="K2" s="16"/>
      <c r="L2" s="16"/>
      <c r="M2" s="16"/>
      <c r="N2" s="16"/>
      <c r="O2" s="16"/>
      <c r="P2" s="16"/>
      <c r="Q2" s="16"/>
    </row>
    <row r="3" spans="1:17" s="72" customFormat="1" ht="16.149999999999999" customHeight="1" x14ac:dyDescent="0.35">
      <c r="A3" s="2413" t="s">
        <v>41</v>
      </c>
      <c r="B3" s="2413"/>
      <c r="C3" s="2475" t="s">
        <v>2</v>
      </c>
      <c r="D3" s="2476"/>
      <c r="E3" s="2476"/>
      <c r="F3" s="2476"/>
      <c r="G3" s="2476"/>
      <c r="H3" s="2476"/>
      <c r="I3" s="2476"/>
      <c r="J3" s="2476"/>
      <c r="K3" s="2476"/>
      <c r="L3" s="2476"/>
      <c r="M3" s="2476"/>
      <c r="N3" s="2476"/>
      <c r="O3" s="2476"/>
      <c r="P3" s="2476"/>
      <c r="Q3" s="2476"/>
    </row>
    <row r="4" spans="1:17" s="72" customFormat="1" ht="38.450000000000003" customHeight="1" x14ac:dyDescent="0.35">
      <c r="A4" s="2413" t="s">
        <v>42</v>
      </c>
      <c r="B4" s="2413"/>
      <c r="C4" s="2414" t="s">
        <v>17</v>
      </c>
      <c r="D4" s="2415"/>
      <c r="E4" s="2415"/>
      <c r="F4" s="2415"/>
      <c r="G4" s="2415"/>
      <c r="H4" s="2415"/>
      <c r="I4" s="2415"/>
      <c r="J4" s="2415"/>
      <c r="K4" s="2415"/>
      <c r="L4" s="2415"/>
      <c r="M4" s="2415"/>
      <c r="N4" s="2415"/>
      <c r="O4" s="2415"/>
      <c r="P4" s="2479"/>
      <c r="Q4" s="2479"/>
    </row>
    <row r="5" spans="1:17" s="72" customFormat="1" ht="36.6" customHeight="1" x14ac:dyDescent="0.35">
      <c r="A5" s="2413" t="s">
        <v>43</v>
      </c>
      <c r="B5" s="2413"/>
      <c r="C5" s="2414" t="s">
        <v>21</v>
      </c>
      <c r="D5" s="2415"/>
      <c r="E5" s="2415"/>
      <c r="F5" s="2415"/>
      <c r="G5" s="2415"/>
      <c r="H5" s="2415"/>
      <c r="I5" s="2415"/>
      <c r="J5" s="2415"/>
      <c r="K5" s="2415"/>
      <c r="L5" s="2415"/>
      <c r="M5" s="2415"/>
      <c r="N5" s="2415"/>
      <c r="O5" s="2415"/>
      <c r="P5" s="2479"/>
      <c r="Q5" s="2479"/>
    </row>
    <row r="6" spans="1:17" s="72" customFormat="1" ht="19.5" x14ac:dyDescent="0.35">
      <c r="A6" s="2413" t="s">
        <v>132</v>
      </c>
      <c r="B6" s="2413"/>
      <c r="C6" s="2475" t="s">
        <v>242</v>
      </c>
      <c r="D6" s="2476"/>
      <c r="E6" s="2476"/>
      <c r="F6" s="2476"/>
      <c r="G6" s="2476"/>
      <c r="H6" s="2476"/>
      <c r="I6" s="2476"/>
      <c r="J6" s="2476"/>
      <c r="K6" s="2476"/>
      <c r="L6" s="2476"/>
      <c r="M6" s="2476"/>
      <c r="N6" s="2476"/>
      <c r="O6" s="2476"/>
      <c r="P6" s="2477"/>
      <c r="Q6" s="2477"/>
    </row>
    <row r="7" spans="1:17" s="22" customFormat="1" ht="19.5" x14ac:dyDescent="0.4">
      <c r="A7" s="173"/>
      <c r="B7" s="162"/>
      <c r="C7" s="172"/>
      <c r="D7" s="16"/>
      <c r="E7" s="16"/>
      <c r="F7" s="16"/>
      <c r="G7" s="16"/>
      <c r="H7" s="16"/>
      <c r="I7" s="16"/>
      <c r="J7" s="16"/>
      <c r="K7" s="16"/>
      <c r="L7" s="16"/>
      <c r="M7" s="16"/>
      <c r="N7" s="16"/>
      <c r="O7" s="16"/>
      <c r="P7" s="16"/>
      <c r="Q7" s="16"/>
    </row>
    <row r="8" spans="1:17" s="175" customFormat="1" ht="19.5" x14ac:dyDescent="0.4">
      <c r="A8" s="174"/>
      <c r="B8" s="162"/>
      <c r="C8" s="172"/>
      <c r="D8" s="16"/>
      <c r="E8" s="16"/>
      <c r="F8" s="162"/>
      <c r="G8" s="162"/>
      <c r="H8" s="162"/>
      <c r="I8" s="162"/>
      <c r="J8" s="162"/>
      <c r="K8" s="162"/>
      <c r="L8" s="162"/>
      <c r="M8" s="162"/>
      <c r="N8" s="162"/>
      <c r="O8" s="162"/>
      <c r="P8" s="162"/>
      <c r="Q8" s="162"/>
    </row>
    <row r="9" spans="1:17" s="175" customFormat="1" ht="15" customHeight="1" x14ac:dyDescent="0.25">
      <c r="A9" s="173"/>
      <c r="B9" s="162"/>
      <c r="C9" s="2478" t="s">
        <v>243</v>
      </c>
      <c r="D9" s="2478"/>
      <c r="E9" s="2478"/>
      <c r="F9" s="2478"/>
      <c r="G9" s="2478"/>
      <c r="H9" s="2478"/>
      <c r="I9" s="2478"/>
      <c r="J9" s="2478"/>
      <c r="K9" s="2478"/>
      <c r="L9" s="2478"/>
      <c r="M9" s="2478"/>
      <c r="N9" s="2478"/>
      <c r="O9" s="2478"/>
      <c r="P9" s="162"/>
      <c r="Q9" s="162"/>
    </row>
    <row r="10" spans="1:17" s="175" customFormat="1" ht="11.25" customHeight="1" x14ac:dyDescent="0.25">
      <c r="A10" s="176"/>
      <c r="B10" s="162"/>
      <c r="C10" s="2478"/>
      <c r="D10" s="2478"/>
      <c r="E10" s="2478"/>
      <c r="F10" s="2478"/>
      <c r="G10" s="2478"/>
      <c r="H10" s="2478"/>
      <c r="I10" s="2478"/>
      <c r="J10" s="2478"/>
      <c r="K10" s="2478"/>
      <c r="L10" s="2478"/>
      <c r="M10" s="2478"/>
      <c r="N10" s="2478"/>
      <c r="O10" s="2478"/>
      <c r="P10" s="162"/>
      <c r="Q10" s="162"/>
    </row>
    <row r="11" spans="1:17" s="178" customFormat="1" ht="12.75" x14ac:dyDescent="0.25">
      <c r="A11" s="177"/>
      <c r="C11" s="179"/>
      <c r="D11" s="180"/>
      <c r="E11" s="180"/>
    </row>
    <row r="12" spans="1:17" s="182" customFormat="1" x14ac:dyDescent="0.2">
      <c r="A12" s="181"/>
      <c r="C12" s="183"/>
      <c r="D12" s="121"/>
      <c r="E12" s="121"/>
    </row>
    <row r="13" spans="1:17" s="182" customFormat="1" x14ac:dyDescent="0.2">
      <c r="A13" s="181"/>
      <c r="C13" s="183"/>
      <c r="D13" s="121"/>
      <c r="E13" s="121"/>
    </row>
    <row r="14" spans="1:17" s="182" customFormat="1" x14ac:dyDescent="0.2">
      <c r="A14" s="181"/>
      <c r="C14" s="183"/>
      <c r="D14" s="121"/>
      <c r="E14" s="121"/>
    </row>
    <row r="15" spans="1:17" s="182" customFormat="1" x14ac:dyDescent="0.2">
      <c r="A15" s="181"/>
      <c r="C15" s="183"/>
      <c r="D15" s="121"/>
      <c r="E15" s="121"/>
    </row>
    <row r="16" spans="1:17" s="182" customFormat="1" x14ac:dyDescent="0.2">
      <c r="A16" s="181"/>
      <c r="C16" s="183"/>
      <c r="D16" s="121"/>
      <c r="E16" s="121"/>
    </row>
    <row r="17" spans="1:5" s="182" customFormat="1" x14ac:dyDescent="0.2">
      <c r="A17" s="181"/>
      <c r="C17" s="183"/>
      <c r="D17" s="121"/>
      <c r="E17" s="121"/>
    </row>
    <row r="18" spans="1:5" s="182" customFormat="1" x14ac:dyDescent="0.2">
      <c r="A18" s="181"/>
      <c r="C18" s="183"/>
      <c r="D18" s="121"/>
      <c r="E18" s="121"/>
    </row>
    <row r="19" spans="1:5" s="182" customFormat="1" x14ac:dyDescent="0.2">
      <c r="A19" s="181"/>
      <c r="C19" s="183"/>
      <c r="D19" s="121"/>
      <c r="E19" s="121"/>
    </row>
    <row r="20" spans="1:5" s="182" customFormat="1" x14ac:dyDescent="0.2">
      <c r="A20" s="181"/>
      <c r="C20" s="183"/>
      <c r="D20" s="121"/>
      <c r="E20" s="121"/>
    </row>
    <row r="21" spans="1:5" s="182" customFormat="1" x14ac:dyDescent="0.2">
      <c r="A21" s="181"/>
      <c r="C21" s="183"/>
      <c r="D21" s="121"/>
      <c r="E21" s="121"/>
    </row>
    <row r="22" spans="1:5" s="182" customFormat="1" x14ac:dyDescent="0.2">
      <c r="A22" s="181"/>
      <c r="C22" s="183"/>
      <c r="D22" s="121"/>
      <c r="E22" s="121"/>
    </row>
    <row r="23" spans="1:5" s="182" customFormat="1" x14ac:dyDescent="0.2">
      <c r="A23" s="181"/>
      <c r="C23" s="183"/>
      <c r="D23" s="121"/>
      <c r="E23" s="121"/>
    </row>
    <row r="24" spans="1:5" s="182" customFormat="1" x14ac:dyDescent="0.2">
      <c r="A24" s="181"/>
      <c r="C24" s="183"/>
      <c r="D24" s="121"/>
      <c r="E24" s="121"/>
    </row>
    <row r="25" spans="1:5" s="182" customFormat="1" x14ac:dyDescent="0.2">
      <c r="A25" s="181"/>
      <c r="C25" s="183"/>
      <c r="D25" s="121"/>
      <c r="E25" s="121"/>
    </row>
    <row r="26" spans="1:5" s="182" customFormat="1" x14ac:dyDescent="0.2">
      <c r="A26" s="181"/>
      <c r="C26" s="183"/>
      <c r="D26" s="121"/>
      <c r="E26" s="121"/>
    </row>
    <row r="27" spans="1:5" s="182" customFormat="1" x14ac:dyDescent="0.2">
      <c r="A27" s="181"/>
      <c r="C27" s="183"/>
      <c r="D27" s="121"/>
      <c r="E27" s="121"/>
    </row>
    <row r="28" spans="1:5" s="182" customFormat="1" x14ac:dyDescent="0.2">
      <c r="A28" s="181"/>
      <c r="C28" s="183"/>
      <c r="D28" s="121"/>
      <c r="E28" s="121"/>
    </row>
    <row r="29" spans="1:5" s="182" customFormat="1" x14ac:dyDescent="0.2">
      <c r="A29" s="181"/>
      <c r="C29" s="183"/>
      <c r="D29" s="121"/>
      <c r="E29" s="121"/>
    </row>
    <row r="30" spans="1:5" s="182" customFormat="1" x14ac:dyDescent="0.2">
      <c r="A30" s="181"/>
      <c r="C30" s="183"/>
      <c r="D30" s="121"/>
      <c r="E30" s="121"/>
    </row>
    <row r="31" spans="1:5" s="182" customFormat="1" x14ac:dyDescent="0.2">
      <c r="A31" s="181"/>
      <c r="C31" s="183"/>
      <c r="D31" s="121"/>
      <c r="E31" s="121"/>
    </row>
    <row r="32" spans="1:5" s="182" customFormat="1" x14ac:dyDescent="0.2">
      <c r="A32" s="181"/>
      <c r="C32" s="183"/>
      <c r="D32" s="121"/>
      <c r="E32" s="121"/>
    </row>
    <row r="33" spans="1:5" s="182" customFormat="1" x14ac:dyDescent="0.2">
      <c r="A33" s="181"/>
      <c r="C33" s="183"/>
      <c r="D33" s="121"/>
      <c r="E33" s="121"/>
    </row>
  </sheetData>
  <mergeCells count="10">
    <mergeCell ref="A6:B6"/>
    <mergeCell ref="C6:Q6"/>
    <mergeCell ref="C9:O10"/>
    <mergeCell ref="C1:D1"/>
    <mergeCell ref="A3:B3"/>
    <mergeCell ref="C3:Q3"/>
    <mergeCell ref="A4:B4"/>
    <mergeCell ref="C4:Q4"/>
    <mergeCell ref="A5:B5"/>
    <mergeCell ref="C5:Q5"/>
  </mergeCells>
  <hyperlinks>
    <hyperlink ref="A1" location="'ODS 1.'!A1" display="REGRESAR" xr:uid="{F21CFDB8-F625-499C-AE77-61F624ECC152}"/>
    <hyperlink ref="C1" location="'Metadato 1.4.2'!A1" display="VER METADATO" xr:uid="{FD44589A-FCA8-43F6-AEE3-78D5E648FB2B}"/>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C488-BF3E-4F09-8F5D-F7F360C3D184}">
  <dimension ref="A1:N54"/>
  <sheetViews>
    <sheetView showGridLines="0" zoomScaleNormal="100" workbookViewId="0">
      <pane ySplit="1" topLeftCell="A2" activePane="bottomLeft" state="frozen"/>
      <selection activeCell="C1" sqref="C1"/>
      <selection pane="bottomLeft"/>
    </sheetView>
  </sheetViews>
  <sheetFormatPr baseColWidth="10" defaultColWidth="11.42578125" defaultRowHeight="12.75" x14ac:dyDescent="0.25"/>
  <cols>
    <col min="1" max="2" width="15" style="22" customWidth="1"/>
    <col min="3" max="3" width="13.5703125" style="89" customWidth="1"/>
    <col min="4" max="6" width="15.28515625" style="89" customWidth="1"/>
    <col min="7" max="7" width="18.28515625" style="89" customWidth="1"/>
    <col min="8" max="9" width="11.7109375" style="22" customWidth="1"/>
    <col min="10" max="11" width="11.5703125" style="22" customWidth="1"/>
    <col min="12" max="16384" width="11.42578125" style="22"/>
  </cols>
  <sheetData>
    <row r="1" spans="1:14" s="16" customFormat="1" ht="19.5" x14ac:dyDescent="0.4">
      <c r="A1" s="68" t="s">
        <v>39</v>
      </c>
      <c r="B1" s="161"/>
      <c r="C1" s="2421" t="s">
        <v>149</v>
      </c>
      <c r="D1" s="2421"/>
    </row>
    <row r="2" spans="1:14" s="16" customFormat="1" ht="19.5" x14ac:dyDescent="0.4">
      <c r="C2" s="218"/>
      <c r="D2" s="218"/>
      <c r="E2" s="218"/>
      <c r="F2" s="218"/>
      <c r="G2" s="218"/>
    </row>
    <row r="3" spans="1:14" s="16" customFormat="1" ht="14.25" customHeight="1" x14ac:dyDescent="0.4">
      <c r="A3" s="2671" t="s">
        <v>41</v>
      </c>
      <c r="B3" s="2671"/>
      <c r="C3" s="2671" t="s">
        <v>1670</v>
      </c>
      <c r="D3" s="2671"/>
      <c r="E3" s="2671"/>
      <c r="F3" s="2671"/>
      <c r="G3" s="2671"/>
      <c r="H3" s="2671"/>
      <c r="I3" s="2671"/>
      <c r="J3" s="2671"/>
      <c r="K3" s="2671"/>
      <c r="L3" s="2671"/>
      <c r="M3" s="2671"/>
      <c r="N3" s="2671"/>
    </row>
    <row r="4" spans="1:14" s="16" customFormat="1" ht="19.5" x14ac:dyDescent="0.4">
      <c r="A4" s="2671" t="s">
        <v>42</v>
      </c>
      <c r="B4" s="2671"/>
      <c r="C4" s="2672" t="s">
        <v>1649</v>
      </c>
      <c r="D4" s="2672"/>
      <c r="E4" s="2672"/>
      <c r="F4" s="2672"/>
      <c r="G4" s="2672"/>
      <c r="H4" s="2672"/>
      <c r="I4" s="2672"/>
      <c r="J4" s="2672"/>
      <c r="K4" s="2672"/>
      <c r="L4" s="2672"/>
      <c r="M4" s="2672"/>
      <c r="N4" s="2672"/>
    </row>
    <row r="5" spans="1:14" s="16" customFormat="1" ht="15.75" customHeight="1" x14ac:dyDescent="0.4">
      <c r="A5" s="2671" t="s">
        <v>43</v>
      </c>
      <c r="B5" s="2671"/>
      <c r="C5" s="2672" t="s">
        <v>1793</v>
      </c>
      <c r="D5" s="2672"/>
      <c r="E5" s="2672"/>
      <c r="F5" s="2672"/>
      <c r="G5" s="2672"/>
      <c r="H5" s="2672"/>
      <c r="I5" s="2672"/>
      <c r="J5" s="2672"/>
      <c r="K5" s="2672"/>
      <c r="L5" s="2672"/>
      <c r="M5" s="2672"/>
      <c r="N5" s="2672"/>
    </row>
    <row r="6" spans="1:14" s="16" customFormat="1" ht="15.75" customHeight="1" x14ac:dyDescent="0.4">
      <c r="A6" s="2671" t="s">
        <v>132</v>
      </c>
      <c r="B6" s="2671"/>
      <c r="C6" s="2671" t="s">
        <v>1794</v>
      </c>
      <c r="D6" s="2671"/>
      <c r="E6" s="2671"/>
      <c r="F6" s="2671"/>
      <c r="G6" s="2671"/>
      <c r="H6" s="2671"/>
      <c r="I6" s="2671"/>
      <c r="J6" s="2671"/>
      <c r="K6" s="2671"/>
      <c r="L6" s="2671"/>
      <c r="M6" s="2671"/>
      <c r="N6" s="2671"/>
    </row>
    <row r="7" spans="1:14" s="16" customFormat="1" ht="19.5" x14ac:dyDescent="0.4">
      <c r="A7" s="217"/>
      <c r="C7" s="218"/>
      <c r="D7" s="218"/>
      <c r="E7" s="218"/>
      <c r="F7" s="218"/>
      <c r="G7" s="218"/>
    </row>
    <row r="8" spans="1:14" s="16" customFormat="1" ht="19.5" x14ac:dyDescent="0.4">
      <c r="A8" s="217"/>
      <c r="C8" s="218"/>
      <c r="D8" s="218"/>
      <c r="E8" s="218"/>
      <c r="F8" s="218"/>
      <c r="G8" s="218"/>
    </row>
    <row r="9" spans="1:14" s="16" customFormat="1" ht="19.5" x14ac:dyDescent="0.4">
      <c r="A9" s="217"/>
      <c r="C9" s="800" t="s">
        <v>1794</v>
      </c>
      <c r="D9" s="800"/>
      <c r="E9" s="800"/>
      <c r="F9" s="800"/>
      <c r="G9" s="800"/>
      <c r="H9" s="800"/>
      <c r="I9" s="800"/>
    </row>
    <row r="10" spans="1:14" s="16" customFormat="1" ht="11.45" customHeight="1" x14ac:dyDescent="0.4">
      <c r="A10" s="217"/>
      <c r="C10" s="800"/>
      <c r="D10" s="800"/>
      <c r="E10" s="800"/>
      <c r="F10" s="800"/>
      <c r="G10" s="800"/>
      <c r="H10" s="800"/>
      <c r="I10" s="800"/>
    </row>
    <row r="11" spans="1:14" ht="18.75" x14ac:dyDescent="0.4">
      <c r="A11" s="23"/>
      <c r="C11" s="801" t="s">
        <v>1795</v>
      </c>
      <c r="D11" s="801"/>
      <c r="E11" s="801"/>
      <c r="F11" s="801"/>
      <c r="G11" s="801"/>
      <c r="H11" s="760">
        <v>2017</v>
      </c>
      <c r="I11" s="760">
        <v>2018</v>
      </c>
    </row>
    <row r="12" spans="1:14" ht="18.75" x14ac:dyDescent="0.4">
      <c r="A12" s="23"/>
      <c r="C12" s="802" t="s">
        <v>1796</v>
      </c>
      <c r="D12" s="802"/>
      <c r="E12" s="802"/>
      <c r="F12" s="802"/>
      <c r="G12" s="802"/>
      <c r="H12" s="803" t="s">
        <v>1797</v>
      </c>
      <c r="I12" s="803" t="s">
        <v>1797</v>
      </c>
    </row>
    <row r="13" spans="1:14" ht="18.75" x14ac:dyDescent="0.4">
      <c r="A13" s="23"/>
      <c r="C13" s="802" t="s">
        <v>1798</v>
      </c>
      <c r="D13" s="802"/>
      <c r="E13" s="802"/>
      <c r="F13" s="802"/>
      <c r="G13" s="802"/>
      <c r="H13" s="803" t="s">
        <v>1797</v>
      </c>
      <c r="I13" s="803" t="s">
        <v>1797</v>
      </c>
    </row>
    <row r="14" spans="1:14" ht="18.75" x14ac:dyDescent="0.4">
      <c r="A14" s="23"/>
      <c r="C14" s="802" t="s">
        <v>1799</v>
      </c>
      <c r="D14" s="802"/>
      <c r="E14" s="802"/>
      <c r="F14" s="802"/>
      <c r="G14" s="802"/>
      <c r="H14" s="803">
        <v>41.8</v>
      </c>
      <c r="I14" s="803">
        <v>34.799999999999997</v>
      </c>
    </row>
    <row r="15" spans="1:14" ht="18.75" x14ac:dyDescent="0.4">
      <c r="A15" s="23"/>
      <c r="C15" s="802" t="s">
        <v>1800</v>
      </c>
      <c r="D15" s="802"/>
      <c r="E15" s="802"/>
      <c r="F15" s="802"/>
      <c r="G15" s="802"/>
      <c r="H15" s="803">
        <v>24.7</v>
      </c>
      <c r="I15" s="803">
        <v>25.3</v>
      </c>
    </row>
    <row r="16" spans="1:14" ht="18.75" x14ac:dyDescent="0.4">
      <c r="A16" s="23"/>
      <c r="C16" s="802" t="s">
        <v>1801</v>
      </c>
      <c r="D16" s="802"/>
      <c r="E16" s="802"/>
      <c r="F16" s="802"/>
      <c r="G16" s="802"/>
      <c r="H16" s="803" t="s">
        <v>1797</v>
      </c>
      <c r="I16" s="803" t="s">
        <v>1797</v>
      </c>
    </row>
    <row r="17" spans="1:9" ht="18.75" x14ac:dyDescent="0.4">
      <c r="A17" s="23"/>
      <c r="C17" s="802" t="s">
        <v>1802</v>
      </c>
      <c r="D17" s="802"/>
      <c r="E17" s="802"/>
      <c r="F17" s="802"/>
      <c r="G17" s="802"/>
      <c r="H17" s="803">
        <v>27.5</v>
      </c>
      <c r="I17" s="803">
        <v>15.9</v>
      </c>
    </row>
    <row r="18" spans="1:9" ht="18.75" x14ac:dyDescent="0.4">
      <c r="A18" s="23"/>
      <c r="C18" s="802" t="s">
        <v>1803</v>
      </c>
      <c r="D18" s="802"/>
      <c r="E18" s="802"/>
      <c r="F18" s="802"/>
      <c r="G18" s="802"/>
      <c r="H18" s="803">
        <v>27.9</v>
      </c>
      <c r="I18" s="803">
        <v>24.5</v>
      </c>
    </row>
    <row r="19" spans="1:9" ht="18.75" x14ac:dyDescent="0.4">
      <c r="A19" s="23"/>
      <c r="C19" s="802" t="s">
        <v>1804</v>
      </c>
      <c r="D19" s="802"/>
      <c r="E19" s="802"/>
      <c r="F19" s="802"/>
      <c r="G19" s="802"/>
      <c r="H19" s="803">
        <v>39.200000000000003</v>
      </c>
      <c r="I19" s="392">
        <v>25</v>
      </c>
    </row>
    <row r="20" spans="1:9" ht="18.75" x14ac:dyDescent="0.4">
      <c r="A20" s="23"/>
      <c r="C20" s="802" t="s">
        <v>1805</v>
      </c>
      <c r="D20" s="802"/>
      <c r="E20" s="802"/>
      <c r="F20" s="802"/>
      <c r="G20" s="802"/>
      <c r="H20" s="803">
        <v>7.1</v>
      </c>
      <c r="I20" s="803">
        <v>3.7</v>
      </c>
    </row>
    <row r="21" spans="1:9" ht="18.75" x14ac:dyDescent="0.4">
      <c r="A21" s="23"/>
      <c r="C21" s="802"/>
      <c r="D21" s="802"/>
      <c r="E21" s="802"/>
      <c r="F21" s="802"/>
      <c r="G21" s="802"/>
      <c r="H21" s="803"/>
      <c r="I21" s="803"/>
    </row>
    <row r="22" spans="1:9" ht="18.75" x14ac:dyDescent="0.4">
      <c r="A22" s="23"/>
      <c r="C22" s="804" t="s">
        <v>1806</v>
      </c>
      <c r="D22" s="804"/>
      <c r="E22" s="804"/>
      <c r="F22" s="804"/>
      <c r="G22" s="804"/>
      <c r="H22" s="805">
        <v>2.8</v>
      </c>
      <c r="I22" s="806">
        <v>2.15</v>
      </c>
    </row>
    <row r="23" spans="1:9" ht="18.75" x14ac:dyDescent="0.25">
      <c r="C23" s="2706" t="s">
        <v>1807</v>
      </c>
      <c r="D23" s="2706"/>
      <c r="E23" s="2706"/>
      <c r="F23" s="2706"/>
      <c r="G23" s="2706"/>
      <c r="H23" s="2706"/>
      <c r="I23" s="2706"/>
    </row>
    <row r="28" spans="1:9" ht="28.15" customHeight="1" x14ac:dyDescent="0.25">
      <c r="C28" s="43" t="s">
        <v>1808</v>
      </c>
      <c r="D28" s="43"/>
      <c r="E28" s="43"/>
      <c r="F28" s="43"/>
      <c r="G28" s="43"/>
      <c r="H28" s="43"/>
      <c r="I28" s="43"/>
    </row>
    <row r="54" spans="3:8" ht="18.600000000000001" customHeight="1" x14ac:dyDescent="0.25">
      <c r="C54" s="428" t="s">
        <v>1807</v>
      </c>
      <c r="D54" s="428"/>
      <c r="E54" s="428"/>
      <c r="F54" s="428"/>
      <c r="G54" s="428"/>
      <c r="H54" s="428"/>
    </row>
  </sheetData>
  <mergeCells count="10">
    <mergeCell ref="A6:B6"/>
    <mergeCell ref="C6:N6"/>
    <mergeCell ref="C23:I23"/>
    <mergeCell ref="C1:D1"/>
    <mergeCell ref="A3:B3"/>
    <mergeCell ref="C3:N3"/>
    <mergeCell ref="A4:B4"/>
    <mergeCell ref="C4:N4"/>
    <mergeCell ref="A5:B5"/>
    <mergeCell ref="C5:N5"/>
  </mergeCells>
  <hyperlinks>
    <hyperlink ref="A1" location="'ODS 4.'!A1" display="REGRESAR" xr:uid="{0B1D0C75-9CCD-4106-87AF-C167FD1CDDDA}"/>
    <hyperlink ref="C1" location="'Metadato 4.4.1'!A1" display="VER METADATO" xr:uid="{052AE613-DD17-4461-87B8-48389CE008D0}"/>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BC70-1AEF-425A-8A22-96DE232FC2FC}">
  <sheetPr>
    <tabColor theme="0" tint="-0.499984740745262"/>
  </sheetPr>
  <dimension ref="B1:G36"/>
  <sheetViews>
    <sheetView showGridLines="0" zoomScaleNormal="100" workbookViewId="0">
      <pane ySplit="1" topLeftCell="A2" activePane="bottomLeft" state="frozen"/>
      <selection pane="bottomLeft" activeCell="C1" sqref="C1"/>
    </sheetView>
  </sheetViews>
  <sheetFormatPr baseColWidth="10" defaultColWidth="11.42578125" defaultRowHeight="18.75" x14ac:dyDescent="0.4"/>
  <cols>
    <col min="1" max="1" width="3.7109375" style="5" customWidth="1"/>
    <col min="2" max="2" width="11.42578125" style="5"/>
    <col min="3" max="3" width="26.42578125" style="5" customWidth="1"/>
    <col min="4" max="4" width="24" style="5" customWidth="1"/>
    <col min="5" max="5" width="85.7109375" style="5" customWidth="1"/>
    <col min="6" max="6" width="11.42578125" style="5"/>
    <col min="7" max="7" width="7.28515625" style="5" customWidth="1"/>
    <col min="8" max="16384" width="11.42578125" style="5"/>
  </cols>
  <sheetData>
    <row r="1" spans="2:7" x14ac:dyDescent="0.4">
      <c r="C1" s="158" t="s">
        <v>39</v>
      </c>
    </row>
    <row r="2" spans="2:7" ht="19.5" thickBot="1" x14ac:dyDescent="0.45"/>
    <row r="3" spans="2:7" ht="23.25" customHeight="1" thickBot="1" x14ac:dyDescent="0.45">
      <c r="C3" s="2678" t="s">
        <v>75</v>
      </c>
      <c r="D3" s="2678"/>
      <c r="E3" s="2678"/>
      <c r="G3" s="91" t="s">
        <v>244</v>
      </c>
    </row>
    <row r="4" spans="2:7" ht="37.5" x14ac:dyDescent="0.4">
      <c r="B4" s="92"/>
      <c r="C4" s="2606" t="s">
        <v>77</v>
      </c>
      <c r="D4" s="2606"/>
      <c r="E4" s="359" t="s">
        <v>1688</v>
      </c>
    </row>
    <row r="5" spans="2:7" ht="56.25" x14ac:dyDescent="0.4">
      <c r="C5" s="2445" t="s">
        <v>79</v>
      </c>
      <c r="D5" s="2445"/>
      <c r="E5" s="49" t="s">
        <v>1649</v>
      </c>
    </row>
    <row r="6" spans="2:7" x14ac:dyDescent="0.4">
      <c r="C6" s="2445" t="s">
        <v>80</v>
      </c>
      <c r="D6" s="2445"/>
      <c r="E6" s="50" t="s">
        <v>1650</v>
      </c>
    </row>
    <row r="7" spans="2:7" ht="37.5" x14ac:dyDescent="0.4">
      <c r="C7" s="2446" t="s">
        <v>81</v>
      </c>
      <c r="D7" s="2446"/>
      <c r="E7" s="93" t="s">
        <v>1651</v>
      </c>
    </row>
    <row r="8" spans="2:7" x14ac:dyDescent="0.4">
      <c r="C8" s="2446" t="s">
        <v>82</v>
      </c>
      <c r="D8" s="2446"/>
      <c r="E8" s="94" t="s">
        <v>1809</v>
      </c>
    </row>
    <row r="10" spans="2:7" ht="23.25" customHeight="1" x14ac:dyDescent="0.4">
      <c r="C10" s="2678" t="s">
        <v>85</v>
      </c>
      <c r="D10" s="2678"/>
      <c r="E10" s="2678"/>
    </row>
    <row r="11" spans="2:7" x14ac:dyDescent="0.4">
      <c r="C11" s="2633" t="s">
        <v>86</v>
      </c>
      <c r="D11" s="2634"/>
      <c r="E11" s="359"/>
    </row>
    <row r="12" spans="2:7" ht="35.450000000000003" customHeight="1" x14ac:dyDescent="0.4">
      <c r="C12" s="2455" t="s">
        <v>88</v>
      </c>
      <c r="D12" s="2455"/>
      <c r="E12" s="184" t="s">
        <v>1810</v>
      </c>
    </row>
    <row r="13" spans="2:7" x14ac:dyDescent="0.4">
      <c r="C13" s="2445" t="s">
        <v>90</v>
      </c>
      <c r="D13" s="2445"/>
      <c r="E13" s="54" t="s">
        <v>1811</v>
      </c>
    </row>
    <row r="14" spans="2:7" x14ac:dyDescent="0.4">
      <c r="C14" s="2445" t="s">
        <v>91</v>
      </c>
      <c r="D14" s="2456"/>
      <c r="E14" s="54" t="s">
        <v>1812</v>
      </c>
    </row>
    <row r="15" spans="2:7" ht="206.25" x14ac:dyDescent="0.4">
      <c r="C15" s="2445" t="s">
        <v>93</v>
      </c>
      <c r="D15" s="2445"/>
      <c r="E15" s="49" t="s">
        <v>1813</v>
      </c>
    </row>
    <row r="16" spans="2:7" x14ac:dyDescent="0.4">
      <c r="C16" s="2445" t="s">
        <v>95</v>
      </c>
      <c r="D16" s="2445"/>
      <c r="E16" s="49" t="s">
        <v>1814</v>
      </c>
    </row>
    <row r="17" spans="3:5" x14ac:dyDescent="0.4">
      <c r="C17" s="2445" t="s">
        <v>97</v>
      </c>
      <c r="D17" s="2445"/>
      <c r="E17" s="55" t="s">
        <v>1815</v>
      </c>
    </row>
    <row r="18" spans="3:5" ht="37.5" x14ac:dyDescent="0.4">
      <c r="C18" s="2446" t="s">
        <v>99</v>
      </c>
      <c r="D18" s="2446"/>
      <c r="E18" s="49" t="s">
        <v>1816</v>
      </c>
    </row>
    <row r="19" spans="3:5" ht="64.5" customHeight="1" x14ac:dyDescent="0.4">
      <c r="C19" s="2457" t="s">
        <v>100</v>
      </c>
      <c r="D19" s="2458"/>
      <c r="E19" s="55" t="s">
        <v>1817</v>
      </c>
    </row>
    <row r="20" spans="3:5" x14ac:dyDescent="0.4">
      <c r="C20" s="2445" t="s">
        <v>102</v>
      </c>
      <c r="D20" s="2445"/>
      <c r="E20" s="49" t="s">
        <v>140</v>
      </c>
    </row>
    <row r="21" spans="3:5" x14ac:dyDescent="0.4">
      <c r="C21" s="2451" t="s">
        <v>104</v>
      </c>
      <c r="D21" s="95" t="s">
        <v>105</v>
      </c>
      <c r="E21" s="49" t="s">
        <v>1432</v>
      </c>
    </row>
    <row r="22" spans="3:5" x14ac:dyDescent="0.4">
      <c r="C22" s="2452"/>
      <c r="D22" s="96" t="s">
        <v>107</v>
      </c>
      <c r="E22" s="55" t="s">
        <v>1818</v>
      </c>
    </row>
    <row r="23" spans="3:5" x14ac:dyDescent="0.4">
      <c r="C23" s="2444" t="s">
        <v>109</v>
      </c>
      <c r="D23" s="2444"/>
      <c r="E23" s="49" t="s">
        <v>1819</v>
      </c>
    </row>
    <row r="24" spans="3:5" x14ac:dyDescent="0.4">
      <c r="C24" s="2444" t="s">
        <v>111</v>
      </c>
      <c r="D24" s="2444"/>
      <c r="E24" s="49" t="s">
        <v>1820</v>
      </c>
    </row>
    <row r="25" spans="3:5" x14ac:dyDescent="0.4">
      <c r="C25" s="2445" t="s">
        <v>113</v>
      </c>
      <c r="D25" s="2445"/>
      <c r="E25" s="56" t="s">
        <v>1821</v>
      </c>
    </row>
    <row r="26" spans="3:5" ht="15" customHeight="1" x14ac:dyDescent="0.4">
      <c r="C26" s="2446" t="s">
        <v>115</v>
      </c>
      <c r="D26" s="2446"/>
      <c r="E26" s="49" t="s">
        <v>1822</v>
      </c>
    </row>
    <row r="27" spans="3:5" x14ac:dyDescent="0.4">
      <c r="C27" s="2447" t="s">
        <v>117</v>
      </c>
      <c r="D27" s="2448"/>
      <c r="E27" s="49" t="s">
        <v>1823</v>
      </c>
    </row>
    <row r="28" spans="3:5" ht="281.25" x14ac:dyDescent="0.4">
      <c r="C28" s="97" t="s">
        <v>118</v>
      </c>
      <c r="D28" s="98"/>
      <c r="E28" s="203" t="s">
        <v>1824</v>
      </c>
    </row>
    <row r="29" spans="3:5" x14ac:dyDescent="0.4">
      <c r="C29" s="2449" t="s">
        <v>120</v>
      </c>
      <c r="D29" s="2450"/>
      <c r="E29" s="62"/>
    </row>
    <row r="30" spans="3:5" x14ac:dyDescent="0.4">
      <c r="C30" s="628"/>
      <c r="D30" s="628"/>
      <c r="E30" s="629"/>
    </row>
    <row r="31" spans="3:5" ht="23.25" customHeight="1" x14ac:dyDescent="0.4">
      <c r="C31" s="2678" t="s">
        <v>121</v>
      </c>
      <c r="D31" s="2678"/>
      <c r="E31" s="2678"/>
    </row>
    <row r="32" spans="3:5" x14ac:dyDescent="0.4">
      <c r="C32" s="2631" t="s">
        <v>122</v>
      </c>
      <c r="D32" s="2632"/>
      <c r="E32" s="574" t="s">
        <v>1825</v>
      </c>
    </row>
    <row r="33" spans="3:5" x14ac:dyDescent="0.4">
      <c r="C33" s="2442" t="s">
        <v>124</v>
      </c>
      <c r="D33" s="2443"/>
      <c r="E33" s="59" t="s">
        <v>1826</v>
      </c>
    </row>
    <row r="34" spans="3:5" x14ac:dyDescent="0.4">
      <c r="C34" s="2442" t="s">
        <v>126</v>
      </c>
      <c r="D34" s="2443"/>
      <c r="E34" s="59" t="s">
        <v>1827</v>
      </c>
    </row>
    <row r="35" spans="3:5" x14ac:dyDescent="0.4">
      <c r="C35" s="2442" t="s">
        <v>128</v>
      </c>
      <c r="D35" s="2443"/>
      <c r="E35" s="59" t="s">
        <v>1828</v>
      </c>
    </row>
    <row r="36" spans="3:5" x14ac:dyDescent="0.4">
      <c r="C36" s="2442" t="s">
        <v>130</v>
      </c>
      <c r="D36" s="2443"/>
      <c r="E36" s="460" t="s">
        <v>1829</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8FE67BB1-92EA-4694-9DF3-84FDF0E11595}">
      <formula1>Tipo_operación</formula1>
    </dataValidation>
    <dataValidation type="list" allowBlank="1" showInputMessage="1" showErrorMessage="1" sqref="E14" xr:uid="{05469788-08B7-4735-9754-9BA6FA0B19C4}">
      <formula1>Tipo_indicador</formula1>
    </dataValidation>
    <dataValidation type="list" allowBlank="1" showInputMessage="1" showErrorMessage="1" sqref="E7" xr:uid="{F2716FA5-A0B6-458F-9AA3-D477E9D0E5C5}">
      <formula1>Nombre_indicador_ODS</formula1>
    </dataValidation>
    <dataValidation type="list" allowBlank="1" showInputMessage="1" showErrorMessage="1" sqref="E6" xr:uid="{D91F2196-2AE7-4179-AD7A-06FCE42E4F97}">
      <formula1>Numero_indicador</formula1>
    </dataValidation>
    <dataValidation type="list" allowBlank="1" showInputMessage="1" showErrorMessage="1" sqref="E5" xr:uid="{E117E0B8-3DA6-48D5-BBE7-72BEC58F7E67}">
      <formula1>Metas_ODS</formula1>
    </dataValidation>
    <dataValidation type="list" allowBlank="1" showInputMessage="1" showErrorMessage="1" sqref="E4" xr:uid="{DFB2628A-F5F3-4BC4-A179-2014352B61AB}">
      <formula1>ODS</formula1>
    </dataValidation>
    <dataValidation allowBlank="1" showDropDown="1" showInputMessage="1" showErrorMessage="1" sqref="E13" xr:uid="{AF1C0189-8CFE-41B7-B1C4-40EE5F43694E}"/>
  </dataValidations>
  <hyperlinks>
    <hyperlink ref="C1" location="'4.4.1'!A1" display="REGRESAR" xr:uid="{E225263E-02D9-4688-BECD-F944610904BB}"/>
    <hyperlink ref="E8" r:id="rId1" xr:uid="{E6C10A5B-7CB3-4EA9-9E63-E09E20BD3F48}"/>
    <hyperlink ref="E36" r:id="rId2" display="greivin.barboza@micitt.go.cr" xr:uid="{770EBB08-660E-44CF-8B16-C342B6CA177B}"/>
  </hyperlinks>
  <pageMargins left="0.7" right="0.7" top="0.75" bottom="0.75" header="0.3" footer="0.3"/>
  <pageSetup paperSize="9" orientation="portrait"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DE67-F5D1-4E95-B7A4-368D9FD52F63}">
  <dimension ref="A1:Z54"/>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28515625" style="175" customWidth="1"/>
    <col min="2" max="2" width="17.7109375" style="175" customWidth="1"/>
    <col min="3" max="4" width="11.42578125" style="175"/>
    <col min="5" max="5" width="17.42578125" style="175" customWidth="1"/>
    <col min="6" max="6" width="15" style="175" customWidth="1"/>
    <col min="7" max="7" width="1" style="175" customWidth="1"/>
    <col min="8" max="8" width="11.42578125" style="175"/>
    <col min="9" max="9" width="15.28515625" style="175" customWidth="1"/>
    <col min="10" max="10" width="14.42578125" style="175" customWidth="1"/>
    <col min="11" max="11" width="0.7109375" style="175" customWidth="1"/>
    <col min="12" max="12" width="11.42578125" style="175"/>
    <col min="13" max="14" width="16" style="175" customWidth="1"/>
    <col min="15" max="15" width="0.7109375" style="175" customWidth="1"/>
    <col min="16" max="16" width="10.42578125" style="175" customWidth="1"/>
    <col min="17" max="17" width="15.7109375" style="175" customWidth="1"/>
    <col min="18" max="18" width="14.7109375" style="175" customWidth="1"/>
    <col min="19" max="19" width="0.7109375" style="175" customWidth="1"/>
    <col min="20" max="20" width="11.42578125" style="175"/>
    <col min="21" max="21" width="15.5703125" style="175" customWidth="1"/>
    <col min="22" max="22" width="15.28515625" style="175" customWidth="1"/>
    <col min="23" max="23" width="1" style="175" customWidth="1"/>
    <col min="24" max="24" width="11.42578125" style="175"/>
    <col min="25" max="25" width="15.28515625" style="175" customWidth="1"/>
    <col min="26" max="26" width="15.42578125" style="175" customWidth="1"/>
    <col min="27" max="28" width="22.42578125" style="175" customWidth="1"/>
    <col min="29" max="29" width="12.7109375" style="175" customWidth="1"/>
    <col min="30" max="30" width="11.42578125" style="175" customWidth="1"/>
    <col min="31" max="31" width="10.7109375" style="175" customWidth="1"/>
    <col min="32" max="32" width="12.28515625" style="175" customWidth="1"/>
    <col min="33" max="16384" width="11.42578125" style="175"/>
  </cols>
  <sheetData>
    <row r="1" spans="1:26" s="162" customFormat="1" ht="19.5" x14ac:dyDescent="0.25">
      <c r="A1" s="68" t="s">
        <v>39</v>
      </c>
      <c r="C1" s="2562" t="s">
        <v>149</v>
      </c>
      <c r="D1" s="2562"/>
    </row>
    <row r="2" spans="1:26" s="162" customFormat="1" ht="19.5" x14ac:dyDescent="0.25"/>
    <row r="3" spans="1:26" s="162" customFormat="1" ht="19.5" x14ac:dyDescent="0.25">
      <c r="A3" s="2671" t="s">
        <v>41</v>
      </c>
      <c r="B3" s="2671"/>
      <c r="C3" s="2698" t="s">
        <v>1670</v>
      </c>
      <c r="D3" s="2699"/>
      <c r="E3" s="2699"/>
      <c r="F3" s="2699"/>
      <c r="G3" s="2699"/>
      <c r="H3" s="2699"/>
      <c r="I3" s="2699"/>
      <c r="J3" s="2699"/>
      <c r="K3" s="2699"/>
      <c r="L3" s="2699"/>
      <c r="M3" s="2699"/>
      <c r="N3" s="2699"/>
      <c r="O3" s="2699"/>
      <c r="P3" s="2699"/>
      <c r="Q3" s="2699"/>
      <c r="R3" s="2699"/>
      <c r="S3" s="2699"/>
      <c r="T3" s="2699"/>
      <c r="U3" s="2699"/>
      <c r="V3" s="2705"/>
    </row>
    <row r="4" spans="1:26" s="162" customFormat="1" ht="33.6" customHeight="1" x14ac:dyDescent="0.25">
      <c r="A4" s="2671" t="s">
        <v>42</v>
      </c>
      <c r="B4" s="2671"/>
      <c r="C4" s="2707" t="s">
        <v>1652</v>
      </c>
      <c r="D4" s="2708"/>
      <c r="E4" s="2708"/>
      <c r="F4" s="2708"/>
      <c r="G4" s="2708"/>
      <c r="H4" s="2708"/>
      <c r="I4" s="2708"/>
      <c r="J4" s="2708"/>
      <c r="K4" s="2708"/>
      <c r="L4" s="2708"/>
      <c r="M4" s="2708"/>
      <c r="N4" s="2708"/>
      <c r="O4" s="2708"/>
      <c r="P4" s="2708"/>
      <c r="Q4" s="2708"/>
      <c r="R4" s="2709"/>
      <c r="S4" s="2709"/>
      <c r="T4" s="2709"/>
      <c r="U4" s="2709"/>
      <c r="V4" s="2710"/>
    </row>
    <row r="5" spans="1:26" s="162" customFormat="1" ht="34.9" customHeight="1" x14ac:dyDescent="0.25">
      <c r="A5" s="2671" t="s">
        <v>43</v>
      </c>
      <c r="B5" s="2671"/>
      <c r="C5" s="2707" t="s">
        <v>1830</v>
      </c>
      <c r="D5" s="2708"/>
      <c r="E5" s="2708"/>
      <c r="F5" s="2708"/>
      <c r="G5" s="2708"/>
      <c r="H5" s="2708"/>
      <c r="I5" s="2708"/>
      <c r="J5" s="2708"/>
      <c r="K5" s="2708"/>
      <c r="L5" s="2708"/>
      <c r="M5" s="2708"/>
      <c r="N5" s="2708"/>
      <c r="O5" s="2708"/>
      <c r="P5" s="2708"/>
      <c r="Q5" s="2708"/>
      <c r="R5" s="2709"/>
      <c r="S5" s="2709"/>
      <c r="T5" s="2709"/>
      <c r="U5" s="2709"/>
      <c r="V5" s="2710"/>
    </row>
    <row r="6" spans="1:26" s="162" customFormat="1" ht="22.15" customHeight="1" x14ac:dyDescent="0.25">
      <c r="A6" s="2671" t="s">
        <v>132</v>
      </c>
      <c r="B6" s="2671"/>
      <c r="C6" s="2707" t="s">
        <v>1831</v>
      </c>
      <c r="D6" s="2708"/>
      <c r="E6" s="2708"/>
      <c r="F6" s="2708"/>
      <c r="G6" s="2708"/>
      <c r="H6" s="2708"/>
      <c r="I6" s="2708"/>
      <c r="J6" s="2708"/>
      <c r="K6" s="2708"/>
      <c r="L6" s="2708"/>
      <c r="M6" s="2708"/>
      <c r="N6" s="2708"/>
      <c r="O6" s="2708"/>
      <c r="P6" s="2708"/>
      <c r="Q6" s="2708"/>
      <c r="R6" s="2709"/>
      <c r="S6" s="2709"/>
      <c r="T6" s="2709"/>
      <c r="U6" s="2709"/>
      <c r="V6" s="2710"/>
    </row>
    <row r="7" spans="1:26" s="162" customFormat="1" ht="19.5" x14ac:dyDescent="0.25"/>
    <row r="8" spans="1:26" s="162" customFormat="1" ht="19.5" x14ac:dyDescent="0.25">
      <c r="A8" s="173"/>
    </row>
    <row r="9" spans="1:26" s="162" customFormat="1" ht="19.5" x14ac:dyDescent="0.25">
      <c r="C9" s="2711" t="s">
        <v>1832</v>
      </c>
      <c r="D9" s="2711"/>
      <c r="E9" s="2711"/>
      <c r="F9" s="2711"/>
      <c r="G9" s="2711"/>
      <c r="H9" s="2711"/>
      <c r="I9" s="2711"/>
      <c r="J9" s="2711"/>
      <c r="K9" s="2711"/>
      <c r="L9" s="2711"/>
      <c r="M9" s="2711"/>
      <c r="N9" s="2711"/>
      <c r="O9" s="2711"/>
      <c r="P9" s="2711"/>
      <c r="Q9" s="2711"/>
      <c r="R9" s="2711"/>
      <c r="S9" s="2711"/>
      <c r="T9" s="2711"/>
      <c r="U9" s="2711"/>
      <c r="V9" s="2711"/>
      <c r="W9" s="2711"/>
      <c r="X9" s="2711"/>
      <c r="Y9" s="2711"/>
      <c r="Z9" s="2711"/>
    </row>
    <row r="10" spans="1:26" s="162" customFormat="1" ht="9.6" customHeight="1" x14ac:dyDescent="0.25">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row>
    <row r="11" spans="1:26" ht="76.5" customHeight="1" x14ac:dyDescent="0.25">
      <c r="C11" s="2693" t="s">
        <v>247</v>
      </c>
      <c r="D11" s="2712" t="s">
        <v>1833</v>
      </c>
      <c r="E11" s="2712"/>
      <c r="F11" s="2712"/>
      <c r="G11" s="807"/>
      <c r="H11" s="2712" t="s">
        <v>1834</v>
      </c>
      <c r="I11" s="2712"/>
      <c r="J11" s="2712"/>
      <c r="K11" s="807"/>
      <c r="L11" s="2712" t="s">
        <v>1835</v>
      </c>
      <c r="M11" s="2712"/>
      <c r="N11" s="2712"/>
      <c r="O11" s="807"/>
      <c r="P11" s="2712" t="s">
        <v>1836</v>
      </c>
      <c r="Q11" s="2712"/>
      <c r="R11" s="2712"/>
      <c r="S11" s="807"/>
      <c r="T11" s="2712" t="s">
        <v>1837</v>
      </c>
      <c r="U11" s="2712"/>
      <c r="V11" s="2712"/>
      <c r="W11" s="808"/>
      <c r="X11" s="2712" t="s">
        <v>1838</v>
      </c>
      <c r="Y11" s="2712"/>
      <c r="Z11" s="2712"/>
    </row>
    <row r="12" spans="1:26" ht="69.75" customHeight="1" x14ac:dyDescent="0.25">
      <c r="C12" s="2694"/>
      <c r="D12" s="809" t="s">
        <v>1839</v>
      </c>
      <c r="E12" s="809" t="s">
        <v>1840</v>
      </c>
      <c r="F12" s="809" t="s">
        <v>1841</v>
      </c>
      <c r="G12" s="809"/>
      <c r="H12" s="809" t="s">
        <v>1839</v>
      </c>
      <c r="I12" s="809" t="s">
        <v>1840</v>
      </c>
      <c r="J12" s="809" t="s">
        <v>1841</v>
      </c>
      <c r="K12" s="809"/>
      <c r="L12" s="809" t="s">
        <v>1839</v>
      </c>
      <c r="M12" s="809" t="s">
        <v>1840</v>
      </c>
      <c r="N12" s="809" t="s">
        <v>1841</v>
      </c>
      <c r="O12" s="809"/>
      <c r="P12" s="809" t="s">
        <v>1839</v>
      </c>
      <c r="Q12" s="809" t="s">
        <v>1840</v>
      </c>
      <c r="R12" s="809" t="s">
        <v>1841</v>
      </c>
      <c r="S12" s="809"/>
      <c r="T12" s="809" t="s">
        <v>1842</v>
      </c>
      <c r="U12" s="809" t="s">
        <v>1840</v>
      </c>
      <c r="V12" s="809" t="s">
        <v>1841</v>
      </c>
      <c r="W12" s="810"/>
      <c r="X12" s="809" t="s">
        <v>1839</v>
      </c>
      <c r="Y12" s="809" t="s">
        <v>1840</v>
      </c>
      <c r="Z12" s="809" t="s">
        <v>1841</v>
      </c>
    </row>
    <row r="13" spans="1:26" ht="18.75" x14ac:dyDescent="0.4">
      <c r="C13" s="9">
        <v>2012</v>
      </c>
      <c r="D13" s="811"/>
      <c r="E13" s="811"/>
      <c r="F13" s="811"/>
      <c r="G13" s="811"/>
      <c r="H13" s="811"/>
      <c r="I13" s="811"/>
      <c r="J13" s="811"/>
      <c r="K13" s="811"/>
      <c r="L13" s="811"/>
      <c r="M13" s="811"/>
      <c r="N13" s="811"/>
      <c r="O13" s="811"/>
      <c r="P13" s="811"/>
      <c r="Q13" s="811"/>
      <c r="R13" s="811"/>
      <c r="S13" s="811"/>
      <c r="T13" s="811">
        <v>1.2288557213930349</v>
      </c>
      <c r="U13" s="811">
        <v>0.83958067905476441</v>
      </c>
      <c r="V13" s="811">
        <v>0.58132837510068314</v>
      </c>
      <c r="W13" s="4"/>
      <c r="X13" s="811">
        <v>0.7002096436058699</v>
      </c>
      <c r="Y13" s="811">
        <v>0.66724689993663633</v>
      </c>
      <c r="Z13" s="811">
        <v>0.28291174597561503</v>
      </c>
    </row>
    <row r="14" spans="1:26" ht="18.75" x14ac:dyDescent="0.4">
      <c r="C14" s="585">
        <v>2013</v>
      </c>
      <c r="D14" s="812">
        <v>1.0768261964735515</v>
      </c>
      <c r="E14" s="812">
        <v>0.96912361258700308</v>
      </c>
      <c r="F14" s="812">
        <v>0.81837762422923999</v>
      </c>
      <c r="G14" s="812"/>
      <c r="H14" s="812">
        <v>1.0223684210526316</v>
      </c>
      <c r="I14" s="812">
        <v>1.0449197277584048</v>
      </c>
      <c r="J14" s="812">
        <v>0.75458953454304722</v>
      </c>
      <c r="K14" s="812"/>
      <c r="L14" s="812">
        <v>1.0200845665961946</v>
      </c>
      <c r="M14" s="812">
        <v>0.89533023878692908</v>
      </c>
      <c r="N14" s="812">
        <v>0.9181409888879235</v>
      </c>
      <c r="O14" s="812"/>
      <c r="P14" s="812">
        <v>0.9567039106145252</v>
      </c>
      <c r="Q14" s="812">
        <v>0.8313974154594006</v>
      </c>
      <c r="R14" s="812">
        <v>0.63781866784495556</v>
      </c>
      <c r="S14" s="812"/>
      <c r="T14" s="812" t="s">
        <v>1843</v>
      </c>
      <c r="U14" s="812" t="s">
        <v>1843</v>
      </c>
      <c r="V14" s="812" t="s">
        <v>1843</v>
      </c>
      <c r="W14" s="82"/>
      <c r="X14" s="812" t="s">
        <v>1843</v>
      </c>
      <c r="Y14" s="812" t="s">
        <v>1843</v>
      </c>
      <c r="Z14" s="812" t="s">
        <v>1843</v>
      </c>
    </row>
    <row r="15" spans="1:26" ht="18.75" x14ac:dyDescent="0.25">
      <c r="C15" s="301" t="s">
        <v>1844</v>
      </c>
      <c r="D15" s="811"/>
      <c r="E15" s="811"/>
      <c r="F15" s="811"/>
      <c r="G15" s="811"/>
      <c r="H15" s="811"/>
      <c r="I15" s="811"/>
      <c r="J15" s="811"/>
      <c r="K15" s="811"/>
      <c r="L15" s="811"/>
      <c r="M15" s="36"/>
      <c r="N15" s="36"/>
      <c r="O15" s="36"/>
      <c r="P15" s="36"/>
      <c r="Q15" s="36"/>
      <c r="R15" s="36"/>
      <c r="S15" s="36"/>
      <c r="T15" s="36"/>
      <c r="U15" s="36"/>
      <c r="V15" s="36"/>
      <c r="W15" s="36"/>
      <c r="X15" s="36"/>
      <c r="Y15" s="36"/>
      <c r="Z15" s="36"/>
    </row>
    <row r="16" spans="1:26" ht="18.75" x14ac:dyDescent="0.25">
      <c r="C16" s="36"/>
      <c r="D16" s="36"/>
      <c r="E16" s="36"/>
      <c r="F16" s="36"/>
      <c r="G16" s="36"/>
      <c r="H16" s="36"/>
      <c r="I16" s="36"/>
      <c r="J16" s="36"/>
      <c r="K16" s="36"/>
      <c r="L16" s="36"/>
      <c r="M16" s="36"/>
      <c r="N16" s="36"/>
      <c r="O16" s="36"/>
      <c r="P16" s="36"/>
      <c r="Q16" s="36"/>
      <c r="R16" s="36"/>
      <c r="S16" s="36"/>
      <c r="T16" s="36"/>
      <c r="U16" s="36"/>
      <c r="V16" s="36"/>
      <c r="W16" s="36"/>
      <c r="X16" s="36"/>
      <c r="Y16" s="36"/>
      <c r="Z16" s="36"/>
    </row>
    <row r="19" spans="3:14" ht="15" customHeight="1" x14ac:dyDescent="0.25">
      <c r="C19" s="2660" t="s">
        <v>1845</v>
      </c>
      <c r="D19" s="2660"/>
      <c r="E19" s="2660"/>
      <c r="F19" s="2660"/>
      <c r="G19" s="2660"/>
      <c r="H19" s="2660"/>
      <c r="I19" s="2660"/>
      <c r="J19" s="2660"/>
    </row>
    <row r="20" spans="3:14" ht="49.5" customHeight="1" x14ac:dyDescent="0.25">
      <c r="C20" s="2660"/>
      <c r="D20" s="2660"/>
      <c r="E20" s="2660"/>
      <c r="F20" s="2660"/>
      <c r="G20" s="2660"/>
      <c r="H20" s="2660"/>
      <c r="I20" s="2660"/>
      <c r="J20" s="2660"/>
      <c r="K20" s="813"/>
      <c r="L20" s="813"/>
      <c r="M20" s="813"/>
      <c r="N20" s="813"/>
    </row>
    <row r="52" spans="3:16" s="814" customFormat="1" x14ac:dyDescent="0.25"/>
    <row r="54" spans="3:16" ht="47.25" customHeight="1" x14ac:dyDescent="0.25">
      <c r="C54" s="2602" t="s">
        <v>1846</v>
      </c>
      <c r="D54" s="2602"/>
      <c r="E54" s="2602"/>
      <c r="F54" s="2602"/>
      <c r="G54" s="2602"/>
      <c r="H54" s="2602"/>
      <c r="I54" s="2602"/>
      <c r="J54" s="2602"/>
      <c r="K54" s="2602"/>
      <c r="L54" s="2602"/>
      <c r="M54" s="2602"/>
      <c r="N54" s="2602"/>
      <c r="O54" s="813"/>
      <c r="P54" s="813"/>
    </row>
  </sheetData>
  <mergeCells count="19">
    <mergeCell ref="A5:B5"/>
    <mergeCell ref="C5:V5"/>
    <mergeCell ref="C1:D1"/>
    <mergeCell ref="A3:B3"/>
    <mergeCell ref="C3:V3"/>
    <mergeCell ref="A4:B4"/>
    <mergeCell ref="C4:V4"/>
    <mergeCell ref="C19:J20"/>
    <mergeCell ref="C54:N54"/>
    <mergeCell ref="A6:B6"/>
    <mergeCell ref="C6:V6"/>
    <mergeCell ref="C9:Z9"/>
    <mergeCell ref="C11:C12"/>
    <mergeCell ref="D11:F11"/>
    <mergeCell ref="H11:J11"/>
    <mergeCell ref="L11:N11"/>
    <mergeCell ref="P11:R11"/>
    <mergeCell ref="T11:V11"/>
    <mergeCell ref="X11:Z11"/>
  </mergeCells>
  <hyperlinks>
    <hyperlink ref="A1" location="'ODS 4.'!A1" display="REGRESAR" xr:uid="{6DD9CCCF-E29E-4F5B-AFA8-E4ADB64DB042}"/>
    <hyperlink ref="C1" location="'Metadato 4.5.1'!A1" display="VER METADATO" xr:uid="{2FBAB524-F975-4B64-A730-F0F7B372340E}"/>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A558F-BDA4-432C-825D-EDF26E29E324}">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0.7109375" style="222" customWidth="1"/>
    <col min="6" max="6" width="7.28515625" style="222" customWidth="1"/>
    <col min="7" max="8" width="11.42578125" style="222"/>
    <col min="9" max="9" width="0.7109375" style="222" customWidth="1"/>
    <col min="10" max="12" width="11.42578125" style="222"/>
    <col min="13" max="13" width="0.7109375" style="222" customWidth="1"/>
    <col min="14" max="16" width="11.42578125" style="222"/>
    <col min="17" max="17" width="0.7109375" style="222" customWidth="1"/>
    <col min="18" max="20" width="11.42578125" style="222"/>
    <col min="21" max="21" width="1" style="222" customWidth="1"/>
    <col min="22" max="24" width="11.42578125" style="222"/>
    <col min="25" max="26" width="22.42578125" style="222" customWidth="1"/>
    <col min="27" max="27" width="12.7109375" style="222" customWidth="1"/>
    <col min="28" max="28" width="11.42578125" style="222" customWidth="1"/>
    <col min="29" max="29" width="10.7109375" style="222" customWidth="1"/>
    <col min="30" max="30" width="12.28515625" style="222" customWidth="1"/>
    <col min="31" max="16384" width="11.42578125" style="222"/>
  </cols>
  <sheetData>
    <row r="1" spans="2:6" x14ac:dyDescent="0.25">
      <c r="B1" s="223" t="s">
        <v>39</v>
      </c>
    </row>
    <row r="2" spans="2:6" ht="19.5" thickBot="1" x14ac:dyDescent="0.3"/>
    <row r="3" spans="2:6" ht="23.25" customHeight="1" thickBot="1" x14ac:dyDescent="0.3">
      <c r="B3" s="2678" t="s">
        <v>75</v>
      </c>
      <c r="C3" s="2678"/>
      <c r="D3" s="2678"/>
      <c r="F3" s="91" t="s">
        <v>265</v>
      </c>
    </row>
    <row r="4" spans="2:6" ht="37.5" x14ac:dyDescent="0.25">
      <c r="B4" s="2606" t="s">
        <v>234</v>
      </c>
      <c r="C4" s="2606"/>
      <c r="D4" s="359" t="s">
        <v>1688</v>
      </c>
    </row>
    <row r="5" spans="2:6" ht="56.25" x14ac:dyDescent="0.25">
      <c r="B5" s="2445" t="s">
        <v>79</v>
      </c>
      <c r="C5" s="2445"/>
      <c r="D5" s="49" t="s">
        <v>1652</v>
      </c>
    </row>
    <row r="6" spans="2:6" x14ac:dyDescent="0.25">
      <c r="B6" s="2445" t="s">
        <v>80</v>
      </c>
      <c r="C6" s="2445"/>
      <c r="D6" s="50" t="s">
        <v>1653</v>
      </c>
    </row>
    <row r="7" spans="2:6" ht="65.25" customHeight="1" x14ac:dyDescent="0.25">
      <c r="B7" s="2446" t="s">
        <v>81</v>
      </c>
      <c r="C7" s="2446"/>
      <c r="D7" s="93" t="s">
        <v>1830</v>
      </c>
    </row>
    <row r="8" spans="2:6" ht="15" customHeight="1" x14ac:dyDescent="0.25">
      <c r="B8" s="2446" t="s">
        <v>82</v>
      </c>
      <c r="C8" s="2446"/>
      <c r="D8" s="94" t="s">
        <v>1847</v>
      </c>
    </row>
    <row r="9" spans="2:6" x14ac:dyDescent="0.4">
      <c r="B9" s="5"/>
      <c r="C9" s="5"/>
      <c r="D9" s="5"/>
    </row>
    <row r="10" spans="2:6" ht="23.25" customHeight="1" x14ac:dyDescent="0.25">
      <c r="B10" s="2678" t="s">
        <v>85</v>
      </c>
      <c r="C10" s="2678"/>
      <c r="D10" s="2678"/>
    </row>
    <row r="11" spans="2:6" x14ac:dyDescent="0.25">
      <c r="B11" s="2633" t="s">
        <v>86</v>
      </c>
      <c r="C11" s="2634"/>
      <c r="D11" s="359" t="s">
        <v>167</v>
      </c>
    </row>
    <row r="12" spans="2:6" ht="56.25" x14ac:dyDescent="0.25">
      <c r="B12" s="2455" t="s">
        <v>88</v>
      </c>
      <c r="C12" s="2455"/>
      <c r="D12" s="169" t="s">
        <v>1848</v>
      </c>
    </row>
    <row r="13" spans="2:6" x14ac:dyDescent="0.25">
      <c r="B13" s="2445" t="s">
        <v>90</v>
      </c>
      <c r="C13" s="2445"/>
      <c r="D13" s="54" t="s">
        <v>1653</v>
      </c>
    </row>
    <row r="14" spans="2:6" x14ac:dyDescent="0.25">
      <c r="B14" s="2445" t="s">
        <v>91</v>
      </c>
      <c r="C14" s="2456"/>
      <c r="D14" s="54" t="s">
        <v>92</v>
      </c>
    </row>
    <row r="15" spans="2:6" ht="56.25" x14ac:dyDescent="0.25">
      <c r="B15" s="2445" t="s">
        <v>93</v>
      </c>
      <c r="C15" s="2445"/>
      <c r="D15" s="56" t="s">
        <v>1849</v>
      </c>
    </row>
    <row r="16" spans="2:6" ht="136.5" customHeight="1" x14ac:dyDescent="0.25">
      <c r="B16" s="2445" t="s">
        <v>95</v>
      </c>
      <c r="C16" s="2445"/>
      <c r="D16" s="56" t="s">
        <v>1850</v>
      </c>
    </row>
    <row r="17" spans="2:4" x14ac:dyDescent="0.25">
      <c r="B17" s="2445" t="s">
        <v>97</v>
      </c>
      <c r="C17" s="2445"/>
      <c r="D17" s="56" t="s">
        <v>1851</v>
      </c>
    </row>
    <row r="18" spans="2:4" x14ac:dyDescent="0.25">
      <c r="B18" s="2446" t="s">
        <v>99</v>
      </c>
      <c r="C18" s="2446"/>
      <c r="D18" s="49"/>
    </row>
    <row r="19" spans="2:4" ht="21" customHeight="1" x14ac:dyDescent="0.25">
      <c r="B19" s="2457" t="s">
        <v>100</v>
      </c>
      <c r="C19" s="2458"/>
      <c r="D19" s="56" t="s">
        <v>1852</v>
      </c>
    </row>
    <row r="20" spans="2:4" x14ac:dyDescent="0.25">
      <c r="B20" s="2445" t="s">
        <v>102</v>
      </c>
      <c r="C20" s="2445"/>
      <c r="D20" s="56" t="s">
        <v>1853</v>
      </c>
    </row>
    <row r="21" spans="2:4" x14ac:dyDescent="0.25">
      <c r="B21" s="2451" t="s">
        <v>104</v>
      </c>
      <c r="C21" s="95" t="s">
        <v>105</v>
      </c>
      <c r="D21" s="49"/>
    </row>
    <row r="22" spans="2:4" x14ac:dyDescent="0.25">
      <c r="B22" s="2452"/>
      <c r="C22" s="96" t="s">
        <v>107</v>
      </c>
      <c r="D22" s="56" t="s">
        <v>1854</v>
      </c>
    </row>
    <row r="23" spans="2:4" x14ac:dyDescent="0.25">
      <c r="B23" s="2444" t="s">
        <v>109</v>
      </c>
      <c r="C23" s="2444"/>
      <c r="D23" s="56" t="s">
        <v>143</v>
      </c>
    </row>
    <row r="24" spans="2:4" x14ac:dyDescent="0.25">
      <c r="B24" s="2444" t="s">
        <v>111</v>
      </c>
      <c r="C24" s="2444"/>
      <c r="D24" s="59" t="s">
        <v>1855</v>
      </c>
    </row>
    <row r="25" spans="2:4" x14ac:dyDescent="0.25">
      <c r="B25" s="2445" t="s">
        <v>113</v>
      </c>
      <c r="C25" s="2445"/>
      <c r="D25" s="56" t="s">
        <v>1701</v>
      </c>
    </row>
    <row r="26" spans="2:4" ht="15" customHeight="1" x14ac:dyDescent="0.25">
      <c r="B26" s="2446" t="s">
        <v>115</v>
      </c>
      <c r="C26" s="2446"/>
      <c r="D26" s="59" t="s">
        <v>1856</v>
      </c>
    </row>
    <row r="27" spans="2:4" x14ac:dyDescent="0.25">
      <c r="B27" s="2447" t="s">
        <v>117</v>
      </c>
      <c r="C27" s="2448"/>
      <c r="D27" s="49"/>
    </row>
    <row r="28" spans="2:4" ht="150" x14ac:dyDescent="0.25">
      <c r="B28" s="97" t="s">
        <v>118</v>
      </c>
      <c r="C28" s="98"/>
      <c r="D28" s="56" t="s">
        <v>1857</v>
      </c>
    </row>
    <row r="29" spans="2:4" x14ac:dyDescent="0.25">
      <c r="B29" s="2449" t="s">
        <v>120</v>
      </c>
      <c r="C29" s="2450"/>
      <c r="D29" s="62"/>
    </row>
    <row r="30" spans="2:4" x14ac:dyDescent="0.25">
      <c r="B30" s="628"/>
      <c r="C30" s="628"/>
      <c r="D30" s="629"/>
    </row>
    <row r="31" spans="2:4" ht="23.25" customHeight="1" x14ac:dyDescent="0.25">
      <c r="B31" s="2678" t="s">
        <v>121</v>
      </c>
      <c r="C31" s="2678"/>
      <c r="D31" s="2678"/>
    </row>
    <row r="32" spans="2:4" x14ac:dyDescent="0.25">
      <c r="B32" s="2631" t="s">
        <v>122</v>
      </c>
      <c r="C32" s="2632"/>
      <c r="D32" s="574" t="s">
        <v>1858</v>
      </c>
    </row>
    <row r="33" spans="2:4" x14ac:dyDescent="0.25">
      <c r="B33" s="2442" t="s">
        <v>124</v>
      </c>
      <c r="C33" s="2443"/>
      <c r="D33" s="59" t="s">
        <v>242</v>
      </c>
    </row>
    <row r="34" spans="2:4" x14ac:dyDescent="0.25">
      <c r="B34" s="2442" t="s">
        <v>126</v>
      </c>
      <c r="C34" s="2443"/>
      <c r="D34" s="59" t="s">
        <v>1855</v>
      </c>
    </row>
    <row r="35" spans="2:4" x14ac:dyDescent="0.25">
      <c r="B35" s="2442" t="s">
        <v>128</v>
      </c>
      <c r="C35" s="2443"/>
      <c r="D35" s="59" t="s">
        <v>242</v>
      </c>
    </row>
    <row r="36" spans="2:4" x14ac:dyDescent="0.25">
      <c r="B36" s="2442" t="s">
        <v>130</v>
      </c>
      <c r="C36" s="2443"/>
      <c r="D36" s="65" t="s">
        <v>1859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5CBC5F1-008F-4FBF-9E7A-2407C93EF5CE}">
      <formula1>Tipo_operación</formula1>
    </dataValidation>
    <dataValidation type="list" allowBlank="1" showInputMessage="1" showErrorMessage="1" sqref="D14" xr:uid="{F0748FEA-52A9-4B46-8B82-6D3FE1EB30EC}">
      <formula1>Tipo_indicador</formula1>
    </dataValidation>
    <dataValidation type="list" allowBlank="1" showInputMessage="1" showErrorMessage="1" sqref="D7" xr:uid="{DE57777E-5155-473D-86F8-BBA2ABDBBCA0}">
      <formula1>Nombre_indicador_ODS</formula1>
    </dataValidation>
    <dataValidation type="list" allowBlank="1" showInputMessage="1" showErrorMessage="1" sqref="D6" xr:uid="{C218D9DC-5364-45BC-A447-3A18BD41C6E7}">
      <formula1>Numero_indicador</formula1>
    </dataValidation>
    <dataValidation type="list" allowBlank="1" showInputMessage="1" showErrorMessage="1" sqref="D5" xr:uid="{2DCDEC6A-A8BE-4F2A-B6A7-451966051AE4}">
      <formula1>Metas_ODS</formula1>
    </dataValidation>
    <dataValidation type="list" allowBlank="1" showInputMessage="1" showErrorMessage="1" sqref="D4" xr:uid="{D7A0396B-4938-4DB6-8918-80525CEDCBDD}">
      <formula1>ODS</formula1>
    </dataValidation>
    <dataValidation allowBlank="1" showDropDown="1" showInputMessage="1" showErrorMessage="1" sqref="D13" xr:uid="{DFB48049-6C0E-4E5E-BD29-A03A3FD569D9}"/>
  </dataValidations>
  <hyperlinks>
    <hyperlink ref="B1" location="'4.5.1'!A1" display="REGRESAR" xr:uid="{197B0288-4BFD-4C65-9598-9792EBB41C6E}"/>
    <hyperlink ref="D8" r:id="rId1" xr:uid="{FF91FED1-4CB8-494D-A730-FF1222F33AC0}"/>
    <hyperlink ref="D36" r:id="rId2" xr:uid="{8EA7E15F-0D8E-49E8-A13A-55693E640715}"/>
  </hyperlinks>
  <pageMargins left="0.7" right="0.7" top="0.75" bottom="0.75" header="0.3" footer="0.3"/>
  <pageSetup paperSize="9" orientation="portrait" r:id="rId3"/>
  <drawing r:id="rId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FAF3-4505-4F2C-AE57-84F914A87BFF}">
  <dimension ref="A1:AB42"/>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4.7109375" style="175" customWidth="1"/>
    <col min="2" max="2" width="18.28515625" style="175" customWidth="1"/>
    <col min="3" max="3" width="11.42578125" style="175"/>
    <col min="4" max="4" width="6.7109375" style="175" customWidth="1"/>
    <col min="5" max="5" width="8.28515625" style="175" customWidth="1"/>
    <col min="6" max="6" width="8" style="175" customWidth="1"/>
    <col min="7" max="7" width="2.7109375" style="175" customWidth="1"/>
    <col min="8" max="8" width="5.7109375" style="175" customWidth="1"/>
    <col min="9" max="9" width="8" style="175" customWidth="1"/>
    <col min="10" max="10" width="7.28515625" style="175" customWidth="1"/>
    <col min="11" max="11" width="2" style="175" customWidth="1"/>
    <col min="12" max="12" width="5.28515625" style="175" customWidth="1"/>
    <col min="13" max="13" width="8.28515625" style="175" customWidth="1"/>
    <col min="14" max="14" width="7.28515625" style="175" customWidth="1"/>
    <col min="15" max="15" width="3.28515625" style="175" customWidth="1"/>
    <col min="16" max="16" width="6" style="175" customWidth="1"/>
    <col min="17" max="18" width="7.7109375" style="175" customWidth="1"/>
    <col min="19" max="19" width="1.7109375" style="175" customWidth="1"/>
    <col min="20" max="20" width="6.28515625" style="175" customWidth="1"/>
    <col min="21" max="21" width="7.5703125" style="175" customWidth="1"/>
    <col min="22" max="22" width="7.28515625" style="175" customWidth="1"/>
    <col min="23" max="23" width="2.7109375" style="175" customWidth="1"/>
    <col min="24" max="24" width="6.5703125" style="175" customWidth="1"/>
    <col min="25" max="25" width="7.7109375" style="175" customWidth="1"/>
    <col min="26" max="27" width="7" style="175" customWidth="1"/>
    <col min="28" max="31" width="8.5703125" style="175" customWidth="1"/>
    <col min="32" max="16384" width="11.42578125" style="175"/>
  </cols>
  <sheetData>
    <row r="1" spans="1:28" s="162" customFormat="1" ht="19.5" x14ac:dyDescent="0.25">
      <c r="A1" s="68" t="s">
        <v>39</v>
      </c>
      <c r="B1" s="171"/>
      <c r="C1" s="2562" t="s">
        <v>149</v>
      </c>
      <c r="D1" s="2562"/>
    </row>
    <row r="2" spans="1:28" s="162" customFormat="1" ht="19.5" x14ac:dyDescent="0.25">
      <c r="V2" s="798"/>
      <c r="W2" s="798"/>
    </row>
    <row r="3" spans="1:28" s="162" customFormat="1" ht="19.5" x14ac:dyDescent="0.25">
      <c r="A3" s="2671" t="s">
        <v>41</v>
      </c>
      <c r="B3" s="2671"/>
      <c r="C3" s="2671" t="s">
        <v>1670</v>
      </c>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row>
    <row r="4" spans="1:28" s="162" customFormat="1" ht="19.5" x14ac:dyDescent="0.25">
      <c r="A4" s="2671" t="s">
        <v>42</v>
      </c>
      <c r="B4" s="2671"/>
      <c r="C4" s="2671" t="s">
        <v>1655</v>
      </c>
      <c r="D4" s="2671"/>
      <c r="E4" s="2671"/>
      <c r="F4" s="2671"/>
      <c r="G4" s="2671"/>
      <c r="H4" s="2671"/>
      <c r="I4" s="2671"/>
      <c r="J4" s="2671"/>
      <c r="K4" s="2671"/>
      <c r="L4" s="2671"/>
      <c r="M4" s="2671"/>
      <c r="N4" s="2671"/>
      <c r="O4" s="2671"/>
      <c r="P4" s="2671"/>
      <c r="Q4" s="2671"/>
      <c r="R4" s="2692"/>
      <c r="S4" s="2692"/>
      <c r="T4" s="2692"/>
      <c r="U4" s="2692"/>
      <c r="V4" s="2692"/>
      <c r="W4" s="2692"/>
      <c r="X4" s="2692"/>
      <c r="Y4" s="2692"/>
      <c r="Z4" s="2692"/>
      <c r="AA4" s="2692"/>
      <c r="AB4" s="2692"/>
    </row>
    <row r="5" spans="1:28" s="162" customFormat="1" ht="18" customHeight="1" x14ac:dyDescent="0.25">
      <c r="A5" s="2671" t="s">
        <v>43</v>
      </c>
      <c r="B5" s="2671"/>
      <c r="C5" s="2671" t="s">
        <v>1860</v>
      </c>
      <c r="D5" s="2671"/>
      <c r="E5" s="2671"/>
      <c r="F5" s="2671"/>
      <c r="G5" s="2671"/>
      <c r="H5" s="2671"/>
      <c r="I5" s="2671"/>
      <c r="J5" s="2671"/>
      <c r="K5" s="2671"/>
      <c r="L5" s="2671"/>
      <c r="M5" s="2671"/>
      <c r="N5" s="2671"/>
      <c r="O5" s="2671"/>
      <c r="P5" s="2671"/>
      <c r="Q5" s="2671"/>
      <c r="R5" s="2692"/>
      <c r="S5" s="2692"/>
      <c r="T5" s="2692"/>
      <c r="U5" s="2692"/>
      <c r="V5" s="2692"/>
      <c r="W5" s="2692"/>
      <c r="X5" s="2692"/>
      <c r="Y5" s="2692"/>
      <c r="Z5" s="2692"/>
      <c r="AA5" s="2692"/>
      <c r="AB5" s="2692"/>
    </row>
    <row r="6" spans="1:28" s="162" customFormat="1" ht="18" customHeight="1" x14ac:dyDescent="0.25">
      <c r="A6" s="2671" t="s">
        <v>132</v>
      </c>
      <c r="B6" s="2671"/>
      <c r="C6" s="2713" t="s">
        <v>1861</v>
      </c>
      <c r="D6" s="2713"/>
      <c r="E6" s="2713"/>
      <c r="F6" s="2713"/>
      <c r="G6" s="2713"/>
      <c r="H6" s="2713"/>
      <c r="I6" s="2713"/>
      <c r="J6" s="2713"/>
      <c r="K6" s="2713"/>
      <c r="L6" s="2713"/>
      <c r="M6" s="2713"/>
      <c r="N6" s="2713"/>
      <c r="O6" s="2713"/>
      <c r="P6" s="2713"/>
      <c r="Q6" s="2713"/>
      <c r="R6" s="2714"/>
      <c r="S6" s="2714"/>
      <c r="T6" s="2714"/>
      <c r="U6" s="2714"/>
      <c r="V6" s="2714"/>
      <c r="W6" s="2714"/>
      <c r="X6" s="2714"/>
      <c r="Y6" s="2714"/>
      <c r="Z6" s="2714"/>
      <c r="AA6" s="2714"/>
      <c r="AB6" s="2714"/>
    </row>
    <row r="7" spans="1:28" s="162" customFormat="1" ht="19.5" x14ac:dyDescent="0.25"/>
    <row r="8" spans="1:28" s="162" customFormat="1" ht="19.5" x14ac:dyDescent="0.25"/>
    <row r="9" spans="1:28" s="162" customFormat="1" ht="19.5" x14ac:dyDescent="0.25">
      <c r="A9" s="174"/>
      <c r="C9" s="2715" t="s">
        <v>1861</v>
      </c>
      <c r="D9" s="2715"/>
      <c r="E9" s="2715"/>
      <c r="F9" s="2715"/>
      <c r="G9" s="2715"/>
      <c r="H9" s="2715"/>
      <c r="I9" s="2715"/>
      <c r="J9" s="2715"/>
      <c r="K9" s="2715"/>
      <c r="L9" s="2715"/>
      <c r="M9" s="2715"/>
      <c r="N9" s="2715"/>
      <c r="O9" s="2715"/>
      <c r="P9" s="2715"/>
      <c r="Q9" s="2715"/>
      <c r="R9" s="2715"/>
      <c r="S9" s="2715"/>
      <c r="T9" s="2715"/>
      <c r="U9" s="2715"/>
      <c r="V9" s="2715"/>
      <c r="W9" s="2715"/>
      <c r="X9" s="2715"/>
      <c r="Y9" s="2715"/>
      <c r="Z9" s="2715"/>
      <c r="AA9" s="532"/>
    </row>
    <row r="10" spans="1:28" ht="15" customHeight="1" x14ac:dyDescent="0.25">
      <c r="A10" s="262"/>
      <c r="C10" s="2693" t="s">
        <v>1862</v>
      </c>
      <c r="D10" s="2695" t="s">
        <v>963</v>
      </c>
      <c r="E10" s="2695"/>
      <c r="F10" s="2695"/>
      <c r="G10" s="2695"/>
      <c r="H10" s="2695"/>
      <c r="I10" s="2695"/>
      <c r="J10" s="2695"/>
      <c r="K10" s="2695"/>
      <c r="L10" s="2695"/>
      <c r="M10" s="2695"/>
      <c r="N10" s="2695"/>
      <c r="O10" s="2695"/>
      <c r="P10" s="2695"/>
      <c r="Q10" s="2695"/>
      <c r="R10" s="2695"/>
      <c r="S10" s="2695"/>
      <c r="T10" s="2695"/>
      <c r="U10" s="2695"/>
      <c r="V10" s="2695"/>
      <c r="W10" s="2695"/>
      <c r="X10" s="2695"/>
      <c r="Y10" s="2695"/>
      <c r="Z10" s="2695"/>
      <c r="AA10" s="283"/>
    </row>
    <row r="11" spans="1:28" ht="18.75" x14ac:dyDescent="0.25">
      <c r="A11" s="35"/>
      <c r="C11" s="2702"/>
      <c r="D11" s="2695" t="s">
        <v>1863</v>
      </c>
      <c r="E11" s="2695"/>
      <c r="F11" s="2695"/>
      <c r="G11" s="2695"/>
      <c r="H11" s="2695"/>
      <c r="I11" s="2695"/>
      <c r="J11" s="2695"/>
      <c r="K11" s="2695"/>
      <c r="L11" s="2695"/>
      <c r="M11" s="2695"/>
      <c r="N11" s="2695"/>
      <c r="O11" s="815"/>
      <c r="P11" s="2695" t="s">
        <v>1864</v>
      </c>
      <c r="Q11" s="2695"/>
      <c r="R11" s="2695"/>
      <c r="S11" s="2695"/>
      <c r="T11" s="2695"/>
      <c r="U11" s="2695"/>
      <c r="V11" s="2695"/>
      <c r="W11" s="2695"/>
      <c r="X11" s="2695"/>
      <c r="Y11" s="2695"/>
      <c r="Z11" s="2695"/>
      <c r="AA11" s="283"/>
    </row>
    <row r="12" spans="1:28" ht="15" customHeight="1" x14ac:dyDescent="0.25">
      <c r="A12" s="35"/>
      <c r="C12" s="2702"/>
      <c r="D12" s="2716" t="s">
        <v>47</v>
      </c>
      <c r="E12" s="2716"/>
      <c r="F12" s="2716"/>
      <c r="G12" s="815"/>
      <c r="H12" s="2695" t="s">
        <v>49</v>
      </c>
      <c r="I12" s="2695"/>
      <c r="J12" s="2695"/>
      <c r="K12" s="2695"/>
      <c r="L12" s="2695"/>
      <c r="M12" s="2695"/>
      <c r="N12" s="2695"/>
      <c r="O12" s="815"/>
      <c r="P12" s="2716" t="s">
        <v>47</v>
      </c>
      <c r="Q12" s="2716"/>
      <c r="R12" s="2716"/>
      <c r="S12" s="815"/>
      <c r="T12" s="2695" t="s">
        <v>49</v>
      </c>
      <c r="U12" s="2695"/>
      <c r="V12" s="2695"/>
      <c r="W12" s="2695"/>
      <c r="X12" s="2695"/>
      <c r="Y12" s="2695"/>
      <c r="Z12" s="2695"/>
      <c r="AA12" s="283"/>
    </row>
    <row r="13" spans="1:28" ht="18.75" x14ac:dyDescent="0.25">
      <c r="A13" s="35"/>
      <c r="C13" s="2702"/>
      <c r="D13" s="2696"/>
      <c r="E13" s="2696"/>
      <c r="F13" s="2696"/>
      <c r="G13" s="815"/>
      <c r="H13" s="2695" t="s">
        <v>1433</v>
      </c>
      <c r="I13" s="2695"/>
      <c r="J13" s="2695"/>
      <c r="K13" s="815"/>
      <c r="L13" s="2695" t="s">
        <v>56</v>
      </c>
      <c r="M13" s="2695"/>
      <c r="N13" s="2695"/>
      <c r="O13" s="815"/>
      <c r="P13" s="2696"/>
      <c r="Q13" s="2696"/>
      <c r="R13" s="2696"/>
      <c r="S13" s="815"/>
      <c r="T13" s="2695" t="s">
        <v>1433</v>
      </c>
      <c r="U13" s="2695"/>
      <c r="V13" s="2695"/>
      <c r="W13" s="815"/>
      <c r="X13" s="2695" t="s">
        <v>56</v>
      </c>
      <c r="Y13" s="2695"/>
      <c r="Z13" s="2695"/>
      <c r="AA13" s="283"/>
    </row>
    <row r="14" spans="1:28" ht="15.75" customHeight="1" x14ac:dyDescent="0.25">
      <c r="A14" s="262"/>
      <c r="C14" s="2694"/>
      <c r="D14" s="816" t="s">
        <v>47</v>
      </c>
      <c r="E14" s="816" t="s">
        <v>894</v>
      </c>
      <c r="F14" s="816" t="s">
        <v>895</v>
      </c>
      <c r="G14" s="816"/>
      <c r="H14" s="817" t="s">
        <v>47</v>
      </c>
      <c r="I14" s="817" t="s">
        <v>894</v>
      </c>
      <c r="J14" s="817" t="s">
        <v>895</v>
      </c>
      <c r="K14" s="817"/>
      <c r="L14" s="817" t="s">
        <v>47</v>
      </c>
      <c r="M14" s="817" t="s">
        <v>894</v>
      </c>
      <c r="N14" s="817" t="s">
        <v>895</v>
      </c>
      <c r="O14" s="817"/>
      <c r="P14" s="816" t="s">
        <v>47</v>
      </c>
      <c r="Q14" s="816" t="s">
        <v>894</v>
      </c>
      <c r="R14" s="816" t="s">
        <v>895</v>
      </c>
      <c r="S14" s="816"/>
      <c r="T14" s="817" t="s">
        <v>47</v>
      </c>
      <c r="U14" s="817" t="s">
        <v>894</v>
      </c>
      <c r="V14" s="817" t="s">
        <v>895</v>
      </c>
      <c r="W14" s="817"/>
      <c r="X14" s="817" t="s">
        <v>47</v>
      </c>
      <c r="Y14" s="817" t="s">
        <v>894</v>
      </c>
      <c r="Z14" s="817" t="s">
        <v>895</v>
      </c>
      <c r="AA14" s="226"/>
    </row>
    <row r="15" spans="1:28" ht="18.75" x14ac:dyDescent="0.25">
      <c r="A15" s="35"/>
      <c r="C15" s="6">
        <v>2000</v>
      </c>
      <c r="D15" s="818">
        <v>97.614695879508588</v>
      </c>
      <c r="E15" s="818">
        <v>97.197493517718243</v>
      </c>
      <c r="F15" s="818">
        <v>98.038408892034312</v>
      </c>
      <c r="G15" s="818"/>
      <c r="H15" s="819">
        <v>98.758971291866033</v>
      </c>
      <c r="I15" s="819">
        <v>98.524136237775011</v>
      </c>
      <c r="J15" s="819">
        <v>98.992184007694078</v>
      </c>
      <c r="K15" s="819"/>
      <c r="L15" s="819">
        <v>95.893081739569098</v>
      </c>
      <c r="M15" s="819">
        <v>95.256185920253358</v>
      </c>
      <c r="N15" s="819">
        <v>96.562111236913097</v>
      </c>
      <c r="O15" s="819"/>
      <c r="P15" s="819">
        <v>94.868187055308681</v>
      </c>
      <c r="Q15" s="819">
        <v>94.650180370926023</v>
      </c>
      <c r="R15" s="819">
        <v>95.0807910400585</v>
      </c>
      <c r="S15" s="819"/>
      <c r="T15" s="819">
        <v>97.09027105075576</v>
      </c>
      <c r="U15" s="819">
        <v>97.204064513065632</v>
      </c>
      <c r="V15" s="819">
        <v>96.986137681727939</v>
      </c>
      <c r="W15" s="819"/>
      <c r="X15" s="819">
        <v>91.365905264255815</v>
      </c>
      <c r="Y15" s="819">
        <v>90.942565271089236</v>
      </c>
      <c r="Z15" s="819">
        <v>91.822272680359177</v>
      </c>
      <c r="AA15" s="566"/>
      <c r="AB15" s="35"/>
    </row>
    <row r="16" spans="1:28" ht="18.75" x14ac:dyDescent="0.25">
      <c r="A16" s="35"/>
      <c r="C16" s="233">
        <v>2011</v>
      </c>
      <c r="D16" s="820">
        <v>99.133703423992472</v>
      </c>
      <c r="E16" s="820">
        <v>99.007684828263592</v>
      </c>
      <c r="F16" s="820">
        <v>99.258116859385737</v>
      </c>
      <c r="G16" s="820"/>
      <c r="H16" s="821">
        <v>99.380187780650431</v>
      </c>
      <c r="I16" s="821">
        <v>99.258010118043842</v>
      </c>
      <c r="J16" s="821">
        <v>99.499579619976458</v>
      </c>
      <c r="K16" s="821"/>
      <c r="L16" s="821">
        <v>98.49738293462606</v>
      </c>
      <c r="M16" s="821">
        <v>98.373224939813682</v>
      </c>
      <c r="N16" s="821">
        <v>98.62324479185088</v>
      </c>
      <c r="O16" s="821"/>
      <c r="P16" s="820">
        <v>97.406584408460176</v>
      </c>
      <c r="Q16" s="820">
        <v>97.306333129723143</v>
      </c>
      <c r="R16" s="820">
        <v>97.50041456217744</v>
      </c>
      <c r="S16" s="820"/>
      <c r="T16" s="821">
        <v>98.259517421341286</v>
      </c>
      <c r="U16" s="821">
        <v>98.260634208614576</v>
      </c>
      <c r="V16" s="821">
        <v>98.258510023229945</v>
      </c>
      <c r="W16" s="821"/>
      <c r="X16" s="821">
        <v>94.984379990714672</v>
      </c>
      <c r="Y16" s="821">
        <v>94.784251865762926</v>
      </c>
      <c r="Z16" s="821">
        <v>95.192344942470854</v>
      </c>
      <c r="AA16" s="566"/>
      <c r="AB16" s="35"/>
    </row>
    <row r="17" spans="1:27" ht="18.75" x14ac:dyDescent="0.4">
      <c r="A17" s="262"/>
      <c r="C17" s="5" t="s">
        <v>1865</v>
      </c>
      <c r="D17" s="36"/>
      <c r="E17" s="36"/>
      <c r="F17" s="36"/>
      <c r="G17" s="36"/>
      <c r="H17" s="36"/>
      <c r="I17" s="36"/>
      <c r="J17" s="36"/>
      <c r="K17" s="36"/>
      <c r="L17" s="36"/>
      <c r="M17" s="36"/>
      <c r="N17" s="36"/>
      <c r="O17" s="36"/>
      <c r="P17" s="36"/>
      <c r="Q17" s="36"/>
      <c r="R17" s="36"/>
      <c r="S17" s="36"/>
      <c r="T17" s="36"/>
      <c r="U17" s="36"/>
      <c r="V17" s="36"/>
      <c r="W17" s="36"/>
      <c r="X17" s="36"/>
      <c r="Y17" s="36"/>
      <c r="Z17" s="36"/>
      <c r="AA17" s="36"/>
    </row>
    <row r="18" spans="1:27" x14ac:dyDescent="0.25">
      <c r="A18" s="35"/>
    </row>
    <row r="19" spans="1:27" x14ac:dyDescent="0.25">
      <c r="A19" s="35"/>
    </row>
    <row r="20" spans="1:27" ht="19.5" x14ac:dyDescent="0.25">
      <c r="A20" s="35"/>
      <c r="C20" s="105" t="s">
        <v>1866</v>
      </c>
    </row>
    <row r="21" spans="1:27" x14ac:dyDescent="0.25">
      <c r="A21" s="35"/>
    </row>
    <row r="22" spans="1:27" x14ac:dyDescent="0.25">
      <c r="A22" s="35"/>
    </row>
    <row r="23" spans="1:27" x14ac:dyDescent="0.25">
      <c r="A23" s="35"/>
    </row>
    <row r="24" spans="1:27" x14ac:dyDescent="0.25">
      <c r="A24" s="35"/>
    </row>
    <row r="25" spans="1:27" x14ac:dyDescent="0.25">
      <c r="A25" s="35"/>
    </row>
    <row r="26" spans="1:27" x14ac:dyDescent="0.25">
      <c r="A26" s="35"/>
    </row>
    <row r="27" spans="1:27" x14ac:dyDescent="0.25">
      <c r="A27" s="35"/>
    </row>
    <row r="28" spans="1:27" x14ac:dyDescent="0.25">
      <c r="A28" s="35"/>
    </row>
    <row r="29" spans="1:27" x14ac:dyDescent="0.25">
      <c r="A29" s="35"/>
    </row>
    <row r="30" spans="1:27" x14ac:dyDescent="0.25">
      <c r="A30" s="35"/>
    </row>
    <row r="31" spans="1:27" x14ac:dyDescent="0.25">
      <c r="A31" s="35"/>
    </row>
    <row r="32" spans="1:27" x14ac:dyDescent="0.25">
      <c r="A32" s="35"/>
    </row>
    <row r="33" spans="1:3" x14ac:dyDescent="0.25">
      <c r="A33" s="35"/>
    </row>
    <row r="34" spans="1:3" x14ac:dyDescent="0.25">
      <c r="A34" s="35"/>
    </row>
    <row r="42" spans="1:3" ht="18.75" x14ac:dyDescent="0.4">
      <c r="C42" s="5" t="s">
        <v>1865</v>
      </c>
    </row>
  </sheetData>
  <mergeCells count="22">
    <mergeCell ref="A5:B5"/>
    <mergeCell ref="C5:AB5"/>
    <mergeCell ref="C1:D1"/>
    <mergeCell ref="A3:B3"/>
    <mergeCell ref="C3:AB3"/>
    <mergeCell ref="A4:B4"/>
    <mergeCell ref="C4:AB4"/>
    <mergeCell ref="A6:B6"/>
    <mergeCell ref="C6:AB6"/>
    <mergeCell ref="C9:Z9"/>
    <mergeCell ref="C10:C14"/>
    <mergeCell ref="D10:Z10"/>
    <mergeCell ref="D11:N11"/>
    <mergeCell ref="P11:Z11"/>
    <mergeCell ref="D12:F13"/>
    <mergeCell ref="H12:N12"/>
    <mergeCell ref="P12:R13"/>
    <mergeCell ref="T12:Z12"/>
    <mergeCell ref="H13:J13"/>
    <mergeCell ref="L13:N13"/>
    <mergeCell ref="T13:V13"/>
    <mergeCell ref="X13:Z13"/>
  </mergeCells>
  <hyperlinks>
    <hyperlink ref="A1" location="'ODS 4.'!A1" display="REGRESAR" xr:uid="{2D13D5B4-EF8B-4F27-AC4F-6403964EAFB7}"/>
    <hyperlink ref="C1" location="'Metadato 4.6.1'!A1" display="VER METADATO" xr:uid="{3A3BFFDA-7AF4-4829-9373-90D6BF138EB0}"/>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4E2-FC40-4165-89AB-17BE1C84E3BF}">
  <sheetPr>
    <tabColor theme="0" tint="-0.499984740745262"/>
  </sheetPr>
  <dimension ref="A1:T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36"/>
    <col min="2" max="2" width="26.42578125" style="36" customWidth="1"/>
    <col min="3" max="3" width="24" style="36" customWidth="1"/>
    <col min="4" max="4" width="68.42578125" style="36" customWidth="1"/>
    <col min="5" max="5" width="2.7109375" style="36" customWidth="1"/>
    <col min="6" max="6" width="7.28515625" style="36" customWidth="1"/>
    <col min="7" max="7" width="8" style="36" customWidth="1"/>
    <col min="8" max="8" width="7.28515625" style="36" customWidth="1"/>
    <col min="9" max="9" width="2" style="36" customWidth="1"/>
    <col min="10" max="10" width="5.28515625" style="36" customWidth="1"/>
    <col min="11" max="11" width="8.28515625" style="36" customWidth="1"/>
    <col min="12" max="12" width="7.28515625" style="36" customWidth="1"/>
    <col min="13" max="13" width="3.28515625" style="36" customWidth="1"/>
    <col min="14" max="14" width="6" style="36" customWidth="1"/>
    <col min="15" max="16" width="7.7109375" style="36" customWidth="1"/>
    <col min="17" max="17" width="1.7109375" style="36" customWidth="1"/>
    <col min="18" max="18" width="6.28515625" style="36" customWidth="1"/>
    <col min="19" max="19" width="7.5703125" style="36" customWidth="1"/>
    <col min="20" max="20" width="2.7109375" style="36" customWidth="1"/>
    <col min="21" max="21" width="6.5703125" style="36" customWidth="1"/>
    <col min="22" max="22" width="7.7109375" style="36" customWidth="1"/>
    <col min="23" max="23" width="7" style="36" customWidth="1"/>
    <col min="24" max="29" width="8.5703125" style="36" customWidth="1"/>
    <col min="30" max="16384" width="11.42578125" style="36"/>
  </cols>
  <sheetData>
    <row r="1" spans="1:20" x14ac:dyDescent="0.25">
      <c r="B1" s="158" t="s">
        <v>39</v>
      </c>
    </row>
    <row r="2" spans="1:20" ht="19.5" thickBot="1" x14ac:dyDescent="0.3">
      <c r="T2" s="92"/>
    </row>
    <row r="3" spans="1:20" ht="23.25" customHeight="1" thickBot="1" x14ac:dyDescent="0.3">
      <c r="B3" s="2678" t="s">
        <v>75</v>
      </c>
      <c r="C3" s="2678"/>
      <c r="D3" s="2678"/>
      <c r="F3" s="91" t="s">
        <v>265</v>
      </c>
    </row>
    <row r="4" spans="1:20" ht="37.5" x14ac:dyDescent="0.25">
      <c r="A4" s="92"/>
      <c r="B4" s="2606" t="s">
        <v>234</v>
      </c>
      <c r="C4" s="2606"/>
      <c r="D4" s="359" t="s">
        <v>1688</v>
      </c>
    </row>
    <row r="5" spans="1:20" ht="56.25" x14ac:dyDescent="0.25">
      <c r="B5" s="2445" t="s">
        <v>79</v>
      </c>
      <c r="C5" s="2445"/>
      <c r="D5" s="49" t="s">
        <v>1655</v>
      </c>
    </row>
    <row r="6" spans="1:20" x14ac:dyDescent="0.25">
      <c r="B6" s="2445" t="s">
        <v>80</v>
      </c>
      <c r="C6" s="2445"/>
      <c r="D6" s="50" t="s">
        <v>1656</v>
      </c>
    </row>
    <row r="7" spans="1:20" ht="64.5" customHeight="1" x14ac:dyDescent="0.25">
      <c r="B7" s="2446" t="s">
        <v>81</v>
      </c>
      <c r="C7" s="2446"/>
      <c r="D7" s="93" t="s">
        <v>1657</v>
      </c>
    </row>
    <row r="8" spans="1:20" x14ac:dyDescent="0.25">
      <c r="B8" s="2446" t="s">
        <v>82</v>
      </c>
      <c r="C8" s="2446"/>
      <c r="D8" s="94" t="s">
        <v>1867</v>
      </c>
    </row>
    <row r="9" spans="1:20" x14ac:dyDescent="0.4">
      <c r="B9" s="5"/>
      <c r="C9" s="5"/>
      <c r="D9" s="5"/>
    </row>
    <row r="10" spans="1:20" ht="23.25" customHeight="1" x14ac:dyDescent="0.25">
      <c r="B10" s="2678" t="s">
        <v>85</v>
      </c>
      <c r="C10" s="2678"/>
      <c r="D10" s="2678"/>
    </row>
    <row r="11" spans="1:20" x14ac:dyDescent="0.25">
      <c r="B11" s="2633" t="s">
        <v>86</v>
      </c>
      <c r="C11" s="2634"/>
      <c r="D11" s="359" t="s">
        <v>167</v>
      </c>
    </row>
    <row r="12" spans="1:20" ht="33.75" customHeight="1" x14ac:dyDescent="0.25">
      <c r="B12" s="2455" t="s">
        <v>88</v>
      </c>
      <c r="C12" s="2455"/>
      <c r="D12" s="214" t="s">
        <v>1868</v>
      </c>
    </row>
    <row r="13" spans="1:20" x14ac:dyDescent="0.25">
      <c r="B13" s="2445" t="s">
        <v>90</v>
      </c>
      <c r="C13" s="2445"/>
      <c r="D13" s="54" t="s">
        <v>1656</v>
      </c>
    </row>
    <row r="14" spans="1:20" x14ac:dyDescent="0.25">
      <c r="B14" s="2445" t="s">
        <v>91</v>
      </c>
      <c r="C14" s="2456"/>
      <c r="D14" s="54" t="s">
        <v>214</v>
      </c>
    </row>
    <row r="15" spans="1:20" ht="56.25" x14ac:dyDescent="0.25">
      <c r="B15" s="2445" t="s">
        <v>93</v>
      </c>
      <c r="C15" s="2445"/>
      <c r="D15" s="204" t="s">
        <v>1869</v>
      </c>
    </row>
    <row r="16" spans="1:20" ht="95.25" customHeight="1" x14ac:dyDescent="0.25">
      <c r="B16" s="2445" t="s">
        <v>95</v>
      </c>
      <c r="C16" s="2445"/>
      <c r="D16" s="204"/>
    </row>
    <row r="17" spans="2:4" x14ac:dyDescent="0.25">
      <c r="B17" s="2445" t="s">
        <v>97</v>
      </c>
      <c r="C17" s="2445"/>
      <c r="D17" s="204" t="s">
        <v>98</v>
      </c>
    </row>
    <row r="18" spans="2:4" x14ac:dyDescent="0.25">
      <c r="B18" s="2446" t="s">
        <v>99</v>
      </c>
      <c r="C18" s="2446"/>
      <c r="D18" s="49"/>
    </row>
    <row r="19" spans="2:4" ht="56.25" x14ac:dyDescent="0.25">
      <c r="B19" s="2457" t="s">
        <v>100</v>
      </c>
      <c r="C19" s="2458"/>
      <c r="D19" s="204" t="s">
        <v>1870</v>
      </c>
    </row>
    <row r="20" spans="2:4" x14ac:dyDescent="0.25">
      <c r="B20" s="2445" t="s">
        <v>102</v>
      </c>
      <c r="C20" s="2445"/>
      <c r="D20" s="204" t="s">
        <v>140</v>
      </c>
    </row>
    <row r="21" spans="2:4" x14ac:dyDescent="0.25">
      <c r="B21" s="2451" t="s">
        <v>104</v>
      </c>
      <c r="C21" s="95" t="s">
        <v>105</v>
      </c>
      <c r="D21" s="49" t="s">
        <v>1871</v>
      </c>
    </row>
    <row r="22" spans="2:4" x14ac:dyDescent="0.25">
      <c r="B22" s="2452"/>
      <c r="C22" s="96" t="s">
        <v>107</v>
      </c>
      <c r="D22" s="55" t="s">
        <v>1507</v>
      </c>
    </row>
    <row r="23" spans="2:4" x14ac:dyDescent="0.25">
      <c r="B23" s="2444" t="s">
        <v>109</v>
      </c>
      <c r="C23" s="2444"/>
      <c r="D23" s="204" t="s">
        <v>143</v>
      </c>
    </row>
    <row r="24" spans="2:4" x14ac:dyDescent="0.25">
      <c r="B24" s="2444" t="s">
        <v>111</v>
      </c>
      <c r="C24" s="2444"/>
      <c r="D24" s="699" t="s">
        <v>127</v>
      </c>
    </row>
    <row r="25" spans="2:4" x14ac:dyDescent="0.25">
      <c r="B25" s="2445" t="s">
        <v>113</v>
      </c>
      <c r="C25" s="2445"/>
      <c r="D25" s="56" t="s">
        <v>1773</v>
      </c>
    </row>
    <row r="26" spans="2:4" ht="15" customHeight="1" x14ac:dyDescent="0.25">
      <c r="B26" s="2446" t="s">
        <v>115</v>
      </c>
      <c r="C26" s="2446"/>
      <c r="D26" s="699" t="s">
        <v>1872</v>
      </c>
    </row>
    <row r="27" spans="2:4" x14ac:dyDescent="0.25">
      <c r="B27" s="2447" t="s">
        <v>117</v>
      </c>
      <c r="C27" s="2448"/>
      <c r="D27" s="49"/>
    </row>
    <row r="28" spans="2:4" ht="75" x14ac:dyDescent="0.25">
      <c r="B28" s="97" t="s">
        <v>118</v>
      </c>
      <c r="C28" s="98"/>
      <c r="D28" s="204" t="s">
        <v>1873</v>
      </c>
    </row>
    <row r="29" spans="2:4" x14ac:dyDescent="0.25">
      <c r="B29" s="2449" t="s">
        <v>120</v>
      </c>
      <c r="C29" s="2450"/>
      <c r="D29" s="62"/>
    </row>
    <row r="30" spans="2:4" x14ac:dyDescent="0.25">
      <c r="B30" s="628"/>
      <c r="C30" s="628"/>
      <c r="D30" s="629"/>
    </row>
    <row r="31" spans="2:4" ht="23.25" customHeight="1" x14ac:dyDescent="0.25">
      <c r="B31" s="2678" t="s">
        <v>121</v>
      </c>
      <c r="C31" s="2678"/>
      <c r="D31" s="2678"/>
    </row>
    <row r="32" spans="2:4" x14ac:dyDescent="0.25">
      <c r="B32" s="2631" t="s">
        <v>122</v>
      </c>
      <c r="C32" s="2632"/>
      <c r="D32" s="741" t="s">
        <v>1874</v>
      </c>
    </row>
    <row r="33" spans="2:4" x14ac:dyDescent="0.25">
      <c r="B33" s="2442" t="s">
        <v>124</v>
      </c>
      <c r="C33" s="2443"/>
      <c r="D33" s="699" t="s">
        <v>1875</v>
      </c>
    </row>
    <row r="34" spans="2:4" x14ac:dyDescent="0.25">
      <c r="B34" s="2442" t="s">
        <v>126</v>
      </c>
      <c r="C34" s="2443"/>
      <c r="D34" s="699" t="s">
        <v>127</v>
      </c>
    </row>
    <row r="35" spans="2:4" x14ac:dyDescent="0.25">
      <c r="B35" s="2442" t="s">
        <v>128</v>
      </c>
      <c r="C35" s="2443"/>
      <c r="D35" s="699" t="s">
        <v>1876</v>
      </c>
    </row>
    <row r="36" spans="2:4" x14ac:dyDescent="0.25">
      <c r="B36" s="2442" t="s">
        <v>130</v>
      </c>
      <c r="C36" s="2443"/>
      <c r="D36" s="742" t="s">
        <v>1877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94D039B-832A-4342-8D50-D3F8F855AC3A}">
      <formula1>Tipo_operación</formula1>
    </dataValidation>
    <dataValidation type="list" allowBlank="1" showInputMessage="1" showErrorMessage="1" sqref="D14" xr:uid="{8C2C1B4C-A310-48C4-8350-3868AFAC14BD}">
      <formula1>Tipo_indicador</formula1>
    </dataValidation>
    <dataValidation type="list" allowBlank="1" showInputMessage="1" showErrorMessage="1" sqref="D7" xr:uid="{8B1313CF-A2A4-4E16-88D1-88E60D12E938}">
      <formula1>Nombre_indicador_ODS</formula1>
    </dataValidation>
    <dataValidation type="list" allowBlank="1" showInputMessage="1" showErrorMessage="1" sqref="D6" xr:uid="{3D6DFF68-2B6B-4DC2-82F6-BE62E727CE03}">
      <formula1>Numero_indicador</formula1>
    </dataValidation>
    <dataValidation type="list" allowBlank="1" showInputMessage="1" showErrorMessage="1" sqref="D5" xr:uid="{79239EB6-0F17-48D6-BBB7-618642D351BB}">
      <formula1>Metas_ODS</formula1>
    </dataValidation>
    <dataValidation type="list" allowBlank="1" showInputMessage="1" showErrorMessage="1" sqref="D4" xr:uid="{CE6AAA73-CBCE-4D97-99DD-39B4D1C22056}">
      <formula1>ODS</formula1>
    </dataValidation>
    <dataValidation allowBlank="1" showDropDown="1" showInputMessage="1" showErrorMessage="1" sqref="D13" xr:uid="{E3049947-48A2-4A77-9482-7872A5FB9620}"/>
  </dataValidations>
  <hyperlinks>
    <hyperlink ref="B1" location="'4.6.1'!A1" display="REGRESAR" xr:uid="{CFBF2B6A-DDE0-41D5-9AE9-BE7CD39AD5EF}"/>
    <hyperlink ref="D36" r:id="rId1" xr:uid="{933D84B9-6912-44F9-A7A9-6A5F15190986}"/>
    <hyperlink ref="D8" r:id="rId2" xr:uid="{1AD15F1D-ABBC-43F6-9B36-2550DB4ADCA7}"/>
  </hyperlinks>
  <pageMargins left="0.7" right="0.7" top="0.75" bottom="0.75" header="0.3" footer="0.3"/>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0BA3-11C0-43AE-9104-2FD8A3495F62}">
  <dimension ref="A1:N22"/>
  <sheetViews>
    <sheetView showGridLines="0" workbookViewId="0">
      <pane ySplit="1" topLeftCell="A2" activePane="bottomLeft" state="frozen"/>
      <selection activeCell="C1" sqref="C1"/>
      <selection pane="bottomLeft"/>
    </sheetView>
  </sheetViews>
  <sheetFormatPr baseColWidth="10" defaultColWidth="11.42578125" defaultRowHeight="12.75" x14ac:dyDescent="0.25"/>
  <cols>
    <col min="1" max="2" width="15.5703125" style="22" customWidth="1"/>
    <col min="3" max="3" width="32.7109375" style="22" customWidth="1"/>
    <col min="4" max="16384" width="11.42578125" style="22"/>
  </cols>
  <sheetData>
    <row r="1" spans="1:14" s="16" customFormat="1" ht="19.5" x14ac:dyDescent="0.4">
      <c r="A1" s="822" t="s">
        <v>39</v>
      </c>
      <c r="C1" s="68" t="s">
        <v>149</v>
      </c>
      <c r="D1" s="130"/>
    </row>
    <row r="2" spans="1:14" s="16" customFormat="1" ht="19.5" x14ac:dyDescent="0.4"/>
    <row r="3" spans="1:14" s="16" customFormat="1" ht="19.5" x14ac:dyDescent="0.4">
      <c r="A3" s="2671" t="s">
        <v>41</v>
      </c>
      <c r="B3" s="2671"/>
      <c r="C3" s="2671" t="s">
        <v>1670</v>
      </c>
      <c r="D3" s="2671"/>
      <c r="E3" s="2671"/>
      <c r="F3" s="2671"/>
      <c r="G3" s="2671"/>
      <c r="H3" s="2671"/>
      <c r="I3" s="2671"/>
      <c r="J3" s="2671"/>
      <c r="K3" s="2671"/>
      <c r="L3" s="2671"/>
      <c r="M3" s="2671"/>
      <c r="N3" s="2671"/>
    </row>
    <row r="4" spans="1:14" s="16" customFormat="1" ht="41.25" customHeight="1" x14ac:dyDescent="0.4">
      <c r="A4" s="2671" t="s">
        <v>42</v>
      </c>
      <c r="B4" s="2671"/>
      <c r="C4" s="2672" t="s">
        <v>1658</v>
      </c>
      <c r="D4" s="2672"/>
      <c r="E4" s="2672"/>
      <c r="F4" s="2672"/>
      <c r="G4" s="2672"/>
      <c r="H4" s="2672"/>
      <c r="I4" s="2672"/>
      <c r="J4" s="2672"/>
      <c r="K4" s="2672"/>
      <c r="L4" s="2672"/>
      <c r="M4" s="2672"/>
      <c r="N4" s="2672"/>
    </row>
    <row r="5" spans="1:14" s="16" customFormat="1" ht="36" customHeight="1" x14ac:dyDescent="0.4">
      <c r="A5" s="2671" t="s">
        <v>43</v>
      </c>
      <c r="B5" s="2671"/>
      <c r="C5" s="2672" t="s">
        <v>1878</v>
      </c>
      <c r="D5" s="2672"/>
      <c r="E5" s="2672"/>
      <c r="F5" s="2672"/>
      <c r="G5" s="2672"/>
      <c r="H5" s="2672"/>
      <c r="I5" s="2672"/>
      <c r="J5" s="2672"/>
      <c r="K5" s="2672"/>
      <c r="L5" s="2672"/>
      <c r="M5" s="2672"/>
      <c r="N5" s="2672"/>
    </row>
    <row r="6" spans="1:14" s="16" customFormat="1" ht="19.5" x14ac:dyDescent="0.4">
      <c r="A6" s="2671" t="s">
        <v>132</v>
      </c>
      <c r="B6" s="2671"/>
      <c r="C6" s="2672" t="s">
        <v>1879</v>
      </c>
      <c r="D6" s="2672"/>
      <c r="E6" s="2672"/>
      <c r="F6" s="2672"/>
      <c r="G6" s="2672"/>
      <c r="H6" s="2672"/>
      <c r="I6" s="2672"/>
      <c r="J6" s="2672"/>
      <c r="K6" s="2672"/>
      <c r="L6" s="2672"/>
      <c r="M6" s="2672"/>
      <c r="N6" s="2672"/>
    </row>
    <row r="7" spans="1:14" s="16" customFormat="1" ht="19.5" x14ac:dyDescent="0.4"/>
    <row r="8" spans="1:14" s="16" customFormat="1" ht="19.5" x14ac:dyDescent="0.4"/>
    <row r="9" spans="1:14" s="16" customFormat="1" ht="19.5" x14ac:dyDescent="0.4">
      <c r="A9" s="217"/>
    </row>
    <row r="10" spans="1:14" s="16" customFormat="1" ht="39" customHeight="1" x14ac:dyDescent="0.4">
      <c r="C10" s="2711" t="s">
        <v>1880</v>
      </c>
      <c r="D10" s="2711"/>
      <c r="E10" s="2711"/>
      <c r="F10" s="2711"/>
      <c r="G10" s="2711"/>
      <c r="H10" s="2711"/>
    </row>
    <row r="11" spans="1:14" s="16" customFormat="1" ht="19.5" x14ac:dyDescent="0.4">
      <c r="C11" s="533"/>
      <c r="D11" s="533"/>
      <c r="E11" s="533"/>
      <c r="F11" s="533"/>
      <c r="G11" s="533"/>
      <c r="H11" s="533"/>
    </row>
    <row r="12" spans="1:14" ht="56.25" x14ac:dyDescent="0.4">
      <c r="A12" s="23"/>
      <c r="C12" s="801"/>
      <c r="D12" s="823" t="s">
        <v>1881</v>
      </c>
      <c r="E12" s="823" t="s">
        <v>1882</v>
      </c>
      <c r="F12" s="823" t="s">
        <v>1883</v>
      </c>
      <c r="G12" s="823" t="s">
        <v>1884</v>
      </c>
      <c r="H12" s="823" t="s">
        <v>1885</v>
      </c>
    </row>
    <row r="13" spans="1:14" ht="18.75" x14ac:dyDescent="0.4">
      <c r="A13" s="23"/>
      <c r="C13" s="115" t="s">
        <v>1886</v>
      </c>
      <c r="D13" s="536">
        <v>1</v>
      </c>
      <c r="E13" s="536">
        <v>1</v>
      </c>
      <c r="F13" s="536">
        <v>1</v>
      </c>
      <c r="G13" s="536">
        <v>1</v>
      </c>
      <c r="H13" s="536">
        <v>1</v>
      </c>
    </row>
    <row r="14" spans="1:14" ht="18.75" x14ac:dyDescent="0.4">
      <c r="A14" s="23"/>
      <c r="C14" s="115" t="s">
        <v>1887</v>
      </c>
      <c r="D14" s="536">
        <v>1</v>
      </c>
      <c r="E14" s="536">
        <v>1</v>
      </c>
      <c r="F14" s="536">
        <v>1</v>
      </c>
      <c r="G14" s="536">
        <v>1</v>
      </c>
      <c r="H14" s="536">
        <v>1</v>
      </c>
    </row>
    <row r="15" spans="1:14" ht="18.75" x14ac:dyDescent="0.4">
      <c r="A15" s="23"/>
      <c r="C15" s="115" t="s">
        <v>1888</v>
      </c>
      <c r="D15" s="536">
        <v>1</v>
      </c>
      <c r="E15" s="536">
        <v>1</v>
      </c>
      <c r="F15" s="536">
        <v>1</v>
      </c>
      <c r="G15" s="536">
        <v>1</v>
      </c>
      <c r="H15" s="536">
        <v>1</v>
      </c>
    </row>
    <row r="16" spans="1:14" ht="18.75" x14ac:dyDescent="0.4">
      <c r="A16" s="23"/>
      <c r="C16" s="115" t="s">
        <v>1889</v>
      </c>
      <c r="D16" s="536">
        <v>1</v>
      </c>
      <c r="E16" s="536">
        <v>1</v>
      </c>
      <c r="F16" s="536">
        <v>1</v>
      </c>
      <c r="G16" s="536">
        <v>1</v>
      </c>
      <c r="H16" s="536">
        <v>1</v>
      </c>
    </row>
    <row r="17" spans="1:8" ht="18.75" x14ac:dyDescent="0.4">
      <c r="A17" s="23"/>
      <c r="C17" s="120" t="s">
        <v>1885</v>
      </c>
      <c r="D17" s="824">
        <v>1</v>
      </c>
      <c r="E17" s="824">
        <v>1</v>
      </c>
      <c r="F17" s="824">
        <v>1</v>
      </c>
      <c r="G17" s="824">
        <v>1</v>
      </c>
      <c r="H17" s="824">
        <v>1</v>
      </c>
    </row>
    <row r="18" spans="1:8" ht="13.15" customHeight="1" x14ac:dyDescent="0.25">
      <c r="A18" s="21"/>
      <c r="C18" s="155" t="s">
        <v>1890</v>
      </c>
      <c r="D18" s="155"/>
      <c r="E18" s="155"/>
      <c r="F18" s="155"/>
      <c r="G18" s="155"/>
      <c r="H18" s="155"/>
    </row>
    <row r="19" spans="1:8" ht="13.15" customHeight="1" x14ac:dyDescent="0.25">
      <c r="A19" s="23"/>
      <c r="C19" s="155"/>
      <c r="D19" s="155"/>
      <c r="E19" s="155"/>
      <c r="F19" s="155"/>
      <c r="G19" s="155"/>
      <c r="H19" s="155"/>
    </row>
    <row r="20" spans="1:8" ht="18.75" x14ac:dyDescent="0.4">
      <c r="A20" s="23"/>
      <c r="C20" s="115" t="s">
        <v>1891</v>
      </c>
      <c r="D20" s="5"/>
      <c r="E20" s="5"/>
      <c r="F20" s="5"/>
      <c r="G20" s="5"/>
      <c r="H20" s="5"/>
    </row>
    <row r="21" spans="1:8" x14ac:dyDescent="0.25">
      <c r="A21" s="23"/>
    </row>
    <row r="22" spans="1:8" x14ac:dyDescent="0.25">
      <c r="A22" s="23"/>
    </row>
  </sheetData>
  <mergeCells count="9">
    <mergeCell ref="A6:B6"/>
    <mergeCell ref="C6:N6"/>
    <mergeCell ref="C10:H10"/>
    <mergeCell ref="A3:B3"/>
    <mergeCell ref="C3:N3"/>
    <mergeCell ref="A4:B4"/>
    <mergeCell ref="C4:N4"/>
    <mergeCell ref="A5:B5"/>
    <mergeCell ref="C5:N5"/>
  </mergeCells>
  <conditionalFormatting sqref="D13:G17">
    <cfRule type="iconSet" priority="2">
      <iconSet iconSet="3Symbols2">
        <cfvo type="percent" val="0"/>
        <cfvo type="percent" val="33"/>
        <cfvo type="percent" val="67"/>
      </iconSet>
    </cfRule>
  </conditionalFormatting>
  <conditionalFormatting sqref="H13:H17">
    <cfRule type="iconSet" priority="1">
      <iconSet iconSet="3Symbols2">
        <cfvo type="percent" val="0"/>
        <cfvo type="percent" val="33"/>
        <cfvo type="percent" val="67"/>
      </iconSet>
    </cfRule>
  </conditionalFormatting>
  <hyperlinks>
    <hyperlink ref="A1" location="'ODS 4.'!A1" display="REGRESAR" xr:uid="{3EDD5CAB-241C-4831-A5D0-EB2A3C34AF4E}"/>
    <hyperlink ref="C1" location="'Metadato 4.7.1'!A1" display="VER METADATO" xr:uid="{D52F0694-88CF-433F-83C4-0664E637CADC}"/>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5E14E-22EA-4FCC-99B6-201A63EE59D7}">
  <sheetPr>
    <tabColor theme="0" tint="-0.499984740745262"/>
  </sheetPr>
  <dimension ref="B1:G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3.7109375" style="5" customWidth="1"/>
    <col min="2" max="2" width="8" style="5" customWidth="1"/>
    <col min="3" max="3" width="26.42578125" style="5" customWidth="1"/>
    <col min="4" max="4" width="24" style="5" customWidth="1"/>
    <col min="5" max="5" width="85.7109375" style="5" customWidth="1"/>
    <col min="6" max="6" width="11.42578125" style="5"/>
    <col min="7" max="7" width="7.28515625" style="5" customWidth="1"/>
    <col min="8" max="16384" width="11.42578125" style="5"/>
  </cols>
  <sheetData>
    <row r="1" spans="2:7" x14ac:dyDescent="0.4">
      <c r="C1" s="158" t="s">
        <v>39</v>
      </c>
    </row>
    <row r="2" spans="2:7" ht="19.5" thickBot="1" x14ac:dyDescent="0.45"/>
    <row r="3" spans="2:7" ht="23.25" customHeight="1" thickBot="1" x14ac:dyDescent="0.45">
      <c r="C3" s="2678" t="s">
        <v>75</v>
      </c>
      <c r="D3" s="2678"/>
      <c r="E3" s="2678"/>
      <c r="G3" s="91" t="s">
        <v>76</v>
      </c>
    </row>
    <row r="4" spans="2:7" ht="37.5" x14ac:dyDescent="0.4">
      <c r="B4" s="92"/>
      <c r="C4" s="2606" t="s">
        <v>234</v>
      </c>
      <c r="D4" s="2606"/>
      <c r="E4" s="359" t="s">
        <v>1688</v>
      </c>
    </row>
    <row r="5" spans="2:7" ht="78.75" customHeight="1" x14ac:dyDescent="0.4">
      <c r="C5" s="2445" t="s">
        <v>1689</v>
      </c>
      <c r="D5" s="2445"/>
      <c r="E5" s="49" t="s">
        <v>1658</v>
      </c>
    </row>
    <row r="6" spans="2:7" x14ac:dyDescent="0.4">
      <c r="C6" s="2445" t="s">
        <v>80</v>
      </c>
      <c r="D6" s="2445"/>
      <c r="E6" s="50" t="s">
        <v>1659</v>
      </c>
    </row>
    <row r="7" spans="2:7" ht="49.5" customHeight="1" x14ac:dyDescent="0.4">
      <c r="C7" s="2446" t="s">
        <v>81</v>
      </c>
      <c r="D7" s="2446"/>
      <c r="E7" s="93" t="s">
        <v>1892</v>
      </c>
    </row>
    <row r="8" spans="2:7" x14ac:dyDescent="0.4">
      <c r="C8" s="2446" t="s">
        <v>82</v>
      </c>
      <c r="D8" s="2446"/>
      <c r="E8" s="94" t="s">
        <v>353</v>
      </c>
    </row>
    <row r="10" spans="2:7" ht="23.25" customHeight="1" x14ac:dyDescent="0.4">
      <c r="C10" s="2678" t="s">
        <v>85</v>
      </c>
      <c r="D10" s="2678"/>
      <c r="E10" s="2678"/>
    </row>
    <row r="11" spans="2:7" ht="17.25" customHeight="1" x14ac:dyDescent="0.4">
      <c r="C11" s="2633" t="s">
        <v>86</v>
      </c>
      <c r="D11" s="2634"/>
      <c r="E11" s="359" t="s">
        <v>167</v>
      </c>
    </row>
    <row r="12" spans="2:7" ht="37.5" x14ac:dyDescent="0.4">
      <c r="C12" s="2455" t="s">
        <v>88</v>
      </c>
      <c r="D12" s="2455"/>
      <c r="E12" s="825" t="s">
        <v>1880</v>
      </c>
    </row>
    <row r="13" spans="2:7" x14ac:dyDescent="0.4">
      <c r="C13" s="2445" t="s">
        <v>90</v>
      </c>
      <c r="D13" s="2445"/>
      <c r="E13" s="54" t="s">
        <v>1659</v>
      </c>
    </row>
    <row r="14" spans="2:7" x14ac:dyDescent="0.4">
      <c r="C14" s="2445" t="s">
        <v>91</v>
      </c>
      <c r="D14" s="2456"/>
      <c r="E14" s="54" t="s">
        <v>92</v>
      </c>
    </row>
    <row r="15" spans="2:7" ht="181.5" customHeight="1" x14ac:dyDescent="0.4">
      <c r="C15" s="2445" t="s">
        <v>93</v>
      </c>
      <c r="D15" s="2445"/>
      <c r="E15" s="56" t="s">
        <v>1893</v>
      </c>
    </row>
    <row r="16" spans="2:7" ht="233.25" customHeight="1" x14ac:dyDescent="0.4">
      <c r="C16" s="2445" t="s">
        <v>95</v>
      </c>
      <c r="D16" s="2445"/>
      <c r="E16" s="56" t="s">
        <v>1894</v>
      </c>
    </row>
    <row r="17" spans="3:5" x14ac:dyDescent="0.4">
      <c r="C17" s="2445" t="s">
        <v>97</v>
      </c>
      <c r="D17" s="2445"/>
      <c r="E17" s="203" t="s">
        <v>1895</v>
      </c>
    </row>
    <row r="18" spans="3:5" x14ac:dyDescent="0.4">
      <c r="C18" s="2446" t="s">
        <v>99</v>
      </c>
      <c r="D18" s="2446"/>
      <c r="E18" s="49"/>
    </row>
    <row r="19" spans="3:5" ht="37.5" x14ac:dyDescent="0.4">
      <c r="C19" s="2457" t="s">
        <v>100</v>
      </c>
      <c r="D19" s="2458"/>
      <c r="E19" s="55" t="s">
        <v>1896</v>
      </c>
    </row>
    <row r="20" spans="3:5" x14ac:dyDescent="0.4">
      <c r="C20" s="2445" t="s">
        <v>102</v>
      </c>
      <c r="D20" s="2445"/>
      <c r="E20" s="203" t="s">
        <v>140</v>
      </c>
    </row>
    <row r="21" spans="3:5" x14ac:dyDescent="0.4">
      <c r="C21" s="2451" t="s">
        <v>104</v>
      </c>
      <c r="D21" s="95" t="s">
        <v>105</v>
      </c>
      <c r="E21" s="594" t="s">
        <v>140</v>
      </c>
    </row>
    <row r="22" spans="3:5" x14ac:dyDescent="0.4">
      <c r="C22" s="2452"/>
      <c r="D22" s="96" t="s">
        <v>107</v>
      </c>
      <c r="E22" s="55"/>
    </row>
    <row r="23" spans="3:5" x14ac:dyDescent="0.4">
      <c r="C23" s="2444" t="s">
        <v>109</v>
      </c>
      <c r="D23" s="2444"/>
      <c r="E23" s="594" t="s">
        <v>143</v>
      </c>
    </row>
    <row r="24" spans="3:5" x14ac:dyDescent="0.4">
      <c r="C24" s="2444" t="s">
        <v>111</v>
      </c>
      <c r="D24" s="2444"/>
      <c r="E24" s="826" t="s">
        <v>1706</v>
      </c>
    </row>
    <row r="25" spans="3:5" x14ac:dyDescent="0.4">
      <c r="C25" s="2445" t="s">
        <v>113</v>
      </c>
      <c r="D25" s="2445"/>
      <c r="E25" s="55" t="s">
        <v>1701</v>
      </c>
    </row>
    <row r="26" spans="3:5" ht="15" customHeight="1" x14ac:dyDescent="0.4">
      <c r="C26" s="2446" t="s">
        <v>115</v>
      </c>
      <c r="D26" s="2446"/>
      <c r="E26" s="826"/>
    </row>
    <row r="27" spans="3:5" x14ac:dyDescent="0.4">
      <c r="C27" s="2447" t="s">
        <v>117</v>
      </c>
      <c r="D27" s="2448"/>
      <c r="E27" s="49" t="s">
        <v>1897</v>
      </c>
    </row>
    <row r="28" spans="3:5" ht="153" customHeight="1" x14ac:dyDescent="0.4">
      <c r="C28" s="97" t="s">
        <v>118</v>
      </c>
      <c r="D28" s="98"/>
      <c r="E28" s="594" t="s">
        <v>1898</v>
      </c>
    </row>
    <row r="29" spans="3:5" x14ac:dyDescent="0.4">
      <c r="C29" s="2449" t="s">
        <v>120</v>
      </c>
      <c r="D29" s="2450"/>
      <c r="E29" s="62"/>
    </row>
    <row r="30" spans="3:5" x14ac:dyDescent="0.4">
      <c r="C30" s="628"/>
      <c r="D30" s="628"/>
      <c r="E30" s="629"/>
    </row>
    <row r="31" spans="3:5" ht="23.25" customHeight="1" x14ac:dyDescent="0.4">
      <c r="C31" s="2678" t="s">
        <v>121</v>
      </c>
      <c r="D31" s="2678"/>
      <c r="E31" s="2678"/>
    </row>
    <row r="32" spans="3:5" x14ac:dyDescent="0.4">
      <c r="C32" s="2631" t="s">
        <v>122</v>
      </c>
      <c r="D32" s="2632"/>
      <c r="E32" s="827" t="s">
        <v>1899</v>
      </c>
    </row>
    <row r="33" spans="3:5" x14ac:dyDescent="0.4">
      <c r="C33" s="2442" t="s">
        <v>124</v>
      </c>
      <c r="D33" s="2443"/>
      <c r="E33" s="826" t="s">
        <v>1900</v>
      </c>
    </row>
    <row r="34" spans="3:5" x14ac:dyDescent="0.4">
      <c r="C34" s="2442" t="s">
        <v>126</v>
      </c>
      <c r="D34" s="2443"/>
      <c r="E34" s="826" t="s">
        <v>1706</v>
      </c>
    </row>
    <row r="35" spans="3:5" x14ac:dyDescent="0.4">
      <c r="C35" s="2442" t="s">
        <v>128</v>
      </c>
      <c r="D35" s="2443"/>
      <c r="E35" s="826" t="s">
        <v>1901</v>
      </c>
    </row>
    <row r="36" spans="3:5" x14ac:dyDescent="0.4">
      <c r="C36" s="2442" t="s">
        <v>130</v>
      </c>
      <c r="D36" s="2443"/>
      <c r="E36" s="208" t="s">
        <v>1902</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E353BAFD-4567-429A-85E9-7B2539270158}">
      <formula1>Tipo_operación</formula1>
    </dataValidation>
    <dataValidation type="list" allowBlank="1" showInputMessage="1" showErrorMessage="1" sqref="E14" xr:uid="{8FD96698-4348-4DFB-8D9C-7B4517CC36FF}">
      <formula1>Tipo_indicador</formula1>
    </dataValidation>
    <dataValidation type="list" allowBlank="1" showInputMessage="1" showErrorMessage="1" sqref="E7" xr:uid="{55AD737F-F89D-4748-9A8F-F815F4884FF8}">
      <formula1>Nombre_indicador_ODS</formula1>
    </dataValidation>
    <dataValidation type="list" allowBlank="1" showInputMessage="1" showErrorMessage="1" sqref="E6" xr:uid="{7BC77403-C2E6-427E-A14F-43D5DCB7F290}">
      <formula1>Numero_indicador</formula1>
    </dataValidation>
    <dataValidation type="list" allowBlank="1" showInputMessage="1" showErrorMessage="1" sqref="E5" xr:uid="{F05E9BB5-815D-4631-8EA7-C51D92039F75}">
      <formula1>Metas_ODS</formula1>
    </dataValidation>
    <dataValidation type="list" allowBlank="1" showInputMessage="1" showErrorMessage="1" sqref="E4" xr:uid="{C1B09A42-C59B-43C1-9D6D-D5DB492FF932}">
      <formula1>ODS</formula1>
    </dataValidation>
    <dataValidation allowBlank="1" showDropDown="1" showInputMessage="1" showErrorMessage="1" sqref="E13" xr:uid="{8F5A4FAB-A729-4CC1-89D6-49156A4997B3}"/>
  </dataValidations>
  <hyperlinks>
    <hyperlink ref="C1" location="'4.7.1'!A1" display="REGRESAR" xr:uid="{A7D25233-343A-4AE2-8FA2-BAA40068D5C1}"/>
    <hyperlink ref="E8" r:id="rId1" xr:uid="{178468CC-E087-4A7B-BC42-C32C0119060B}"/>
    <hyperlink ref="E36" r:id="rId2" xr:uid="{5F2F4FA0-FC40-4F73-8D61-49F627FA1C4C}"/>
  </hyperlinks>
  <pageMargins left="0.7" right="0.7" top="0.75" bottom="0.75" header="0.3" footer="0.3"/>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6F38-5B54-43B8-8136-586AA8D3AA5E}">
  <sheetPr>
    <pageSetUpPr fitToPage="1"/>
  </sheetPr>
  <dimension ref="A1:W71"/>
  <sheetViews>
    <sheetView showGridLines="0" zoomScaleNormal="100" workbookViewId="0">
      <pane ySplit="1" topLeftCell="A2" activePane="bottomLeft" state="frozen"/>
      <selection pane="bottomLeft"/>
    </sheetView>
  </sheetViews>
  <sheetFormatPr baseColWidth="10" defaultColWidth="11.42578125" defaultRowHeight="16.5" x14ac:dyDescent="0.35"/>
  <cols>
    <col min="1" max="1" width="14.28515625" style="17" customWidth="1"/>
    <col min="2" max="2" width="20" style="17" customWidth="1"/>
    <col min="3" max="3" width="11.42578125" style="17"/>
    <col min="4" max="5" width="11.28515625" style="17" customWidth="1"/>
    <col min="6" max="6" width="1.7109375" style="17" customWidth="1"/>
    <col min="7" max="8" width="11.28515625" style="17" customWidth="1"/>
    <col min="9" max="9" width="1.7109375" style="17" customWidth="1"/>
    <col min="10" max="11" width="11.28515625" style="17" customWidth="1"/>
    <col min="12" max="12" width="1.7109375" style="17" customWidth="1"/>
    <col min="13" max="14" width="11.28515625" style="17" customWidth="1"/>
    <col min="15" max="15" width="1.7109375" style="17" customWidth="1"/>
    <col min="16" max="17" width="11.28515625" style="17" customWidth="1"/>
    <col min="18" max="18" width="2.28515625" style="17" customWidth="1"/>
    <col min="19" max="20" width="11.28515625" style="17" customWidth="1"/>
    <col min="21" max="21" width="2.28515625" style="17" customWidth="1"/>
    <col min="22" max="23" width="11.28515625" style="17" customWidth="1"/>
    <col min="24" max="16384" width="11.42578125" style="17"/>
  </cols>
  <sheetData>
    <row r="1" spans="1:23" s="16" customFormat="1" ht="19.5" x14ac:dyDescent="0.4">
      <c r="A1" s="68" t="s">
        <v>39</v>
      </c>
      <c r="C1" s="2421" t="s">
        <v>149</v>
      </c>
      <c r="D1" s="2421"/>
    </row>
    <row r="2" spans="1:23" s="16" customFormat="1" ht="19.5" x14ac:dyDescent="0.4"/>
    <row r="3" spans="1:23" s="16" customFormat="1" ht="21" customHeight="1" x14ac:dyDescent="0.4">
      <c r="A3" s="2672" t="s">
        <v>41</v>
      </c>
      <c r="B3" s="2672"/>
      <c r="C3" s="2707" t="s">
        <v>1670</v>
      </c>
      <c r="D3" s="2708"/>
      <c r="E3" s="2708"/>
      <c r="F3" s="2708"/>
      <c r="G3" s="2708"/>
      <c r="H3" s="2708"/>
      <c r="I3" s="2708"/>
      <c r="J3" s="2708"/>
      <c r="K3" s="2708"/>
      <c r="L3" s="2708"/>
      <c r="M3" s="2708"/>
      <c r="N3" s="2708"/>
      <c r="O3" s="2708"/>
      <c r="P3" s="2708"/>
      <c r="Q3" s="2708"/>
      <c r="R3" s="2708"/>
      <c r="S3" s="2708"/>
      <c r="T3" s="2708"/>
      <c r="U3" s="2708"/>
      <c r="V3" s="2708"/>
      <c r="W3" s="2708"/>
    </row>
    <row r="4" spans="1:23" s="16" customFormat="1" ht="33.75" customHeight="1" x14ac:dyDescent="0.4">
      <c r="A4" s="2672" t="s">
        <v>42</v>
      </c>
      <c r="B4" s="2672"/>
      <c r="C4" s="2707" t="s">
        <v>1661</v>
      </c>
      <c r="D4" s="2708"/>
      <c r="E4" s="2708"/>
      <c r="F4" s="2708"/>
      <c r="G4" s="2708"/>
      <c r="H4" s="2708"/>
      <c r="I4" s="2708"/>
      <c r="J4" s="2708"/>
      <c r="K4" s="2708"/>
      <c r="L4" s="2708"/>
      <c r="M4" s="2708"/>
      <c r="N4" s="2708"/>
      <c r="O4" s="2708"/>
      <c r="P4" s="2708"/>
      <c r="Q4" s="2708"/>
      <c r="R4" s="2708"/>
      <c r="S4" s="2708"/>
      <c r="T4" s="2709"/>
      <c r="U4" s="2709"/>
      <c r="V4" s="2709"/>
      <c r="W4" s="2709"/>
    </row>
    <row r="5" spans="1:23" s="16" customFormat="1" ht="21" customHeight="1" x14ac:dyDescent="0.4">
      <c r="A5" s="2672" t="s">
        <v>43</v>
      </c>
      <c r="B5" s="2672"/>
      <c r="C5" s="2707" t="s">
        <v>1663</v>
      </c>
      <c r="D5" s="2708"/>
      <c r="E5" s="2708"/>
      <c r="F5" s="2708"/>
      <c r="G5" s="2708"/>
      <c r="H5" s="2708"/>
      <c r="I5" s="2708"/>
      <c r="J5" s="2708"/>
      <c r="K5" s="2708"/>
      <c r="L5" s="2708"/>
      <c r="M5" s="2708"/>
      <c r="N5" s="2708"/>
      <c r="O5" s="2708"/>
      <c r="P5" s="2708"/>
      <c r="Q5" s="2708"/>
      <c r="R5" s="2708"/>
      <c r="S5" s="2708"/>
      <c r="T5" s="2709"/>
      <c r="U5" s="2709"/>
      <c r="V5" s="2709"/>
      <c r="W5" s="2709"/>
    </row>
    <row r="6" spans="1:23" s="16" customFormat="1" ht="37.9" customHeight="1" x14ac:dyDescent="0.4">
      <c r="A6" s="2672" t="s">
        <v>132</v>
      </c>
      <c r="B6" s="2672"/>
      <c r="C6" s="2707" t="s">
        <v>1903</v>
      </c>
      <c r="D6" s="2708"/>
      <c r="E6" s="2708"/>
      <c r="F6" s="2708"/>
      <c r="G6" s="2708"/>
      <c r="H6" s="2708"/>
      <c r="I6" s="2708"/>
      <c r="J6" s="2708"/>
      <c r="K6" s="2708"/>
      <c r="L6" s="2708"/>
      <c r="M6" s="2708"/>
      <c r="N6" s="2708"/>
      <c r="O6" s="2708"/>
      <c r="P6" s="2708"/>
      <c r="Q6" s="2708"/>
      <c r="R6" s="2708"/>
      <c r="S6" s="2708"/>
      <c r="T6" s="2709"/>
      <c r="U6" s="2709"/>
      <c r="V6" s="2709"/>
      <c r="W6" s="2709"/>
    </row>
    <row r="7" spans="1:23" s="16" customFormat="1" ht="19.5" x14ac:dyDescent="0.4"/>
    <row r="8" spans="1:23" s="16" customFormat="1" ht="19.5" x14ac:dyDescent="0.4"/>
    <row r="9" spans="1:23" s="16" customFormat="1" ht="13.5" customHeight="1" x14ac:dyDescent="0.4">
      <c r="C9" s="2711" t="s">
        <v>1903</v>
      </c>
      <c r="D9" s="2711"/>
      <c r="E9" s="2711"/>
      <c r="F9" s="2711"/>
      <c r="G9" s="2711"/>
      <c r="H9" s="2711"/>
      <c r="I9" s="2711"/>
      <c r="J9" s="2711"/>
      <c r="K9" s="2711"/>
      <c r="L9" s="2711"/>
      <c r="M9" s="2711"/>
      <c r="N9" s="2711"/>
      <c r="O9" s="2711"/>
      <c r="P9" s="2711"/>
      <c r="Q9" s="2711"/>
      <c r="R9" s="2711"/>
      <c r="S9" s="2711"/>
      <c r="T9" s="2711"/>
      <c r="U9" s="2711"/>
      <c r="V9" s="2711"/>
      <c r="W9" s="2711"/>
    </row>
    <row r="10" spans="1:23" s="16" customFormat="1" ht="13.5" customHeight="1" x14ac:dyDescent="0.4">
      <c r="C10" s="533"/>
      <c r="D10" s="533"/>
      <c r="E10" s="533"/>
      <c r="F10" s="533"/>
      <c r="G10" s="533"/>
      <c r="H10" s="533"/>
      <c r="I10" s="533"/>
      <c r="J10" s="533"/>
      <c r="K10" s="533"/>
      <c r="L10" s="533"/>
      <c r="M10" s="533"/>
      <c r="N10" s="533"/>
      <c r="O10" s="533"/>
      <c r="P10" s="533"/>
      <c r="Q10" s="533"/>
      <c r="R10" s="533"/>
      <c r="S10" s="533"/>
      <c r="T10" s="533"/>
      <c r="U10" s="533"/>
      <c r="V10" s="533"/>
      <c r="W10" s="533"/>
    </row>
    <row r="11" spans="1:23" ht="54" customHeight="1" x14ac:dyDescent="0.35">
      <c r="A11" s="85"/>
      <c r="C11" s="2693" t="s">
        <v>46</v>
      </c>
      <c r="D11" s="2712" t="s">
        <v>1904</v>
      </c>
      <c r="E11" s="2712"/>
      <c r="F11" s="828"/>
      <c r="G11" s="2712" t="s">
        <v>1905</v>
      </c>
      <c r="H11" s="2712"/>
      <c r="I11" s="828"/>
      <c r="J11" s="2712" t="s">
        <v>1906</v>
      </c>
      <c r="K11" s="2712"/>
      <c r="L11" s="828"/>
      <c r="M11" s="2712" t="s">
        <v>1907</v>
      </c>
      <c r="N11" s="2712"/>
      <c r="O11" s="828"/>
      <c r="P11" s="2712" t="s">
        <v>1908</v>
      </c>
      <c r="Q11" s="2712"/>
      <c r="R11" s="828"/>
      <c r="S11" s="2712" t="s">
        <v>1909</v>
      </c>
      <c r="T11" s="2712"/>
      <c r="U11" s="828"/>
      <c r="V11" s="2712" t="s">
        <v>1910</v>
      </c>
      <c r="W11" s="2712"/>
    </row>
    <row r="12" spans="1:23" ht="65.25" customHeight="1" x14ac:dyDescent="0.35">
      <c r="A12" s="85"/>
      <c r="C12" s="2694"/>
      <c r="D12" s="829" t="s">
        <v>1911</v>
      </c>
      <c r="E12" s="829" t="s">
        <v>1912</v>
      </c>
      <c r="F12" s="829"/>
      <c r="G12" s="829" t="s">
        <v>1911</v>
      </c>
      <c r="H12" s="829" t="s">
        <v>1912</v>
      </c>
      <c r="I12" s="829"/>
      <c r="J12" s="829" t="s">
        <v>1911</v>
      </c>
      <c r="K12" s="829" t="s">
        <v>1912</v>
      </c>
      <c r="L12" s="829"/>
      <c r="M12" s="829" t="s">
        <v>1911</v>
      </c>
      <c r="N12" s="829" t="s">
        <v>1912</v>
      </c>
      <c r="O12" s="829"/>
      <c r="P12" s="829" t="s">
        <v>1911</v>
      </c>
      <c r="Q12" s="829" t="s">
        <v>1912</v>
      </c>
      <c r="R12" s="829"/>
      <c r="S12" s="829" t="s">
        <v>1911</v>
      </c>
      <c r="T12" s="829" t="s">
        <v>1912</v>
      </c>
      <c r="U12" s="829"/>
      <c r="V12" s="829" t="s">
        <v>1911</v>
      </c>
      <c r="W12" s="829" t="s">
        <v>1912</v>
      </c>
    </row>
    <row r="13" spans="1:23" ht="18.75" x14ac:dyDescent="0.35">
      <c r="A13" s="85"/>
      <c r="C13" s="232">
        <v>2010</v>
      </c>
      <c r="D13" s="546">
        <v>88.74</v>
      </c>
      <c r="E13" s="546">
        <v>98.58</v>
      </c>
      <c r="F13" s="546"/>
      <c r="G13" s="546" t="s">
        <v>1913</v>
      </c>
      <c r="H13" s="546" t="s">
        <v>1913</v>
      </c>
      <c r="I13" s="546"/>
      <c r="J13" s="546">
        <v>29.9</v>
      </c>
      <c r="K13" s="546">
        <v>67.14</v>
      </c>
      <c r="L13" s="546"/>
      <c r="M13" s="546" t="s">
        <v>1913</v>
      </c>
      <c r="N13" s="546" t="s">
        <v>1913</v>
      </c>
      <c r="O13" s="546"/>
      <c r="P13" s="546">
        <v>89.16</v>
      </c>
      <c r="Q13" s="546">
        <v>95.85</v>
      </c>
      <c r="R13" s="546"/>
      <c r="S13" s="546">
        <v>77.97</v>
      </c>
      <c r="T13" s="546">
        <v>81.61</v>
      </c>
      <c r="U13" s="546"/>
      <c r="V13" s="546">
        <v>60.44</v>
      </c>
      <c r="W13" s="546">
        <v>76.87</v>
      </c>
    </row>
    <row r="14" spans="1:23" ht="18.75" x14ac:dyDescent="0.35">
      <c r="A14" s="85"/>
      <c r="C14" s="232">
        <v>2011</v>
      </c>
      <c r="D14" s="546">
        <v>94.84</v>
      </c>
      <c r="E14" s="546">
        <v>98.27</v>
      </c>
      <c r="F14" s="546"/>
      <c r="G14" s="546" t="s">
        <v>1913</v>
      </c>
      <c r="H14" s="546" t="s">
        <v>1913</v>
      </c>
      <c r="I14" s="546"/>
      <c r="J14" s="546">
        <v>32.29</v>
      </c>
      <c r="K14" s="546">
        <v>71.349999999999994</v>
      </c>
      <c r="L14" s="546"/>
      <c r="M14" s="546" t="s">
        <v>1913</v>
      </c>
      <c r="N14" s="546" t="s">
        <v>1913</v>
      </c>
      <c r="O14" s="546"/>
      <c r="P14" s="546">
        <v>89.61</v>
      </c>
      <c r="Q14" s="546">
        <v>94.82</v>
      </c>
      <c r="R14" s="546"/>
      <c r="S14" s="546">
        <v>80.150000000000006</v>
      </c>
      <c r="T14" s="546">
        <v>85.85</v>
      </c>
      <c r="U14" s="546"/>
      <c r="V14" s="546">
        <v>61.77</v>
      </c>
      <c r="W14" s="546">
        <v>77.33</v>
      </c>
    </row>
    <row r="15" spans="1:23" ht="18.75" x14ac:dyDescent="0.35">
      <c r="A15" s="85"/>
      <c r="C15" s="232">
        <v>2012</v>
      </c>
      <c r="D15" s="546" t="s">
        <v>1913</v>
      </c>
      <c r="E15" s="546" t="s">
        <v>1913</v>
      </c>
      <c r="F15" s="546"/>
      <c r="G15" s="546" t="s">
        <v>1913</v>
      </c>
      <c r="H15" s="546" t="s">
        <v>1913</v>
      </c>
      <c r="I15" s="546"/>
      <c r="J15" s="546" t="s">
        <v>1913</v>
      </c>
      <c r="K15" s="546" t="s">
        <v>1913</v>
      </c>
      <c r="L15" s="546"/>
      <c r="M15" s="546" t="s">
        <v>1913</v>
      </c>
      <c r="N15" s="546" t="s">
        <v>1913</v>
      </c>
      <c r="O15" s="546"/>
      <c r="P15" s="546" t="s">
        <v>1913</v>
      </c>
      <c r="Q15" s="546" t="s">
        <v>1913</v>
      </c>
      <c r="R15" s="546"/>
      <c r="S15" s="546" t="s">
        <v>1913</v>
      </c>
      <c r="T15" s="546" t="s">
        <v>1913</v>
      </c>
      <c r="U15" s="546"/>
      <c r="V15" s="546" t="s">
        <v>1913</v>
      </c>
      <c r="W15" s="546" t="s">
        <v>1913</v>
      </c>
    </row>
    <row r="16" spans="1:23" ht="18.75" x14ac:dyDescent="0.35">
      <c r="A16" s="85"/>
      <c r="C16" s="232">
        <v>2013</v>
      </c>
      <c r="D16" s="546" t="s">
        <v>1913</v>
      </c>
      <c r="E16" s="546" t="s">
        <v>1913</v>
      </c>
      <c r="F16" s="546"/>
      <c r="G16" s="546" t="s">
        <v>1913</v>
      </c>
      <c r="H16" s="546" t="s">
        <v>1913</v>
      </c>
      <c r="I16" s="546"/>
      <c r="J16" s="546" t="s">
        <v>1913</v>
      </c>
      <c r="K16" s="546" t="s">
        <v>1913</v>
      </c>
      <c r="L16" s="546"/>
      <c r="M16" s="546" t="s">
        <v>1913</v>
      </c>
      <c r="N16" s="546" t="s">
        <v>1913</v>
      </c>
      <c r="O16" s="546"/>
      <c r="P16" s="546" t="s">
        <v>1913</v>
      </c>
      <c r="Q16" s="546" t="s">
        <v>1913</v>
      </c>
      <c r="R16" s="546"/>
      <c r="S16" s="546" t="s">
        <v>1913</v>
      </c>
      <c r="T16" s="546" t="s">
        <v>1913</v>
      </c>
      <c r="U16" s="546"/>
      <c r="V16" s="546" t="s">
        <v>1913</v>
      </c>
      <c r="W16" s="546" t="s">
        <v>1913</v>
      </c>
    </row>
    <row r="17" spans="1:23" ht="18.75" x14ac:dyDescent="0.35">
      <c r="A17" s="85"/>
      <c r="C17" s="232">
        <v>2014</v>
      </c>
      <c r="D17" s="546">
        <v>97.85</v>
      </c>
      <c r="E17" s="546">
        <v>98.34</v>
      </c>
      <c r="F17" s="546"/>
      <c r="G17" s="546">
        <v>45.58</v>
      </c>
      <c r="H17" s="546">
        <v>70.33</v>
      </c>
      <c r="I17" s="546"/>
      <c r="J17" s="546">
        <v>66.55</v>
      </c>
      <c r="K17" s="546">
        <v>86.93</v>
      </c>
      <c r="L17" s="546"/>
      <c r="M17" s="546">
        <v>66.400000000000006</v>
      </c>
      <c r="N17" s="546">
        <v>75.62</v>
      </c>
      <c r="O17" s="546"/>
      <c r="P17" s="546">
        <v>92.7</v>
      </c>
      <c r="Q17" s="546">
        <v>97.2</v>
      </c>
      <c r="R17" s="546"/>
      <c r="S17" s="546">
        <v>88.83</v>
      </c>
      <c r="T17" s="546">
        <v>89.21</v>
      </c>
      <c r="U17" s="546"/>
      <c r="V17" s="546">
        <v>75.09</v>
      </c>
      <c r="W17" s="546">
        <v>83.71</v>
      </c>
    </row>
    <row r="18" spans="1:23" ht="18.75" x14ac:dyDescent="0.35">
      <c r="A18" s="830"/>
      <c r="C18" s="232">
        <v>2015</v>
      </c>
      <c r="D18" s="546">
        <v>98.25</v>
      </c>
      <c r="E18" s="546">
        <v>99.07</v>
      </c>
      <c r="F18" s="546"/>
      <c r="G18" s="546">
        <v>61.87</v>
      </c>
      <c r="H18" s="546">
        <v>80.75</v>
      </c>
      <c r="I18" s="546"/>
      <c r="J18" s="546">
        <v>80.099999999999994</v>
      </c>
      <c r="K18" s="546">
        <v>93.17</v>
      </c>
      <c r="L18" s="546"/>
      <c r="M18" s="546">
        <v>79.28</v>
      </c>
      <c r="N18" s="546">
        <v>85.09</v>
      </c>
      <c r="O18" s="546"/>
      <c r="P18" s="546">
        <v>93.51</v>
      </c>
      <c r="Q18" s="546">
        <v>97.72</v>
      </c>
      <c r="R18" s="546"/>
      <c r="S18" s="546">
        <v>95.04</v>
      </c>
      <c r="T18" s="546">
        <v>97.93</v>
      </c>
      <c r="U18" s="546"/>
      <c r="V18" s="546">
        <v>85.35</v>
      </c>
      <c r="W18" s="546">
        <v>95.34</v>
      </c>
    </row>
    <row r="19" spans="1:23" ht="18.75" x14ac:dyDescent="0.35">
      <c r="A19" s="830"/>
      <c r="C19" s="232">
        <v>2016</v>
      </c>
      <c r="D19" s="546">
        <v>98.37</v>
      </c>
      <c r="E19" s="546">
        <v>99.28</v>
      </c>
      <c r="F19" s="546"/>
      <c r="G19" s="546">
        <v>71.22</v>
      </c>
      <c r="H19" s="546">
        <v>85.71</v>
      </c>
      <c r="I19" s="546"/>
      <c r="J19" s="546">
        <v>86.18</v>
      </c>
      <c r="K19" s="546">
        <v>94.35</v>
      </c>
      <c r="L19" s="546"/>
      <c r="M19" s="546">
        <v>86.3</v>
      </c>
      <c r="N19" s="546">
        <v>90.13</v>
      </c>
      <c r="O19" s="546"/>
      <c r="P19" s="546">
        <v>92.73</v>
      </c>
      <c r="Q19" s="546">
        <v>98.05</v>
      </c>
      <c r="R19" s="546"/>
      <c r="S19" s="546">
        <v>96.8</v>
      </c>
      <c r="T19" s="546">
        <v>98.36</v>
      </c>
      <c r="U19" s="546"/>
      <c r="V19" s="546">
        <v>89.35</v>
      </c>
      <c r="W19" s="546">
        <v>95.89</v>
      </c>
    </row>
    <row r="20" spans="1:23" ht="18.75" x14ac:dyDescent="0.35">
      <c r="A20" s="85"/>
      <c r="C20" s="232">
        <v>2017</v>
      </c>
      <c r="D20" s="546">
        <v>98.47</v>
      </c>
      <c r="E20" s="546">
        <v>99.39</v>
      </c>
      <c r="F20" s="546"/>
      <c r="G20" s="546">
        <v>75.86</v>
      </c>
      <c r="H20" s="546">
        <v>86.22</v>
      </c>
      <c r="I20" s="546"/>
      <c r="J20" s="546">
        <v>89.18</v>
      </c>
      <c r="K20" s="546">
        <v>93.88</v>
      </c>
      <c r="L20" s="546"/>
      <c r="M20" s="546">
        <v>85.22</v>
      </c>
      <c r="N20" s="546">
        <v>90.31</v>
      </c>
      <c r="O20" s="546"/>
      <c r="P20" s="546">
        <v>93.45</v>
      </c>
      <c r="Q20" s="546">
        <v>98.47</v>
      </c>
      <c r="R20" s="546"/>
      <c r="S20" s="546">
        <v>97.78</v>
      </c>
      <c r="T20" s="546">
        <v>99.08</v>
      </c>
      <c r="U20" s="546"/>
      <c r="V20" s="546">
        <v>91.85</v>
      </c>
      <c r="W20" s="546">
        <v>97.65</v>
      </c>
    </row>
    <row r="21" spans="1:23" ht="18.75" x14ac:dyDescent="0.35">
      <c r="A21" s="85"/>
      <c r="C21" s="232">
        <v>2018</v>
      </c>
      <c r="D21" s="546">
        <v>99.16</v>
      </c>
      <c r="E21" s="546">
        <v>99.69</v>
      </c>
      <c r="F21" s="546"/>
      <c r="G21" s="546">
        <v>80.510000000000005</v>
      </c>
      <c r="H21" s="546">
        <v>88.57</v>
      </c>
      <c r="I21" s="546"/>
      <c r="J21" s="546">
        <v>92.8</v>
      </c>
      <c r="K21" s="546">
        <v>94.69</v>
      </c>
      <c r="L21" s="546"/>
      <c r="M21" s="546">
        <v>86.48</v>
      </c>
      <c r="N21" s="546">
        <v>89.59</v>
      </c>
      <c r="O21" s="546"/>
      <c r="P21" s="546">
        <v>93.86</v>
      </c>
      <c r="Q21" s="546">
        <v>98.57</v>
      </c>
      <c r="R21" s="546"/>
      <c r="S21" s="546">
        <v>99.03</v>
      </c>
      <c r="T21" s="546">
        <v>97.96</v>
      </c>
      <c r="U21" s="546"/>
      <c r="V21" s="546">
        <v>92.57</v>
      </c>
      <c r="W21" s="546">
        <v>97.04</v>
      </c>
    </row>
    <row r="22" spans="1:23" ht="18.75" x14ac:dyDescent="0.35">
      <c r="A22" s="85"/>
      <c r="C22" s="232">
        <v>2019</v>
      </c>
      <c r="D22" s="546">
        <v>99.18</v>
      </c>
      <c r="E22" s="546">
        <v>99.7</v>
      </c>
      <c r="F22" s="546"/>
      <c r="G22" s="546">
        <v>84.48</v>
      </c>
      <c r="H22" s="546">
        <v>89.74</v>
      </c>
      <c r="I22" s="546"/>
      <c r="J22" s="546">
        <v>95.59</v>
      </c>
      <c r="K22" s="546">
        <v>95.53</v>
      </c>
      <c r="L22" s="546"/>
      <c r="M22" s="546">
        <v>64.3</v>
      </c>
      <c r="N22" s="546">
        <v>89.43</v>
      </c>
      <c r="O22" s="546"/>
      <c r="P22" s="546">
        <v>91.19</v>
      </c>
      <c r="Q22" s="546">
        <v>98.07</v>
      </c>
      <c r="R22" s="546"/>
      <c r="S22" s="546">
        <v>98.66</v>
      </c>
      <c r="T22" s="546">
        <v>99.29</v>
      </c>
      <c r="U22" s="546"/>
      <c r="V22" s="546">
        <v>84.971527605843036</v>
      </c>
      <c r="W22" s="546">
        <v>81.2</v>
      </c>
    </row>
    <row r="23" spans="1:23" ht="18.75" x14ac:dyDescent="0.35">
      <c r="A23" s="85"/>
      <c r="C23" s="232">
        <v>2020</v>
      </c>
      <c r="D23" s="546">
        <v>99.43</v>
      </c>
      <c r="E23" s="546">
        <v>99.59</v>
      </c>
      <c r="F23" s="546"/>
      <c r="G23" s="546">
        <v>86.64</v>
      </c>
      <c r="H23" s="546">
        <v>91.67</v>
      </c>
      <c r="I23" s="546"/>
      <c r="J23" s="546">
        <v>97.2</v>
      </c>
      <c r="K23" s="546">
        <v>95.02</v>
      </c>
      <c r="L23" s="546"/>
      <c r="M23" s="546">
        <v>71.569999999999993</v>
      </c>
      <c r="N23" s="546">
        <v>81.709999999999994</v>
      </c>
      <c r="O23" s="546"/>
      <c r="P23" s="546">
        <v>89.69</v>
      </c>
      <c r="Q23" s="546">
        <v>98.48</v>
      </c>
      <c r="R23" s="546"/>
      <c r="S23" s="546">
        <v>98.71</v>
      </c>
      <c r="T23" s="546">
        <v>99.39</v>
      </c>
      <c r="U23" s="546"/>
      <c r="V23" s="546">
        <v>95.66</v>
      </c>
      <c r="W23" s="546">
        <v>94.82</v>
      </c>
    </row>
    <row r="24" spans="1:23" s="5" customFormat="1" ht="19.5" thickBot="1" x14ac:dyDescent="0.45">
      <c r="A24" s="256"/>
      <c r="C24" s="831">
        <v>2021</v>
      </c>
      <c r="D24" s="832">
        <v>99.5</v>
      </c>
      <c r="E24" s="832">
        <v>99.08</v>
      </c>
      <c r="F24" s="833"/>
      <c r="G24" s="832">
        <v>87.06</v>
      </c>
      <c r="H24" s="832">
        <v>89.47</v>
      </c>
      <c r="I24" s="833"/>
      <c r="J24" s="832">
        <v>97.12</v>
      </c>
      <c r="K24" s="832">
        <v>93.87</v>
      </c>
      <c r="L24" s="833"/>
      <c r="M24" s="832">
        <v>81.84</v>
      </c>
      <c r="N24" s="832">
        <v>88.34</v>
      </c>
      <c r="O24" s="833"/>
      <c r="P24" s="832">
        <v>91.8</v>
      </c>
      <c r="Q24" s="832">
        <v>97.24</v>
      </c>
      <c r="R24" s="833"/>
      <c r="S24" s="832">
        <v>97.94</v>
      </c>
      <c r="T24" s="832">
        <v>97.75</v>
      </c>
      <c r="U24" s="833"/>
      <c r="V24" s="832">
        <v>98.71</v>
      </c>
      <c r="W24" s="832">
        <v>97.96</v>
      </c>
    </row>
    <row r="25" spans="1:23" ht="18.75" x14ac:dyDescent="0.4">
      <c r="A25" s="830"/>
      <c r="C25" s="834" t="s">
        <v>1914</v>
      </c>
      <c r="D25" s="835"/>
      <c r="E25" s="835"/>
      <c r="F25" s="835"/>
      <c r="G25" s="835"/>
      <c r="H25" s="835"/>
      <c r="I25" s="835"/>
      <c r="J25" s="835"/>
      <c r="K25" s="835"/>
      <c r="L25" s="835"/>
      <c r="M25" s="835"/>
      <c r="N25" s="835"/>
      <c r="O25" s="835"/>
      <c r="P25" s="835"/>
      <c r="Q25" s="835"/>
      <c r="R25" s="835"/>
      <c r="S25" s="835"/>
      <c r="T25" s="835"/>
      <c r="U25" s="835"/>
      <c r="V25" s="115"/>
      <c r="W25" s="115"/>
    </row>
    <row r="26" spans="1:23" ht="18.75" x14ac:dyDescent="0.35">
      <c r="A26" s="85"/>
      <c r="C26" s="836" t="s">
        <v>1915</v>
      </c>
      <c r="D26" s="141"/>
      <c r="E26" s="141"/>
      <c r="F26" s="141"/>
      <c r="G26" s="141"/>
      <c r="H26" s="141"/>
      <c r="I26" s="141"/>
      <c r="J26" s="141"/>
      <c r="K26" s="141"/>
      <c r="L26" s="141"/>
      <c r="M26" s="141"/>
      <c r="N26" s="141"/>
      <c r="O26" s="141"/>
      <c r="P26" s="141"/>
      <c r="Q26" s="141"/>
      <c r="R26" s="141"/>
      <c r="S26" s="141"/>
      <c r="T26" s="141"/>
      <c r="U26" s="141"/>
      <c r="V26" s="155"/>
      <c r="W26" s="155"/>
    </row>
    <row r="27" spans="1:23" ht="18.75" x14ac:dyDescent="0.35">
      <c r="A27" s="85"/>
      <c r="C27" s="2719" t="s">
        <v>1916</v>
      </c>
      <c r="D27" s="2719"/>
      <c r="E27" s="2719"/>
      <c r="F27" s="2719"/>
      <c r="G27" s="2719"/>
      <c r="H27" s="2719"/>
      <c r="I27" s="2719"/>
      <c r="J27" s="2719"/>
      <c r="K27" s="2719"/>
      <c r="L27" s="2719"/>
      <c r="M27" s="2719"/>
      <c r="N27" s="2719"/>
      <c r="O27" s="2719"/>
      <c r="P27" s="2719"/>
      <c r="Q27" s="2719"/>
      <c r="R27" s="2719"/>
      <c r="S27" s="2719"/>
      <c r="T27" s="2719"/>
      <c r="U27" s="2719"/>
      <c r="V27" s="2719"/>
      <c r="W27" s="2719"/>
    </row>
    <row r="28" spans="1:23" ht="49.9" customHeight="1" x14ac:dyDescent="0.35">
      <c r="A28" s="85"/>
      <c r="C28" s="2719" t="s">
        <v>1917</v>
      </c>
      <c r="D28" s="2719"/>
      <c r="E28" s="2719"/>
      <c r="F28" s="2719"/>
      <c r="G28" s="2719"/>
      <c r="H28" s="2719"/>
      <c r="I28" s="2719"/>
      <c r="J28" s="2719"/>
      <c r="K28" s="2719"/>
      <c r="L28" s="2719"/>
      <c r="M28" s="2719"/>
      <c r="N28" s="2719"/>
      <c r="O28" s="2719"/>
      <c r="P28" s="2719"/>
      <c r="Q28" s="2719"/>
      <c r="R28" s="2719"/>
      <c r="S28" s="2719"/>
      <c r="T28" s="2719"/>
      <c r="U28" s="2719"/>
      <c r="V28" s="2719"/>
      <c r="W28" s="2719"/>
    </row>
    <row r="29" spans="1:23" ht="32.450000000000003" customHeight="1" x14ac:dyDescent="0.35">
      <c r="A29" s="830"/>
      <c r="C29" s="2719" t="s">
        <v>1918</v>
      </c>
      <c r="D29" s="2719"/>
      <c r="E29" s="2719"/>
      <c r="F29" s="2719"/>
      <c r="G29" s="2719"/>
      <c r="H29" s="2719"/>
      <c r="I29" s="2719"/>
      <c r="J29" s="2719"/>
      <c r="K29" s="2719"/>
      <c r="L29" s="2719"/>
      <c r="M29" s="2719"/>
      <c r="N29" s="2719"/>
      <c r="O29" s="2719"/>
      <c r="P29" s="2719"/>
      <c r="Q29" s="2719"/>
      <c r="R29" s="2719"/>
      <c r="S29" s="2719"/>
      <c r="T29" s="2719"/>
      <c r="U29" s="2719"/>
      <c r="V29" s="2719"/>
      <c r="W29" s="2719"/>
    </row>
    <row r="30" spans="1:23" ht="33.6" customHeight="1" x14ac:dyDescent="0.35">
      <c r="A30" s="85"/>
      <c r="C30" s="2526" t="s">
        <v>1919</v>
      </c>
      <c r="D30" s="2526"/>
      <c r="E30" s="2526"/>
      <c r="F30" s="2526"/>
      <c r="G30" s="2526"/>
      <c r="H30" s="2526"/>
      <c r="I30" s="2526"/>
      <c r="J30" s="2526"/>
      <c r="K30" s="2526"/>
      <c r="L30" s="2526"/>
      <c r="M30" s="2526"/>
      <c r="N30" s="2526"/>
      <c r="O30" s="2526"/>
      <c r="P30" s="2526"/>
      <c r="Q30" s="2526"/>
      <c r="R30" s="2526"/>
      <c r="S30" s="2526"/>
      <c r="T30" s="2526"/>
      <c r="U30" s="2526"/>
      <c r="V30" s="2526"/>
      <c r="W30" s="2526"/>
    </row>
    <row r="31" spans="1:23" ht="51.6" customHeight="1" x14ac:dyDescent="0.35">
      <c r="A31" s="85"/>
      <c r="C31" s="2526" t="s">
        <v>1920</v>
      </c>
      <c r="D31" s="2526"/>
      <c r="E31" s="2526"/>
      <c r="F31" s="2526"/>
      <c r="G31" s="2526"/>
      <c r="H31" s="2526"/>
      <c r="I31" s="2526"/>
      <c r="J31" s="2526"/>
      <c r="K31" s="2526"/>
      <c r="L31" s="2526"/>
      <c r="M31" s="2526"/>
      <c r="N31" s="2526"/>
      <c r="O31" s="2526"/>
      <c r="P31" s="2526"/>
      <c r="Q31" s="2526"/>
      <c r="R31" s="2526"/>
      <c r="S31" s="2526"/>
      <c r="T31" s="2526"/>
      <c r="U31" s="2526"/>
      <c r="V31" s="2526"/>
      <c r="W31" s="2526"/>
    </row>
    <row r="32" spans="1:23" ht="22.15" customHeight="1" x14ac:dyDescent="0.35">
      <c r="A32" s="85"/>
      <c r="C32" s="2526" t="s">
        <v>1921</v>
      </c>
      <c r="D32" s="2526"/>
      <c r="E32" s="2526"/>
      <c r="F32" s="2526"/>
      <c r="G32" s="2526"/>
      <c r="H32" s="2526"/>
      <c r="I32" s="2526"/>
      <c r="J32" s="2526"/>
      <c r="K32" s="2526"/>
      <c r="L32" s="2526"/>
      <c r="M32" s="2526"/>
      <c r="N32" s="2526"/>
      <c r="O32" s="2526"/>
      <c r="P32" s="2526"/>
      <c r="Q32" s="2526"/>
      <c r="R32" s="2526"/>
      <c r="S32" s="2526"/>
      <c r="T32" s="2526"/>
      <c r="U32" s="2526"/>
      <c r="V32" s="2526"/>
      <c r="W32" s="2526"/>
    </row>
    <row r="33" spans="1:23" ht="15" customHeight="1" x14ac:dyDescent="0.35">
      <c r="A33" s="85"/>
      <c r="C33" s="2526" t="s">
        <v>1922</v>
      </c>
      <c r="D33" s="2526"/>
      <c r="E33" s="2526"/>
      <c r="F33" s="2526"/>
      <c r="G33" s="2526"/>
      <c r="H33" s="2526"/>
      <c r="I33" s="2526"/>
      <c r="J33" s="2526"/>
      <c r="K33" s="2526"/>
      <c r="L33" s="2526"/>
      <c r="M33" s="2526"/>
      <c r="N33" s="2526"/>
      <c r="O33" s="2526"/>
      <c r="P33" s="2526"/>
      <c r="Q33" s="2526"/>
      <c r="R33" s="2526"/>
      <c r="S33" s="2526"/>
      <c r="T33" s="545"/>
      <c r="U33" s="545"/>
      <c r="V33" s="155"/>
      <c r="W33" s="155"/>
    </row>
    <row r="34" spans="1:23" ht="15" customHeight="1" x14ac:dyDescent="0.35">
      <c r="A34" s="85"/>
      <c r="C34" s="2526" t="s">
        <v>1923</v>
      </c>
      <c r="D34" s="2526"/>
      <c r="E34" s="2526"/>
      <c r="F34" s="2526"/>
      <c r="G34" s="2526"/>
      <c r="H34" s="2526"/>
      <c r="I34" s="2526"/>
      <c r="J34" s="2526"/>
      <c r="K34" s="2526"/>
      <c r="L34" s="2526"/>
      <c r="M34" s="2526"/>
      <c r="N34" s="2526"/>
      <c r="O34" s="2526"/>
      <c r="P34" s="2526"/>
      <c r="Q34" s="2526"/>
      <c r="R34" s="2526"/>
      <c r="S34" s="2526"/>
      <c r="T34" s="545"/>
      <c r="U34" s="545"/>
      <c r="V34" s="155"/>
      <c r="W34" s="155"/>
    </row>
    <row r="35" spans="1:23" ht="15" customHeight="1" x14ac:dyDescent="0.35">
      <c r="A35" s="85"/>
      <c r="D35" s="837"/>
      <c r="E35" s="837"/>
      <c r="F35" s="837"/>
      <c r="G35" s="837"/>
      <c r="H35" s="837"/>
      <c r="I35" s="837"/>
      <c r="J35" s="837"/>
      <c r="K35" s="837"/>
      <c r="L35" s="837"/>
      <c r="M35" s="837"/>
      <c r="N35" s="837"/>
      <c r="O35" s="837"/>
      <c r="P35" s="837"/>
    </row>
    <row r="36" spans="1:23" ht="15" customHeight="1" x14ac:dyDescent="0.35">
      <c r="A36" s="85"/>
      <c r="D36" s="837"/>
      <c r="E36" s="837"/>
      <c r="F36" s="837"/>
      <c r="G36" s="837"/>
      <c r="H36" s="837"/>
      <c r="I36" s="837"/>
      <c r="J36" s="837"/>
      <c r="K36" s="837"/>
      <c r="L36" s="837"/>
      <c r="M36" s="837"/>
      <c r="N36" s="837"/>
      <c r="O36" s="837"/>
      <c r="P36" s="837"/>
    </row>
    <row r="37" spans="1:23" ht="38.25" customHeight="1" x14ac:dyDescent="0.35">
      <c r="A37" s="85"/>
      <c r="D37" s="837"/>
      <c r="E37" s="837"/>
      <c r="F37" s="837"/>
      <c r="G37" s="837"/>
      <c r="H37" s="837"/>
      <c r="I37" s="837"/>
      <c r="J37" s="837"/>
      <c r="K37" s="837"/>
      <c r="L37" s="837"/>
      <c r="M37" s="837"/>
      <c r="N37" s="837"/>
      <c r="O37" s="837"/>
      <c r="P37" s="837"/>
    </row>
    <row r="38" spans="1:23" ht="37.9" customHeight="1" x14ac:dyDescent="0.35">
      <c r="A38" s="85"/>
      <c r="C38" s="2660" t="s">
        <v>1924</v>
      </c>
      <c r="D38" s="2660"/>
      <c r="E38" s="2660"/>
      <c r="F38" s="2660"/>
      <c r="G38" s="2660"/>
      <c r="H38" s="2660"/>
      <c r="I38" s="2660"/>
      <c r="J38" s="2660"/>
      <c r="K38" s="2660"/>
      <c r="L38" s="2660"/>
      <c r="M38" s="2660"/>
      <c r="N38" s="2660"/>
      <c r="O38" s="2660"/>
      <c r="P38" s="2660"/>
      <c r="Q38" s="837"/>
      <c r="V38" s="838"/>
    </row>
    <row r="39" spans="1:23" x14ac:dyDescent="0.35">
      <c r="A39" s="85"/>
    </row>
    <row r="40" spans="1:23" x14ac:dyDescent="0.35">
      <c r="V40" s="84"/>
    </row>
    <row r="58" spans="1:17" x14ac:dyDescent="0.35">
      <c r="C58" s="74"/>
    </row>
    <row r="60" spans="1:17" x14ac:dyDescent="0.35">
      <c r="C60" s="74"/>
    </row>
    <row r="62" spans="1:17" ht="18.75" x14ac:dyDescent="0.35">
      <c r="C62" s="36" t="s">
        <v>1925</v>
      </c>
    </row>
    <row r="63" spans="1:17" ht="51" customHeight="1" x14ac:dyDescent="0.35">
      <c r="A63" s="839"/>
      <c r="B63" s="840"/>
      <c r="C63" s="352"/>
      <c r="D63" s="352"/>
      <c r="E63" s="838"/>
      <c r="F63" s="352"/>
      <c r="G63" s="352"/>
      <c r="H63" s="352"/>
      <c r="I63" s="352"/>
      <c r="J63" s="352"/>
      <c r="K63" s="352"/>
      <c r="L63" s="352"/>
      <c r="M63" s="352"/>
    </row>
    <row r="64" spans="1:17" ht="23.25" customHeight="1" x14ac:dyDescent="0.35">
      <c r="A64" s="839"/>
      <c r="B64" s="840"/>
      <c r="C64" s="841"/>
      <c r="D64" s="351" t="s">
        <v>1926</v>
      </c>
      <c r="E64" s="351" t="s">
        <v>1927</v>
      </c>
      <c r="F64" s="2718" t="s">
        <v>1928</v>
      </c>
      <c r="G64" s="2718"/>
      <c r="H64" s="2718" t="s">
        <v>1929</v>
      </c>
      <c r="I64" s="2718"/>
      <c r="J64" s="351" t="s">
        <v>1930</v>
      </c>
      <c r="K64" s="2718" t="s">
        <v>1931</v>
      </c>
      <c r="L64" s="2718"/>
      <c r="M64" s="351" t="s">
        <v>1932</v>
      </c>
      <c r="N64" s="840"/>
      <c r="O64" s="352"/>
      <c r="P64" s="840"/>
      <c r="Q64" s="839"/>
    </row>
    <row r="65" spans="1:17" ht="32.25" customHeight="1" x14ac:dyDescent="0.35">
      <c r="A65" s="839"/>
      <c r="B65" s="840"/>
      <c r="C65" s="351" t="s">
        <v>1911</v>
      </c>
      <c r="D65" s="842">
        <f>+D24</f>
        <v>99.5</v>
      </c>
      <c r="E65" s="842">
        <f>+G24</f>
        <v>87.06</v>
      </c>
      <c r="F65" s="2717">
        <f>+J24</f>
        <v>97.12</v>
      </c>
      <c r="G65" s="2717"/>
      <c r="H65" s="2717">
        <f>+M24</f>
        <v>81.84</v>
      </c>
      <c r="I65" s="2717"/>
      <c r="J65" s="842">
        <f>+P24</f>
        <v>91.8</v>
      </c>
      <c r="K65" s="2717">
        <f>+S24</f>
        <v>97.94</v>
      </c>
      <c r="L65" s="2717"/>
      <c r="M65" s="842">
        <f>+V24</f>
        <v>98.71</v>
      </c>
      <c r="N65" s="840"/>
      <c r="O65" s="352"/>
      <c r="P65" s="840"/>
      <c r="Q65" s="839"/>
    </row>
    <row r="66" spans="1:17" ht="49.5" x14ac:dyDescent="0.35">
      <c r="A66" s="839"/>
      <c r="B66" s="840"/>
      <c r="C66" s="843" t="s">
        <v>1933</v>
      </c>
      <c r="D66" s="842">
        <f>+E24</f>
        <v>99.08</v>
      </c>
      <c r="E66" s="842">
        <f>+H24</f>
        <v>89.47</v>
      </c>
      <c r="F66" s="2717">
        <f>+K24</f>
        <v>93.87</v>
      </c>
      <c r="G66" s="2717"/>
      <c r="H66" s="2717">
        <f>+N24</f>
        <v>88.34</v>
      </c>
      <c r="I66" s="2717"/>
      <c r="J66" s="842">
        <f>+Q24</f>
        <v>97.24</v>
      </c>
      <c r="K66" s="2717">
        <f>+T24</f>
        <v>97.75</v>
      </c>
      <c r="L66" s="2717"/>
      <c r="M66" s="842">
        <f>+W24</f>
        <v>97.96</v>
      </c>
      <c r="N66" s="840"/>
      <c r="O66" s="352"/>
      <c r="P66" s="840"/>
      <c r="Q66" s="839"/>
    </row>
    <row r="67" spans="1:17" x14ac:dyDescent="0.35">
      <c r="A67" s="839"/>
      <c r="B67" s="839"/>
      <c r="C67" s="250"/>
      <c r="D67" s="250"/>
      <c r="E67" s="250"/>
      <c r="F67" s="250"/>
      <c r="G67" s="250"/>
      <c r="H67" s="250"/>
      <c r="I67" s="250"/>
      <c r="J67" s="250"/>
      <c r="K67" s="250"/>
      <c r="L67" s="250"/>
      <c r="M67" s="250"/>
      <c r="N67" s="840"/>
      <c r="O67" s="352"/>
      <c r="P67" s="840"/>
      <c r="Q67" s="839"/>
    </row>
    <row r="68" spans="1:17" x14ac:dyDescent="0.35">
      <c r="A68" s="839"/>
      <c r="B68" s="839"/>
      <c r="C68" s="250"/>
      <c r="D68" s="250"/>
      <c r="E68" s="250"/>
      <c r="F68" s="250"/>
      <c r="G68" s="250"/>
      <c r="H68" s="250"/>
      <c r="I68" s="250"/>
      <c r="J68" s="250"/>
      <c r="K68" s="250"/>
      <c r="L68" s="250"/>
      <c r="M68" s="250"/>
      <c r="N68" s="840"/>
      <c r="O68" s="352"/>
      <c r="P68" s="839"/>
      <c r="Q68" s="839"/>
    </row>
    <row r="69" spans="1:17" x14ac:dyDescent="0.35">
      <c r="A69" s="839"/>
      <c r="B69" s="839"/>
      <c r="C69" s="840"/>
      <c r="D69" s="840"/>
      <c r="E69" s="840"/>
      <c r="F69" s="840"/>
      <c r="G69" s="840"/>
      <c r="H69" s="840"/>
      <c r="I69" s="840"/>
      <c r="J69" s="840"/>
      <c r="K69" s="840"/>
      <c r="L69" s="840"/>
      <c r="M69" s="840"/>
      <c r="N69" s="840"/>
      <c r="O69" s="839"/>
      <c r="P69" s="839"/>
      <c r="Q69" s="839"/>
    </row>
    <row r="70" spans="1:17" x14ac:dyDescent="0.35">
      <c r="A70" s="839"/>
      <c r="B70" s="839"/>
      <c r="C70" s="840"/>
      <c r="D70" s="840"/>
      <c r="E70" s="840"/>
      <c r="F70" s="840"/>
      <c r="G70" s="840"/>
      <c r="H70" s="840"/>
      <c r="I70" s="840"/>
      <c r="J70" s="840"/>
      <c r="K70" s="840"/>
      <c r="L70" s="840"/>
      <c r="M70" s="840"/>
      <c r="N70" s="840"/>
      <c r="O70" s="839"/>
      <c r="P70" s="839"/>
      <c r="Q70" s="839"/>
    </row>
    <row r="71" spans="1:17" x14ac:dyDescent="0.35">
      <c r="C71" s="840"/>
      <c r="D71" s="840"/>
      <c r="E71" s="840"/>
      <c r="F71" s="840"/>
      <c r="G71" s="840"/>
      <c r="H71" s="840"/>
      <c r="I71" s="840"/>
      <c r="J71" s="840"/>
      <c r="K71" s="840"/>
      <c r="L71" s="840"/>
      <c r="M71" s="840"/>
      <c r="N71" s="840"/>
      <c r="O71" s="839"/>
      <c r="P71" s="839"/>
      <c r="Q71" s="839"/>
    </row>
  </sheetData>
  <mergeCells count="36">
    <mergeCell ref="A5:B5"/>
    <mergeCell ref="C5:W5"/>
    <mergeCell ref="C1:D1"/>
    <mergeCell ref="A3:B3"/>
    <mergeCell ref="C3:W3"/>
    <mergeCell ref="A4:B4"/>
    <mergeCell ref="C4:W4"/>
    <mergeCell ref="C31:W31"/>
    <mergeCell ref="A6:B6"/>
    <mergeCell ref="C6:W6"/>
    <mergeCell ref="C9:W9"/>
    <mergeCell ref="C11:C12"/>
    <mergeCell ref="D11:E11"/>
    <mergeCell ref="G11:H11"/>
    <mergeCell ref="J11:K11"/>
    <mergeCell ref="M11:N11"/>
    <mergeCell ref="P11:Q11"/>
    <mergeCell ref="S11:T11"/>
    <mergeCell ref="V11:W11"/>
    <mergeCell ref="C27:W27"/>
    <mergeCell ref="C28:W28"/>
    <mergeCell ref="C29:W29"/>
    <mergeCell ref="C30:W30"/>
    <mergeCell ref="C32:W32"/>
    <mergeCell ref="C33:S33"/>
    <mergeCell ref="C34:S34"/>
    <mergeCell ref="C38:P38"/>
    <mergeCell ref="F64:G64"/>
    <mergeCell ref="H64:I64"/>
    <mergeCell ref="K64:L64"/>
    <mergeCell ref="F65:G65"/>
    <mergeCell ref="H65:I65"/>
    <mergeCell ref="K65:L65"/>
    <mergeCell ref="F66:G66"/>
    <mergeCell ref="H66:I66"/>
    <mergeCell ref="K66:L66"/>
  </mergeCells>
  <hyperlinks>
    <hyperlink ref="A1" location="'ODS 4.'!A1" display="REGRESAR" xr:uid="{C0B67402-FA84-4B6A-8569-1A7EFF379FDC}"/>
    <hyperlink ref="C1" location="'Metadato 4.a.1'!A1" display="VER METADATO" xr:uid="{37620779-4F78-4C48-972D-D00CE6218008}"/>
  </hyperlinks>
  <pageMargins left="0.17" right="0.17" top="0.17" bottom="0.17" header="0.3" footer="0.17"/>
  <pageSetup scale="64" fitToHeight="0" orientation="landscape" r:id="rId1"/>
  <rowBreaks count="1" manualBreakCount="1">
    <brk id="33" max="16383"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69BE-37AA-4340-AD41-4310109222C0}">
  <sheetPr>
    <tabColor theme="1" tint="0.499984740745262"/>
  </sheetPr>
  <dimension ref="A1:F43"/>
  <sheetViews>
    <sheetView showGridLines="0" zoomScaleNormal="100" workbookViewId="0">
      <pane ySplit="1" topLeftCell="A2" activePane="bottomLeft" state="frozen"/>
      <selection pane="bottomLeft"/>
    </sheetView>
  </sheetViews>
  <sheetFormatPr baseColWidth="10" defaultColWidth="11.5703125" defaultRowHeight="18.75" x14ac:dyDescent="0.4"/>
  <cols>
    <col min="1" max="1" width="11" style="5" customWidth="1"/>
    <col min="2" max="2" width="22" style="5" customWidth="1"/>
    <col min="3" max="3" width="11.28515625" style="5" customWidth="1"/>
    <col min="4" max="4" width="81.7109375" style="5" customWidth="1"/>
    <col min="5" max="5" width="11.28515625" style="5" customWidth="1"/>
    <col min="6" max="6" width="7.28515625" style="5" customWidth="1"/>
    <col min="7" max="16384" width="11.5703125" style="5"/>
  </cols>
  <sheetData>
    <row r="1" spans="1:6" x14ac:dyDescent="0.4">
      <c r="B1" s="158" t="s">
        <v>39</v>
      </c>
    </row>
    <row r="2" spans="1:6" ht="19.5" thickBot="1" x14ac:dyDescent="0.45"/>
    <row r="3" spans="1:6" ht="20.25" thickBot="1" x14ac:dyDescent="0.45">
      <c r="B3" s="2678" t="s">
        <v>75</v>
      </c>
      <c r="C3" s="2678"/>
      <c r="D3" s="2678"/>
      <c r="F3" s="91" t="s">
        <v>76</v>
      </c>
    </row>
    <row r="4" spans="1:6" ht="37.5" x14ac:dyDescent="0.4">
      <c r="A4" s="92"/>
      <c r="B4" s="2606" t="s">
        <v>234</v>
      </c>
      <c r="C4" s="2606"/>
      <c r="D4" s="359" t="s">
        <v>1688</v>
      </c>
    </row>
    <row r="5" spans="1:6" ht="56.25" x14ac:dyDescent="0.4">
      <c r="B5" s="2445" t="s">
        <v>1934</v>
      </c>
      <c r="C5" s="2445"/>
      <c r="D5" s="49" t="s">
        <v>1661</v>
      </c>
    </row>
    <row r="6" spans="1:6" x14ac:dyDescent="0.4">
      <c r="B6" s="2445" t="s">
        <v>80</v>
      </c>
      <c r="C6" s="2445"/>
      <c r="D6" s="50" t="s">
        <v>1662</v>
      </c>
    </row>
    <row r="7" spans="1:6" x14ac:dyDescent="0.4">
      <c r="B7" s="2446" t="s">
        <v>81</v>
      </c>
      <c r="C7" s="2446"/>
      <c r="D7" s="93" t="s">
        <v>1663</v>
      </c>
    </row>
    <row r="8" spans="1:6" x14ac:dyDescent="0.4">
      <c r="B8" s="2446" t="s">
        <v>82</v>
      </c>
      <c r="C8" s="2446"/>
      <c r="D8" s="94" t="s">
        <v>1935</v>
      </c>
    </row>
    <row r="10" spans="1:6" ht="19.5" x14ac:dyDescent="0.4">
      <c r="B10" s="2678" t="s">
        <v>85</v>
      </c>
      <c r="C10" s="2678"/>
      <c r="D10" s="2678"/>
    </row>
    <row r="11" spans="1:6" x14ac:dyDescent="0.4">
      <c r="B11" s="2633" t="s">
        <v>86</v>
      </c>
      <c r="C11" s="2634"/>
      <c r="D11" s="359" t="s">
        <v>167</v>
      </c>
    </row>
    <row r="12" spans="1:6" ht="56.25" x14ac:dyDescent="0.4">
      <c r="B12" s="2455" t="s">
        <v>88</v>
      </c>
      <c r="C12" s="2455"/>
      <c r="D12" s="214" t="s">
        <v>1936</v>
      </c>
    </row>
    <row r="13" spans="1:6" x14ac:dyDescent="0.4">
      <c r="B13" s="2445" t="s">
        <v>90</v>
      </c>
      <c r="C13" s="2445"/>
      <c r="D13" s="54" t="s">
        <v>1662</v>
      </c>
    </row>
    <row r="14" spans="1:6" x14ac:dyDescent="0.4">
      <c r="B14" s="2445" t="s">
        <v>91</v>
      </c>
      <c r="C14" s="2456"/>
      <c r="D14" s="54" t="s">
        <v>92</v>
      </c>
    </row>
    <row r="15" spans="1:6" ht="281.25" x14ac:dyDescent="0.4">
      <c r="B15" s="2445" t="s">
        <v>93</v>
      </c>
      <c r="C15" s="2445"/>
      <c r="D15" s="204" t="s">
        <v>1937</v>
      </c>
    </row>
    <row r="16" spans="1:6" ht="168.75" x14ac:dyDescent="0.4">
      <c r="B16" s="2445"/>
      <c r="C16" s="2445"/>
      <c r="D16" s="204" t="s">
        <v>1938</v>
      </c>
    </row>
    <row r="17" spans="2:4" ht="113.25" customHeight="1" x14ac:dyDescent="0.4">
      <c r="B17" s="2445"/>
      <c r="C17" s="2445"/>
      <c r="D17" s="204" t="s">
        <v>1939</v>
      </c>
    </row>
    <row r="18" spans="2:4" ht="281.25" x14ac:dyDescent="0.4">
      <c r="B18" s="2445"/>
      <c r="C18" s="2445"/>
      <c r="D18" s="204" t="s">
        <v>1940</v>
      </c>
    </row>
    <row r="19" spans="2:4" ht="75" x14ac:dyDescent="0.4">
      <c r="B19" s="2445" t="s">
        <v>95</v>
      </c>
      <c r="C19" s="2445"/>
      <c r="D19" s="594" t="s">
        <v>1941</v>
      </c>
    </row>
    <row r="20" spans="2:4" ht="30" customHeight="1" x14ac:dyDescent="0.4">
      <c r="B20" s="2445" t="s">
        <v>97</v>
      </c>
      <c r="C20" s="2445"/>
      <c r="D20" s="203" t="s">
        <v>238</v>
      </c>
    </row>
    <row r="21" spans="2:4" x14ac:dyDescent="0.4">
      <c r="B21" s="2446" t="s">
        <v>99</v>
      </c>
      <c r="C21" s="2446"/>
      <c r="D21" s="49"/>
    </row>
    <row r="22" spans="2:4" ht="37.5" x14ac:dyDescent="0.4">
      <c r="B22" s="2457" t="s">
        <v>100</v>
      </c>
      <c r="C22" s="2458"/>
      <c r="D22" s="203" t="s">
        <v>1942</v>
      </c>
    </row>
    <row r="23" spans="2:4" x14ac:dyDescent="0.4">
      <c r="B23" s="2445" t="s">
        <v>102</v>
      </c>
      <c r="C23" s="2445"/>
      <c r="D23" s="203" t="s">
        <v>140</v>
      </c>
    </row>
    <row r="24" spans="2:4" x14ac:dyDescent="0.4">
      <c r="B24" s="2451" t="s">
        <v>104</v>
      </c>
      <c r="C24" s="95" t="s">
        <v>105</v>
      </c>
      <c r="D24" s="49"/>
    </row>
    <row r="25" spans="2:4" ht="37.5" x14ac:dyDescent="0.4">
      <c r="B25" s="2452"/>
      <c r="C25" s="96" t="s">
        <v>107</v>
      </c>
      <c r="D25" s="203" t="s">
        <v>1943</v>
      </c>
    </row>
    <row r="26" spans="2:4" x14ac:dyDescent="0.4">
      <c r="B26" s="2444" t="s">
        <v>109</v>
      </c>
      <c r="C26" s="2444"/>
      <c r="D26" s="203" t="s">
        <v>143</v>
      </c>
    </row>
    <row r="27" spans="2:4" ht="15" customHeight="1" x14ac:dyDescent="0.4">
      <c r="B27" s="2444" t="s">
        <v>111</v>
      </c>
      <c r="C27" s="2444"/>
      <c r="D27" s="205" t="s">
        <v>1706</v>
      </c>
    </row>
    <row r="28" spans="2:4" x14ac:dyDescent="0.4">
      <c r="B28" s="2445" t="s">
        <v>113</v>
      </c>
      <c r="C28" s="2445"/>
      <c r="D28" s="56" t="s">
        <v>1773</v>
      </c>
    </row>
    <row r="29" spans="2:4" x14ac:dyDescent="0.4">
      <c r="B29" s="2446" t="s">
        <v>115</v>
      </c>
      <c r="C29" s="2446"/>
      <c r="D29" s="49" t="s">
        <v>1944</v>
      </c>
    </row>
    <row r="30" spans="2:4" x14ac:dyDescent="0.4">
      <c r="B30" s="2447" t="s">
        <v>117</v>
      </c>
      <c r="C30" s="2448"/>
      <c r="D30" s="49"/>
    </row>
    <row r="31" spans="2:4" x14ac:dyDescent="0.4">
      <c r="B31" s="97" t="s">
        <v>118</v>
      </c>
      <c r="C31" s="98"/>
      <c r="D31" s="49"/>
    </row>
    <row r="32" spans="2:4" x14ac:dyDescent="0.4">
      <c r="B32" s="2449" t="s">
        <v>120</v>
      </c>
      <c r="C32" s="2450"/>
      <c r="D32" s="62"/>
    </row>
    <row r="33" spans="2:4" x14ac:dyDescent="0.4">
      <c r="B33" s="628"/>
      <c r="C33" s="628"/>
      <c r="D33" s="629"/>
    </row>
    <row r="34" spans="2:4" ht="19.5" x14ac:dyDescent="0.4">
      <c r="B34" s="2678" t="s">
        <v>121</v>
      </c>
      <c r="C34" s="2678"/>
      <c r="D34" s="2678"/>
    </row>
    <row r="35" spans="2:4" x14ac:dyDescent="0.4">
      <c r="B35" s="2631" t="s">
        <v>122</v>
      </c>
      <c r="C35" s="2632"/>
      <c r="D35" s="758" t="s">
        <v>1708</v>
      </c>
    </row>
    <row r="36" spans="2:4" x14ac:dyDescent="0.4">
      <c r="B36" s="2442" t="s">
        <v>124</v>
      </c>
      <c r="C36" s="2443"/>
      <c r="D36" s="401" t="s">
        <v>1709</v>
      </c>
    </row>
    <row r="37" spans="2:4" x14ac:dyDescent="0.4">
      <c r="B37" s="2442" t="s">
        <v>126</v>
      </c>
      <c r="C37" s="2443"/>
      <c r="D37" s="699" t="s">
        <v>1706</v>
      </c>
    </row>
    <row r="38" spans="2:4" x14ac:dyDescent="0.4">
      <c r="B38" s="2442" t="s">
        <v>128</v>
      </c>
      <c r="C38" s="2443"/>
      <c r="D38" s="401"/>
    </row>
    <row r="39" spans="2:4" x14ac:dyDescent="0.4">
      <c r="B39" s="2442" t="s">
        <v>130</v>
      </c>
      <c r="C39" s="2443"/>
      <c r="D39" s="401" t="s">
        <v>1710</v>
      </c>
    </row>
    <row r="40" spans="2:4" x14ac:dyDescent="0.4">
      <c r="B40" s="2442" t="s">
        <v>124</v>
      </c>
      <c r="C40" s="2443"/>
      <c r="D40" s="401" t="s">
        <v>1709</v>
      </c>
    </row>
    <row r="41" spans="2:4" x14ac:dyDescent="0.4">
      <c r="B41" s="2442" t="s">
        <v>126</v>
      </c>
      <c r="C41" s="2443"/>
      <c r="D41" s="699" t="s">
        <v>1706</v>
      </c>
    </row>
    <row r="42" spans="2:4" x14ac:dyDescent="0.4">
      <c r="B42" s="2442" t="s">
        <v>128</v>
      </c>
      <c r="C42" s="2443"/>
      <c r="D42" s="401" t="s">
        <v>1945</v>
      </c>
    </row>
    <row r="43" spans="2:4" x14ac:dyDescent="0.4">
      <c r="B43" s="2442" t="s">
        <v>130</v>
      </c>
      <c r="C43" s="2443"/>
      <c r="D43" s="401" t="s">
        <v>1710</v>
      </c>
    </row>
  </sheetData>
  <mergeCells count="37">
    <mergeCell ref="B8:C8"/>
    <mergeCell ref="B3:D3"/>
    <mergeCell ref="B4:C4"/>
    <mergeCell ref="B5:C5"/>
    <mergeCell ref="B6:C6"/>
    <mergeCell ref="B7:C7"/>
    <mergeCell ref="B21:C21"/>
    <mergeCell ref="B10:D10"/>
    <mergeCell ref="B11:C11"/>
    <mergeCell ref="B12:C12"/>
    <mergeCell ref="B13:C13"/>
    <mergeCell ref="B14:C14"/>
    <mergeCell ref="B15:C15"/>
    <mergeCell ref="B16:C16"/>
    <mergeCell ref="B17:C17"/>
    <mergeCell ref="B18:C18"/>
    <mergeCell ref="B19:C19"/>
    <mergeCell ref="B20:C20"/>
    <mergeCell ref="B36:C36"/>
    <mergeCell ref="B22:C22"/>
    <mergeCell ref="B23:C23"/>
    <mergeCell ref="B24:B25"/>
    <mergeCell ref="B26:C26"/>
    <mergeCell ref="B27:C27"/>
    <mergeCell ref="B28:C28"/>
    <mergeCell ref="B29:C29"/>
    <mergeCell ref="B30:C30"/>
    <mergeCell ref="B32:C32"/>
    <mergeCell ref="B34:D34"/>
    <mergeCell ref="B35:C35"/>
    <mergeCell ref="B43:C43"/>
    <mergeCell ref="B37:C37"/>
    <mergeCell ref="B38:C38"/>
    <mergeCell ref="B39:C39"/>
    <mergeCell ref="B40:C40"/>
    <mergeCell ref="B41:C41"/>
    <mergeCell ref="B42:C42"/>
  </mergeCells>
  <dataValidations count="7">
    <dataValidation allowBlank="1" showDropDown="1" showInputMessage="1" showErrorMessage="1" sqref="D13" xr:uid="{F54485C7-C2CD-4B8F-8FD1-4F0A61AB1F23}"/>
    <dataValidation type="list" allowBlank="1" showInputMessage="1" showErrorMessage="1" sqref="D4" xr:uid="{7694305A-E9E3-4D28-A631-458160356627}">
      <formula1>ODS</formula1>
    </dataValidation>
    <dataValidation type="list" allowBlank="1" showInputMessage="1" showErrorMessage="1" sqref="D5" xr:uid="{44C5524A-B86A-4421-A9E0-E207FB0314B5}">
      <formula1>Metas_ODS</formula1>
    </dataValidation>
    <dataValidation type="list" allowBlank="1" showInputMessage="1" showErrorMessage="1" sqref="D6" xr:uid="{120F6103-5FE3-45C5-997E-42B70C3BC0D6}">
      <formula1>Numero_indicador</formula1>
    </dataValidation>
    <dataValidation type="list" allowBlank="1" showInputMessage="1" showErrorMessage="1" sqref="D7:D8" xr:uid="{114B1F6F-05BF-4A38-8C38-F6F8BD6124EB}">
      <formula1>Nombre_indicador_ODS</formula1>
    </dataValidation>
    <dataValidation type="list" allowBlank="1" showInputMessage="1" showErrorMessage="1" sqref="D14" xr:uid="{FDC00D68-160E-4A62-AE20-1753FFB22BE9}">
      <formula1>Tipo_indicador</formula1>
    </dataValidation>
    <dataValidation type="list" allowBlank="1" showInputMessage="1" showErrorMessage="1" sqref="D28" xr:uid="{5C26BD49-C1F7-44F3-BD97-3AB110FF980F}">
      <formula1>Tipo_operación</formula1>
    </dataValidation>
  </dataValidations>
  <hyperlinks>
    <hyperlink ref="B1" location="'4.a.1'!A1" display="REGRESAR" xr:uid="{C6F82DAE-EFA2-41E2-A3FB-BA29EB078788}"/>
    <hyperlink ref="D8" r:id="rId1" xr:uid="{C2E6BC86-146E-4028-8F21-77D947830793}"/>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DEF8-3EBE-43F6-95C3-67683E05F467}">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7" x14ac:dyDescent="0.4">
      <c r="B1" s="158" t="s">
        <v>39</v>
      </c>
    </row>
    <row r="2" spans="1:7" ht="19.5" thickBot="1" x14ac:dyDescent="0.45"/>
    <row r="3" spans="1:7" ht="23.25" customHeight="1" thickBot="1" x14ac:dyDescent="0.45">
      <c r="B3" s="2431" t="s">
        <v>75</v>
      </c>
      <c r="C3" s="2431"/>
      <c r="D3" s="2431"/>
      <c r="F3" s="91" t="s">
        <v>244</v>
      </c>
    </row>
    <row r="4" spans="1:7" x14ac:dyDescent="0.4">
      <c r="A4" s="92"/>
      <c r="B4" s="2445" t="s">
        <v>234</v>
      </c>
      <c r="C4" s="2445"/>
      <c r="D4" s="49" t="s">
        <v>78</v>
      </c>
    </row>
    <row r="5" spans="1:7" ht="54.6" customHeight="1" x14ac:dyDescent="0.4">
      <c r="B5" s="2445" t="s">
        <v>79</v>
      </c>
      <c r="C5" s="2445"/>
      <c r="D5" s="49" t="s">
        <v>17</v>
      </c>
    </row>
    <row r="6" spans="1:7" x14ac:dyDescent="0.4">
      <c r="B6" s="2445" t="s">
        <v>80</v>
      </c>
      <c r="C6" s="2445"/>
      <c r="D6" s="50" t="s">
        <v>20</v>
      </c>
    </row>
    <row r="7" spans="1:7" ht="56.25" x14ac:dyDescent="0.4">
      <c r="B7" s="2446" t="s">
        <v>81</v>
      </c>
      <c r="C7" s="2446"/>
      <c r="D7" s="93" t="s">
        <v>21</v>
      </c>
    </row>
    <row r="8" spans="1:7" x14ac:dyDescent="0.4">
      <c r="B8" s="2446" t="s">
        <v>82</v>
      </c>
      <c r="C8" s="2446"/>
      <c r="D8" s="94" t="s">
        <v>245</v>
      </c>
    </row>
    <row r="10" spans="1:7" ht="23.25" customHeight="1" x14ac:dyDescent="0.4">
      <c r="B10" s="2431" t="s">
        <v>85</v>
      </c>
      <c r="C10" s="2431"/>
      <c r="D10" s="2431"/>
    </row>
    <row r="11" spans="1:7" x14ac:dyDescent="0.4">
      <c r="B11" s="2453" t="s">
        <v>86</v>
      </c>
      <c r="C11" s="2454"/>
      <c r="D11" s="49"/>
    </row>
    <row r="12" spans="1:7" x14ac:dyDescent="0.4">
      <c r="B12" s="2455" t="s">
        <v>88</v>
      </c>
      <c r="C12" s="2455"/>
      <c r="D12" s="184"/>
    </row>
    <row r="13" spans="1:7" x14ac:dyDescent="0.4">
      <c r="B13" s="2445" t="s">
        <v>90</v>
      </c>
      <c r="C13" s="2445"/>
      <c r="D13" s="54"/>
    </row>
    <row r="14" spans="1:7" x14ac:dyDescent="0.4">
      <c r="B14" s="2445" t="s">
        <v>91</v>
      </c>
      <c r="C14" s="2456"/>
      <c r="D14" s="54"/>
    </row>
    <row r="15" spans="1:7" x14ac:dyDescent="0.4">
      <c r="B15" s="2445" t="s">
        <v>93</v>
      </c>
      <c r="C15" s="2445"/>
      <c r="D15" s="49"/>
    </row>
    <row r="16" spans="1:7" x14ac:dyDescent="0.4">
      <c r="B16" s="2445" t="s">
        <v>95</v>
      </c>
      <c r="C16" s="2445"/>
      <c r="D16" s="49"/>
      <c r="G16" s="115"/>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4" t="s">
        <v>109</v>
      </c>
      <c r="C23" s="2444"/>
      <c r="D23" s="49"/>
    </row>
    <row r="24" spans="2:4" x14ac:dyDescent="0.4">
      <c r="B24" s="2444" t="s">
        <v>111</v>
      </c>
      <c r="C24" s="2444"/>
      <c r="D24" s="49"/>
    </row>
    <row r="25" spans="2:4" x14ac:dyDescent="0.4">
      <c r="B25" s="2445" t="s">
        <v>113</v>
      </c>
      <c r="C25" s="2445"/>
      <c r="D25" s="56"/>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2431" t="s">
        <v>121</v>
      </c>
      <c r="C31" s="2431"/>
      <c r="D31" s="2431"/>
    </row>
    <row r="32" spans="2:4" x14ac:dyDescent="0.4">
      <c r="B32" s="2442" t="s">
        <v>122</v>
      </c>
      <c r="C32" s="2443"/>
      <c r="D32" s="55"/>
    </row>
    <row r="33" spans="2:4" x14ac:dyDescent="0.4">
      <c r="B33" s="2442" t="s">
        <v>124</v>
      </c>
      <c r="C33" s="2443"/>
      <c r="D33" s="55"/>
    </row>
    <row r="34" spans="2:4" x14ac:dyDescent="0.4">
      <c r="B34" s="2442" t="s">
        <v>126</v>
      </c>
      <c r="C34" s="2443"/>
      <c r="D34" s="185"/>
    </row>
    <row r="35" spans="2:4" x14ac:dyDescent="0.4">
      <c r="B35" s="2442" t="s">
        <v>128</v>
      </c>
      <c r="C35" s="2443"/>
      <c r="D35" s="186"/>
    </row>
    <row r="36" spans="2:4" x14ac:dyDescent="0.4">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71893FF-4289-4DB9-81C7-774DBF7CDAAA}"/>
    <dataValidation type="list" allowBlank="1" showInputMessage="1" showErrorMessage="1" sqref="D4" xr:uid="{1D4D7E4C-E2C9-4B3C-BFF9-7D63253475A9}">
      <formula1>ODS</formula1>
    </dataValidation>
    <dataValidation type="list" allowBlank="1" showInputMessage="1" showErrorMessage="1" sqref="D5" xr:uid="{FDF88A95-B08D-4ED2-A63A-79B71A0C7007}">
      <formula1>Metas_ODS</formula1>
    </dataValidation>
    <dataValidation type="list" allowBlank="1" showInputMessage="1" showErrorMessage="1" sqref="D6" xr:uid="{8DE96E7C-D09F-4633-B11D-CB6B320652A2}">
      <formula1>Numero_indicador</formula1>
    </dataValidation>
    <dataValidation type="list" allowBlank="1" showInputMessage="1" showErrorMessage="1" sqref="D7" xr:uid="{D7390DC0-32AE-4CCF-AF94-AD3267BA4BDA}">
      <formula1>Nombre_indicador_ODS</formula1>
    </dataValidation>
    <dataValidation type="list" allowBlank="1" showInputMessage="1" showErrorMessage="1" sqref="D14" xr:uid="{7102EE20-EBA3-4569-B80F-5BBE8870547C}">
      <formula1>Tipo_indicador</formula1>
    </dataValidation>
    <dataValidation type="list" allowBlank="1" showInputMessage="1" showErrorMessage="1" sqref="D25" xr:uid="{6D68B3D1-9680-4A68-94BD-01D49B803C84}">
      <formula1>Tipo_operación</formula1>
    </dataValidation>
  </dataValidations>
  <hyperlinks>
    <hyperlink ref="B1" location="'1.4.2'!A1" display="REGRESAR" xr:uid="{ECCB258B-36E9-4372-9D54-47FB840224CA}"/>
    <hyperlink ref="D8" r:id="rId1" xr:uid="{22D4A253-7EBB-447E-8017-FAF031506FD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365B-5556-4D13-B703-B3D0BA6A2DAB}">
  <sheetPr>
    <tabColor rgb="FF7030A0"/>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28515625" style="22" customWidth="1"/>
    <col min="3" max="3" width="12.28515625" style="89" customWidth="1"/>
    <col min="4" max="5" width="12.28515625" style="22" customWidth="1"/>
    <col min="6" max="16384" width="11.42578125" style="22"/>
  </cols>
  <sheetData>
    <row r="1" spans="1:16" s="16" customFormat="1" ht="19.5" x14ac:dyDescent="0.4">
      <c r="A1" s="68" t="s">
        <v>39</v>
      </c>
      <c r="B1" s="161"/>
      <c r="C1" s="2421" t="s">
        <v>149</v>
      </c>
      <c r="D1" s="2421"/>
    </row>
    <row r="2" spans="1:16" s="16" customFormat="1" ht="19.5" x14ac:dyDescent="0.4">
      <c r="C2" s="218"/>
    </row>
    <row r="3" spans="1:16" s="16" customFormat="1" ht="14.45" customHeight="1" x14ac:dyDescent="0.4">
      <c r="A3" s="2671" t="s">
        <v>41</v>
      </c>
      <c r="B3" s="2671"/>
      <c r="C3" s="2671" t="s">
        <v>1670</v>
      </c>
      <c r="D3" s="2671"/>
      <c r="E3" s="2671"/>
      <c r="F3" s="2671"/>
      <c r="G3" s="2671"/>
      <c r="H3" s="2671"/>
      <c r="I3" s="2671"/>
      <c r="J3" s="2671"/>
      <c r="K3" s="2671"/>
      <c r="L3" s="2671"/>
      <c r="M3" s="2671"/>
      <c r="N3" s="2671"/>
      <c r="O3" s="2671"/>
      <c r="P3" s="2671"/>
    </row>
    <row r="4" spans="1:16" s="16" customFormat="1" ht="55.15" customHeight="1" x14ac:dyDescent="0.4">
      <c r="A4" s="2671" t="s">
        <v>42</v>
      </c>
      <c r="B4" s="2671"/>
      <c r="C4" s="2672" t="s">
        <v>1664</v>
      </c>
      <c r="D4" s="2672"/>
      <c r="E4" s="2672"/>
      <c r="F4" s="2672"/>
      <c r="G4" s="2672"/>
      <c r="H4" s="2672"/>
      <c r="I4" s="2672"/>
      <c r="J4" s="2672"/>
      <c r="K4" s="2672"/>
      <c r="L4" s="2672"/>
      <c r="M4" s="2672"/>
      <c r="N4" s="2672"/>
      <c r="O4" s="2672"/>
      <c r="P4" s="2672"/>
    </row>
    <row r="5" spans="1:16" s="16" customFormat="1" ht="15" customHeight="1" x14ac:dyDescent="0.4">
      <c r="A5" s="2671" t="s">
        <v>43</v>
      </c>
      <c r="B5" s="2671"/>
      <c r="C5" s="2672" t="s">
        <v>1666</v>
      </c>
      <c r="D5" s="2672"/>
      <c r="E5" s="2672"/>
      <c r="F5" s="2672"/>
      <c r="G5" s="2672"/>
      <c r="H5" s="2672"/>
      <c r="I5" s="2672"/>
      <c r="J5" s="2672"/>
      <c r="K5" s="2672"/>
      <c r="L5" s="2672"/>
      <c r="M5" s="2672"/>
      <c r="N5" s="2672"/>
      <c r="O5" s="2672"/>
      <c r="P5" s="2672"/>
    </row>
    <row r="6" spans="1:16" s="16" customFormat="1" ht="19.5" x14ac:dyDescent="0.4">
      <c r="A6" s="2671" t="s">
        <v>132</v>
      </c>
      <c r="B6" s="2671"/>
      <c r="C6" s="2671" t="s">
        <v>242</v>
      </c>
      <c r="D6" s="2671"/>
      <c r="E6" s="2671"/>
      <c r="F6" s="2671"/>
      <c r="G6" s="2671"/>
      <c r="H6" s="2671"/>
      <c r="I6" s="2671"/>
      <c r="J6" s="2671"/>
      <c r="K6" s="2671"/>
      <c r="L6" s="2671"/>
      <c r="M6" s="2671"/>
      <c r="N6" s="2671"/>
      <c r="O6" s="2671"/>
      <c r="P6" s="2671"/>
    </row>
    <row r="7" spans="1:16" s="16" customFormat="1" ht="19.5" x14ac:dyDescent="0.4">
      <c r="A7" s="217"/>
      <c r="C7" s="218"/>
    </row>
    <row r="8" spans="1:16" s="16" customFormat="1" ht="19.5" x14ac:dyDescent="0.4">
      <c r="A8" s="217"/>
      <c r="C8" s="218"/>
    </row>
    <row r="9" spans="1:16" s="16" customFormat="1" ht="11.25" customHeight="1" x14ac:dyDescent="0.4">
      <c r="A9" s="217"/>
      <c r="C9" s="2506" t="s">
        <v>650</v>
      </c>
      <c r="D9" s="2506"/>
      <c r="E9" s="2506"/>
      <c r="F9" s="2506"/>
      <c r="G9" s="2506"/>
      <c r="H9" s="2506"/>
      <c r="I9" s="2506"/>
      <c r="J9" s="2506"/>
      <c r="K9" s="2506"/>
      <c r="L9" s="2506"/>
      <c r="M9" s="2506"/>
      <c r="N9" s="2506"/>
      <c r="O9" s="2506"/>
      <c r="P9" s="2506"/>
    </row>
    <row r="10" spans="1:16" s="16" customFormat="1" ht="11.25" customHeight="1" x14ac:dyDescent="0.4">
      <c r="A10" s="217"/>
      <c r="C10" s="2506"/>
      <c r="D10" s="2506"/>
      <c r="E10" s="2506"/>
      <c r="F10" s="2506"/>
      <c r="G10" s="2506"/>
      <c r="H10" s="2506"/>
      <c r="I10" s="2506"/>
      <c r="J10" s="2506"/>
      <c r="K10" s="2506"/>
      <c r="L10" s="2506"/>
      <c r="M10" s="2506"/>
      <c r="N10" s="2506"/>
      <c r="O10" s="2506"/>
      <c r="P10" s="2506"/>
    </row>
    <row r="11" spans="1:16" s="16" customFormat="1" ht="19.5" x14ac:dyDescent="0.4">
      <c r="A11" s="217"/>
      <c r="C11" s="218"/>
    </row>
    <row r="12" spans="1:16" s="16" customFormat="1" ht="11.25" customHeight="1" x14ac:dyDescent="0.4">
      <c r="A12" s="217"/>
      <c r="C12" s="218"/>
    </row>
    <row r="13" spans="1:16" s="16" customFormat="1" ht="11.25" customHeight="1" x14ac:dyDescent="0.4">
      <c r="A13" s="217"/>
      <c r="C13" s="2493" t="s">
        <v>1946</v>
      </c>
      <c r="D13" s="2493"/>
      <c r="E13" s="2493"/>
      <c r="F13" s="2493"/>
      <c r="G13" s="2493"/>
      <c r="H13" s="2493"/>
      <c r="I13" s="2493"/>
      <c r="J13" s="2493"/>
      <c r="K13" s="2493"/>
      <c r="L13" s="2493"/>
      <c r="M13" s="2493"/>
      <c r="N13" s="2493"/>
      <c r="O13" s="374"/>
    </row>
    <row r="14" spans="1:16" s="16" customFormat="1" ht="11.25" customHeight="1" x14ac:dyDescent="0.4">
      <c r="A14" s="217"/>
      <c r="C14" s="2493"/>
      <c r="D14" s="2493"/>
      <c r="E14" s="2493"/>
      <c r="F14" s="2493"/>
      <c r="G14" s="2493"/>
      <c r="H14" s="2493"/>
      <c r="I14" s="2493"/>
      <c r="J14" s="2493"/>
      <c r="K14" s="2493"/>
      <c r="L14" s="2493"/>
      <c r="M14" s="2493"/>
      <c r="N14" s="2493"/>
      <c r="O14" s="374"/>
    </row>
    <row r="15" spans="1:16" s="16" customFormat="1" ht="11.25" customHeight="1" x14ac:dyDescent="0.4">
      <c r="A15" s="217"/>
      <c r="C15" s="2493"/>
      <c r="D15" s="2493"/>
      <c r="E15" s="2493"/>
      <c r="F15" s="2493"/>
      <c r="G15" s="2493"/>
      <c r="H15" s="2493"/>
      <c r="I15" s="2493"/>
      <c r="J15" s="2493"/>
      <c r="K15" s="2493"/>
      <c r="L15" s="2493"/>
      <c r="M15" s="2493"/>
      <c r="N15" s="2493"/>
      <c r="O15" s="374"/>
    </row>
    <row r="16" spans="1:16" s="16" customFormat="1" ht="19.5" x14ac:dyDescent="0.4">
      <c r="A16" s="217"/>
      <c r="C16" s="2493"/>
      <c r="D16" s="2493"/>
      <c r="E16" s="2493"/>
      <c r="F16" s="2493"/>
      <c r="G16" s="2493"/>
      <c r="H16" s="2493"/>
      <c r="I16" s="2493"/>
      <c r="J16" s="2493"/>
      <c r="K16" s="2493"/>
      <c r="L16" s="2493"/>
      <c r="M16" s="2493"/>
      <c r="N16" s="2493"/>
      <c r="O16" s="374"/>
    </row>
    <row r="17" spans="1:15" s="16" customFormat="1" ht="19.5" x14ac:dyDescent="0.4">
      <c r="A17" s="217"/>
      <c r="C17" s="2493"/>
      <c r="D17" s="2493"/>
      <c r="E17" s="2493"/>
      <c r="F17" s="2493"/>
      <c r="G17" s="2493"/>
      <c r="H17" s="2493"/>
      <c r="I17" s="2493"/>
      <c r="J17" s="2493"/>
      <c r="K17" s="2493"/>
      <c r="L17" s="2493"/>
      <c r="M17" s="2493"/>
      <c r="N17" s="2493"/>
      <c r="O17" s="374"/>
    </row>
    <row r="18" spans="1:15" s="16" customFormat="1" ht="19.5" x14ac:dyDescent="0.4">
      <c r="A18" s="217"/>
      <c r="C18" s="2493"/>
      <c r="D18" s="2493"/>
      <c r="E18" s="2493"/>
      <c r="F18" s="2493"/>
      <c r="G18" s="2493"/>
      <c r="H18" s="2493"/>
      <c r="I18" s="2493"/>
      <c r="J18" s="2493"/>
      <c r="K18" s="2493"/>
      <c r="L18" s="2493"/>
      <c r="M18" s="2493"/>
      <c r="N18" s="2493"/>
      <c r="O18" s="374"/>
    </row>
    <row r="19" spans="1:15" s="16" customFormat="1" ht="19.5" x14ac:dyDescent="0.4">
      <c r="A19" s="217"/>
      <c r="C19" s="2493"/>
      <c r="D19" s="2493"/>
      <c r="E19" s="2493"/>
      <c r="F19" s="2493"/>
      <c r="G19" s="2493"/>
      <c r="H19" s="2493"/>
      <c r="I19" s="2493"/>
      <c r="J19" s="2493"/>
      <c r="K19" s="2493"/>
      <c r="L19" s="2493"/>
      <c r="M19" s="2493"/>
      <c r="N19" s="2493"/>
      <c r="O19" s="374"/>
    </row>
    <row r="20" spans="1:15" x14ac:dyDescent="0.25">
      <c r="A20" s="23"/>
    </row>
    <row r="21" spans="1:15" x14ac:dyDescent="0.25">
      <c r="A21" s="23"/>
    </row>
    <row r="22" spans="1:15" ht="15.75" x14ac:dyDescent="0.25">
      <c r="A22" s="221"/>
      <c r="B22" s="220"/>
      <c r="C22" s="220"/>
      <c r="D22" s="220"/>
      <c r="E22" s="220"/>
      <c r="F22" s="220"/>
      <c r="G22" s="220"/>
      <c r="H22" s="220"/>
      <c r="I22" s="220"/>
      <c r="J22" s="220"/>
      <c r="K22" s="220"/>
      <c r="L22" s="220"/>
      <c r="M22" s="220"/>
      <c r="N22" s="220"/>
      <c r="O22" s="220"/>
    </row>
    <row r="23" spans="1:15" ht="15.75" x14ac:dyDescent="0.25">
      <c r="A23" s="221"/>
      <c r="B23" s="220"/>
      <c r="C23" s="220"/>
      <c r="D23" s="220"/>
      <c r="E23" s="220"/>
      <c r="F23" s="220"/>
      <c r="G23" s="220"/>
      <c r="H23" s="220"/>
      <c r="I23" s="220"/>
      <c r="J23" s="220"/>
      <c r="K23" s="220"/>
      <c r="L23" s="220"/>
      <c r="M23" s="220"/>
      <c r="N23" s="220"/>
      <c r="O23" s="220"/>
    </row>
    <row r="24" spans="1:15" ht="15.75" x14ac:dyDescent="0.25">
      <c r="A24" s="221"/>
      <c r="B24" s="220"/>
      <c r="C24" s="220"/>
      <c r="D24" s="220"/>
      <c r="E24" s="220"/>
      <c r="F24" s="220"/>
      <c r="G24" s="220"/>
      <c r="H24" s="220"/>
      <c r="I24" s="220"/>
      <c r="J24" s="220"/>
      <c r="K24" s="220"/>
      <c r="L24" s="220"/>
      <c r="M24" s="220"/>
      <c r="N24" s="220"/>
      <c r="O24" s="220"/>
    </row>
    <row r="25" spans="1:15" ht="15.75" x14ac:dyDescent="0.25">
      <c r="A25" s="221"/>
      <c r="B25" s="220"/>
      <c r="C25" s="220"/>
      <c r="D25" s="220"/>
      <c r="E25" s="220"/>
      <c r="F25" s="220"/>
      <c r="G25" s="220"/>
      <c r="H25" s="220"/>
      <c r="I25" s="220"/>
      <c r="J25" s="220"/>
      <c r="K25" s="220"/>
      <c r="L25" s="220"/>
      <c r="M25" s="220"/>
      <c r="N25" s="220"/>
      <c r="O25" s="220"/>
    </row>
    <row r="26" spans="1:15" ht="15.75" x14ac:dyDescent="0.25">
      <c r="A26" s="221"/>
      <c r="B26" s="220"/>
      <c r="C26" s="220"/>
      <c r="D26" s="220"/>
      <c r="E26" s="220"/>
      <c r="F26" s="220"/>
      <c r="G26" s="220"/>
      <c r="H26" s="220"/>
      <c r="I26" s="220"/>
      <c r="J26" s="220"/>
      <c r="K26" s="220"/>
      <c r="L26" s="220"/>
      <c r="M26" s="220"/>
      <c r="N26" s="220"/>
      <c r="O26" s="220"/>
    </row>
    <row r="27" spans="1:15" ht="16.5" x14ac:dyDescent="0.35">
      <c r="A27" s="2494" t="s">
        <v>652</v>
      </c>
      <c r="B27" s="2494"/>
      <c r="C27" s="2494"/>
      <c r="D27" s="2494"/>
      <c r="E27" s="2494"/>
      <c r="F27" s="2494"/>
      <c r="G27" s="2494"/>
      <c r="H27" s="2494"/>
      <c r="I27" s="2494"/>
      <c r="J27" s="2494"/>
      <c r="K27" s="2494"/>
      <c r="L27" s="2494"/>
      <c r="M27" s="2494"/>
      <c r="N27" s="2494"/>
      <c r="O27" s="2494"/>
    </row>
    <row r="28" spans="1:15" x14ac:dyDescent="0.25">
      <c r="A28" s="23"/>
    </row>
    <row r="29" spans="1:15" x14ac:dyDescent="0.25">
      <c r="A29" s="23"/>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4.'!A1" display="REGRESAR" xr:uid="{5FA9F7B7-EA9E-4EC1-8CD9-EB7A055EB92F}"/>
    <hyperlink ref="C1" location="'Metadato 4.b.1'!A1" display="VER METADATO" xr:uid="{57930A5B-DC75-4ABB-8BF9-DFED4AD912E7}"/>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0DA9-895A-451A-ABBA-BD7B585B013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78" t="s">
        <v>75</v>
      </c>
      <c r="C3" s="2678"/>
      <c r="D3" s="2678"/>
      <c r="F3" s="91" t="s">
        <v>317</v>
      </c>
    </row>
    <row r="4" spans="1:6" ht="37.5" x14ac:dyDescent="0.25">
      <c r="A4" s="224"/>
      <c r="B4" s="2606" t="s">
        <v>234</v>
      </c>
      <c r="C4" s="2606"/>
      <c r="D4" s="359" t="s">
        <v>1688</v>
      </c>
    </row>
    <row r="5" spans="1:6" ht="93.75" x14ac:dyDescent="0.25">
      <c r="B5" s="2445" t="s">
        <v>79</v>
      </c>
      <c r="C5" s="2445"/>
      <c r="D5" s="49" t="s">
        <v>1664</v>
      </c>
    </row>
    <row r="6" spans="1:6" x14ac:dyDescent="0.25">
      <c r="B6" s="2445" t="s">
        <v>80</v>
      </c>
      <c r="C6" s="2445"/>
      <c r="D6" s="50" t="s">
        <v>1665</v>
      </c>
    </row>
    <row r="7" spans="1:6" ht="37.5" x14ac:dyDescent="0.25">
      <c r="B7" s="2446" t="s">
        <v>81</v>
      </c>
      <c r="C7" s="2446"/>
      <c r="D7" s="93" t="s">
        <v>1666</v>
      </c>
    </row>
    <row r="8" spans="1:6" x14ac:dyDescent="0.25">
      <c r="B8" s="2457" t="s">
        <v>82</v>
      </c>
      <c r="C8" s="2458"/>
      <c r="D8" s="94" t="s">
        <v>1947</v>
      </c>
    </row>
    <row r="9" spans="1:6" x14ac:dyDescent="0.4">
      <c r="B9" s="5"/>
      <c r="C9" s="5"/>
      <c r="D9" s="5"/>
    </row>
    <row r="10" spans="1:6" ht="23.25" customHeight="1" x14ac:dyDescent="0.25">
      <c r="B10" s="2678" t="s">
        <v>85</v>
      </c>
      <c r="C10" s="2678"/>
      <c r="D10" s="2678"/>
    </row>
    <row r="11" spans="1:6" x14ac:dyDescent="0.25">
      <c r="B11" s="2633" t="s">
        <v>86</v>
      </c>
      <c r="C11" s="2634"/>
      <c r="D11" s="35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321</v>
      </c>
    </row>
    <row r="25" spans="2:4" x14ac:dyDescent="0.25">
      <c r="B25" s="2445" t="s">
        <v>113</v>
      </c>
      <c r="C25" s="2445"/>
      <c r="D25" s="56"/>
    </row>
    <row r="26" spans="2:4" x14ac:dyDescent="0.25">
      <c r="B26" s="2446" t="s">
        <v>115</v>
      </c>
      <c r="C26" s="2446"/>
      <c r="D26" s="49"/>
    </row>
    <row r="27" spans="2:4" x14ac:dyDescent="0.25">
      <c r="B27" s="2447" t="s">
        <v>117</v>
      </c>
      <c r="C27" s="2448"/>
      <c r="D27" s="49"/>
    </row>
    <row r="28" spans="2:4" ht="37.5" x14ac:dyDescent="0.25">
      <c r="B28" s="97" t="s">
        <v>118</v>
      </c>
      <c r="C28" s="98"/>
      <c r="D28" s="56" t="s">
        <v>1948</v>
      </c>
    </row>
    <row r="29" spans="2:4" x14ac:dyDescent="0.25">
      <c r="B29" s="2449" t="s">
        <v>120</v>
      </c>
      <c r="C29" s="2450"/>
      <c r="D29" s="62"/>
    </row>
    <row r="30" spans="2:4" x14ac:dyDescent="0.25">
      <c r="B30" s="628"/>
      <c r="C30" s="628"/>
      <c r="D30" s="629"/>
    </row>
    <row r="31" spans="2:4" ht="23.25" customHeight="1" x14ac:dyDescent="0.25">
      <c r="B31" s="2678" t="s">
        <v>121</v>
      </c>
      <c r="C31" s="2678"/>
      <c r="D31" s="2678"/>
    </row>
    <row r="32" spans="2:4" x14ac:dyDescent="0.25">
      <c r="B32" s="2631" t="s">
        <v>122</v>
      </c>
      <c r="C32" s="2632"/>
      <c r="D32" s="700"/>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C7B364E-D1A4-46A3-A1F8-FADC66EC8BE7}">
      <formula1>Tipo_operación</formula1>
    </dataValidation>
    <dataValidation type="list" allowBlank="1" showInputMessage="1" showErrorMessage="1" sqref="D14" xr:uid="{E983A980-B377-4262-8E99-D7989F90550C}">
      <formula1>Tipo_indicador</formula1>
    </dataValidation>
    <dataValidation type="list" allowBlank="1" showInputMessage="1" showErrorMessage="1" sqref="D7" xr:uid="{2AAC8229-3836-4F30-8433-215196F833C6}">
      <formula1>Nombre_indicador_ODS</formula1>
    </dataValidation>
    <dataValidation type="list" allowBlank="1" showInputMessage="1" showErrorMessage="1" sqref="D6" xr:uid="{FAE08F29-F675-48B5-98BA-63F90B2C4BF1}">
      <formula1>Numero_indicador</formula1>
    </dataValidation>
    <dataValidation type="list" allowBlank="1" showInputMessage="1" showErrorMessage="1" sqref="D5" xr:uid="{703CD310-45C6-4DB0-B972-2DFCA1F097F8}">
      <formula1>Metas_ODS</formula1>
    </dataValidation>
    <dataValidation type="list" allowBlank="1" showInputMessage="1" showErrorMessage="1" sqref="D4" xr:uid="{D53F614E-7648-4A20-B2B0-0F86AAB5C34A}">
      <formula1>ODS</formula1>
    </dataValidation>
    <dataValidation allowBlank="1" showDropDown="1" showInputMessage="1" showErrorMessage="1" sqref="D13" xr:uid="{95106B1D-FA7D-4087-98F8-B436E36CA3EA}"/>
  </dataValidations>
  <hyperlinks>
    <hyperlink ref="B1" location="'4.b.1'!A1" display="REGRESAR" xr:uid="{36887500-AF49-40FB-9087-278FCBFDFA49}"/>
    <hyperlink ref="D8" r:id="rId1" xr:uid="{8D809774-1420-47A7-9BB0-BC4A48BF25AB}"/>
  </hyperlinks>
  <pageMargins left="0.7" right="0.7" top="0.75" bottom="0.75" header="0.3" footer="0.3"/>
  <pageSetup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DF80-7E88-458B-9B06-CD5D7D2D89D6}">
  <dimension ref="A1:AD65"/>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1" width="13.28515625" style="22" customWidth="1"/>
    <col min="2" max="2" width="16.28515625" style="22" customWidth="1"/>
    <col min="3" max="6" width="9.42578125" style="22" customWidth="1"/>
    <col min="7" max="7" width="1.7109375" style="22" customWidth="1"/>
    <col min="8" max="10" width="9.42578125" style="22" customWidth="1"/>
    <col min="11" max="11" width="1.7109375" style="22" customWidth="1"/>
    <col min="12" max="14" width="9.42578125" style="22" customWidth="1"/>
    <col min="15" max="15" width="1.7109375" style="22" customWidth="1"/>
    <col min="16" max="23" width="9.42578125" style="22" customWidth="1"/>
    <col min="24" max="16384" width="11.42578125" style="22"/>
  </cols>
  <sheetData>
    <row r="1" spans="1:23" s="16" customFormat="1" ht="19.5" x14ac:dyDescent="0.4">
      <c r="A1" s="68" t="s">
        <v>39</v>
      </c>
      <c r="C1" s="2421" t="s">
        <v>149</v>
      </c>
      <c r="D1" s="2421"/>
    </row>
    <row r="2" spans="1:23" s="16" customFormat="1" ht="19.5" x14ac:dyDescent="0.4"/>
    <row r="3" spans="1:23" s="16" customFormat="1" ht="16.5" customHeight="1" x14ac:dyDescent="0.4">
      <c r="A3" s="2671" t="s">
        <v>41</v>
      </c>
      <c r="B3" s="2671"/>
      <c r="C3" s="2720" t="s">
        <v>1670</v>
      </c>
      <c r="D3" s="2720"/>
      <c r="E3" s="2720"/>
      <c r="F3" s="2720"/>
      <c r="G3" s="2720"/>
      <c r="H3" s="2720"/>
      <c r="I3" s="2720"/>
      <c r="J3" s="2720"/>
      <c r="K3" s="2720"/>
      <c r="L3" s="2720"/>
      <c r="M3" s="2720"/>
      <c r="N3" s="2720"/>
      <c r="O3" s="2720"/>
      <c r="P3" s="2720"/>
      <c r="Q3" s="2720"/>
      <c r="R3" s="2720"/>
      <c r="S3" s="2720"/>
      <c r="T3" s="2720"/>
      <c r="U3" s="2720"/>
      <c r="V3" s="2720"/>
      <c r="W3" s="2720"/>
    </row>
    <row r="4" spans="1:23" s="16" customFormat="1" ht="31.5" customHeight="1" x14ac:dyDescent="0.4">
      <c r="A4" s="2671" t="s">
        <v>42</v>
      </c>
      <c r="B4" s="2671"/>
      <c r="C4" s="2720" t="s">
        <v>1667</v>
      </c>
      <c r="D4" s="2720"/>
      <c r="E4" s="2720"/>
      <c r="F4" s="2720"/>
      <c r="G4" s="2720"/>
      <c r="H4" s="2720"/>
      <c r="I4" s="2720"/>
      <c r="J4" s="2720"/>
      <c r="K4" s="2720"/>
      <c r="L4" s="2720"/>
      <c r="M4" s="2720"/>
      <c r="N4" s="2720"/>
      <c r="O4" s="2720"/>
      <c r="P4" s="2720"/>
      <c r="Q4" s="2720"/>
      <c r="R4" s="2720"/>
      <c r="S4" s="2720"/>
      <c r="T4" s="2720"/>
      <c r="U4" s="2720"/>
      <c r="V4" s="2720"/>
      <c r="W4" s="2720"/>
    </row>
    <row r="5" spans="1:23" s="16" customFormat="1" ht="18.600000000000001" customHeight="1" x14ac:dyDescent="0.4">
      <c r="A5" s="2672" t="s">
        <v>43</v>
      </c>
      <c r="B5" s="2672"/>
      <c r="C5" s="2720" t="s">
        <v>1949</v>
      </c>
      <c r="D5" s="2720"/>
      <c r="E5" s="2720"/>
      <c r="F5" s="2720"/>
      <c r="G5" s="2720"/>
      <c r="H5" s="2720"/>
      <c r="I5" s="2720"/>
      <c r="J5" s="2720"/>
      <c r="K5" s="2720"/>
      <c r="L5" s="2720"/>
      <c r="M5" s="2720"/>
      <c r="N5" s="2720"/>
      <c r="O5" s="2720"/>
      <c r="P5" s="2720"/>
      <c r="Q5" s="2720"/>
      <c r="R5" s="2720"/>
      <c r="S5" s="2720"/>
      <c r="T5" s="2720"/>
      <c r="U5" s="2720"/>
      <c r="V5" s="2720"/>
      <c r="W5" s="2720"/>
    </row>
    <row r="6" spans="1:23" s="16" customFormat="1" ht="18.600000000000001" customHeight="1" x14ac:dyDescent="0.4">
      <c r="A6" s="2672" t="s">
        <v>132</v>
      </c>
      <c r="B6" s="2672"/>
      <c r="C6" s="2720" t="s">
        <v>1950</v>
      </c>
      <c r="D6" s="2720"/>
      <c r="E6" s="2720"/>
      <c r="F6" s="2720"/>
      <c r="G6" s="2720"/>
      <c r="H6" s="2720"/>
      <c r="I6" s="2720"/>
      <c r="J6" s="2720"/>
      <c r="K6" s="2720"/>
      <c r="L6" s="2720"/>
      <c r="M6" s="2720"/>
      <c r="N6" s="2720"/>
      <c r="O6" s="2720"/>
      <c r="P6" s="2720"/>
      <c r="Q6" s="2720"/>
      <c r="R6" s="2720"/>
      <c r="S6" s="2720"/>
      <c r="T6" s="2720"/>
      <c r="U6" s="2720"/>
      <c r="V6" s="2720"/>
      <c r="W6" s="2720"/>
    </row>
    <row r="7" spans="1:23" s="16" customFormat="1" ht="19.5" x14ac:dyDescent="0.4"/>
    <row r="8" spans="1:23" s="16" customFormat="1" ht="19.5" x14ac:dyDescent="0.4">
      <c r="C8" s="2711" t="s">
        <v>1951</v>
      </c>
      <c r="D8" s="2711"/>
      <c r="E8" s="2711"/>
      <c r="F8" s="2711"/>
      <c r="G8" s="2711"/>
      <c r="H8" s="2711"/>
      <c r="I8" s="2711"/>
      <c r="J8" s="2711"/>
      <c r="K8" s="2711"/>
      <c r="L8" s="2711"/>
      <c r="M8" s="2711"/>
      <c r="N8" s="2711"/>
      <c r="O8" s="2711"/>
      <c r="P8" s="2711"/>
      <c r="Q8" s="2711"/>
      <c r="R8" s="2711"/>
    </row>
    <row r="9" spans="1:23" s="16" customFormat="1" ht="13.15" customHeight="1" x14ac:dyDescent="0.4">
      <c r="C9" s="533"/>
      <c r="D9" s="533"/>
      <c r="E9" s="533"/>
      <c r="F9" s="533"/>
      <c r="G9" s="533"/>
      <c r="H9" s="533"/>
      <c r="I9" s="533"/>
      <c r="J9" s="533"/>
      <c r="K9" s="533"/>
      <c r="L9" s="533"/>
      <c r="M9" s="533"/>
      <c r="N9" s="533"/>
      <c r="O9" s="533"/>
      <c r="P9" s="533"/>
      <c r="Q9" s="533"/>
      <c r="R9" s="533"/>
    </row>
    <row r="10" spans="1:23" ht="17.25" customHeight="1" x14ac:dyDescent="0.25">
      <c r="A10" s="23"/>
      <c r="C10" s="2716" t="s">
        <v>247</v>
      </c>
      <c r="D10" s="2712" t="s">
        <v>1952</v>
      </c>
      <c r="E10" s="2712"/>
      <c r="F10" s="2712"/>
      <c r="G10" s="844"/>
      <c r="H10" s="2712" t="s">
        <v>1953</v>
      </c>
      <c r="I10" s="2712"/>
      <c r="J10" s="2712"/>
      <c r="K10" s="844"/>
      <c r="L10" s="2712" t="s">
        <v>1954</v>
      </c>
      <c r="M10" s="2712"/>
      <c r="N10" s="2712"/>
      <c r="O10" s="844"/>
      <c r="P10" s="2712" t="s">
        <v>1955</v>
      </c>
      <c r="Q10" s="2712"/>
      <c r="R10" s="2712"/>
    </row>
    <row r="11" spans="1:23" ht="17.25" customHeight="1" x14ac:dyDescent="0.25">
      <c r="A11" s="23"/>
      <c r="C11" s="2696"/>
      <c r="D11" s="829" t="s">
        <v>47</v>
      </c>
      <c r="E11" s="829" t="s">
        <v>894</v>
      </c>
      <c r="F11" s="829" t="s">
        <v>895</v>
      </c>
      <c r="G11" s="845"/>
      <c r="H11" s="829" t="s">
        <v>47</v>
      </c>
      <c r="I11" s="829" t="s">
        <v>894</v>
      </c>
      <c r="J11" s="829" t="s">
        <v>895</v>
      </c>
      <c r="K11" s="845"/>
      <c r="L11" s="829" t="s">
        <v>47</v>
      </c>
      <c r="M11" s="829" t="s">
        <v>894</v>
      </c>
      <c r="N11" s="829" t="s">
        <v>895</v>
      </c>
      <c r="O11" s="845"/>
      <c r="P11" s="829" t="s">
        <v>47</v>
      </c>
      <c r="Q11" s="829" t="s">
        <v>894</v>
      </c>
      <c r="R11" s="829" t="s">
        <v>895</v>
      </c>
    </row>
    <row r="12" spans="1:23" ht="15" customHeight="1" x14ac:dyDescent="0.25">
      <c r="A12" s="23"/>
      <c r="C12" s="6">
        <v>2013</v>
      </c>
      <c r="D12" s="614">
        <v>96.081554635234156</v>
      </c>
      <c r="E12" s="614">
        <v>96.453900709219852</v>
      </c>
      <c r="F12" s="614">
        <v>96.051423324150591</v>
      </c>
      <c r="G12" s="846"/>
      <c r="H12" s="614">
        <v>97.399105599604923</v>
      </c>
      <c r="I12" s="614">
        <v>97.40521645603657</v>
      </c>
      <c r="J12" s="614">
        <v>97.397538864568617</v>
      </c>
      <c r="K12" s="846"/>
      <c r="L12" s="614">
        <v>98.350406386764774</v>
      </c>
      <c r="M12" s="614">
        <v>98.354744196529182</v>
      </c>
      <c r="N12" s="614">
        <v>98.347176776575225</v>
      </c>
      <c r="O12" s="846"/>
      <c r="P12" s="614">
        <v>98.285767234988882</v>
      </c>
      <c r="Q12" s="614">
        <v>98.251748251748253</v>
      </c>
      <c r="R12" s="614">
        <v>98.310810810810807</v>
      </c>
    </row>
    <row r="13" spans="1:23" ht="15" customHeight="1" x14ac:dyDescent="0.25">
      <c r="A13" s="23"/>
      <c r="C13" s="6">
        <v>2014</v>
      </c>
      <c r="D13" s="614">
        <v>96.052358196551012</v>
      </c>
      <c r="E13" s="614">
        <v>96.239554317548752</v>
      </c>
      <c r="F13" s="614">
        <v>96.037269869779976</v>
      </c>
      <c r="G13" s="846"/>
      <c r="H13" s="614">
        <v>97.400394806350263</v>
      </c>
      <c r="I13" s="614">
        <v>97.412501702301512</v>
      </c>
      <c r="J13" s="614">
        <v>97.397288988261593</v>
      </c>
      <c r="K13" s="846"/>
      <c r="L13" s="614">
        <v>98.351727794110559</v>
      </c>
      <c r="M13" s="614">
        <v>98.360841058105365</v>
      </c>
      <c r="N13" s="614">
        <v>98.344955053347888</v>
      </c>
      <c r="O13" s="846"/>
      <c r="P13" s="614">
        <v>98.248097681826223</v>
      </c>
      <c r="Q13" s="614">
        <v>98.230272746200285</v>
      </c>
      <c r="R13" s="614">
        <v>98.26127096476381</v>
      </c>
    </row>
    <row r="14" spans="1:23" ht="15" customHeight="1" x14ac:dyDescent="0.25">
      <c r="A14" s="23"/>
      <c r="C14" s="6">
        <v>2015</v>
      </c>
      <c r="D14" s="614">
        <v>97.280873416417762</v>
      </c>
      <c r="E14" s="614">
        <v>97.395079594790161</v>
      </c>
      <c r="F14" s="614">
        <v>97.272122421823013</v>
      </c>
      <c r="G14" s="846"/>
      <c r="H14" s="614">
        <v>97.678652708238516</v>
      </c>
      <c r="I14" s="614">
        <v>97.69349051768323</v>
      </c>
      <c r="J14" s="614">
        <v>97.674733457437796</v>
      </c>
      <c r="K14" s="846"/>
      <c r="L14" s="614">
        <v>98.615318044136728</v>
      </c>
      <c r="M14" s="614">
        <v>98.614708863610772</v>
      </c>
      <c r="N14" s="614">
        <v>98.615771812080538</v>
      </c>
      <c r="O14" s="846"/>
      <c r="P14" s="614">
        <v>98.490442201985388</v>
      </c>
      <c r="Q14" s="614">
        <v>98.494090735798707</v>
      </c>
      <c r="R14" s="614">
        <v>98.487685438571219</v>
      </c>
    </row>
    <row r="15" spans="1:23" ht="15" customHeight="1" x14ac:dyDescent="0.25">
      <c r="A15" s="21"/>
      <c r="C15" s="6">
        <v>2016</v>
      </c>
      <c r="D15" s="614">
        <v>96.660268714011522</v>
      </c>
      <c r="E15" s="614">
        <v>97.218863361547761</v>
      </c>
      <c r="F15" s="614">
        <v>96.612112999061821</v>
      </c>
      <c r="G15" s="846"/>
      <c r="H15" s="614">
        <v>97.48722209633155</v>
      </c>
      <c r="I15" s="614">
        <v>97.502986857825562</v>
      </c>
      <c r="J15" s="614">
        <v>97.483012728490763</v>
      </c>
      <c r="K15" s="846"/>
      <c r="L15" s="614">
        <v>98.851904592381629</v>
      </c>
      <c r="M15" s="614">
        <v>98.840125391849526</v>
      </c>
      <c r="N15" s="614">
        <v>98.860641760967297</v>
      </c>
      <c r="O15" s="846"/>
      <c r="P15" s="614">
        <v>98.948354102139305</v>
      </c>
      <c r="Q15" s="614">
        <v>98.933468765870998</v>
      </c>
      <c r="R15" s="614">
        <v>98.95937813440321</v>
      </c>
    </row>
    <row r="16" spans="1:23" ht="15" customHeight="1" x14ac:dyDescent="0.25">
      <c r="A16" s="23"/>
      <c r="C16" s="6">
        <v>2017</v>
      </c>
      <c r="D16" s="614">
        <v>96.411483253588514</v>
      </c>
      <c r="E16" s="614">
        <v>96.855345911949684</v>
      </c>
      <c r="F16" s="614">
        <v>96.376451901121811</v>
      </c>
      <c r="G16" s="846"/>
      <c r="H16" s="614">
        <v>97.385974844315356</v>
      </c>
      <c r="I16" s="614">
        <v>97.399082028951383</v>
      </c>
      <c r="J16" s="614">
        <v>97.38250855897914</v>
      </c>
      <c r="K16" s="846"/>
      <c r="L16" s="614">
        <v>98.893364819187852</v>
      </c>
      <c r="M16" s="614">
        <v>98.882620958993272</v>
      </c>
      <c r="N16" s="614">
        <v>98.90136521528396</v>
      </c>
      <c r="O16" s="846"/>
      <c r="P16" s="614">
        <v>99.030706622271552</v>
      </c>
      <c r="Q16" s="614">
        <v>99.026425591098743</v>
      </c>
      <c r="R16" s="614">
        <v>99.033878655159086</v>
      </c>
    </row>
    <row r="17" spans="1:18" ht="15" customHeight="1" x14ac:dyDescent="0.25">
      <c r="A17" s="23"/>
      <c r="C17" s="6">
        <v>2018</v>
      </c>
      <c r="D17" s="614">
        <v>96.690839376510795</v>
      </c>
      <c r="E17" s="614">
        <v>97.252090800477902</v>
      </c>
      <c r="F17" s="614">
        <v>96.648745519713259</v>
      </c>
      <c r="G17" s="846"/>
      <c r="H17" s="614">
        <v>97.444371562641905</v>
      </c>
      <c r="I17" s="614">
        <v>97.468809980806142</v>
      </c>
      <c r="J17" s="614">
        <v>97.437863395310202</v>
      </c>
      <c r="K17" s="846"/>
      <c r="L17" s="614">
        <v>99.107714639456944</v>
      </c>
      <c r="M17" s="614">
        <v>99.124380208882783</v>
      </c>
      <c r="N17" s="614">
        <v>99.096385542168676</v>
      </c>
      <c r="O17" s="846"/>
      <c r="P17" s="614">
        <v>99.196249162759543</v>
      </c>
      <c r="Q17" s="614">
        <v>99.219398770968283</v>
      </c>
      <c r="R17" s="614">
        <v>99.180603883713104</v>
      </c>
    </row>
    <row r="18" spans="1:18" ht="15" customHeight="1" x14ac:dyDescent="0.25">
      <c r="A18" s="23"/>
      <c r="C18" s="6">
        <v>2019</v>
      </c>
      <c r="D18" s="614">
        <v>96.964782205746062</v>
      </c>
      <c r="E18" s="614">
        <v>97.425742574257427</v>
      </c>
      <c r="F18" s="614">
        <v>96.925783213268559</v>
      </c>
      <c r="G18" s="846"/>
      <c r="H18" s="614">
        <v>97.652153558052433</v>
      </c>
      <c r="I18" s="614">
        <v>97.671595674244088</v>
      </c>
      <c r="J18" s="614">
        <v>97.646919008853757</v>
      </c>
      <c r="K18" s="846"/>
      <c r="L18" s="614">
        <v>99.034488952757314</v>
      </c>
      <c r="M18" s="614">
        <v>99.025630163101042</v>
      </c>
      <c r="N18" s="614">
        <v>99.04101044752845</v>
      </c>
      <c r="O18" s="846"/>
      <c r="P18" s="614">
        <v>99.158097686375328</v>
      </c>
      <c r="Q18" s="614">
        <v>99.161585365853654</v>
      </c>
      <c r="R18" s="614">
        <v>99.155555555555551</v>
      </c>
    </row>
    <row r="19" spans="1:18" ht="15" customHeight="1" x14ac:dyDescent="0.25">
      <c r="A19" s="23"/>
      <c r="C19" s="6">
        <v>2020</v>
      </c>
      <c r="D19" s="614">
        <v>96.916708075136555</v>
      </c>
      <c r="E19" s="614">
        <v>97.268998547443758</v>
      </c>
      <c r="F19" s="614">
        <v>96.885731314121557</v>
      </c>
      <c r="G19" s="846"/>
      <c r="H19" s="614">
        <v>97.783074280660287</v>
      </c>
      <c r="I19" s="614">
        <v>97.795716426023489</v>
      </c>
      <c r="J19" s="614">
        <v>97.779692141117607</v>
      </c>
      <c r="K19" s="846"/>
      <c r="L19" s="614">
        <v>99.16360873692021</v>
      </c>
      <c r="M19" s="614">
        <v>99.167699444277631</v>
      </c>
      <c r="N19" s="614">
        <v>99.160599368291869</v>
      </c>
      <c r="O19" s="846"/>
      <c r="P19" s="614">
        <v>99.243547360981935</v>
      </c>
      <c r="Q19" s="614">
        <v>99.251309030812479</v>
      </c>
      <c r="R19" s="614">
        <v>99.237891391250372</v>
      </c>
    </row>
    <row r="20" spans="1:18" x14ac:dyDescent="0.25">
      <c r="A20" s="23"/>
      <c r="C20" s="847">
        <v>2021</v>
      </c>
      <c r="D20" s="848">
        <v>97.648652015126203</v>
      </c>
      <c r="E20" s="848">
        <v>97.989658509205029</v>
      </c>
      <c r="F20" s="848">
        <v>97.618989821444629</v>
      </c>
      <c r="G20" s="849"/>
      <c r="H20" s="848">
        <v>97.786459961755241</v>
      </c>
      <c r="I20" s="848">
        <v>97.800993211782142</v>
      </c>
      <c r="J20" s="848">
        <v>97.782548458417338</v>
      </c>
      <c r="K20" s="849"/>
      <c r="L20" s="848">
        <v>99.320980676167366</v>
      </c>
      <c r="M20" s="848">
        <v>99.314741578548933</v>
      </c>
      <c r="N20" s="848">
        <v>99.325413325433317</v>
      </c>
      <c r="O20" s="849"/>
      <c r="P20" s="848">
        <v>99.366936617267328</v>
      </c>
      <c r="Q20" s="848">
        <v>99.36167338947854</v>
      </c>
      <c r="R20" s="848">
        <v>99.370637137415869</v>
      </c>
    </row>
    <row r="21" spans="1:18" ht="33.6" customHeight="1" x14ac:dyDescent="0.25">
      <c r="A21" s="21"/>
      <c r="C21" s="36" t="s">
        <v>1914</v>
      </c>
      <c r="D21" s="36"/>
      <c r="E21" s="36"/>
      <c r="F21" s="36"/>
      <c r="G21" s="36"/>
      <c r="H21" s="36"/>
      <c r="I21" s="36"/>
      <c r="J21" s="36"/>
      <c r="K21" s="36"/>
      <c r="L21" s="36"/>
      <c r="M21" s="36"/>
      <c r="N21" s="36"/>
      <c r="O21" s="36"/>
      <c r="P21" s="36"/>
      <c r="Q21" s="36"/>
      <c r="R21" s="36"/>
    </row>
    <row r="22" spans="1:18" ht="22.15" customHeight="1" x14ac:dyDescent="0.25">
      <c r="A22" s="23"/>
      <c r="C22" s="2629" t="s">
        <v>1956</v>
      </c>
      <c r="D22" s="2629"/>
      <c r="E22" s="2629"/>
      <c r="F22" s="2629"/>
      <c r="G22" s="2629"/>
      <c r="H22" s="2629"/>
      <c r="I22" s="2629"/>
      <c r="J22" s="2629"/>
      <c r="K22" s="2629"/>
      <c r="L22" s="2629"/>
      <c r="M22" s="2629"/>
      <c r="N22" s="2629"/>
      <c r="O22" s="2629"/>
      <c r="P22" s="2629"/>
      <c r="Q22" s="2629"/>
      <c r="R22" s="2629"/>
    </row>
    <row r="23" spans="1:18" ht="34.9" customHeight="1" x14ac:dyDescent="0.25">
      <c r="A23" s="23"/>
      <c r="C23" s="2629" t="s">
        <v>1957</v>
      </c>
      <c r="D23" s="2629"/>
      <c r="E23" s="2629"/>
      <c r="F23" s="2629"/>
      <c r="G23" s="2629"/>
      <c r="H23" s="2629"/>
      <c r="I23" s="2629"/>
      <c r="J23" s="2629"/>
      <c r="K23" s="2629"/>
      <c r="L23" s="2629"/>
      <c r="M23" s="2629"/>
      <c r="N23" s="2629"/>
      <c r="O23" s="2629"/>
      <c r="P23" s="2629"/>
      <c r="Q23" s="2629"/>
      <c r="R23" s="2629"/>
    </row>
    <row r="24" spans="1:18" ht="34.9" customHeight="1" x14ac:dyDescent="0.25">
      <c r="A24" s="23"/>
      <c r="C24" s="2629" t="s">
        <v>1958</v>
      </c>
      <c r="D24" s="2629"/>
      <c r="E24" s="2629"/>
      <c r="F24" s="2629"/>
      <c r="G24" s="2629"/>
      <c r="H24" s="2629"/>
      <c r="I24" s="2629"/>
      <c r="J24" s="2629"/>
      <c r="K24" s="2629"/>
      <c r="L24" s="2629"/>
      <c r="M24" s="2629"/>
      <c r="N24" s="2629"/>
      <c r="O24" s="2629"/>
      <c r="P24" s="2629"/>
      <c r="Q24" s="2629"/>
      <c r="R24" s="2629"/>
    </row>
    <row r="25" spans="1:18" ht="32.450000000000003" customHeight="1" x14ac:dyDescent="0.25">
      <c r="A25" s="21"/>
      <c r="C25" s="2629" t="s">
        <v>1959</v>
      </c>
      <c r="D25" s="2629"/>
      <c r="E25" s="2629"/>
      <c r="F25" s="2629"/>
      <c r="G25" s="2629"/>
      <c r="H25" s="2629"/>
      <c r="I25" s="2629"/>
      <c r="J25" s="2629"/>
      <c r="K25" s="2629"/>
      <c r="L25" s="2629"/>
      <c r="M25" s="2629"/>
      <c r="N25" s="2629"/>
      <c r="O25" s="2629"/>
      <c r="P25" s="2629"/>
      <c r="Q25" s="2629"/>
      <c r="R25" s="2629"/>
    </row>
    <row r="26" spans="1:18" ht="18.75" x14ac:dyDescent="0.25">
      <c r="A26" s="21"/>
      <c r="C26" s="2629" t="s">
        <v>1960</v>
      </c>
      <c r="D26" s="2629"/>
      <c r="E26" s="2629"/>
      <c r="F26" s="2629"/>
      <c r="G26" s="2629"/>
      <c r="H26" s="2629"/>
      <c r="I26" s="2629"/>
      <c r="J26" s="2629"/>
      <c r="K26" s="2629"/>
      <c r="L26" s="2629"/>
      <c r="M26" s="2629"/>
      <c r="N26" s="2629"/>
      <c r="O26" s="2629"/>
      <c r="P26" s="2629"/>
      <c r="Q26" s="2629"/>
      <c r="R26" s="2629"/>
    </row>
    <row r="27" spans="1:18" ht="18.75" x14ac:dyDescent="0.25">
      <c r="A27" s="21"/>
      <c r="C27" s="36" t="s">
        <v>1961</v>
      </c>
      <c r="D27" s="36"/>
      <c r="E27" s="36"/>
      <c r="F27" s="36"/>
      <c r="G27" s="36"/>
      <c r="H27" s="36"/>
      <c r="I27" s="36"/>
      <c r="J27" s="36"/>
      <c r="K27" s="36"/>
      <c r="L27" s="36"/>
      <c r="M27" s="36"/>
      <c r="N27" s="36"/>
      <c r="O27" s="36"/>
      <c r="P27" s="36"/>
      <c r="Q27" s="36"/>
      <c r="R27" s="36"/>
    </row>
    <row r="28" spans="1:18" ht="16.5" x14ac:dyDescent="0.25">
      <c r="A28" s="21"/>
      <c r="C28" s="74"/>
      <c r="D28" s="175"/>
      <c r="E28" s="175"/>
      <c r="F28" s="175"/>
      <c r="G28" s="175"/>
      <c r="H28" s="175"/>
      <c r="I28" s="175"/>
      <c r="J28" s="175"/>
      <c r="K28" s="175"/>
      <c r="L28" s="175"/>
      <c r="M28" s="175"/>
      <c r="N28" s="175"/>
      <c r="O28" s="175"/>
      <c r="P28" s="175"/>
      <c r="Q28" s="175"/>
      <c r="R28" s="175"/>
    </row>
    <row r="29" spans="1:18" ht="16.5" x14ac:dyDescent="0.25">
      <c r="A29" s="23"/>
      <c r="C29" s="74"/>
      <c r="D29" s="175"/>
      <c r="E29" s="175"/>
      <c r="F29" s="175"/>
      <c r="G29" s="175"/>
      <c r="H29" s="175"/>
      <c r="I29" s="175"/>
      <c r="J29" s="175"/>
      <c r="K29" s="175"/>
      <c r="L29" s="175"/>
      <c r="M29" s="175"/>
      <c r="N29" s="175"/>
      <c r="O29" s="175"/>
      <c r="P29" s="175"/>
      <c r="Q29" s="175"/>
      <c r="R29" s="175"/>
    </row>
    <row r="30" spans="1:18" x14ac:dyDescent="0.25">
      <c r="A30" s="23"/>
    </row>
    <row r="32" spans="1:18" ht="19.5" x14ac:dyDescent="0.25">
      <c r="C32" s="532" t="s">
        <v>1962</v>
      </c>
    </row>
    <row r="35" spans="3:30" x14ac:dyDescent="0.25">
      <c r="W35" s="270"/>
      <c r="X35" s="270"/>
      <c r="Y35" s="270"/>
      <c r="Z35" s="270"/>
      <c r="AA35" s="270"/>
      <c r="AB35" s="270"/>
      <c r="AC35" s="270"/>
      <c r="AD35" s="270"/>
    </row>
    <row r="36" spans="3:30" x14ac:dyDescent="0.25">
      <c r="W36" s="270"/>
      <c r="X36" s="270"/>
      <c r="Y36" s="270"/>
      <c r="Z36" s="270"/>
      <c r="AA36" s="270"/>
      <c r="AB36" s="270"/>
      <c r="AC36" s="270"/>
      <c r="AD36" s="270"/>
    </row>
    <row r="37" spans="3:30" x14ac:dyDescent="0.25">
      <c r="W37" s="270"/>
      <c r="X37" s="270"/>
      <c r="Y37" s="270"/>
      <c r="Z37" s="270"/>
      <c r="AA37" s="270"/>
      <c r="AB37" s="270"/>
      <c r="AC37" s="270"/>
      <c r="AD37" s="270"/>
    </row>
    <row r="38" spans="3:30" x14ac:dyDescent="0.25">
      <c r="W38" s="270"/>
      <c r="X38" s="270"/>
      <c r="Y38" s="270"/>
      <c r="Z38" s="270"/>
      <c r="AA38" s="270"/>
      <c r="AB38" s="270"/>
      <c r="AC38" s="270"/>
      <c r="AD38" s="270"/>
    </row>
    <row r="39" spans="3:30" ht="18.75" x14ac:dyDescent="0.25">
      <c r="C39" s="168"/>
      <c r="W39" s="270"/>
      <c r="X39" s="270"/>
      <c r="Y39" s="270"/>
      <c r="Z39" s="270"/>
      <c r="AA39" s="270"/>
      <c r="AB39" s="270"/>
      <c r="AC39" s="270"/>
      <c r="AD39" s="270"/>
    </row>
    <row r="40" spans="3:30" ht="18.75" x14ac:dyDescent="0.25">
      <c r="C40" s="168"/>
      <c r="W40" s="270"/>
      <c r="X40" s="270"/>
      <c r="Y40" s="270"/>
      <c r="Z40" s="270"/>
      <c r="AA40" s="270"/>
      <c r="AB40" s="270"/>
      <c r="AC40" s="270"/>
      <c r="AD40" s="270"/>
    </row>
    <row r="41" spans="3:30" x14ac:dyDescent="0.25">
      <c r="W41" s="270"/>
      <c r="X41" s="270"/>
      <c r="Y41" s="270"/>
      <c r="Z41" s="270"/>
      <c r="AA41" s="270"/>
      <c r="AB41" s="270"/>
      <c r="AC41" s="270"/>
      <c r="AD41" s="270"/>
    </row>
    <row r="42" spans="3:30" x14ac:dyDescent="0.25">
      <c r="W42" s="270"/>
      <c r="X42" s="270"/>
      <c r="Y42" s="270"/>
      <c r="Z42" s="270"/>
      <c r="AA42" s="270"/>
      <c r="AB42" s="270"/>
      <c r="AC42" s="270"/>
      <c r="AD42" s="270"/>
    </row>
    <row r="54" spans="3:21" ht="17.45" customHeight="1" x14ac:dyDescent="0.25">
      <c r="S54" s="638"/>
      <c r="T54" s="638"/>
      <c r="U54" s="638"/>
    </row>
    <row r="55" spans="3:21" ht="18" customHeight="1" x14ac:dyDescent="0.4">
      <c r="C55" s="2638" t="s">
        <v>1963</v>
      </c>
      <c r="D55" s="2638"/>
      <c r="E55" s="2638"/>
      <c r="F55" s="2638"/>
      <c r="G55" s="2638"/>
      <c r="H55" s="2638"/>
      <c r="I55" s="2638"/>
      <c r="J55" s="2638"/>
      <c r="K55" s="2638"/>
      <c r="L55" s="2638"/>
      <c r="M55" s="2638"/>
      <c r="N55" s="2638"/>
      <c r="O55" s="2638"/>
      <c r="P55" s="2638"/>
      <c r="Q55" s="2638"/>
      <c r="R55" s="2638"/>
      <c r="S55" s="2638"/>
      <c r="T55" s="2638"/>
      <c r="U55" s="5"/>
    </row>
    <row r="56" spans="3:21" ht="10.15" customHeight="1" x14ac:dyDescent="0.4">
      <c r="C56" s="9" t="s">
        <v>1964</v>
      </c>
      <c r="D56" s="5"/>
      <c r="E56" s="5"/>
      <c r="F56" s="5"/>
      <c r="G56" s="5"/>
      <c r="H56" s="5"/>
      <c r="I56" s="5"/>
      <c r="J56" s="5"/>
      <c r="K56" s="5"/>
      <c r="L56" s="5"/>
      <c r="M56" s="5"/>
      <c r="N56" s="5"/>
      <c r="O56" s="5"/>
      <c r="P56" s="5"/>
      <c r="Q56" s="5"/>
      <c r="R56" s="5"/>
    </row>
    <row r="61" spans="3:21" x14ac:dyDescent="0.25">
      <c r="C61" s="270"/>
      <c r="D61" s="270"/>
      <c r="E61" s="250" t="s">
        <v>1952</v>
      </c>
      <c r="F61" s="270"/>
      <c r="G61" s="270"/>
      <c r="H61" s="270"/>
      <c r="I61" s="270"/>
      <c r="J61" s="270"/>
    </row>
    <row r="62" spans="3:21" x14ac:dyDescent="0.25">
      <c r="C62" s="270"/>
      <c r="D62" s="270"/>
      <c r="E62" s="250" t="s">
        <v>1965</v>
      </c>
      <c r="F62" s="270"/>
      <c r="G62" s="270"/>
      <c r="H62" s="270"/>
      <c r="I62" s="270"/>
      <c r="J62" s="270"/>
    </row>
    <row r="63" spans="3:21" x14ac:dyDescent="0.25">
      <c r="C63" s="270"/>
      <c r="D63" s="270"/>
      <c r="E63" s="250" t="s">
        <v>1966</v>
      </c>
      <c r="F63" s="270"/>
      <c r="G63" s="270"/>
      <c r="H63" s="270"/>
      <c r="I63" s="270"/>
      <c r="J63" s="270"/>
    </row>
    <row r="64" spans="3:21" x14ac:dyDescent="0.25">
      <c r="C64" s="270"/>
      <c r="D64" s="270"/>
      <c r="E64" s="250" t="s">
        <v>1955</v>
      </c>
      <c r="F64" s="270"/>
      <c r="G64" s="270"/>
      <c r="H64" s="270"/>
      <c r="I64" s="270"/>
      <c r="J64" s="270"/>
    </row>
    <row r="65" spans="3:10" x14ac:dyDescent="0.25">
      <c r="C65" s="270"/>
      <c r="D65" s="270"/>
      <c r="E65" s="270"/>
      <c r="F65" s="270"/>
      <c r="G65" s="270"/>
      <c r="H65" s="270"/>
      <c r="I65" s="270"/>
      <c r="J65" s="270"/>
    </row>
  </sheetData>
  <mergeCells count="21">
    <mergeCell ref="A5:B5"/>
    <mergeCell ref="C5:W5"/>
    <mergeCell ref="C1:D1"/>
    <mergeCell ref="A3:B3"/>
    <mergeCell ref="C3:W3"/>
    <mergeCell ref="A4:B4"/>
    <mergeCell ref="C4:W4"/>
    <mergeCell ref="C55:T55"/>
    <mergeCell ref="A6:B6"/>
    <mergeCell ref="C6:W6"/>
    <mergeCell ref="C8:R8"/>
    <mergeCell ref="C10:C11"/>
    <mergeCell ref="D10:F10"/>
    <mergeCell ref="H10:J10"/>
    <mergeCell ref="L10:N10"/>
    <mergeCell ref="P10:R10"/>
    <mergeCell ref="C22:R22"/>
    <mergeCell ref="C23:R23"/>
    <mergeCell ref="C24:R24"/>
    <mergeCell ref="C25:R25"/>
    <mergeCell ref="C26:R26"/>
  </mergeCells>
  <hyperlinks>
    <hyperlink ref="A1" location="'ODS 4.'!A1" display="REGRESAR" xr:uid="{671E7CDA-CBB9-4E6A-8F94-C5E4671E5D39}"/>
    <hyperlink ref="C1" location="'Metadato 4.c.1'!A1" display="VER METADATO" xr:uid="{7988C403-632D-459C-9052-AB8E635497F6}"/>
  </hyperlinks>
  <pageMargins left="0.17" right="0.17" top="0.32" bottom="0.33" header="0.3" footer="0.3"/>
  <pageSetup scale="89" orientation="landscape" r:id="rId1"/>
  <colBreaks count="1" manualBreakCount="1">
    <brk id="18" max="1048575"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618D-9F30-4E2B-8157-9AE2C65812A4}">
  <sheetPr>
    <tabColor theme="1" tint="0.499984740745262"/>
  </sheetPr>
  <dimension ref="A1:F36"/>
  <sheetViews>
    <sheetView showGridLines="0" workbookViewId="0">
      <pane ySplit="1" topLeftCell="A2" activePane="bottomLeft" state="frozen"/>
      <selection pane="bottomLeft"/>
    </sheetView>
  </sheetViews>
  <sheetFormatPr baseColWidth="10" defaultColWidth="11.42578125" defaultRowHeight="18.75" x14ac:dyDescent="0.4"/>
  <cols>
    <col min="1" max="1" width="6.42578125" style="5" customWidth="1"/>
    <col min="2" max="2" width="22.7109375" style="5" customWidth="1"/>
    <col min="3" max="3" width="11.42578125" style="5" customWidth="1"/>
    <col min="4" max="4" width="82" style="5" customWidth="1"/>
    <col min="5" max="5" width="11.42578125" style="5"/>
    <col min="6" max="6" width="7.28515625" style="5" customWidth="1"/>
    <col min="7" max="16384" width="11.42578125" style="5"/>
  </cols>
  <sheetData>
    <row r="1" spans="1:6" x14ac:dyDescent="0.4">
      <c r="B1" s="158" t="s">
        <v>39</v>
      </c>
    </row>
    <row r="2" spans="1:6" ht="19.5" thickBot="1" x14ac:dyDescent="0.45"/>
    <row r="3" spans="1:6" ht="20.25" thickBot="1" x14ac:dyDescent="0.45">
      <c r="B3" s="2678" t="s">
        <v>75</v>
      </c>
      <c r="C3" s="2678"/>
      <c r="D3" s="2678"/>
      <c r="F3" s="91" t="s">
        <v>76</v>
      </c>
    </row>
    <row r="4" spans="1:6" ht="37.5" x14ac:dyDescent="0.4">
      <c r="A4" s="92"/>
      <c r="B4" s="2606" t="s">
        <v>234</v>
      </c>
      <c r="C4" s="2606"/>
      <c r="D4" s="359" t="s">
        <v>1688</v>
      </c>
    </row>
    <row r="5" spans="1:6" ht="56.25" x14ac:dyDescent="0.4">
      <c r="B5" s="2445" t="s">
        <v>1934</v>
      </c>
      <c r="C5" s="2445"/>
      <c r="D5" s="49" t="s">
        <v>1667</v>
      </c>
    </row>
    <row r="6" spans="1:6" x14ac:dyDescent="0.4">
      <c r="B6" s="2445" t="s">
        <v>80</v>
      </c>
      <c r="C6" s="2445"/>
      <c r="D6" s="50" t="s">
        <v>1668</v>
      </c>
    </row>
    <row r="7" spans="1:6" x14ac:dyDescent="0.4">
      <c r="B7" s="2446" t="s">
        <v>81</v>
      </c>
      <c r="C7" s="2446"/>
      <c r="D7" s="667" t="s">
        <v>1669</v>
      </c>
    </row>
    <row r="8" spans="1:6" x14ac:dyDescent="0.4">
      <c r="B8" s="2446" t="s">
        <v>82</v>
      </c>
      <c r="C8" s="2446"/>
      <c r="D8" s="697" t="s">
        <v>1967</v>
      </c>
    </row>
    <row r="10" spans="1:6" ht="19.5" x14ac:dyDescent="0.4">
      <c r="B10" s="2678" t="s">
        <v>85</v>
      </c>
      <c r="C10" s="2678"/>
      <c r="D10" s="2678"/>
    </row>
    <row r="11" spans="1:6" x14ac:dyDescent="0.4">
      <c r="B11" s="2633" t="s">
        <v>86</v>
      </c>
      <c r="C11" s="2634"/>
      <c r="D11" s="359" t="s">
        <v>167</v>
      </c>
    </row>
    <row r="12" spans="1:6" ht="15" customHeight="1" x14ac:dyDescent="0.4">
      <c r="B12" s="2455" t="s">
        <v>88</v>
      </c>
      <c r="C12" s="2455"/>
      <c r="D12" s="214" t="s">
        <v>1968</v>
      </c>
    </row>
    <row r="13" spans="1:6" x14ac:dyDescent="0.4">
      <c r="B13" s="2445" t="s">
        <v>90</v>
      </c>
      <c r="C13" s="2445"/>
      <c r="D13" s="54" t="s">
        <v>1668</v>
      </c>
    </row>
    <row r="14" spans="1:6" x14ac:dyDescent="0.4">
      <c r="B14" s="2445" t="s">
        <v>91</v>
      </c>
      <c r="C14" s="2456"/>
      <c r="D14" s="54" t="s">
        <v>92</v>
      </c>
    </row>
    <row r="15" spans="1:6" ht="320.25" x14ac:dyDescent="0.4">
      <c r="B15" s="2445" t="s">
        <v>93</v>
      </c>
      <c r="C15" s="2445"/>
      <c r="D15" s="55" t="s">
        <v>1969</v>
      </c>
    </row>
    <row r="16" spans="1:6" ht="318.75" x14ac:dyDescent="0.4">
      <c r="B16" s="2445" t="s">
        <v>95</v>
      </c>
      <c r="C16" s="2445"/>
      <c r="D16" s="756" t="s">
        <v>1970</v>
      </c>
    </row>
    <row r="17" spans="2:4" x14ac:dyDescent="0.4">
      <c r="B17" s="2445" t="s">
        <v>97</v>
      </c>
      <c r="C17" s="2445"/>
      <c r="D17" s="203" t="s">
        <v>238</v>
      </c>
    </row>
    <row r="18" spans="2:4" x14ac:dyDescent="0.4">
      <c r="B18" s="2446" t="s">
        <v>99</v>
      </c>
      <c r="C18" s="2446"/>
      <c r="D18" s="49"/>
    </row>
    <row r="19" spans="2:4" ht="30" customHeight="1" x14ac:dyDescent="0.4">
      <c r="B19" s="2457" t="s">
        <v>100</v>
      </c>
      <c r="C19" s="2458"/>
      <c r="D19" s="594" t="s">
        <v>1971</v>
      </c>
    </row>
    <row r="20" spans="2:4" x14ac:dyDescent="0.4">
      <c r="B20" s="2445" t="s">
        <v>102</v>
      </c>
      <c r="C20" s="2445"/>
      <c r="D20" s="203" t="s">
        <v>140</v>
      </c>
    </row>
    <row r="21" spans="2:4" x14ac:dyDescent="0.4">
      <c r="B21" s="2451" t="s">
        <v>104</v>
      </c>
      <c r="C21" s="95" t="s">
        <v>105</v>
      </c>
      <c r="D21" s="49"/>
    </row>
    <row r="22" spans="2:4" x14ac:dyDescent="0.4">
      <c r="B22" s="2452"/>
      <c r="C22" s="96" t="s">
        <v>107</v>
      </c>
      <c r="D22" s="756" t="s">
        <v>1972</v>
      </c>
    </row>
    <row r="23" spans="2:4" x14ac:dyDescent="0.4">
      <c r="B23" s="2444" t="s">
        <v>109</v>
      </c>
      <c r="C23" s="2444"/>
      <c r="D23" s="203" t="s">
        <v>143</v>
      </c>
    </row>
    <row r="24" spans="2:4" x14ac:dyDescent="0.4">
      <c r="B24" s="2444" t="s">
        <v>111</v>
      </c>
      <c r="C24" s="2444"/>
      <c r="D24" s="205" t="s">
        <v>1706</v>
      </c>
    </row>
    <row r="25" spans="2:4" x14ac:dyDescent="0.4">
      <c r="B25" s="2445" t="s">
        <v>113</v>
      </c>
      <c r="C25" s="2445"/>
      <c r="D25" s="56" t="s">
        <v>1773</v>
      </c>
    </row>
    <row r="26" spans="2:4" ht="15" customHeight="1" x14ac:dyDescent="0.4">
      <c r="B26" s="2446" t="s">
        <v>115</v>
      </c>
      <c r="C26" s="2446"/>
      <c r="D26" s="205" t="s">
        <v>1774</v>
      </c>
    </row>
    <row r="27" spans="2:4" x14ac:dyDescent="0.4">
      <c r="B27" s="2447" t="s">
        <v>117</v>
      </c>
      <c r="C27" s="2448"/>
      <c r="D27" s="49"/>
    </row>
    <row r="28" spans="2:4" ht="150" x14ac:dyDescent="0.4">
      <c r="B28" s="97" t="s">
        <v>118</v>
      </c>
      <c r="C28" s="98"/>
      <c r="D28" s="203" t="s">
        <v>1973</v>
      </c>
    </row>
    <row r="29" spans="2:4" x14ac:dyDescent="0.4">
      <c r="B29" s="2449" t="s">
        <v>120</v>
      </c>
      <c r="C29" s="2450"/>
      <c r="D29" s="62"/>
    </row>
    <row r="30" spans="2:4" x14ac:dyDescent="0.4">
      <c r="B30" s="628"/>
      <c r="C30" s="628"/>
      <c r="D30" s="629"/>
    </row>
    <row r="31" spans="2:4" ht="19.5" x14ac:dyDescent="0.4">
      <c r="B31" s="2678" t="s">
        <v>121</v>
      </c>
      <c r="C31" s="2678"/>
      <c r="D31" s="2678"/>
    </row>
    <row r="32" spans="2:4" x14ac:dyDescent="0.4">
      <c r="B32" s="2631" t="s">
        <v>122</v>
      </c>
      <c r="C32" s="2632"/>
      <c r="D32" s="758" t="s">
        <v>1708</v>
      </c>
    </row>
    <row r="33" spans="2:4" x14ac:dyDescent="0.4">
      <c r="B33" s="2442" t="s">
        <v>124</v>
      </c>
      <c r="C33" s="2443"/>
      <c r="D33" s="401" t="s">
        <v>1709</v>
      </c>
    </row>
    <row r="34" spans="2:4" x14ac:dyDescent="0.4">
      <c r="B34" s="2442" t="s">
        <v>126</v>
      </c>
      <c r="C34" s="2443"/>
      <c r="D34" s="699" t="s">
        <v>1706</v>
      </c>
    </row>
    <row r="35" spans="2:4" x14ac:dyDescent="0.4">
      <c r="B35" s="2442" t="s">
        <v>128</v>
      </c>
      <c r="C35" s="2443"/>
      <c r="D35" s="401"/>
    </row>
    <row r="36" spans="2:4" x14ac:dyDescent="0.4">
      <c r="B36" s="2442" t="s">
        <v>130</v>
      </c>
      <c r="C36" s="2443"/>
      <c r="D36" s="401" t="s">
        <v>1710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9401F376-92D6-4E7A-8EC0-37FB3F5868EC}"/>
    <dataValidation type="list" allowBlank="1" showInputMessage="1" showErrorMessage="1" sqref="D4" xr:uid="{FACAB086-EF03-4199-8971-744B13FB78D3}">
      <formula1>ODS</formula1>
    </dataValidation>
    <dataValidation type="list" allowBlank="1" showInputMessage="1" showErrorMessage="1" sqref="D5" xr:uid="{E71C5024-98CF-45B3-846A-2D4FC9E7B48A}">
      <formula1>Metas_ODS</formula1>
    </dataValidation>
    <dataValidation type="list" allowBlank="1" showInputMessage="1" showErrorMessage="1" sqref="D6" xr:uid="{11111D68-1738-4C79-BB20-53131D0B4D87}">
      <formula1>Numero_indicador</formula1>
    </dataValidation>
    <dataValidation type="list" allowBlank="1" showInputMessage="1" showErrorMessage="1" sqref="D7" xr:uid="{7C3DC545-8330-41E3-A78A-C35624DB5B22}">
      <formula1>Nombre_indicador_ODS</formula1>
    </dataValidation>
    <dataValidation type="list" allowBlank="1" showInputMessage="1" showErrorMessage="1" sqref="D14" xr:uid="{E8CF0DC2-C881-4EA3-B336-528A1F024C96}">
      <formula1>Tipo_indicador</formula1>
    </dataValidation>
    <dataValidation type="list" allowBlank="1" showInputMessage="1" showErrorMessage="1" sqref="D25" xr:uid="{0973DDE0-37EF-49BF-B107-81CA591AC0E6}">
      <formula1>Tipo_operación</formula1>
    </dataValidation>
  </dataValidations>
  <hyperlinks>
    <hyperlink ref="B1" location="'4.c.1'!A1" display="REGRESAR" xr:uid="{83AE301E-81C7-41B5-A288-7F95E043A37D}"/>
    <hyperlink ref="D8" r:id="rId1" xr:uid="{10F6AD62-7D2B-4807-8158-C40DC45DE827}"/>
  </hyperlinks>
  <pageMargins left="0.7" right="0.7" top="0.75" bottom="0.75" header="0.3" footer="0.3"/>
  <pageSetup paperSize="9" orientation="portrait"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99C0-4221-4F42-BCBC-CDF20F1AE1EF}">
  <sheetPr>
    <tabColor rgb="FFFF3A21"/>
  </sheetPr>
  <dimension ref="A1:E18"/>
  <sheetViews>
    <sheetView showGridLines="0" workbookViewId="0">
      <pane ySplit="4" topLeftCell="A8" activePane="bottomLeft" state="frozen"/>
      <selection activeCell="R16" sqref="R16"/>
      <selection pane="bottomLeft" sqref="A1:B1"/>
    </sheetView>
  </sheetViews>
  <sheetFormatPr baseColWidth="10" defaultColWidth="11.5703125" defaultRowHeight="18.75" x14ac:dyDescent="0.4"/>
  <cols>
    <col min="1" max="2" width="11.5703125" style="5"/>
    <col min="3" max="3" width="64.7109375" style="5" customWidth="1"/>
    <col min="4" max="4" width="14.5703125" style="5" customWidth="1"/>
    <col min="5" max="5" width="75.7109375" style="5" customWidth="1"/>
    <col min="6" max="16384" width="11.5703125" style="5"/>
  </cols>
  <sheetData>
    <row r="1" spans="1:5" ht="19.5" x14ac:dyDescent="0.4">
      <c r="A1" s="2410" t="s">
        <v>1</v>
      </c>
      <c r="B1" s="2410"/>
    </row>
    <row r="3" spans="1:5" ht="57.75" customHeight="1" x14ac:dyDescent="0.4">
      <c r="C3" s="2721" t="s">
        <v>1974</v>
      </c>
      <c r="D3" s="2721"/>
      <c r="E3" s="2721"/>
    </row>
    <row r="4" spans="1:5" ht="43.9" customHeight="1" x14ac:dyDescent="0.4">
      <c r="C4" s="8" t="s">
        <v>3</v>
      </c>
      <c r="D4" s="8" t="s">
        <v>4</v>
      </c>
      <c r="E4" s="8" t="s">
        <v>5</v>
      </c>
    </row>
    <row r="5" spans="1:5" s="36" customFormat="1" ht="36.75" customHeight="1" x14ac:dyDescent="0.25">
      <c r="C5" s="10" t="s">
        <v>1975</v>
      </c>
      <c r="D5" s="11" t="s">
        <v>1976</v>
      </c>
      <c r="E5" s="12" t="s">
        <v>1977</v>
      </c>
    </row>
    <row r="6" spans="1:5" s="36" customFormat="1" ht="58.5" customHeight="1" x14ac:dyDescent="0.25">
      <c r="C6" s="2408" t="s">
        <v>1978</v>
      </c>
      <c r="D6" s="11" t="s">
        <v>1979</v>
      </c>
      <c r="E6" s="12" t="s">
        <v>1980</v>
      </c>
    </row>
    <row r="7" spans="1:5" s="36" customFormat="1" ht="53.25" customHeight="1" x14ac:dyDescent="0.25">
      <c r="C7" s="2409"/>
      <c r="D7" s="11" t="s">
        <v>1981</v>
      </c>
      <c r="E7" s="12" t="s">
        <v>1982</v>
      </c>
    </row>
    <row r="8" spans="1:5" s="36" customFormat="1" ht="35.25" customHeight="1" x14ac:dyDescent="0.25">
      <c r="C8" s="2408" t="s">
        <v>1983</v>
      </c>
      <c r="D8" s="11" t="s">
        <v>1984</v>
      </c>
      <c r="E8" s="12" t="s">
        <v>1985</v>
      </c>
    </row>
    <row r="9" spans="1:5" s="36" customFormat="1" ht="33.75" customHeight="1" x14ac:dyDescent="0.25">
      <c r="C9" s="2409"/>
      <c r="D9" s="13" t="s">
        <v>1986</v>
      </c>
      <c r="E9" s="14" t="s">
        <v>1987</v>
      </c>
    </row>
    <row r="10" spans="1:5" s="36" customFormat="1" ht="78" x14ac:dyDescent="0.25">
      <c r="C10" s="10" t="s">
        <v>1988</v>
      </c>
      <c r="D10" s="11" t="s">
        <v>1989</v>
      </c>
      <c r="E10" s="12" t="s">
        <v>1990</v>
      </c>
    </row>
    <row r="11" spans="1:5" s="36" customFormat="1" ht="33.75" customHeight="1" x14ac:dyDescent="0.25">
      <c r="C11" s="2408" t="s">
        <v>1991</v>
      </c>
      <c r="D11" s="11" t="s">
        <v>1992</v>
      </c>
      <c r="E11" s="12" t="s">
        <v>1993</v>
      </c>
    </row>
    <row r="12" spans="1:5" s="36" customFormat="1" ht="33.75" customHeight="1" x14ac:dyDescent="0.25">
      <c r="C12" s="2409"/>
      <c r="D12" s="11" t="s">
        <v>1994</v>
      </c>
      <c r="E12" s="12" t="s">
        <v>1995</v>
      </c>
    </row>
    <row r="13" spans="1:5" s="36" customFormat="1" ht="52.5" customHeight="1" x14ac:dyDescent="0.25">
      <c r="C13" s="2408" t="s">
        <v>1996</v>
      </c>
      <c r="D13" s="11" t="s">
        <v>1997</v>
      </c>
      <c r="E13" s="12" t="s">
        <v>1998</v>
      </c>
    </row>
    <row r="14" spans="1:5" s="36" customFormat="1" ht="51" customHeight="1" x14ac:dyDescent="0.25">
      <c r="C14" s="2409"/>
      <c r="D14" s="13" t="s">
        <v>1999</v>
      </c>
      <c r="E14" s="14" t="s">
        <v>2000</v>
      </c>
    </row>
    <row r="15" spans="1:5" s="36" customFormat="1" ht="75" customHeight="1" x14ac:dyDescent="0.25">
      <c r="C15" s="2408" t="s">
        <v>2001</v>
      </c>
      <c r="D15" s="13" t="s">
        <v>2002</v>
      </c>
      <c r="E15" s="14" t="s">
        <v>2003</v>
      </c>
    </row>
    <row r="16" spans="1:5" s="36" customFormat="1" ht="51" customHeight="1" x14ac:dyDescent="0.25">
      <c r="C16" s="2409"/>
      <c r="D16" s="13" t="s">
        <v>2004</v>
      </c>
      <c r="E16" s="14" t="s">
        <v>2005</v>
      </c>
    </row>
    <row r="17" spans="3:5" s="36" customFormat="1" ht="58.5" x14ac:dyDescent="0.25">
      <c r="C17" s="10" t="s">
        <v>2006</v>
      </c>
      <c r="D17" s="11" t="s">
        <v>2007</v>
      </c>
      <c r="E17" s="12" t="s">
        <v>2008</v>
      </c>
    </row>
    <row r="18" spans="3:5" s="36" customFormat="1" ht="51.75" customHeight="1" x14ac:dyDescent="0.25">
      <c r="C18" s="10" t="s">
        <v>2009</v>
      </c>
      <c r="D18" s="13" t="s">
        <v>2010</v>
      </c>
      <c r="E18" s="14" t="s">
        <v>2011</v>
      </c>
    </row>
  </sheetData>
  <mergeCells count="7">
    <mergeCell ref="C15:C16"/>
    <mergeCell ref="A1:B1"/>
    <mergeCell ref="C3:E3"/>
    <mergeCell ref="C6:C7"/>
    <mergeCell ref="C8:C9"/>
    <mergeCell ref="C11:C12"/>
    <mergeCell ref="C13:C14"/>
  </mergeCells>
  <hyperlinks>
    <hyperlink ref="A1" location="Objetivos!A1" display="REGRESAR A INICIO" xr:uid="{67B51777-EF16-4152-93E6-1478F5F3043E}"/>
    <hyperlink ref="A1:B1" location="'Lista de Objetivos'!A1" display="REGRESAR A INICIO" xr:uid="{DC29FBE6-D5EE-4D68-9F8E-EBAA45767DBE}"/>
    <hyperlink ref="D5" location="'5.1.1'!A1" display="5.1.1" xr:uid="{B5885D60-3D6E-4460-B205-F95DE17810CB}"/>
    <hyperlink ref="E5" location="'5.1.1'!A1" display="5.1.1 Determinar si existen o no marcos jurídicos para promover, hacer cumplir y supervisar la igualdad y la no discriminación por razón de sexo" xr:uid="{833D6667-BDAB-4AA9-AFF5-088157BF99A7}"/>
    <hyperlink ref="D6" location="'5.2.1'!A1" display="5.2.1" xr:uid="{68489D72-B896-4863-9C89-408700DBF2B1}"/>
    <hyperlink ref="E6" location="'5.2.1'!A1" display="5.2.1 Proporción de mujeres y niñas a partir de 15 años de edad que han sufrido violencia física, sexual o psicológica a manos de su actual o anterior pareja en los últimos 12 meses, desglosada por forma de violencia y edad" xr:uid="{33DB6413-35A7-41A5-9594-F183099ADE8D}"/>
    <hyperlink ref="D7" location="'5.2.2'!A1" display="5.2.2" xr:uid="{A61E2142-C575-4E8B-A614-775B67BC1258}"/>
    <hyperlink ref="E7" location="'5.2.2'!A1" display="5.2.2 Proporción de mujeres y niñas a partir de 15 años de edad que han sufrido violencia sexual a manos de personas que no eran su pareja en los últimos12 meses, desglosada por edad y lugar del hecho" xr:uid="{6092B054-DF77-43AB-9D25-8AF6F2D94CC7}"/>
    <hyperlink ref="D8" location="'5.3.1'!A1" display="5.3.1" xr:uid="{7E0E95A6-6BA7-4D95-B484-415C536F8220}"/>
    <hyperlink ref="E8" location="'5.3.1'!A1" display="5.3.1 Proporción de mujeres de entre 20 y 24 años que estaban casadas o mantenían una unión estable antes de cumplir los 15 años y antes de cumplir los 18 años" xr:uid="{0371C3A2-C08A-40C1-AF4A-AEC6E81C8817}"/>
    <hyperlink ref="D9" location="'5.3.2'!A1" display="5.3.2" xr:uid="{46A0430D-7EEC-4FD7-ABD7-A5DB8FB9A53E}"/>
    <hyperlink ref="E9" location="'5.3.2'!A1" display="5.3.2 Proporción de niñas y mujeres de entre 15 y 49 años que han sufrido mutilación o ablación genital femenina, desglosada por edad" xr:uid="{66FE133E-CBFD-4798-8EBE-4C0C2C4980CF}"/>
    <hyperlink ref="D10" location="'5.4.1'!A1" display="5.4.1" xr:uid="{55A97B11-67A2-450A-8674-040E5C175682}"/>
    <hyperlink ref="E10" location="'5.4.1'!A1" display="5.4.1 Proporción de tiempo dedicado al trabajo doméstico y asistencial no remunerado, desglosada por sexo, edad y ubicación" xr:uid="{6C48CE1F-AD74-44F4-AE2B-802ADBC70607}"/>
    <hyperlink ref="D11" location="'5.5.1'!A1" display="5.5.1" xr:uid="{41C6B722-A4E2-4F01-8E19-9F4C7C72AC92}"/>
    <hyperlink ref="E11" location="'5.5.1'!A1" display="5.5.1 Proporción de escaños ocupados por mujeres en a) los parlamentos nacionales y b) los gobiernos locales" xr:uid="{19C109EC-CDA0-4F4F-B240-D1BBF0CA779C}"/>
    <hyperlink ref="D12" location="'5.5.2'!A1" display="5.5.2" xr:uid="{6AB8F585-E097-421E-BE0C-4E819A8DB05F}"/>
    <hyperlink ref="E12" location="'5.5.2'!A1" display="5.5.2 Proporción de mujeres en cargos directivos" xr:uid="{E4812360-3596-496B-B611-DD9FA839C3DA}"/>
    <hyperlink ref="D13" location="'5.6.1'!A1" display="5.6.1" xr:uid="{4819F06A-70D7-4C2D-905B-CBC70AD2FBF4}"/>
    <hyperlink ref="E13" location="'5.6.1'!A1" display="5.6.1 Proporción de mujeres de entre 15 y 49 años que toman sus propias decisiones informadas sobre las relaciones sexuales, el uso de anticonceptivos y la atención de la salud reproductiva" xr:uid="{9BA02946-A3DB-4E78-894E-68032FF1B2B0}"/>
    <hyperlink ref="D14" location="'5.6.2'!A1" display="5.6.2" xr:uid="{6A42F1DE-F461-4309-B8A2-F5FFB0E4889A}"/>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7BF940EF-7FB4-4270-A6BB-AAF901010053}"/>
    <hyperlink ref="D15" location="'5.a.1'!A1" display="5.a.1" xr:uid="{5AD4EAEC-4740-42AC-A27B-242B19AE64F5}"/>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313989FF-EE62-42C6-AC12-72E95EC956B1}"/>
    <hyperlink ref="D16" location="'5.a.2'!A1" display="5.a.2" xr:uid="{FCEF18DD-32CB-4A3F-9BD2-AF779D19925C}"/>
    <hyperlink ref="E16" location="'5.a.2'!A1" display="5.a.2 Proporción de países cuyo ordenamiento jurídico (incluido el derecho consuetudinario) garantiza la igualdad de derechos de la mujer a la propiedad o el control de las tierras" xr:uid="{4BCF805C-0592-4479-AD18-6CA1843A805A}"/>
    <hyperlink ref="D17" location="'5.b.1'!A1" display="5.b.1" xr:uid="{C248BD53-D534-400D-9A75-A29D851AE000}"/>
    <hyperlink ref="E17" location="'5.b.1'!A1" display="5.b.1 Proporción de personas que poseen un teléfono móvil, desglosada por sexo" xr:uid="{28D50A93-63B5-452A-A1F4-65686046847E}"/>
    <hyperlink ref="D18" location="'5.c.1'!A1" display="5.c.1" xr:uid="{D2504077-797A-4148-85D5-5C0F2F20D7A3}"/>
    <hyperlink ref="E18" location="'5.c.1'!A1" display="5.c.1 Proporción de países con sistemas para el seguimiento de la igualdad de género y el empoderamiento de las mujeres y la asignación de fondos públicos para ese fin" xr:uid="{ED327D32-128D-41CC-AE1C-D4EB83F8DDA9}"/>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54CBE-2D12-40C7-9538-1A15EC64AB29}">
  <dimension ref="A1:H97"/>
  <sheetViews>
    <sheetView showGridLines="0" zoomScale="80" zoomScaleNormal="80" workbookViewId="0">
      <pane ySplit="1" topLeftCell="A2" activePane="bottomLeft" state="frozen"/>
      <selection activeCell="C1" sqref="C1"/>
      <selection pane="bottomLeft"/>
    </sheetView>
  </sheetViews>
  <sheetFormatPr baseColWidth="10" defaultColWidth="11.42578125" defaultRowHeight="12.75" x14ac:dyDescent="0.25"/>
  <cols>
    <col min="1" max="2" width="15.28515625" style="22" customWidth="1"/>
    <col min="3" max="3" width="14" style="22" customWidth="1"/>
    <col min="4" max="4" width="22.85546875" style="22" customWidth="1"/>
    <col min="5" max="5" width="11.42578125" style="22"/>
    <col min="6" max="6" width="6.7109375" style="22" customWidth="1"/>
    <col min="7" max="7" width="1.7109375" style="22" customWidth="1"/>
    <col min="8" max="8" width="90.7109375" style="22" customWidth="1"/>
    <col min="9" max="16384" width="11.42578125" style="22"/>
  </cols>
  <sheetData>
    <row r="1" spans="1:8" s="16" customFormat="1" ht="19.5" x14ac:dyDescent="0.4">
      <c r="A1" s="15" t="s">
        <v>39</v>
      </c>
      <c r="C1" s="2421" t="s">
        <v>149</v>
      </c>
      <c r="D1" s="2421"/>
    </row>
    <row r="2" spans="1:8" s="16" customFormat="1" ht="19.5" x14ac:dyDescent="0.4"/>
    <row r="3" spans="1:8" s="16" customFormat="1" ht="19.5" x14ac:dyDescent="0.4">
      <c r="A3" s="2736" t="s">
        <v>41</v>
      </c>
      <c r="B3" s="2744"/>
      <c r="C3" s="2736" t="s">
        <v>1974</v>
      </c>
      <c r="D3" s="2738"/>
      <c r="E3" s="2738"/>
      <c r="F3" s="2738"/>
      <c r="G3" s="2738"/>
      <c r="H3" s="2738"/>
    </row>
    <row r="4" spans="1:8" s="16" customFormat="1" ht="17.25" customHeight="1" x14ac:dyDescent="0.4">
      <c r="A4" s="2736" t="s">
        <v>42</v>
      </c>
      <c r="B4" s="2737"/>
      <c r="C4" s="2736" t="s">
        <v>1975</v>
      </c>
      <c r="D4" s="2738"/>
      <c r="E4" s="2738"/>
      <c r="F4" s="2738"/>
      <c r="G4" s="2738"/>
      <c r="H4" s="2738"/>
    </row>
    <row r="5" spans="1:8" s="16" customFormat="1" ht="19.5" x14ac:dyDescent="0.4">
      <c r="A5" s="2736" t="s">
        <v>43</v>
      </c>
      <c r="B5" s="2737"/>
      <c r="C5" s="2736" t="s">
        <v>1977</v>
      </c>
      <c r="D5" s="2738"/>
      <c r="E5" s="2738"/>
      <c r="F5" s="2738"/>
      <c r="G5" s="2738"/>
      <c r="H5" s="2738"/>
    </row>
    <row r="6" spans="1:8" s="16" customFormat="1" ht="19.5" x14ac:dyDescent="0.4">
      <c r="A6" s="2736" t="s">
        <v>132</v>
      </c>
      <c r="B6" s="2737"/>
      <c r="C6" s="2736" t="s">
        <v>2012</v>
      </c>
      <c r="D6" s="2738"/>
      <c r="E6" s="2738"/>
      <c r="F6" s="2738"/>
      <c r="G6" s="2738"/>
      <c r="H6" s="2738"/>
    </row>
    <row r="7" spans="1:8" s="16" customFormat="1" ht="19.5" x14ac:dyDescent="0.4">
      <c r="A7" s="428"/>
      <c r="B7" s="428"/>
      <c r="C7" s="43"/>
    </row>
    <row r="8" spans="1:8" s="16" customFormat="1" ht="19.5" x14ac:dyDescent="0.4"/>
    <row r="9" spans="1:8" s="16" customFormat="1" ht="19.5" x14ac:dyDescent="0.4">
      <c r="C9" s="334" t="s">
        <v>2012</v>
      </c>
      <c r="D9" s="334"/>
      <c r="G9" s="267"/>
      <c r="H9" s="267"/>
    </row>
    <row r="10" spans="1:8" ht="9.6" customHeight="1" x14ac:dyDescent="0.25">
      <c r="C10" s="557"/>
      <c r="D10" s="557"/>
      <c r="G10" s="267"/>
      <c r="H10" s="267"/>
    </row>
    <row r="11" spans="1:8" ht="17.25" customHeight="1" x14ac:dyDescent="0.25">
      <c r="C11" s="850" t="s">
        <v>46</v>
      </c>
      <c r="D11" s="851" t="s">
        <v>2013</v>
      </c>
    </row>
    <row r="12" spans="1:8" ht="18.75" x14ac:dyDescent="0.4">
      <c r="C12" s="4">
        <v>2000</v>
      </c>
      <c r="D12" s="4" t="s">
        <v>2014</v>
      </c>
    </row>
    <row r="13" spans="1:8" ht="18.75" x14ac:dyDescent="0.4">
      <c r="C13" s="4">
        <v>2001</v>
      </c>
      <c r="D13" s="4" t="s">
        <v>2014</v>
      </c>
    </row>
    <row r="14" spans="1:8" ht="18.75" x14ac:dyDescent="0.4">
      <c r="C14" s="4">
        <v>2002</v>
      </c>
      <c r="D14" s="4" t="s">
        <v>2014</v>
      </c>
    </row>
    <row r="15" spans="1:8" ht="18.75" x14ac:dyDescent="0.4">
      <c r="C15" s="256">
        <v>2003</v>
      </c>
      <c r="D15" s="4" t="s">
        <v>2014</v>
      </c>
    </row>
    <row r="16" spans="1:8" ht="18.75" x14ac:dyDescent="0.4">
      <c r="C16" s="4">
        <v>2004</v>
      </c>
      <c r="D16" s="4" t="s">
        <v>2014</v>
      </c>
    </row>
    <row r="17" spans="1:4" ht="18.75" x14ac:dyDescent="0.4">
      <c r="C17" s="4">
        <v>2005</v>
      </c>
      <c r="D17" s="4" t="s">
        <v>2014</v>
      </c>
    </row>
    <row r="18" spans="1:4" ht="18.75" x14ac:dyDescent="0.4">
      <c r="C18" s="4">
        <v>2006</v>
      </c>
      <c r="D18" s="4" t="s">
        <v>2014</v>
      </c>
    </row>
    <row r="19" spans="1:4" ht="18.75" x14ac:dyDescent="0.4">
      <c r="C19" s="256">
        <v>2007</v>
      </c>
      <c r="D19" s="4" t="s">
        <v>2014</v>
      </c>
    </row>
    <row r="20" spans="1:4" ht="18.75" x14ac:dyDescent="0.4">
      <c r="C20" s="4">
        <v>2008</v>
      </c>
      <c r="D20" s="4" t="s">
        <v>2014</v>
      </c>
    </row>
    <row r="21" spans="1:4" ht="18.75" x14ac:dyDescent="0.4">
      <c r="C21" s="4">
        <v>2009</v>
      </c>
      <c r="D21" s="4" t="s">
        <v>2014</v>
      </c>
    </row>
    <row r="22" spans="1:4" ht="18.75" x14ac:dyDescent="0.4">
      <c r="C22" s="4">
        <v>2010</v>
      </c>
      <c r="D22" s="4" t="s">
        <v>2014</v>
      </c>
    </row>
    <row r="23" spans="1:4" ht="18.75" x14ac:dyDescent="0.4">
      <c r="C23" s="256">
        <v>2011</v>
      </c>
      <c r="D23" s="4" t="s">
        <v>2014</v>
      </c>
    </row>
    <row r="24" spans="1:4" ht="18.75" x14ac:dyDescent="0.4">
      <c r="C24" s="4">
        <v>2012</v>
      </c>
      <c r="D24" s="4" t="s">
        <v>2014</v>
      </c>
    </row>
    <row r="25" spans="1:4" ht="18.75" x14ac:dyDescent="0.4">
      <c r="C25" s="4">
        <v>2013</v>
      </c>
      <c r="D25" s="4" t="s">
        <v>2014</v>
      </c>
    </row>
    <row r="26" spans="1:4" ht="18.75" x14ac:dyDescent="0.4">
      <c r="C26" s="4">
        <v>2014</v>
      </c>
      <c r="D26" s="4" t="s">
        <v>2014</v>
      </c>
    </row>
    <row r="27" spans="1:4" ht="18.75" x14ac:dyDescent="0.4">
      <c r="C27" s="256">
        <v>2015</v>
      </c>
      <c r="D27" s="4" t="s">
        <v>2014</v>
      </c>
    </row>
    <row r="28" spans="1:4" ht="18.75" x14ac:dyDescent="0.4">
      <c r="C28" s="4">
        <v>2016</v>
      </c>
      <c r="D28" s="4" t="s">
        <v>2014</v>
      </c>
    </row>
    <row r="29" spans="1:4" ht="18.75" x14ac:dyDescent="0.4">
      <c r="C29" s="4">
        <v>2017</v>
      </c>
      <c r="D29" s="4" t="s">
        <v>2014</v>
      </c>
    </row>
    <row r="30" spans="1:4" ht="18.75" x14ac:dyDescent="0.4">
      <c r="A30" s="23"/>
      <c r="C30" s="4">
        <v>2018</v>
      </c>
      <c r="D30" s="4" t="s">
        <v>2014</v>
      </c>
    </row>
    <row r="31" spans="1:4" ht="18.75" x14ac:dyDescent="0.4">
      <c r="A31" s="23"/>
      <c r="C31" s="4">
        <v>2019</v>
      </c>
      <c r="D31" s="4" t="s">
        <v>2014</v>
      </c>
    </row>
    <row r="32" spans="1:4" ht="18.75" x14ac:dyDescent="0.4">
      <c r="A32" s="23"/>
      <c r="C32" s="4">
        <v>2020</v>
      </c>
      <c r="D32" s="4" t="s">
        <v>2014</v>
      </c>
    </row>
    <row r="33" spans="1:8" ht="18.75" x14ac:dyDescent="0.4">
      <c r="A33" s="23"/>
      <c r="C33" s="4">
        <v>2021</v>
      </c>
      <c r="D33" s="4" t="s">
        <v>2014</v>
      </c>
    </row>
    <row r="34" spans="1:8" ht="18.75" x14ac:dyDescent="0.4">
      <c r="A34" s="23"/>
      <c r="C34" s="4">
        <v>2022</v>
      </c>
      <c r="D34" s="4" t="s">
        <v>2014</v>
      </c>
    </row>
    <row r="35" spans="1:8" ht="18.75" x14ac:dyDescent="0.4">
      <c r="A35" s="23"/>
      <c r="C35" s="82">
        <v>2023</v>
      </c>
      <c r="D35" s="82" t="s">
        <v>2014</v>
      </c>
    </row>
    <row r="36" spans="1:8" ht="18.75" x14ac:dyDescent="0.4">
      <c r="A36" s="23"/>
      <c r="C36" s="5" t="s">
        <v>2015</v>
      </c>
      <c r="D36" s="5"/>
    </row>
    <row r="37" spans="1:8" x14ac:dyDescent="0.25">
      <c r="A37" s="23"/>
    </row>
    <row r="38" spans="1:8" x14ac:dyDescent="0.25">
      <c r="A38" s="23"/>
    </row>
    <row r="39" spans="1:8" ht="18.75" x14ac:dyDescent="0.4">
      <c r="A39" s="23"/>
      <c r="F39" s="852" t="s">
        <v>1977</v>
      </c>
      <c r="G39" s="5"/>
      <c r="H39" s="5"/>
    </row>
    <row r="40" spans="1:8" ht="18.75" x14ac:dyDescent="0.4">
      <c r="A40" s="23"/>
      <c r="F40" s="2739"/>
      <c r="G40" s="2739"/>
      <c r="H40" s="853" t="s">
        <v>2016</v>
      </c>
    </row>
    <row r="41" spans="1:8" ht="18.75" x14ac:dyDescent="0.4">
      <c r="A41" s="23"/>
      <c r="F41" s="2740"/>
      <c r="G41" s="2741"/>
      <c r="H41" s="854" t="s">
        <v>2017</v>
      </c>
    </row>
    <row r="42" spans="1:8" ht="37.5" x14ac:dyDescent="0.25">
      <c r="F42" s="2724">
        <v>1</v>
      </c>
      <c r="G42" s="2742"/>
      <c r="H42" s="699" t="s">
        <v>2018</v>
      </c>
    </row>
    <row r="43" spans="1:8" ht="37.5" x14ac:dyDescent="0.25">
      <c r="F43" s="2724">
        <v>2</v>
      </c>
      <c r="G43" s="2742"/>
      <c r="H43" s="699" t="s">
        <v>2019</v>
      </c>
    </row>
    <row r="44" spans="1:8" ht="18.75" x14ac:dyDescent="0.25">
      <c r="F44" s="2724">
        <v>3</v>
      </c>
      <c r="G44" s="2742"/>
      <c r="H44" s="699" t="s">
        <v>2020</v>
      </c>
    </row>
    <row r="45" spans="1:8" ht="37.5" x14ac:dyDescent="0.25">
      <c r="F45" s="2724">
        <v>4</v>
      </c>
      <c r="G45" s="2742"/>
      <c r="H45" s="699" t="s">
        <v>2021</v>
      </c>
    </row>
    <row r="46" spans="1:8" ht="37.5" x14ac:dyDescent="0.25">
      <c r="F46" s="2724">
        <v>5</v>
      </c>
      <c r="G46" s="2742"/>
      <c r="H46" s="699" t="s">
        <v>2022</v>
      </c>
    </row>
    <row r="47" spans="1:8" ht="18.75" x14ac:dyDescent="0.25">
      <c r="F47" s="2724">
        <v>6</v>
      </c>
      <c r="G47" s="2742"/>
      <c r="H47" s="699" t="s">
        <v>2023</v>
      </c>
    </row>
    <row r="48" spans="1:8" ht="18.75" x14ac:dyDescent="0.25">
      <c r="F48" s="2743"/>
      <c r="G48" s="2728"/>
      <c r="H48" s="855" t="s">
        <v>2024</v>
      </c>
    </row>
    <row r="49" spans="6:8" ht="56.25" x14ac:dyDescent="0.25">
      <c r="F49" s="2724">
        <v>7</v>
      </c>
      <c r="G49" s="2725"/>
      <c r="H49" s="856" t="s">
        <v>2025</v>
      </c>
    </row>
    <row r="50" spans="6:8" ht="18.75" x14ac:dyDescent="0.25">
      <c r="F50" s="2724">
        <v>8</v>
      </c>
      <c r="G50" s="2725"/>
      <c r="H50" s="856" t="s">
        <v>2026</v>
      </c>
    </row>
    <row r="51" spans="6:8" ht="18.75" x14ac:dyDescent="0.25">
      <c r="F51" s="2724">
        <v>9</v>
      </c>
      <c r="G51" s="2725"/>
      <c r="H51" s="856" t="s">
        <v>2027</v>
      </c>
    </row>
    <row r="52" spans="6:8" ht="18.75" x14ac:dyDescent="0.25">
      <c r="F52" s="2724">
        <v>10</v>
      </c>
      <c r="G52" s="2725"/>
      <c r="H52" s="856" t="s">
        <v>2028</v>
      </c>
    </row>
    <row r="53" spans="6:8" ht="18.75" x14ac:dyDescent="0.25">
      <c r="F53" s="2724">
        <v>11</v>
      </c>
      <c r="G53" s="2725"/>
      <c r="H53" s="856" t="s">
        <v>2029</v>
      </c>
    </row>
    <row r="54" spans="6:8" ht="37.5" x14ac:dyDescent="0.25">
      <c r="F54" s="2724">
        <v>12</v>
      </c>
      <c r="G54" s="2725"/>
      <c r="H54" s="856" t="s">
        <v>2030</v>
      </c>
    </row>
    <row r="55" spans="6:8" ht="18.75" x14ac:dyDescent="0.25">
      <c r="F55" s="224"/>
      <c r="G55" s="224"/>
      <c r="H55" s="3"/>
    </row>
    <row r="56" spans="6:8" ht="18.75" x14ac:dyDescent="0.25">
      <c r="F56" s="2732"/>
      <c r="G56" s="2734"/>
      <c r="H56" s="857" t="s">
        <v>2031</v>
      </c>
    </row>
    <row r="57" spans="6:8" ht="18.75" x14ac:dyDescent="0.25">
      <c r="F57" s="2735"/>
      <c r="G57" s="2735"/>
      <c r="H57" s="858" t="s">
        <v>2017</v>
      </c>
    </row>
    <row r="58" spans="6:8" ht="18.75" x14ac:dyDescent="0.25">
      <c r="F58" s="2723">
        <v>13</v>
      </c>
      <c r="G58" s="2723"/>
      <c r="H58" s="699" t="s">
        <v>2032</v>
      </c>
    </row>
    <row r="59" spans="6:8" ht="37.5" x14ac:dyDescent="0.25">
      <c r="F59" s="2723">
        <v>14</v>
      </c>
      <c r="G59" s="2723"/>
      <c r="H59" s="699" t="s">
        <v>2033</v>
      </c>
    </row>
    <row r="60" spans="6:8" ht="37.5" x14ac:dyDescent="0.25">
      <c r="F60" s="2723">
        <v>15</v>
      </c>
      <c r="G60" s="2723"/>
      <c r="H60" s="699" t="s">
        <v>2034</v>
      </c>
    </row>
    <row r="61" spans="6:8" ht="18.75" x14ac:dyDescent="0.25">
      <c r="F61" s="2723">
        <v>16</v>
      </c>
      <c r="G61" s="2723"/>
      <c r="H61" s="699" t="s">
        <v>2035</v>
      </c>
    </row>
    <row r="62" spans="6:8" ht="37.5" x14ac:dyDescent="0.25">
      <c r="F62" s="2723">
        <v>17</v>
      </c>
      <c r="G62" s="2723"/>
      <c r="H62" s="699" t="s">
        <v>2036</v>
      </c>
    </row>
    <row r="63" spans="6:8" ht="18.75" x14ac:dyDescent="0.25">
      <c r="F63" s="2723">
        <v>18</v>
      </c>
      <c r="G63" s="2723"/>
      <c r="H63" s="699" t="s">
        <v>2037</v>
      </c>
    </row>
    <row r="64" spans="6:8" ht="18.75" x14ac:dyDescent="0.25">
      <c r="F64" s="2723"/>
      <c r="G64" s="2723"/>
      <c r="H64" s="859" t="s">
        <v>2024</v>
      </c>
    </row>
    <row r="65" spans="6:8" ht="56.25" x14ac:dyDescent="0.25">
      <c r="F65" s="2723">
        <v>19</v>
      </c>
      <c r="G65" s="2723"/>
      <c r="H65" s="699" t="s">
        <v>2038</v>
      </c>
    </row>
    <row r="66" spans="6:8" ht="75" x14ac:dyDescent="0.25">
      <c r="F66" s="2723">
        <v>20</v>
      </c>
      <c r="G66" s="2723"/>
      <c r="H66" s="699" t="s">
        <v>2039</v>
      </c>
    </row>
    <row r="67" spans="6:8" ht="37.5" x14ac:dyDescent="0.25">
      <c r="F67" s="2723">
        <v>21</v>
      </c>
      <c r="G67" s="2723"/>
      <c r="H67" s="699" t="s">
        <v>2040</v>
      </c>
    </row>
    <row r="68" spans="6:8" ht="18.75" x14ac:dyDescent="0.25">
      <c r="F68" s="224"/>
      <c r="G68" s="224"/>
      <c r="H68" s="580"/>
    </row>
    <row r="69" spans="6:8" ht="18.75" x14ac:dyDescent="0.25">
      <c r="F69" s="2732"/>
      <c r="G69" s="2733"/>
      <c r="H69" s="860" t="s">
        <v>2041</v>
      </c>
    </row>
    <row r="70" spans="6:8" ht="18.75" x14ac:dyDescent="0.25">
      <c r="F70" s="2726"/>
      <c r="G70" s="2727"/>
      <c r="H70" s="861" t="s">
        <v>2017</v>
      </c>
    </row>
    <row r="71" spans="6:8" ht="18.75" x14ac:dyDescent="0.25">
      <c r="F71" s="2724">
        <v>22</v>
      </c>
      <c r="G71" s="2725"/>
      <c r="H71" s="856" t="s">
        <v>2042</v>
      </c>
    </row>
    <row r="72" spans="6:8" ht="18.75" x14ac:dyDescent="0.25">
      <c r="F72" s="2724">
        <v>23</v>
      </c>
      <c r="G72" s="2725"/>
      <c r="H72" s="856" t="s">
        <v>2043</v>
      </c>
    </row>
    <row r="73" spans="6:8" ht="37.5" x14ac:dyDescent="0.25">
      <c r="F73" s="2724">
        <v>24</v>
      </c>
      <c r="G73" s="2725"/>
      <c r="H73" s="856" t="s">
        <v>2044</v>
      </c>
    </row>
    <row r="74" spans="6:8" ht="18.75" x14ac:dyDescent="0.25">
      <c r="F74" s="2724">
        <v>25</v>
      </c>
      <c r="G74" s="2725"/>
      <c r="H74" s="856" t="s">
        <v>2045</v>
      </c>
    </row>
    <row r="75" spans="6:8" ht="18.75" x14ac:dyDescent="0.25">
      <c r="F75" s="2724">
        <v>26</v>
      </c>
      <c r="G75" s="2725"/>
      <c r="H75" s="856" t="s">
        <v>2046</v>
      </c>
    </row>
    <row r="76" spans="6:8" ht="18.75" x14ac:dyDescent="0.25">
      <c r="F76" s="2724">
        <v>27</v>
      </c>
      <c r="G76" s="2725"/>
      <c r="H76" s="856" t="s">
        <v>2047</v>
      </c>
    </row>
    <row r="77" spans="6:8" ht="37.5" x14ac:dyDescent="0.25">
      <c r="F77" s="2724">
        <v>28</v>
      </c>
      <c r="G77" s="2725"/>
      <c r="H77" s="856" t="s">
        <v>2048</v>
      </c>
    </row>
    <row r="78" spans="6:8" ht="18.75" x14ac:dyDescent="0.25">
      <c r="F78" s="2724">
        <v>29</v>
      </c>
      <c r="G78" s="2725"/>
      <c r="H78" s="856" t="s">
        <v>2049</v>
      </c>
    </row>
    <row r="79" spans="6:8" ht="18.75" x14ac:dyDescent="0.25">
      <c r="F79" s="2726"/>
      <c r="G79" s="2727"/>
      <c r="H79" s="861" t="s">
        <v>2024</v>
      </c>
    </row>
    <row r="80" spans="6:8" ht="18.75" x14ac:dyDescent="0.25">
      <c r="F80" s="2724">
        <v>30</v>
      </c>
      <c r="G80" s="2725"/>
      <c r="H80" s="856" t="s">
        <v>2050</v>
      </c>
    </row>
    <row r="81" spans="6:8" ht="18.75" x14ac:dyDescent="0.25">
      <c r="F81" s="2724">
        <v>31</v>
      </c>
      <c r="G81" s="2725"/>
      <c r="H81" s="856" t="s">
        <v>2051</v>
      </c>
    </row>
    <row r="82" spans="6:8" ht="18.75" x14ac:dyDescent="0.25">
      <c r="F82" s="2728"/>
      <c r="G82" s="2728"/>
      <c r="H82" s="3"/>
    </row>
    <row r="83" spans="6:8" ht="18.75" x14ac:dyDescent="0.25">
      <c r="F83" s="2729"/>
      <c r="G83" s="2730"/>
      <c r="H83" s="857" t="s">
        <v>2052</v>
      </c>
    </row>
    <row r="84" spans="6:8" ht="18.75" x14ac:dyDescent="0.25">
      <c r="F84" s="2731"/>
      <c r="G84" s="2731"/>
      <c r="H84" s="855" t="s">
        <v>2017</v>
      </c>
    </row>
    <row r="85" spans="6:8" ht="37.5" x14ac:dyDescent="0.25">
      <c r="F85" s="2723">
        <v>32</v>
      </c>
      <c r="G85" s="2723"/>
      <c r="H85" s="699" t="s">
        <v>2053</v>
      </c>
    </row>
    <row r="86" spans="6:8" ht="37.5" x14ac:dyDescent="0.25">
      <c r="F86" s="2723">
        <v>33</v>
      </c>
      <c r="G86" s="2723"/>
      <c r="H86" s="699" t="s">
        <v>2054</v>
      </c>
    </row>
    <row r="87" spans="6:8" ht="37.5" x14ac:dyDescent="0.25">
      <c r="F87" s="2723">
        <v>34</v>
      </c>
      <c r="G87" s="2723"/>
      <c r="H87" s="699" t="s">
        <v>2055</v>
      </c>
    </row>
    <row r="88" spans="6:8" ht="18.75" x14ac:dyDescent="0.25">
      <c r="F88" s="2723">
        <v>35</v>
      </c>
      <c r="G88" s="2723"/>
      <c r="H88" s="699" t="s">
        <v>2056</v>
      </c>
    </row>
    <row r="89" spans="6:8" ht="18.75" x14ac:dyDescent="0.25">
      <c r="F89" s="2723">
        <v>36</v>
      </c>
      <c r="G89" s="2723"/>
      <c r="H89" s="699" t="s">
        <v>2057</v>
      </c>
    </row>
    <row r="90" spans="6:8" ht="18.75" x14ac:dyDescent="0.25">
      <c r="F90" s="2723">
        <v>37</v>
      </c>
      <c r="G90" s="2723"/>
      <c r="H90" s="699" t="s">
        <v>2058</v>
      </c>
    </row>
    <row r="91" spans="6:8" ht="18.75" x14ac:dyDescent="0.25">
      <c r="F91" s="2723">
        <v>38</v>
      </c>
      <c r="G91" s="2723"/>
      <c r="H91" s="699" t="s">
        <v>2059</v>
      </c>
    </row>
    <row r="92" spans="6:8" ht="18.75" x14ac:dyDescent="0.25">
      <c r="F92" s="2723">
        <v>39</v>
      </c>
      <c r="G92" s="2723"/>
      <c r="H92" s="699" t="s">
        <v>2060</v>
      </c>
    </row>
    <row r="93" spans="6:8" ht="37.5" x14ac:dyDescent="0.25">
      <c r="F93" s="2723">
        <v>40</v>
      </c>
      <c r="G93" s="2723"/>
      <c r="H93" s="699" t="s">
        <v>2061</v>
      </c>
    </row>
    <row r="94" spans="6:8" ht="18.75" x14ac:dyDescent="0.25">
      <c r="F94" s="2722"/>
      <c r="G94" s="2722"/>
      <c r="H94" s="862" t="s">
        <v>2024</v>
      </c>
    </row>
    <row r="95" spans="6:8" ht="18.75" x14ac:dyDescent="0.25">
      <c r="F95" s="2723">
        <v>41</v>
      </c>
      <c r="G95" s="2723"/>
      <c r="H95" s="699" t="s">
        <v>2062</v>
      </c>
    </row>
    <row r="96" spans="6:8" ht="18.75" x14ac:dyDescent="0.25">
      <c r="F96" s="2723">
        <v>42</v>
      </c>
      <c r="G96" s="2723"/>
      <c r="H96" s="699" t="s">
        <v>2063</v>
      </c>
    </row>
    <row r="97" spans="6:8" ht="18.75" x14ac:dyDescent="0.4">
      <c r="F97" s="5"/>
      <c r="G97" s="5"/>
      <c r="H97" s="5"/>
    </row>
  </sheetData>
  <mergeCells count="64">
    <mergeCell ref="A5:B5"/>
    <mergeCell ref="C5:H5"/>
    <mergeCell ref="C1:D1"/>
    <mergeCell ref="A3:B3"/>
    <mergeCell ref="C3:H3"/>
    <mergeCell ref="A4:B4"/>
    <mergeCell ref="C4:H4"/>
    <mergeCell ref="F49:G49"/>
    <mergeCell ref="A6:B6"/>
    <mergeCell ref="C6:H6"/>
    <mergeCell ref="F40:G40"/>
    <mergeCell ref="F41:G41"/>
    <mergeCell ref="F42:G42"/>
    <mergeCell ref="F43:G43"/>
    <mergeCell ref="F44:G44"/>
    <mergeCell ref="F45:G45"/>
    <mergeCell ref="F46:G46"/>
    <mergeCell ref="F47:G47"/>
    <mergeCell ref="F48:G48"/>
    <mergeCell ref="F62:G62"/>
    <mergeCell ref="F50:G50"/>
    <mergeCell ref="F51:G51"/>
    <mergeCell ref="F52:G52"/>
    <mergeCell ref="F53:G53"/>
    <mergeCell ref="F54:G54"/>
    <mergeCell ref="F56:G56"/>
    <mergeCell ref="F57:G57"/>
    <mergeCell ref="F58:G58"/>
    <mergeCell ref="F59:G59"/>
    <mergeCell ref="F60:G60"/>
    <mergeCell ref="F61:G61"/>
    <mergeCell ref="F75:G75"/>
    <mergeCell ref="F63:G63"/>
    <mergeCell ref="F64:G64"/>
    <mergeCell ref="F65:G65"/>
    <mergeCell ref="F66:G66"/>
    <mergeCell ref="F67:G67"/>
    <mergeCell ref="F69:G69"/>
    <mergeCell ref="F70:G70"/>
    <mergeCell ref="F71:G71"/>
    <mergeCell ref="F72:G72"/>
    <mergeCell ref="F73:G73"/>
    <mergeCell ref="F74:G74"/>
    <mergeCell ref="F87:G87"/>
    <mergeCell ref="F76:G76"/>
    <mergeCell ref="F77:G77"/>
    <mergeCell ref="F78:G78"/>
    <mergeCell ref="F79:G79"/>
    <mergeCell ref="F80:G80"/>
    <mergeCell ref="F81:G81"/>
    <mergeCell ref="F82:G82"/>
    <mergeCell ref="F83:G83"/>
    <mergeCell ref="F84:G84"/>
    <mergeCell ref="F85:G85"/>
    <mergeCell ref="F86:G86"/>
    <mergeCell ref="F94:G94"/>
    <mergeCell ref="F95:G95"/>
    <mergeCell ref="F96:G96"/>
    <mergeCell ref="F88:G88"/>
    <mergeCell ref="F89:G89"/>
    <mergeCell ref="F90:G90"/>
    <mergeCell ref="F91:G91"/>
    <mergeCell ref="F92:G92"/>
    <mergeCell ref="F93:G93"/>
  </mergeCells>
  <hyperlinks>
    <hyperlink ref="A1" location="'ODS 5.'!A1" display="REGRESAR" xr:uid="{4E2CC097-6E7C-4694-B69E-98E5D0411FC7}"/>
    <hyperlink ref="C1" location="'Metadato 5.1.1'!A1" display="VER METADATO" xr:uid="{56DDBC41-BAF3-4235-9FA1-2C86083BC362}"/>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4377-BE01-460D-AE75-6AFA64E055B8}">
  <sheetPr>
    <tabColor theme="0" tint="-0.499984740745262"/>
  </sheetPr>
  <dimension ref="B1:G41"/>
  <sheetViews>
    <sheetView showGridLines="0" topLeftCell="B1" zoomScaleNormal="100" workbookViewId="0">
      <pane ySplit="1" topLeftCell="A2" activePane="bottomLeft" state="frozen"/>
      <selection pane="bottomLeft"/>
    </sheetView>
  </sheetViews>
  <sheetFormatPr baseColWidth="10" defaultColWidth="11.42578125" defaultRowHeight="18.75" x14ac:dyDescent="0.25"/>
  <cols>
    <col min="1" max="1" width="3.7109375" style="222" customWidth="1"/>
    <col min="2" max="2" width="11.42578125" style="222"/>
    <col min="3" max="3" width="26.42578125" style="222" customWidth="1"/>
    <col min="4" max="4" width="24" style="222" customWidth="1"/>
    <col min="5" max="5" width="85.7109375" style="222" customWidth="1"/>
    <col min="6" max="6" width="11.42578125" style="222"/>
    <col min="7" max="7" width="7.28515625" style="222" customWidth="1"/>
    <col min="8" max="16384" width="11.42578125" style="222"/>
  </cols>
  <sheetData>
    <row r="1" spans="2:7" x14ac:dyDescent="0.25">
      <c r="C1" s="223" t="s">
        <v>39</v>
      </c>
    </row>
    <row r="2" spans="2:7" ht="19.5" thickBot="1" x14ac:dyDescent="0.3"/>
    <row r="3" spans="2:7" ht="23.25" customHeight="1" thickBot="1" x14ac:dyDescent="0.3">
      <c r="C3" s="2745" t="s">
        <v>75</v>
      </c>
      <c r="D3" s="2745"/>
      <c r="E3" s="2745"/>
      <c r="G3" s="91" t="s">
        <v>76</v>
      </c>
    </row>
    <row r="4" spans="2:7" x14ac:dyDescent="0.25">
      <c r="B4" s="224"/>
      <c r="C4" s="2606" t="s">
        <v>234</v>
      </c>
      <c r="D4" s="2606"/>
      <c r="E4" s="359" t="s">
        <v>2064</v>
      </c>
    </row>
    <row r="5" spans="2:7" x14ac:dyDescent="0.25">
      <c r="C5" s="2445" t="s">
        <v>79</v>
      </c>
      <c r="D5" s="2445"/>
      <c r="E5" s="49" t="s">
        <v>1975</v>
      </c>
    </row>
    <row r="6" spans="2:7" x14ac:dyDescent="0.25">
      <c r="C6" s="2445" t="s">
        <v>80</v>
      </c>
      <c r="D6" s="2445"/>
      <c r="E6" s="50" t="s">
        <v>1976</v>
      </c>
    </row>
    <row r="7" spans="2:7" ht="37.5" x14ac:dyDescent="0.25">
      <c r="C7" s="2446" t="s">
        <v>81</v>
      </c>
      <c r="D7" s="2446"/>
      <c r="E7" s="93" t="s">
        <v>1977</v>
      </c>
    </row>
    <row r="8" spans="2:7" x14ac:dyDescent="0.25">
      <c r="C8" s="2446" t="s">
        <v>82</v>
      </c>
      <c r="D8" s="2446"/>
      <c r="E8" s="94" t="s">
        <v>2065</v>
      </c>
    </row>
    <row r="9" spans="2:7" x14ac:dyDescent="0.4">
      <c r="C9" s="5"/>
      <c r="D9" s="5"/>
      <c r="E9" s="5"/>
    </row>
    <row r="10" spans="2:7" ht="23.25" customHeight="1" x14ac:dyDescent="0.25">
      <c r="C10" s="2745" t="s">
        <v>85</v>
      </c>
      <c r="D10" s="2745"/>
      <c r="E10" s="2745"/>
    </row>
    <row r="11" spans="2:7" ht="17.25" customHeight="1" x14ac:dyDescent="0.25">
      <c r="C11" s="2633" t="s">
        <v>86</v>
      </c>
      <c r="D11" s="2634"/>
      <c r="E11" s="359" t="s">
        <v>167</v>
      </c>
    </row>
    <row r="12" spans="2:7" ht="32.25" customHeight="1" x14ac:dyDescent="0.25">
      <c r="C12" s="2455" t="s">
        <v>88</v>
      </c>
      <c r="D12" s="2455"/>
      <c r="E12" s="169" t="s">
        <v>2066</v>
      </c>
    </row>
    <row r="13" spans="2:7" x14ac:dyDescent="0.25">
      <c r="C13" s="2445" t="s">
        <v>90</v>
      </c>
      <c r="D13" s="2445"/>
      <c r="E13" s="54" t="s">
        <v>1976</v>
      </c>
    </row>
    <row r="14" spans="2:7" x14ac:dyDescent="0.25">
      <c r="C14" s="2445" t="s">
        <v>91</v>
      </c>
      <c r="D14" s="2456"/>
      <c r="E14" s="54" t="s">
        <v>92</v>
      </c>
    </row>
    <row r="15" spans="2:7" ht="111.75" customHeight="1" x14ac:dyDescent="0.25">
      <c r="C15" s="2445" t="s">
        <v>93</v>
      </c>
      <c r="D15" s="2445"/>
      <c r="E15" s="56" t="s">
        <v>2067</v>
      </c>
    </row>
    <row r="16" spans="2:7" ht="66.75" customHeight="1" x14ac:dyDescent="0.25">
      <c r="C16" s="2445" t="s">
        <v>95</v>
      </c>
      <c r="D16" s="2445"/>
      <c r="E16" s="56" t="s">
        <v>2068</v>
      </c>
    </row>
    <row r="17" spans="3:5" x14ac:dyDescent="0.25">
      <c r="C17" s="2445" t="s">
        <v>97</v>
      </c>
      <c r="D17" s="2445"/>
      <c r="E17" s="56" t="s">
        <v>2069</v>
      </c>
    </row>
    <row r="18" spans="3:5" x14ac:dyDescent="0.25">
      <c r="C18" s="2446" t="s">
        <v>99</v>
      </c>
      <c r="D18" s="2446"/>
      <c r="E18" s="49"/>
    </row>
    <row r="19" spans="3:5" ht="15" customHeight="1" x14ac:dyDescent="0.25">
      <c r="C19" s="2457" t="s">
        <v>100</v>
      </c>
      <c r="D19" s="2458"/>
      <c r="E19" s="55" t="s">
        <v>2070</v>
      </c>
    </row>
    <row r="20" spans="3:5" x14ac:dyDescent="0.25">
      <c r="C20" s="2445" t="s">
        <v>102</v>
      </c>
      <c r="D20" s="2445"/>
      <c r="E20" s="56" t="s">
        <v>140</v>
      </c>
    </row>
    <row r="21" spans="3:5" x14ac:dyDescent="0.25">
      <c r="C21" s="2451" t="s">
        <v>104</v>
      </c>
      <c r="D21" s="95" t="s">
        <v>105</v>
      </c>
      <c r="E21" s="56" t="s">
        <v>140</v>
      </c>
    </row>
    <row r="22" spans="3:5" x14ac:dyDescent="0.25">
      <c r="C22" s="2452"/>
      <c r="D22" s="96" t="s">
        <v>107</v>
      </c>
      <c r="E22" s="55"/>
    </row>
    <row r="23" spans="3:5" x14ac:dyDescent="0.25">
      <c r="C23" s="2444" t="s">
        <v>109</v>
      </c>
      <c r="D23" s="2444"/>
      <c r="E23" s="56" t="s">
        <v>2071</v>
      </c>
    </row>
    <row r="24" spans="3:5" x14ac:dyDescent="0.25">
      <c r="C24" s="2444" t="s">
        <v>111</v>
      </c>
      <c r="D24" s="2444"/>
      <c r="E24" s="59" t="s">
        <v>2072</v>
      </c>
    </row>
    <row r="25" spans="3:5" x14ac:dyDescent="0.25">
      <c r="C25" s="2445" t="s">
        <v>113</v>
      </c>
      <c r="D25" s="2445"/>
      <c r="E25" s="56" t="s">
        <v>220</v>
      </c>
    </row>
    <row r="26" spans="3:5" ht="15" customHeight="1" x14ac:dyDescent="0.25">
      <c r="C26" s="2446" t="s">
        <v>115</v>
      </c>
      <c r="D26" s="2446"/>
      <c r="E26" s="59" t="s">
        <v>2073</v>
      </c>
    </row>
    <row r="27" spans="3:5" x14ac:dyDescent="0.25">
      <c r="C27" s="2447" t="s">
        <v>117</v>
      </c>
      <c r="D27" s="2448"/>
      <c r="E27" s="49"/>
    </row>
    <row r="28" spans="3:5" ht="37.5" x14ac:dyDescent="0.25">
      <c r="C28" s="97" t="s">
        <v>118</v>
      </c>
      <c r="D28" s="98"/>
      <c r="E28" s="56" t="s">
        <v>2074</v>
      </c>
    </row>
    <row r="29" spans="3:5" ht="37.5" x14ac:dyDescent="0.25">
      <c r="C29" s="2449" t="s">
        <v>120</v>
      </c>
      <c r="D29" s="2450"/>
      <c r="E29" s="311" t="s">
        <v>2075</v>
      </c>
    </row>
    <row r="30" spans="3:5" x14ac:dyDescent="0.25">
      <c r="C30" s="628"/>
      <c r="D30" s="628"/>
      <c r="E30" s="629"/>
    </row>
    <row r="31" spans="3:5" ht="23.25" customHeight="1" x14ac:dyDescent="0.25">
      <c r="C31" s="2745" t="s">
        <v>121</v>
      </c>
      <c r="D31" s="2745"/>
      <c r="E31" s="2745"/>
    </row>
    <row r="32" spans="3:5" x14ac:dyDescent="0.25">
      <c r="C32" s="2631" t="s">
        <v>122</v>
      </c>
      <c r="D32" s="2632"/>
      <c r="E32" s="574" t="s">
        <v>2076</v>
      </c>
    </row>
    <row r="33" spans="3:5" x14ac:dyDescent="0.25">
      <c r="C33" s="2442" t="s">
        <v>124</v>
      </c>
      <c r="D33" s="2443"/>
      <c r="E33" s="59" t="s">
        <v>2077</v>
      </c>
    </row>
    <row r="34" spans="3:5" x14ac:dyDescent="0.25">
      <c r="C34" s="2442" t="s">
        <v>126</v>
      </c>
      <c r="D34" s="2443"/>
      <c r="E34" s="59" t="s">
        <v>2072</v>
      </c>
    </row>
    <row r="35" spans="3:5" ht="37.5" x14ac:dyDescent="0.25">
      <c r="C35" s="2442" t="s">
        <v>128</v>
      </c>
      <c r="D35" s="2443"/>
      <c r="E35" s="59" t="s">
        <v>2078</v>
      </c>
    </row>
    <row r="36" spans="3:5" x14ac:dyDescent="0.25">
      <c r="C36" s="2442" t="s">
        <v>130</v>
      </c>
      <c r="D36" s="2443"/>
      <c r="E36" s="65" t="s">
        <v>2079</v>
      </c>
    </row>
    <row r="37" spans="3:5" x14ac:dyDescent="0.25">
      <c r="C37" s="2631" t="s">
        <v>122</v>
      </c>
      <c r="D37" s="2632"/>
      <c r="E37" s="574" t="s">
        <v>2080</v>
      </c>
    </row>
    <row r="38" spans="3:5" x14ac:dyDescent="0.25">
      <c r="C38" s="2442" t="s">
        <v>124</v>
      </c>
      <c r="D38" s="2443"/>
      <c r="E38" s="59" t="s">
        <v>2081</v>
      </c>
    </row>
    <row r="39" spans="3:5" x14ac:dyDescent="0.25">
      <c r="C39" s="2442" t="s">
        <v>126</v>
      </c>
      <c r="D39" s="2443"/>
      <c r="E39" s="59" t="s">
        <v>2072</v>
      </c>
    </row>
    <row r="40" spans="3:5" x14ac:dyDescent="0.25">
      <c r="C40" s="2442" t="s">
        <v>128</v>
      </c>
      <c r="D40" s="2443"/>
      <c r="E40" s="59" t="s">
        <v>2082</v>
      </c>
    </row>
    <row r="41" spans="3:5" x14ac:dyDescent="0.25">
      <c r="C41" s="2442" t="s">
        <v>130</v>
      </c>
      <c r="D41" s="2443"/>
      <c r="E41" s="460" t="s">
        <v>2083</v>
      </c>
    </row>
  </sheetData>
  <mergeCells count="35">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 ref="C37:D37"/>
    <mergeCell ref="C38:D38"/>
    <mergeCell ref="C39:D39"/>
    <mergeCell ref="C40:D40"/>
    <mergeCell ref="C41:D41"/>
  </mergeCells>
  <dataValidations count="7">
    <dataValidation type="list" allowBlank="1" showInputMessage="1" showErrorMessage="1" sqref="E25" xr:uid="{CBF76410-F401-489F-B02E-87C6CCA09FCD}">
      <formula1>Tipo_operación</formula1>
    </dataValidation>
    <dataValidation type="list" allowBlank="1" showInputMessage="1" showErrorMessage="1" sqref="E14" xr:uid="{553C7FEF-E2A5-4F5B-88CB-8A26CAE043A4}">
      <formula1>Tipo_indicador</formula1>
    </dataValidation>
    <dataValidation type="list" allowBlank="1" showInputMessage="1" showErrorMessage="1" sqref="E7" xr:uid="{C51BD1C8-88F7-4376-9CB4-9F5EAFECE181}">
      <formula1>Nombre_indicador_ODS</formula1>
    </dataValidation>
    <dataValidation type="list" allowBlank="1" showInputMessage="1" showErrorMessage="1" sqref="E6" xr:uid="{5785F066-2611-4E54-8686-05FBD0152358}">
      <formula1>Numero_indicador</formula1>
    </dataValidation>
    <dataValidation type="list" allowBlank="1" showInputMessage="1" showErrorMessage="1" sqref="E5" xr:uid="{3EC6FA15-C3FB-47D8-8C0A-BC80693D1A0E}">
      <formula1>Metas_ODS</formula1>
    </dataValidation>
    <dataValidation type="list" allowBlank="1" showInputMessage="1" showErrorMessage="1" sqref="E4" xr:uid="{3587275B-1E43-4455-AAEF-06DE024E0E8F}">
      <formula1>ODS</formula1>
    </dataValidation>
    <dataValidation allowBlank="1" showDropDown="1" showInputMessage="1" showErrorMessage="1" sqref="E13" xr:uid="{41A2992C-B927-44C5-902E-BCA5E42AC504}"/>
  </dataValidations>
  <hyperlinks>
    <hyperlink ref="C1" location="'5.1.1'!A1" display="REGRESAR" xr:uid="{5FB89301-4D4E-40A8-8732-8C585BC36059}"/>
    <hyperlink ref="E8" r:id="rId1" xr:uid="{6161A02C-580E-4B85-BE8B-D8754F0FFFC1}"/>
    <hyperlink ref="E36" r:id="rId2" xr:uid="{D34775FD-1A45-4560-875C-EFF4104B9404}"/>
    <hyperlink ref="E29" r:id="rId3" xr:uid="{11980830-1E81-43E2-A648-953CD60C1011}"/>
    <hyperlink ref="E41" r:id="rId4" xr:uid="{D65AE898-5693-4476-8409-E872773D9551}"/>
  </hyperlinks>
  <pageMargins left="0.7" right="0.7" top="0.75" bottom="0.75" header="0.3" footer="0.3"/>
  <pageSetup orientation="portrait" r:id="rId5"/>
  <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E411-8F0F-47A4-BA78-2B5E9F07A789}">
  <dimension ref="A1:Q26"/>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5" x14ac:dyDescent="0.25"/>
  <cols>
    <col min="1" max="2" width="15.28515625" style="869" customWidth="1"/>
    <col min="3" max="3" width="26" style="869" customWidth="1"/>
    <col min="4" max="7" width="9.42578125" style="869" customWidth="1"/>
    <col min="8" max="16" width="11.42578125" style="869"/>
    <col min="18" max="16384" width="11.42578125" style="869"/>
  </cols>
  <sheetData>
    <row r="1" spans="1:16" s="865" customFormat="1" ht="19.5" x14ac:dyDescent="0.4">
      <c r="A1" s="15" t="s">
        <v>39</v>
      </c>
      <c r="B1" s="863"/>
      <c r="C1" s="68" t="s">
        <v>149</v>
      </c>
      <c r="D1" s="864"/>
    </row>
    <row r="2" spans="1:16" s="865" customFormat="1" ht="19.5" x14ac:dyDescent="0.25"/>
    <row r="3" spans="1:16" s="865" customFormat="1" ht="19.5" x14ac:dyDescent="0.25">
      <c r="A3" s="2746" t="s">
        <v>41</v>
      </c>
      <c r="B3" s="2747"/>
      <c r="C3" s="2746" t="s">
        <v>1974</v>
      </c>
      <c r="D3" s="2748"/>
      <c r="E3" s="2748"/>
      <c r="F3" s="2748"/>
      <c r="G3" s="2748"/>
      <c r="H3" s="2748"/>
      <c r="I3" s="2748"/>
      <c r="J3" s="2748"/>
      <c r="K3" s="2748"/>
      <c r="L3" s="2748"/>
      <c r="M3" s="2748"/>
      <c r="N3" s="2748"/>
      <c r="O3" s="2748"/>
      <c r="P3" s="2748"/>
    </row>
    <row r="4" spans="1:16" s="865" customFormat="1" ht="19.5" x14ac:dyDescent="0.25">
      <c r="A4" s="2746" t="s">
        <v>42</v>
      </c>
      <c r="B4" s="2749"/>
      <c r="C4" s="2746" t="s">
        <v>1978</v>
      </c>
      <c r="D4" s="2748"/>
      <c r="E4" s="2748"/>
      <c r="F4" s="2748"/>
      <c r="G4" s="2748"/>
      <c r="H4" s="2748"/>
      <c r="I4" s="2748"/>
      <c r="J4" s="2748"/>
      <c r="K4" s="2748"/>
      <c r="L4" s="2748"/>
      <c r="M4" s="2748"/>
      <c r="N4" s="2748"/>
      <c r="O4" s="2748"/>
      <c r="P4" s="2748"/>
    </row>
    <row r="5" spans="1:16" s="865" customFormat="1" ht="19.5" x14ac:dyDescent="0.25">
      <c r="A5" s="2746" t="s">
        <v>43</v>
      </c>
      <c r="B5" s="2749"/>
      <c r="C5" s="2750" t="s">
        <v>1980</v>
      </c>
      <c r="D5" s="2751"/>
      <c r="E5" s="2751"/>
      <c r="F5" s="2751"/>
      <c r="G5" s="2751"/>
      <c r="H5" s="2751"/>
      <c r="I5" s="2751"/>
      <c r="J5" s="2751"/>
      <c r="K5" s="2751"/>
      <c r="L5" s="2751"/>
      <c r="M5" s="2751"/>
      <c r="N5" s="2751"/>
      <c r="O5" s="2751"/>
      <c r="P5" s="2751"/>
    </row>
    <row r="6" spans="1:16" s="865" customFormat="1" ht="19.5" x14ac:dyDescent="0.25">
      <c r="A6" s="2746" t="s">
        <v>132</v>
      </c>
      <c r="B6" s="2749"/>
      <c r="C6" s="2746" t="s">
        <v>2084</v>
      </c>
      <c r="D6" s="2748"/>
      <c r="E6" s="2748"/>
      <c r="F6" s="2748"/>
      <c r="G6" s="2748"/>
      <c r="H6" s="2748"/>
      <c r="I6" s="2748"/>
      <c r="J6" s="2748"/>
      <c r="K6" s="2748"/>
      <c r="L6" s="2748"/>
      <c r="M6" s="2748"/>
      <c r="N6" s="2748"/>
      <c r="O6" s="2748"/>
      <c r="P6" s="2748"/>
    </row>
    <row r="7" spans="1:16" s="865" customFormat="1" ht="12" customHeight="1" x14ac:dyDescent="0.25">
      <c r="A7" s="866"/>
      <c r="B7" s="866"/>
      <c r="C7" s="867"/>
    </row>
    <row r="8" spans="1:16" s="865" customFormat="1" ht="19.5" x14ac:dyDescent="0.25"/>
    <row r="9" spans="1:16" s="865" customFormat="1" ht="68.25" customHeight="1" x14ac:dyDescent="0.25">
      <c r="C9" s="2711" t="s">
        <v>2085</v>
      </c>
      <c r="D9" s="2711"/>
      <c r="G9" s="2602" t="s">
        <v>2086</v>
      </c>
      <c r="H9" s="2602"/>
      <c r="I9" s="2602"/>
      <c r="J9" s="2602"/>
      <c r="K9" s="2602"/>
      <c r="L9" s="2602"/>
      <c r="M9" s="2602"/>
    </row>
    <row r="10" spans="1:16" s="865" customFormat="1" ht="19.5" x14ac:dyDescent="0.25">
      <c r="C10" s="533"/>
      <c r="D10" s="533"/>
      <c r="G10" s="868"/>
      <c r="H10" s="868"/>
      <c r="I10" s="868"/>
      <c r="J10" s="868"/>
      <c r="K10" s="868"/>
      <c r="L10" s="868"/>
      <c r="M10" s="868"/>
    </row>
    <row r="11" spans="1:16" ht="37.5" x14ac:dyDescent="0.25">
      <c r="C11" s="870" t="s">
        <v>2087</v>
      </c>
      <c r="D11" s="871" t="s">
        <v>98</v>
      </c>
    </row>
    <row r="12" spans="1:16" ht="18.75" x14ac:dyDescent="0.25">
      <c r="C12" s="872" t="s">
        <v>2088</v>
      </c>
      <c r="D12" s="873">
        <v>5.8370044052863435</v>
      </c>
    </row>
    <row r="13" spans="1:16" ht="18.75" x14ac:dyDescent="0.25">
      <c r="C13" s="874" t="s">
        <v>2089</v>
      </c>
      <c r="D13" s="875">
        <v>2.2999999999999998</v>
      </c>
    </row>
    <row r="14" spans="1:16" ht="62.45" customHeight="1" x14ac:dyDescent="0.25">
      <c r="C14" s="2525" t="s">
        <v>2090</v>
      </c>
      <c r="D14" s="2525"/>
    </row>
    <row r="15" spans="1:16" ht="38.450000000000003" customHeight="1" x14ac:dyDescent="0.25">
      <c r="C15" s="2629" t="s">
        <v>2091</v>
      </c>
      <c r="D15" s="2629"/>
    </row>
    <row r="19" spans="7:13" ht="18.75" x14ac:dyDescent="0.25">
      <c r="G19" s="36" t="s">
        <v>2092</v>
      </c>
    </row>
    <row r="20" spans="7:13" ht="18.75" x14ac:dyDescent="0.25">
      <c r="G20" s="36" t="s">
        <v>2091</v>
      </c>
    </row>
    <row r="25" spans="7:13" ht="18.75" x14ac:dyDescent="0.25">
      <c r="H25" s="36"/>
      <c r="I25" s="36"/>
      <c r="J25" s="36"/>
      <c r="K25" s="36"/>
      <c r="L25" s="36"/>
      <c r="M25" s="36"/>
    </row>
    <row r="26" spans="7:13" ht="18.75" x14ac:dyDescent="0.25">
      <c r="H26" s="36"/>
      <c r="I26" s="36"/>
      <c r="J26" s="36"/>
      <c r="K26" s="36"/>
      <c r="L26" s="36"/>
      <c r="M26" s="36"/>
    </row>
  </sheetData>
  <mergeCells count="12">
    <mergeCell ref="C15:D15"/>
    <mergeCell ref="A3:B3"/>
    <mergeCell ref="C3:P3"/>
    <mergeCell ref="A4:B4"/>
    <mergeCell ref="C4:P4"/>
    <mergeCell ref="A5:B5"/>
    <mergeCell ref="C5:P5"/>
    <mergeCell ref="A6:B6"/>
    <mergeCell ref="C6:P6"/>
    <mergeCell ref="C9:D9"/>
    <mergeCell ref="G9:M9"/>
    <mergeCell ref="C14:D14"/>
  </mergeCells>
  <hyperlinks>
    <hyperlink ref="A1" location="'ODS 5.'!A1" display="REGRESAR" xr:uid="{CFDAC41C-DA21-4715-9EC0-F49DDF0C3B30}"/>
    <hyperlink ref="C1" location="'Metadato 5.2.1'!A1" display="VER METADATO" xr:uid="{FDDC8145-6162-46F4-B1FA-BCE2C852EC12}"/>
  </hyperlinks>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A159-8FF5-48AB-A7C1-D30051A4498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9.42578125" style="638" customWidth="1"/>
    <col min="2" max="2" width="26.42578125" style="638" customWidth="1"/>
    <col min="3" max="3" width="24" style="638" customWidth="1"/>
    <col min="4" max="4" width="85.7109375" style="638" customWidth="1"/>
    <col min="5" max="5" width="9.5703125" style="638" customWidth="1"/>
    <col min="6" max="6" width="7.28515625" style="638" customWidth="1"/>
    <col min="7" max="16384" width="11.42578125" style="638"/>
  </cols>
  <sheetData>
    <row r="1" spans="2:6" x14ac:dyDescent="0.25">
      <c r="B1" s="223" t="s">
        <v>39</v>
      </c>
    </row>
    <row r="2" spans="2:6" ht="19.5" thickBot="1" x14ac:dyDescent="0.3"/>
    <row r="3" spans="2:6" ht="23.25" customHeight="1" thickBot="1" x14ac:dyDescent="0.3">
      <c r="B3" s="2745" t="s">
        <v>75</v>
      </c>
      <c r="C3" s="2745"/>
      <c r="D3" s="2745"/>
      <c r="F3" s="876" t="s">
        <v>76</v>
      </c>
    </row>
    <row r="4" spans="2:6" x14ac:dyDescent="0.25">
      <c r="B4" s="2445" t="s">
        <v>234</v>
      </c>
      <c r="C4" s="2445"/>
      <c r="D4" s="49" t="s">
        <v>2064</v>
      </c>
    </row>
    <row r="5" spans="2:6" ht="37.5" x14ac:dyDescent="0.25">
      <c r="B5" s="2445" t="s">
        <v>79</v>
      </c>
      <c r="C5" s="2445"/>
      <c r="D5" s="49" t="s">
        <v>1978</v>
      </c>
    </row>
    <row r="6" spans="2:6" x14ac:dyDescent="0.25">
      <c r="B6" s="2445" t="s">
        <v>80</v>
      </c>
      <c r="C6" s="2445"/>
      <c r="D6" s="50" t="s">
        <v>1979</v>
      </c>
    </row>
    <row r="7" spans="2:6" ht="56.25" x14ac:dyDescent="0.25">
      <c r="B7" s="2446" t="s">
        <v>81</v>
      </c>
      <c r="C7" s="2446"/>
      <c r="D7" s="93" t="s">
        <v>1980</v>
      </c>
    </row>
    <row r="8" spans="2:6" x14ac:dyDescent="0.25">
      <c r="B8" s="2446" t="s">
        <v>82</v>
      </c>
      <c r="C8" s="2446"/>
      <c r="D8" s="94" t="s">
        <v>2093</v>
      </c>
    </row>
    <row r="9" spans="2:6" x14ac:dyDescent="0.4">
      <c r="B9" s="5"/>
      <c r="C9" s="5"/>
      <c r="D9" s="5"/>
    </row>
    <row r="10" spans="2:6" ht="23.25" customHeight="1" x14ac:dyDescent="0.25">
      <c r="B10" s="2745" t="s">
        <v>85</v>
      </c>
      <c r="C10" s="2745"/>
      <c r="D10" s="2745"/>
    </row>
    <row r="11" spans="2:6" x14ac:dyDescent="0.25">
      <c r="B11" s="2453" t="s">
        <v>86</v>
      </c>
      <c r="C11" s="2454"/>
      <c r="D11" s="49" t="s">
        <v>167</v>
      </c>
    </row>
    <row r="12" spans="2:6" ht="33.75" customHeight="1" x14ac:dyDescent="0.25">
      <c r="B12" s="2455" t="s">
        <v>88</v>
      </c>
      <c r="C12" s="2455"/>
      <c r="D12" s="877" t="s">
        <v>2094</v>
      </c>
    </row>
    <row r="13" spans="2:6" x14ac:dyDescent="0.25">
      <c r="B13" s="2445" t="s">
        <v>90</v>
      </c>
      <c r="C13" s="2445"/>
      <c r="D13" s="54" t="s">
        <v>1979</v>
      </c>
    </row>
    <row r="14" spans="2:6" x14ac:dyDescent="0.25">
      <c r="B14" s="2445" t="s">
        <v>91</v>
      </c>
      <c r="C14" s="2456"/>
      <c r="D14" s="54" t="s">
        <v>214</v>
      </c>
    </row>
    <row r="15" spans="2:6" ht="137.25" customHeight="1" x14ac:dyDescent="0.25">
      <c r="B15" s="2445" t="s">
        <v>93</v>
      </c>
      <c r="C15" s="2445"/>
      <c r="D15" s="59" t="s">
        <v>2095</v>
      </c>
    </row>
    <row r="16" spans="2:6" ht="75" customHeight="1" x14ac:dyDescent="0.25">
      <c r="B16" s="2445" t="s">
        <v>95</v>
      </c>
      <c r="C16" s="2445"/>
      <c r="D16" s="59"/>
    </row>
    <row r="17" spans="2:4" x14ac:dyDescent="0.25">
      <c r="B17" s="2445" t="s">
        <v>97</v>
      </c>
      <c r="C17" s="2445"/>
      <c r="D17" s="59" t="s">
        <v>98</v>
      </c>
    </row>
    <row r="18" spans="2:4" x14ac:dyDescent="0.25">
      <c r="B18" s="2446" t="s">
        <v>99</v>
      </c>
      <c r="C18" s="2446"/>
      <c r="D18" s="49"/>
    </row>
    <row r="19" spans="2:4" ht="48" customHeight="1" x14ac:dyDescent="0.25">
      <c r="B19" s="2457" t="s">
        <v>100</v>
      </c>
      <c r="C19" s="2458"/>
      <c r="D19" s="59" t="s">
        <v>2096</v>
      </c>
    </row>
    <row r="20" spans="2:4" x14ac:dyDescent="0.25">
      <c r="B20" s="2445" t="s">
        <v>102</v>
      </c>
      <c r="C20" s="2445"/>
      <c r="D20" s="59" t="s">
        <v>140</v>
      </c>
    </row>
    <row r="21" spans="2:4" x14ac:dyDescent="0.25">
      <c r="B21" s="2451" t="s">
        <v>104</v>
      </c>
      <c r="C21" s="95" t="s">
        <v>105</v>
      </c>
      <c r="D21" s="49"/>
    </row>
    <row r="22" spans="2:4" x14ac:dyDescent="0.25">
      <c r="B22" s="2452"/>
      <c r="C22" s="96" t="s">
        <v>107</v>
      </c>
      <c r="D22" s="59" t="s">
        <v>2097</v>
      </c>
    </row>
    <row r="23" spans="2:4" x14ac:dyDescent="0.25">
      <c r="B23" s="2444" t="s">
        <v>109</v>
      </c>
      <c r="C23" s="2444"/>
      <c r="D23" s="59" t="s">
        <v>515</v>
      </c>
    </row>
    <row r="24" spans="2:4" x14ac:dyDescent="0.25">
      <c r="B24" s="2444" t="s">
        <v>111</v>
      </c>
      <c r="C24" s="2444"/>
      <c r="D24" s="59" t="s">
        <v>2098</v>
      </c>
    </row>
    <row r="25" spans="2:4" x14ac:dyDescent="0.25">
      <c r="B25" s="2445" t="s">
        <v>113</v>
      </c>
      <c r="C25" s="2445"/>
      <c r="D25" s="56" t="s">
        <v>144</v>
      </c>
    </row>
    <row r="26" spans="2:4" x14ac:dyDescent="0.25">
      <c r="B26" s="2446" t="s">
        <v>115</v>
      </c>
      <c r="C26" s="2446"/>
      <c r="D26" s="59" t="s">
        <v>2099</v>
      </c>
    </row>
    <row r="27" spans="2:4" x14ac:dyDescent="0.25">
      <c r="B27" s="2447" t="s">
        <v>117</v>
      </c>
      <c r="C27" s="2448"/>
      <c r="D27" s="49" t="s">
        <v>2100</v>
      </c>
    </row>
    <row r="28" spans="2:4" ht="90.75" customHeight="1" x14ac:dyDescent="0.25">
      <c r="B28" s="97" t="s">
        <v>118</v>
      </c>
      <c r="C28" s="98"/>
      <c r="D28" s="59" t="s">
        <v>2101</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9" t="s">
        <v>2102</v>
      </c>
    </row>
    <row r="33" spans="2:4" x14ac:dyDescent="0.25">
      <c r="B33" s="2442" t="s">
        <v>124</v>
      </c>
      <c r="C33" s="2443"/>
      <c r="D33" s="59" t="s">
        <v>2103</v>
      </c>
    </row>
    <row r="34" spans="2:4" x14ac:dyDescent="0.25">
      <c r="B34" s="2442" t="s">
        <v>126</v>
      </c>
      <c r="C34" s="2443"/>
      <c r="D34" s="59" t="s">
        <v>2104</v>
      </c>
    </row>
    <row r="35" spans="2:4" x14ac:dyDescent="0.25">
      <c r="B35" s="2442" t="s">
        <v>128</v>
      </c>
      <c r="C35" s="2443"/>
      <c r="D35" s="59" t="s">
        <v>2105</v>
      </c>
    </row>
    <row r="36" spans="2:4" x14ac:dyDescent="0.25">
      <c r="B36" s="2442" t="s">
        <v>130</v>
      </c>
      <c r="C36" s="2443"/>
      <c r="D36" s="65" t="s">
        <v>2106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5A5A407-D6E9-4BBA-BA25-EFEFD49BFD0A}"/>
    <dataValidation type="list" allowBlank="1" showInputMessage="1" showErrorMessage="1" sqref="D4" xr:uid="{B28CAF56-6070-4F6F-8A3F-6290145A353C}">
      <formula1>ODS</formula1>
    </dataValidation>
    <dataValidation type="list" allowBlank="1" showInputMessage="1" showErrorMessage="1" sqref="D5" xr:uid="{B7668FE0-49E5-4FF2-9FDE-6F6432F1E89D}">
      <formula1>Metas_ODS</formula1>
    </dataValidation>
    <dataValidation type="list" allowBlank="1" showInputMessage="1" showErrorMessage="1" sqref="D6" xr:uid="{B385456A-50A5-409B-87E7-3348D7B25236}">
      <formula1>Numero_indicador</formula1>
    </dataValidation>
    <dataValidation type="list" allowBlank="1" showInputMessage="1" showErrorMessage="1" sqref="D7" xr:uid="{9E2D91BB-442E-44BA-B200-E9FC500C6ED6}">
      <formula1>Nombre_indicador_ODS</formula1>
    </dataValidation>
    <dataValidation type="list" allowBlank="1" showInputMessage="1" showErrorMessage="1" sqref="D14" xr:uid="{7B4FCAF2-D339-4378-ACC4-90DDFC63408B}">
      <formula1>Tipo_indicador</formula1>
    </dataValidation>
    <dataValidation type="list" allowBlank="1" showInputMessage="1" showErrorMessage="1" sqref="D25" xr:uid="{5661348D-3E06-44E7-B01D-3AEDF24677C9}">
      <formula1>Tipo_operación</formula1>
    </dataValidation>
  </dataValidations>
  <hyperlinks>
    <hyperlink ref="B1" location="'5.2.1'!A1" display="REGRESAR" xr:uid="{8CC690BD-A7B5-47C8-AD27-138674470E6F}"/>
    <hyperlink ref="D36" r:id="rId1" xr:uid="{5D3F0788-0A1B-44F7-9697-DE424F8C48F0}"/>
    <hyperlink ref="D8" r:id="rId2" xr:uid="{73B5D417-CC83-4E41-B1F8-CB2B60E207C1}"/>
  </hyperlinks>
  <pageMargins left="0.7" right="0.7" top="0.75" bottom="0.75" header="0.3" footer="0.3"/>
  <pageSetup paperSize="9" orientation="portrait" r:id="rId3"/>
  <drawing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B174-E0FF-4F7C-A389-FC250D056D2A}">
  <dimension ref="A1:O26"/>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 style="22" customWidth="1"/>
    <col min="3" max="3" width="23.28515625" style="22" customWidth="1"/>
    <col min="4" max="4" width="13.28515625" style="22" customWidth="1"/>
    <col min="5" max="5" width="21" style="22" customWidth="1"/>
    <col min="6" max="16384" width="11.42578125" style="22"/>
  </cols>
  <sheetData>
    <row r="1" spans="1:15" s="16" customFormat="1" ht="19.5" x14ac:dyDescent="0.4">
      <c r="A1" s="15" t="s">
        <v>39</v>
      </c>
      <c r="C1" s="15" t="s">
        <v>149</v>
      </c>
      <c r="D1" s="130"/>
    </row>
    <row r="2" spans="1:15" s="16" customFormat="1" ht="19.5" x14ac:dyDescent="0.4"/>
    <row r="3" spans="1:15" s="16" customFormat="1" ht="19.5" x14ac:dyDescent="0.4">
      <c r="A3" s="2736" t="s">
        <v>41</v>
      </c>
      <c r="B3" s="2744"/>
      <c r="C3" s="2736" t="s">
        <v>1974</v>
      </c>
      <c r="D3" s="2738"/>
      <c r="E3" s="2738"/>
      <c r="F3" s="2738"/>
      <c r="G3" s="2738"/>
      <c r="H3" s="2738"/>
      <c r="I3" s="2738"/>
      <c r="J3" s="2738"/>
      <c r="K3" s="2738"/>
      <c r="L3" s="2738"/>
      <c r="M3" s="2738"/>
      <c r="N3" s="2738"/>
      <c r="O3" s="2738"/>
    </row>
    <row r="4" spans="1:15" s="16" customFormat="1" ht="19.5" x14ac:dyDescent="0.4">
      <c r="A4" s="2736" t="s">
        <v>42</v>
      </c>
      <c r="B4" s="2737"/>
      <c r="C4" s="2736" t="s">
        <v>1978</v>
      </c>
      <c r="D4" s="2738"/>
      <c r="E4" s="2738"/>
      <c r="F4" s="2738"/>
      <c r="G4" s="2738"/>
      <c r="H4" s="2738"/>
      <c r="I4" s="2738"/>
      <c r="J4" s="2738"/>
      <c r="K4" s="2738"/>
      <c r="L4" s="2738"/>
      <c r="M4" s="2738"/>
      <c r="N4" s="2738"/>
      <c r="O4" s="2738"/>
    </row>
    <row r="5" spans="1:15" s="16" customFormat="1" ht="19.5" x14ac:dyDescent="0.4">
      <c r="A5" s="2736" t="s">
        <v>43</v>
      </c>
      <c r="B5" s="2737"/>
      <c r="C5" s="2736" t="s">
        <v>1982</v>
      </c>
      <c r="D5" s="2738"/>
      <c r="E5" s="2738"/>
      <c r="F5" s="2738"/>
      <c r="G5" s="2738"/>
      <c r="H5" s="2738"/>
      <c r="I5" s="2738"/>
      <c r="J5" s="2738"/>
      <c r="K5" s="2738"/>
      <c r="L5" s="2738"/>
      <c r="M5" s="2738"/>
      <c r="N5" s="2738"/>
      <c r="O5" s="2738"/>
    </row>
    <row r="6" spans="1:15" s="16" customFormat="1" ht="19.5" x14ac:dyDescent="0.4">
      <c r="A6" s="2736" t="s">
        <v>132</v>
      </c>
      <c r="B6" s="2737"/>
      <c r="C6" s="2736" t="s">
        <v>2107</v>
      </c>
      <c r="D6" s="2738"/>
      <c r="E6" s="2738"/>
      <c r="F6" s="2738"/>
      <c r="G6" s="2738"/>
      <c r="H6" s="2738"/>
      <c r="I6" s="2738"/>
      <c r="J6" s="2738"/>
      <c r="K6" s="2738"/>
      <c r="L6" s="2738"/>
      <c r="M6" s="2738"/>
      <c r="N6" s="2738"/>
      <c r="O6" s="2738"/>
    </row>
    <row r="7" spans="1:15" s="16" customFormat="1" ht="19.5" x14ac:dyDescent="0.4"/>
    <row r="8" spans="1:15" s="16" customFormat="1" ht="19.5" x14ac:dyDescent="0.4"/>
    <row r="9" spans="1:15" s="16" customFormat="1" ht="72" customHeight="1" x14ac:dyDescent="0.4">
      <c r="C9" s="2711" t="s">
        <v>2108</v>
      </c>
      <c r="D9" s="2711"/>
      <c r="F9" s="2660" t="s">
        <v>2109</v>
      </c>
      <c r="G9" s="2660"/>
      <c r="H9" s="2660"/>
      <c r="I9" s="2660"/>
      <c r="J9" s="2660"/>
      <c r="K9" s="2660"/>
      <c r="L9" s="2660"/>
    </row>
    <row r="10" spans="1:15" s="16" customFormat="1" ht="19.5" x14ac:dyDescent="0.4">
      <c r="C10" s="533"/>
      <c r="D10" s="533"/>
      <c r="F10" s="692"/>
      <c r="G10" s="692"/>
      <c r="H10" s="692"/>
      <c r="I10" s="692"/>
      <c r="J10" s="692"/>
      <c r="K10" s="692"/>
      <c r="L10" s="692"/>
    </row>
    <row r="11" spans="1:15" ht="18.75" x14ac:dyDescent="0.4">
      <c r="C11" s="878" t="s">
        <v>2087</v>
      </c>
      <c r="D11" s="871" t="s">
        <v>98</v>
      </c>
    </row>
    <row r="12" spans="1:15" ht="18.75" x14ac:dyDescent="0.25">
      <c r="C12" s="879" t="s">
        <v>2088</v>
      </c>
      <c r="D12" s="880">
        <v>4.3</v>
      </c>
    </row>
    <row r="13" spans="1:15" ht="18.75" x14ac:dyDescent="0.25">
      <c r="C13" s="881" t="s">
        <v>2089</v>
      </c>
      <c r="D13" s="882">
        <v>1.1000000000000001</v>
      </c>
    </row>
    <row r="14" spans="1:15" ht="60.6" customHeight="1" x14ac:dyDescent="0.25">
      <c r="C14" s="2706" t="s">
        <v>2110</v>
      </c>
      <c r="D14" s="2706"/>
    </row>
    <row r="15" spans="1:15" ht="37.9" customHeight="1" x14ac:dyDescent="0.25">
      <c r="C15" s="2629" t="s">
        <v>2111</v>
      </c>
      <c r="D15" s="2629"/>
    </row>
    <row r="25" spans="6:12" ht="18.75" x14ac:dyDescent="0.25">
      <c r="F25" s="2752" t="s">
        <v>2112</v>
      </c>
      <c r="G25" s="2752"/>
      <c r="H25" s="2752"/>
      <c r="I25" s="2752"/>
      <c r="J25" s="2752"/>
      <c r="K25" s="2752"/>
      <c r="L25" s="2752"/>
    </row>
    <row r="26" spans="6:12" ht="18.75" x14ac:dyDescent="0.25">
      <c r="F26" s="2752" t="s">
        <v>2111</v>
      </c>
      <c r="G26" s="2752"/>
      <c r="H26" s="2752"/>
      <c r="I26" s="2752"/>
      <c r="J26" s="2752"/>
      <c r="K26" s="2752"/>
      <c r="L26" s="2752"/>
    </row>
  </sheetData>
  <mergeCells count="14">
    <mergeCell ref="A3:B3"/>
    <mergeCell ref="C3:O3"/>
    <mergeCell ref="A4:B4"/>
    <mergeCell ref="C4:O4"/>
    <mergeCell ref="A5:B5"/>
    <mergeCell ref="C5:O5"/>
    <mergeCell ref="F25:L25"/>
    <mergeCell ref="F26:L26"/>
    <mergeCell ref="A6:B6"/>
    <mergeCell ref="C6:O6"/>
    <mergeCell ref="C9:D9"/>
    <mergeCell ref="F9:L9"/>
    <mergeCell ref="C14:D14"/>
    <mergeCell ref="C15:D15"/>
  </mergeCells>
  <hyperlinks>
    <hyperlink ref="A1" location="'ODS 5.'!A1" display="REGRESAR" xr:uid="{35894CD1-7AE6-46C0-AAB1-0B3CFEE79B13}"/>
    <hyperlink ref="C1" location="'Metadato 5.2.2'!A1" display="VER METADATO" xr:uid="{998FB754-8979-47A6-B977-98E6E717FEAE}"/>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A361-993D-4BC4-9A85-A81C5D63B707}">
  <dimension ref="A1:AO51"/>
  <sheetViews>
    <sheetView showGridLines="0" zoomScaleNormal="100" workbookViewId="0">
      <pane ySplit="1" topLeftCell="A2" activePane="bottomLeft" state="frozen"/>
      <selection pane="bottomLeft"/>
    </sheetView>
  </sheetViews>
  <sheetFormatPr baseColWidth="10" defaultColWidth="11.42578125" defaultRowHeight="12.75" x14ac:dyDescent="0.25"/>
  <cols>
    <col min="1" max="2" width="16.42578125" style="22" customWidth="1"/>
    <col min="3" max="3" width="7.28515625" style="22" customWidth="1"/>
    <col min="4" max="4" width="9.28515625" style="22" customWidth="1"/>
    <col min="5" max="5" width="2.28515625" style="22" customWidth="1"/>
    <col min="6" max="6" width="7" style="22" customWidth="1"/>
    <col min="7" max="7" width="4.42578125" style="22" customWidth="1"/>
    <col min="8" max="8" width="7.7109375" style="22" customWidth="1"/>
    <col min="9" max="9" width="2.7109375" style="22" customWidth="1"/>
    <col min="10" max="10" width="10" style="22" customWidth="1"/>
    <col min="11" max="11" width="5.28515625" style="22" customWidth="1"/>
    <col min="12" max="12" width="2.42578125" style="22" customWidth="1"/>
    <col min="13" max="13" width="8.7109375" style="22" customWidth="1"/>
    <col min="14" max="14" width="2.5703125" style="22" customWidth="1"/>
    <col min="15" max="15" width="5.7109375" style="22" customWidth="1"/>
    <col min="16" max="16" width="2.7109375" style="22" customWidth="1"/>
    <col min="17" max="17" width="2.28515625" style="22" customWidth="1"/>
    <col min="18" max="18" width="6.7109375" style="22" customWidth="1"/>
    <col min="19" max="19" width="1.7109375" style="22" customWidth="1"/>
    <col min="20" max="20" width="5.7109375" style="22" customWidth="1"/>
    <col min="21" max="21" width="2.28515625" style="22" customWidth="1"/>
    <col min="22" max="22" width="2.42578125" style="22" customWidth="1"/>
    <col min="23" max="23" width="9.28515625" style="22" customWidth="1"/>
    <col min="24" max="24" width="2.42578125" style="22" customWidth="1"/>
    <col min="25" max="25" width="8.42578125" style="22" customWidth="1"/>
    <col min="26" max="26" width="1.7109375" style="22" customWidth="1"/>
    <col min="27" max="27" width="6.7109375" style="22" customWidth="1"/>
    <col min="28" max="28" width="1.7109375" style="22" customWidth="1"/>
    <col min="29" max="29" width="8" style="22" customWidth="1"/>
    <col min="30" max="30" width="2.7109375" style="22" customWidth="1"/>
    <col min="31" max="31" width="1.7109375" style="22" customWidth="1"/>
    <col min="32" max="32" width="8" style="22" customWidth="1"/>
    <col min="33" max="33" width="2" style="22" customWidth="1"/>
    <col min="34" max="34" width="9" style="22" customWidth="1"/>
    <col min="35" max="35" width="2.42578125" style="22" customWidth="1"/>
    <col min="36" max="36" width="1.42578125" style="22" customWidth="1"/>
    <col min="37" max="37" width="8.5703125" style="22" customWidth="1"/>
    <col min="38" max="38" width="1.5703125" style="22" customWidth="1"/>
    <col min="39" max="39" width="1.7109375" style="22" customWidth="1"/>
    <col min="40" max="40" width="8.28515625" style="22" customWidth="1"/>
    <col min="41" max="41" width="2.5703125" style="22" customWidth="1"/>
    <col min="42" max="42" width="11.42578125" style="22"/>
    <col min="43" max="43" width="12" style="22" customWidth="1"/>
    <col min="44" max="79" width="11.42578125" style="22"/>
    <col min="80" max="80" width="12.28515625" style="22" customWidth="1"/>
    <col min="81" max="95" width="11.42578125" style="22"/>
    <col min="96" max="96" width="12.28515625" style="22" customWidth="1"/>
    <col min="97" max="109" width="11.42578125" style="22"/>
    <col min="110" max="110" width="12.7109375" style="22" customWidth="1"/>
    <col min="111" max="120" width="11.42578125" style="22"/>
    <col min="121" max="121" width="11.7109375" style="22" customWidth="1"/>
    <col min="122" max="128" width="11.42578125" style="22"/>
    <col min="129" max="129" width="11.7109375" style="22" customWidth="1"/>
    <col min="130" max="16384" width="11.42578125" style="22"/>
  </cols>
  <sheetData>
    <row r="1" spans="1:41" ht="19.5" x14ac:dyDescent="0.4">
      <c r="A1" s="15" t="s">
        <v>39</v>
      </c>
      <c r="B1" s="16"/>
      <c r="C1" s="2421" t="s">
        <v>149</v>
      </c>
      <c r="D1" s="2421"/>
      <c r="E1" s="16"/>
      <c r="F1" s="16"/>
      <c r="G1" s="16"/>
      <c r="H1" s="16"/>
      <c r="I1" s="16"/>
      <c r="J1" s="16"/>
      <c r="K1" s="16"/>
      <c r="L1" s="16"/>
      <c r="M1" s="16"/>
      <c r="N1" s="16"/>
      <c r="O1" s="16"/>
      <c r="P1" s="16"/>
      <c r="Q1" s="16"/>
      <c r="R1" s="16"/>
      <c r="S1" s="16"/>
      <c r="T1" s="130"/>
      <c r="U1" s="16"/>
      <c r="V1" s="16"/>
      <c r="W1" s="16"/>
      <c r="X1" s="16"/>
      <c r="Y1" s="16"/>
      <c r="Z1" s="16"/>
      <c r="AA1" s="16"/>
      <c r="AB1" s="16"/>
      <c r="AC1" s="16"/>
      <c r="AD1" s="16"/>
      <c r="AE1" s="16"/>
      <c r="AF1" s="16"/>
      <c r="AG1" s="16"/>
      <c r="AH1" s="16"/>
      <c r="AI1" s="16"/>
      <c r="AJ1" s="16"/>
      <c r="AK1" s="16"/>
    </row>
    <row r="2" spans="1:41" ht="19.5" x14ac:dyDescent="0.4">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row>
    <row r="3" spans="1:41" s="72" customFormat="1" ht="19.5" x14ac:dyDescent="0.35">
      <c r="A3" s="2413" t="s">
        <v>41</v>
      </c>
      <c r="B3" s="2413"/>
      <c r="C3" s="2413" t="s">
        <v>2</v>
      </c>
      <c r="D3" s="2413"/>
      <c r="E3" s="2413"/>
      <c r="F3" s="2413"/>
      <c r="G3" s="2413"/>
      <c r="H3" s="2413"/>
      <c r="I3" s="2413"/>
      <c r="J3" s="2413"/>
      <c r="K3" s="2413"/>
      <c r="L3" s="2413"/>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row>
    <row r="4" spans="1:41" s="72" customFormat="1" ht="40.5" customHeight="1" x14ac:dyDescent="0.35">
      <c r="A4" s="2413" t="s">
        <v>42</v>
      </c>
      <c r="B4" s="2413"/>
      <c r="C4" s="2413" t="s">
        <v>22</v>
      </c>
      <c r="D4" s="2413"/>
      <c r="E4" s="2413"/>
      <c r="F4" s="2413"/>
      <c r="G4" s="2413"/>
      <c r="H4" s="2413"/>
      <c r="I4" s="2413"/>
      <c r="J4" s="2413"/>
      <c r="K4" s="2413"/>
      <c r="L4" s="2413"/>
      <c r="M4" s="2413"/>
      <c r="N4" s="2413"/>
      <c r="O4" s="2413"/>
      <c r="P4" s="2413"/>
      <c r="Q4" s="2413"/>
      <c r="R4" s="2413"/>
      <c r="S4" s="2413"/>
      <c r="T4" s="2413"/>
      <c r="U4" s="2413"/>
      <c r="V4" s="2413"/>
      <c r="W4" s="2413"/>
      <c r="X4" s="2413"/>
      <c r="Y4" s="2484"/>
      <c r="Z4" s="2484"/>
      <c r="AA4" s="2484"/>
      <c r="AB4" s="2484"/>
      <c r="AC4" s="2484"/>
      <c r="AD4" s="2484"/>
      <c r="AE4" s="2484"/>
      <c r="AF4" s="2484"/>
      <c r="AG4" s="2484"/>
      <c r="AH4" s="2484"/>
      <c r="AI4" s="2484"/>
      <c r="AJ4" s="2484"/>
      <c r="AK4" s="2484"/>
    </row>
    <row r="5" spans="1:41" s="72" customFormat="1" ht="19.5" x14ac:dyDescent="0.35">
      <c r="A5" s="2413" t="s">
        <v>43</v>
      </c>
      <c r="B5" s="2413"/>
      <c r="C5" s="2413" t="s">
        <v>24</v>
      </c>
      <c r="D5" s="2413"/>
      <c r="E5" s="2413"/>
      <c r="F5" s="2413"/>
      <c r="G5" s="2413"/>
      <c r="H5" s="2413"/>
      <c r="I5" s="2413"/>
      <c r="J5" s="2413"/>
      <c r="K5" s="2413"/>
      <c r="L5" s="2413"/>
      <c r="M5" s="2413"/>
      <c r="N5" s="2413"/>
      <c r="O5" s="2413"/>
      <c r="P5" s="2413"/>
      <c r="Q5" s="2413"/>
      <c r="R5" s="2413"/>
      <c r="S5" s="2413"/>
      <c r="T5" s="2413"/>
      <c r="U5" s="2413"/>
      <c r="V5" s="2413"/>
      <c r="W5" s="2413"/>
      <c r="X5" s="2413"/>
      <c r="Y5" s="2484"/>
      <c r="Z5" s="2484"/>
      <c r="AA5" s="2484"/>
      <c r="AB5" s="2484"/>
      <c r="AC5" s="2484"/>
      <c r="AD5" s="2484"/>
      <c r="AE5" s="2484"/>
      <c r="AF5" s="2484"/>
      <c r="AG5" s="2484"/>
      <c r="AH5" s="2484"/>
      <c r="AI5" s="2484"/>
      <c r="AJ5" s="2484"/>
      <c r="AK5" s="2484"/>
    </row>
    <row r="6" spans="1:41" s="72" customFormat="1" ht="19.5" x14ac:dyDescent="0.35">
      <c r="A6" s="2413" t="s">
        <v>132</v>
      </c>
      <c r="B6" s="2413"/>
      <c r="C6" s="2413" t="s">
        <v>246</v>
      </c>
      <c r="D6" s="2413"/>
      <c r="E6" s="2413"/>
      <c r="F6" s="2413"/>
      <c r="G6" s="2413"/>
      <c r="H6" s="2413"/>
      <c r="I6" s="2413"/>
      <c r="J6" s="2413"/>
      <c r="K6" s="2413"/>
      <c r="L6" s="2413"/>
      <c r="M6" s="2413"/>
      <c r="N6" s="2413"/>
      <c r="O6" s="2413"/>
      <c r="P6" s="2413"/>
      <c r="Q6" s="2413"/>
      <c r="R6" s="2413"/>
      <c r="S6" s="2413"/>
      <c r="T6" s="2413"/>
      <c r="U6" s="2413"/>
      <c r="V6" s="2413"/>
      <c r="W6" s="2413"/>
      <c r="X6" s="2413"/>
      <c r="Y6" s="2484"/>
      <c r="Z6" s="2484"/>
      <c r="AA6" s="2484"/>
      <c r="AB6" s="2484"/>
      <c r="AC6" s="2484"/>
      <c r="AD6" s="2484"/>
      <c r="AE6" s="2484"/>
      <c r="AF6" s="2484"/>
      <c r="AG6" s="2484"/>
      <c r="AH6" s="2484"/>
      <c r="AI6" s="2484"/>
      <c r="AJ6" s="2484"/>
      <c r="AK6" s="2484"/>
    </row>
    <row r="7" spans="1:41" ht="19.5" x14ac:dyDescent="0.4">
      <c r="A7" s="16"/>
      <c r="B7" s="16"/>
      <c r="C7" s="162"/>
      <c r="D7" s="162"/>
      <c r="E7" s="43"/>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row>
    <row r="8" spans="1:41" ht="19.5" x14ac:dyDescent="0.4">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row>
    <row r="9" spans="1:41" ht="19.5" x14ac:dyDescent="0.4">
      <c r="A9" s="16"/>
      <c r="B9" s="16"/>
      <c r="C9" s="187" t="s">
        <v>246</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8"/>
      <c r="AM9" s="188"/>
      <c r="AN9" s="188"/>
      <c r="AO9" s="188"/>
    </row>
    <row r="10" spans="1:41" ht="10.15" customHeight="1" x14ac:dyDescent="0.35">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row>
    <row r="11" spans="1:41" ht="27" customHeight="1" x14ac:dyDescent="0.25">
      <c r="C11" s="2416" t="s">
        <v>247</v>
      </c>
      <c r="D11" s="2416" t="s">
        <v>177</v>
      </c>
      <c r="E11" s="26"/>
      <c r="F11" s="2416" t="s">
        <v>248</v>
      </c>
      <c r="G11" s="2416"/>
      <c r="H11" s="2416"/>
      <c r="I11" s="2416"/>
      <c r="J11" s="2416" t="s">
        <v>249</v>
      </c>
      <c r="K11" s="2416"/>
      <c r="L11" s="2416"/>
      <c r="M11" s="2416" t="s">
        <v>250</v>
      </c>
      <c r="N11" s="2416"/>
      <c r="O11" s="2416"/>
      <c r="P11" s="2416"/>
      <c r="Q11" s="26"/>
      <c r="R11" s="2416" t="s">
        <v>251</v>
      </c>
      <c r="S11" s="2416"/>
      <c r="T11" s="2416"/>
      <c r="U11" s="2416"/>
      <c r="V11" s="26"/>
      <c r="W11" s="2416" t="s">
        <v>252</v>
      </c>
      <c r="X11" s="2416"/>
      <c r="Y11" s="2416"/>
      <c r="Z11" s="2416"/>
      <c r="AA11" s="2416" t="s">
        <v>253</v>
      </c>
      <c r="AB11" s="2416"/>
      <c r="AC11" s="2416"/>
      <c r="AD11" s="2416"/>
      <c r="AE11" s="26"/>
      <c r="AF11" s="2416" t="s">
        <v>254</v>
      </c>
      <c r="AG11" s="2416"/>
      <c r="AH11" s="2416"/>
      <c r="AI11" s="2416"/>
      <c r="AJ11" s="26"/>
      <c r="AK11" s="2416" t="s">
        <v>255</v>
      </c>
      <c r="AL11" s="2416"/>
      <c r="AM11" s="26"/>
      <c r="AN11" s="2416" t="s">
        <v>256</v>
      </c>
      <c r="AO11" s="2416"/>
    </row>
    <row r="12" spans="1:41" ht="22.5" customHeight="1" x14ac:dyDescent="0.25">
      <c r="C12" s="2417"/>
      <c r="D12" s="2417"/>
      <c r="E12" s="27"/>
      <c r="F12" s="2418" t="s">
        <v>257</v>
      </c>
      <c r="G12" s="2418"/>
      <c r="H12" s="190" t="s">
        <v>258</v>
      </c>
      <c r="I12" s="27"/>
      <c r="J12" s="190" t="s">
        <v>257</v>
      </c>
      <c r="K12" s="190" t="s">
        <v>258</v>
      </c>
      <c r="L12" s="27"/>
      <c r="M12" s="2418" t="s">
        <v>259</v>
      </c>
      <c r="N12" s="2418"/>
      <c r="O12" s="2418" t="s">
        <v>258</v>
      </c>
      <c r="P12" s="2418"/>
      <c r="Q12" s="27"/>
      <c r="R12" s="2418" t="s">
        <v>259</v>
      </c>
      <c r="S12" s="2418"/>
      <c r="T12" s="2418" t="s">
        <v>258</v>
      </c>
      <c r="U12" s="2418"/>
      <c r="V12" s="27"/>
      <c r="W12" s="2418" t="s">
        <v>259</v>
      </c>
      <c r="X12" s="2418"/>
      <c r="Y12" s="190" t="s">
        <v>258</v>
      </c>
      <c r="Z12" s="27"/>
      <c r="AA12" s="2418" t="s">
        <v>259</v>
      </c>
      <c r="AB12" s="2418"/>
      <c r="AC12" s="2418" t="s">
        <v>258</v>
      </c>
      <c r="AD12" s="2418"/>
      <c r="AE12" s="27"/>
      <c r="AF12" s="2418" t="s">
        <v>259</v>
      </c>
      <c r="AG12" s="2418"/>
      <c r="AH12" s="2418" t="s">
        <v>258</v>
      </c>
      <c r="AI12" s="2418"/>
      <c r="AJ12" s="27"/>
      <c r="AK12" s="2418" t="s">
        <v>259</v>
      </c>
      <c r="AL12" s="2418"/>
      <c r="AM12" s="27"/>
      <c r="AN12" s="2418" t="s">
        <v>259</v>
      </c>
      <c r="AO12" s="2418"/>
    </row>
    <row r="13" spans="1:41" ht="18.75" x14ac:dyDescent="0.4">
      <c r="C13" s="164">
        <v>1990</v>
      </c>
      <c r="D13" s="191">
        <v>3029336</v>
      </c>
      <c r="E13" s="164"/>
      <c r="F13" s="156">
        <v>16</v>
      </c>
      <c r="G13" s="156"/>
      <c r="H13" s="192">
        <f>+F13/D13*100000</f>
        <v>0.52816854914740397</v>
      </c>
      <c r="I13" s="193"/>
      <c r="J13" s="193">
        <v>1</v>
      </c>
      <c r="K13" s="192">
        <f>+J13/D13*100000</f>
        <v>3.3010534321712748E-2</v>
      </c>
      <c r="L13" s="156"/>
      <c r="M13" s="156">
        <v>1241</v>
      </c>
      <c r="N13" s="156"/>
      <c r="O13" s="156">
        <f>+M13/D13*100000</f>
        <v>40.966073093245519</v>
      </c>
      <c r="P13" s="156"/>
      <c r="Q13" s="156"/>
      <c r="R13" s="156">
        <v>746</v>
      </c>
      <c r="S13" s="156"/>
      <c r="T13" s="156">
        <f>+R13/D13*100000</f>
        <v>24.62585860399771</v>
      </c>
      <c r="U13" s="156"/>
      <c r="V13" s="156"/>
      <c r="W13" s="191">
        <v>0</v>
      </c>
      <c r="X13" s="156"/>
      <c r="Y13" s="192">
        <f>+W13/D13*100000</f>
        <v>0</v>
      </c>
      <c r="Z13" s="156"/>
      <c r="AA13" s="156">
        <v>90</v>
      </c>
      <c r="AB13" s="156"/>
      <c r="AC13" s="194">
        <f>+AA13/D13*100000</f>
        <v>2.9709480889541471</v>
      </c>
      <c r="AD13" s="192"/>
      <c r="AE13" s="156"/>
      <c r="AF13" s="156">
        <v>0</v>
      </c>
      <c r="AG13" s="156"/>
      <c r="AH13" s="195">
        <f>+AF13/D13*100000</f>
        <v>0</v>
      </c>
      <c r="AI13" s="195"/>
      <c r="AJ13" s="156"/>
      <c r="AK13" s="156">
        <v>236</v>
      </c>
      <c r="AL13" s="156"/>
      <c r="AM13" s="156"/>
      <c r="AN13" s="156">
        <v>227</v>
      </c>
      <c r="AO13" s="5"/>
    </row>
    <row r="14" spans="1:41" ht="18.75" x14ac:dyDescent="0.4">
      <c r="C14" s="164">
        <v>1991</v>
      </c>
      <c r="D14" s="191">
        <v>3101536</v>
      </c>
      <c r="E14" s="164"/>
      <c r="F14" s="156">
        <v>60</v>
      </c>
      <c r="G14" s="156"/>
      <c r="H14" s="192">
        <f t="shared" ref="H14:H41" si="0">+F14/D14*100000</f>
        <v>1.9345253448613846</v>
      </c>
      <c r="I14" s="193"/>
      <c r="J14" s="193">
        <v>1</v>
      </c>
      <c r="K14" s="192">
        <f t="shared" ref="K14:K41" si="1">+J14/D14*100000</f>
        <v>3.2242089081023079E-2</v>
      </c>
      <c r="L14" s="156"/>
      <c r="M14" s="156">
        <v>49527</v>
      </c>
      <c r="N14" s="156"/>
      <c r="O14" s="156">
        <f t="shared" ref="O14:O46" si="2">+M14/D14*100000</f>
        <v>1596.8539459158303</v>
      </c>
      <c r="P14" s="156"/>
      <c r="Q14" s="156"/>
      <c r="R14" s="156">
        <v>1272</v>
      </c>
      <c r="S14" s="156"/>
      <c r="T14" s="156">
        <f t="shared" ref="T14:T46" si="3">+R14/D14*100000</f>
        <v>41.011937311061352</v>
      </c>
      <c r="U14" s="156"/>
      <c r="V14" s="156"/>
      <c r="W14" s="191">
        <v>0</v>
      </c>
      <c r="X14" s="156"/>
      <c r="Y14" s="192">
        <f t="shared" ref="Y14:Y41" si="4">+W14/D14*100000</f>
        <v>0</v>
      </c>
      <c r="Z14" s="156"/>
      <c r="AA14" s="156">
        <v>1670</v>
      </c>
      <c r="AB14" s="156"/>
      <c r="AC14" s="194">
        <f t="shared" ref="AC14:AC39" si="5">+AA14/D14*100000</f>
        <v>53.844288765308548</v>
      </c>
      <c r="AD14" s="192"/>
      <c r="AE14" s="156"/>
      <c r="AF14" s="156">
        <v>0</v>
      </c>
      <c r="AG14" s="156"/>
      <c r="AH14" s="195">
        <f t="shared" ref="AH14:AH43" si="6">+AF14/D14*100000</f>
        <v>0</v>
      </c>
      <c r="AI14" s="195"/>
      <c r="AJ14" s="156"/>
      <c r="AK14" s="156">
        <v>4451</v>
      </c>
      <c r="AL14" s="156"/>
      <c r="AM14" s="156"/>
      <c r="AN14" s="156">
        <v>7771</v>
      </c>
      <c r="AO14" s="5"/>
    </row>
    <row r="15" spans="1:41" ht="18.75" x14ac:dyDescent="0.4">
      <c r="C15" s="164">
        <v>1992</v>
      </c>
      <c r="D15" s="191">
        <v>3170537</v>
      </c>
      <c r="E15" s="164"/>
      <c r="F15" s="156">
        <v>19</v>
      </c>
      <c r="G15" s="156"/>
      <c r="H15" s="192">
        <f t="shared" si="0"/>
        <v>0.59926756886924837</v>
      </c>
      <c r="I15" s="193"/>
      <c r="J15" s="193">
        <v>0</v>
      </c>
      <c r="K15" s="192">
        <f t="shared" si="1"/>
        <v>0</v>
      </c>
      <c r="L15" s="156"/>
      <c r="M15" s="156">
        <v>7049</v>
      </c>
      <c r="N15" s="156"/>
      <c r="O15" s="156">
        <f t="shared" si="2"/>
        <v>222.32826805049112</v>
      </c>
      <c r="P15" s="156"/>
      <c r="Q15" s="156"/>
      <c r="R15" s="156">
        <v>1883</v>
      </c>
      <c r="S15" s="156"/>
      <c r="T15" s="156">
        <f t="shared" si="3"/>
        <v>59.390570114778669</v>
      </c>
      <c r="U15" s="156"/>
      <c r="V15" s="156"/>
      <c r="W15" s="191">
        <v>0</v>
      </c>
      <c r="X15" s="156"/>
      <c r="Y15" s="192">
        <f t="shared" si="4"/>
        <v>0</v>
      </c>
      <c r="Z15" s="156"/>
      <c r="AA15" s="156">
        <v>0</v>
      </c>
      <c r="AB15" s="156"/>
      <c r="AC15" s="194">
        <f t="shared" si="5"/>
        <v>0</v>
      </c>
      <c r="AD15" s="192"/>
      <c r="AE15" s="156"/>
      <c r="AF15" s="156">
        <v>0</v>
      </c>
      <c r="AG15" s="156"/>
      <c r="AH15" s="195">
        <f t="shared" si="6"/>
        <v>0</v>
      </c>
      <c r="AI15" s="195"/>
      <c r="AJ15" s="156"/>
      <c r="AK15" s="156">
        <v>50</v>
      </c>
      <c r="AL15" s="156"/>
      <c r="AM15" s="156"/>
      <c r="AN15" s="156">
        <v>118</v>
      </c>
      <c r="AO15" s="5"/>
    </row>
    <row r="16" spans="1:41" ht="18.75" x14ac:dyDescent="0.4">
      <c r="C16" s="164">
        <v>1993</v>
      </c>
      <c r="D16" s="191">
        <v>3239868</v>
      </c>
      <c r="E16" s="164"/>
      <c r="F16" s="156">
        <v>15</v>
      </c>
      <c r="G16" s="156"/>
      <c r="H16" s="192">
        <f t="shared" si="0"/>
        <v>0.46298182518547049</v>
      </c>
      <c r="I16" s="193"/>
      <c r="J16" s="193">
        <v>0</v>
      </c>
      <c r="K16" s="192">
        <f t="shared" si="1"/>
        <v>0</v>
      </c>
      <c r="L16" s="156"/>
      <c r="M16" s="156">
        <v>860</v>
      </c>
      <c r="N16" s="156"/>
      <c r="O16" s="156">
        <f t="shared" si="2"/>
        <v>26.544291310633643</v>
      </c>
      <c r="P16" s="156"/>
      <c r="Q16" s="156"/>
      <c r="R16" s="156">
        <v>352</v>
      </c>
      <c r="S16" s="156"/>
      <c r="T16" s="156">
        <f t="shared" si="3"/>
        <v>10.864640164352375</v>
      </c>
      <c r="U16" s="156"/>
      <c r="V16" s="156"/>
      <c r="W16" s="191">
        <v>0</v>
      </c>
      <c r="X16" s="156"/>
      <c r="Y16" s="192">
        <f t="shared" si="4"/>
        <v>0</v>
      </c>
      <c r="Z16" s="156"/>
      <c r="AA16" s="156">
        <v>0</v>
      </c>
      <c r="AB16" s="156"/>
      <c r="AC16" s="194">
        <f t="shared" si="5"/>
        <v>0</v>
      </c>
      <c r="AD16" s="192"/>
      <c r="AE16" s="156"/>
      <c r="AF16" s="156">
        <v>2000</v>
      </c>
      <c r="AG16" s="156"/>
      <c r="AH16" s="195">
        <f t="shared" si="6"/>
        <v>61.730910024729397</v>
      </c>
      <c r="AI16" s="195"/>
      <c r="AJ16" s="156"/>
      <c r="AK16" s="156">
        <v>76</v>
      </c>
      <c r="AL16" s="156"/>
      <c r="AM16" s="156"/>
      <c r="AN16" s="156">
        <v>668</v>
      </c>
      <c r="AO16" s="5"/>
    </row>
    <row r="17" spans="3:41" ht="18.75" x14ac:dyDescent="0.4">
      <c r="C17" s="164">
        <v>1994</v>
      </c>
      <c r="D17" s="191">
        <v>3334223</v>
      </c>
      <c r="E17" s="164"/>
      <c r="F17" s="156">
        <v>28</v>
      </c>
      <c r="G17" s="156"/>
      <c r="H17" s="192">
        <f t="shared" si="0"/>
        <v>0.83977586382194591</v>
      </c>
      <c r="I17" s="193"/>
      <c r="J17" s="193">
        <v>4</v>
      </c>
      <c r="K17" s="192">
        <f t="shared" si="1"/>
        <v>0.11996798054599228</v>
      </c>
      <c r="L17" s="156"/>
      <c r="M17" s="156">
        <v>13114</v>
      </c>
      <c r="N17" s="156"/>
      <c r="O17" s="156">
        <f t="shared" si="2"/>
        <v>393.3150242200357</v>
      </c>
      <c r="P17" s="156"/>
      <c r="Q17" s="156"/>
      <c r="R17" s="156">
        <v>190</v>
      </c>
      <c r="S17" s="156"/>
      <c r="T17" s="156">
        <f t="shared" si="3"/>
        <v>5.6984790759346327</v>
      </c>
      <c r="U17" s="156"/>
      <c r="V17" s="156"/>
      <c r="W17" s="191">
        <v>0</v>
      </c>
      <c r="X17" s="156"/>
      <c r="Y17" s="192">
        <f t="shared" si="4"/>
        <v>0</v>
      </c>
      <c r="Z17" s="156"/>
      <c r="AA17" s="156">
        <v>0</v>
      </c>
      <c r="AB17" s="156"/>
      <c r="AC17" s="194">
        <f t="shared" si="5"/>
        <v>0</v>
      </c>
      <c r="AD17" s="192"/>
      <c r="AE17" s="156"/>
      <c r="AF17" s="156">
        <v>3251</v>
      </c>
      <c r="AG17" s="156"/>
      <c r="AH17" s="195">
        <f t="shared" si="6"/>
        <v>97.503976188755217</v>
      </c>
      <c r="AI17" s="195"/>
      <c r="AJ17" s="156"/>
      <c r="AK17" s="156">
        <v>302</v>
      </c>
      <c r="AL17" s="156"/>
      <c r="AM17" s="156"/>
      <c r="AN17" s="156">
        <v>114</v>
      </c>
      <c r="AO17" s="5"/>
    </row>
    <row r="18" spans="3:41" ht="18.75" x14ac:dyDescent="0.4">
      <c r="C18" s="164">
        <v>1995</v>
      </c>
      <c r="D18" s="191">
        <v>3428278</v>
      </c>
      <c r="E18" s="164"/>
      <c r="F18" s="156">
        <v>13</v>
      </c>
      <c r="G18" s="156"/>
      <c r="H18" s="192">
        <f t="shared" si="0"/>
        <v>0.37919911979133547</v>
      </c>
      <c r="I18" s="193"/>
      <c r="J18" s="193">
        <v>0</v>
      </c>
      <c r="K18" s="192">
        <f t="shared" si="1"/>
        <v>0</v>
      </c>
      <c r="L18" s="156"/>
      <c r="M18" s="156">
        <v>7497</v>
      </c>
      <c r="N18" s="156"/>
      <c r="O18" s="156">
        <f t="shared" si="2"/>
        <v>218.68121546735705</v>
      </c>
      <c r="P18" s="156"/>
      <c r="Q18" s="156"/>
      <c r="R18" s="156">
        <v>4018</v>
      </c>
      <c r="S18" s="156"/>
      <c r="T18" s="156">
        <f t="shared" si="3"/>
        <v>117.20169717858353</v>
      </c>
      <c r="U18" s="156"/>
      <c r="V18" s="156"/>
      <c r="W18" s="191">
        <v>0</v>
      </c>
      <c r="X18" s="156"/>
      <c r="Y18" s="192">
        <f t="shared" si="4"/>
        <v>0</v>
      </c>
      <c r="Z18" s="156"/>
      <c r="AA18" s="156">
        <v>0</v>
      </c>
      <c r="AB18" s="156"/>
      <c r="AC18" s="194">
        <f t="shared" si="5"/>
        <v>0</v>
      </c>
      <c r="AD18" s="192"/>
      <c r="AE18" s="156"/>
      <c r="AF18" s="156">
        <v>116</v>
      </c>
      <c r="AG18" s="156"/>
      <c r="AH18" s="195">
        <f t="shared" si="6"/>
        <v>3.3836229150611477</v>
      </c>
      <c r="AI18" s="195"/>
      <c r="AJ18" s="156"/>
      <c r="AK18" s="156">
        <v>130</v>
      </c>
      <c r="AL18" s="156"/>
      <c r="AM18" s="156"/>
      <c r="AN18" s="156">
        <v>878</v>
      </c>
      <c r="AO18" s="5"/>
    </row>
    <row r="19" spans="3:41" ht="18.75" x14ac:dyDescent="0.4">
      <c r="C19" s="164">
        <v>1996</v>
      </c>
      <c r="D19" s="191">
        <v>3520866</v>
      </c>
      <c r="E19" s="164"/>
      <c r="F19" s="156">
        <v>57</v>
      </c>
      <c r="G19" s="156"/>
      <c r="H19" s="192">
        <f t="shared" si="0"/>
        <v>1.6189198907314282</v>
      </c>
      <c r="I19" s="193"/>
      <c r="J19" s="193">
        <v>0</v>
      </c>
      <c r="K19" s="192">
        <f t="shared" si="1"/>
        <v>0</v>
      </c>
      <c r="L19" s="156"/>
      <c r="M19" s="156">
        <v>12346</v>
      </c>
      <c r="N19" s="156"/>
      <c r="O19" s="156">
        <f t="shared" si="2"/>
        <v>350.65236791175806</v>
      </c>
      <c r="P19" s="156"/>
      <c r="Q19" s="156"/>
      <c r="R19" s="156">
        <v>6551</v>
      </c>
      <c r="S19" s="156"/>
      <c r="T19" s="156">
        <f t="shared" si="3"/>
        <v>186.06217902072956</v>
      </c>
      <c r="U19" s="156"/>
      <c r="V19" s="156"/>
      <c r="W19" s="191">
        <v>0</v>
      </c>
      <c r="X19" s="156"/>
      <c r="Y19" s="192">
        <f t="shared" si="4"/>
        <v>0</v>
      </c>
      <c r="Z19" s="156"/>
      <c r="AA19" s="156">
        <v>139</v>
      </c>
      <c r="AB19" s="156"/>
      <c r="AC19" s="194">
        <f t="shared" si="5"/>
        <v>3.9478923651169908</v>
      </c>
      <c r="AD19" s="192"/>
      <c r="AE19" s="156"/>
      <c r="AF19" s="156">
        <v>722</v>
      </c>
      <c r="AG19" s="156"/>
      <c r="AH19" s="195">
        <f t="shared" si="6"/>
        <v>20.50631861593142</v>
      </c>
      <c r="AI19" s="195"/>
      <c r="AJ19" s="156"/>
      <c r="AK19" s="156">
        <v>683</v>
      </c>
      <c r="AL19" s="156"/>
      <c r="AM19" s="156"/>
      <c r="AN19" s="156">
        <v>1057</v>
      </c>
      <c r="AO19" s="5"/>
    </row>
    <row r="20" spans="3:41" ht="18.75" x14ac:dyDescent="0.4">
      <c r="C20" s="164">
        <v>1997</v>
      </c>
      <c r="D20" s="191">
        <v>3611224</v>
      </c>
      <c r="E20" s="164"/>
      <c r="F20" s="156">
        <v>20</v>
      </c>
      <c r="G20" s="156"/>
      <c r="H20" s="192">
        <f t="shared" si="0"/>
        <v>0.55382884030456159</v>
      </c>
      <c r="I20" s="193"/>
      <c r="J20" s="193">
        <v>2</v>
      </c>
      <c r="K20" s="192">
        <f t="shared" si="1"/>
        <v>5.5382884030456159E-2</v>
      </c>
      <c r="L20" s="156"/>
      <c r="M20" s="156">
        <v>1714</v>
      </c>
      <c r="N20" s="156"/>
      <c r="O20" s="156">
        <f t="shared" si="2"/>
        <v>47.463131614100924</v>
      </c>
      <c r="P20" s="156"/>
      <c r="Q20" s="156"/>
      <c r="R20" s="156">
        <v>1235</v>
      </c>
      <c r="S20" s="156"/>
      <c r="T20" s="156">
        <f t="shared" si="3"/>
        <v>34.198930888806679</v>
      </c>
      <c r="U20" s="156"/>
      <c r="V20" s="156"/>
      <c r="W20" s="191">
        <v>0</v>
      </c>
      <c r="X20" s="156"/>
      <c r="Y20" s="192">
        <f t="shared" si="4"/>
        <v>0</v>
      </c>
      <c r="Z20" s="156"/>
      <c r="AA20" s="156">
        <v>14</v>
      </c>
      <c r="AB20" s="156"/>
      <c r="AC20" s="194">
        <f t="shared" si="5"/>
        <v>0.38768018821319311</v>
      </c>
      <c r="AD20" s="192"/>
      <c r="AE20" s="156"/>
      <c r="AF20" s="156">
        <v>105</v>
      </c>
      <c r="AG20" s="156"/>
      <c r="AH20" s="195">
        <f t="shared" si="6"/>
        <v>2.9076014115989484</v>
      </c>
      <c r="AI20" s="195"/>
      <c r="AJ20" s="156"/>
      <c r="AK20" s="156">
        <v>81</v>
      </c>
      <c r="AL20" s="156"/>
      <c r="AM20" s="156"/>
      <c r="AN20" s="156">
        <v>1059</v>
      </c>
      <c r="AO20" s="5"/>
    </row>
    <row r="21" spans="3:41" ht="18.75" x14ac:dyDescent="0.4">
      <c r="C21" s="164">
        <v>1998</v>
      </c>
      <c r="D21" s="191">
        <v>3699939</v>
      </c>
      <c r="E21" s="164"/>
      <c r="F21" s="156">
        <v>14</v>
      </c>
      <c r="G21" s="156"/>
      <c r="H21" s="192">
        <f t="shared" si="0"/>
        <v>0.37838461661124684</v>
      </c>
      <c r="I21" s="193"/>
      <c r="J21" s="193">
        <v>2</v>
      </c>
      <c r="K21" s="192">
        <f t="shared" si="1"/>
        <v>5.405494523017812E-2</v>
      </c>
      <c r="L21" s="156"/>
      <c r="M21" s="156">
        <v>7467</v>
      </c>
      <c r="N21" s="156"/>
      <c r="O21" s="156">
        <f t="shared" si="2"/>
        <v>201.81413801687</v>
      </c>
      <c r="P21" s="156"/>
      <c r="Q21" s="156"/>
      <c r="R21" s="156">
        <v>8006</v>
      </c>
      <c r="S21" s="156"/>
      <c r="T21" s="156">
        <f t="shared" si="3"/>
        <v>216.38194575640301</v>
      </c>
      <c r="U21" s="156"/>
      <c r="V21" s="156"/>
      <c r="W21" s="191">
        <v>2</v>
      </c>
      <c r="X21" s="156"/>
      <c r="Y21" s="192">
        <f t="shared" si="4"/>
        <v>5.405494523017812E-2</v>
      </c>
      <c r="Z21" s="156"/>
      <c r="AA21" s="156">
        <v>243</v>
      </c>
      <c r="AB21" s="156"/>
      <c r="AC21" s="194">
        <f t="shared" si="5"/>
        <v>6.567675845466642</v>
      </c>
      <c r="AD21" s="192"/>
      <c r="AE21" s="156"/>
      <c r="AF21" s="156">
        <v>911</v>
      </c>
      <c r="AG21" s="156"/>
      <c r="AH21" s="195">
        <f t="shared" si="6"/>
        <v>24.622027552346132</v>
      </c>
      <c r="AI21" s="195"/>
      <c r="AJ21" s="156"/>
      <c r="AK21" s="156">
        <v>122</v>
      </c>
      <c r="AL21" s="156"/>
      <c r="AM21" s="156"/>
      <c r="AN21" s="156">
        <v>1815</v>
      </c>
      <c r="AO21" s="5"/>
    </row>
    <row r="22" spans="3:41" ht="18.75" x14ac:dyDescent="0.4">
      <c r="C22" s="164">
        <v>1999</v>
      </c>
      <c r="D22" s="191">
        <v>3786841</v>
      </c>
      <c r="E22" s="164"/>
      <c r="F22" s="156">
        <v>12</v>
      </c>
      <c r="G22" s="156"/>
      <c r="H22" s="192">
        <f t="shared" si="0"/>
        <v>0.31688681938322733</v>
      </c>
      <c r="I22" s="193"/>
      <c r="J22" s="193">
        <v>0</v>
      </c>
      <c r="K22" s="192">
        <f t="shared" si="1"/>
        <v>0</v>
      </c>
      <c r="L22" s="156"/>
      <c r="M22" s="156">
        <v>14786</v>
      </c>
      <c r="N22" s="156"/>
      <c r="O22" s="156">
        <f t="shared" si="2"/>
        <v>390.45737595003328</v>
      </c>
      <c r="P22" s="156"/>
      <c r="Q22" s="156"/>
      <c r="R22" s="156">
        <v>12829</v>
      </c>
      <c r="S22" s="156"/>
      <c r="T22" s="156">
        <f t="shared" si="3"/>
        <v>338.77841715561863</v>
      </c>
      <c r="U22" s="156"/>
      <c r="V22" s="156"/>
      <c r="W22" s="191">
        <v>0</v>
      </c>
      <c r="X22" s="156"/>
      <c r="Y22" s="192">
        <f t="shared" si="4"/>
        <v>0</v>
      </c>
      <c r="Z22" s="156"/>
      <c r="AA22" s="156">
        <v>18</v>
      </c>
      <c r="AB22" s="156"/>
      <c r="AC22" s="194">
        <f t="shared" si="5"/>
        <v>0.47533022907484096</v>
      </c>
      <c r="AD22" s="192"/>
      <c r="AE22" s="156"/>
      <c r="AF22" s="156">
        <v>3410</v>
      </c>
      <c r="AG22" s="156"/>
      <c r="AH22" s="195">
        <f t="shared" si="6"/>
        <v>90.048671174733769</v>
      </c>
      <c r="AI22" s="195"/>
      <c r="AJ22" s="156"/>
      <c r="AK22" s="156">
        <v>173</v>
      </c>
      <c r="AL22" s="156"/>
      <c r="AM22" s="156"/>
      <c r="AN22" s="156">
        <v>5085</v>
      </c>
      <c r="AO22" s="5"/>
    </row>
    <row r="23" spans="3:41" ht="18.75" x14ac:dyDescent="0.4">
      <c r="C23" s="164">
        <v>2000</v>
      </c>
      <c r="D23" s="191">
        <v>3872349</v>
      </c>
      <c r="E23" s="164"/>
      <c r="F23" s="156">
        <v>8</v>
      </c>
      <c r="G23" s="156"/>
      <c r="H23" s="192">
        <f t="shared" si="0"/>
        <v>0.20659294913759063</v>
      </c>
      <c r="I23" s="193"/>
      <c r="J23" s="193">
        <v>8</v>
      </c>
      <c r="K23" s="192">
        <f t="shared" si="1"/>
        <v>0.20659294913759063</v>
      </c>
      <c r="L23" s="156"/>
      <c r="M23" s="156">
        <v>3766</v>
      </c>
      <c r="N23" s="156"/>
      <c r="O23" s="156">
        <f t="shared" si="2"/>
        <v>97.253630806520803</v>
      </c>
      <c r="P23" s="156"/>
      <c r="Q23" s="156"/>
      <c r="R23" s="156">
        <v>2440</v>
      </c>
      <c r="S23" s="156"/>
      <c r="T23" s="156">
        <f t="shared" si="3"/>
        <v>63.010849486965142</v>
      </c>
      <c r="U23" s="156"/>
      <c r="V23" s="156"/>
      <c r="W23" s="191">
        <v>0</v>
      </c>
      <c r="X23" s="156"/>
      <c r="Y23" s="192">
        <f t="shared" si="4"/>
        <v>0</v>
      </c>
      <c r="Z23" s="156"/>
      <c r="AA23" s="156">
        <v>14</v>
      </c>
      <c r="AB23" s="156"/>
      <c r="AC23" s="194">
        <f t="shared" si="5"/>
        <v>0.3615376609907836</v>
      </c>
      <c r="AD23" s="192"/>
      <c r="AE23" s="156"/>
      <c r="AF23" s="156">
        <v>0</v>
      </c>
      <c r="AG23" s="156"/>
      <c r="AH23" s="195">
        <f t="shared" si="6"/>
        <v>0</v>
      </c>
      <c r="AI23" s="195"/>
      <c r="AJ23" s="156"/>
      <c r="AK23" s="156">
        <v>5</v>
      </c>
      <c r="AL23" s="156"/>
      <c r="AM23" s="156"/>
      <c r="AN23" s="156">
        <v>1577</v>
      </c>
      <c r="AO23" s="5"/>
    </row>
    <row r="24" spans="3:41" ht="18.75" x14ac:dyDescent="0.4">
      <c r="C24" s="164">
        <v>2001</v>
      </c>
      <c r="D24" s="191">
        <v>3953393</v>
      </c>
      <c r="E24" s="164"/>
      <c r="F24" s="156">
        <v>2</v>
      </c>
      <c r="G24" s="156"/>
      <c r="H24" s="192">
        <f t="shared" si="0"/>
        <v>5.0589455690339923E-2</v>
      </c>
      <c r="I24" s="193"/>
      <c r="J24" s="193">
        <v>0</v>
      </c>
      <c r="K24" s="192">
        <f t="shared" si="1"/>
        <v>0</v>
      </c>
      <c r="L24" s="156"/>
      <c r="M24" s="156">
        <v>3838</v>
      </c>
      <c r="N24" s="156"/>
      <c r="O24" s="156">
        <f t="shared" si="2"/>
        <v>97.081165469762311</v>
      </c>
      <c r="P24" s="156"/>
      <c r="Q24" s="156"/>
      <c r="R24" s="156">
        <v>2285</v>
      </c>
      <c r="S24" s="156"/>
      <c r="T24" s="156">
        <f t="shared" si="3"/>
        <v>57.79845312621336</v>
      </c>
      <c r="U24" s="156"/>
      <c r="V24" s="156"/>
      <c r="W24" s="191">
        <v>1</v>
      </c>
      <c r="X24" s="156"/>
      <c r="Y24" s="192">
        <f t="shared" si="4"/>
        <v>2.5294727845169961E-2</v>
      </c>
      <c r="Z24" s="156"/>
      <c r="AA24" s="156">
        <v>0</v>
      </c>
      <c r="AB24" s="156"/>
      <c r="AC24" s="194">
        <f t="shared" si="5"/>
        <v>0</v>
      </c>
      <c r="AD24" s="192"/>
      <c r="AE24" s="156"/>
      <c r="AF24" s="156">
        <v>432</v>
      </c>
      <c r="AG24" s="156"/>
      <c r="AH24" s="195">
        <f t="shared" si="6"/>
        <v>10.927322429113422</v>
      </c>
      <c r="AI24" s="195"/>
      <c r="AJ24" s="156"/>
      <c r="AK24" s="156">
        <v>21</v>
      </c>
      <c r="AL24" s="156"/>
      <c r="AM24" s="156"/>
      <c r="AN24" s="156">
        <v>1555</v>
      </c>
      <c r="AO24" s="5"/>
    </row>
    <row r="25" spans="3:41" ht="18.75" x14ac:dyDescent="0.4">
      <c r="C25" s="164">
        <v>2002</v>
      </c>
      <c r="D25" s="191">
        <v>4022431</v>
      </c>
      <c r="E25" s="164"/>
      <c r="F25" s="156">
        <v>18</v>
      </c>
      <c r="G25" s="156"/>
      <c r="H25" s="192">
        <f t="shared" si="0"/>
        <v>0.44749058467379549</v>
      </c>
      <c r="I25" s="193"/>
      <c r="J25" s="193">
        <v>7</v>
      </c>
      <c r="K25" s="192">
        <f t="shared" si="1"/>
        <v>0.1740241162620316</v>
      </c>
      <c r="L25" s="156"/>
      <c r="M25" s="156">
        <v>14835</v>
      </c>
      <c r="N25" s="156"/>
      <c r="O25" s="156">
        <f t="shared" si="2"/>
        <v>368.80682353531978</v>
      </c>
      <c r="P25" s="156"/>
      <c r="Q25" s="156"/>
      <c r="R25" s="156">
        <v>12638</v>
      </c>
      <c r="S25" s="156"/>
      <c r="T25" s="156">
        <f t="shared" si="3"/>
        <v>314.1881116170793</v>
      </c>
      <c r="U25" s="156"/>
      <c r="V25" s="156"/>
      <c r="W25" s="191">
        <v>0</v>
      </c>
      <c r="X25" s="156"/>
      <c r="Y25" s="192">
        <f t="shared" si="4"/>
        <v>0</v>
      </c>
      <c r="Z25" s="156"/>
      <c r="AA25" s="156">
        <v>1</v>
      </c>
      <c r="AB25" s="156"/>
      <c r="AC25" s="194">
        <f t="shared" si="5"/>
        <v>2.4860588037433084E-2</v>
      </c>
      <c r="AD25" s="192"/>
      <c r="AE25" s="156"/>
      <c r="AF25" s="156">
        <v>0</v>
      </c>
      <c r="AG25" s="156"/>
      <c r="AH25" s="195">
        <f t="shared" si="6"/>
        <v>0</v>
      </c>
      <c r="AI25" s="195"/>
      <c r="AJ25" s="156"/>
      <c r="AK25" s="156">
        <v>98</v>
      </c>
      <c r="AL25" s="156"/>
      <c r="AM25" s="156"/>
      <c r="AN25" s="156">
        <v>1527</v>
      </c>
      <c r="AO25" s="5"/>
    </row>
    <row r="26" spans="3:41" ht="18.75" x14ac:dyDescent="0.4">
      <c r="C26" s="164">
        <v>2003</v>
      </c>
      <c r="D26" s="191">
        <v>4086405</v>
      </c>
      <c r="E26" s="164"/>
      <c r="F26" s="156">
        <v>1</v>
      </c>
      <c r="G26" s="156"/>
      <c r="H26" s="192">
        <f t="shared" si="0"/>
        <v>2.4471387442018107E-2</v>
      </c>
      <c r="I26" s="193"/>
      <c r="J26" s="193">
        <v>0</v>
      </c>
      <c r="K26" s="192">
        <f t="shared" si="1"/>
        <v>0</v>
      </c>
      <c r="L26" s="156"/>
      <c r="M26" s="156">
        <v>2455</v>
      </c>
      <c r="N26" s="156"/>
      <c r="O26" s="156">
        <f t="shared" si="2"/>
        <v>60.077256170154449</v>
      </c>
      <c r="P26" s="156"/>
      <c r="Q26" s="156"/>
      <c r="R26" s="156">
        <v>462</v>
      </c>
      <c r="S26" s="156"/>
      <c r="T26" s="156">
        <f t="shared" si="3"/>
        <v>11.305780998212365</v>
      </c>
      <c r="U26" s="156"/>
      <c r="V26" s="156"/>
      <c r="W26" s="191">
        <v>0</v>
      </c>
      <c r="X26" s="156"/>
      <c r="Y26" s="192">
        <f t="shared" si="4"/>
        <v>0</v>
      </c>
      <c r="Z26" s="156"/>
      <c r="AA26" s="156">
        <v>0</v>
      </c>
      <c r="AB26" s="156"/>
      <c r="AC26" s="194">
        <f t="shared" si="5"/>
        <v>0</v>
      </c>
      <c r="AD26" s="192"/>
      <c r="AE26" s="156"/>
      <c r="AF26" s="156">
        <v>500000</v>
      </c>
      <c r="AG26" s="156"/>
      <c r="AH26" s="195">
        <f t="shared" si="6"/>
        <v>12235.693721009053</v>
      </c>
      <c r="AI26" s="195"/>
      <c r="AJ26" s="156"/>
      <c r="AK26" s="156">
        <v>90</v>
      </c>
      <c r="AL26" s="156"/>
      <c r="AM26" s="156"/>
      <c r="AN26" s="156">
        <v>1525</v>
      </c>
      <c r="AO26" s="5"/>
    </row>
    <row r="27" spans="3:41" ht="18.75" x14ac:dyDescent="0.4">
      <c r="C27" s="164">
        <v>2004</v>
      </c>
      <c r="D27" s="191">
        <v>4151823</v>
      </c>
      <c r="E27" s="164"/>
      <c r="F27" s="156">
        <v>9</v>
      </c>
      <c r="G27" s="156"/>
      <c r="H27" s="192">
        <f t="shared" si="0"/>
        <v>0.21677224679375781</v>
      </c>
      <c r="I27" s="193"/>
      <c r="J27" s="193">
        <v>0</v>
      </c>
      <c r="K27" s="192">
        <f t="shared" si="1"/>
        <v>0</v>
      </c>
      <c r="L27" s="156"/>
      <c r="M27" s="156">
        <v>1763</v>
      </c>
      <c r="N27" s="156"/>
      <c r="O27" s="156">
        <f t="shared" si="2"/>
        <v>42.46327456637723</v>
      </c>
      <c r="P27" s="156"/>
      <c r="Q27" s="156"/>
      <c r="R27" s="156">
        <v>1411</v>
      </c>
      <c r="S27" s="156"/>
      <c r="T27" s="156">
        <f t="shared" si="3"/>
        <v>33.985071136221364</v>
      </c>
      <c r="U27" s="156"/>
      <c r="V27" s="156"/>
      <c r="W27" s="191">
        <v>0</v>
      </c>
      <c r="X27" s="156"/>
      <c r="Y27" s="192">
        <f t="shared" si="4"/>
        <v>0</v>
      </c>
      <c r="Z27" s="156"/>
      <c r="AA27" s="156">
        <v>0</v>
      </c>
      <c r="AB27" s="156"/>
      <c r="AC27" s="194">
        <f t="shared" si="5"/>
        <v>0</v>
      </c>
      <c r="AD27" s="192"/>
      <c r="AE27" s="156"/>
      <c r="AF27" s="156">
        <v>18</v>
      </c>
      <c r="AG27" s="156"/>
      <c r="AH27" s="195">
        <f t="shared" si="6"/>
        <v>0.43354449358751562</v>
      </c>
      <c r="AI27" s="195"/>
      <c r="AJ27" s="156"/>
      <c r="AK27" s="156">
        <v>15</v>
      </c>
      <c r="AL27" s="156"/>
      <c r="AM27" s="156"/>
      <c r="AN27" s="156">
        <v>2012</v>
      </c>
      <c r="AO27" s="5"/>
    </row>
    <row r="28" spans="3:41" ht="18.75" x14ac:dyDescent="0.4">
      <c r="C28" s="164">
        <v>2005</v>
      </c>
      <c r="D28" s="191">
        <v>4215248</v>
      </c>
      <c r="E28" s="164"/>
      <c r="F28" s="156">
        <v>9</v>
      </c>
      <c r="G28" s="156"/>
      <c r="H28" s="192">
        <f t="shared" si="0"/>
        <v>0.21351056924764569</v>
      </c>
      <c r="I28" s="193"/>
      <c r="J28" s="193">
        <v>1</v>
      </c>
      <c r="K28" s="192">
        <f t="shared" si="1"/>
        <v>2.3723396583071741E-2</v>
      </c>
      <c r="L28" s="156"/>
      <c r="M28" s="156">
        <v>20215</v>
      </c>
      <c r="N28" s="156"/>
      <c r="O28" s="156">
        <f t="shared" si="2"/>
        <v>479.56846192679524</v>
      </c>
      <c r="P28" s="156"/>
      <c r="Q28" s="156"/>
      <c r="R28" s="156">
        <v>2866</v>
      </c>
      <c r="S28" s="156"/>
      <c r="T28" s="156">
        <f t="shared" si="3"/>
        <v>67.991254607083619</v>
      </c>
      <c r="U28" s="156"/>
      <c r="V28" s="156"/>
      <c r="W28" s="191">
        <v>50</v>
      </c>
      <c r="X28" s="156"/>
      <c r="Y28" s="192">
        <f t="shared" si="4"/>
        <v>1.1861698291535872</v>
      </c>
      <c r="Z28" s="156"/>
      <c r="AA28" s="156">
        <v>0</v>
      </c>
      <c r="AB28" s="156"/>
      <c r="AC28" s="194">
        <f t="shared" si="5"/>
        <v>0</v>
      </c>
      <c r="AD28" s="192"/>
      <c r="AE28" s="156"/>
      <c r="AF28" s="156">
        <v>60</v>
      </c>
      <c r="AG28" s="156"/>
      <c r="AH28" s="195">
        <f t="shared" si="6"/>
        <v>1.4234037949843046</v>
      </c>
      <c r="AI28" s="195"/>
      <c r="AJ28" s="156"/>
      <c r="AK28" s="156">
        <v>35</v>
      </c>
      <c r="AL28" s="156"/>
      <c r="AM28" s="156"/>
      <c r="AN28" s="156">
        <v>3286</v>
      </c>
      <c r="AO28" s="5"/>
    </row>
    <row r="29" spans="3:41" ht="18.75" x14ac:dyDescent="0.4">
      <c r="C29" s="164">
        <v>2006</v>
      </c>
      <c r="D29" s="191">
        <v>4278656</v>
      </c>
      <c r="E29" s="164"/>
      <c r="F29" s="156">
        <v>7</v>
      </c>
      <c r="G29" s="156"/>
      <c r="H29" s="192">
        <f t="shared" si="0"/>
        <v>0.16360277619888117</v>
      </c>
      <c r="I29" s="193"/>
      <c r="J29" s="193">
        <v>0</v>
      </c>
      <c r="K29" s="192">
        <f t="shared" si="1"/>
        <v>0</v>
      </c>
      <c r="L29" s="156"/>
      <c r="M29" s="156">
        <v>2441</v>
      </c>
      <c r="N29" s="156"/>
      <c r="O29" s="156">
        <f t="shared" si="2"/>
        <v>57.050625243066982</v>
      </c>
      <c r="P29" s="156"/>
      <c r="Q29" s="156"/>
      <c r="R29" s="156">
        <v>155</v>
      </c>
      <c r="S29" s="156"/>
      <c r="T29" s="156">
        <f t="shared" si="3"/>
        <v>3.6226329015466541</v>
      </c>
      <c r="U29" s="156"/>
      <c r="V29" s="156"/>
      <c r="W29" s="191">
        <v>58</v>
      </c>
      <c r="X29" s="156"/>
      <c r="Y29" s="192">
        <f t="shared" si="4"/>
        <v>1.3555658599335867</v>
      </c>
      <c r="Z29" s="156"/>
      <c r="AA29" s="156">
        <v>0</v>
      </c>
      <c r="AB29" s="156"/>
      <c r="AC29" s="194">
        <f t="shared" si="5"/>
        <v>0</v>
      </c>
      <c r="AD29" s="192"/>
      <c r="AE29" s="156"/>
      <c r="AF29" s="156">
        <v>667</v>
      </c>
      <c r="AG29" s="156"/>
      <c r="AH29" s="195">
        <f t="shared" si="6"/>
        <v>15.589007389236247</v>
      </c>
      <c r="AI29" s="195"/>
      <c r="AJ29" s="156"/>
      <c r="AK29" s="156">
        <v>2</v>
      </c>
      <c r="AL29" s="156"/>
      <c r="AM29" s="156"/>
      <c r="AN29" s="156">
        <v>1414</v>
      </c>
      <c r="AO29" s="5"/>
    </row>
    <row r="30" spans="3:41" ht="18.75" x14ac:dyDescent="0.4">
      <c r="C30" s="164">
        <v>2007</v>
      </c>
      <c r="D30" s="191">
        <v>4340390</v>
      </c>
      <c r="E30" s="164"/>
      <c r="F30" s="156">
        <v>30</v>
      </c>
      <c r="G30" s="156"/>
      <c r="H30" s="192">
        <f t="shared" si="0"/>
        <v>0.69118212879487784</v>
      </c>
      <c r="I30" s="193"/>
      <c r="J30" s="193">
        <v>2</v>
      </c>
      <c r="K30" s="192">
        <f t="shared" si="1"/>
        <v>4.6078808586325189E-2</v>
      </c>
      <c r="L30" s="156"/>
      <c r="M30" s="156">
        <v>24385</v>
      </c>
      <c r="N30" s="156"/>
      <c r="O30" s="156">
        <f t="shared" si="2"/>
        <v>561.8158736887699</v>
      </c>
      <c r="P30" s="156"/>
      <c r="Q30" s="156"/>
      <c r="R30" s="156">
        <v>4857</v>
      </c>
      <c r="S30" s="156"/>
      <c r="T30" s="156">
        <f t="shared" si="3"/>
        <v>111.90238665189072</v>
      </c>
      <c r="U30" s="156"/>
      <c r="V30" s="156"/>
      <c r="W30" s="191">
        <v>20</v>
      </c>
      <c r="X30" s="156"/>
      <c r="Y30" s="192">
        <f t="shared" si="4"/>
        <v>0.46078808586325193</v>
      </c>
      <c r="Z30" s="156"/>
      <c r="AA30" s="156">
        <v>0</v>
      </c>
      <c r="AB30" s="156"/>
      <c r="AC30" s="194">
        <f t="shared" si="5"/>
        <v>0</v>
      </c>
      <c r="AD30" s="192"/>
      <c r="AE30" s="156"/>
      <c r="AF30" s="156">
        <v>5129</v>
      </c>
      <c r="AG30" s="156"/>
      <c r="AH30" s="195">
        <f t="shared" si="6"/>
        <v>118.16910461963094</v>
      </c>
      <c r="AI30" s="195"/>
      <c r="AJ30" s="156"/>
      <c r="AK30" s="156">
        <v>174</v>
      </c>
      <c r="AL30" s="156"/>
      <c r="AM30" s="156"/>
      <c r="AN30" s="156">
        <v>8910</v>
      </c>
      <c r="AO30" s="5"/>
    </row>
    <row r="31" spans="3:41" ht="18.75" x14ac:dyDescent="0.4">
      <c r="C31" s="164">
        <v>2008</v>
      </c>
      <c r="D31" s="191">
        <v>4404090</v>
      </c>
      <c r="E31" s="164"/>
      <c r="F31" s="156">
        <v>9</v>
      </c>
      <c r="G31" s="156"/>
      <c r="H31" s="192">
        <f t="shared" si="0"/>
        <v>0.204355496822272</v>
      </c>
      <c r="I31" s="193"/>
      <c r="J31" s="193">
        <v>3</v>
      </c>
      <c r="K31" s="192">
        <f t="shared" si="1"/>
        <v>6.8118498940757347E-2</v>
      </c>
      <c r="L31" s="156"/>
      <c r="M31" s="156">
        <v>4371</v>
      </c>
      <c r="N31" s="156"/>
      <c r="O31" s="156">
        <f t="shared" si="2"/>
        <v>99.248652956683443</v>
      </c>
      <c r="P31" s="156"/>
      <c r="Q31" s="156"/>
      <c r="R31" s="156">
        <v>290</v>
      </c>
      <c r="S31" s="156"/>
      <c r="T31" s="156">
        <f t="shared" si="3"/>
        <v>6.5847882309398766</v>
      </c>
      <c r="U31" s="156"/>
      <c r="V31" s="156"/>
      <c r="W31" s="191">
        <v>30</v>
      </c>
      <c r="X31" s="156"/>
      <c r="Y31" s="192">
        <f t="shared" si="4"/>
        <v>0.68118498940757333</v>
      </c>
      <c r="Z31" s="156"/>
      <c r="AA31" s="156">
        <v>0</v>
      </c>
      <c r="AB31" s="156"/>
      <c r="AC31" s="194">
        <f t="shared" si="5"/>
        <v>0</v>
      </c>
      <c r="AD31" s="192"/>
      <c r="AE31" s="156"/>
      <c r="AF31" s="156">
        <v>15739</v>
      </c>
      <c r="AG31" s="156"/>
      <c r="AH31" s="195">
        <f t="shared" si="6"/>
        <v>357.37235160952662</v>
      </c>
      <c r="AI31" s="195"/>
      <c r="AJ31" s="156"/>
      <c r="AK31" s="156">
        <v>274</v>
      </c>
      <c r="AL31" s="156"/>
      <c r="AM31" s="156"/>
      <c r="AN31" s="156">
        <v>2973</v>
      </c>
      <c r="AO31" s="5"/>
    </row>
    <row r="32" spans="3:41" ht="18.75" x14ac:dyDescent="0.4">
      <c r="C32" s="164">
        <v>2009</v>
      </c>
      <c r="D32" s="191">
        <v>4469337</v>
      </c>
      <c r="E32" s="164"/>
      <c r="F32" s="156">
        <v>28</v>
      </c>
      <c r="G32" s="156"/>
      <c r="H32" s="192">
        <f t="shared" si="0"/>
        <v>0.62649113280112911</v>
      </c>
      <c r="I32" s="193"/>
      <c r="J32" s="193">
        <v>7</v>
      </c>
      <c r="K32" s="192">
        <f t="shared" si="1"/>
        <v>0.15662278320028228</v>
      </c>
      <c r="L32" s="156"/>
      <c r="M32" s="156">
        <v>14653</v>
      </c>
      <c r="N32" s="156"/>
      <c r="O32" s="156">
        <f t="shared" si="2"/>
        <v>327.85623460481946</v>
      </c>
      <c r="P32" s="156"/>
      <c r="Q32" s="156"/>
      <c r="R32" s="156">
        <v>1048</v>
      </c>
      <c r="S32" s="156"/>
      <c r="T32" s="156">
        <f t="shared" si="3"/>
        <v>23.448668113413689</v>
      </c>
      <c r="U32" s="156"/>
      <c r="V32" s="156"/>
      <c r="W32" s="191">
        <v>10</v>
      </c>
      <c r="X32" s="156"/>
      <c r="Y32" s="192">
        <f t="shared" si="4"/>
        <v>0.22374683314326041</v>
      </c>
      <c r="Z32" s="156"/>
      <c r="AA32" s="156">
        <v>0</v>
      </c>
      <c r="AB32" s="156"/>
      <c r="AC32" s="194">
        <f t="shared" si="5"/>
        <v>0</v>
      </c>
      <c r="AD32" s="192"/>
      <c r="AE32" s="156"/>
      <c r="AF32" s="156">
        <v>0</v>
      </c>
      <c r="AG32" s="156"/>
      <c r="AH32" s="195">
        <f t="shared" si="6"/>
        <v>0</v>
      </c>
      <c r="AI32" s="195"/>
      <c r="AJ32" s="156"/>
      <c r="AK32" s="156">
        <v>853</v>
      </c>
      <c r="AL32" s="156"/>
      <c r="AM32" s="156"/>
      <c r="AN32" s="156">
        <v>2654</v>
      </c>
      <c r="AO32" s="5"/>
    </row>
    <row r="33" spans="3:41" ht="18.75" x14ac:dyDescent="0.4">
      <c r="C33" s="164">
        <v>2010</v>
      </c>
      <c r="D33" s="191">
        <v>4533894</v>
      </c>
      <c r="E33" s="164"/>
      <c r="F33" s="156">
        <v>41</v>
      </c>
      <c r="G33" s="156"/>
      <c r="H33" s="192">
        <f t="shared" si="0"/>
        <v>0.90429992408291859</v>
      </c>
      <c r="I33" s="193"/>
      <c r="J33" s="193">
        <v>2</v>
      </c>
      <c r="K33" s="192">
        <f t="shared" si="1"/>
        <v>4.4112191418678955E-2</v>
      </c>
      <c r="L33" s="156"/>
      <c r="M33" s="156">
        <v>28797</v>
      </c>
      <c r="N33" s="156"/>
      <c r="O33" s="156">
        <f t="shared" si="2"/>
        <v>635.14938814184893</v>
      </c>
      <c r="P33" s="156"/>
      <c r="Q33" s="156"/>
      <c r="R33" s="156">
        <v>5104</v>
      </c>
      <c r="S33" s="156"/>
      <c r="T33" s="156">
        <f t="shared" si="3"/>
        <v>112.57431250046869</v>
      </c>
      <c r="U33" s="156"/>
      <c r="V33" s="156"/>
      <c r="W33" s="191">
        <v>73</v>
      </c>
      <c r="X33" s="156"/>
      <c r="Y33" s="192">
        <f t="shared" si="4"/>
        <v>1.610094986781782</v>
      </c>
      <c r="Z33" s="156"/>
      <c r="AA33" s="156">
        <v>125</v>
      </c>
      <c r="AB33" s="156"/>
      <c r="AC33" s="194">
        <f t="shared" si="5"/>
        <v>2.7570119636674346</v>
      </c>
      <c r="AD33" s="192"/>
      <c r="AE33" s="156"/>
      <c r="AF33" s="156">
        <v>5204</v>
      </c>
      <c r="AG33" s="156"/>
      <c r="AH33" s="195">
        <f t="shared" si="6"/>
        <v>114.77992207140264</v>
      </c>
      <c r="AI33" s="195"/>
      <c r="AJ33" s="156"/>
      <c r="AK33" s="156">
        <v>39</v>
      </c>
      <c r="AL33" s="156"/>
      <c r="AM33" s="156"/>
      <c r="AN33" s="156">
        <v>10536</v>
      </c>
      <c r="AO33" s="5"/>
    </row>
    <row r="34" spans="3:41" ht="18.75" x14ac:dyDescent="0.4">
      <c r="C34" s="164">
        <v>2011</v>
      </c>
      <c r="D34" s="191">
        <v>4592149</v>
      </c>
      <c r="E34" s="164"/>
      <c r="F34" s="156">
        <v>11</v>
      </c>
      <c r="G34" s="156"/>
      <c r="H34" s="192">
        <f t="shared" si="0"/>
        <v>0.2395392658208608</v>
      </c>
      <c r="I34" s="193"/>
      <c r="J34" s="193">
        <v>0</v>
      </c>
      <c r="K34" s="192">
        <f t="shared" si="1"/>
        <v>0</v>
      </c>
      <c r="L34" s="156"/>
      <c r="M34" s="156">
        <v>9767</v>
      </c>
      <c r="N34" s="156"/>
      <c r="O34" s="156">
        <f t="shared" si="2"/>
        <v>212.68909175203154</v>
      </c>
      <c r="P34" s="156"/>
      <c r="Q34" s="156"/>
      <c r="R34" s="156">
        <v>1728</v>
      </c>
      <c r="S34" s="156"/>
      <c r="T34" s="156">
        <f t="shared" si="3"/>
        <v>37.62944103076795</v>
      </c>
      <c r="U34" s="156"/>
      <c r="V34" s="156"/>
      <c r="W34" s="191">
        <v>6</v>
      </c>
      <c r="X34" s="156"/>
      <c r="Y34" s="192">
        <f t="shared" si="4"/>
        <v>0.13065778135683315</v>
      </c>
      <c r="Z34" s="156"/>
      <c r="AA34" s="156">
        <v>45</v>
      </c>
      <c r="AB34" s="156"/>
      <c r="AC34" s="194">
        <f t="shared" si="5"/>
        <v>0.97993336017624866</v>
      </c>
      <c r="AD34" s="192"/>
      <c r="AE34" s="156"/>
      <c r="AF34" s="156">
        <v>1222</v>
      </c>
      <c r="AG34" s="156"/>
      <c r="AH34" s="195">
        <f t="shared" si="6"/>
        <v>26.610634803008356</v>
      </c>
      <c r="AI34" s="195"/>
      <c r="AJ34" s="156"/>
      <c r="AK34" s="156">
        <v>19</v>
      </c>
      <c r="AL34" s="156"/>
      <c r="AM34" s="156"/>
      <c r="AN34" s="156">
        <v>2381</v>
      </c>
      <c r="AO34" s="5"/>
    </row>
    <row r="35" spans="3:41" ht="18.75" x14ac:dyDescent="0.4">
      <c r="C35" s="164">
        <v>2012</v>
      </c>
      <c r="D35" s="191">
        <v>4652458.9305058112</v>
      </c>
      <c r="E35" s="164"/>
      <c r="F35" s="156">
        <v>14</v>
      </c>
      <c r="G35" s="156"/>
      <c r="H35" s="192">
        <f t="shared" si="0"/>
        <v>0.30091614368056185</v>
      </c>
      <c r="I35" s="193"/>
      <c r="J35" s="193">
        <v>3</v>
      </c>
      <c r="K35" s="192">
        <f t="shared" si="1"/>
        <v>6.4482030788691844E-2</v>
      </c>
      <c r="L35" s="156"/>
      <c r="M35" s="156">
        <v>18231</v>
      </c>
      <c r="N35" s="156"/>
      <c r="O35" s="156">
        <f t="shared" si="2"/>
        <v>391.85730110288029</v>
      </c>
      <c r="P35" s="156"/>
      <c r="Q35" s="156"/>
      <c r="R35" s="156">
        <v>1858</v>
      </c>
      <c r="S35" s="156"/>
      <c r="T35" s="156">
        <f t="shared" si="3"/>
        <v>39.935871068463143</v>
      </c>
      <c r="U35" s="156"/>
      <c r="V35" s="156"/>
      <c r="W35" s="191">
        <v>13</v>
      </c>
      <c r="X35" s="156"/>
      <c r="Y35" s="192">
        <f t="shared" si="4"/>
        <v>0.27942213341766459</v>
      </c>
      <c r="Z35" s="156"/>
      <c r="AA35" s="156">
        <v>1</v>
      </c>
      <c r="AB35" s="156"/>
      <c r="AC35" s="194">
        <f t="shared" si="5"/>
        <v>2.1494010262897278E-2</v>
      </c>
      <c r="AD35" s="192"/>
      <c r="AE35" s="156"/>
      <c r="AF35" s="156">
        <v>120550</v>
      </c>
      <c r="AG35" s="156"/>
      <c r="AH35" s="195">
        <f t="shared" si="6"/>
        <v>2591.1029371922668</v>
      </c>
      <c r="AI35" s="195"/>
      <c r="AJ35" s="156"/>
      <c r="AK35" s="156">
        <v>770</v>
      </c>
      <c r="AL35" s="156"/>
      <c r="AM35" s="156"/>
      <c r="AN35" s="156">
        <v>3567</v>
      </c>
      <c r="AO35" s="5"/>
    </row>
    <row r="36" spans="3:41" ht="18.75" x14ac:dyDescent="0.4">
      <c r="C36" s="164">
        <v>2013</v>
      </c>
      <c r="D36" s="191">
        <v>4713168.1414101515</v>
      </c>
      <c r="E36" s="164"/>
      <c r="F36" s="156">
        <v>12</v>
      </c>
      <c r="G36" s="156"/>
      <c r="H36" s="192">
        <f t="shared" si="0"/>
        <v>0.25460581163161461</v>
      </c>
      <c r="I36" s="193"/>
      <c r="J36" s="193">
        <v>0</v>
      </c>
      <c r="K36" s="192">
        <f t="shared" si="1"/>
        <v>0</v>
      </c>
      <c r="L36" s="156"/>
      <c r="M36" s="156">
        <v>6020</v>
      </c>
      <c r="N36" s="156"/>
      <c r="O36" s="156">
        <f t="shared" si="2"/>
        <v>127.72724883519332</v>
      </c>
      <c r="P36" s="156"/>
      <c r="Q36" s="156"/>
      <c r="R36" s="156">
        <v>342</v>
      </c>
      <c r="S36" s="156"/>
      <c r="T36" s="156">
        <f t="shared" si="3"/>
        <v>7.256265631501015</v>
      </c>
      <c r="U36" s="156"/>
      <c r="V36" s="156"/>
      <c r="W36" s="191">
        <v>16</v>
      </c>
      <c r="X36" s="156"/>
      <c r="Y36" s="192">
        <f t="shared" si="4"/>
        <v>0.33947441550881946</v>
      </c>
      <c r="Z36" s="156"/>
      <c r="AA36" s="156">
        <v>25</v>
      </c>
      <c r="AB36" s="156"/>
      <c r="AC36" s="194">
        <f t="shared" si="5"/>
        <v>0.53042877423253043</v>
      </c>
      <c r="AD36" s="192"/>
      <c r="AE36" s="156"/>
      <c r="AF36" s="156">
        <v>2558</v>
      </c>
      <c r="AG36" s="156"/>
      <c r="AH36" s="195">
        <f t="shared" si="6"/>
        <v>54.273472179472499</v>
      </c>
      <c r="AI36" s="195"/>
      <c r="AJ36" s="156"/>
      <c r="AK36" s="156">
        <v>21</v>
      </c>
      <c r="AL36" s="156"/>
      <c r="AM36" s="156"/>
      <c r="AN36" s="156">
        <v>1447</v>
      </c>
      <c r="AO36" s="5"/>
    </row>
    <row r="37" spans="3:41" ht="18.75" x14ac:dyDescent="0.4">
      <c r="C37" s="164">
        <v>2014</v>
      </c>
      <c r="D37" s="191">
        <v>4773129.933844462</v>
      </c>
      <c r="E37" s="164"/>
      <c r="F37" s="156">
        <v>10</v>
      </c>
      <c r="G37" s="156"/>
      <c r="H37" s="192">
        <f t="shared" si="0"/>
        <v>0.20950613410068258</v>
      </c>
      <c r="I37" s="193"/>
      <c r="J37" s="193">
        <v>2</v>
      </c>
      <c r="K37" s="192">
        <f t="shared" si="1"/>
        <v>4.1901226820136514E-2</v>
      </c>
      <c r="L37" s="156"/>
      <c r="M37" s="156">
        <v>11204</v>
      </c>
      <c r="N37" s="156"/>
      <c r="O37" s="156">
        <f t="shared" si="2"/>
        <v>234.73067264640477</v>
      </c>
      <c r="P37" s="156"/>
      <c r="Q37" s="156"/>
      <c r="R37" s="156">
        <v>863</v>
      </c>
      <c r="S37" s="156"/>
      <c r="T37" s="156">
        <f t="shared" si="3"/>
        <v>18.080379372888906</v>
      </c>
      <c r="U37" s="156"/>
      <c r="V37" s="156"/>
      <c r="W37" s="191">
        <v>28</v>
      </c>
      <c r="X37" s="156"/>
      <c r="Y37" s="192">
        <f t="shared" si="4"/>
        <v>0.58661717548191117</v>
      </c>
      <c r="Z37" s="156"/>
      <c r="AA37" s="156">
        <v>5</v>
      </c>
      <c r="AB37" s="156"/>
      <c r="AC37" s="194">
        <f t="shared" si="5"/>
        <v>0.10475306705034129</v>
      </c>
      <c r="AD37" s="192"/>
      <c r="AE37" s="156"/>
      <c r="AF37" s="156">
        <v>7870</v>
      </c>
      <c r="AG37" s="156"/>
      <c r="AH37" s="195">
        <f t="shared" si="6"/>
        <v>164.88132753723718</v>
      </c>
      <c r="AI37" s="195"/>
      <c r="AJ37" s="156"/>
      <c r="AK37" s="156">
        <v>3</v>
      </c>
      <c r="AL37" s="156"/>
      <c r="AM37" s="156"/>
      <c r="AN37" s="156">
        <v>2680</v>
      </c>
      <c r="AO37" s="5"/>
    </row>
    <row r="38" spans="3:41" ht="18.75" x14ac:dyDescent="0.4">
      <c r="C38" s="164">
        <v>2015</v>
      </c>
      <c r="D38" s="191">
        <v>4832233.8134650989</v>
      </c>
      <c r="E38" s="164"/>
      <c r="F38" s="156">
        <v>8</v>
      </c>
      <c r="G38" s="156"/>
      <c r="H38" s="192">
        <f t="shared" si="0"/>
        <v>0.1655549029458771</v>
      </c>
      <c r="I38" s="193"/>
      <c r="J38" s="193">
        <v>0</v>
      </c>
      <c r="K38" s="192">
        <f t="shared" si="1"/>
        <v>0</v>
      </c>
      <c r="L38" s="156"/>
      <c r="M38" s="156">
        <v>2068</v>
      </c>
      <c r="N38" s="156"/>
      <c r="O38" s="156">
        <f t="shared" si="2"/>
        <v>42.79594241150923</v>
      </c>
      <c r="P38" s="156"/>
      <c r="Q38" s="156"/>
      <c r="R38" s="156">
        <v>144</v>
      </c>
      <c r="S38" s="156"/>
      <c r="T38" s="156">
        <f t="shared" si="3"/>
        <v>2.979988253025788</v>
      </c>
      <c r="U38" s="156"/>
      <c r="V38" s="156"/>
      <c r="W38" s="191">
        <v>11</v>
      </c>
      <c r="X38" s="156"/>
      <c r="Y38" s="192">
        <f t="shared" si="4"/>
        <v>0.22763799155058101</v>
      </c>
      <c r="Z38" s="156"/>
      <c r="AA38" s="156">
        <v>36</v>
      </c>
      <c r="AB38" s="156"/>
      <c r="AC38" s="194">
        <f t="shared" si="5"/>
        <v>0.74499706325644699</v>
      </c>
      <c r="AD38" s="192"/>
      <c r="AE38" s="156"/>
      <c r="AF38" s="156">
        <v>0</v>
      </c>
      <c r="AG38" s="156"/>
      <c r="AH38" s="195">
        <f t="shared" si="6"/>
        <v>0</v>
      </c>
      <c r="AI38" s="195"/>
      <c r="AJ38" s="156"/>
      <c r="AK38" s="156">
        <v>22</v>
      </c>
      <c r="AL38" s="156"/>
      <c r="AM38" s="156"/>
      <c r="AN38" s="156">
        <v>465</v>
      </c>
      <c r="AO38" s="5"/>
    </row>
    <row r="39" spans="3:41" ht="18.75" x14ac:dyDescent="0.4">
      <c r="C39" s="164">
        <v>2016</v>
      </c>
      <c r="D39" s="191">
        <v>4890379.4522162471</v>
      </c>
      <c r="E39" s="164"/>
      <c r="F39" s="156">
        <v>16</v>
      </c>
      <c r="G39" s="156"/>
      <c r="H39" s="192">
        <f t="shared" si="0"/>
        <v>0.327172976173639</v>
      </c>
      <c r="I39" s="193"/>
      <c r="J39" s="193">
        <v>8</v>
      </c>
      <c r="K39" s="192">
        <f t="shared" si="1"/>
        <v>0.1635864880868195</v>
      </c>
      <c r="L39" s="156"/>
      <c r="M39" s="156">
        <v>1118</v>
      </c>
      <c r="N39" s="156"/>
      <c r="O39" s="156">
        <f t="shared" si="2"/>
        <v>22.861211710133027</v>
      </c>
      <c r="P39" s="156"/>
      <c r="Q39" s="156"/>
      <c r="R39" s="156">
        <v>34</v>
      </c>
      <c r="S39" s="156"/>
      <c r="T39" s="156">
        <f t="shared" si="3"/>
        <v>0.69524257436898296</v>
      </c>
      <c r="U39" s="156"/>
      <c r="V39" s="156"/>
      <c r="W39" s="191">
        <v>19</v>
      </c>
      <c r="X39" s="156"/>
      <c r="Y39" s="192">
        <f t="shared" si="4"/>
        <v>0.38851790920619633</v>
      </c>
      <c r="Z39" s="156"/>
      <c r="AA39" s="156">
        <v>26</v>
      </c>
      <c r="AB39" s="156"/>
      <c r="AC39" s="194">
        <f t="shared" si="5"/>
        <v>0.53165608628216332</v>
      </c>
      <c r="AD39" s="192"/>
      <c r="AE39" s="156"/>
      <c r="AF39" s="156">
        <v>0</v>
      </c>
      <c r="AG39" s="156"/>
      <c r="AH39" s="195">
        <f t="shared" si="6"/>
        <v>0</v>
      </c>
      <c r="AI39" s="195"/>
      <c r="AJ39" s="156"/>
      <c r="AK39" s="156">
        <v>11</v>
      </c>
      <c r="AL39" s="156"/>
      <c r="AM39" s="156"/>
      <c r="AN39" s="156">
        <v>284</v>
      </c>
      <c r="AO39" s="5"/>
    </row>
    <row r="40" spans="3:41" ht="18.75" x14ac:dyDescent="0.4">
      <c r="C40" s="164">
        <v>2017</v>
      </c>
      <c r="D40" s="191">
        <v>4947490</v>
      </c>
      <c r="E40" s="164"/>
      <c r="F40" s="156">
        <v>22</v>
      </c>
      <c r="G40" s="156"/>
      <c r="H40" s="192">
        <f t="shared" si="0"/>
        <v>0.44466992353698542</v>
      </c>
      <c r="I40" s="193"/>
      <c r="J40" s="193">
        <v>0</v>
      </c>
      <c r="K40" s="192">
        <f t="shared" si="1"/>
        <v>0</v>
      </c>
      <c r="L40" s="156"/>
      <c r="M40" s="156">
        <v>9169</v>
      </c>
      <c r="N40" s="5"/>
      <c r="O40" s="156">
        <f t="shared" si="2"/>
        <v>185.32629676866452</v>
      </c>
      <c r="P40" s="156"/>
      <c r="Q40" s="156"/>
      <c r="R40" s="156"/>
      <c r="S40" s="156"/>
      <c r="T40" s="156">
        <f t="shared" si="3"/>
        <v>0</v>
      </c>
      <c r="U40" s="156"/>
      <c r="V40" s="156"/>
      <c r="W40" s="191">
        <v>11</v>
      </c>
      <c r="X40" s="5"/>
      <c r="Y40" s="192">
        <f t="shared" si="4"/>
        <v>0.22233496176849271</v>
      </c>
      <c r="Z40" s="156"/>
      <c r="AA40" s="156">
        <v>222</v>
      </c>
      <c r="AB40" s="5"/>
      <c r="AC40" s="194">
        <v>4.4871237738732166</v>
      </c>
      <c r="AD40" s="192"/>
      <c r="AE40" s="156"/>
      <c r="AF40" s="5"/>
      <c r="AG40" s="156"/>
      <c r="AH40" s="195">
        <f t="shared" si="6"/>
        <v>0</v>
      </c>
      <c r="AI40" s="195"/>
      <c r="AJ40" s="156"/>
      <c r="AK40" s="156">
        <v>425</v>
      </c>
      <c r="AL40" s="156"/>
      <c r="AM40" s="156"/>
      <c r="AN40" s="156">
        <v>2126</v>
      </c>
      <c r="AO40" s="5"/>
    </row>
    <row r="41" spans="3:41" ht="18.75" x14ac:dyDescent="0.4">
      <c r="C41" s="164">
        <v>2018</v>
      </c>
      <c r="D41" s="191">
        <v>5003402</v>
      </c>
      <c r="E41" s="164"/>
      <c r="F41" s="156">
        <v>14</v>
      </c>
      <c r="G41" s="156"/>
      <c r="H41" s="192">
        <f t="shared" si="0"/>
        <v>0.27980961753622835</v>
      </c>
      <c r="I41" s="193"/>
      <c r="J41" s="193">
        <v>1</v>
      </c>
      <c r="K41" s="192">
        <f t="shared" si="1"/>
        <v>1.998640125258774E-2</v>
      </c>
      <c r="L41" s="156"/>
      <c r="M41" s="196">
        <v>0</v>
      </c>
      <c r="N41" s="115"/>
      <c r="O41" s="156">
        <f t="shared" si="2"/>
        <v>0</v>
      </c>
      <c r="P41" s="196"/>
      <c r="Q41" s="196"/>
      <c r="R41" s="196">
        <v>7313</v>
      </c>
      <c r="S41" s="196"/>
      <c r="T41" s="156">
        <f t="shared" si="3"/>
        <v>146.16055236017414</v>
      </c>
      <c r="U41" s="196"/>
      <c r="V41" s="196"/>
      <c r="W41" s="197">
        <v>24</v>
      </c>
      <c r="X41" s="5"/>
      <c r="Y41" s="192">
        <f t="shared" si="4"/>
        <v>0.47967363006210573</v>
      </c>
      <c r="Z41" s="156"/>
      <c r="AA41" s="156"/>
      <c r="AB41" s="5"/>
      <c r="AC41" s="194"/>
      <c r="AD41" s="192"/>
      <c r="AE41" s="156"/>
      <c r="AF41" s="156">
        <v>17112</v>
      </c>
      <c r="AG41" s="156"/>
      <c r="AH41" s="195">
        <f t="shared" si="6"/>
        <v>342.00729823428139</v>
      </c>
      <c r="AI41" s="195"/>
      <c r="AJ41" s="156"/>
      <c r="AK41" s="156">
        <v>20</v>
      </c>
      <c r="AL41" s="156"/>
      <c r="AM41" s="156"/>
      <c r="AN41" s="156">
        <v>1937</v>
      </c>
      <c r="AO41" s="5"/>
    </row>
    <row r="42" spans="3:41" ht="18.75" x14ac:dyDescent="0.4">
      <c r="C42" s="164">
        <v>2019</v>
      </c>
      <c r="D42" s="191">
        <v>5058007</v>
      </c>
      <c r="E42" s="164"/>
      <c r="F42" s="156">
        <v>3</v>
      </c>
      <c r="G42" s="156"/>
      <c r="H42" s="192">
        <f>+F42/D42*100000</f>
        <v>5.9311898935687515E-2</v>
      </c>
      <c r="I42" s="193"/>
      <c r="J42" s="193">
        <v>3</v>
      </c>
      <c r="K42" s="192">
        <f>+J42/D42*100000</f>
        <v>5.9311898935687515E-2</v>
      </c>
      <c r="L42" s="156"/>
      <c r="M42" s="196"/>
      <c r="N42" s="115"/>
      <c r="O42" s="156">
        <f t="shared" si="2"/>
        <v>0</v>
      </c>
      <c r="P42" s="196"/>
      <c r="Q42" s="196"/>
      <c r="R42" s="196">
        <v>831</v>
      </c>
      <c r="S42" s="196"/>
      <c r="T42" s="156">
        <f t="shared" si="3"/>
        <v>16.429396005185442</v>
      </c>
      <c r="U42" s="196"/>
      <c r="V42" s="196"/>
      <c r="W42" s="197">
        <v>2</v>
      </c>
      <c r="X42" s="5"/>
      <c r="Y42" s="192">
        <f>+W42/D42*100000</f>
        <v>3.954126595712501E-2</v>
      </c>
      <c r="Z42" s="156"/>
      <c r="AA42" s="156"/>
      <c r="AB42" s="5"/>
      <c r="AC42" s="194"/>
      <c r="AD42" s="192"/>
      <c r="AE42" s="156"/>
      <c r="AF42" s="156">
        <v>309</v>
      </c>
      <c r="AG42" s="156"/>
      <c r="AH42" s="195">
        <f t="shared" si="6"/>
        <v>6.1091255903758146</v>
      </c>
      <c r="AI42" s="195"/>
      <c r="AJ42" s="156"/>
      <c r="AK42" s="156">
        <v>28</v>
      </c>
      <c r="AL42" s="156"/>
      <c r="AM42" s="156"/>
      <c r="AN42" s="156">
        <v>1117</v>
      </c>
      <c r="AO42" s="5"/>
    </row>
    <row r="43" spans="3:41" ht="18.75" x14ac:dyDescent="0.4">
      <c r="C43" s="198">
        <v>2020</v>
      </c>
      <c r="D43" s="197">
        <v>5111238</v>
      </c>
      <c r="E43" s="198"/>
      <c r="F43" s="196">
        <v>2187</v>
      </c>
      <c r="G43" s="196"/>
      <c r="H43" s="199">
        <f>+F43/D43*100000</f>
        <v>42.78806817448141</v>
      </c>
      <c r="I43" s="200"/>
      <c r="J43" s="200">
        <v>0</v>
      </c>
      <c r="K43" s="199">
        <f>+J43/D43*100000</f>
        <v>0</v>
      </c>
      <c r="L43" s="196"/>
      <c r="M43" s="196">
        <v>0</v>
      </c>
      <c r="N43" s="115"/>
      <c r="O43" s="156">
        <f t="shared" si="2"/>
        <v>0</v>
      </c>
      <c r="P43" s="196"/>
      <c r="Q43" s="196"/>
      <c r="R43" s="196">
        <v>0</v>
      </c>
      <c r="S43" s="196"/>
      <c r="T43" s="156">
        <f t="shared" si="3"/>
        <v>0</v>
      </c>
      <c r="U43" s="196"/>
      <c r="V43" s="196"/>
      <c r="W43" s="197">
        <v>169321</v>
      </c>
      <c r="X43" s="115"/>
      <c r="Y43" s="199">
        <f>+W43/D43*100000</f>
        <v>3312.7199320399482</v>
      </c>
      <c r="Z43" s="196"/>
      <c r="AA43" s="196"/>
      <c r="AB43" s="115"/>
      <c r="AC43" s="194"/>
      <c r="AD43" s="199"/>
      <c r="AE43" s="196"/>
      <c r="AF43" s="196"/>
      <c r="AG43" s="196"/>
      <c r="AH43" s="195">
        <f t="shared" si="6"/>
        <v>0</v>
      </c>
      <c r="AI43" s="201"/>
      <c r="AJ43" s="196"/>
      <c r="AK43" s="196">
        <v>1660</v>
      </c>
      <c r="AL43" s="196"/>
      <c r="AM43" s="196"/>
      <c r="AN43" s="196">
        <v>998</v>
      </c>
      <c r="AO43" s="5"/>
    </row>
    <row r="44" spans="3:41" ht="18.75" x14ac:dyDescent="0.4">
      <c r="C44" s="198">
        <v>2021</v>
      </c>
      <c r="D44" s="197">
        <v>5170506</v>
      </c>
      <c r="E44" s="198"/>
      <c r="F44" s="196">
        <v>5175</v>
      </c>
      <c r="G44" s="196"/>
      <c r="H44" s="199">
        <f>+F44/D44*100000</f>
        <v>100.08691605811887</v>
      </c>
      <c r="I44" s="200"/>
      <c r="J44" s="200">
        <v>2</v>
      </c>
      <c r="K44" s="199">
        <f>+J44/D44*100000</f>
        <v>3.8680933742268164E-2</v>
      </c>
      <c r="L44" s="196"/>
      <c r="M44" s="196"/>
      <c r="N44" s="115"/>
      <c r="O44" s="156">
        <f t="shared" si="2"/>
        <v>0</v>
      </c>
      <c r="P44" s="196"/>
      <c r="Q44" s="196"/>
      <c r="R44" s="196">
        <v>3318</v>
      </c>
      <c r="S44" s="196"/>
      <c r="T44" s="156">
        <f t="shared" si="3"/>
        <v>64.17166907842288</v>
      </c>
      <c r="U44" s="196"/>
      <c r="V44" s="196"/>
      <c r="W44" s="197">
        <v>398055</v>
      </c>
      <c r="X44" s="115"/>
      <c r="Y44" s="199">
        <f>+W44/D44*100000</f>
        <v>7698.5695403892769</v>
      </c>
      <c r="Z44" s="196"/>
      <c r="AA44" s="196"/>
      <c r="AB44" s="115"/>
      <c r="AC44" s="194"/>
      <c r="AD44" s="199"/>
      <c r="AE44" s="196"/>
      <c r="AF44" s="196">
        <v>406550</v>
      </c>
      <c r="AG44" s="196"/>
      <c r="AH44" s="195">
        <f>+AF44/D44*100000</f>
        <v>7862.8668064595604</v>
      </c>
      <c r="AI44" s="201"/>
      <c r="AJ44" s="196"/>
      <c r="AK44" s="196">
        <v>2</v>
      </c>
      <c r="AL44" s="196"/>
      <c r="AM44" s="196"/>
      <c r="AN44" s="196">
        <v>674</v>
      </c>
      <c r="AO44" s="5"/>
    </row>
    <row r="45" spans="3:41" ht="18.75" x14ac:dyDescent="0.4">
      <c r="C45" s="198">
        <v>2022</v>
      </c>
      <c r="D45" s="197">
        <v>5205148</v>
      </c>
      <c r="E45" s="198"/>
      <c r="F45" s="196">
        <v>0</v>
      </c>
      <c r="G45" s="196"/>
      <c r="H45" s="199">
        <f>+F45/D45*100000</f>
        <v>0</v>
      </c>
      <c r="I45" s="200"/>
      <c r="J45" s="200">
        <v>0</v>
      </c>
      <c r="K45" s="199">
        <f>+J45/D45*100000</f>
        <v>0</v>
      </c>
      <c r="L45" s="196"/>
      <c r="M45" s="196"/>
      <c r="N45" s="115"/>
      <c r="O45" s="156">
        <f t="shared" si="2"/>
        <v>0</v>
      </c>
      <c r="P45" s="196"/>
      <c r="Q45" s="196"/>
      <c r="R45" s="196">
        <v>2364</v>
      </c>
      <c r="S45" s="196"/>
      <c r="T45" s="156">
        <f t="shared" si="3"/>
        <v>45.416576051247723</v>
      </c>
      <c r="U45" s="196"/>
      <c r="V45" s="196"/>
      <c r="W45" s="197">
        <v>0</v>
      </c>
      <c r="X45" s="115"/>
      <c r="Y45" s="199">
        <f>+W45/D45*100000</f>
        <v>0</v>
      </c>
      <c r="Z45" s="196"/>
      <c r="AA45" s="196">
        <v>0</v>
      </c>
      <c r="AB45" s="115"/>
      <c r="AC45" s="194"/>
      <c r="AD45" s="199"/>
      <c r="AE45" s="196"/>
      <c r="AF45" s="196">
        <v>3820</v>
      </c>
      <c r="AG45" s="196"/>
      <c r="AH45" s="195">
        <f>+AF45/D45*100000</f>
        <v>73.388883466906222</v>
      </c>
      <c r="AI45" s="201"/>
      <c r="AJ45" s="196"/>
      <c r="AK45" s="196">
        <v>0</v>
      </c>
      <c r="AL45" s="196"/>
      <c r="AM45" s="196"/>
      <c r="AN45" s="196">
        <v>954</v>
      </c>
      <c r="AO45" s="5"/>
    </row>
    <row r="46" spans="3:41" ht="18.75" x14ac:dyDescent="0.4">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c r="AO46" s="5"/>
    </row>
    <row r="47" spans="3:41" ht="68.45" customHeight="1" x14ac:dyDescent="0.4">
      <c r="C47" s="2483" t="s">
        <v>260</v>
      </c>
      <c r="D47" s="2483"/>
      <c r="E47" s="2483"/>
      <c r="F47" s="2483"/>
      <c r="G47" s="2483"/>
      <c r="H47" s="2483"/>
      <c r="I47" s="2483"/>
      <c r="J47" s="2483"/>
      <c r="K47" s="2483"/>
      <c r="L47" s="2483"/>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5"/>
    </row>
    <row r="48" spans="3:41" ht="17.45" customHeight="1" x14ac:dyDescent="0.4">
      <c r="C48" s="2480" t="s">
        <v>261</v>
      </c>
      <c r="D48" s="2480"/>
      <c r="E48" s="2480"/>
      <c r="F48" s="2480"/>
      <c r="G48" s="2480"/>
      <c r="H48" s="2480"/>
      <c r="I48" s="2480"/>
      <c r="J48" s="2480"/>
      <c r="K48" s="2480"/>
      <c r="L48" s="2480"/>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c r="AO48" s="5"/>
    </row>
    <row r="49" spans="3:41" ht="18.75" x14ac:dyDescent="0.4">
      <c r="C49" s="2481" t="s">
        <v>262</v>
      </c>
      <c r="D49" s="2481"/>
      <c r="E49" s="2481"/>
      <c r="F49" s="2481"/>
      <c r="G49" s="2481"/>
      <c r="H49" s="2481"/>
      <c r="I49" s="2481"/>
      <c r="J49" s="2481"/>
      <c r="K49" s="2481"/>
      <c r="L49" s="2481"/>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c r="AO49" s="5"/>
    </row>
    <row r="50" spans="3:41" ht="18.75" x14ac:dyDescent="0.4">
      <c r="C50" s="2480" t="s">
        <v>263</v>
      </c>
      <c r="D50" s="2480"/>
      <c r="E50" s="2480"/>
      <c r="F50" s="2480"/>
      <c r="G50" s="2480"/>
      <c r="H50" s="2480"/>
      <c r="I50" s="2480"/>
      <c r="J50" s="2480"/>
      <c r="K50" s="2480"/>
      <c r="L50" s="2480"/>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c r="AO50" s="5"/>
    </row>
    <row r="51" spans="3:41" ht="18.75" x14ac:dyDescent="0.4">
      <c r="C51" s="2482" t="s">
        <v>264</v>
      </c>
      <c r="D51" s="2482"/>
      <c r="E51" s="2482"/>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2482"/>
      <c r="AB51" s="2482"/>
      <c r="AC51" s="2482"/>
      <c r="AD51" s="192"/>
      <c r="AE51" s="156"/>
      <c r="AF51" s="156"/>
      <c r="AG51" s="156"/>
      <c r="AH51" s="195"/>
      <c r="AI51" s="195"/>
      <c r="AJ51" s="156"/>
      <c r="AK51" s="156"/>
      <c r="AL51" s="156"/>
      <c r="AM51" s="156"/>
      <c r="AN51" s="156"/>
    </row>
  </sheetData>
  <mergeCells count="37">
    <mergeCell ref="A5:B5"/>
    <mergeCell ref="C5:AK5"/>
    <mergeCell ref="C1:D1"/>
    <mergeCell ref="A3:B3"/>
    <mergeCell ref="C3:AK3"/>
    <mergeCell ref="A4:B4"/>
    <mergeCell ref="C4:AK4"/>
    <mergeCell ref="A6:B6"/>
    <mergeCell ref="C6:AK6"/>
    <mergeCell ref="C11:C12"/>
    <mergeCell ref="D11:D12"/>
    <mergeCell ref="F11:I11"/>
    <mergeCell ref="J11:L11"/>
    <mergeCell ref="M11:P11"/>
    <mergeCell ref="R11:U11"/>
    <mergeCell ref="W11:Z11"/>
    <mergeCell ref="AA11:AD11"/>
    <mergeCell ref="AF11:AI11"/>
    <mergeCell ref="AK11:AL11"/>
    <mergeCell ref="AN11:AO11"/>
    <mergeCell ref="F12:G12"/>
    <mergeCell ref="M12:N12"/>
    <mergeCell ref="O12:P12"/>
    <mergeCell ref="R12:S12"/>
    <mergeCell ref="T12:U12"/>
    <mergeCell ref="W12:X12"/>
    <mergeCell ref="AA12:AB12"/>
    <mergeCell ref="C48:AN48"/>
    <mergeCell ref="C49:AN49"/>
    <mergeCell ref="C50:AN50"/>
    <mergeCell ref="C51:AC51"/>
    <mergeCell ref="AC12:AD12"/>
    <mergeCell ref="AF12:AG12"/>
    <mergeCell ref="AH12:AI12"/>
    <mergeCell ref="AK12:AL12"/>
    <mergeCell ref="AN12:AO12"/>
    <mergeCell ref="C47:AN47"/>
  </mergeCells>
  <hyperlinks>
    <hyperlink ref="A1" location="'ODS 1.'!A1" display="REGRESAR" xr:uid="{C09B1A42-778A-426B-8B7B-97AFA5B0AD58}"/>
    <hyperlink ref="C1" location="'Metadato 1.5.1'!A1" display="VER METADATO" xr:uid="{33A11961-1917-4992-BE68-15C26530F1F8}"/>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CBE8-CE47-49E7-B9AF-394C1FD7084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9.710937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76</v>
      </c>
    </row>
    <row r="4" spans="1:6" x14ac:dyDescent="0.25">
      <c r="A4" s="224"/>
      <c r="B4" s="2445" t="s">
        <v>234</v>
      </c>
      <c r="C4" s="2445"/>
      <c r="D4" s="49" t="s">
        <v>2064</v>
      </c>
    </row>
    <row r="5" spans="1:6" ht="37.5" x14ac:dyDescent="0.25">
      <c r="B5" s="2445" t="s">
        <v>79</v>
      </c>
      <c r="C5" s="2445"/>
      <c r="D5" s="49" t="s">
        <v>1978</v>
      </c>
    </row>
    <row r="6" spans="1:6" x14ac:dyDescent="0.25">
      <c r="B6" s="2445" t="s">
        <v>80</v>
      </c>
      <c r="C6" s="2445"/>
      <c r="D6" s="50" t="s">
        <v>1981</v>
      </c>
    </row>
    <row r="7" spans="1:6" ht="51" customHeight="1" x14ac:dyDescent="0.25">
      <c r="B7" s="2446" t="s">
        <v>81</v>
      </c>
      <c r="C7" s="2446"/>
      <c r="D7" s="93" t="s">
        <v>1982</v>
      </c>
    </row>
    <row r="8" spans="1:6" x14ac:dyDescent="0.25">
      <c r="B8" s="2446" t="s">
        <v>82</v>
      </c>
      <c r="C8" s="2446"/>
      <c r="D8" s="94" t="s">
        <v>2113</v>
      </c>
    </row>
    <row r="9" spans="1:6" x14ac:dyDescent="0.4">
      <c r="B9" s="5"/>
      <c r="C9" s="5"/>
      <c r="D9" s="5"/>
    </row>
    <row r="10" spans="1:6" ht="23.25" customHeight="1" x14ac:dyDescent="0.25">
      <c r="B10" s="2745" t="s">
        <v>85</v>
      </c>
      <c r="C10" s="2745"/>
      <c r="D10" s="2745"/>
    </row>
    <row r="11" spans="1:6" x14ac:dyDescent="0.25">
      <c r="B11" s="2453" t="s">
        <v>86</v>
      </c>
      <c r="C11" s="2454"/>
      <c r="D11" s="49" t="s">
        <v>1754</v>
      </c>
    </row>
    <row r="12" spans="1:6" ht="33" customHeight="1" x14ac:dyDescent="0.25">
      <c r="B12" s="2455" t="s">
        <v>88</v>
      </c>
      <c r="C12" s="2455"/>
      <c r="D12" s="184" t="s">
        <v>2114</v>
      </c>
    </row>
    <row r="13" spans="1:6" x14ac:dyDescent="0.25">
      <c r="B13" s="2445" t="s">
        <v>90</v>
      </c>
      <c r="C13" s="2445"/>
      <c r="D13" s="54" t="s">
        <v>1981</v>
      </c>
    </row>
    <row r="14" spans="1:6" x14ac:dyDescent="0.25">
      <c r="B14" s="2445" t="s">
        <v>91</v>
      </c>
      <c r="C14" s="2456"/>
      <c r="D14" s="54" t="s">
        <v>214</v>
      </c>
    </row>
    <row r="15" spans="1:6" ht="138" customHeight="1" x14ac:dyDescent="0.25">
      <c r="B15" s="2445" t="s">
        <v>93</v>
      </c>
      <c r="C15" s="2445"/>
      <c r="D15" s="59" t="s">
        <v>2095</v>
      </c>
    </row>
    <row r="16" spans="1:6" ht="69" customHeight="1" x14ac:dyDescent="0.25">
      <c r="B16" s="2445" t="s">
        <v>95</v>
      </c>
      <c r="C16" s="2445"/>
      <c r="D16" s="56"/>
    </row>
    <row r="17" spans="2:4" x14ac:dyDescent="0.25">
      <c r="B17" s="2445" t="s">
        <v>97</v>
      </c>
      <c r="C17" s="2445"/>
      <c r="D17" s="56" t="s">
        <v>238</v>
      </c>
    </row>
    <row r="18" spans="2:4" x14ac:dyDescent="0.25">
      <c r="B18" s="2446" t="s">
        <v>99</v>
      </c>
      <c r="C18" s="2446"/>
      <c r="D18" s="49"/>
    </row>
    <row r="19" spans="2:4" ht="56.25" x14ac:dyDescent="0.25">
      <c r="B19" s="2457" t="s">
        <v>100</v>
      </c>
      <c r="C19" s="2458"/>
      <c r="D19" s="56" t="s">
        <v>2115</v>
      </c>
    </row>
    <row r="20" spans="2:4" x14ac:dyDescent="0.25">
      <c r="B20" s="2445" t="s">
        <v>102</v>
      </c>
      <c r="C20" s="2445"/>
      <c r="D20" s="56" t="s">
        <v>140</v>
      </c>
    </row>
    <row r="21" spans="2:4" x14ac:dyDescent="0.25">
      <c r="B21" s="2451" t="s">
        <v>104</v>
      </c>
      <c r="C21" s="95" t="s">
        <v>105</v>
      </c>
      <c r="D21" s="49" t="s">
        <v>105</v>
      </c>
    </row>
    <row r="22" spans="2:4" x14ac:dyDescent="0.25">
      <c r="B22" s="2452"/>
      <c r="C22" s="96" t="s">
        <v>107</v>
      </c>
      <c r="D22" s="55" t="s">
        <v>2116</v>
      </c>
    </row>
    <row r="23" spans="2:4" x14ac:dyDescent="0.25">
      <c r="B23" s="2444" t="s">
        <v>109</v>
      </c>
      <c r="C23" s="2444"/>
      <c r="D23" s="56" t="s">
        <v>515</v>
      </c>
    </row>
    <row r="24" spans="2:4" x14ac:dyDescent="0.25">
      <c r="B24" s="2444" t="s">
        <v>111</v>
      </c>
      <c r="C24" s="2444"/>
      <c r="D24" s="59" t="s">
        <v>2098</v>
      </c>
    </row>
    <row r="25" spans="2:4" x14ac:dyDescent="0.25">
      <c r="B25" s="2445" t="s">
        <v>113</v>
      </c>
      <c r="C25" s="2445"/>
      <c r="D25" s="56" t="s">
        <v>144</v>
      </c>
    </row>
    <row r="26" spans="2:4" x14ac:dyDescent="0.25">
      <c r="B26" s="2446" t="s">
        <v>115</v>
      </c>
      <c r="C26" s="2446"/>
      <c r="D26" s="59" t="s">
        <v>2099</v>
      </c>
    </row>
    <row r="27" spans="2:4" x14ac:dyDescent="0.25">
      <c r="B27" s="2447" t="s">
        <v>117</v>
      </c>
      <c r="C27" s="2448"/>
      <c r="D27" s="49" t="s">
        <v>2100</v>
      </c>
    </row>
    <row r="28" spans="2:4" ht="150" x14ac:dyDescent="0.25">
      <c r="B28" s="97" t="s">
        <v>118</v>
      </c>
      <c r="C28" s="98"/>
      <c r="D28" s="56" t="s">
        <v>2117</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9" t="s">
        <v>2102</v>
      </c>
    </row>
    <row r="33" spans="2:4" x14ac:dyDescent="0.25">
      <c r="B33" s="2442" t="s">
        <v>124</v>
      </c>
      <c r="C33" s="2443"/>
      <c r="D33" s="59" t="s">
        <v>2103</v>
      </c>
    </row>
    <row r="34" spans="2:4" x14ac:dyDescent="0.25">
      <c r="B34" s="2442" t="s">
        <v>126</v>
      </c>
      <c r="C34" s="2443"/>
      <c r="D34" s="59" t="s">
        <v>2104</v>
      </c>
    </row>
    <row r="35" spans="2:4" x14ac:dyDescent="0.25">
      <c r="B35" s="2442" t="s">
        <v>128</v>
      </c>
      <c r="C35" s="2443"/>
      <c r="D35" s="59" t="s">
        <v>2105</v>
      </c>
    </row>
    <row r="36" spans="2:4" x14ac:dyDescent="0.25">
      <c r="B36" s="2442" t="s">
        <v>130</v>
      </c>
      <c r="C36" s="2443"/>
      <c r="D36" s="59" t="s">
        <v>2106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B3664FE-7BA6-4CA7-A231-F9B1A3A1BB9C}"/>
    <dataValidation type="list" allowBlank="1" showInputMessage="1" showErrorMessage="1" sqref="D4" xr:uid="{06466C1B-5648-4458-B35B-F58E7F699B0E}">
      <formula1>ODS</formula1>
    </dataValidation>
    <dataValidation type="list" allowBlank="1" showInputMessage="1" showErrorMessage="1" sqref="D5" xr:uid="{E4324283-A286-4A93-B0C1-9F442DE0BD64}">
      <formula1>Metas_ODS</formula1>
    </dataValidation>
    <dataValidation type="list" allowBlank="1" showInputMessage="1" showErrorMessage="1" sqref="D6" xr:uid="{11B57268-E9BA-46DA-9D50-F9E382FB428B}">
      <formula1>Numero_indicador</formula1>
    </dataValidation>
    <dataValidation type="list" allowBlank="1" showInputMessage="1" showErrorMessage="1" sqref="D7" xr:uid="{6659D989-D169-4D48-9A14-23D8BCF68ABC}">
      <formula1>Nombre_indicador_ODS</formula1>
    </dataValidation>
    <dataValidation type="list" allowBlank="1" showInputMessage="1" showErrorMessage="1" sqref="D14" xr:uid="{4889ACEE-58FF-4008-B4BA-75069DBA6E0E}">
      <formula1>Tipo_indicador</formula1>
    </dataValidation>
    <dataValidation type="list" allowBlank="1" showInputMessage="1" showErrorMessage="1" sqref="D25" xr:uid="{C4E3C057-AA88-4FB2-AD5E-58BF61D791E5}">
      <formula1>Tipo_operación</formula1>
    </dataValidation>
  </dataValidations>
  <hyperlinks>
    <hyperlink ref="B1" location="'5.2.2'!A1" display="REGRESAR" xr:uid="{09E8A235-4E62-4E0F-9B9C-10CC64DD7313}"/>
    <hyperlink ref="D8" r:id="rId1" xr:uid="{965E01FD-BF35-4C0E-97B7-E29B2A1CE76E}"/>
  </hyperlinks>
  <pageMargins left="0.7" right="0.7" top="0.75" bottom="0.75" header="0.3" footer="0.3"/>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62AD-3A31-4C6F-B024-581D7521A4EB}">
  <dimension ref="A1:U50"/>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1" width="15.28515625" style="22" customWidth="1"/>
    <col min="2" max="2" width="15.28515625" style="89" customWidth="1"/>
    <col min="3" max="3" width="9.28515625" style="22" customWidth="1"/>
    <col min="4" max="4" width="13.5703125" style="22" customWidth="1"/>
    <col min="5" max="5" width="9.28515625" style="22" customWidth="1"/>
    <col min="6" max="6" width="8.7109375" style="22" customWidth="1"/>
    <col min="7" max="7" width="9" style="22" customWidth="1"/>
    <col min="8" max="8" width="2" style="22" customWidth="1"/>
    <col min="9" max="9" width="10.28515625" style="22" customWidth="1"/>
    <col min="10" max="10" width="8.42578125" style="22" customWidth="1"/>
    <col min="11" max="11" width="1.28515625" style="22" customWidth="1"/>
    <col min="12" max="12" width="10.7109375" style="22" customWidth="1"/>
    <col min="13" max="14" width="9.42578125" style="22" customWidth="1"/>
    <col min="15" max="15" width="9.5703125" style="22" customWidth="1"/>
    <col min="16" max="16" width="12.7109375" style="22" customWidth="1"/>
    <col min="17" max="19" width="11.42578125" style="22"/>
    <col min="20" max="20" width="8.28515625" style="22" customWidth="1"/>
    <col min="21" max="21" width="1.7109375" style="22" customWidth="1"/>
    <col min="22" max="25" width="11.42578125" style="22"/>
    <col min="26" max="26" width="2" style="22" customWidth="1"/>
    <col min="27" max="28" width="11.42578125" style="22"/>
    <col min="29" max="29" width="1.5703125" style="22" customWidth="1"/>
    <col min="30" max="31" width="11.42578125" style="22"/>
    <col min="32" max="32" width="13.42578125" style="22" customWidth="1"/>
    <col min="33" max="16384" width="11.42578125" style="22"/>
  </cols>
  <sheetData>
    <row r="1" spans="1:21" s="16" customFormat="1" ht="19.5" x14ac:dyDescent="0.4">
      <c r="A1" s="15" t="s">
        <v>39</v>
      </c>
      <c r="B1" s="407"/>
      <c r="C1" s="2421" t="s">
        <v>149</v>
      </c>
      <c r="D1" s="2421"/>
    </row>
    <row r="2" spans="1:21" s="16" customFormat="1" ht="19.5" x14ac:dyDescent="0.4">
      <c r="B2" s="218"/>
      <c r="D2" s="162"/>
      <c r="E2" s="162"/>
      <c r="F2" s="162"/>
      <c r="G2" s="162"/>
      <c r="H2" s="162"/>
      <c r="I2" s="162"/>
      <c r="J2" s="162"/>
      <c r="K2" s="162"/>
      <c r="L2" s="162"/>
      <c r="M2" s="162"/>
      <c r="N2" s="162"/>
      <c r="O2" s="162"/>
      <c r="P2" s="162"/>
      <c r="Q2" s="162"/>
      <c r="R2" s="162"/>
      <c r="S2" s="162"/>
      <c r="T2" s="162"/>
      <c r="U2" s="162"/>
    </row>
    <row r="3" spans="1:21" s="16" customFormat="1" ht="15.6" customHeight="1" x14ac:dyDescent="0.4">
      <c r="A3" s="2736" t="s">
        <v>41</v>
      </c>
      <c r="B3" s="2744"/>
      <c r="C3" s="2736" t="s">
        <v>1974</v>
      </c>
      <c r="D3" s="2762"/>
      <c r="E3" s="2762"/>
      <c r="F3" s="2762"/>
      <c r="G3" s="2762"/>
      <c r="H3" s="2762"/>
      <c r="I3" s="2762"/>
      <c r="J3" s="2762"/>
      <c r="K3" s="2762"/>
      <c r="L3" s="2762"/>
      <c r="M3" s="2762"/>
      <c r="N3" s="2762"/>
      <c r="O3" s="2762"/>
      <c r="P3" s="2762"/>
      <c r="Q3" s="2762"/>
      <c r="R3" s="2762"/>
      <c r="S3" s="2762"/>
      <c r="T3" s="2762"/>
      <c r="U3" s="2762"/>
    </row>
    <row r="4" spans="1:21" s="16" customFormat="1" ht="19.5" x14ac:dyDescent="0.4">
      <c r="A4" s="2736" t="s">
        <v>42</v>
      </c>
      <c r="B4" s="2737"/>
      <c r="C4" s="2736" t="s">
        <v>1983</v>
      </c>
      <c r="D4" s="2738"/>
      <c r="E4" s="2738"/>
      <c r="F4" s="2738"/>
      <c r="G4" s="2738"/>
      <c r="H4" s="2738"/>
      <c r="I4" s="2738"/>
      <c r="J4" s="2738"/>
      <c r="K4" s="2738"/>
      <c r="L4" s="2738"/>
      <c r="M4" s="2738"/>
      <c r="N4" s="2738"/>
      <c r="O4" s="2738"/>
      <c r="P4" s="2738"/>
      <c r="Q4" s="2738"/>
      <c r="R4" s="2738"/>
      <c r="S4" s="2738"/>
      <c r="T4" s="2738"/>
      <c r="U4" s="2738"/>
    </row>
    <row r="5" spans="1:21" s="16" customFormat="1" ht="19.5" x14ac:dyDescent="0.4">
      <c r="A5" s="2736" t="s">
        <v>43</v>
      </c>
      <c r="B5" s="2737"/>
      <c r="C5" s="2736" t="s">
        <v>1985</v>
      </c>
      <c r="D5" s="2738"/>
      <c r="E5" s="2738"/>
      <c r="F5" s="2738"/>
      <c r="G5" s="2738"/>
      <c r="H5" s="2738"/>
      <c r="I5" s="2738"/>
      <c r="J5" s="2738"/>
      <c r="K5" s="2738"/>
      <c r="L5" s="2738"/>
      <c r="M5" s="2738"/>
      <c r="N5" s="2738"/>
      <c r="O5" s="2738"/>
      <c r="P5" s="2738"/>
      <c r="Q5" s="2738"/>
      <c r="R5" s="2738"/>
      <c r="S5" s="2738"/>
      <c r="T5" s="2738"/>
      <c r="U5" s="2738"/>
    </row>
    <row r="6" spans="1:21" s="16" customFormat="1" ht="19.5" x14ac:dyDescent="0.4">
      <c r="A6" s="2736" t="s">
        <v>132</v>
      </c>
      <c r="B6" s="2737"/>
      <c r="C6" s="2736" t="s">
        <v>2118</v>
      </c>
      <c r="D6" s="2738"/>
      <c r="E6" s="2738"/>
      <c r="F6" s="2738"/>
      <c r="G6" s="2738"/>
      <c r="H6" s="2738"/>
      <c r="I6" s="2738"/>
      <c r="J6" s="2738"/>
      <c r="K6" s="2738"/>
      <c r="L6" s="2738"/>
      <c r="M6" s="2738"/>
      <c r="N6" s="2738"/>
      <c r="O6" s="2738"/>
      <c r="P6" s="2738"/>
      <c r="Q6" s="2738"/>
      <c r="R6" s="2738"/>
      <c r="S6" s="2738"/>
      <c r="T6" s="2738"/>
      <c r="U6" s="2738"/>
    </row>
    <row r="7" spans="1:21" s="16" customFormat="1" ht="19.5" x14ac:dyDescent="0.4">
      <c r="B7" s="218"/>
    </row>
    <row r="8" spans="1:21" s="16" customFormat="1" ht="19.5" x14ac:dyDescent="0.4">
      <c r="B8" s="218"/>
    </row>
    <row r="9" spans="1:21" s="16" customFormat="1" ht="39.6" customHeight="1" x14ac:dyDescent="0.4">
      <c r="B9" s="218"/>
      <c r="C9" s="2758" t="s">
        <v>2119</v>
      </c>
      <c r="D9" s="2758"/>
      <c r="E9" s="2758"/>
      <c r="F9" s="2758"/>
      <c r="G9" s="2758"/>
      <c r="H9" s="2758"/>
      <c r="I9" s="2758"/>
      <c r="J9" s="2758"/>
      <c r="M9" s="2759" t="s">
        <v>2120</v>
      </c>
      <c r="N9" s="2759"/>
      <c r="O9" s="2759"/>
    </row>
    <row r="10" spans="1:21" s="16" customFormat="1" ht="13.15" customHeight="1" x14ac:dyDescent="0.4">
      <c r="B10" s="218"/>
      <c r="C10" s="883"/>
      <c r="D10" s="883"/>
      <c r="E10" s="883"/>
      <c r="F10" s="883"/>
      <c r="G10" s="883"/>
      <c r="H10" s="883"/>
      <c r="I10" s="883"/>
      <c r="J10" s="883"/>
      <c r="M10" s="884"/>
      <c r="N10" s="884"/>
      <c r="O10" s="884"/>
    </row>
    <row r="11" spans="1:21" s="5" customFormat="1" ht="45.75" customHeight="1" x14ac:dyDescent="0.4">
      <c r="B11" s="263"/>
      <c r="C11" s="2760" t="s">
        <v>583</v>
      </c>
      <c r="D11" s="2760"/>
      <c r="E11" s="885"/>
      <c r="F11" s="2761" t="s">
        <v>2121</v>
      </c>
      <c r="G11" s="2761"/>
      <c r="H11" s="885"/>
      <c r="I11" s="2761" t="s">
        <v>2122</v>
      </c>
      <c r="J11" s="2761"/>
    </row>
    <row r="12" spans="1:21" s="5" customFormat="1" ht="18.75" x14ac:dyDescent="0.4">
      <c r="B12" s="263"/>
      <c r="C12" s="886" t="s">
        <v>47</v>
      </c>
      <c r="D12" s="887"/>
      <c r="E12" s="887"/>
      <c r="F12" s="888">
        <v>2.0237166160633442</v>
      </c>
      <c r="G12" s="888"/>
      <c r="H12" s="888"/>
      <c r="I12" s="888">
        <v>17.102686893575363</v>
      </c>
    </row>
    <row r="13" spans="1:21" s="5" customFormat="1" ht="16.149999999999999" customHeight="1" x14ac:dyDescent="0.4">
      <c r="B13" s="263"/>
      <c r="C13" s="886" t="s">
        <v>49</v>
      </c>
      <c r="D13" s="889"/>
      <c r="E13" s="889"/>
      <c r="F13" s="890"/>
      <c r="G13" s="890"/>
      <c r="H13" s="890"/>
      <c r="I13" s="890"/>
    </row>
    <row r="14" spans="1:21" s="5" customFormat="1" ht="16.149999999999999" customHeight="1" x14ac:dyDescent="0.4">
      <c r="B14" s="263"/>
      <c r="C14" s="891" t="s">
        <v>55</v>
      </c>
      <c r="D14" s="889"/>
      <c r="E14" s="889"/>
      <c r="F14" s="890">
        <v>1.4645683415119235</v>
      </c>
      <c r="G14" s="890"/>
      <c r="H14" s="890"/>
      <c r="I14" s="890">
        <v>15.022258945432911</v>
      </c>
    </row>
    <row r="15" spans="1:21" s="5" customFormat="1" ht="16.149999999999999" customHeight="1" x14ac:dyDescent="0.4">
      <c r="B15" s="263"/>
      <c r="C15" s="891" t="s">
        <v>56</v>
      </c>
      <c r="D15" s="889"/>
      <c r="E15" s="889"/>
      <c r="F15" s="890">
        <v>3.8594666008200713</v>
      </c>
      <c r="G15" s="890"/>
      <c r="H15" s="890"/>
      <c r="I15" s="890">
        <v>23.932978156038743</v>
      </c>
    </row>
    <row r="16" spans="1:21" s="5" customFormat="1" ht="16.149999999999999" customHeight="1" x14ac:dyDescent="0.4">
      <c r="B16" s="263"/>
      <c r="C16" s="886" t="s">
        <v>327</v>
      </c>
      <c r="D16" s="889"/>
      <c r="E16" s="889"/>
      <c r="F16" s="890"/>
      <c r="G16" s="890"/>
      <c r="H16" s="890"/>
      <c r="I16" s="890"/>
    </row>
    <row r="17" spans="2:9" s="5" customFormat="1" ht="16.149999999999999" customHeight="1" x14ac:dyDescent="0.4">
      <c r="B17" s="263"/>
      <c r="C17" s="891" t="s">
        <v>328</v>
      </c>
      <c r="D17" s="889"/>
      <c r="E17" s="889"/>
      <c r="F17" s="890">
        <v>0.68668755817903981</v>
      </c>
      <c r="G17" s="890"/>
      <c r="H17" s="890"/>
      <c r="I17" s="890">
        <v>9.9200684540774233</v>
      </c>
    </row>
    <row r="18" spans="2:9" s="5" customFormat="1" ht="16.149999999999999" customHeight="1" x14ac:dyDescent="0.4">
      <c r="B18" s="263"/>
      <c r="C18" s="891" t="s">
        <v>329</v>
      </c>
      <c r="D18" s="889"/>
      <c r="E18" s="889"/>
      <c r="F18" s="890">
        <v>3.628590809518522</v>
      </c>
      <c r="G18" s="890"/>
      <c r="H18" s="890"/>
      <c r="I18" s="890">
        <v>18.324057994879322</v>
      </c>
    </row>
    <row r="19" spans="2:9" s="5" customFormat="1" ht="16.149999999999999" customHeight="1" x14ac:dyDescent="0.4">
      <c r="B19" s="263"/>
      <c r="C19" s="891" t="s">
        <v>330</v>
      </c>
      <c r="D19" s="889"/>
      <c r="E19" s="889"/>
      <c r="F19" s="890">
        <v>0.58145911728111455</v>
      </c>
      <c r="G19" s="890"/>
      <c r="H19" s="890"/>
      <c r="I19" s="890">
        <v>11.319266095232361</v>
      </c>
    </row>
    <row r="20" spans="2:9" s="5" customFormat="1" ht="16.149999999999999" customHeight="1" x14ac:dyDescent="0.4">
      <c r="B20" s="263"/>
      <c r="C20" s="891" t="s">
        <v>331</v>
      </c>
      <c r="D20" s="889"/>
      <c r="E20" s="889"/>
      <c r="F20" s="890">
        <v>0.81633529325653187</v>
      </c>
      <c r="G20" s="890"/>
      <c r="H20" s="890"/>
      <c r="I20" s="890">
        <v>8.6708101272167752</v>
      </c>
    </row>
    <row r="21" spans="2:9" s="5" customFormat="1" ht="16.149999999999999" customHeight="1" x14ac:dyDescent="0.4">
      <c r="B21" s="263"/>
      <c r="C21" s="891" t="s">
        <v>332</v>
      </c>
      <c r="D21" s="889"/>
      <c r="E21" s="889"/>
      <c r="F21" s="890">
        <v>1.2601807743385569</v>
      </c>
      <c r="G21" s="890"/>
      <c r="H21" s="890"/>
      <c r="I21" s="890">
        <v>24.153239544810507</v>
      </c>
    </row>
    <row r="22" spans="2:9" s="5" customFormat="1" ht="16.149999999999999" customHeight="1" x14ac:dyDescent="0.4">
      <c r="B22" s="263"/>
      <c r="C22" s="891" t="s">
        <v>533</v>
      </c>
      <c r="D22" s="889"/>
      <c r="E22" s="889"/>
      <c r="F22" s="890">
        <v>3.9509804655004204</v>
      </c>
      <c r="G22" s="890"/>
      <c r="H22" s="890"/>
      <c r="I22" s="890">
        <v>33.750781677544076</v>
      </c>
    </row>
    <row r="23" spans="2:9" s="5" customFormat="1" ht="16.149999999999999" customHeight="1" x14ac:dyDescent="0.4">
      <c r="B23" s="263"/>
      <c r="C23" s="891" t="s">
        <v>334</v>
      </c>
      <c r="D23" s="889"/>
      <c r="E23" s="889"/>
      <c r="F23" s="890">
        <v>4.7840126974353234</v>
      </c>
      <c r="G23" s="890"/>
      <c r="H23" s="890"/>
      <c r="I23" s="890">
        <v>30.720733581169</v>
      </c>
    </row>
    <row r="24" spans="2:9" s="5" customFormat="1" ht="16.149999999999999" customHeight="1" x14ac:dyDescent="0.4">
      <c r="B24" s="263"/>
      <c r="C24" s="886" t="s">
        <v>1389</v>
      </c>
      <c r="D24" s="889"/>
      <c r="E24" s="889"/>
      <c r="F24" s="890"/>
      <c r="G24" s="890"/>
      <c r="H24" s="890"/>
      <c r="I24" s="890"/>
    </row>
    <row r="25" spans="2:9" s="5" customFormat="1" ht="16.149999999999999" customHeight="1" x14ac:dyDescent="0.4">
      <c r="B25" s="263"/>
      <c r="C25" s="891" t="s">
        <v>1390</v>
      </c>
      <c r="D25" s="889"/>
      <c r="E25" s="889"/>
      <c r="F25" s="892" t="s">
        <v>2123</v>
      </c>
      <c r="G25" s="892"/>
      <c r="H25" s="892"/>
      <c r="I25" s="892" t="s">
        <v>2123</v>
      </c>
    </row>
    <row r="26" spans="2:9" s="5" customFormat="1" ht="16.149999999999999" customHeight="1" x14ac:dyDescent="0.4">
      <c r="B26" s="263"/>
      <c r="C26" s="893" t="s">
        <v>2124</v>
      </c>
      <c r="D26" s="889"/>
      <c r="E26" s="889"/>
      <c r="F26" s="892" t="s">
        <v>2123</v>
      </c>
      <c r="G26" s="892"/>
      <c r="H26" s="892"/>
      <c r="I26" s="892" t="s">
        <v>2123</v>
      </c>
    </row>
    <row r="27" spans="2:9" s="5" customFormat="1" ht="16.149999999999999" customHeight="1" x14ac:dyDescent="0.4">
      <c r="B27" s="263"/>
      <c r="C27" s="893" t="s">
        <v>2125</v>
      </c>
      <c r="D27" s="889"/>
      <c r="E27" s="889"/>
      <c r="F27" s="892" t="s">
        <v>2123</v>
      </c>
      <c r="G27" s="892"/>
      <c r="H27" s="892"/>
      <c r="I27" s="892" t="s">
        <v>2123</v>
      </c>
    </row>
    <row r="28" spans="2:9" s="5" customFormat="1" ht="16.149999999999999" customHeight="1" x14ac:dyDescent="0.4">
      <c r="B28" s="263"/>
      <c r="C28" s="891" t="s">
        <v>1393</v>
      </c>
      <c r="D28" s="889"/>
      <c r="E28" s="889"/>
      <c r="F28" s="890">
        <v>2.0237166160633442</v>
      </c>
      <c r="G28" s="890"/>
      <c r="H28" s="890"/>
      <c r="I28" s="890">
        <v>17.102686893575363</v>
      </c>
    </row>
    <row r="29" spans="2:9" s="5" customFormat="1" ht="16.149999999999999" customHeight="1" x14ac:dyDescent="0.4">
      <c r="B29" s="263"/>
      <c r="C29" s="891" t="s">
        <v>1394</v>
      </c>
      <c r="D29" s="889"/>
      <c r="E29" s="889"/>
      <c r="F29" s="892" t="s">
        <v>2123</v>
      </c>
      <c r="G29" s="892"/>
      <c r="H29" s="892"/>
      <c r="I29" s="892" t="s">
        <v>2123</v>
      </c>
    </row>
    <row r="30" spans="2:9" s="5" customFormat="1" ht="16.149999999999999" customHeight="1" x14ac:dyDescent="0.4">
      <c r="B30" s="263"/>
      <c r="C30" s="891" t="s">
        <v>1395</v>
      </c>
      <c r="D30" s="889"/>
      <c r="E30" s="889"/>
      <c r="F30" s="892" t="s">
        <v>2123</v>
      </c>
      <c r="G30" s="892"/>
      <c r="H30" s="892"/>
      <c r="I30" s="892" t="s">
        <v>2123</v>
      </c>
    </row>
    <row r="31" spans="2:9" s="5" customFormat="1" ht="16.149999999999999" customHeight="1" x14ac:dyDescent="0.4">
      <c r="B31" s="263"/>
      <c r="C31" s="891" t="s">
        <v>1396</v>
      </c>
      <c r="D31" s="889"/>
      <c r="E31" s="889"/>
      <c r="F31" s="892" t="s">
        <v>2123</v>
      </c>
      <c r="G31" s="892"/>
      <c r="H31" s="892"/>
      <c r="I31" s="892" t="s">
        <v>2123</v>
      </c>
    </row>
    <row r="32" spans="2:9" s="5" customFormat="1" ht="16.149999999999999" customHeight="1" x14ac:dyDescent="0.4">
      <c r="B32" s="263"/>
      <c r="C32" s="891" t="s">
        <v>1397</v>
      </c>
      <c r="D32" s="889"/>
      <c r="E32" s="889"/>
      <c r="F32" s="892" t="s">
        <v>2123</v>
      </c>
      <c r="G32" s="892"/>
      <c r="H32" s="892"/>
      <c r="I32" s="892" t="s">
        <v>2123</v>
      </c>
    </row>
    <row r="33" spans="2:10" s="5" customFormat="1" ht="16.149999999999999" customHeight="1" x14ac:dyDescent="0.4">
      <c r="B33" s="263"/>
      <c r="C33" s="891" t="s">
        <v>1398</v>
      </c>
      <c r="D33" s="889"/>
      <c r="E33" s="889"/>
      <c r="F33" s="892" t="s">
        <v>2123</v>
      </c>
      <c r="G33" s="892"/>
      <c r="H33" s="892"/>
      <c r="I33" s="892" t="s">
        <v>2123</v>
      </c>
    </row>
    <row r="34" spans="2:10" s="5" customFormat="1" ht="16.149999999999999" customHeight="1" x14ac:dyDescent="0.4">
      <c r="B34" s="263"/>
      <c r="C34" s="886" t="s">
        <v>155</v>
      </c>
      <c r="D34" s="889"/>
      <c r="E34" s="889"/>
      <c r="F34" s="892"/>
      <c r="G34" s="892"/>
      <c r="H34" s="892"/>
      <c r="I34" s="892"/>
    </row>
    <row r="35" spans="2:10" s="5" customFormat="1" ht="39" customHeight="1" x14ac:dyDescent="0.4">
      <c r="B35" s="263"/>
      <c r="C35" s="2753" t="s">
        <v>543</v>
      </c>
      <c r="D35" s="2753"/>
      <c r="E35" s="889"/>
      <c r="F35" s="890">
        <v>0</v>
      </c>
      <c r="G35" s="890"/>
      <c r="H35" s="890"/>
      <c r="I35" s="890">
        <v>69.3576957916151</v>
      </c>
    </row>
    <row r="36" spans="2:10" s="5" customFormat="1" ht="16.149999999999999" customHeight="1" x14ac:dyDescent="0.4">
      <c r="B36" s="263"/>
      <c r="C36" s="891" t="s">
        <v>544</v>
      </c>
      <c r="D36" s="889"/>
      <c r="E36" s="889"/>
      <c r="F36" s="890">
        <v>14.022928754564168</v>
      </c>
      <c r="G36" s="890"/>
      <c r="H36" s="890"/>
      <c r="I36" s="890">
        <v>58.699970412138057</v>
      </c>
    </row>
    <row r="37" spans="2:10" s="5" customFormat="1" ht="16.149999999999999" customHeight="1" x14ac:dyDescent="0.4">
      <c r="B37" s="263"/>
      <c r="C37" s="891" t="s">
        <v>545</v>
      </c>
      <c r="D37" s="889"/>
      <c r="E37" s="889"/>
      <c r="F37" s="890">
        <v>1.5744211161853587</v>
      </c>
      <c r="G37" s="890"/>
      <c r="H37" s="890"/>
      <c r="I37" s="890">
        <v>21.582825176104812</v>
      </c>
    </row>
    <row r="38" spans="2:10" s="5" customFormat="1" ht="16.149999999999999" customHeight="1" x14ac:dyDescent="0.4">
      <c r="B38" s="263"/>
      <c r="C38" s="891" t="s">
        <v>546</v>
      </c>
      <c r="D38" s="889"/>
      <c r="E38" s="889"/>
      <c r="F38" s="890">
        <v>0</v>
      </c>
      <c r="G38" s="890"/>
      <c r="H38" s="890"/>
      <c r="I38" s="890">
        <v>1.4876153811136699</v>
      </c>
    </row>
    <row r="39" spans="2:10" s="5" customFormat="1" ht="37.5" customHeight="1" x14ac:dyDescent="0.4">
      <c r="B39" s="263"/>
      <c r="C39" s="2754" t="s">
        <v>2126</v>
      </c>
      <c r="D39" s="2754"/>
      <c r="E39" s="894"/>
      <c r="F39" s="890"/>
      <c r="G39" s="890"/>
      <c r="H39" s="890"/>
      <c r="I39" s="890"/>
    </row>
    <row r="40" spans="2:10" s="5" customFormat="1" ht="16.149999999999999" customHeight="1" x14ac:dyDescent="0.4">
      <c r="B40" s="263"/>
      <c r="C40" s="891" t="s">
        <v>2127</v>
      </c>
      <c r="D40" s="889"/>
      <c r="E40" s="889"/>
      <c r="F40" s="890">
        <v>1.3708141401239089</v>
      </c>
      <c r="G40" s="890"/>
      <c r="H40" s="890"/>
      <c r="I40" s="890">
        <v>28.920779059102987</v>
      </c>
    </row>
    <row r="41" spans="2:10" s="5" customFormat="1" ht="16.149999999999999" customHeight="1" x14ac:dyDescent="0.4">
      <c r="B41" s="263"/>
      <c r="C41" s="891" t="s">
        <v>2128</v>
      </c>
      <c r="D41" s="889"/>
      <c r="E41" s="889"/>
      <c r="F41" s="890">
        <v>2.058372830965935</v>
      </c>
      <c r="G41" s="890"/>
      <c r="H41" s="890"/>
      <c r="I41" s="890">
        <v>16.475379819516814</v>
      </c>
    </row>
    <row r="42" spans="2:10" s="5" customFormat="1" ht="16.149999999999999" customHeight="1" x14ac:dyDescent="0.4">
      <c r="B42" s="263"/>
      <c r="C42" s="886" t="s">
        <v>558</v>
      </c>
      <c r="D42" s="889"/>
      <c r="E42" s="889"/>
      <c r="F42" s="890"/>
      <c r="G42" s="890"/>
      <c r="H42" s="890"/>
      <c r="I42" s="890"/>
    </row>
    <row r="43" spans="2:10" s="5" customFormat="1" ht="16.149999999999999" customHeight="1" x14ac:dyDescent="0.4">
      <c r="B43" s="263"/>
      <c r="C43" s="891" t="s">
        <v>559</v>
      </c>
      <c r="D43" s="889"/>
      <c r="E43" s="889"/>
      <c r="F43" s="890">
        <v>8.5173001404566424</v>
      </c>
      <c r="G43" s="890"/>
      <c r="H43" s="890"/>
      <c r="I43" s="890">
        <v>40.387262438605518</v>
      </c>
    </row>
    <row r="44" spans="2:10" s="5" customFormat="1" ht="16.149999999999999" customHeight="1" x14ac:dyDescent="0.4">
      <c r="B44" s="263"/>
      <c r="C44" s="891" t="s">
        <v>560</v>
      </c>
      <c r="D44" s="889"/>
      <c r="E44" s="889"/>
      <c r="F44" s="890">
        <v>1.4551713075722517</v>
      </c>
      <c r="G44" s="890"/>
      <c r="H44" s="890"/>
      <c r="I44" s="890">
        <v>24.515756023136422</v>
      </c>
    </row>
    <row r="45" spans="2:10" s="5" customFormat="1" ht="16.149999999999999" customHeight="1" x14ac:dyDescent="0.4">
      <c r="B45" s="263"/>
      <c r="C45" s="891" t="s">
        <v>561</v>
      </c>
      <c r="D45" s="889"/>
      <c r="E45" s="889"/>
      <c r="F45" s="890">
        <v>0.39275031598191734</v>
      </c>
      <c r="G45" s="890"/>
      <c r="H45" s="890"/>
      <c r="I45" s="890">
        <v>13.47764262683002</v>
      </c>
    </row>
    <row r="46" spans="2:10" s="5" customFormat="1" ht="16.149999999999999" customHeight="1" x14ac:dyDescent="0.4">
      <c r="B46" s="263"/>
      <c r="C46" s="891" t="s">
        <v>562</v>
      </c>
      <c r="D46" s="889"/>
      <c r="E46" s="889"/>
      <c r="F46" s="890">
        <v>0</v>
      </c>
      <c r="G46" s="890"/>
      <c r="H46" s="890"/>
      <c r="I46" s="890">
        <v>6.1186260900661544</v>
      </c>
    </row>
    <row r="47" spans="2:10" s="5" customFormat="1" ht="16.149999999999999" customHeight="1" x14ac:dyDescent="0.4">
      <c r="B47" s="263"/>
      <c r="C47" s="891" t="s">
        <v>563</v>
      </c>
      <c r="D47" s="889"/>
      <c r="E47" s="889"/>
      <c r="F47" s="890">
        <v>0</v>
      </c>
      <c r="G47" s="890"/>
      <c r="H47" s="890"/>
      <c r="I47" s="890">
        <v>2.3078319666255589</v>
      </c>
    </row>
    <row r="48" spans="2:10" s="5" customFormat="1" ht="18.75" x14ac:dyDescent="0.4">
      <c r="B48" s="263"/>
      <c r="C48" s="2755" t="s">
        <v>1408</v>
      </c>
      <c r="D48" s="2755"/>
      <c r="E48" s="2755"/>
      <c r="F48" s="2755"/>
      <c r="G48" s="2755"/>
      <c r="H48" s="2755"/>
      <c r="I48" s="2755"/>
      <c r="J48" s="895"/>
    </row>
    <row r="49" spans="2:9" s="5" customFormat="1" ht="18.75" x14ac:dyDescent="0.4">
      <c r="B49" s="263"/>
      <c r="C49" s="2756" t="s">
        <v>2129</v>
      </c>
      <c r="D49" s="2757"/>
      <c r="E49" s="2757"/>
      <c r="F49" s="2757"/>
      <c r="G49" s="2757"/>
      <c r="H49" s="2757"/>
      <c r="I49" s="2757"/>
    </row>
    <row r="50" spans="2:9" s="5" customFormat="1" ht="18.75" x14ac:dyDescent="0.4">
      <c r="B50" s="263"/>
      <c r="C50" s="896" t="s">
        <v>2130</v>
      </c>
    </row>
  </sheetData>
  <mergeCells count="18">
    <mergeCell ref="A5:B5"/>
    <mergeCell ref="C5:U5"/>
    <mergeCell ref="C1:D1"/>
    <mergeCell ref="A3:B3"/>
    <mergeCell ref="C3:U3"/>
    <mergeCell ref="A4:B4"/>
    <mergeCell ref="C4:U4"/>
    <mergeCell ref="C35:D35"/>
    <mergeCell ref="C39:D39"/>
    <mergeCell ref="C48:I48"/>
    <mergeCell ref="C49:I49"/>
    <mergeCell ref="A6:B6"/>
    <mergeCell ref="C6:U6"/>
    <mergeCell ref="C9:J9"/>
    <mergeCell ref="M9:O9"/>
    <mergeCell ref="C11:D11"/>
    <mergeCell ref="F11:G11"/>
    <mergeCell ref="I11:J11"/>
  </mergeCells>
  <hyperlinks>
    <hyperlink ref="A1" location="'ODS 5.'!A1" display="REGRESAR" xr:uid="{35D557EC-07A1-4461-B4AA-A9579E0A20C8}"/>
    <hyperlink ref="C1" location="'Metadato 5.3.1'!A1" display="VER METADATO" xr:uid="{8DBC6E30-AB29-4421-9698-6C8FC3524E42}"/>
    <hyperlink ref="M9" location="'5.3.1-ENAHO'!A1" display="Ver indicador 5.3.1, fuente ENAHO" xr:uid="{6503376A-3CBF-41CC-8D5B-48FB0446FDEB}"/>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AA77-44BF-4183-8B28-E63C84721B80}">
  <sheetPr>
    <tabColor theme="0" tint="-0.499984740745262"/>
  </sheetPr>
  <dimension ref="B1:F36"/>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0.5703125" style="222" customWidth="1"/>
    <col min="2" max="2" width="26.42578125" style="222" customWidth="1"/>
    <col min="3" max="3" width="24" style="222" customWidth="1"/>
    <col min="4" max="4" width="85.7109375" style="222" customWidth="1"/>
    <col min="5" max="5" width="2" style="222" customWidth="1"/>
    <col min="6" max="6" width="7.28515625" style="222" customWidth="1"/>
    <col min="7" max="7" width="9.5703125" style="222" customWidth="1"/>
    <col min="8" max="8" width="11.42578125" style="222"/>
    <col min="9" max="9" width="8.7109375" style="222" customWidth="1"/>
    <col min="10" max="10" width="11.42578125" style="222"/>
    <col min="11" max="11" width="8" style="222" customWidth="1"/>
    <col min="12" max="16384" width="11.42578125" style="222"/>
  </cols>
  <sheetData>
    <row r="1" spans="2:6" x14ac:dyDescent="0.25">
      <c r="B1" s="223" t="s">
        <v>39</v>
      </c>
    </row>
    <row r="2" spans="2:6" ht="19.5" thickBot="1" x14ac:dyDescent="0.3"/>
    <row r="3" spans="2:6" ht="23.25" customHeight="1" thickBot="1" x14ac:dyDescent="0.3">
      <c r="B3" s="2745" t="s">
        <v>75</v>
      </c>
      <c r="C3" s="2745"/>
      <c r="D3" s="2745"/>
      <c r="F3" s="91" t="s">
        <v>76</v>
      </c>
    </row>
    <row r="4" spans="2:6" x14ac:dyDescent="0.25">
      <c r="B4" s="2445" t="s">
        <v>234</v>
      </c>
      <c r="C4" s="2445"/>
      <c r="D4" s="49" t="s">
        <v>2064</v>
      </c>
    </row>
    <row r="5" spans="2:6" ht="37.5" x14ac:dyDescent="0.25">
      <c r="B5" s="2445" t="s">
        <v>79</v>
      </c>
      <c r="C5" s="2445"/>
      <c r="D5" s="49" t="s">
        <v>1983</v>
      </c>
    </row>
    <row r="6" spans="2:6" x14ac:dyDescent="0.25">
      <c r="B6" s="2445" t="s">
        <v>80</v>
      </c>
      <c r="C6" s="2445"/>
      <c r="D6" s="50" t="s">
        <v>1984</v>
      </c>
    </row>
    <row r="7" spans="2:6" ht="37.5" x14ac:dyDescent="0.25">
      <c r="B7" s="2446" t="s">
        <v>81</v>
      </c>
      <c r="C7" s="2446"/>
      <c r="D7" s="93" t="s">
        <v>1985</v>
      </c>
    </row>
    <row r="8" spans="2:6" x14ac:dyDescent="0.25">
      <c r="B8" s="2446" t="s">
        <v>82</v>
      </c>
      <c r="C8" s="2446"/>
      <c r="D8" s="94" t="s">
        <v>2131</v>
      </c>
    </row>
    <row r="9" spans="2:6" x14ac:dyDescent="0.4">
      <c r="B9" s="5"/>
      <c r="C9" s="5"/>
      <c r="D9" s="5"/>
    </row>
    <row r="10" spans="2:6" ht="23.25" customHeight="1" x14ac:dyDescent="0.25">
      <c r="B10" s="2745" t="s">
        <v>85</v>
      </c>
      <c r="C10" s="2745"/>
      <c r="D10" s="2745"/>
    </row>
    <row r="11" spans="2:6" x14ac:dyDescent="0.25">
      <c r="B11" s="2453" t="s">
        <v>86</v>
      </c>
      <c r="C11" s="2454"/>
      <c r="D11" s="49" t="s">
        <v>167</v>
      </c>
    </row>
    <row r="12" spans="2:6" ht="32.25" customHeight="1" x14ac:dyDescent="0.25">
      <c r="B12" s="2455" t="s">
        <v>88</v>
      </c>
      <c r="C12" s="2455"/>
      <c r="D12" s="184" t="s">
        <v>2132</v>
      </c>
    </row>
    <row r="13" spans="2:6" x14ac:dyDescent="0.25">
      <c r="B13" s="2445" t="s">
        <v>90</v>
      </c>
      <c r="C13" s="2445"/>
      <c r="D13" s="54" t="s">
        <v>1984</v>
      </c>
    </row>
    <row r="14" spans="2:6" x14ac:dyDescent="0.25">
      <c r="B14" s="2445" t="s">
        <v>91</v>
      </c>
      <c r="C14" s="2456"/>
      <c r="D14" s="54" t="s">
        <v>92</v>
      </c>
    </row>
    <row r="15" spans="2:6" ht="94.5" customHeight="1" x14ac:dyDescent="0.25">
      <c r="B15" s="2445" t="s">
        <v>93</v>
      </c>
      <c r="C15" s="2445"/>
      <c r="D15" s="55" t="s">
        <v>2133</v>
      </c>
    </row>
    <row r="16" spans="2:6" ht="47.25" customHeight="1" x14ac:dyDescent="0.25">
      <c r="B16" s="2445" t="s">
        <v>95</v>
      </c>
      <c r="C16" s="2445"/>
      <c r="D16" s="55"/>
    </row>
    <row r="17" spans="2:4" x14ac:dyDescent="0.25">
      <c r="B17" s="2445" t="s">
        <v>97</v>
      </c>
      <c r="C17" s="2445"/>
      <c r="D17" s="55" t="s">
        <v>238</v>
      </c>
    </row>
    <row r="18" spans="2:4" ht="15" customHeight="1" x14ac:dyDescent="0.25">
      <c r="B18" s="2446" t="s">
        <v>99</v>
      </c>
      <c r="C18" s="2446"/>
      <c r="D18" s="55"/>
    </row>
    <row r="19" spans="2:4" ht="33.75" customHeight="1" x14ac:dyDescent="0.25">
      <c r="B19" s="2457" t="s">
        <v>100</v>
      </c>
      <c r="C19" s="2458"/>
      <c r="D19" s="55" t="s">
        <v>2134</v>
      </c>
    </row>
    <row r="20" spans="2:4" x14ac:dyDescent="0.25">
      <c r="B20" s="2445" t="s">
        <v>102</v>
      </c>
      <c r="C20" s="2445"/>
      <c r="D20" s="55" t="s">
        <v>140</v>
      </c>
    </row>
    <row r="21" spans="2:4" x14ac:dyDescent="0.25">
      <c r="B21" s="2451" t="s">
        <v>104</v>
      </c>
      <c r="C21" s="95" t="s">
        <v>105</v>
      </c>
      <c r="D21" s="243" t="s">
        <v>2135</v>
      </c>
    </row>
    <row r="22" spans="2:4" x14ac:dyDescent="0.25">
      <c r="B22" s="2452"/>
      <c r="C22" s="96" t="s">
        <v>107</v>
      </c>
      <c r="D22" s="55"/>
    </row>
    <row r="23" spans="2:4" x14ac:dyDescent="0.25">
      <c r="B23" s="2444" t="s">
        <v>109</v>
      </c>
      <c r="C23" s="2444"/>
      <c r="D23" s="55" t="s">
        <v>143</v>
      </c>
    </row>
    <row r="24" spans="2:4" x14ac:dyDescent="0.25">
      <c r="B24" s="2444" t="s">
        <v>111</v>
      </c>
      <c r="C24" s="2444"/>
      <c r="D24" s="50" t="s">
        <v>127</v>
      </c>
    </row>
    <row r="25" spans="2:4" x14ac:dyDescent="0.25">
      <c r="B25" s="2445" t="s">
        <v>113</v>
      </c>
      <c r="C25" s="2445"/>
      <c r="D25" s="55" t="s">
        <v>144</v>
      </c>
    </row>
    <row r="26" spans="2:4" ht="15" customHeight="1" x14ac:dyDescent="0.25">
      <c r="B26" s="2446" t="s">
        <v>115</v>
      </c>
      <c r="C26" s="2446"/>
      <c r="D26" s="50" t="s">
        <v>2136</v>
      </c>
    </row>
    <row r="27" spans="2:4" x14ac:dyDescent="0.25">
      <c r="B27" s="2447" t="s">
        <v>117</v>
      </c>
      <c r="C27" s="2448"/>
      <c r="D27" s="49"/>
    </row>
    <row r="28" spans="2:4" ht="37.5" x14ac:dyDescent="0.25">
      <c r="B28" s="97" t="s">
        <v>118</v>
      </c>
      <c r="C28" s="98"/>
      <c r="D28" s="56" t="s">
        <v>2137</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9"/>
    </row>
    <row r="33" spans="2:4" x14ac:dyDescent="0.25">
      <c r="B33" s="2442" t="s">
        <v>124</v>
      </c>
      <c r="C33" s="2443"/>
      <c r="D33" s="59"/>
    </row>
    <row r="34" spans="2:4" x14ac:dyDescent="0.25">
      <c r="B34" s="2442" t="s">
        <v>126</v>
      </c>
      <c r="C34" s="2443"/>
      <c r="D34" s="59"/>
    </row>
    <row r="35" spans="2:4" x14ac:dyDescent="0.25">
      <c r="B35" s="2442" t="s">
        <v>128</v>
      </c>
      <c r="C35" s="2443"/>
      <c r="D35" s="59"/>
    </row>
    <row r="36" spans="2:4" x14ac:dyDescent="0.25">
      <c r="B36" s="2442" t="s">
        <v>130</v>
      </c>
      <c r="C36" s="2443"/>
      <c r="D36" s="6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AC47FCB-70B8-4E40-A80E-2C719767AAF6}">
      <formula1>Tipo_operación</formula1>
    </dataValidation>
    <dataValidation type="list" allowBlank="1" showInputMessage="1" showErrorMessage="1" sqref="D14" xr:uid="{A0265C68-F50D-4450-B8E1-07BF8C1D031A}">
      <formula1>Tipo_indicador</formula1>
    </dataValidation>
    <dataValidation type="list" allowBlank="1" showInputMessage="1" showErrorMessage="1" sqref="D7" xr:uid="{6F250DAB-A232-4833-85DE-2A7B1E4CA9A8}">
      <formula1>Nombre_indicador_ODS</formula1>
    </dataValidation>
    <dataValidation type="list" allowBlank="1" showInputMessage="1" showErrorMessage="1" sqref="D6" xr:uid="{A50092E7-55E7-4239-9B64-9008AA1B317E}">
      <formula1>Numero_indicador</formula1>
    </dataValidation>
    <dataValidation type="list" allowBlank="1" showInputMessage="1" showErrorMessage="1" sqref="D5" xr:uid="{77021675-9D70-4AB7-BFC5-BE48C1DA6861}">
      <formula1>Metas_ODS</formula1>
    </dataValidation>
    <dataValidation type="list" allowBlank="1" showInputMessage="1" showErrorMessage="1" sqref="D4" xr:uid="{5F0D73D6-65E6-4727-B2F6-24BB7133C826}">
      <formula1>ODS</formula1>
    </dataValidation>
    <dataValidation allowBlank="1" showDropDown="1" showInputMessage="1" showErrorMessage="1" sqref="D13" xr:uid="{C4975F06-1662-46F9-B4D5-9C21422215B1}"/>
  </dataValidations>
  <hyperlinks>
    <hyperlink ref="B1" location="'5.3.1'!A1" display="REGRESAR" xr:uid="{D54C354D-41BB-43BC-9AD5-2FB2688A15FE}"/>
    <hyperlink ref="D8" r:id="rId1" xr:uid="{DA577C1F-D8D7-4B75-9022-6FB44F229553}"/>
  </hyperlinks>
  <pageMargins left="0.7" right="0.7" top="0.75" bottom="0.75" header="0.3" footer="0.3"/>
  <pageSetup paperSize="9" orientation="portrait" r:id="rId2"/>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B2F8-727D-4083-A0D4-64DF1C38EE10}">
  <dimension ref="A1:AB50"/>
  <sheetViews>
    <sheetView showGridLines="0" workbookViewId="0">
      <pane ySplit="1" topLeftCell="A2" activePane="bottomLeft" state="frozen"/>
      <selection activeCell="R16" sqref="R16"/>
      <selection pane="bottomLeft"/>
    </sheetView>
  </sheetViews>
  <sheetFormatPr baseColWidth="10" defaultColWidth="11.42578125" defaultRowHeight="12.75" x14ac:dyDescent="0.25"/>
  <cols>
    <col min="1" max="1" width="15.28515625" style="22" customWidth="1"/>
    <col min="2" max="2" width="15.28515625" style="89" customWidth="1"/>
    <col min="3" max="3" width="6.7109375" style="22" customWidth="1"/>
    <col min="4" max="4" width="8.7109375" style="22" customWidth="1"/>
    <col min="5" max="5" width="9.28515625" style="22" customWidth="1"/>
    <col min="6" max="6" width="9" style="22" customWidth="1"/>
    <col min="7" max="7" width="2" style="22" customWidth="1"/>
    <col min="8" max="8" width="9.28515625" style="22" customWidth="1"/>
    <col min="9" max="9" width="9.5703125" style="22" customWidth="1"/>
    <col min="10" max="10" width="11.42578125" style="22"/>
    <col min="11" max="11" width="8.7109375" style="22" customWidth="1"/>
    <col min="12" max="12" width="11.42578125" style="22"/>
    <col min="13" max="13" width="8" style="22" customWidth="1"/>
    <col min="14" max="16384" width="11.42578125" style="22"/>
  </cols>
  <sheetData>
    <row r="1" spans="1:28" s="16" customFormat="1" ht="19.5" x14ac:dyDescent="0.4">
      <c r="A1" s="15" t="s">
        <v>39</v>
      </c>
      <c r="B1" s="407"/>
      <c r="C1" s="2421" t="s">
        <v>149</v>
      </c>
      <c r="D1" s="2421"/>
    </row>
    <row r="2" spans="1:28" s="16" customFormat="1" ht="11.25" customHeight="1" x14ac:dyDescent="0.4">
      <c r="B2" s="218"/>
      <c r="D2" s="162"/>
      <c r="E2" s="162"/>
      <c r="F2" s="162"/>
      <c r="G2" s="162"/>
      <c r="H2" s="162"/>
      <c r="I2" s="162"/>
      <c r="J2" s="162"/>
      <c r="K2" s="162"/>
      <c r="L2" s="162"/>
      <c r="M2" s="162"/>
      <c r="N2" s="162"/>
      <c r="O2" s="162"/>
      <c r="P2" s="162"/>
      <c r="Q2" s="162"/>
      <c r="R2" s="162"/>
      <c r="S2" s="162"/>
      <c r="T2" s="162"/>
    </row>
    <row r="3" spans="1:28" s="16" customFormat="1" ht="19.5" x14ac:dyDescent="0.4">
      <c r="A3" s="2736" t="s">
        <v>41</v>
      </c>
      <c r="B3" s="2744"/>
      <c r="C3" s="2736" t="s">
        <v>1974</v>
      </c>
      <c r="D3" s="2762"/>
      <c r="E3" s="2762"/>
      <c r="F3" s="2762"/>
      <c r="G3" s="2762"/>
      <c r="H3" s="2762"/>
      <c r="I3" s="2762"/>
      <c r="J3" s="2762"/>
      <c r="K3" s="2762"/>
      <c r="L3" s="2762"/>
      <c r="M3" s="2762"/>
      <c r="N3" s="2762"/>
      <c r="O3" s="2762"/>
      <c r="P3" s="2762"/>
      <c r="Q3" s="2762"/>
      <c r="R3" s="2762"/>
      <c r="S3" s="2762"/>
      <c r="T3" s="2762"/>
    </row>
    <row r="4" spans="1:28" s="16" customFormat="1" ht="19.5" x14ac:dyDescent="0.4">
      <c r="A4" s="2736" t="s">
        <v>42</v>
      </c>
      <c r="B4" s="2737"/>
      <c r="C4" s="2736" t="s">
        <v>2138</v>
      </c>
      <c r="D4" s="2738"/>
      <c r="E4" s="2738"/>
      <c r="F4" s="2738"/>
      <c r="G4" s="2738"/>
      <c r="H4" s="2738"/>
      <c r="I4" s="2738"/>
      <c r="J4" s="2738"/>
      <c r="K4" s="2738"/>
      <c r="L4" s="2738"/>
      <c r="M4" s="2738"/>
      <c r="N4" s="2738"/>
      <c r="O4" s="2738"/>
      <c r="P4" s="2738"/>
      <c r="Q4" s="2738"/>
      <c r="R4" s="2738"/>
      <c r="S4" s="2738"/>
      <c r="T4" s="2738"/>
    </row>
    <row r="5" spans="1:28" s="16" customFormat="1" ht="19.5" x14ac:dyDescent="0.4">
      <c r="A5" s="2736" t="s">
        <v>43</v>
      </c>
      <c r="B5" s="2737"/>
      <c r="C5" s="2736" t="s">
        <v>2139</v>
      </c>
      <c r="D5" s="2738"/>
      <c r="E5" s="2738"/>
      <c r="F5" s="2738"/>
      <c r="G5" s="2738"/>
      <c r="H5" s="2738"/>
      <c r="I5" s="2738"/>
      <c r="J5" s="2738"/>
      <c r="K5" s="2738"/>
      <c r="L5" s="2738"/>
      <c r="M5" s="2738"/>
      <c r="N5" s="2738"/>
      <c r="O5" s="2738"/>
      <c r="P5" s="2738"/>
      <c r="Q5" s="2738"/>
      <c r="R5" s="2738"/>
      <c r="S5" s="2738"/>
      <c r="T5" s="2738"/>
    </row>
    <row r="6" spans="1:28" s="16" customFormat="1" ht="19.5" x14ac:dyDescent="0.4">
      <c r="A6" s="2736" t="s">
        <v>132</v>
      </c>
      <c r="B6" s="2737"/>
      <c r="C6" s="2736" t="s">
        <v>2140</v>
      </c>
      <c r="D6" s="2738"/>
      <c r="E6" s="2738"/>
      <c r="F6" s="2738"/>
      <c r="G6" s="2738"/>
      <c r="H6" s="2738"/>
      <c r="I6" s="2738"/>
      <c r="J6" s="2738"/>
      <c r="K6" s="2738"/>
      <c r="L6" s="2738"/>
      <c r="M6" s="2738"/>
      <c r="N6" s="2738"/>
      <c r="O6" s="2738"/>
      <c r="P6" s="2738"/>
      <c r="Q6" s="2738"/>
      <c r="R6" s="2738"/>
      <c r="S6" s="2738"/>
      <c r="T6" s="2738"/>
    </row>
    <row r="7" spans="1:28" s="16" customFormat="1" ht="19.5" x14ac:dyDescent="0.4">
      <c r="B7" s="218"/>
    </row>
    <row r="8" spans="1:28" s="16" customFormat="1" ht="19.5" x14ac:dyDescent="0.4">
      <c r="B8" s="218"/>
    </row>
    <row r="9" spans="1:28" s="16" customFormat="1" ht="31.5" customHeight="1" x14ac:dyDescent="0.4">
      <c r="A9" s="363"/>
      <c r="B9" s="218"/>
      <c r="C9" s="2711" t="s">
        <v>2141</v>
      </c>
      <c r="D9" s="2711"/>
      <c r="E9" s="2711"/>
      <c r="F9" s="2711"/>
      <c r="G9" s="2711"/>
      <c r="H9" s="2711"/>
      <c r="I9" s="2711"/>
      <c r="J9" s="2711"/>
      <c r="K9" s="2711"/>
      <c r="L9" s="2711"/>
      <c r="M9" s="2711"/>
    </row>
    <row r="10" spans="1:28" s="16" customFormat="1" ht="19.5" x14ac:dyDescent="0.4">
      <c r="A10" s="363"/>
      <c r="B10" s="218"/>
      <c r="C10" s="533"/>
      <c r="D10" s="533"/>
      <c r="E10" s="533"/>
      <c r="F10" s="533"/>
      <c r="G10" s="533"/>
      <c r="H10" s="533"/>
      <c r="I10" s="533"/>
      <c r="J10" s="533"/>
      <c r="K10" s="533"/>
      <c r="L10" s="533"/>
      <c r="M10" s="533"/>
    </row>
    <row r="11" spans="1:28" ht="15" customHeight="1" x14ac:dyDescent="0.4">
      <c r="A11" s="23"/>
      <c r="C11" s="2763" t="s">
        <v>46</v>
      </c>
      <c r="D11" s="2765" t="s">
        <v>47</v>
      </c>
      <c r="E11" s="2767" t="s">
        <v>49</v>
      </c>
      <c r="F11" s="2767"/>
      <c r="G11" s="897"/>
      <c r="H11" s="2767" t="s">
        <v>50</v>
      </c>
      <c r="I11" s="2767"/>
      <c r="J11" s="2767"/>
      <c r="K11" s="2767"/>
      <c r="L11" s="2767"/>
      <c r="M11" s="2767"/>
      <c r="P11" s="5"/>
      <c r="Q11" s="5"/>
      <c r="R11" s="5"/>
      <c r="S11" s="5"/>
      <c r="T11" s="5"/>
      <c r="U11" s="5"/>
      <c r="V11" s="5"/>
      <c r="W11" s="5"/>
      <c r="X11" s="5"/>
      <c r="Y11" s="5"/>
      <c r="Z11" s="5"/>
      <c r="AA11" s="5"/>
      <c r="AB11" s="5"/>
    </row>
    <row r="12" spans="1:28" ht="37.5" x14ac:dyDescent="0.4">
      <c r="A12" s="23"/>
      <c r="C12" s="2764"/>
      <c r="D12" s="2766"/>
      <c r="E12" s="898" t="s">
        <v>55</v>
      </c>
      <c r="F12" s="898" t="s">
        <v>56</v>
      </c>
      <c r="G12" s="898"/>
      <c r="H12" s="898" t="s">
        <v>57</v>
      </c>
      <c r="I12" s="898" t="s">
        <v>58</v>
      </c>
      <c r="J12" s="898" t="s">
        <v>59</v>
      </c>
      <c r="K12" s="898" t="s">
        <v>60</v>
      </c>
      <c r="L12" s="898" t="s">
        <v>61</v>
      </c>
      <c r="M12" s="898" t="s">
        <v>62</v>
      </c>
      <c r="P12" s="5"/>
      <c r="Q12" s="5"/>
      <c r="R12" s="5"/>
      <c r="S12" s="5"/>
      <c r="T12" s="5"/>
      <c r="U12" s="5"/>
      <c r="V12" s="5"/>
      <c r="W12" s="5"/>
      <c r="X12" s="5"/>
      <c r="Y12" s="5"/>
      <c r="Z12" s="5"/>
      <c r="AA12" s="5"/>
      <c r="AB12" s="5"/>
    </row>
    <row r="13" spans="1:28" ht="18.75" x14ac:dyDescent="0.4">
      <c r="A13" s="23"/>
      <c r="C13" s="6">
        <v>2010</v>
      </c>
      <c r="D13" s="899">
        <v>2.4547994418307471</v>
      </c>
      <c r="E13" s="899">
        <v>2.3516949152542375</v>
      </c>
      <c r="F13" s="899">
        <v>2.676764317410846</v>
      </c>
      <c r="G13" s="5"/>
      <c r="H13" s="899">
        <v>2.2959975178405214</v>
      </c>
      <c r="I13" s="899">
        <v>2.6168156647001339</v>
      </c>
      <c r="J13" s="899">
        <v>3.7219801564386583</v>
      </c>
      <c r="K13" s="899">
        <v>1.7855299824543296</v>
      </c>
      <c r="L13" s="899">
        <v>2.5748641759147204</v>
      </c>
      <c r="M13" s="899">
        <v>2.9785688339992733</v>
      </c>
      <c r="O13" s="5"/>
      <c r="P13" s="5"/>
      <c r="Q13" s="5"/>
      <c r="R13" s="5"/>
      <c r="S13" s="5"/>
      <c r="T13" s="5"/>
      <c r="U13" s="5"/>
      <c r="V13" s="5"/>
      <c r="W13" s="5"/>
      <c r="X13" s="5"/>
      <c r="Y13" s="5"/>
      <c r="Z13" s="5"/>
      <c r="AA13" s="5"/>
      <c r="AB13" s="5"/>
    </row>
    <row r="14" spans="1:28" ht="18.75" x14ac:dyDescent="0.4">
      <c r="A14" s="21"/>
      <c r="C14" s="6">
        <v>2011</v>
      </c>
      <c r="D14" s="899">
        <v>2.2823872088807771</v>
      </c>
      <c r="E14" s="899">
        <v>1.7597132804312026</v>
      </c>
      <c r="F14" s="899">
        <v>3.3338353224652688</v>
      </c>
      <c r="G14" s="5"/>
      <c r="H14" s="899">
        <v>1.6636479143575462</v>
      </c>
      <c r="I14" s="899">
        <v>2.4151811385853938</v>
      </c>
      <c r="J14" s="899">
        <v>2.5112402675731986</v>
      </c>
      <c r="K14" s="899">
        <v>1.7731277533039647</v>
      </c>
      <c r="L14" s="899">
        <v>3.3701752376589162</v>
      </c>
      <c r="M14" s="899">
        <v>5.0216393009349503</v>
      </c>
      <c r="O14" s="5"/>
      <c r="P14" s="5"/>
      <c r="Q14" s="5"/>
      <c r="R14" s="5"/>
      <c r="S14" s="5"/>
      <c r="T14" s="5"/>
      <c r="U14" s="5"/>
      <c r="V14" s="5"/>
      <c r="W14" s="5"/>
      <c r="X14" s="5"/>
      <c r="Y14" s="5"/>
      <c r="Z14" s="5"/>
      <c r="AA14" s="5"/>
      <c r="AB14" s="5"/>
    </row>
    <row r="15" spans="1:28" ht="18.75" x14ac:dyDescent="0.4">
      <c r="A15" s="23"/>
      <c r="C15" s="6">
        <v>2012</v>
      </c>
      <c r="D15" s="899">
        <v>1.4885290680113987</v>
      </c>
      <c r="E15" s="899">
        <v>0.92694484925993115</v>
      </c>
      <c r="F15" s="899">
        <v>2.5899784168465261</v>
      </c>
      <c r="G15" s="5"/>
      <c r="H15" s="899">
        <v>0.68037100572790976</v>
      </c>
      <c r="I15" s="899">
        <v>2.1365193026151932</v>
      </c>
      <c r="J15" s="899">
        <v>0.87007299270073002</v>
      </c>
      <c r="K15" s="899">
        <v>1.5895417069003936</v>
      </c>
      <c r="L15" s="899">
        <v>3.2255160825732121</v>
      </c>
      <c r="M15" s="899">
        <v>3.9349032345378259</v>
      </c>
      <c r="O15" s="5"/>
      <c r="P15" s="5"/>
      <c r="Q15" s="5"/>
      <c r="R15" s="5"/>
      <c r="S15" s="5"/>
      <c r="T15" s="5"/>
      <c r="U15" s="5"/>
      <c r="V15" s="5"/>
      <c r="W15" s="5"/>
      <c r="X15" s="5"/>
      <c r="Y15" s="5"/>
      <c r="Z15" s="5"/>
      <c r="AA15" s="5"/>
      <c r="AB15" s="5"/>
    </row>
    <row r="16" spans="1:28" ht="18.75" x14ac:dyDescent="0.4">
      <c r="A16" s="23"/>
      <c r="C16" s="6">
        <v>2013</v>
      </c>
      <c r="D16" s="899">
        <v>0.99458905604169379</v>
      </c>
      <c r="E16" s="899">
        <v>0.5668976249583163</v>
      </c>
      <c r="F16" s="899">
        <v>1.9152733327351221</v>
      </c>
      <c r="G16" s="5"/>
      <c r="H16" s="899">
        <v>0.38744147737125023</v>
      </c>
      <c r="I16" s="899">
        <v>2.7928808918443182</v>
      </c>
      <c r="J16" s="899">
        <v>3.0180208268379372</v>
      </c>
      <c r="K16" s="899">
        <v>1.5532305037212815</v>
      </c>
      <c r="L16" s="899">
        <v>1.0418178124727937</v>
      </c>
      <c r="M16" s="899">
        <v>1.5867304717015074</v>
      </c>
      <c r="O16" s="5"/>
      <c r="P16" s="5"/>
      <c r="Q16" s="5"/>
      <c r="R16" s="5"/>
      <c r="S16" s="5"/>
      <c r="T16" s="5"/>
      <c r="U16" s="5"/>
      <c r="V16" s="5"/>
      <c r="W16" s="5"/>
      <c r="X16" s="5"/>
      <c r="Y16" s="5"/>
      <c r="Z16" s="5"/>
      <c r="AA16" s="5"/>
      <c r="AB16" s="5"/>
    </row>
    <row r="17" spans="1:28" ht="18.75" x14ac:dyDescent="0.4">
      <c r="A17" s="23"/>
      <c r="C17" s="6">
        <v>2014</v>
      </c>
      <c r="D17" s="899">
        <v>2.321718745402173</v>
      </c>
      <c r="E17" s="899">
        <v>2.2912329015136716</v>
      </c>
      <c r="F17" s="899">
        <v>2.3883956483681379</v>
      </c>
      <c r="G17" s="5"/>
      <c r="H17" s="899">
        <v>1.7069652227388459</v>
      </c>
      <c r="I17" s="899">
        <v>4.5592933659086636</v>
      </c>
      <c r="J17" s="899">
        <v>4.6793084216397096</v>
      </c>
      <c r="K17" s="899">
        <v>2.0286718961319989</v>
      </c>
      <c r="L17" s="899">
        <v>2.5510495910312874</v>
      </c>
      <c r="M17" s="899">
        <v>2.5001888360148046</v>
      </c>
      <c r="O17" s="5"/>
      <c r="P17" s="5"/>
      <c r="Q17" s="5"/>
      <c r="R17" s="5"/>
      <c r="S17" s="5"/>
      <c r="T17" s="5"/>
      <c r="U17" s="5"/>
      <c r="V17" s="5"/>
      <c r="W17" s="5"/>
      <c r="X17" s="5"/>
      <c r="Y17" s="5"/>
      <c r="Z17" s="5"/>
      <c r="AA17" s="5"/>
      <c r="AB17" s="5"/>
    </row>
    <row r="18" spans="1:28" ht="18.75" x14ac:dyDescent="0.4">
      <c r="A18" s="21"/>
      <c r="C18" s="6">
        <v>2015</v>
      </c>
      <c r="D18" s="899">
        <v>1.9750781633549521</v>
      </c>
      <c r="E18" s="899">
        <v>1.355127719032172</v>
      </c>
      <c r="F18" s="899">
        <v>3.3550403750976816</v>
      </c>
      <c r="G18" s="5"/>
      <c r="H18" s="899">
        <v>1.3706997517497996</v>
      </c>
      <c r="I18" s="899">
        <v>2.2768781200535737</v>
      </c>
      <c r="J18" s="899">
        <v>3.4121791645697037</v>
      </c>
      <c r="K18" s="899">
        <v>1.6600393776782612</v>
      </c>
      <c r="L18" s="899">
        <v>3.8970970603530026</v>
      </c>
      <c r="M18" s="899">
        <v>2.5876817792985456</v>
      </c>
      <c r="O18" s="5"/>
      <c r="P18" s="5"/>
      <c r="Q18" s="5"/>
      <c r="R18" s="5"/>
      <c r="S18" s="5"/>
      <c r="T18" s="5"/>
      <c r="U18" s="5"/>
      <c r="V18" s="5"/>
      <c r="W18" s="5"/>
      <c r="X18" s="5"/>
      <c r="Y18" s="5"/>
      <c r="Z18" s="5"/>
      <c r="AA18" s="5"/>
      <c r="AB18" s="5"/>
    </row>
    <row r="19" spans="1:28" ht="18.75" x14ac:dyDescent="0.4">
      <c r="A19" s="23"/>
      <c r="C19" s="6">
        <v>2016</v>
      </c>
      <c r="D19" s="899">
        <v>1.365146461693252</v>
      </c>
      <c r="E19" s="899">
        <v>0.58690787282255308</v>
      </c>
      <c r="F19" s="899">
        <v>3.1494030332365281</v>
      </c>
      <c r="G19" s="5"/>
      <c r="H19" s="899">
        <v>0.70969864754470369</v>
      </c>
      <c r="I19" s="899">
        <v>1.6727069974909394</v>
      </c>
      <c r="J19" s="899">
        <v>2.2984393864866073</v>
      </c>
      <c r="K19" s="899">
        <v>1.363767459107577</v>
      </c>
      <c r="L19" s="899">
        <v>1.9060117485314336</v>
      </c>
      <c r="M19" s="899">
        <v>3.7488632153322778</v>
      </c>
      <c r="O19" s="5"/>
      <c r="P19" s="5"/>
      <c r="Q19" s="5"/>
      <c r="R19" s="5"/>
      <c r="S19" s="5"/>
      <c r="T19" s="5"/>
      <c r="U19" s="5"/>
      <c r="V19" s="5"/>
      <c r="W19" s="5"/>
      <c r="X19" s="5"/>
      <c r="Y19" s="5"/>
      <c r="Z19" s="5"/>
      <c r="AA19" s="5"/>
      <c r="AB19" s="5"/>
    </row>
    <row r="20" spans="1:28" ht="18.75" x14ac:dyDescent="0.4">
      <c r="A20" s="23"/>
      <c r="C20" s="6">
        <v>2017</v>
      </c>
      <c r="D20" s="899">
        <v>1.5347611202635913</v>
      </c>
      <c r="E20" s="899">
        <v>1.2467593133247694</v>
      </c>
      <c r="F20" s="899">
        <v>2.2242102320380206</v>
      </c>
      <c r="G20" s="5"/>
      <c r="H20" s="899">
        <v>0.89250274346821079</v>
      </c>
      <c r="I20" s="899">
        <v>0.60526672388093405</v>
      </c>
      <c r="J20" s="899">
        <v>2.3086269744835968</v>
      </c>
      <c r="K20" s="899">
        <v>1.7487952743665478</v>
      </c>
      <c r="L20" s="899">
        <v>2.12308050255933</v>
      </c>
      <c r="M20" s="899">
        <v>4.56496559242352</v>
      </c>
      <c r="O20" s="5"/>
      <c r="P20" s="5"/>
      <c r="Q20" s="5"/>
      <c r="R20" s="5"/>
      <c r="S20" s="5"/>
      <c r="T20" s="5"/>
      <c r="U20" s="5"/>
      <c r="V20" s="5"/>
      <c r="W20" s="5"/>
      <c r="X20" s="5"/>
      <c r="Y20" s="5"/>
      <c r="Z20" s="5"/>
      <c r="AA20" s="5"/>
      <c r="AB20" s="5"/>
    </row>
    <row r="21" spans="1:28" ht="18.75" x14ac:dyDescent="0.4">
      <c r="A21" s="23"/>
      <c r="C21" s="6">
        <v>2018</v>
      </c>
      <c r="D21" s="899">
        <v>1.3715600988389804</v>
      </c>
      <c r="E21" s="899">
        <v>0.96730806454014395</v>
      </c>
      <c r="F21" s="899">
        <v>2.2385914863268153</v>
      </c>
      <c r="G21" s="5"/>
      <c r="H21" s="899">
        <v>0.25204941622689297</v>
      </c>
      <c r="I21" s="899">
        <v>2.9036705152507323</v>
      </c>
      <c r="J21" s="899">
        <v>2.5184275184275187</v>
      </c>
      <c r="K21" s="899">
        <v>1.1068376068376069</v>
      </c>
      <c r="L21" s="899">
        <v>1.7801138343593914</v>
      </c>
      <c r="M21" s="899">
        <v>5.3625960602704792</v>
      </c>
      <c r="P21" s="5"/>
      <c r="Q21" s="5"/>
      <c r="R21" s="5"/>
      <c r="S21" s="5"/>
      <c r="T21" s="5"/>
      <c r="U21" s="5"/>
      <c r="V21" s="5"/>
      <c r="W21" s="5"/>
      <c r="X21" s="5"/>
      <c r="Y21" s="5"/>
      <c r="Z21" s="5"/>
      <c r="AA21" s="5"/>
      <c r="AB21" s="5"/>
    </row>
    <row r="22" spans="1:28" ht="18.75" x14ac:dyDescent="0.4">
      <c r="A22" s="23"/>
      <c r="C22" s="6">
        <v>2019</v>
      </c>
      <c r="D22" s="899">
        <v>1.103200220103207</v>
      </c>
      <c r="E22" s="899">
        <v>0.81204996618530456</v>
      </c>
      <c r="F22" s="899">
        <v>1.7071359313432219</v>
      </c>
      <c r="G22" s="5"/>
      <c r="H22" s="899">
        <v>0.50411715876660956</v>
      </c>
      <c r="I22" s="899">
        <v>0.66341727592743027</v>
      </c>
      <c r="J22" s="899">
        <v>3.8700405481701998</v>
      </c>
      <c r="K22" s="899">
        <v>0.62187586098319358</v>
      </c>
      <c r="L22" s="899">
        <v>0</v>
      </c>
      <c r="M22" s="899">
        <v>4.6983251496603211</v>
      </c>
      <c r="P22" s="5"/>
      <c r="Q22" s="5"/>
      <c r="R22" s="5"/>
      <c r="S22" s="5"/>
      <c r="T22" s="5"/>
      <c r="U22" s="5"/>
      <c r="V22" s="5"/>
      <c r="W22" s="5"/>
      <c r="X22" s="5"/>
      <c r="Y22" s="5"/>
      <c r="Z22" s="5"/>
      <c r="AA22" s="5"/>
      <c r="AB22" s="5"/>
    </row>
    <row r="23" spans="1:28" ht="18.75" x14ac:dyDescent="0.4">
      <c r="A23" s="23"/>
      <c r="C23" s="6">
        <v>2020</v>
      </c>
      <c r="D23" s="899">
        <v>0.43869644484958975</v>
      </c>
      <c r="E23" s="899">
        <v>0.29198802554157882</v>
      </c>
      <c r="F23" s="899">
        <v>0.75301997872586912</v>
      </c>
      <c r="G23" s="5"/>
      <c r="H23" s="899">
        <v>0.14362466088621736</v>
      </c>
      <c r="I23" s="899">
        <v>0</v>
      </c>
      <c r="J23" s="899">
        <v>2.2749170324376409</v>
      </c>
      <c r="K23" s="899">
        <v>0.47818730228794232</v>
      </c>
      <c r="L23" s="899">
        <v>1.0754364089775561</v>
      </c>
      <c r="M23" s="899">
        <v>0.55762706170848875</v>
      </c>
      <c r="P23" s="5"/>
      <c r="Q23" s="5"/>
      <c r="R23" s="5"/>
      <c r="S23" s="5"/>
      <c r="T23" s="5"/>
      <c r="U23" s="5"/>
      <c r="V23" s="5"/>
      <c r="W23" s="5"/>
      <c r="X23" s="5"/>
      <c r="Y23" s="5"/>
      <c r="Z23" s="5"/>
      <c r="AA23" s="5"/>
      <c r="AB23" s="5"/>
    </row>
    <row r="24" spans="1:28" ht="18.75" x14ac:dyDescent="0.4">
      <c r="A24" s="23"/>
      <c r="C24" s="6">
        <v>2021</v>
      </c>
      <c r="D24" s="899">
        <v>0.18388101097168028</v>
      </c>
      <c r="E24" s="899">
        <v>6.8359914952223461E-2</v>
      </c>
      <c r="F24" s="899">
        <v>0.4251299008030231</v>
      </c>
      <c r="G24" s="5"/>
      <c r="H24" s="899">
        <v>0</v>
      </c>
      <c r="I24" s="899">
        <v>0</v>
      </c>
      <c r="J24" s="899">
        <v>0.67104159471061331</v>
      </c>
      <c r="K24" s="899">
        <v>0.44736529553822402</v>
      </c>
      <c r="L24" s="899">
        <v>0</v>
      </c>
      <c r="M24" s="899">
        <v>0.96264794118616681</v>
      </c>
      <c r="P24" s="5"/>
      <c r="Q24" s="5"/>
      <c r="R24" s="5"/>
      <c r="S24" s="5"/>
      <c r="T24" s="5"/>
      <c r="U24" s="5"/>
      <c r="V24" s="5"/>
      <c r="W24" s="5"/>
      <c r="X24" s="5"/>
      <c r="Y24" s="5"/>
      <c r="Z24" s="5"/>
      <c r="AA24" s="5"/>
      <c r="AB24" s="5"/>
    </row>
    <row r="25" spans="1:28" ht="18.75" x14ac:dyDescent="0.4">
      <c r="A25" s="23"/>
      <c r="C25" s="6">
        <v>2022</v>
      </c>
      <c r="D25" s="899">
        <v>0.46223962775211674</v>
      </c>
      <c r="E25" s="899">
        <v>0.14701573219897138</v>
      </c>
      <c r="F25" s="899">
        <v>1.1176470588235294</v>
      </c>
      <c r="G25" s="5"/>
      <c r="H25" s="899">
        <v>0.12959693475076067</v>
      </c>
      <c r="I25" s="899">
        <v>0</v>
      </c>
      <c r="J25" s="899">
        <v>1.0022324609319337</v>
      </c>
      <c r="K25" s="899">
        <v>0.4793243808726747</v>
      </c>
      <c r="L25" s="899">
        <v>1.8266816725824604</v>
      </c>
      <c r="M25" s="899">
        <v>0.61749809200027705</v>
      </c>
      <c r="P25" s="5"/>
      <c r="Q25" s="5"/>
      <c r="R25" s="5"/>
      <c r="S25" s="5"/>
      <c r="T25" s="5"/>
      <c r="U25" s="5"/>
      <c r="V25" s="5"/>
      <c r="W25" s="5"/>
      <c r="X25" s="5"/>
      <c r="Y25" s="5"/>
      <c r="Z25" s="5"/>
      <c r="AA25" s="5"/>
      <c r="AB25" s="5"/>
    </row>
    <row r="26" spans="1:28" ht="18.75" x14ac:dyDescent="0.4">
      <c r="A26" s="23"/>
      <c r="C26" s="6">
        <v>2023</v>
      </c>
      <c r="D26" s="899">
        <v>0.25820012020239663</v>
      </c>
      <c r="E26" s="899">
        <v>0.14832827974511753</v>
      </c>
      <c r="F26" s="899">
        <v>0.47680231274216539</v>
      </c>
      <c r="G26" s="5"/>
      <c r="H26" s="899">
        <v>0</v>
      </c>
      <c r="I26" s="899">
        <v>0</v>
      </c>
      <c r="J26" s="899">
        <v>0.68242191078135017</v>
      </c>
      <c r="K26" s="899">
        <v>0</v>
      </c>
      <c r="L26" s="899">
        <v>0.80009344156981832</v>
      </c>
      <c r="M26" s="899">
        <v>1.0944172070219831</v>
      </c>
      <c r="P26" s="5"/>
      <c r="Q26" s="5"/>
      <c r="R26" s="5"/>
      <c r="S26" s="5"/>
      <c r="T26" s="5"/>
      <c r="U26" s="5"/>
      <c r="V26" s="5"/>
      <c r="W26" s="5"/>
      <c r="X26" s="5"/>
      <c r="Y26" s="5"/>
      <c r="Z26" s="5"/>
      <c r="AA26" s="5"/>
      <c r="AB26" s="5"/>
    </row>
    <row r="27" spans="1:28" ht="18.75" x14ac:dyDescent="0.4">
      <c r="A27" s="23"/>
      <c r="C27" s="233">
        <v>2024</v>
      </c>
      <c r="D27" s="900">
        <v>0.36860394285081405</v>
      </c>
      <c r="E27" s="900">
        <v>0.17532155213876779</v>
      </c>
      <c r="F27" s="900">
        <v>0.75966055938641197</v>
      </c>
      <c r="G27" s="153"/>
      <c r="H27" s="900">
        <v>0</v>
      </c>
      <c r="I27" s="900">
        <v>0</v>
      </c>
      <c r="J27" s="900">
        <v>1.651081239041496</v>
      </c>
      <c r="K27" s="900">
        <v>1.0058992588110724</v>
      </c>
      <c r="L27" s="900">
        <v>0.85499316005471959</v>
      </c>
      <c r="M27" s="900">
        <v>0.54479212775375396</v>
      </c>
      <c r="P27" s="5"/>
      <c r="Q27" s="5"/>
      <c r="R27" s="5"/>
      <c r="S27" s="5"/>
      <c r="T27" s="5"/>
      <c r="U27" s="5"/>
      <c r="V27" s="5"/>
      <c r="W27" s="5"/>
      <c r="X27" s="5"/>
      <c r="Y27" s="5"/>
      <c r="Z27" s="5"/>
      <c r="AA27" s="5"/>
      <c r="AB27" s="5"/>
    </row>
    <row r="28" spans="1:28" ht="18.75" x14ac:dyDescent="0.4">
      <c r="A28" s="23"/>
      <c r="C28" s="2281" t="s">
        <v>8115</v>
      </c>
      <c r="D28" s="899"/>
      <c r="E28" s="899"/>
      <c r="F28" s="899"/>
      <c r="G28" s="5"/>
      <c r="H28" s="899"/>
      <c r="I28" s="899"/>
      <c r="J28" s="899"/>
      <c r="K28" s="899"/>
      <c r="L28" s="899"/>
      <c r="M28" s="899"/>
      <c r="P28" s="5"/>
      <c r="Q28" s="5"/>
      <c r="R28" s="5"/>
      <c r="S28" s="5"/>
      <c r="T28" s="5"/>
      <c r="U28" s="5"/>
      <c r="V28" s="5"/>
      <c r="W28" s="5"/>
      <c r="X28" s="5"/>
      <c r="Y28" s="5"/>
      <c r="Z28" s="5"/>
      <c r="AA28" s="5"/>
      <c r="AB28" s="5"/>
    </row>
    <row r="29" spans="1:28" ht="18.75" x14ac:dyDescent="0.4">
      <c r="A29" s="21"/>
      <c r="P29" s="5"/>
      <c r="Q29" s="5"/>
      <c r="R29" s="5"/>
      <c r="S29" s="5"/>
      <c r="T29" s="5"/>
      <c r="U29" s="5"/>
      <c r="V29" s="5"/>
      <c r="W29" s="5"/>
      <c r="X29" s="5"/>
      <c r="Y29" s="5"/>
      <c r="Z29" s="5"/>
      <c r="AA29" s="5"/>
      <c r="AB29" s="5"/>
    </row>
    <row r="30" spans="1:28" ht="33" customHeight="1" x14ac:dyDescent="0.4">
      <c r="A30" s="23"/>
      <c r="C30" s="2602" t="s">
        <v>8119</v>
      </c>
      <c r="D30" s="2602"/>
      <c r="E30" s="2602"/>
      <c r="F30" s="2602"/>
      <c r="G30" s="2602"/>
      <c r="H30" s="2602"/>
      <c r="I30" s="2602"/>
      <c r="J30" s="2602"/>
      <c r="K30" s="2602"/>
      <c r="L30" s="2602"/>
      <c r="M30" s="2602"/>
      <c r="P30" s="5"/>
      <c r="Q30" s="5"/>
      <c r="R30" s="5"/>
      <c r="S30" s="5"/>
      <c r="T30" s="5"/>
      <c r="U30" s="5"/>
      <c r="V30" s="5"/>
      <c r="W30" s="5"/>
      <c r="X30" s="5"/>
      <c r="Y30" s="5"/>
      <c r="Z30" s="5"/>
      <c r="AA30" s="5"/>
      <c r="AB30" s="5"/>
    </row>
    <row r="31" spans="1:28" ht="18.75" x14ac:dyDescent="0.4">
      <c r="P31" s="5"/>
      <c r="Q31" s="5"/>
      <c r="R31" s="5"/>
      <c r="S31" s="5"/>
      <c r="T31" s="5"/>
      <c r="U31" s="5"/>
      <c r="V31" s="5"/>
      <c r="W31" s="5"/>
      <c r="X31" s="5"/>
      <c r="Y31" s="5"/>
      <c r="Z31" s="5"/>
      <c r="AA31" s="5"/>
      <c r="AB31" s="5"/>
    </row>
    <row r="32" spans="1:28" ht="18.75" x14ac:dyDescent="0.4">
      <c r="P32" s="5"/>
      <c r="Q32" s="5"/>
      <c r="R32" s="5"/>
      <c r="S32" s="5"/>
      <c r="T32" s="5"/>
      <c r="U32" s="5"/>
      <c r="V32" s="5"/>
      <c r="W32" s="5"/>
      <c r="X32" s="5"/>
      <c r="Y32" s="5"/>
      <c r="Z32" s="5"/>
      <c r="AA32" s="5"/>
      <c r="AB32" s="5"/>
    </row>
    <row r="33" spans="3:28" ht="18.75" x14ac:dyDescent="0.4">
      <c r="Q33" s="5"/>
      <c r="R33" s="5"/>
      <c r="S33" s="5"/>
      <c r="T33" s="5"/>
      <c r="U33" s="5"/>
      <c r="V33" s="5"/>
      <c r="W33" s="5"/>
      <c r="X33" s="5"/>
      <c r="Y33" s="5"/>
      <c r="Z33" s="5"/>
      <c r="AA33" s="5"/>
      <c r="AB33" s="5"/>
    </row>
    <row r="34" spans="3:28" ht="18.75" x14ac:dyDescent="0.4">
      <c r="Q34" s="5"/>
      <c r="R34" s="5"/>
      <c r="S34" s="5"/>
      <c r="T34" s="5"/>
      <c r="U34" s="5"/>
      <c r="V34" s="5"/>
      <c r="W34" s="5"/>
      <c r="X34" s="5"/>
      <c r="Y34" s="5"/>
      <c r="Z34" s="5"/>
      <c r="AA34" s="5"/>
      <c r="AB34" s="5"/>
    </row>
    <row r="35" spans="3:28" ht="18.75" x14ac:dyDescent="0.4">
      <c r="Q35" s="5"/>
      <c r="R35" s="5"/>
      <c r="S35" s="5"/>
      <c r="T35" s="5"/>
      <c r="U35" s="5"/>
      <c r="V35" s="5"/>
      <c r="W35" s="5"/>
      <c r="X35" s="5"/>
      <c r="Y35" s="5"/>
      <c r="Z35" s="5"/>
      <c r="AA35" s="5"/>
      <c r="AB35" s="5"/>
    </row>
    <row r="36" spans="3:28" ht="18.75" x14ac:dyDescent="0.4">
      <c r="Q36" s="5"/>
      <c r="R36" s="5"/>
      <c r="S36" s="5"/>
      <c r="T36" s="5"/>
      <c r="U36" s="5"/>
      <c r="V36" s="5"/>
      <c r="W36" s="5"/>
      <c r="X36" s="5"/>
      <c r="Y36" s="5"/>
      <c r="Z36" s="5"/>
      <c r="AA36" s="5"/>
      <c r="AB36" s="5"/>
    </row>
    <row r="37" spans="3:28" ht="18.75" x14ac:dyDescent="0.4">
      <c r="Q37" s="5"/>
      <c r="R37" s="5"/>
      <c r="S37" s="5"/>
      <c r="T37" s="5"/>
      <c r="U37" s="5"/>
      <c r="V37" s="5"/>
      <c r="W37" s="5"/>
      <c r="X37" s="5"/>
      <c r="Y37" s="5"/>
      <c r="Z37" s="5"/>
      <c r="AA37" s="5"/>
      <c r="AB37" s="5"/>
    </row>
    <row r="38" spans="3:28" ht="18.75" x14ac:dyDescent="0.4">
      <c r="Q38" s="5"/>
      <c r="R38" s="5"/>
      <c r="S38" s="5"/>
      <c r="T38" s="5"/>
      <c r="U38" s="5"/>
      <c r="V38" s="5"/>
      <c r="W38" s="5"/>
      <c r="X38" s="5"/>
      <c r="Y38" s="5"/>
      <c r="Z38" s="5"/>
      <c r="AA38" s="5"/>
      <c r="AB38" s="5"/>
    </row>
    <row r="39" spans="3:28" ht="18.75" x14ac:dyDescent="0.4">
      <c r="Q39" s="5"/>
      <c r="R39" s="5"/>
      <c r="S39" s="5"/>
      <c r="T39" s="5"/>
      <c r="U39" s="5"/>
      <c r="V39" s="5"/>
      <c r="W39" s="5"/>
      <c r="X39" s="5"/>
      <c r="Y39" s="5"/>
      <c r="Z39" s="5"/>
      <c r="AA39" s="5"/>
      <c r="AB39" s="5"/>
    </row>
    <row r="40" spans="3:28" ht="18.75" x14ac:dyDescent="0.4">
      <c r="Q40" s="5"/>
      <c r="R40" s="5"/>
      <c r="S40" s="5"/>
      <c r="T40" s="5"/>
      <c r="U40" s="5"/>
      <c r="V40" s="5"/>
      <c r="W40" s="5"/>
      <c r="X40" s="5"/>
      <c r="Y40" s="5"/>
      <c r="Z40" s="5"/>
      <c r="AA40" s="5"/>
      <c r="AB40" s="5"/>
    </row>
    <row r="41" spans="3:28" ht="18.75" x14ac:dyDescent="0.4">
      <c r="Q41" s="5"/>
      <c r="R41" s="5"/>
      <c r="S41" s="5"/>
      <c r="T41" s="5"/>
      <c r="U41" s="5"/>
      <c r="V41" s="5"/>
      <c r="W41" s="5"/>
      <c r="X41" s="5"/>
      <c r="Y41" s="5"/>
      <c r="Z41" s="5"/>
      <c r="AA41" s="5"/>
      <c r="AB41" s="5"/>
    </row>
    <row r="42" spans="3:28" ht="18.75" x14ac:dyDescent="0.4">
      <c r="Q42" s="5"/>
      <c r="R42" s="5"/>
      <c r="S42" s="5"/>
      <c r="T42" s="5"/>
      <c r="U42" s="5"/>
      <c r="V42" s="5"/>
      <c r="W42" s="5"/>
      <c r="X42" s="5"/>
      <c r="Y42" s="5"/>
      <c r="Z42" s="5"/>
      <c r="AA42" s="5"/>
      <c r="AB42" s="5"/>
    </row>
    <row r="43" spans="3:28" ht="18.75" x14ac:dyDescent="0.4">
      <c r="Q43" s="5"/>
      <c r="R43" s="5"/>
      <c r="S43" s="5"/>
      <c r="T43" s="5"/>
      <c r="U43" s="5"/>
      <c r="V43" s="5"/>
      <c r="W43" s="5"/>
      <c r="X43" s="5"/>
      <c r="Y43" s="5"/>
      <c r="Z43" s="5"/>
      <c r="AA43" s="5"/>
      <c r="AB43" s="5"/>
    </row>
    <row r="44" spans="3:28" ht="18.75" x14ac:dyDescent="0.4">
      <c r="Q44" s="5"/>
      <c r="R44" s="5"/>
      <c r="S44" s="5"/>
      <c r="T44" s="5"/>
      <c r="U44" s="5"/>
      <c r="V44" s="5"/>
      <c r="W44" s="5"/>
      <c r="X44" s="5"/>
      <c r="Y44" s="5"/>
      <c r="Z44" s="5"/>
      <c r="AA44" s="5"/>
      <c r="AB44" s="5"/>
    </row>
    <row r="45" spans="3:28" ht="18.75" x14ac:dyDescent="0.4">
      <c r="C45" s="5" t="s">
        <v>8117</v>
      </c>
      <c r="Q45" s="5"/>
      <c r="R45" s="5"/>
      <c r="S45" s="5"/>
      <c r="T45" s="5"/>
      <c r="U45" s="5"/>
      <c r="V45" s="5"/>
      <c r="W45" s="5"/>
      <c r="X45" s="5"/>
      <c r="Y45" s="5"/>
      <c r="Z45" s="5"/>
      <c r="AA45" s="5"/>
      <c r="AB45" s="5"/>
    </row>
    <row r="46" spans="3:28" ht="18.75" x14ac:dyDescent="0.4">
      <c r="Q46" s="5"/>
      <c r="R46" s="5"/>
      <c r="S46" s="5"/>
      <c r="T46" s="5"/>
      <c r="U46" s="5"/>
      <c r="V46" s="5"/>
      <c r="W46" s="5"/>
      <c r="X46" s="5"/>
      <c r="Y46" s="5"/>
      <c r="Z46" s="5"/>
      <c r="AA46" s="5"/>
      <c r="AB46" s="5"/>
    </row>
    <row r="47" spans="3:28" ht="18.75" x14ac:dyDescent="0.4">
      <c r="Q47" s="5"/>
      <c r="R47" s="5"/>
      <c r="S47" s="5"/>
      <c r="T47" s="5"/>
      <c r="U47" s="5"/>
      <c r="V47" s="5"/>
      <c r="W47" s="5"/>
      <c r="X47" s="5"/>
      <c r="Y47" s="5"/>
      <c r="Z47" s="5"/>
      <c r="AA47" s="5"/>
      <c r="AB47" s="5"/>
    </row>
    <row r="48" spans="3:28" ht="18.75" x14ac:dyDescent="0.4">
      <c r="Q48" s="5"/>
      <c r="R48" s="5"/>
      <c r="S48" s="5"/>
      <c r="T48" s="5"/>
      <c r="U48" s="5"/>
      <c r="V48" s="5"/>
      <c r="W48" s="5"/>
      <c r="X48" s="5"/>
      <c r="Y48" s="5"/>
      <c r="Z48" s="5"/>
      <c r="AA48" s="5"/>
      <c r="AB48" s="5"/>
    </row>
    <row r="49" spans="17:28" ht="18.75" x14ac:dyDescent="0.4">
      <c r="Q49" s="5"/>
      <c r="R49" s="5"/>
      <c r="S49" s="5"/>
      <c r="T49" s="5"/>
      <c r="U49" s="5"/>
      <c r="V49" s="5"/>
      <c r="W49" s="5"/>
      <c r="X49" s="5"/>
      <c r="Y49" s="5"/>
      <c r="Z49" s="5"/>
      <c r="AA49" s="5"/>
      <c r="AB49" s="5"/>
    </row>
    <row r="50" spans="17:28" ht="18.75" x14ac:dyDescent="0.4">
      <c r="Q50" s="5"/>
      <c r="R50" s="5"/>
      <c r="S50" s="5"/>
      <c r="T50" s="5"/>
      <c r="U50" s="5"/>
      <c r="V50" s="5"/>
      <c r="W50" s="5"/>
      <c r="X50" s="5"/>
      <c r="Y50" s="5"/>
      <c r="Z50" s="5"/>
      <c r="AA50" s="5"/>
      <c r="AB50" s="5"/>
    </row>
  </sheetData>
  <mergeCells count="15">
    <mergeCell ref="A5:B5"/>
    <mergeCell ref="C5:T5"/>
    <mergeCell ref="C1:D1"/>
    <mergeCell ref="A3:B3"/>
    <mergeCell ref="C3:T3"/>
    <mergeCell ref="A4:B4"/>
    <mergeCell ref="C4:T4"/>
    <mergeCell ref="C30:M30"/>
    <mergeCell ref="A6:B6"/>
    <mergeCell ref="C6:T6"/>
    <mergeCell ref="C9:M9"/>
    <mergeCell ref="C11:C12"/>
    <mergeCell ref="D11:D12"/>
    <mergeCell ref="E11:F11"/>
    <mergeCell ref="H11:M11"/>
  </mergeCells>
  <hyperlinks>
    <hyperlink ref="A1" location="'5.3.1'!A1" display="REGRESAR" xr:uid="{6CF0CDFB-AB63-41A8-806E-ED10D55E6E3F}"/>
    <hyperlink ref="C1" location="'Metadato 5.3.1'!A1" display="VER METADATO" xr:uid="{C5B9E2B8-F4B5-4534-B064-F87D8BC64EE9}"/>
    <hyperlink ref="C1:D1" location="'Metadato 5.3.1-ENAHO'!A1" display="VER METADATO" xr:uid="{6F01B744-5DFB-49CE-A0DC-AE76EF203463}"/>
  </hyperlink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44E7-F4F5-4EFD-B132-92A496C5255E}">
  <sheetPr>
    <tabColor theme="0" tint="-0.499984740745262"/>
  </sheetPr>
  <dimension ref="B1:F36"/>
  <sheetViews>
    <sheetView showGridLines="0" workbookViewId="0">
      <pane ySplit="1" topLeftCell="A17" activePane="bottomLeft" state="frozen"/>
      <selection activeCell="R16" sqref="R16"/>
      <selection pane="bottomLeft" activeCell="D15" sqref="D15"/>
    </sheetView>
  </sheetViews>
  <sheetFormatPr baseColWidth="10" defaultColWidth="11.42578125" defaultRowHeight="18.75" x14ac:dyDescent="0.25"/>
  <cols>
    <col min="1" max="1" width="10.5703125" style="222" customWidth="1"/>
    <col min="2" max="2" width="26.42578125" style="222" customWidth="1"/>
    <col min="3" max="3" width="24" style="222" customWidth="1"/>
    <col min="4" max="4" width="85.7109375" style="222" customWidth="1"/>
    <col min="5" max="5" width="2" style="222" customWidth="1"/>
    <col min="6" max="6" width="7.28515625" style="222" customWidth="1"/>
    <col min="7" max="7" width="9.5703125" style="222" customWidth="1"/>
    <col min="8" max="8" width="11.42578125" style="222"/>
    <col min="9" max="9" width="8.7109375" style="222" customWidth="1"/>
    <col min="10" max="10" width="11.42578125" style="222"/>
    <col min="11" max="11" width="8" style="222" customWidth="1"/>
    <col min="12" max="16384" width="11.42578125" style="222"/>
  </cols>
  <sheetData>
    <row r="1" spans="2:6" x14ac:dyDescent="0.25">
      <c r="B1" s="223" t="s">
        <v>39</v>
      </c>
    </row>
    <row r="2" spans="2:6" ht="19.5" thickBot="1" x14ac:dyDescent="0.3"/>
    <row r="3" spans="2:6" ht="23.25" customHeight="1" thickBot="1" x14ac:dyDescent="0.3">
      <c r="B3" s="2745" t="s">
        <v>75</v>
      </c>
      <c r="C3" s="2745"/>
      <c r="D3" s="2745"/>
      <c r="F3" s="91" t="s">
        <v>76</v>
      </c>
    </row>
    <row r="4" spans="2:6" x14ac:dyDescent="0.25">
      <c r="B4" s="2445" t="s">
        <v>77</v>
      </c>
      <c r="C4" s="2445"/>
      <c r="D4" s="49" t="s">
        <v>2064</v>
      </c>
    </row>
    <row r="5" spans="2:6" ht="37.5" x14ac:dyDescent="0.25">
      <c r="B5" s="2445" t="s">
        <v>79</v>
      </c>
      <c r="C5" s="2445"/>
      <c r="D5" s="49" t="s">
        <v>1983</v>
      </c>
    </row>
    <row r="6" spans="2:6" x14ac:dyDescent="0.25">
      <c r="B6" s="2445" t="s">
        <v>80</v>
      </c>
      <c r="C6" s="2445"/>
      <c r="D6" s="50" t="s">
        <v>2142</v>
      </c>
    </row>
    <row r="7" spans="2:6" ht="37.5" x14ac:dyDescent="0.25">
      <c r="B7" s="2446" t="s">
        <v>81</v>
      </c>
      <c r="C7" s="2446"/>
      <c r="D7" s="93" t="s">
        <v>2143</v>
      </c>
    </row>
    <row r="8" spans="2:6" x14ac:dyDescent="0.25">
      <c r="B8" s="2446" t="s">
        <v>82</v>
      </c>
      <c r="C8" s="2446"/>
      <c r="D8" s="94" t="s">
        <v>2131</v>
      </c>
    </row>
    <row r="9" spans="2:6" x14ac:dyDescent="0.4">
      <c r="B9" s="5"/>
      <c r="C9" s="5"/>
      <c r="D9" s="5"/>
    </row>
    <row r="10" spans="2:6" ht="23.25" customHeight="1" x14ac:dyDescent="0.25">
      <c r="B10" s="2745" t="s">
        <v>85</v>
      </c>
      <c r="C10" s="2745"/>
      <c r="D10" s="2745"/>
    </row>
    <row r="11" spans="2:6" x14ac:dyDescent="0.25">
      <c r="B11" s="2453" t="s">
        <v>86</v>
      </c>
      <c r="C11" s="2454"/>
      <c r="D11" s="49" t="s">
        <v>167</v>
      </c>
    </row>
    <row r="12" spans="2:6" ht="32.25" customHeight="1" x14ac:dyDescent="0.25">
      <c r="B12" s="2455" t="s">
        <v>88</v>
      </c>
      <c r="C12" s="2455"/>
      <c r="D12" s="375" t="s">
        <v>2144</v>
      </c>
    </row>
    <row r="13" spans="2:6" x14ac:dyDescent="0.25">
      <c r="B13" s="2445" t="s">
        <v>90</v>
      </c>
      <c r="C13" s="2445"/>
      <c r="D13" s="54" t="s">
        <v>1984</v>
      </c>
    </row>
    <row r="14" spans="2:6" x14ac:dyDescent="0.25">
      <c r="B14" s="2445" t="s">
        <v>91</v>
      </c>
      <c r="C14" s="2456"/>
      <c r="D14" s="54" t="s">
        <v>214</v>
      </c>
    </row>
    <row r="15" spans="2:6" ht="94.5" customHeight="1" x14ac:dyDescent="0.25">
      <c r="B15" s="2445" t="s">
        <v>93</v>
      </c>
      <c r="C15" s="2445"/>
      <c r="D15" s="56" t="s">
        <v>2145</v>
      </c>
    </row>
    <row r="16" spans="2:6" ht="47.25" customHeight="1" x14ac:dyDescent="0.25">
      <c r="B16" s="2445" t="s">
        <v>95</v>
      </c>
      <c r="C16" s="2445"/>
      <c r="D16" s="56"/>
    </row>
    <row r="17" spans="2:4" x14ac:dyDescent="0.25">
      <c r="B17" s="2445" t="s">
        <v>97</v>
      </c>
      <c r="C17" s="2445"/>
      <c r="D17" s="56" t="s">
        <v>238</v>
      </c>
    </row>
    <row r="18" spans="2:4" ht="15" customHeight="1" x14ac:dyDescent="0.25">
      <c r="B18" s="2446" t="s">
        <v>99</v>
      </c>
      <c r="C18" s="2446"/>
      <c r="D18" s="49"/>
    </row>
    <row r="19" spans="2:4" ht="33.75" customHeight="1" x14ac:dyDescent="0.25">
      <c r="B19" s="2457" t="s">
        <v>100</v>
      </c>
      <c r="C19" s="2458"/>
      <c r="D19" s="56" t="s">
        <v>2134</v>
      </c>
    </row>
    <row r="20" spans="2:4" x14ac:dyDescent="0.25">
      <c r="B20" s="2445" t="s">
        <v>102</v>
      </c>
      <c r="C20" s="2445"/>
      <c r="D20" s="56" t="s">
        <v>140</v>
      </c>
    </row>
    <row r="21" spans="2:4" x14ac:dyDescent="0.25">
      <c r="B21" s="2451" t="s">
        <v>104</v>
      </c>
      <c r="C21" s="95" t="s">
        <v>105</v>
      </c>
      <c r="D21" s="222" t="s">
        <v>2135</v>
      </c>
    </row>
    <row r="22" spans="2:4" x14ac:dyDescent="0.25">
      <c r="B22" s="2452"/>
      <c r="C22" s="96" t="s">
        <v>107</v>
      </c>
      <c r="D22" s="55"/>
    </row>
    <row r="23" spans="2:4" x14ac:dyDescent="0.25">
      <c r="B23" s="2444" t="s">
        <v>109</v>
      </c>
      <c r="C23" s="2444"/>
      <c r="D23" s="56" t="s">
        <v>143</v>
      </c>
    </row>
    <row r="24" spans="2:4" x14ac:dyDescent="0.25">
      <c r="B24" s="2444" t="s">
        <v>111</v>
      </c>
      <c r="C24" s="2444"/>
      <c r="D24" s="59" t="s">
        <v>127</v>
      </c>
    </row>
    <row r="25" spans="2:4" x14ac:dyDescent="0.25">
      <c r="B25" s="2445" t="s">
        <v>113</v>
      </c>
      <c r="C25" s="2445"/>
      <c r="D25" s="56" t="s">
        <v>144</v>
      </c>
    </row>
    <row r="26" spans="2:4" ht="15" customHeight="1" x14ac:dyDescent="0.25">
      <c r="B26" s="2446" t="s">
        <v>115</v>
      </c>
      <c r="C26" s="2446"/>
      <c r="D26" s="59" t="s">
        <v>116</v>
      </c>
    </row>
    <row r="27" spans="2:4" x14ac:dyDescent="0.25">
      <c r="B27" s="2447" t="s">
        <v>117</v>
      </c>
      <c r="C27" s="2448"/>
      <c r="D27" s="49"/>
    </row>
    <row r="28" spans="2:4" ht="37.5" x14ac:dyDescent="0.25">
      <c r="B28" s="97" t="s">
        <v>118</v>
      </c>
      <c r="C28" s="98"/>
      <c r="D28" s="56" t="s">
        <v>2137</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9" t="s">
        <v>2146</v>
      </c>
    </row>
    <row r="33" spans="2:4" x14ac:dyDescent="0.25">
      <c r="B33" s="2442" t="s">
        <v>124</v>
      </c>
      <c r="C33" s="2443"/>
      <c r="D33" s="59" t="s">
        <v>1790</v>
      </c>
    </row>
    <row r="34" spans="2:4" x14ac:dyDescent="0.25">
      <c r="B34" s="2442" t="s">
        <v>126</v>
      </c>
      <c r="C34" s="2443"/>
      <c r="D34" s="59" t="s">
        <v>127</v>
      </c>
    </row>
    <row r="35" spans="2:4" x14ac:dyDescent="0.25">
      <c r="B35" s="2442" t="s">
        <v>128</v>
      </c>
      <c r="C35" s="2443"/>
      <c r="D35" s="59" t="s">
        <v>1876</v>
      </c>
    </row>
    <row r="36" spans="2:4" x14ac:dyDescent="0.25">
      <c r="B36" s="2442" t="s">
        <v>130</v>
      </c>
      <c r="C36" s="2443"/>
      <c r="D36" s="65"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01F55D4-85F1-47CB-8DC5-CF0C33AD13BD}">
      <formula1>Tipo_operación</formula1>
    </dataValidation>
    <dataValidation type="list" allowBlank="1" showInputMessage="1" showErrorMessage="1" sqref="D14" xr:uid="{CBE5D2F3-B746-4568-9409-86211ABD6DF7}">
      <formula1>Tipo_indicador</formula1>
    </dataValidation>
    <dataValidation type="list" allowBlank="1" showInputMessage="1" showErrorMessage="1" sqref="D7" xr:uid="{662785D7-8397-44F3-AD96-2EE4C4C101DD}">
      <formula1>Nombre_indicador_ODS</formula1>
    </dataValidation>
    <dataValidation type="list" allowBlank="1" showInputMessage="1" showErrorMessage="1" sqref="D6" xr:uid="{B20AD88E-1533-4E89-9C85-97BE3010A5D5}">
      <formula1>Numero_indicador</formula1>
    </dataValidation>
    <dataValidation type="list" allowBlank="1" showInputMessage="1" showErrorMessage="1" sqref="D5" xr:uid="{611D5C7D-B3EE-4E82-8FF7-732118FBD3EE}">
      <formula1>Metas_ODS</formula1>
    </dataValidation>
    <dataValidation type="list" allowBlank="1" showInputMessage="1" showErrorMessage="1" sqref="D4" xr:uid="{7928C2EF-0D1F-4BA9-B1FF-62D3C1B2CC31}">
      <formula1>ODS</formula1>
    </dataValidation>
    <dataValidation allowBlank="1" showDropDown="1" showInputMessage="1" showErrorMessage="1" sqref="D13" xr:uid="{1A28BDBE-47D1-41C1-B4E7-5C5960F56A58}"/>
  </dataValidations>
  <hyperlinks>
    <hyperlink ref="B1" location="'5.3.1-ENAHO'!A1" display="REGRESAR" xr:uid="{5056132B-4FA7-4717-9067-FE7A3401EA2A}"/>
    <hyperlink ref="D36" r:id="rId1" xr:uid="{1666F61C-5528-4488-9C8C-C11B0EECD8B8}"/>
    <hyperlink ref="D8" r:id="rId2" xr:uid="{A27F0235-2372-461F-923B-EE033E4F5734}"/>
  </hyperlinks>
  <pageMargins left="0.7" right="0.7" top="0.75" bottom="0.75" header="0.3" footer="0.3"/>
  <pageSetup paperSize="9" orientation="portrait" r:id="rId3"/>
  <drawing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7382-0BF5-491C-8B79-1F0F42F9F2D3}">
  <sheetPr>
    <tabColor rgb="FF7030A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28515625" style="22" customWidth="1"/>
    <col min="2" max="2" width="18.28515625" style="22" customWidth="1"/>
    <col min="3" max="3" width="11.28515625" style="89" customWidth="1"/>
    <col min="4" max="5" width="11.28515625" style="22" customWidth="1"/>
    <col min="6" max="16384" width="11.42578125" style="22"/>
  </cols>
  <sheetData>
    <row r="1" spans="1:16" s="16" customFormat="1" ht="19.5" x14ac:dyDescent="0.4">
      <c r="A1" s="15" t="s">
        <v>39</v>
      </c>
      <c r="B1" s="161"/>
      <c r="C1" s="2421" t="s">
        <v>149</v>
      </c>
      <c r="D1" s="2421"/>
    </row>
    <row r="2" spans="1:16" s="16" customFormat="1" ht="19.5" x14ac:dyDescent="0.4">
      <c r="C2" s="218"/>
    </row>
    <row r="3" spans="1:16" s="16" customFormat="1" ht="19.5" x14ac:dyDescent="0.4">
      <c r="A3" s="2736" t="s">
        <v>41</v>
      </c>
      <c r="B3" s="2744"/>
      <c r="C3" s="2736" t="s">
        <v>1974</v>
      </c>
      <c r="D3" s="2762"/>
      <c r="E3" s="2762"/>
      <c r="F3" s="2762"/>
      <c r="G3" s="2762"/>
      <c r="H3" s="2762"/>
      <c r="I3" s="2762"/>
      <c r="J3" s="2762"/>
      <c r="K3" s="2762"/>
      <c r="L3" s="2762"/>
      <c r="M3" s="2762"/>
      <c r="N3" s="2762"/>
      <c r="O3" s="2762"/>
      <c r="P3" s="2762"/>
    </row>
    <row r="4" spans="1:16" s="16" customFormat="1" ht="19.5" x14ac:dyDescent="0.4">
      <c r="A4" s="2736" t="s">
        <v>42</v>
      </c>
      <c r="B4" s="2737"/>
      <c r="C4" s="2736" t="s">
        <v>1983</v>
      </c>
      <c r="D4" s="2738"/>
      <c r="E4" s="2738"/>
      <c r="F4" s="2738"/>
      <c r="G4" s="2738"/>
      <c r="H4" s="2738"/>
      <c r="I4" s="2738"/>
      <c r="J4" s="2738"/>
      <c r="K4" s="2738"/>
      <c r="L4" s="2738"/>
      <c r="M4" s="2738"/>
      <c r="N4" s="2738"/>
      <c r="O4" s="2738"/>
      <c r="P4" s="2738"/>
    </row>
    <row r="5" spans="1:16" s="16" customFormat="1" ht="19.5" x14ac:dyDescent="0.4">
      <c r="A5" s="2736" t="s">
        <v>43</v>
      </c>
      <c r="B5" s="2737"/>
      <c r="C5" s="2736" t="s">
        <v>1987</v>
      </c>
      <c r="D5" s="2738"/>
      <c r="E5" s="2738"/>
      <c r="F5" s="2738"/>
      <c r="G5" s="2738"/>
      <c r="H5" s="2738"/>
      <c r="I5" s="2738"/>
      <c r="J5" s="2738"/>
      <c r="K5" s="2738"/>
      <c r="L5" s="2738"/>
      <c r="M5" s="2738"/>
      <c r="N5" s="2738"/>
      <c r="O5" s="2738"/>
      <c r="P5" s="2738"/>
    </row>
    <row r="6" spans="1:16" s="16" customFormat="1" ht="19.5" x14ac:dyDescent="0.4">
      <c r="A6" s="2736" t="s">
        <v>132</v>
      </c>
      <c r="B6" s="2737"/>
      <c r="C6" s="2736"/>
      <c r="D6" s="2738"/>
      <c r="E6" s="2738"/>
      <c r="F6" s="2738"/>
      <c r="G6" s="2738"/>
      <c r="H6" s="2738"/>
      <c r="I6" s="2738"/>
      <c r="J6" s="2738"/>
      <c r="K6" s="2738"/>
      <c r="L6" s="2738"/>
      <c r="M6" s="2738"/>
      <c r="N6" s="2738"/>
      <c r="O6" s="2738"/>
      <c r="P6" s="2738"/>
    </row>
    <row r="7" spans="1:16" s="16" customFormat="1" ht="19.5" x14ac:dyDescent="0.4">
      <c r="A7" s="217"/>
      <c r="C7" s="218"/>
    </row>
    <row r="8" spans="1:16" s="16" customFormat="1" ht="19.5" x14ac:dyDescent="0.4">
      <c r="A8" s="363"/>
      <c r="C8" s="218"/>
    </row>
    <row r="9" spans="1:16" s="16" customFormat="1" ht="11.25" customHeight="1" x14ac:dyDescent="0.4">
      <c r="A9" s="217"/>
      <c r="C9" s="2506" t="s">
        <v>650</v>
      </c>
      <c r="D9" s="2506"/>
      <c r="E9" s="2506"/>
      <c r="F9" s="2506"/>
      <c r="G9" s="2506"/>
      <c r="H9" s="2506"/>
      <c r="I9" s="2506"/>
      <c r="J9" s="2506"/>
      <c r="K9" s="2506"/>
      <c r="L9" s="2506"/>
      <c r="M9" s="2506"/>
      <c r="N9" s="2506"/>
      <c r="O9" s="2506"/>
      <c r="P9" s="2506"/>
    </row>
    <row r="10" spans="1:16" s="16" customFormat="1" ht="11.25" customHeight="1" x14ac:dyDescent="0.4">
      <c r="A10" s="217"/>
      <c r="C10" s="2506"/>
      <c r="D10" s="2506"/>
      <c r="E10" s="2506"/>
      <c r="F10" s="2506"/>
      <c r="G10" s="2506"/>
      <c r="H10" s="2506"/>
      <c r="I10" s="2506"/>
      <c r="J10" s="2506"/>
      <c r="K10" s="2506"/>
      <c r="L10" s="2506"/>
      <c r="M10" s="2506"/>
      <c r="N10" s="2506"/>
      <c r="O10" s="2506"/>
      <c r="P10" s="2506"/>
    </row>
    <row r="11" spans="1:16" x14ac:dyDescent="0.25">
      <c r="A11" s="23"/>
    </row>
    <row r="12" spans="1:16" x14ac:dyDescent="0.25">
      <c r="A12" s="23"/>
    </row>
    <row r="13" spans="1:16" x14ac:dyDescent="0.25">
      <c r="A13" s="23"/>
    </row>
    <row r="14" spans="1:16" x14ac:dyDescent="0.25">
      <c r="A14" s="23"/>
    </row>
    <row r="15" spans="1:16" x14ac:dyDescent="0.25">
      <c r="A15" s="23"/>
    </row>
    <row r="16" spans="1:16" x14ac:dyDescent="0.25">
      <c r="A16" s="23"/>
    </row>
    <row r="17" spans="1:1" x14ac:dyDescent="0.25">
      <c r="A17" s="23"/>
    </row>
    <row r="18" spans="1:1" x14ac:dyDescent="0.25">
      <c r="A18" s="23"/>
    </row>
    <row r="19" spans="1:1" x14ac:dyDescent="0.25">
      <c r="A19" s="23"/>
    </row>
    <row r="20" spans="1:1" x14ac:dyDescent="0.25">
      <c r="A20" s="23"/>
    </row>
    <row r="21" spans="1:1" x14ac:dyDescent="0.25">
      <c r="A21" s="23"/>
    </row>
    <row r="22" spans="1:1" x14ac:dyDescent="0.25">
      <c r="A22" s="23"/>
    </row>
    <row r="23" spans="1:1" x14ac:dyDescent="0.25">
      <c r="A23" s="23"/>
    </row>
    <row r="24" spans="1:1" x14ac:dyDescent="0.25">
      <c r="A24" s="23"/>
    </row>
    <row r="25" spans="1:1" x14ac:dyDescent="0.25">
      <c r="A25" s="23"/>
    </row>
    <row r="26" spans="1:1" x14ac:dyDescent="0.25">
      <c r="A26" s="23"/>
    </row>
    <row r="27" spans="1:1" x14ac:dyDescent="0.25">
      <c r="A27" s="23"/>
    </row>
    <row r="28" spans="1:1" x14ac:dyDescent="0.25">
      <c r="A28" s="23"/>
    </row>
    <row r="29" spans="1:1" x14ac:dyDescent="0.25">
      <c r="A29" s="23"/>
    </row>
    <row r="30" spans="1:1" x14ac:dyDescent="0.25">
      <c r="A30" s="23"/>
    </row>
    <row r="31" spans="1:1" x14ac:dyDescent="0.25">
      <c r="A31" s="23"/>
    </row>
    <row r="32" spans="1:1" x14ac:dyDescent="0.25">
      <c r="A32" s="23"/>
    </row>
    <row r="33" spans="1:1" x14ac:dyDescent="0.25">
      <c r="A33" s="23"/>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36E12453-727C-494D-A6B3-7EB289924C11}"/>
    <hyperlink ref="C1" location="'Metadato 5.3.2'!A1" display="VER METADATO" xr:uid="{162F339A-759E-4183-9326-F33A4186B761}"/>
  </hyperlink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9DAE-1A0C-4985-8B4A-8D8B7A549836}">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1.42578125" style="5"/>
    <col min="2" max="2" width="26.42578125" style="5" customWidth="1"/>
    <col min="3" max="3" width="24" style="5" customWidth="1"/>
    <col min="4" max="4" width="68.4257812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745" t="s">
        <v>75</v>
      </c>
      <c r="C3" s="2745"/>
      <c r="D3" s="2745"/>
      <c r="F3" s="91" t="s">
        <v>317</v>
      </c>
    </row>
    <row r="4" spans="1:6" x14ac:dyDescent="0.4">
      <c r="A4" s="92"/>
      <c r="B4" s="2606" t="s">
        <v>234</v>
      </c>
      <c r="C4" s="2606"/>
      <c r="D4" s="359" t="s">
        <v>2064</v>
      </c>
    </row>
    <row r="5" spans="1:6" ht="37.5" x14ac:dyDescent="0.4">
      <c r="B5" s="2445" t="s">
        <v>79</v>
      </c>
      <c r="C5" s="2445"/>
      <c r="D5" s="49" t="s">
        <v>1983</v>
      </c>
    </row>
    <row r="6" spans="1:6" x14ac:dyDescent="0.4">
      <c r="B6" s="2445" t="s">
        <v>80</v>
      </c>
      <c r="C6" s="2445"/>
      <c r="D6" s="50" t="s">
        <v>1986</v>
      </c>
    </row>
    <row r="7" spans="1:6" ht="33.75" customHeight="1" x14ac:dyDescent="0.4">
      <c r="B7" s="2446" t="s">
        <v>81</v>
      </c>
      <c r="C7" s="2446"/>
      <c r="D7" s="93" t="s">
        <v>1987</v>
      </c>
    </row>
    <row r="8" spans="1:6" x14ac:dyDescent="0.4">
      <c r="B8" s="2446" t="s">
        <v>82</v>
      </c>
      <c r="C8" s="2446"/>
      <c r="D8" s="94" t="s">
        <v>2147</v>
      </c>
    </row>
    <row r="10" spans="1:6" ht="23.25" customHeight="1" x14ac:dyDescent="0.4">
      <c r="B10" s="2745" t="s">
        <v>85</v>
      </c>
      <c r="C10" s="2745"/>
      <c r="D10" s="2745"/>
    </row>
    <row r="11" spans="1:6" x14ac:dyDescent="0.4">
      <c r="B11" s="2633" t="s">
        <v>86</v>
      </c>
      <c r="C11" s="2634"/>
      <c r="D11" s="359"/>
    </row>
    <row r="12" spans="1:6" x14ac:dyDescent="0.4">
      <c r="B12" s="2455" t="s">
        <v>88</v>
      </c>
      <c r="C12" s="2455"/>
      <c r="D12" s="184"/>
    </row>
    <row r="13" spans="1:6" x14ac:dyDescent="0.4">
      <c r="B13" s="2445" t="s">
        <v>90</v>
      </c>
      <c r="C13" s="2445"/>
      <c r="D13" s="54"/>
    </row>
    <row r="14" spans="1:6" x14ac:dyDescent="0.4">
      <c r="B14" s="2445" t="s">
        <v>91</v>
      </c>
      <c r="C14" s="2456"/>
      <c r="D14" s="54"/>
    </row>
    <row r="15" spans="1:6" x14ac:dyDescent="0.4">
      <c r="B15" s="2445" t="s">
        <v>93</v>
      </c>
      <c r="C15" s="2445"/>
      <c r="D15" s="49"/>
    </row>
    <row r="16" spans="1: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4" t="s">
        <v>109</v>
      </c>
      <c r="C23" s="2444"/>
      <c r="D23" s="49"/>
    </row>
    <row r="24" spans="2:4" x14ac:dyDescent="0.4">
      <c r="B24" s="2444" t="s">
        <v>111</v>
      </c>
      <c r="C24" s="2444"/>
      <c r="D24" s="205" t="s">
        <v>654</v>
      </c>
    </row>
    <row r="25" spans="2:4" x14ac:dyDescent="0.4">
      <c r="B25" s="2445" t="s">
        <v>113</v>
      </c>
      <c r="C25" s="2445"/>
      <c r="D25" s="56"/>
    </row>
    <row r="26" spans="2:4" x14ac:dyDescent="0.4">
      <c r="B26" s="2446" t="s">
        <v>115</v>
      </c>
      <c r="C26" s="2446"/>
      <c r="D26" s="49"/>
    </row>
    <row r="27" spans="2:4" x14ac:dyDescent="0.4">
      <c r="B27" s="2447" t="s">
        <v>117</v>
      </c>
      <c r="C27" s="2448"/>
      <c r="D27" s="49"/>
    </row>
    <row r="28" spans="2:4" ht="63" customHeight="1" x14ac:dyDescent="0.4">
      <c r="B28" s="97" t="s">
        <v>118</v>
      </c>
      <c r="C28" s="98"/>
      <c r="D28" s="56" t="s">
        <v>2148</v>
      </c>
    </row>
    <row r="29" spans="2:4" x14ac:dyDescent="0.4">
      <c r="B29" s="2449" t="s">
        <v>120</v>
      </c>
      <c r="C29" s="2450"/>
      <c r="D29" s="62"/>
    </row>
    <row r="30" spans="2:4" x14ac:dyDescent="0.4">
      <c r="B30" s="628"/>
      <c r="C30" s="628"/>
      <c r="D30" s="629"/>
    </row>
    <row r="31" spans="2:4" ht="23.25" customHeight="1" x14ac:dyDescent="0.4">
      <c r="B31" s="2745" t="s">
        <v>121</v>
      </c>
      <c r="C31" s="2745"/>
      <c r="D31" s="2745"/>
    </row>
    <row r="32" spans="2:4" x14ac:dyDescent="0.4">
      <c r="B32" s="2631" t="s">
        <v>122</v>
      </c>
      <c r="C32" s="2632"/>
      <c r="D32" s="700"/>
    </row>
    <row r="33" spans="2:4" x14ac:dyDescent="0.4">
      <c r="B33" s="2442" t="s">
        <v>124</v>
      </c>
      <c r="C33" s="2443"/>
      <c r="D33" s="55"/>
    </row>
    <row r="34" spans="2:4" x14ac:dyDescent="0.4">
      <c r="B34" s="2442" t="s">
        <v>126</v>
      </c>
      <c r="C34" s="2443"/>
      <c r="D34" s="185"/>
    </row>
    <row r="35" spans="2:4" x14ac:dyDescent="0.4">
      <c r="B35" s="2442" t="s">
        <v>128</v>
      </c>
      <c r="C35" s="2443"/>
      <c r="D35" s="186"/>
    </row>
    <row r="36" spans="2:4" x14ac:dyDescent="0.4">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5DABD7B-B5B5-42B3-847F-981C2AC13412}">
      <formula1>Tipo_operación</formula1>
    </dataValidation>
    <dataValidation type="list" allowBlank="1" showInputMessage="1" showErrorMessage="1" sqref="D14" xr:uid="{890F4FAF-D4AB-413A-A426-8B7AA68C39BA}">
      <formula1>Tipo_indicador</formula1>
    </dataValidation>
    <dataValidation type="list" allowBlank="1" showInputMessage="1" showErrorMessage="1" sqref="D7" xr:uid="{95919D6D-ACFC-451E-9175-6E476E08F43D}">
      <formula1>Nombre_indicador_ODS</formula1>
    </dataValidation>
    <dataValidation type="list" allowBlank="1" showInputMessage="1" showErrorMessage="1" sqref="D6" xr:uid="{E4C0BDFA-64D7-4E05-86F1-C5010A1CD4AC}">
      <formula1>Numero_indicador</formula1>
    </dataValidation>
    <dataValidation type="list" allowBlank="1" showInputMessage="1" showErrorMessage="1" sqref="D5" xr:uid="{53D937B2-897F-4AAE-8AF3-F97CECF1E3BB}">
      <formula1>Metas_ODS</formula1>
    </dataValidation>
    <dataValidation type="list" allowBlank="1" showInputMessage="1" showErrorMessage="1" sqref="D4" xr:uid="{C6FA59FB-3C27-42C7-B4D6-A03B5A95396A}">
      <formula1>ODS</formula1>
    </dataValidation>
    <dataValidation allowBlank="1" showDropDown="1" showInputMessage="1" showErrorMessage="1" sqref="D13" xr:uid="{231AAEB9-D114-4619-ADF5-3DF40097FBF0}"/>
  </dataValidations>
  <hyperlinks>
    <hyperlink ref="B1" location="'5.3.2'!A1" display="REGRESAR" xr:uid="{5AAE9657-B19D-4A5B-B789-7B85B287EC49}"/>
    <hyperlink ref="D8" r:id="rId1" xr:uid="{EA7FC409-E986-4120-AAD2-F2B4402E5F12}"/>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FC9C-702D-4C7D-8A75-0315D00F17E1}">
  <dimension ref="A1:T7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28515625" style="22" customWidth="1"/>
    <col min="2" max="2" width="18.28515625" style="22" customWidth="1"/>
    <col min="3" max="3" width="16" style="22" customWidth="1"/>
    <col min="4" max="4" width="11.28515625" style="22" customWidth="1"/>
    <col min="5" max="5" width="11.42578125" style="22"/>
    <col min="6" max="6" width="12.28515625" style="22" customWidth="1"/>
    <col min="7" max="7" width="11.7109375" style="22" customWidth="1"/>
    <col min="8" max="8" width="11.42578125" style="22"/>
    <col min="9" max="9" width="13.42578125" style="22" customWidth="1"/>
    <col min="10" max="10" width="12.28515625" style="22" customWidth="1"/>
    <col min="11" max="12" width="11.42578125" style="22"/>
    <col min="13" max="13" width="15" style="22" customWidth="1"/>
    <col min="14" max="18" width="11.42578125" style="22"/>
    <col min="19" max="19" width="15.28515625" style="22" bestFit="1" customWidth="1"/>
    <col min="20" max="16384" width="11.42578125" style="22"/>
  </cols>
  <sheetData>
    <row r="1" spans="1:20" s="16" customFormat="1" ht="19.5" x14ac:dyDescent="0.4">
      <c r="A1" s="15" t="s">
        <v>39</v>
      </c>
      <c r="C1" s="2421" t="s">
        <v>149</v>
      </c>
      <c r="D1" s="2421"/>
    </row>
    <row r="2" spans="1:20" s="16" customFormat="1" ht="10.5" customHeight="1" x14ac:dyDescent="0.4"/>
    <row r="3" spans="1:20" s="16" customFormat="1" ht="15" customHeight="1" x14ac:dyDescent="0.4">
      <c r="A3" s="2736" t="s">
        <v>41</v>
      </c>
      <c r="B3" s="2744"/>
      <c r="C3" s="2776" t="s">
        <v>1974</v>
      </c>
      <c r="D3" s="2776"/>
      <c r="E3" s="2776"/>
      <c r="F3" s="2776"/>
      <c r="G3" s="2776"/>
      <c r="H3" s="2776"/>
      <c r="I3" s="2776"/>
      <c r="J3" s="2776"/>
      <c r="K3" s="2776"/>
      <c r="L3" s="2776"/>
      <c r="M3" s="2776"/>
      <c r="N3" s="2776"/>
      <c r="O3" s="2776"/>
      <c r="P3" s="2776"/>
      <c r="Q3" s="2776"/>
      <c r="R3" s="2776"/>
      <c r="S3" s="2776"/>
      <c r="T3" s="2776"/>
    </row>
    <row r="4" spans="1:20" s="16" customFormat="1" ht="19.5" x14ac:dyDescent="0.4">
      <c r="A4" s="2736" t="s">
        <v>42</v>
      </c>
      <c r="B4" s="2737"/>
      <c r="C4" s="2774" t="s">
        <v>1988</v>
      </c>
      <c r="D4" s="2775"/>
      <c r="E4" s="2775"/>
      <c r="F4" s="2775"/>
      <c r="G4" s="2775"/>
      <c r="H4" s="2775"/>
      <c r="I4" s="2775"/>
      <c r="J4" s="2775"/>
      <c r="K4" s="2775"/>
      <c r="L4" s="2775"/>
      <c r="M4" s="2775"/>
      <c r="N4" s="2775"/>
      <c r="O4" s="2775"/>
      <c r="P4" s="2775"/>
      <c r="Q4" s="2775"/>
      <c r="R4" s="2775"/>
      <c r="S4" s="2775"/>
      <c r="T4" s="2775"/>
    </row>
    <row r="5" spans="1:20" s="16" customFormat="1" ht="19.5" x14ac:dyDescent="0.4">
      <c r="A5" s="2736" t="s">
        <v>43</v>
      </c>
      <c r="B5" s="2737"/>
      <c r="C5" s="2774" t="s">
        <v>1990</v>
      </c>
      <c r="D5" s="2775"/>
      <c r="E5" s="2775"/>
      <c r="F5" s="2775"/>
      <c r="G5" s="2775"/>
      <c r="H5" s="2775"/>
      <c r="I5" s="2775"/>
      <c r="J5" s="2775"/>
      <c r="K5" s="2775"/>
      <c r="L5" s="2775"/>
      <c r="M5" s="2775"/>
      <c r="N5" s="2775"/>
      <c r="O5" s="2775"/>
      <c r="P5" s="2775"/>
      <c r="Q5" s="2775"/>
      <c r="R5" s="2775"/>
      <c r="S5" s="2775"/>
      <c r="T5" s="2775"/>
    </row>
    <row r="6" spans="1:20" s="16" customFormat="1" ht="19.5" x14ac:dyDescent="0.4">
      <c r="A6" s="2736" t="s">
        <v>132</v>
      </c>
      <c r="B6" s="2737"/>
      <c r="C6" s="2774" t="s">
        <v>2149</v>
      </c>
      <c r="D6" s="2775"/>
      <c r="E6" s="2775"/>
      <c r="F6" s="2775"/>
      <c r="G6" s="2775"/>
      <c r="H6" s="2775"/>
      <c r="I6" s="2775"/>
      <c r="J6" s="2775"/>
      <c r="K6" s="2775"/>
      <c r="L6" s="2775"/>
      <c r="M6" s="2775"/>
      <c r="N6" s="2775"/>
      <c r="O6" s="2775"/>
      <c r="P6" s="2775"/>
      <c r="Q6" s="2775"/>
      <c r="R6" s="2775"/>
      <c r="S6" s="2775"/>
      <c r="T6" s="2775"/>
    </row>
    <row r="7" spans="1:20" s="16" customFormat="1" ht="19.5" x14ac:dyDescent="0.4"/>
    <row r="8" spans="1:20" s="16" customFormat="1" ht="19.5" x14ac:dyDescent="0.4"/>
    <row r="9" spans="1:20" s="16" customFormat="1" ht="18.600000000000001" customHeight="1" x14ac:dyDescent="0.4">
      <c r="B9" s="2628" t="s">
        <v>2150</v>
      </c>
      <c r="C9" s="2628"/>
      <c r="D9" s="2628"/>
      <c r="E9" s="2628"/>
      <c r="F9" s="2628"/>
      <c r="G9" s="2628"/>
      <c r="H9" s="2628"/>
      <c r="I9" s="2628"/>
      <c r="J9" s="2628"/>
      <c r="K9" s="2628"/>
      <c r="L9" s="2628"/>
      <c r="M9" s="2628"/>
      <c r="N9" s="2628"/>
      <c r="O9" s="2628"/>
      <c r="P9" s="2628"/>
      <c r="Q9" s="2628"/>
      <c r="R9" s="2628"/>
      <c r="S9" s="2628"/>
      <c r="T9" s="2628"/>
    </row>
    <row r="10" spans="1:20" s="16" customFormat="1" ht="18.600000000000001" customHeight="1" x14ac:dyDescent="0.4">
      <c r="B10" s="2770" t="s">
        <v>2151</v>
      </c>
      <c r="C10" s="2770"/>
      <c r="D10" s="2773" t="s">
        <v>2152</v>
      </c>
      <c r="E10" s="2773"/>
      <c r="F10" s="2773"/>
      <c r="G10" s="2773"/>
      <c r="H10" s="2773"/>
      <c r="I10" s="2773"/>
      <c r="J10" s="2773"/>
      <c r="K10" s="2773"/>
      <c r="L10" s="2773"/>
      <c r="M10" s="2773"/>
      <c r="N10" s="2773"/>
      <c r="O10" s="2773"/>
      <c r="P10" s="2773"/>
      <c r="Q10" s="2773"/>
      <c r="R10" s="2773"/>
      <c r="S10" s="2773"/>
      <c r="T10"/>
    </row>
    <row r="11" spans="1:20" s="16" customFormat="1" ht="51.6" customHeight="1" x14ac:dyDescent="0.4">
      <c r="B11" s="2771"/>
      <c r="C11" s="2771"/>
      <c r="D11" s="2773" t="s">
        <v>2153</v>
      </c>
      <c r="E11" s="2773"/>
      <c r="F11" s="2773" t="s">
        <v>2154</v>
      </c>
      <c r="G11" s="2773"/>
      <c r="H11" s="2773" t="s">
        <v>2155</v>
      </c>
      <c r="I11" s="2773"/>
      <c r="J11" s="2773" t="s">
        <v>2156</v>
      </c>
      <c r="K11" s="2773"/>
      <c r="L11" s="2773" t="s">
        <v>2157</v>
      </c>
      <c r="M11" s="2773"/>
      <c r="N11" s="2773" t="s">
        <v>2158</v>
      </c>
      <c r="O11" s="2773"/>
      <c r="P11" s="2773" t="s">
        <v>2159</v>
      </c>
      <c r="Q11" s="2773"/>
      <c r="R11" s="2773" t="s">
        <v>2160</v>
      </c>
      <c r="S11" s="2773"/>
      <c r="T11"/>
    </row>
    <row r="12" spans="1:20" s="16" customFormat="1" ht="19.5" x14ac:dyDescent="0.4">
      <c r="B12" s="2772"/>
      <c r="C12" s="2772"/>
      <c r="D12" s="901" t="s">
        <v>895</v>
      </c>
      <c r="E12" s="901" t="s">
        <v>894</v>
      </c>
      <c r="F12" s="901" t="s">
        <v>895</v>
      </c>
      <c r="G12" s="901" t="s">
        <v>894</v>
      </c>
      <c r="H12" s="901" t="s">
        <v>895</v>
      </c>
      <c r="I12" s="901" t="s">
        <v>894</v>
      </c>
      <c r="J12" s="901" t="s">
        <v>895</v>
      </c>
      <c r="K12" s="901" t="s">
        <v>894</v>
      </c>
      <c r="L12" s="901" t="s">
        <v>895</v>
      </c>
      <c r="M12" s="901" t="s">
        <v>894</v>
      </c>
      <c r="N12" s="901" t="s">
        <v>895</v>
      </c>
      <c r="O12" s="901" t="s">
        <v>894</v>
      </c>
      <c r="P12" s="901" t="s">
        <v>895</v>
      </c>
      <c r="Q12" s="901" t="s">
        <v>894</v>
      </c>
      <c r="R12" s="901" t="s">
        <v>895</v>
      </c>
      <c r="S12" s="901" t="s">
        <v>894</v>
      </c>
      <c r="T12"/>
    </row>
    <row r="13" spans="1:20" s="16" customFormat="1" ht="19.5" x14ac:dyDescent="0.4">
      <c r="B13" s="434" t="s">
        <v>49</v>
      </c>
      <c r="C13" s="580"/>
      <c r="D13" s="902"/>
      <c r="E13" s="902"/>
      <c r="F13" s="902"/>
      <c r="G13" s="902"/>
      <c r="H13" s="902"/>
      <c r="I13" s="902"/>
      <c r="J13" s="902"/>
      <c r="K13" s="902"/>
      <c r="L13" s="902"/>
      <c r="M13" s="902"/>
      <c r="N13" s="902"/>
      <c r="O13" s="902"/>
      <c r="P13" s="902"/>
      <c r="Q13" s="902"/>
      <c r="R13" s="902"/>
      <c r="S13" s="902"/>
      <c r="T13"/>
    </row>
    <row r="14" spans="1:20" s="16" customFormat="1" ht="19.5" x14ac:dyDescent="0.4">
      <c r="B14" s="580" t="s">
        <v>2161</v>
      </c>
      <c r="C14" s="580"/>
      <c r="D14" s="803" t="s">
        <v>2162</v>
      </c>
      <c r="E14" s="803" t="s">
        <v>2163</v>
      </c>
      <c r="F14" s="903">
        <v>0.36041666666666666</v>
      </c>
      <c r="G14" s="803" t="s">
        <v>2164</v>
      </c>
      <c r="H14" s="803" t="s">
        <v>2165</v>
      </c>
      <c r="I14" s="803" t="s">
        <v>2166</v>
      </c>
      <c r="J14" s="803" t="s">
        <v>2167</v>
      </c>
      <c r="K14" s="803" t="s">
        <v>2168</v>
      </c>
      <c r="L14" s="803" t="s">
        <v>2169</v>
      </c>
      <c r="M14" s="803" t="s">
        <v>2170</v>
      </c>
      <c r="N14" s="803" t="s">
        <v>2171</v>
      </c>
      <c r="O14" s="803" t="s">
        <v>2172</v>
      </c>
      <c r="P14" s="803" t="s">
        <v>2173</v>
      </c>
      <c r="Q14" s="803" t="s">
        <v>2174</v>
      </c>
      <c r="R14" s="803" t="s">
        <v>2175</v>
      </c>
      <c r="S14" s="803" t="s">
        <v>2176</v>
      </c>
      <c r="T14"/>
    </row>
    <row r="15" spans="1:20" s="16" customFormat="1" ht="19.5" x14ac:dyDescent="0.4">
      <c r="B15" s="580" t="s">
        <v>2177</v>
      </c>
      <c r="C15" s="580"/>
      <c r="D15" s="392" t="s">
        <v>2178</v>
      </c>
      <c r="E15" s="392" t="s">
        <v>2179</v>
      </c>
      <c r="F15" s="392" t="s">
        <v>2180</v>
      </c>
      <c r="G15" s="392" t="s">
        <v>2181</v>
      </c>
      <c r="H15" s="392" t="s">
        <v>2182</v>
      </c>
      <c r="I15" s="392" t="s">
        <v>2183</v>
      </c>
      <c r="J15" s="392" t="s">
        <v>2184</v>
      </c>
      <c r="K15" s="392" t="s">
        <v>2185</v>
      </c>
      <c r="L15" s="392" t="s">
        <v>2186</v>
      </c>
      <c r="M15" s="392" t="s">
        <v>2187</v>
      </c>
      <c r="N15" s="392" t="s">
        <v>2188</v>
      </c>
      <c r="O15" s="392" t="s">
        <v>2189</v>
      </c>
      <c r="P15" s="392" t="s">
        <v>2190</v>
      </c>
      <c r="Q15" s="392" t="s">
        <v>2191</v>
      </c>
      <c r="R15" s="902" t="s">
        <v>2192</v>
      </c>
      <c r="S15" s="902" t="s">
        <v>2193</v>
      </c>
      <c r="T15"/>
    </row>
    <row r="16" spans="1:20" s="16" customFormat="1" ht="19.5" x14ac:dyDescent="0.4">
      <c r="B16" s="434"/>
      <c r="C16" s="580"/>
      <c r="D16" s="902"/>
      <c r="E16" s="902"/>
      <c r="F16" s="902"/>
      <c r="G16" s="902"/>
      <c r="H16" s="902"/>
      <c r="I16" s="902"/>
      <c r="J16" s="902"/>
      <c r="K16" s="902"/>
      <c r="L16" s="902"/>
      <c r="M16" s="902"/>
      <c r="N16" s="902"/>
      <c r="O16" s="902"/>
      <c r="P16" s="902"/>
      <c r="Q16" s="902"/>
      <c r="R16" s="902"/>
      <c r="S16" s="902"/>
      <c r="T16"/>
    </row>
    <row r="17" spans="2:20" s="16" customFormat="1" ht="19.5" x14ac:dyDescent="0.4">
      <c r="B17" s="2649" t="s">
        <v>2194</v>
      </c>
      <c r="C17" s="2649"/>
      <c r="D17" s="902"/>
      <c r="E17" s="902"/>
      <c r="F17" s="902"/>
      <c r="G17" s="902"/>
      <c r="H17" s="902"/>
      <c r="I17" s="902"/>
      <c r="J17" s="902"/>
      <c r="K17" s="902"/>
      <c r="L17" s="902"/>
      <c r="M17" s="902"/>
      <c r="N17" s="902"/>
      <c r="O17" s="902"/>
      <c r="P17" s="902"/>
      <c r="Q17" s="902"/>
      <c r="R17" s="902"/>
      <c r="S17" s="902"/>
      <c r="T17"/>
    </row>
    <row r="18" spans="2:20" s="16" customFormat="1" ht="19.5" x14ac:dyDescent="0.4">
      <c r="B18" s="580" t="s">
        <v>2195</v>
      </c>
      <c r="C18" s="580"/>
      <c r="D18" s="904" t="s">
        <v>2196</v>
      </c>
      <c r="E18" s="904" t="s">
        <v>2197</v>
      </c>
      <c r="F18" s="904" t="s">
        <v>2198</v>
      </c>
      <c r="G18" s="904" t="s">
        <v>2199</v>
      </c>
      <c r="H18" s="904" t="s">
        <v>2200</v>
      </c>
      <c r="I18" s="904" t="s">
        <v>2201</v>
      </c>
      <c r="J18" s="904" t="s">
        <v>2202</v>
      </c>
      <c r="K18" s="904" t="s">
        <v>2203</v>
      </c>
      <c r="L18" s="904" t="s">
        <v>2204</v>
      </c>
      <c r="M18" s="904" t="s">
        <v>2205</v>
      </c>
      <c r="N18" s="904" t="s">
        <v>2206</v>
      </c>
      <c r="O18" s="904" t="s">
        <v>2207</v>
      </c>
      <c r="P18" s="904" t="s">
        <v>2208</v>
      </c>
      <c r="Q18" s="904" t="s">
        <v>2209</v>
      </c>
      <c r="R18" s="904" t="s">
        <v>2210</v>
      </c>
      <c r="S18" s="904" t="s">
        <v>2211</v>
      </c>
      <c r="T18"/>
    </row>
    <row r="19" spans="2:20" s="16" customFormat="1" ht="19.5" x14ac:dyDescent="0.4">
      <c r="B19" s="580" t="s">
        <v>2212</v>
      </c>
      <c r="C19" s="580"/>
      <c r="D19" s="904" t="s">
        <v>2213</v>
      </c>
      <c r="E19" s="904" t="s">
        <v>2214</v>
      </c>
      <c r="F19" s="904" t="s">
        <v>2215</v>
      </c>
      <c r="G19" s="904" t="s">
        <v>2216</v>
      </c>
      <c r="H19" s="904" t="s">
        <v>2217</v>
      </c>
      <c r="I19" s="904" t="s">
        <v>2202</v>
      </c>
      <c r="J19" s="904" t="s">
        <v>2218</v>
      </c>
      <c r="K19" s="904" t="s">
        <v>2219</v>
      </c>
      <c r="L19" s="904" t="s">
        <v>2182</v>
      </c>
      <c r="M19" s="904" t="s">
        <v>2220</v>
      </c>
      <c r="N19" s="904" t="s">
        <v>2189</v>
      </c>
      <c r="O19" s="904" t="s">
        <v>2221</v>
      </c>
      <c r="P19" s="904" t="s">
        <v>2222</v>
      </c>
      <c r="Q19" s="904" t="s">
        <v>2215</v>
      </c>
      <c r="R19" s="904" t="s">
        <v>2223</v>
      </c>
      <c r="S19" s="904" t="s">
        <v>2170</v>
      </c>
      <c r="T19"/>
    </row>
    <row r="20" spans="2:20" s="16" customFormat="1" ht="19.5" x14ac:dyDescent="0.4">
      <c r="B20" s="580" t="s">
        <v>2224</v>
      </c>
      <c r="C20" s="580"/>
      <c r="D20" s="904" t="s">
        <v>2225</v>
      </c>
      <c r="E20" s="904" t="s">
        <v>2226</v>
      </c>
      <c r="F20" s="904" t="s">
        <v>2227</v>
      </c>
      <c r="G20" s="904" t="s">
        <v>2228</v>
      </c>
      <c r="H20" s="904" t="s">
        <v>2229</v>
      </c>
      <c r="I20" s="904" t="s">
        <v>2230</v>
      </c>
      <c r="J20" s="904" t="s">
        <v>2231</v>
      </c>
      <c r="K20" s="904" t="s">
        <v>2232</v>
      </c>
      <c r="L20" s="904" t="s">
        <v>2229</v>
      </c>
      <c r="M20" s="904" t="s">
        <v>2166</v>
      </c>
      <c r="N20" s="904" t="s">
        <v>2233</v>
      </c>
      <c r="O20" s="904" t="s">
        <v>2205</v>
      </c>
      <c r="P20" s="904" t="s">
        <v>2234</v>
      </c>
      <c r="Q20" s="904" t="s">
        <v>2235</v>
      </c>
      <c r="R20" s="904" t="s">
        <v>2236</v>
      </c>
      <c r="S20" s="904" t="s">
        <v>2237</v>
      </c>
      <c r="T20"/>
    </row>
    <row r="21" spans="2:20" s="16" customFormat="1" ht="19.5" x14ac:dyDescent="0.4">
      <c r="B21" s="580" t="s">
        <v>2238</v>
      </c>
      <c r="C21" s="580"/>
      <c r="D21" s="904" t="s">
        <v>2239</v>
      </c>
      <c r="E21" s="904" t="s">
        <v>2240</v>
      </c>
      <c r="F21" s="904" t="s">
        <v>2227</v>
      </c>
      <c r="G21" s="904" t="s">
        <v>2241</v>
      </c>
      <c r="H21" s="904" t="s">
        <v>2242</v>
      </c>
      <c r="I21" s="904" t="s">
        <v>2243</v>
      </c>
      <c r="J21" s="904" t="s">
        <v>2244</v>
      </c>
      <c r="K21" s="904" t="s">
        <v>2245</v>
      </c>
      <c r="L21" s="904" t="s">
        <v>2246</v>
      </c>
      <c r="M21" s="904" t="s">
        <v>2247</v>
      </c>
      <c r="N21" s="904" t="s">
        <v>2248</v>
      </c>
      <c r="O21" s="904" t="s">
        <v>2249</v>
      </c>
      <c r="P21" s="904" t="s">
        <v>2250</v>
      </c>
      <c r="Q21" s="904" t="s">
        <v>2251</v>
      </c>
      <c r="R21" s="904" t="s">
        <v>2252</v>
      </c>
      <c r="S21" s="904" t="s">
        <v>2218</v>
      </c>
      <c r="T21"/>
    </row>
    <row r="22" spans="2:20" s="16" customFormat="1" ht="19.5" x14ac:dyDescent="0.4">
      <c r="B22" s="580"/>
      <c r="C22" s="580"/>
      <c r="D22" s="905"/>
      <c r="E22" s="905"/>
      <c r="F22" s="905"/>
      <c r="G22" s="905"/>
      <c r="H22" s="905"/>
      <c r="I22" s="905"/>
      <c r="J22" s="905"/>
      <c r="K22" s="905"/>
      <c r="L22" s="905"/>
      <c r="M22" s="905"/>
      <c r="N22" s="905"/>
      <c r="O22" s="905"/>
      <c r="P22" s="905"/>
      <c r="Q22" s="905"/>
      <c r="R22" s="905"/>
      <c r="S22" s="905"/>
      <c r="T22"/>
    </row>
    <row r="23" spans="2:20" s="16" customFormat="1" ht="19.5" x14ac:dyDescent="0.4">
      <c r="B23" s="168" t="s">
        <v>2253</v>
      </c>
      <c r="C23" s="9"/>
      <c r="D23" s="905"/>
      <c r="E23" s="905"/>
      <c r="F23" s="905"/>
      <c r="G23" s="905"/>
      <c r="H23" s="905"/>
      <c r="I23" s="905"/>
      <c r="J23" s="905"/>
      <c r="K23" s="905"/>
      <c r="L23" s="905"/>
      <c r="M23" s="905"/>
      <c r="N23" s="905"/>
      <c r="O23" s="905"/>
      <c r="P23" s="905"/>
      <c r="Q23" s="905"/>
      <c r="R23" s="905"/>
      <c r="S23" s="905"/>
      <c r="T23"/>
    </row>
    <row r="24" spans="2:20" s="16" customFormat="1" ht="19.5" x14ac:dyDescent="0.4">
      <c r="B24" s="906" t="s">
        <v>2254</v>
      </c>
      <c r="C24" s="907"/>
      <c r="D24" s="905" t="s">
        <v>2255</v>
      </c>
      <c r="E24" s="905" t="s">
        <v>2256</v>
      </c>
      <c r="F24" s="905" t="s">
        <v>2257</v>
      </c>
      <c r="G24" s="905" t="s">
        <v>2258</v>
      </c>
      <c r="H24" s="905" t="s">
        <v>2259</v>
      </c>
      <c r="I24" s="905" t="s">
        <v>2260</v>
      </c>
      <c r="J24" s="905" t="s">
        <v>2261</v>
      </c>
      <c r="K24" s="905" t="s">
        <v>2211</v>
      </c>
      <c r="L24" s="905" t="s">
        <v>2230</v>
      </c>
      <c r="M24" s="905" t="s">
        <v>2262</v>
      </c>
      <c r="N24" s="905" t="s">
        <v>2249</v>
      </c>
      <c r="O24" s="905" t="s">
        <v>2263</v>
      </c>
      <c r="P24" s="905" t="s">
        <v>2264</v>
      </c>
      <c r="Q24" s="905" t="s">
        <v>2265</v>
      </c>
      <c r="R24" s="905" t="s">
        <v>2196</v>
      </c>
      <c r="S24" s="905" t="s">
        <v>2193</v>
      </c>
      <c r="T24"/>
    </row>
    <row r="25" spans="2:20" s="16" customFormat="1" ht="19.5" x14ac:dyDescent="0.4">
      <c r="B25" s="906" t="s">
        <v>2266</v>
      </c>
      <c r="C25" s="907"/>
      <c r="D25" s="905" t="s">
        <v>2267</v>
      </c>
      <c r="E25" s="905" t="s">
        <v>2268</v>
      </c>
      <c r="F25" s="905" t="s">
        <v>2269</v>
      </c>
      <c r="G25" s="905" t="s">
        <v>2270</v>
      </c>
      <c r="H25" s="905" t="s">
        <v>2248</v>
      </c>
      <c r="I25" s="902" t="s">
        <v>2271</v>
      </c>
      <c r="J25" s="905" t="s">
        <v>2272</v>
      </c>
      <c r="K25" s="905" t="s">
        <v>2219</v>
      </c>
      <c r="L25" s="905" t="s">
        <v>2183</v>
      </c>
      <c r="M25" s="905" t="s">
        <v>2183</v>
      </c>
      <c r="N25" s="905" t="s">
        <v>2273</v>
      </c>
      <c r="O25" s="905" t="s">
        <v>2274</v>
      </c>
      <c r="P25" s="905" t="s">
        <v>2275</v>
      </c>
      <c r="Q25" s="905" t="s">
        <v>2276</v>
      </c>
      <c r="R25" s="905" t="s">
        <v>2277</v>
      </c>
      <c r="S25" s="905" t="s">
        <v>2278</v>
      </c>
      <c r="T25"/>
    </row>
    <row r="26" spans="2:20" s="16" customFormat="1" ht="19.5" x14ac:dyDescent="0.4">
      <c r="B26" s="906" t="s">
        <v>2279</v>
      </c>
      <c r="C26" s="907"/>
      <c r="D26" s="905" t="s">
        <v>2280</v>
      </c>
      <c r="E26" s="905" t="s">
        <v>2281</v>
      </c>
      <c r="F26" s="905" t="s">
        <v>2282</v>
      </c>
      <c r="G26" s="905" t="s">
        <v>2283</v>
      </c>
      <c r="H26" s="902" t="s">
        <v>2284</v>
      </c>
      <c r="I26" s="905" t="s">
        <v>2285</v>
      </c>
      <c r="J26" s="905" t="s">
        <v>2262</v>
      </c>
      <c r="K26" s="905" t="s">
        <v>2205</v>
      </c>
      <c r="L26" s="905" t="s">
        <v>2286</v>
      </c>
      <c r="M26" s="905" t="s">
        <v>2211</v>
      </c>
      <c r="N26" s="905" t="s">
        <v>2287</v>
      </c>
      <c r="O26" s="905" t="s">
        <v>2288</v>
      </c>
      <c r="P26" s="905" t="s">
        <v>2289</v>
      </c>
      <c r="Q26" s="905" t="s">
        <v>2290</v>
      </c>
      <c r="R26" s="902" t="s">
        <v>2291</v>
      </c>
      <c r="S26" s="905" t="s">
        <v>2242</v>
      </c>
      <c r="T26"/>
    </row>
    <row r="27" spans="2:20" s="16" customFormat="1" ht="18.600000000000001" customHeight="1" x14ac:dyDescent="0.4">
      <c r="B27" s="2629" t="s">
        <v>2292</v>
      </c>
      <c r="C27" s="2629"/>
      <c r="D27" s="905" t="s">
        <v>2293</v>
      </c>
      <c r="E27" s="905" t="s">
        <v>2258</v>
      </c>
      <c r="F27" s="905" t="s">
        <v>2294</v>
      </c>
      <c r="G27" s="905" t="s">
        <v>2295</v>
      </c>
      <c r="H27" s="902" t="s">
        <v>2296</v>
      </c>
      <c r="I27" s="902" t="s">
        <v>2186</v>
      </c>
      <c r="J27" s="905" t="s">
        <v>2297</v>
      </c>
      <c r="K27" s="905" t="s">
        <v>2245</v>
      </c>
      <c r="L27" s="905" t="s">
        <v>2170</v>
      </c>
      <c r="M27" s="905" t="s">
        <v>2200</v>
      </c>
      <c r="N27" s="905" t="s">
        <v>2232</v>
      </c>
      <c r="O27" s="905" t="s">
        <v>2287</v>
      </c>
      <c r="P27" s="905" t="s">
        <v>2298</v>
      </c>
      <c r="Q27" s="905" t="s">
        <v>2299</v>
      </c>
      <c r="R27" s="902" t="s">
        <v>2300</v>
      </c>
      <c r="S27" s="902" t="s">
        <v>2301</v>
      </c>
      <c r="T27"/>
    </row>
    <row r="28" spans="2:20" s="16" customFormat="1" ht="19.5" x14ac:dyDescent="0.4">
      <c r="B28" s="580"/>
      <c r="C28" s="580"/>
      <c r="D28" s="905"/>
      <c r="E28" s="905"/>
      <c r="F28" s="905"/>
      <c r="G28" s="905"/>
      <c r="H28" s="905"/>
      <c r="I28" s="905"/>
      <c r="J28" s="905"/>
      <c r="K28" s="905"/>
      <c r="L28" s="905"/>
      <c r="M28" s="905"/>
      <c r="N28" s="905"/>
      <c r="O28" s="905"/>
      <c r="P28" s="905"/>
      <c r="Q28" s="905"/>
      <c r="R28" s="905"/>
      <c r="S28" s="905"/>
      <c r="T28"/>
    </row>
    <row r="29" spans="2:20" s="16" customFormat="1" ht="19.5" x14ac:dyDescent="0.4">
      <c r="B29" s="2649" t="s">
        <v>2302</v>
      </c>
      <c r="C29" s="2649"/>
      <c r="D29" s="905"/>
      <c r="E29" s="905"/>
      <c r="F29" s="905"/>
      <c r="G29" s="905"/>
      <c r="H29" s="905"/>
      <c r="I29" s="905"/>
      <c r="J29" s="905"/>
      <c r="K29" s="905"/>
      <c r="L29" s="905"/>
      <c r="M29" s="905"/>
      <c r="N29" s="905"/>
      <c r="O29" s="905"/>
      <c r="P29" s="905"/>
      <c r="Q29" s="905"/>
      <c r="R29" s="905"/>
      <c r="S29" s="905"/>
      <c r="T29"/>
    </row>
    <row r="30" spans="2:20" s="16" customFormat="1" ht="18.600000000000001" customHeight="1" x14ac:dyDescent="0.4">
      <c r="B30" s="2629" t="s">
        <v>2303</v>
      </c>
      <c r="C30" s="2629"/>
      <c r="D30" s="905" t="s">
        <v>2304</v>
      </c>
      <c r="E30" s="905" t="s">
        <v>2305</v>
      </c>
      <c r="F30" s="905" t="s">
        <v>2306</v>
      </c>
      <c r="G30" s="905" t="s">
        <v>2307</v>
      </c>
      <c r="H30" s="905" t="s">
        <v>2182</v>
      </c>
      <c r="I30" s="905" t="s">
        <v>2308</v>
      </c>
      <c r="J30" s="905" t="s">
        <v>2307</v>
      </c>
      <c r="K30" s="905" t="s">
        <v>2309</v>
      </c>
      <c r="L30" s="905" t="s">
        <v>2310</v>
      </c>
      <c r="M30" s="905" t="s">
        <v>2262</v>
      </c>
      <c r="N30" s="905" t="s">
        <v>2188</v>
      </c>
      <c r="O30" s="905" t="s">
        <v>2205</v>
      </c>
      <c r="P30" s="905" t="s">
        <v>2311</v>
      </c>
      <c r="Q30" s="905" t="s">
        <v>2312</v>
      </c>
      <c r="R30" s="905" t="s">
        <v>2313</v>
      </c>
      <c r="S30" s="905" t="s">
        <v>2314</v>
      </c>
      <c r="T30"/>
    </row>
    <row r="31" spans="2:20" s="16" customFormat="1" ht="18.600000000000001" customHeight="1" x14ac:dyDescent="0.4">
      <c r="B31" s="2629" t="s">
        <v>2315</v>
      </c>
      <c r="C31" s="2629"/>
      <c r="D31" s="905" t="s">
        <v>2316</v>
      </c>
      <c r="E31" s="905" t="s">
        <v>2317</v>
      </c>
      <c r="F31" s="905" t="s">
        <v>2318</v>
      </c>
      <c r="G31" s="905" t="s">
        <v>2319</v>
      </c>
      <c r="H31" s="905" t="s">
        <v>2242</v>
      </c>
      <c r="I31" s="905" t="s">
        <v>2320</v>
      </c>
      <c r="J31" s="905" t="s">
        <v>2261</v>
      </c>
      <c r="K31" s="905" t="s">
        <v>2187</v>
      </c>
      <c r="L31" s="905" t="s">
        <v>2183</v>
      </c>
      <c r="M31" s="905" t="s">
        <v>2170</v>
      </c>
      <c r="N31" s="905" t="s">
        <v>2321</v>
      </c>
      <c r="O31" s="905" t="s">
        <v>2249</v>
      </c>
      <c r="P31" s="905" t="s">
        <v>2322</v>
      </c>
      <c r="Q31" s="905" t="s">
        <v>2323</v>
      </c>
      <c r="R31" s="902" t="s">
        <v>2324</v>
      </c>
      <c r="S31" s="902" t="s">
        <v>2169</v>
      </c>
      <c r="T31"/>
    </row>
    <row r="32" spans="2:20" s="16" customFormat="1" ht="19.5" x14ac:dyDescent="0.4">
      <c r="B32" s="906" t="s">
        <v>2325</v>
      </c>
      <c r="C32" s="907"/>
      <c r="D32" s="905" t="s">
        <v>2326</v>
      </c>
      <c r="E32" s="905" t="s">
        <v>2327</v>
      </c>
      <c r="F32" s="905" t="s">
        <v>2328</v>
      </c>
      <c r="G32" s="905" t="s">
        <v>2281</v>
      </c>
      <c r="H32" s="905" t="s">
        <v>2185</v>
      </c>
      <c r="I32" s="905" t="s">
        <v>2248</v>
      </c>
      <c r="J32" s="905" t="s">
        <v>2320</v>
      </c>
      <c r="K32" s="905" t="s">
        <v>2329</v>
      </c>
      <c r="L32" s="905" t="s">
        <v>2330</v>
      </c>
      <c r="M32" s="905" t="s">
        <v>2331</v>
      </c>
      <c r="N32" s="905" t="s">
        <v>2332</v>
      </c>
      <c r="O32" s="905" t="s">
        <v>2274</v>
      </c>
      <c r="P32" s="905" t="s">
        <v>2333</v>
      </c>
      <c r="Q32" s="905" t="s">
        <v>2209</v>
      </c>
      <c r="R32" s="902" t="s">
        <v>2334</v>
      </c>
      <c r="S32" s="905" t="s">
        <v>2335</v>
      </c>
      <c r="T32"/>
    </row>
    <row r="33" spans="2:20" s="16" customFormat="1" ht="19.5" x14ac:dyDescent="0.4">
      <c r="B33" s="580"/>
      <c r="C33" s="580"/>
      <c r="D33" s="905"/>
      <c r="E33" s="905"/>
      <c r="F33" s="905"/>
      <c r="G33" s="905"/>
      <c r="H33" s="905"/>
      <c r="I33" s="905"/>
      <c r="J33" s="905"/>
      <c r="K33" s="905"/>
      <c r="L33" s="905"/>
      <c r="M33" s="905"/>
      <c r="N33" s="905"/>
      <c r="O33" s="905"/>
      <c r="P33" s="905"/>
      <c r="Q33" s="905"/>
      <c r="R33" s="905"/>
      <c r="S33" s="905"/>
      <c r="T33"/>
    </row>
    <row r="34" spans="2:20" s="16" customFormat="1" ht="19.5" x14ac:dyDescent="0.4">
      <c r="B34" s="2649" t="s">
        <v>2336</v>
      </c>
      <c r="C34" s="2649"/>
      <c r="D34" s="905"/>
      <c r="E34" s="905"/>
      <c r="F34" s="905"/>
      <c r="G34" s="905"/>
      <c r="H34" s="905"/>
      <c r="I34" s="905"/>
      <c r="J34" s="905"/>
      <c r="K34" s="905"/>
      <c r="L34" s="905"/>
      <c r="M34" s="905"/>
      <c r="N34" s="905"/>
      <c r="O34" s="905"/>
      <c r="P34" s="905"/>
      <c r="Q34" s="905"/>
      <c r="R34" s="905"/>
      <c r="S34" s="905"/>
      <c r="T34"/>
    </row>
    <row r="35" spans="2:20" s="16" customFormat="1" ht="18.600000000000001" customHeight="1" x14ac:dyDescent="0.4">
      <c r="B35" s="2629" t="s">
        <v>2337</v>
      </c>
      <c r="C35" s="2629"/>
      <c r="D35" s="905" t="s">
        <v>2338</v>
      </c>
      <c r="E35" s="905" t="s">
        <v>2339</v>
      </c>
      <c r="F35" s="905" t="s">
        <v>2340</v>
      </c>
      <c r="G35" s="905" t="s">
        <v>2341</v>
      </c>
      <c r="H35" s="905" t="s">
        <v>2342</v>
      </c>
      <c r="I35" s="905" t="s">
        <v>2193</v>
      </c>
      <c r="J35" s="905" t="s">
        <v>2281</v>
      </c>
      <c r="K35" s="905" t="s">
        <v>2185</v>
      </c>
      <c r="L35" s="905" t="s">
        <v>2182</v>
      </c>
      <c r="M35" s="905" t="s">
        <v>2343</v>
      </c>
      <c r="N35" s="905" t="s">
        <v>2220</v>
      </c>
      <c r="O35" s="905" t="s">
        <v>2171</v>
      </c>
      <c r="P35" s="905" t="s">
        <v>2344</v>
      </c>
      <c r="Q35" s="905" t="s">
        <v>2345</v>
      </c>
      <c r="R35" s="902" t="s">
        <v>2346</v>
      </c>
      <c r="S35" s="902" t="s">
        <v>2310</v>
      </c>
      <c r="T35"/>
    </row>
    <row r="36" spans="2:20" s="16" customFormat="1" ht="18.600000000000001" customHeight="1" x14ac:dyDescent="0.4">
      <c r="B36" s="2629" t="s">
        <v>2347</v>
      </c>
      <c r="C36" s="2629"/>
      <c r="D36" s="904" t="s">
        <v>2348</v>
      </c>
      <c r="E36" s="904" t="s">
        <v>2349</v>
      </c>
      <c r="F36" s="904" t="s">
        <v>2333</v>
      </c>
      <c r="G36" s="904" t="s">
        <v>2350</v>
      </c>
      <c r="H36" s="904" t="s">
        <v>2351</v>
      </c>
      <c r="I36" s="904" t="s">
        <v>2166</v>
      </c>
      <c r="J36" s="904" t="s">
        <v>2352</v>
      </c>
      <c r="K36" s="904" t="s">
        <v>2171</v>
      </c>
      <c r="L36" s="904" t="s">
        <v>2186</v>
      </c>
      <c r="M36" s="904" t="s">
        <v>2353</v>
      </c>
      <c r="N36" s="904" t="s">
        <v>2219</v>
      </c>
      <c r="O36" s="904" t="s">
        <v>2172</v>
      </c>
      <c r="P36" s="904" t="s">
        <v>2354</v>
      </c>
      <c r="Q36" s="904" t="s">
        <v>2355</v>
      </c>
      <c r="R36" s="904" t="s">
        <v>2350</v>
      </c>
      <c r="S36" s="904" t="s">
        <v>2356</v>
      </c>
      <c r="T36"/>
    </row>
    <row r="37" spans="2:20" s="16" customFormat="1" ht="18.600000000000001" customHeight="1" x14ac:dyDescent="0.4">
      <c r="B37" s="2629" t="s">
        <v>2357</v>
      </c>
      <c r="C37" s="2629"/>
      <c r="D37" s="904" t="s">
        <v>2358</v>
      </c>
      <c r="E37" s="904" t="s">
        <v>2359</v>
      </c>
      <c r="F37" s="904" t="s">
        <v>2360</v>
      </c>
      <c r="G37" s="904" t="s">
        <v>2341</v>
      </c>
      <c r="H37" s="904" t="s">
        <v>2200</v>
      </c>
      <c r="I37" s="904" t="s">
        <v>2361</v>
      </c>
      <c r="J37" s="904" t="s">
        <v>2362</v>
      </c>
      <c r="K37" s="904" t="s">
        <v>2363</v>
      </c>
      <c r="L37" s="904" t="s">
        <v>2170</v>
      </c>
      <c r="M37" s="904" t="s">
        <v>2242</v>
      </c>
      <c r="N37" s="904" t="s">
        <v>2363</v>
      </c>
      <c r="O37" s="904" t="s">
        <v>2203</v>
      </c>
      <c r="P37" s="904" t="s">
        <v>2364</v>
      </c>
      <c r="Q37" s="904" t="s">
        <v>2365</v>
      </c>
      <c r="R37" s="904" t="s">
        <v>2366</v>
      </c>
      <c r="S37" s="904" t="s">
        <v>2183</v>
      </c>
      <c r="T37"/>
    </row>
    <row r="38" spans="2:20" s="16" customFormat="1" ht="19.5" x14ac:dyDescent="0.4">
      <c r="B38" s="2629" t="s">
        <v>2367</v>
      </c>
      <c r="C38" s="2629"/>
      <c r="D38" s="904" t="s">
        <v>2368</v>
      </c>
      <c r="E38" s="904" t="s">
        <v>2251</v>
      </c>
      <c r="F38" s="904" t="s">
        <v>2369</v>
      </c>
      <c r="G38" s="904" t="s">
        <v>2370</v>
      </c>
      <c r="H38" s="904" t="s">
        <v>2249</v>
      </c>
      <c r="I38" s="904" t="s">
        <v>2351</v>
      </c>
      <c r="J38" s="904" t="s">
        <v>2371</v>
      </c>
      <c r="K38" s="904" t="s">
        <v>2171</v>
      </c>
      <c r="L38" s="904" t="s">
        <v>2372</v>
      </c>
      <c r="M38" s="904" t="s">
        <v>2373</v>
      </c>
      <c r="N38" s="904" t="s">
        <v>2374</v>
      </c>
      <c r="O38" s="904" t="s">
        <v>2375</v>
      </c>
      <c r="P38" s="904" t="s">
        <v>2376</v>
      </c>
      <c r="Q38" s="904" t="s">
        <v>2377</v>
      </c>
      <c r="R38" s="904" t="s">
        <v>2378</v>
      </c>
      <c r="S38" s="904" t="s">
        <v>2379</v>
      </c>
      <c r="T38"/>
    </row>
    <row r="39" spans="2:20" s="16" customFormat="1" ht="19.5" x14ac:dyDescent="0.4">
      <c r="B39" s="908" t="s">
        <v>2380</v>
      </c>
      <c r="C39" s="909"/>
      <c r="D39" s="910" t="s">
        <v>751</v>
      </c>
      <c r="E39" s="910" t="s">
        <v>751</v>
      </c>
      <c r="F39" s="910" t="s">
        <v>751</v>
      </c>
      <c r="G39" s="910" t="s">
        <v>751</v>
      </c>
      <c r="H39" s="910" t="s">
        <v>751</v>
      </c>
      <c r="I39" s="910" t="s">
        <v>751</v>
      </c>
      <c r="J39" s="910" t="s">
        <v>751</v>
      </c>
      <c r="K39" s="910" t="s">
        <v>751</v>
      </c>
      <c r="L39" s="910" t="s">
        <v>751</v>
      </c>
      <c r="M39" s="910" t="s">
        <v>751</v>
      </c>
      <c r="N39" s="910" t="s">
        <v>751</v>
      </c>
      <c r="O39" s="910" t="s">
        <v>751</v>
      </c>
      <c r="P39" s="910" t="s">
        <v>751</v>
      </c>
      <c r="Q39" s="910" t="s">
        <v>751</v>
      </c>
      <c r="R39" s="910" t="s">
        <v>751</v>
      </c>
      <c r="S39" s="910" t="s">
        <v>751</v>
      </c>
      <c r="T39"/>
    </row>
    <row r="40" spans="2:20" s="16" customFormat="1" ht="18.600000000000001" customHeight="1" x14ac:dyDescent="0.4">
      <c r="B40" s="2768" t="s">
        <v>2381</v>
      </c>
      <c r="C40" s="2768"/>
      <c r="D40" s="2768"/>
      <c r="E40" s="2768"/>
      <c r="F40" s="2768"/>
      <c r="G40" s="2768"/>
      <c r="H40" s="2768"/>
      <c r="I40" s="2768"/>
      <c r="J40" s="2768"/>
      <c r="K40" s="2768"/>
      <c r="L40" s="2768"/>
      <c r="M40" s="2768"/>
      <c r="N40" s="2768"/>
      <c r="O40" s="2768"/>
      <c r="P40" s="2768"/>
      <c r="Q40" s="2768"/>
      <c r="R40" s="2768"/>
      <c r="S40" s="2768"/>
      <c r="T40"/>
    </row>
    <row r="41" spans="2:20" s="16" customFormat="1" ht="18.600000000000001" customHeight="1" x14ac:dyDescent="0.4">
      <c r="B41" s="2768" t="s">
        <v>2382</v>
      </c>
      <c r="C41" s="2768"/>
      <c r="D41" s="2768"/>
      <c r="E41" s="2768"/>
      <c r="F41" s="2768"/>
      <c r="G41" s="2768"/>
      <c r="H41" s="2768"/>
      <c r="I41" s="2768"/>
      <c r="J41" s="2768"/>
      <c r="K41" s="2768"/>
      <c r="L41" s="2768"/>
      <c r="M41" s="2768"/>
      <c r="N41" s="2768"/>
      <c r="O41" s="2768"/>
      <c r="P41" s="2768"/>
      <c r="Q41" s="2768"/>
      <c r="R41" s="2768"/>
      <c r="S41" s="2768"/>
      <c r="T41"/>
    </row>
    <row r="42" spans="2:20" s="16" customFormat="1" ht="18.600000000000001" customHeight="1" x14ac:dyDescent="0.4">
      <c r="B42" s="2769" t="s">
        <v>2383</v>
      </c>
      <c r="C42" s="2769"/>
      <c r="D42" s="2769"/>
      <c r="E42" s="2769"/>
      <c r="F42" s="2769"/>
      <c r="G42" s="2769"/>
      <c r="H42" s="2769"/>
      <c r="I42" s="2769"/>
      <c r="J42" s="2769"/>
      <c r="K42" s="2769"/>
      <c r="L42" s="2769"/>
      <c r="M42" s="2769"/>
      <c r="N42" s="2769"/>
      <c r="O42" s="2769"/>
      <c r="P42" s="2769"/>
      <c r="Q42" s="2769"/>
      <c r="R42" s="2769"/>
      <c r="S42" s="2769"/>
      <c r="T42"/>
    </row>
    <row r="43" spans="2:20" s="16" customFormat="1" ht="18.600000000000001" customHeight="1" x14ac:dyDescent="0.4">
      <c r="B43" s="2768" t="s">
        <v>2384</v>
      </c>
      <c r="C43" s="2768"/>
      <c r="D43" s="2768"/>
      <c r="E43" s="2768"/>
      <c r="F43" s="2768"/>
      <c r="G43" s="2768"/>
      <c r="H43" s="2768"/>
      <c r="I43" s="2768"/>
      <c r="J43" s="2768"/>
      <c r="K43" s="2768"/>
      <c r="L43" s="2768"/>
      <c r="M43" s="2768"/>
      <c r="N43" s="2768"/>
      <c r="O43" s="2768"/>
      <c r="P43" s="2768"/>
      <c r="Q43" s="2768"/>
      <c r="R43" s="2768"/>
      <c r="S43" s="2768"/>
      <c r="T43"/>
    </row>
    <row r="44" spans="2:20" s="16" customFormat="1" ht="19.5" x14ac:dyDescent="0.4"/>
    <row r="45" spans="2:20" s="16" customFormat="1" ht="19.5" x14ac:dyDescent="0.4">
      <c r="B45" s="2628" t="s">
        <v>2385</v>
      </c>
      <c r="C45" s="2628"/>
      <c r="D45" s="2628"/>
      <c r="E45" s="2628"/>
      <c r="F45" s="2628"/>
      <c r="G45" s="2628"/>
      <c r="H45" s="2628"/>
      <c r="I45" s="2628"/>
      <c r="J45" s="2628"/>
      <c r="K45" s="2628"/>
      <c r="L45" s="2628"/>
      <c r="M45" s="2628"/>
      <c r="N45" s="2628"/>
      <c r="O45" s="2628"/>
      <c r="P45" s="2628"/>
      <c r="Q45" s="2628"/>
      <c r="R45" s="2628"/>
      <c r="S45" s="2628"/>
    </row>
    <row r="46" spans="2:20" ht="20.25" customHeight="1" x14ac:dyDescent="0.25">
      <c r="B46" s="2770" t="s">
        <v>2151</v>
      </c>
      <c r="C46" s="2770"/>
      <c r="D46" s="2773" t="s">
        <v>2152</v>
      </c>
      <c r="E46" s="2773"/>
      <c r="F46" s="2773"/>
      <c r="G46" s="2773"/>
      <c r="H46" s="2773"/>
      <c r="I46" s="2773"/>
      <c r="J46" s="2773"/>
      <c r="K46" s="2773"/>
      <c r="L46" s="2773"/>
      <c r="M46" s="2773"/>
      <c r="N46" s="2773"/>
      <c r="O46" s="2773"/>
      <c r="P46" s="2773"/>
      <c r="Q46" s="2773"/>
      <c r="R46" s="2773"/>
      <c r="S46" s="2773"/>
    </row>
    <row r="47" spans="2:20" ht="45" customHeight="1" x14ac:dyDescent="0.25">
      <c r="B47" s="2771"/>
      <c r="C47" s="2771"/>
      <c r="D47" s="2773" t="s">
        <v>2153</v>
      </c>
      <c r="E47" s="2773"/>
      <c r="F47" s="2773" t="s">
        <v>2154</v>
      </c>
      <c r="G47" s="2773"/>
      <c r="H47" s="2773" t="s">
        <v>2155</v>
      </c>
      <c r="I47" s="2773"/>
      <c r="J47" s="2773" t="s">
        <v>2156</v>
      </c>
      <c r="K47" s="2773"/>
      <c r="L47" s="2773" t="s">
        <v>2157</v>
      </c>
      <c r="M47" s="2773"/>
      <c r="N47" s="2773" t="s">
        <v>2158</v>
      </c>
      <c r="O47" s="2773"/>
      <c r="P47" s="2773" t="s">
        <v>2159</v>
      </c>
      <c r="Q47" s="2773"/>
      <c r="R47" s="2773" t="s">
        <v>2160</v>
      </c>
      <c r="S47" s="2773"/>
    </row>
    <row r="48" spans="2:20" ht="39" customHeight="1" x14ac:dyDescent="0.25">
      <c r="B48" s="2772"/>
      <c r="C48" s="2772"/>
      <c r="D48" s="901" t="s">
        <v>895</v>
      </c>
      <c r="E48" s="901" t="s">
        <v>894</v>
      </c>
      <c r="F48" s="901" t="s">
        <v>895</v>
      </c>
      <c r="G48" s="901" t="s">
        <v>894</v>
      </c>
      <c r="H48" s="901" t="s">
        <v>895</v>
      </c>
      <c r="I48" s="901" t="s">
        <v>894</v>
      </c>
      <c r="J48" s="901" t="s">
        <v>895</v>
      </c>
      <c r="K48" s="901" t="s">
        <v>894</v>
      </c>
      <c r="L48" s="901" t="s">
        <v>895</v>
      </c>
      <c r="M48" s="901" t="s">
        <v>894</v>
      </c>
      <c r="N48" s="901" t="s">
        <v>895</v>
      </c>
      <c r="O48" s="901" t="s">
        <v>894</v>
      </c>
      <c r="P48" s="901" t="s">
        <v>895</v>
      </c>
      <c r="Q48" s="901" t="s">
        <v>894</v>
      </c>
      <c r="R48" s="901" t="s">
        <v>895</v>
      </c>
      <c r="S48" s="901" t="s">
        <v>894</v>
      </c>
    </row>
    <row r="49" spans="2:19" ht="18.75" x14ac:dyDescent="0.25">
      <c r="B49" s="434" t="s">
        <v>49</v>
      </c>
      <c r="C49" s="580"/>
      <c r="D49" s="145"/>
      <c r="E49" s="145"/>
      <c r="F49" s="145"/>
      <c r="G49" s="145"/>
      <c r="H49" s="145"/>
      <c r="I49" s="145"/>
      <c r="J49" s="145"/>
      <c r="K49" s="145"/>
      <c r="L49" s="145"/>
      <c r="M49" s="145"/>
      <c r="N49" s="145"/>
      <c r="O49" s="145"/>
      <c r="P49" s="145"/>
      <c r="Q49" s="145"/>
      <c r="R49" s="145"/>
      <c r="S49" s="145"/>
    </row>
    <row r="50" spans="2:19" ht="18.75" x14ac:dyDescent="0.4">
      <c r="B50" s="580" t="s">
        <v>2161</v>
      </c>
      <c r="C50" s="580"/>
      <c r="D50" s="4" t="s">
        <v>2386</v>
      </c>
      <c r="E50" s="4" t="s">
        <v>2387</v>
      </c>
      <c r="F50" s="4" t="s">
        <v>2388</v>
      </c>
      <c r="G50" s="4" t="s">
        <v>2389</v>
      </c>
      <c r="H50" s="4" t="s">
        <v>2205</v>
      </c>
      <c r="I50" s="4" t="s">
        <v>2310</v>
      </c>
      <c r="J50" s="4" t="s">
        <v>2390</v>
      </c>
      <c r="K50" s="4" t="s">
        <v>2391</v>
      </c>
      <c r="L50" s="4" t="s">
        <v>2170</v>
      </c>
      <c r="M50" s="4" t="s">
        <v>2202</v>
      </c>
      <c r="N50" s="4" t="s">
        <v>2392</v>
      </c>
      <c r="O50" s="4" t="s">
        <v>2288</v>
      </c>
      <c r="P50" s="4" t="s">
        <v>2393</v>
      </c>
      <c r="Q50" s="4" t="s">
        <v>2163</v>
      </c>
      <c r="R50" s="4" t="s">
        <v>2394</v>
      </c>
      <c r="S50" s="4" t="s">
        <v>2395</v>
      </c>
    </row>
    <row r="51" spans="2:19" ht="18.75" x14ac:dyDescent="0.4">
      <c r="B51" s="580" t="s">
        <v>2177</v>
      </c>
      <c r="C51" s="580"/>
      <c r="D51" s="413" t="s">
        <v>2396</v>
      </c>
      <c r="E51" s="413" t="s">
        <v>2397</v>
      </c>
      <c r="F51" s="413" t="s">
        <v>2398</v>
      </c>
      <c r="G51" s="413" t="s">
        <v>2366</v>
      </c>
      <c r="H51" s="413" t="s">
        <v>2399</v>
      </c>
      <c r="I51" s="413" t="s">
        <v>2202</v>
      </c>
      <c r="J51" s="413" t="s">
        <v>2236</v>
      </c>
      <c r="K51" s="413" t="s">
        <v>2400</v>
      </c>
      <c r="L51" s="413" t="s">
        <v>2343</v>
      </c>
      <c r="M51" s="413" t="s">
        <v>2248</v>
      </c>
      <c r="N51" s="413" t="s">
        <v>2401</v>
      </c>
      <c r="O51" s="413" t="s">
        <v>2221</v>
      </c>
      <c r="P51" s="413" t="s">
        <v>2402</v>
      </c>
      <c r="Q51" s="413" t="s">
        <v>2403</v>
      </c>
      <c r="R51" s="145" t="s">
        <v>2298</v>
      </c>
      <c r="S51" s="145" t="s">
        <v>2404</v>
      </c>
    </row>
    <row r="52" spans="2:19" ht="18.75" x14ac:dyDescent="0.25">
      <c r="B52" s="434"/>
      <c r="C52" s="580"/>
      <c r="D52" s="145"/>
      <c r="E52" s="145"/>
      <c r="F52" s="145"/>
      <c r="G52" s="145"/>
      <c r="H52" s="145"/>
      <c r="I52" s="145"/>
      <c r="J52" s="145"/>
      <c r="K52" s="145"/>
      <c r="L52" s="145"/>
      <c r="M52" s="145"/>
      <c r="N52" s="145"/>
      <c r="O52" s="145"/>
      <c r="P52" s="145"/>
      <c r="Q52" s="145"/>
      <c r="R52" s="145"/>
      <c r="S52" s="145"/>
    </row>
    <row r="53" spans="2:19" ht="18.75" x14ac:dyDescent="0.25">
      <c r="B53" s="434" t="s">
        <v>2194</v>
      </c>
      <c r="C53" s="580"/>
      <c r="D53" s="145"/>
      <c r="E53" s="145"/>
      <c r="F53" s="145"/>
      <c r="G53" s="145"/>
      <c r="H53" s="145"/>
      <c r="I53" s="145"/>
      <c r="J53" s="145"/>
      <c r="K53" s="145"/>
      <c r="L53" s="145"/>
      <c r="M53" s="145"/>
      <c r="N53" s="145"/>
      <c r="O53" s="145"/>
      <c r="P53" s="145"/>
      <c r="Q53" s="145"/>
      <c r="R53" s="145"/>
      <c r="S53" s="145"/>
    </row>
    <row r="54" spans="2:19" ht="19.5" x14ac:dyDescent="0.25">
      <c r="B54" s="580" t="s">
        <v>2195</v>
      </c>
      <c r="C54" s="580"/>
      <c r="D54" s="911" t="s">
        <v>2339</v>
      </c>
      <c r="E54" s="911" t="s">
        <v>2405</v>
      </c>
      <c r="F54" s="911" t="s">
        <v>2406</v>
      </c>
      <c r="G54" s="911" t="s">
        <v>2407</v>
      </c>
      <c r="H54" s="911" t="s">
        <v>2408</v>
      </c>
      <c r="I54" s="145" t="s">
        <v>2409</v>
      </c>
      <c r="J54" s="911" t="s">
        <v>2284</v>
      </c>
      <c r="K54" s="911" t="s">
        <v>2410</v>
      </c>
      <c r="L54" s="911" t="s">
        <v>2219</v>
      </c>
      <c r="M54" s="911" t="s">
        <v>2411</v>
      </c>
      <c r="N54" s="911" t="s">
        <v>2412</v>
      </c>
      <c r="O54" s="911" t="s">
        <v>2207</v>
      </c>
      <c r="P54" s="911" t="s">
        <v>2413</v>
      </c>
      <c r="Q54" s="911" t="s">
        <v>2301</v>
      </c>
      <c r="R54" s="145" t="s">
        <v>2414</v>
      </c>
      <c r="S54" s="911" t="s">
        <v>2285</v>
      </c>
    </row>
    <row r="55" spans="2:19" ht="19.5" x14ac:dyDescent="0.25">
      <c r="B55" s="580" t="s">
        <v>2212</v>
      </c>
      <c r="C55" s="580"/>
      <c r="D55" s="911" t="s">
        <v>2415</v>
      </c>
      <c r="E55" s="911" t="s">
        <v>2416</v>
      </c>
      <c r="F55" s="911" t="s">
        <v>2417</v>
      </c>
      <c r="G55" s="911" t="s">
        <v>2418</v>
      </c>
      <c r="H55" s="911" t="s">
        <v>2332</v>
      </c>
      <c r="I55" s="911" t="s">
        <v>2165</v>
      </c>
      <c r="J55" s="911" t="s">
        <v>2261</v>
      </c>
      <c r="K55" s="911" t="s">
        <v>2287</v>
      </c>
      <c r="L55" s="911" t="s">
        <v>2419</v>
      </c>
      <c r="M55" s="911" t="s">
        <v>2420</v>
      </c>
      <c r="N55" s="911" t="s">
        <v>2392</v>
      </c>
      <c r="O55" s="911" t="s">
        <v>2421</v>
      </c>
      <c r="P55" s="911" t="s">
        <v>2422</v>
      </c>
      <c r="Q55" s="911" t="s">
        <v>2423</v>
      </c>
      <c r="R55" s="145" t="s">
        <v>2424</v>
      </c>
      <c r="S55" s="911" t="s">
        <v>2425</v>
      </c>
    </row>
    <row r="56" spans="2:19" ht="18.75" x14ac:dyDescent="0.25">
      <c r="B56" s="580" t="s">
        <v>2224</v>
      </c>
      <c r="C56" s="580"/>
      <c r="D56" s="911" t="s">
        <v>2426</v>
      </c>
      <c r="E56" s="911" t="s">
        <v>2258</v>
      </c>
      <c r="F56" s="911" t="s">
        <v>2427</v>
      </c>
      <c r="G56" s="911" t="s">
        <v>2428</v>
      </c>
      <c r="H56" s="911" t="s">
        <v>2399</v>
      </c>
      <c r="I56" s="911" t="s">
        <v>2308</v>
      </c>
      <c r="J56" s="911" t="s">
        <v>2236</v>
      </c>
      <c r="K56" s="911" t="s">
        <v>2189</v>
      </c>
      <c r="L56" s="911" t="s">
        <v>2429</v>
      </c>
      <c r="M56" s="911" t="s">
        <v>2429</v>
      </c>
      <c r="N56" s="911" t="s">
        <v>2205</v>
      </c>
      <c r="O56" s="911" t="s">
        <v>2430</v>
      </c>
      <c r="P56" s="911" t="s">
        <v>2431</v>
      </c>
      <c r="Q56" s="911" t="s">
        <v>2432</v>
      </c>
      <c r="R56" s="911" t="s">
        <v>2433</v>
      </c>
      <c r="S56" s="911" t="s">
        <v>2310</v>
      </c>
    </row>
    <row r="57" spans="2:19" ht="19.5" x14ac:dyDescent="0.25">
      <c r="B57" s="580" t="s">
        <v>2238</v>
      </c>
      <c r="C57" s="580"/>
      <c r="D57" s="911" t="s">
        <v>2434</v>
      </c>
      <c r="E57" s="911" t="s">
        <v>2208</v>
      </c>
      <c r="F57" s="911" t="s">
        <v>2427</v>
      </c>
      <c r="G57" s="911" t="s">
        <v>2435</v>
      </c>
      <c r="H57" s="911" t="s">
        <v>2185</v>
      </c>
      <c r="I57" s="911" t="s">
        <v>2436</v>
      </c>
      <c r="J57" s="911" t="s">
        <v>2307</v>
      </c>
      <c r="K57" s="911" t="s">
        <v>2437</v>
      </c>
      <c r="L57" s="911" t="s">
        <v>2438</v>
      </c>
      <c r="M57" s="911" t="s">
        <v>2335</v>
      </c>
      <c r="N57" s="911" t="s">
        <v>2204</v>
      </c>
      <c r="O57" s="911" t="s">
        <v>2439</v>
      </c>
      <c r="P57" s="911" t="s">
        <v>2440</v>
      </c>
      <c r="Q57" s="145" t="s">
        <v>2441</v>
      </c>
      <c r="R57" s="911" t="s">
        <v>2442</v>
      </c>
      <c r="S57" s="911" t="s">
        <v>2443</v>
      </c>
    </row>
    <row r="58" spans="2:19" ht="18.75" x14ac:dyDescent="0.25">
      <c r="B58" s="580"/>
      <c r="C58" s="580"/>
      <c r="D58" s="911"/>
      <c r="E58" s="911"/>
      <c r="F58" s="911"/>
      <c r="G58" s="911"/>
      <c r="H58" s="911"/>
      <c r="I58" s="911"/>
      <c r="J58" s="911"/>
      <c r="K58" s="911"/>
      <c r="L58" s="911"/>
      <c r="M58" s="911"/>
      <c r="N58" s="911"/>
      <c r="O58" s="911"/>
      <c r="P58" s="911"/>
      <c r="Q58" s="911"/>
      <c r="R58" s="911"/>
      <c r="S58" s="911"/>
    </row>
    <row r="59" spans="2:19" ht="18.75" x14ac:dyDescent="0.25">
      <c r="B59" s="168" t="s">
        <v>2253</v>
      </c>
      <c r="C59" s="9"/>
      <c r="D59" s="911"/>
      <c r="E59" s="911"/>
      <c r="F59" s="911"/>
      <c r="G59" s="911"/>
      <c r="H59" s="911"/>
      <c r="I59" s="911"/>
      <c r="J59" s="911"/>
      <c r="K59" s="911"/>
      <c r="L59" s="911"/>
      <c r="M59" s="911"/>
      <c r="N59" s="911"/>
      <c r="O59" s="911"/>
      <c r="P59" s="911"/>
      <c r="Q59" s="911"/>
      <c r="R59" s="911"/>
      <c r="S59" s="911"/>
    </row>
    <row r="60" spans="2:19" ht="18.75" x14ac:dyDescent="0.25">
      <c r="B60" s="907" t="s">
        <v>2444</v>
      </c>
      <c r="C60" s="907"/>
      <c r="D60" s="911" t="s">
        <v>2445</v>
      </c>
      <c r="E60" s="911" t="s">
        <v>2359</v>
      </c>
      <c r="F60" s="911" t="s">
        <v>2446</v>
      </c>
      <c r="G60" s="911" t="s">
        <v>2447</v>
      </c>
      <c r="H60" s="911" t="s">
        <v>2448</v>
      </c>
      <c r="I60" s="911" t="s">
        <v>2372</v>
      </c>
      <c r="J60" s="911" t="s">
        <v>2449</v>
      </c>
      <c r="K60" s="911" t="s">
        <v>2392</v>
      </c>
      <c r="L60" s="911" t="s">
        <v>2450</v>
      </c>
      <c r="M60" s="911" t="s">
        <v>2353</v>
      </c>
      <c r="N60" s="911" t="s">
        <v>2233</v>
      </c>
      <c r="O60" s="911" t="s">
        <v>2221</v>
      </c>
      <c r="P60" s="911" t="s">
        <v>2451</v>
      </c>
      <c r="Q60" s="911" t="s">
        <v>2452</v>
      </c>
      <c r="R60" s="911" t="s">
        <v>2397</v>
      </c>
      <c r="S60" s="911" t="s">
        <v>2453</v>
      </c>
    </row>
    <row r="61" spans="2:19" ht="19.5" x14ac:dyDescent="0.25">
      <c r="B61" s="907" t="s">
        <v>2454</v>
      </c>
      <c r="C61" s="907"/>
      <c r="D61" s="911" t="s">
        <v>2455</v>
      </c>
      <c r="E61" s="911" t="s">
        <v>2456</v>
      </c>
      <c r="F61" s="911" t="s">
        <v>2457</v>
      </c>
      <c r="G61" s="911" t="s">
        <v>2458</v>
      </c>
      <c r="H61" s="911" t="s">
        <v>2400</v>
      </c>
      <c r="I61" s="145" t="s">
        <v>2459</v>
      </c>
      <c r="J61" s="911" t="s">
        <v>2460</v>
      </c>
      <c r="K61" s="911" t="s">
        <v>2391</v>
      </c>
      <c r="L61" s="911" t="s">
        <v>2351</v>
      </c>
      <c r="M61" s="911" t="s">
        <v>2461</v>
      </c>
      <c r="N61" s="911" t="s">
        <v>2172</v>
      </c>
      <c r="O61" s="911" t="s">
        <v>2462</v>
      </c>
      <c r="P61" s="911" t="s">
        <v>2463</v>
      </c>
      <c r="Q61" s="911" t="s">
        <v>2464</v>
      </c>
      <c r="R61" s="911" t="s">
        <v>2465</v>
      </c>
      <c r="S61" s="911" t="s">
        <v>2247</v>
      </c>
    </row>
    <row r="62" spans="2:19" ht="19.5" x14ac:dyDescent="0.25">
      <c r="B62" s="907" t="s">
        <v>2466</v>
      </c>
      <c r="C62" s="907"/>
      <c r="D62" s="911" t="s">
        <v>2467</v>
      </c>
      <c r="E62" s="911" t="s">
        <v>2468</v>
      </c>
      <c r="F62" s="911" t="s">
        <v>2196</v>
      </c>
      <c r="G62" s="911" t="s">
        <v>2469</v>
      </c>
      <c r="H62" s="145" t="s">
        <v>2470</v>
      </c>
      <c r="I62" s="911" t="s">
        <v>2220</v>
      </c>
      <c r="J62" s="911" t="s">
        <v>2361</v>
      </c>
      <c r="K62" s="911" t="s">
        <v>2471</v>
      </c>
      <c r="L62" s="911" t="s">
        <v>2232</v>
      </c>
      <c r="M62" s="911" t="s">
        <v>2211</v>
      </c>
      <c r="N62" s="911" t="s">
        <v>2472</v>
      </c>
      <c r="O62" s="911" t="s">
        <v>2473</v>
      </c>
      <c r="P62" s="911" t="s">
        <v>2474</v>
      </c>
      <c r="Q62" s="911" t="s">
        <v>2475</v>
      </c>
      <c r="R62" s="145" t="s">
        <v>2476</v>
      </c>
      <c r="S62" s="911" t="s">
        <v>2182</v>
      </c>
    </row>
    <row r="63" spans="2:19" ht="19.5" x14ac:dyDescent="0.25">
      <c r="B63" s="2629" t="s">
        <v>2292</v>
      </c>
      <c r="C63" s="2629"/>
      <c r="D63" s="911" t="s">
        <v>2477</v>
      </c>
      <c r="E63" s="911" t="s">
        <v>2164</v>
      </c>
      <c r="F63" s="911" t="s">
        <v>2478</v>
      </c>
      <c r="G63" s="911" t="s">
        <v>2199</v>
      </c>
      <c r="H63" s="145" t="s">
        <v>2409</v>
      </c>
      <c r="I63" s="145" t="s">
        <v>2479</v>
      </c>
      <c r="J63" s="911" t="s">
        <v>2334</v>
      </c>
      <c r="K63" s="911" t="s">
        <v>2480</v>
      </c>
      <c r="L63" s="911" t="s">
        <v>2481</v>
      </c>
      <c r="M63" s="911" t="s">
        <v>2185</v>
      </c>
      <c r="N63" s="911" t="s">
        <v>2410</v>
      </c>
      <c r="O63" s="911" t="s">
        <v>2482</v>
      </c>
      <c r="P63" s="911" t="s">
        <v>2348</v>
      </c>
      <c r="Q63" s="911" t="s">
        <v>2240</v>
      </c>
      <c r="R63" s="145" t="s">
        <v>2483</v>
      </c>
      <c r="S63" s="145" t="s">
        <v>2484</v>
      </c>
    </row>
    <row r="64" spans="2:19" ht="18.75" x14ac:dyDescent="0.25">
      <c r="B64" s="580"/>
      <c r="C64" s="580"/>
      <c r="D64" s="911"/>
      <c r="E64" s="911"/>
      <c r="F64" s="911"/>
      <c r="G64" s="911"/>
      <c r="H64" s="911"/>
      <c r="I64" s="911"/>
      <c r="J64" s="911"/>
      <c r="K64" s="911"/>
      <c r="L64" s="911"/>
      <c r="M64" s="911"/>
      <c r="N64" s="911"/>
      <c r="O64" s="911"/>
      <c r="P64" s="911"/>
      <c r="Q64" s="911"/>
      <c r="R64" s="911"/>
      <c r="S64" s="911"/>
    </row>
    <row r="65" spans="2:19" ht="18.75" x14ac:dyDescent="0.25">
      <c r="B65" s="2649" t="s">
        <v>2302</v>
      </c>
      <c r="C65" s="2649"/>
      <c r="D65" s="911"/>
      <c r="E65" s="911"/>
      <c r="F65" s="911"/>
      <c r="G65" s="911"/>
      <c r="H65" s="911"/>
      <c r="I65" s="911"/>
      <c r="J65" s="911"/>
      <c r="K65" s="911"/>
      <c r="L65" s="911"/>
      <c r="M65" s="911"/>
      <c r="N65" s="911"/>
      <c r="O65" s="911"/>
      <c r="P65" s="911"/>
      <c r="Q65" s="911"/>
      <c r="R65" s="911"/>
      <c r="S65" s="911"/>
    </row>
    <row r="66" spans="2:19" ht="18.75" x14ac:dyDescent="0.25">
      <c r="B66" s="2629" t="s">
        <v>2303</v>
      </c>
      <c r="C66" s="2629"/>
      <c r="D66" s="911" t="s">
        <v>2485</v>
      </c>
      <c r="E66" s="911" t="s">
        <v>2228</v>
      </c>
      <c r="F66" s="911" t="s">
        <v>2486</v>
      </c>
      <c r="G66" s="911" t="s">
        <v>2487</v>
      </c>
      <c r="H66" s="911" t="s">
        <v>2206</v>
      </c>
      <c r="I66" s="911" t="s">
        <v>2488</v>
      </c>
      <c r="J66" s="911" t="s">
        <v>2489</v>
      </c>
      <c r="K66" s="911" t="s">
        <v>2400</v>
      </c>
      <c r="L66" s="911" t="s">
        <v>2310</v>
      </c>
      <c r="M66" s="911" t="s">
        <v>2429</v>
      </c>
      <c r="N66" s="911" t="s">
        <v>2263</v>
      </c>
      <c r="O66" s="911" t="s">
        <v>2221</v>
      </c>
      <c r="P66" s="911" t="s">
        <v>2490</v>
      </c>
      <c r="Q66" s="911" t="s">
        <v>2491</v>
      </c>
      <c r="R66" s="911" t="s">
        <v>2362</v>
      </c>
      <c r="S66" s="911" t="s">
        <v>2271</v>
      </c>
    </row>
    <row r="67" spans="2:19" ht="26.1" customHeight="1" x14ac:dyDescent="0.25">
      <c r="B67" s="2629" t="s">
        <v>2492</v>
      </c>
      <c r="C67" s="2629"/>
      <c r="D67" s="911" t="s">
        <v>2493</v>
      </c>
      <c r="E67" s="911" t="s">
        <v>2494</v>
      </c>
      <c r="F67" s="911" t="s">
        <v>2318</v>
      </c>
      <c r="G67" s="911" t="s">
        <v>2179</v>
      </c>
      <c r="H67" s="911" t="s">
        <v>2274</v>
      </c>
      <c r="I67" s="911" t="s">
        <v>2363</v>
      </c>
      <c r="J67" s="911" t="s">
        <v>2495</v>
      </c>
      <c r="K67" s="911" t="s">
        <v>2496</v>
      </c>
      <c r="L67" s="911" t="s">
        <v>2488</v>
      </c>
      <c r="M67" s="911" t="s">
        <v>2242</v>
      </c>
      <c r="N67" s="911" t="s">
        <v>2263</v>
      </c>
      <c r="O67" s="911" t="s">
        <v>2172</v>
      </c>
      <c r="P67" s="911" t="s">
        <v>2431</v>
      </c>
      <c r="Q67" s="911" t="s">
        <v>2417</v>
      </c>
      <c r="R67" s="145" t="s">
        <v>2497</v>
      </c>
      <c r="S67" s="145" t="s">
        <v>2498</v>
      </c>
    </row>
    <row r="68" spans="2:19" ht="19.5" x14ac:dyDescent="0.25">
      <c r="B68" s="907" t="s">
        <v>2499</v>
      </c>
      <c r="C68" s="907"/>
      <c r="D68" s="911" t="s">
        <v>2491</v>
      </c>
      <c r="E68" s="911" t="s">
        <v>2500</v>
      </c>
      <c r="F68" s="911" t="s">
        <v>2501</v>
      </c>
      <c r="G68" s="911" t="s">
        <v>2301</v>
      </c>
      <c r="H68" s="911" t="s">
        <v>2363</v>
      </c>
      <c r="I68" s="911" t="s">
        <v>2425</v>
      </c>
      <c r="J68" s="911" t="s">
        <v>2335</v>
      </c>
      <c r="K68" s="911" t="s">
        <v>2400</v>
      </c>
      <c r="L68" s="911" t="s">
        <v>2188</v>
      </c>
      <c r="M68" s="911" t="s">
        <v>2502</v>
      </c>
      <c r="N68" s="911" t="s">
        <v>2221</v>
      </c>
      <c r="O68" s="911" t="s">
        <v>2412</v>
      </c>
      <c r="P68" s="911" t="s">
        <v>2503</v>
      </c>
      <c r="Q68" s="911" t="s">
        <v>2504</v>
      </c>
      <c r="R68" s="145" t="s">
        <v>2505</v>
      </c>
      <c r="S68" s="911" t="s">
        <v>2331</v>
      </c>
    </row>
    <row r="69" spans="2:19" ht="18.75" x14ac:dyDescent="0.25">
      <c r="B69" s="580"/>
      <c r="C69" s="580"/>
      <c r="D69" s="911"/>
      <c r="E69" s="911"/>
      <c r="F69" s="911"/>
      <c r="G69" s="911"/>
      <c r="H69" s="911"/>
      <c r="I69" s="911"/>
      <c r="J69" s="911"/>
      <c r="K69" s="911"/>
      <c r="L69" s="911"/>
      <c r="M69" s="911"/>
      <c r="N69" s="911"/>
      <c r="O69" s="911"/>
      <c r="P69" s="911"/>
      <c r="Q69" s="911"/>
      <c r="R69" s="911"/>
      <c r="S69" s="911"/>
    </row>
    <row r="70" spans="2:19" ht="18.75" x14ac:dyDescent="0.25">
      <c r="B70" s="2649" t="s">
        <v>2336</v>
      </c>
      <c r="C70" s="2649"/>
      <c r="D70" s="911"/>
      <c r="E70" s="911"/>
      <c r="F70" s="911"/>
      <c r="G70" s="911"/>
      <c r="H70" s="911"/>
      <c r="I70" s="911"/>
      <c r="J70" s="911"/>
      <c r="K70" s="911"/>
      <c r="L70" s="911"/>
      <c r="M70" s="911"/>
      <c r="N70" s="911"/>
      <c r="O70" s="911"/>
      <c r="P70" s="911"/>
      <c r="Q70" s="911"/>
      <c r="R70" s="911"/>
      <c r="S70" s="911"/>
    </row>
    <row r="71" spans="2:19" ht="19.5" x14ac:dyDescent="0.25">
      <c r="B71" s="2629" t="s">
        <v>2337</v>
      </c>
      <c r="C71" s="2629"/>
      <c r="D71" s="911" t="s">
        <v>2506</v>
      </c>
      <c r="E71" s="911" t="s">
        <v>2196</v>
      </c>
      <c r="F71" s="911" t="s">
        <v>2507</v>
      </c>
      <c r="G71" s="911" t="s">
        <v>2508</v>
      </c>
      <c r="H71" s="911" t="s">
        <v>2509</v>
      </c>
      <c r="I71" s="911" t="s">
        <v>2330</v>
      </c>
      <c r="J71" s="911" t="s">
        <v>2510</v>
      </c>
      <c r="K71" s="911" t="s">
        <v>2172</v>
      </c>
      <c r="L71" s="911" t="s">
        <v>2511</v>
      </c>
      <c r="M71" s="911" t="s">
        <v>2182</v>
      </c>
      <c r="N71" s="911" t="s">
        <v>2232</v>
      </c>
      <c r="O71" s="911" t="s">
        <v>2401</v>
      </c>
      <c r="P71" s="911" t="s">
        <v>2512</v>
      </c>
      <c r="Q71" s="911" t="s">
        <v>2513</v>
      </c>
      <c r="R71" s="145" t="s">
        <v>2514</v>
      </c>
      <c r="S71" s="145" t="s">
        <v>2515</v>
      </c>
    </row>
    <row r="72" spans="2:19" ht="18.75" x14ac:dyDescent="0.25">
      <c r="B72" s="2629" t="s">
        <v>2516</v>
      </c>
      <c r="C72" s="2629"/>
      <c r="D72" s="911" t="s">
        <v>2517</v>
      </c>
      <c r="E72" s="911" t="s">
        <v>2518</v>
      </c>
      <c r="F72" s="911" t="s">
        <v>2519</v>
      </c>
      <c r="G72" s="911" t="s">
        <v>2167</v>
      </c>
      <c r="H72" s="911" t="s">
        <v>2205</v>
      </c>
      <c r="I72" s="911" t="s">
        <v>2361</v>
      </c>
      <c r="J72" s="911" t="s">
        <v>2520</v>
      </c>
      <c r="K72" s="911" t="s">
        <v>2521</v>
      </c>
      <c r="L72" s="911" t="s">
        <v>2361</v>
      </c>
      <c r="M72" s="911" t="s">
        <v>2522</v>
      </c>
      <c r="N72" s="911" t="s">
        <v>2217</v>
      </c>
      <c r="O72" s="911" t="s">
        <v>2399</v>
      </c>
      <c r="P72" s="911" t="s">
        <v>2523</v>
      </c>
      <c r="Q72" s="911" t="s">
        <v>2524</v>
      </c>
      <c r="R72" s="911" t="s">
        <v>2525</v>
      </c>
      <c r="S72" s="911" t="s">
        <v>2166</v>
      </c>
    </row>
    <row r="73" spans="2:19" ht="19.5" x14ac:dyDescent="0.25">
      <c r="B73" s="2629" t="s">
        <v>2357</v>
      </c>
      <c r="C73" s="2629"/>
      <c r="D73" s="911" t="s">
        <v>2526</v>
      </c>
      <c r="E73" s="911" t="s">
        <v>2527</v>
      </c>
      <c r="F73" s="911" t="s">
        <v>2528</v>
      </c>
      <c r="G73" s="911" t="s">
        <v>2458</v>
      </c>
      <c r="H73" s="145" t="s">
        <v>2529</v>
      </c>
      <c r="I73" s="911" t="s">
        <v>2488</v>
      </c>
      <c r="J73" s="911" t="s">
        <v>2458</v>
      </c>
      <c r="K73" s="911" t="s">
        <v>2439</v>
      </c>
      <c r="L73" s="911" t="s">
        <v>2310</v>
      </c>
      <c r="M73" s="911" t="s">
        <v>2530</v>
      </c>
      <c r="N73" s="911" t="s">
        <v>2471</v>
      </c>
      <c r="O73" s="911" t="s">
        <v>2421</v>
      </c>
      <c r="P73" s="911" t="s">
        <v>2531</v>
      </c>
      <c r="Q73" s="911" t="s">
        <v>2532</v>
      </c>
      <c r="R73" s="145" t="s">
        <v>2533</v>
      </c>
      <c r="S73" s="911" t="s">
        <v>2534</v>
      </c>
    </row>
    <row r="74" spans="2:19" ht="19.5" x14ac:dyDescent="0.25">
      <c r="B74" s="2629" t="s">
        <v>2535</v>
      </c>
      <c r="C74" s="2629"/>
      <c r="D74" s="911" t="s">
        <v>2536</v>
      </c>
      <c r="E74" s="911" t="s">
        <v>2537</v>
      </c>
      <c r="F74" s="911" t="s">
        <v>2538</v>
      </c>
      <c r="G74" s="911" t="s">
        <v>2539</v>
      </c>
      <c r="H74" s="145" t="s">
        <v>2540</v>
      </c>
      <c r="I74" s="911" t="s">
        <v>2461</v>
      </c>
      <c r="J74" s="911" t="s">
        <v>2541</v>
      </c>
      <c r="K74" s="911" t="s">
        <v>2205</v>
      </c>
      <c r="L74" s="911" t="s">
        <v>2353</v>
      </c>
      <c r="M74" s="911" t="s">
        <v>2169</v>
      </c>
      <c r="N74" s="911" t="s">
        <v>2172</v>
      </c>
      <c r="O74" s="911" t="s">
        <v>2542</v>
      </c>
      <c r="P74" s="911" t="s">
        <v>2543</v>
      </c>
      <c r="Q74" s="911" t="s">
        <v>2544</v>
      </c>
      <c r="R74" s="145" t="s">
        <v>2545</v>
      </c>
      <c r="S74" s="911" t="s">
        <v>2425</v>
      </c>
    </row>
    <row r="75" spans="2:19" ht="19.5" x14ac:dyDescent="0.25">
      <c r="B75" s="912" t="s">
        <v>878</v>
      </c>
      <c r="C75" s="912"/>
      <c r="D75" s="913" t="s">
        <v>2546</v>
      </c>
      <c r="E75" s="148" t="s">
        <v>2547</v>
      </c>
      <c r="F75" s="148" t="s">
        <v>2548</v>
      </c>
      <c r="G75" s="148" t="s">
        <v>2549</v>
      </c>
      <c r="H75" s="913" t="s">
        <v>2550</v>
      </c>
      <c r="I75" s="913" t="s">
        <v>2271</v>
      </c>
      <c r="J75" s="913" t="s">
        <v>2551</v>
      </c>
      <c r="K75" s="148" t="s">
        <v>2552</v>
      </c>
      <c r="L75" s="913" t="s">
        <v>2553</v>
      </c>
      <c r="M75" s="913" t="s">
        <v>2233</v>
      </c>
      <c r="N75" s="913" t="s">
        <v>2550</v>
      </c>
      <c r="O75" s="913" t="s">
        <v>2554</v>
      </c>
      <c r="P75" s="913" t="s">
        <v>2555</v>
      </c>
      <c r="Q75" s="913" t="s">
        <v>2556</v>
      </c>
      <c r="R75" s="913" t="s">
        <v>2550</v>
      </c>
      <c r="S75" s="913" t="s">
        <v>2390</v>
      </c>
    </row>
    <row r="76" spans="2:19" ht="18.75" x14ac:dyDescent="0.25">
      <c r="B76" s="2768" t="s">
        <v>2381</v>
      </c>
      <c r="C76" s="2768"/>
      <c r="D76" s="2768"/>
      <c r="E76" s="2768"/>
      <c r="F76" s="2768"/>
      <c r="G76" s="2768"/>
      <c r="H76" s="2768"/>
      <c r="I76" s="2768"/>
      <c r="J76" s="2768"/>
      <c r="K76" s="2768"/>
      <c r="L76" s="2768"/>
      <c r="M76" s="2768"/>
      <c r="N76" s="2768"/>
      <c r="O76" s="2768"/>
      <c r="P76" s="2768"/>
      <c r="Q76" s="2768"/>
      <c r="R76" s="2768"/>
      <c r="S76" s="2768"/>
    </row>
    <row r="77" spans="2:19" ht="18.75" x14ac:dyDescent="0.25">
      <c r="B77" s="2768" t="s">
        <v>2382</v>
      </c>
      <c r="C77" s="2768"/>
      <c r="D77" s="2768"/>
      <c r="E77" s="2768"/>
      <c r="F77" s="2768"/>
      <c r="G77" s="2768"/>
      <c r="H77" s="2768"/>
      <c r="I77" s="2768"/>
      <c r="J77" s="2768"/>
      <c r="K77" s="2768"/>
      <c r="L77" s="2768"/>
      <c r="M77" s="2768"/>
      <c r="N77" s="2768"/>
      <c r="O77" s="2768"/>
      <c r="P77" s="2768"/>
      <c r="Q77" s="2768"/>
      <c r="R77" s="2768"/>
      <c r="S77" s="2768"/>
    </row>
    <row r="78" spans="2:19" ht="18.75" x14ac:dyDescent="0.25">
      <c r="B78" s="2769" t="s">
        <v>2383</v>
      </c>
      <c r="C78" s="2769"/>
      <c r="D78" s="2769"/>
      <c r="E78" s="2769"/>
      <c r="F78" s="2769"/>
      <c r="G78" s="2769"/>
      <c r="H78" s="2769"/>
      <c r="I78" s="2769"/>
      <c r="J78" s="2769"/>
      <c r="K78" s="2769"/>
      <c r="L78" s="2769"/>
      <c r="M78" s="2769"/>
      <c r="N78" s="2769"/>
      <c r="O78" s="2769"/>
      <c r="P78" s="2769"/>
      <c r="Q78" s="2769"/>
      <c r="R78" s="2769"/>
      <c r="S78" s="2769"/>
    </row>
    <row r="79" spans="2:19" ht="18.75" x14ac:dyDescent="0.25">
      <c r="B79" s="2768" t="s">
        <v>2557</v>
      </c>
      <c r="C79" s="2768"/>
      <c r="D79" s="2768"/>
      <c r="E79" s="2768"/>
      <c r="F79" s="2768"/>
      <c r="G79" s="2768"/>
      <c r="H79" s="2768"/>
      <c r="I79" s="2768"/>
      <c r="J79" s="2768"/>
      <c r="K79" s="2768"/>
      <c r="L79" s="2768"/>
      <c r="M79" s="2768"/>
      <c r="N79" s="2768"/>
      <c r="O79" s="2768"/>
      <c r="P79" s="2768"/>
      <c r="Q79" s="2768"/>
      <c r="R79" s="2768"/>
      <c r="S79" s="2768"/>
    </row>
  </sheetData>
  <mergeCells count="58">
    <mergeCell ref="A5:B5"/>
    <mergeCell ref="C5:T5"/>
    <mergeCell ref="C1:D1"/>
    <mergeCell ref="A3:B3"/>
    <mergeCell ref="C3:T3"/>
    <mergeCell ref="A4:B4"/>
    <mergeCell ref="C4:T4"/>
    <mergeCell ref="B29:C29"/>
    <mergeCell ref="A6:B6"/>
    <mergeCell ref="C6:T6"/>
    <mergeCell ref="B9:T9"/>
    <mergeCell ref="B10:C12"/>
    <mergeCell ref="D10:S10"/>
    <mergeCell ref="D11:E11"/>
    <mergeCell ref="F11:G11"/>
    <mergeCell ref="H11:I11"/>
    <mergeCell ref="J11:K11"/>
    <mergeCell ref="L11:M11"/>
    <mergeCell ref="N11:O11"/>
    <mergeCell ref="P11:Q11"/>
    <mergeCell ref="R11:S11"/>
    <mergeCell ref="B17:C17"/>
    <mergeCell ref="B27:C27"/>
    <mergeCell ref="B45:S45"/>
    <mergeCell ref="B30:C30"/>
    <mergeCell ref="B31:C31"/>
    <mergeCell ref="B34:C34"/>
    <mergeCell ref="B35:C35"/>
    <mergeCell ref="B36:C36"/>
    <mergeCell ref="B37:C37"/>
    <mergeCell ref="B38:C38"/>
    <mergeCell ref="B40:S40"/>
    <mergeCell ref="B41:S41"/>
    <mergeCell ref="B42:S42"/>
    <mergeCell ref="B43:S43"/>
    <mergeCell ref="B71:C71"/>
    <mergeCell ref="B46:C48"/>
    <mergeCell ref="D46:S46"/>
    <mergeCell ref="D47:E47"/>
    <mergeCell ref="F47:G47"/>
    <mergeCell ref="H47:I47"/>
    <mergeCell ref="J47:K47"/>
    <mergeCell ref="L47:M47"/>
    <mergeCell ref="N47:O47"/>
    <mergeCell ref="P47:Q47"/>
    <mergeCell ref="R47:S47"/>
    <mergeCell ref="B63:C63"/>
    <mergeCell ref="B65:C65"/>
    <mergeCell ref="B66:C66"/>
    <mergeCell ref="B67:C67"/>
    <mergeCell ref="B70:C70"/>
    <mergeCell ref="B79:S79"/>
    <mergeCell ref="B72:C72"/>
    <mergeCell ref="B73:C73"/>
    <mergeCell ref="B74:C74"/>
    <mergeCell ref="B76:S76"/>
    <mergeCell ref="B77:S77"/>
    <mergeCell ref="B78:S78"/>
  </mergeCells>
  <hyperlinks>
    <hyperlink ref="A1" location="'ODS 5.'!A1" display="REGRESAR" xr:uid="{21235CAB-DE61-459A-9221-800441602CC5}"/>
    <hyperlink ref="C1" location="'Metadato 5.4.1'!A1" display="VER METADATO" xr:uid="{094FACFF-67E6-43E0-9CA4-3D74FCFAEB9C}"/>
  </hyperlink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3FA7-BBBD-4867-84E1-F216E167937B}">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7" width="3" style="5" customWidth="1"/>
    <col min="8" max="9" width="11.42578125" style="5"/>
    <col min="10" max="10" width="3.28515625" style="5" customWidth="1"/>
    <col min="11" max="16384" width="11.42578125" style="5"/>
  </cols>
  <sheetData>
    <row r="1" spans="1:7" x14ac:dyDescent="0.4">
      <c r="B1" s="90" t="s">
        <v>39</v>
      </c>
    </row>
    <row r="2" spans="1:7" ht="19.5" thickBot="1" x14ac:dyDescent="0.45"/>
    <row r="3" spans="1:7" ht="23.25" customHeight="1" thickBot="1" x14ac:dyDescent="0.45">
      <c r="B3" s="2745" t="s">
        <v>75</v>
      </c>
      <c r="C3" s="2745"/>
      <c r="D3" s="2745"/>
      <c r="F3" s="91" t="s">
        <v>265</v>
      </c>
    </row>
    <row r="4" spans="1:7" x14ac:dyDescent="0.4">
      <c r="A4" s="92"/>
      <c r="B4" s="2606" t="s">
        <v>234</v>
      </c>
      <c r="C4" s="2606"/>
      <c r="D4" s="359" t="s">
        <v>2064</v>
      </c>
    </row>
    <row r="5" spans="1:7" ht="56.25" x14ac:dyDescent="0.4">
      <c r="B5" s="2445" t="s">
        <v>79</v>
      </c>
      <c r="C5" s="2445"/>
      <c r="D5" s="49" t="s">
        <v>1988</v>
      </c>
    </row>
    <row r="6" spans="1:7" x14ac:dyDescent="0.4">
      <c r="A6" s="914"/>
      <c r="B6" s="2445" t="s">
        <v>80</v>
      </c>
      <c r="C6" s="2445"/>
      <c r="D6" s="50" t="s">
        <v>1989</v>
      </c>
      <c r="E6" s="915"/>
      <c r="F6" s="915"/>
      <c r="G6" s="914"/>
    </row>
    <row r="7" spans="1:7" ht="32.25" customHeight="1" x14ac:dyDescent="0.4">
      <c r="A7" s="914"/>
      <c r="B7" s="2446" t="s">
        <v>81</v>
      </c>
      <c r="C7" s="2446"/>
      <c r="D7" s="93" t="s">
        <v>1990</v>
      </c>
      <c r="E7" s="123"/>
      <c r="F7" s="914"/>
      <c r="G7" s="914"/>
    </row>
    <row r="8" spans="1:7" x14ac:dyDescent="0.4">
      <c r="A8" s="914"/>
      <c r="B8" s="2446" t="s">
        <v>82</v>
      </c>
      <c r="C8" s="2446"/>
      <c r="D8" s="94" t="s">
        <v>2558</v>
      </c>
      <c r="E8" s="123"/>
      <c r="F8" s="914"/>
      <c r="G8" s="914"/>
    </row>
    <row r="9" spans="1:7" x14ac:dyDescent="0.4">
      <c r="A9" s="145"/>
    </row>
    <row r="10" spans="1:7" ht="23.25" customHeight="1" x14ac:dyDescent="0.4">
      <c r="A10" s="813"/>
      <c r="B10" s="2745" t="s">
        <v>85</v>
      </c>
      <c r="C10" s="2745"/>
      <c r="D10" s="2745"/>
      <c r="E10" s="154"/>
      <c r="F10" s="916"/>
      <c r="G10" s="916"/>
    </row>
    <row r="11" spans="1:7" ht="18" customHeight="1" x14ac:dyDescent="0.4">
      <c r="A11" s="263"/>
      <c r="B11" s="2633" t="s">
        <v>86</v>
      </c>
      <c r="C11" s="2634"/>
      <c r="D11" s="359" t="s">
        <v>167</v>
      </c>
      <c r="F11" s="917"/>
      <c r="G11" s="917"/>
    </row>
    <row r="12" spans="1:7" ht="37.5" x14ac:dyDescent="0.4">
      <c r="A12" s="263"/>
      <c r="B12" s="2455" t="s">
        <v>88</v>
      </c>
      <c r="C12" s="2455"/>
      <c r="D12" s="214" t="s">
        <v>2559</v>
      </c>
      <c r="F12" s="917"/>
      <c r="G12" s="917"/>
    </row>
    <row r="13" spans="1:7" x14ac:dyDescent="0.4">
      <c r="A13" s="263"/>
      <c r="B13" s="2445" t="s">
        <v>90</v>
      </c>
      <c r="C13" s="2445"/>
      <c r="D13" s="54" t="s">
        <v>1989</v>
      </c>
      <c r="F13" s="918"/>
      <c r="G13" s="918"/>
    </row>
    <row r="14" spans="1:7" x14ac:dyDescent="0.4">
      <c r="B14" s="2445" t="s">
        <v>91</v>
      </c>
      <c r="C14" s="2456"/>
      <c r="D14" s="54" t="s">
        <v>214</v>
      </c>
    </row>
    <row r="15" spans="1:7" ht="281.25" x14ac:dyDescent="0.4">
      <c r="A15" s="3"/>
      <c r="B15" s="2445" t="s">
        <v>93</v>
      </c>
      <c r="C15" s="2445"/>
      <c r="D15" s="204" t="s">
        <v>2560</v>
      </c>
      <c r="E15" s="3"/>
      <c r="F15" s="3"/>
      <c r="G15" s="3"/>
    </row>
    <row r="16" spans="1:7" ht="205.5" customHeight="1" x14ac:dyDescent="0.4">
      <c r="A16" s="3"/>
      <c r="B16" s="2445" t="s">
        <v>95</v>
      </c>
      <c r="C16" s="2445"/>
      <c r="D16" s="203" t="s">
        <v>2561</v>
      </c>
      <c r="E16" s="3"/>
      <c r="F16" s="3"/>
      <c r="G16" s="3"/>
    </row>
    <row r="17" spans="2:4" x14ac:dyDescent="0.4">
      <c r="B17" s="2445" t="s">
        <v>97</v>
      </c>
      <c r="C17" s="2445"/>
      <c r="D17" s="203" t="s">
        <v>2562</v>
      </c>
    </row>
    <row r="18" spans="2:4" x14ac:dyDescent="0.4">
      <c r="B18" s="2446" t="s">
        <v>99</v>
      </c>
      <c r="C18" s="2446"/>
      <c r="D18" s="49"/>
    </row>
    <row r="19" spans="2:4" ht="37.5" x14ac:dyDescent="0.4">
      <c r="B19" s="2457" t="s">
        <v>100</v>
      </c>
      <c r="C19" s="2458"/>
      <c r="D19" s="56" t="s">
        <v>2563</v>
      </c>
    </row>
    <row r="20" spans="2:4" x14ac:dyDescent="0.4">
      <c r="B20" s="2445" t="s">
        <v>102</v>
      </c>
      <c r="C20" s="2445"/>
      <c r="D20" s="203" t="s">
        <v>2564</v>
      </c>
    </row>
    <row r="21" spans="2:4" x14ac:dyDescent="0.4">
      <c r="B21" s="2451" t="s">
        <v>104</v>
      </c>
      <c r="C21" s="95" t="s">
        <v>105</v>
      </c>
      <c r="D21" s="49"/>
    </row>
    <row r="22" spans="2:4" x14ac:dyDescent="0.4">
      <c r="B22" s="2452"/>
      <c r="C22" s="96" t="s">
        <v>107</v>
      </c>
      <c r="D22" s="203" t="s">
        <v>48</v>
      </c>
    </row>
    <row r="23" spans="2:4" x14ac:dyDescent="0.4">
      <c r="B23" s="2444" t="s">
        <v>109</v>
      </c>
      <c r="C23" s="2444"/>
      <c r="D23" s="203" t="s">
        <v>143</v>
      </c>
    </row>
    <row r="24" spans="2:4" ht="56.25" x14ac:dyDescent="0.4">
      <c r="B24" s="2444" t="s">
        <v>111</v>
      </c>
      <c r="C24" s="2444"/>
      <c r="D24" s="699" t="s">
        <v>2565</v>
      </c>
    </row>
    <row r="25" spans="2:4" x14ac:dyDescent="0.4">
      <c r="B25" s="2445" t="s">
        <v>113</v>
      </c>
      <c r="C25" s="2445"/>
      <c r="D25" s="56" t="s">
        <v>144</v>
      </c>
    </row>
    <row r="26" spans="2:4" x14ac:dyDescent="0.4">
      <c r="B26" s="2446" t="s">
        <v>115</v>
      </c>
      <c r="C26" s="2446"/>
      <c r="D26" s="205" t="s">
        <v>2566</v>
      </c>
    </row>
    <row r="27" spans="2:4" ht="37.5" x14ac:dyDescent="0.4">
      <c r="B27" s="2447" t="s">
        <v>117</v>
      </c>
      <c r="C27" s="2448"/>
      <c r="D27" s="49" t="s">
        <v>2567</v>
      </c>
    </row>
    <row r="28" spans="2:4" ht="131.25" x14ac:dyDescent="0.4">
      <c r="B28" s="97" t="s">
        <v>118</v>
      </c>
      <c r="C28" s="98"/>
      <c r="D28" s="203" t="s">
        <v>2568</v>
      </c>
    </row>
    <row r="29" spans="2:4" x14ac:dyDescent="0.4">
      <c r="B29" s="2449" t="s">
        <v>120</v>
      </c>
      <c r="C29" s="2450"/>
      <c r="D29" s="62"/>
    </row>
    <row r="30" spans="2:4" x14ac:dyDescent="0.4">
      <c r="B30" s="628"/>
      <c r="C30" s="628"/>
      <c r="D30" s="629"/>
    </row>
    <row r="31" spans="2:4" ht="23.25" customHeight="1" x14ac:dyDescent="0.4">
      <c r="B31" s="2745" t="s">
        <v>121</v>
      </c>
      <c r="C31" s="2745"/>
      <c r="D31" s="2745"/>
    </row>
    <row r="32" spans="2:4" x14ac:dyDescent="0.4">
      <c r="B32" s="2631" t="s">
        <v>122</v>
      </c>
      <c r="C32" s="2632"/>
      <c r="D32" s="652" t="s">
        <v>2569</v>
      </c>
    </row>
    <row r="33" spans="2:4" x14ac:dyDescent="0.4">
      <c r="B33" s="2442" t="s">
        <v>124</v>
      </c>
      <c r="C33" s="2443"/>
      <c r="D33" s="205" t="s">
        <v>2570</v>
      </c>
    </row>
    <row r="34" spans="2:4" x14ac:dyDescent="0.4">
      <c r="B34" s="2442" t="s">
        <v>126</v>
      </c>
      <c r="C34" s="2443"/>
      <c r="D34" s="205" t="s">
        <v>127</v>
      </c>
    </row>
    <row r="35" spans="2:4" x14ac:dyDescent="0.4">
      <c r="B35" s="2442" t="s">
        <v>128</v>
      </c>
      <c r="C35" s="2443"/>
      <c r="D35" s="205" t="s">
        <v>2571</v>
      </c>
    </row>
    <row r="36" spans="2:4" x14ac:dyDescent="0.4">
      <c r="B36" s="2442" t="s">
        <v>130</v>
      </c>
      <c r="C36" s="2443"/>
      <c r="D36" s="208" t="s">
        <v>2572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E8CD751-2E2C-44BA-AA61-5A260BF60269}"/>
    <dataValidation type="list" allowBlank="1" showInputMessage="1" showErrorMessage="1" sqref="D4" xr:uid="{2A186DD0-C023-4AA3-B567-862C101F5625}">
      <formula1>ODS</formula1>
    </dataValidation>
    <dataValidation type="list" allowBlank="1" showInputMessage="1" showErrorMessage="1" sqref="D5" xr:uid="{83170DCD-FB7E-4AFA-A332-52F9162AB8DB}">
      <formula1>Metas_ODS</formula1>
    </dataValidation>
    <dataValidation type="list" allowBlank="1" showInputMessage="1" showErrorMessage="1" sqref="D6" xr:uid="{0EF3334E-E68B-47E2-B069-A79E1AC7B7E8}">
      <formula1>Numero_indicador</formula1>
    </dataValidation>
    <dataValidation type="list" allowBlank="1" showInputMessage="1" showErrorMessage="1" sqref="D7" xr:uid="{BEA0B07E-13C0-4A21-ABD5-F2E905A19E8B}">
      <formula1>Nombre_indicador_ODS</formula1>
    </dataValidation>
    <dataValidation type="list" allowBlank="1" showInputMessage="1" showErrorMessage="1" sqref="D14" xr:uid="{1419FCBF-69DF-4377-998B-F4C0084A5147}">
      <formula1>Tipo_indicador</formula1>
    </dataValidation>
    <dataValidation type="list" allowBlank="1" showInputMessage="1" showErrorMessage="1" sqref="D25" xr:uid="{0520110F-4432-4924-B738-0037A33F9F15}">
      <formula1>Tipo_operación</formula1>
    </dataValidation>
  </dataValidations>
  <hyperlinks>
    <hyperlink ref="B1" location="'5.4.1'!A1" display="REGRESAR" xr:uid="{6D963B8F-FEE4-455E-9631-7982D9165734}"/>
    <hyperlink ref="D36" r:id="rId1" xr:uid="{35A34D89-EA47-4822-9B69-6E12A01E7A87}"/>
    <hyperlink ref="D8" r:id="rId2" xr:uid="{94B00B34-CFEF-4F10-8FCB-E1FC587F629C}"/>
  </hyperlinks>
  <pageMargins left="0.7" right="0.7" top="0.75" bottom="0.75" header="0.3" footer="0.3"/>
  <pageSetup paperSize="9" orientation="portrait" r:id="rId3"/>
  <drawing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A078-BC2A-4FB3-AA05-EA61B52E6D1A}">
  <dimension ref="A1:U310"/>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2" width="15.28515625" style="22" customWidth="1"/>
    <col min="3" max="3" width="12.7109375" style="22" customWidth="1"/>
    <col min="4" max="4" width="14.28515625" style="22" customWidth="1"/>
    <col min="5" max="5" width="10.5703125" style="22" customWidth="1"/>
    <col min="6" max="6" width="11.28515625" style="22" customWidth="1"/>
    <col min="7" max="7" width="11.5703125" style="22" customWidth="1"/>
    <col min="8" max="16384" width="11.42578125" style="22"/>
  </cols>
  <sheetData>
    <row r="1" spans="1:18" s="16" customFormat="1" ht="19.5" x14ac:dyDescent="0.4">
      <c r="A1" s="15" t="s">
        <v>39</v>
      </c>
      <c r="C1" s="2421" t="s">
        <v>149</v>
      </c>
      <c r="D1" s="2421"/>
    </row>
    <row r="2" spans="1:18" s="16" customFormat="1" ht="19.5" x14ac:dyDescent="0.4"/>
    <row r="3" spans="1:18" s="16" customFormat="1" ht="19.5" x14ac:dyDescent="0.4">
      <c r="A3" s="2736" t="s">
        <v>41</v>
      </c>
      <c r="B3" s="2744"/>
      <c r="C3" s="2736" t="s">
        <v>1974</v>
      </c>
      <c r="D3" s="2762"/>
      <c r="E3" s="2762"/>
      <c r="F3" s="2762"/>
      <c r="G3" s="2762"/>
      <c r="H3" s="2762"/>
      <c r="I3" s="2762"/>
      <c r="J3" s="2762"/>
      <c r="K3" s="2762"/>
      <c r="L3" s="2762"/>
      <c r="M3" s="2762"/>
      <c r="N3" s="2762"/>
      <c r="O3" s="2762"/>
      <c r="P3" s="2762"/>
      <c r="Q3" s="2762"/>
      <c r="R3" s="2762"/>
    </row>
    <row r="4" spans="1:18" s="16" customFormat="1" ht="19.5" x14ac:dyDescent="0.4">
      <c r="A4" s="2736" t="s">
        <v>42</v>
      </c>
      <c r="B4" s="2737"/>
      <c r="C4" s="2736" t="s">
        <v>1991</v>
      </c>
      <c r="D4" s="2738"/>
      <c r="E4" s="2738"/>
      <c r="F4" s="2738"/>
      <c r="G4" s="2738"/>
      <c r="H4" s="2738"/>
      <c r="I4" s="2738"/>
      <c r="J4" s="2738"/>
      <c r="K4" s="2738"/>
      <c r="L4" s="2738"/>
      <c r="M4" s="2738"/>
      <c r="N4" s="2738"/>
      <c r="O4" s="2738"/>
      <c r="P4" s="2738"/>
      <c r="Q4" s="2738"/>
      <c r="R4" s="2738"/>
    </row>
    <row r="5" spans="1:18" s="16" customFormat="1" ht="19.5" x14ac:dyDescent="0.4">
      <c r="A5" s="2736" t="s">
        <v>43</v>
      </c>
      <c r="B5" s="2737"/>
      <c r="C5" s="2736" t="s">
        <v>1993</v>
      </c>
      <c r="D5" s="2738"/>
      <c r="E5" s="2738"/>
      <c r="F5" s="2738"/>
      <c r="G5" s="2738"/>
      <c r="H5" s="2738"/>
      <c r="I5" s="2738"/>
      <c r="J5" s="2738"/>
      <c r="K5" s="2738"/>
      <c r="L5" s="2738"/>
      <c r="M5" s="2738"/>
      <c r="N5" s="2738"/>
      <c r="O5" s="2738"/>
      <c r="P5" s="2738"/>
      <c r="Q5" s="2738"/>
      <c r="R5" s="2738"/>
    </row>
    <row r="6" spans="1:18" s="16" customFormat="1" ht="99.6" customHeight="1" x14ac:dyDescent="0.4">
      <c r="A6" s="2736" t="s">
        <v>132</v>
      </c>
      <c r="B6" s="2737"/>
      <c r="C6" s="2781" t="s">
        <v>2573</v>
      </c>
      <c r="D6" s="2738"/>
      <c r="E6" s="2738"/>
      <c r="F6" s="2738"/>
      <c r="G6" s="2738"/>
      <c r="H6" s="2738"/>
      <c r="I6" s="2738"/>
      <c r="J6" s="2738"/>
      <c r="K6" s="2738"/>
      <c r="L6" s="2738"/>
      <c r="M6" s="2738"/>
      <c r="N6" s="2738"/>
      <c r="O6" s="2738"/>
      <c r="P6" s="2738"/>
      <c r="Q6" s="2738"/>
      <c r="R6" s="2738"/>
    </row>
    <row r="7" spans="1:18" s="16" customFormat="1" ht="19.5" x14ac:dyDescent="0.4"/>
    <row r="8" spans="1:18" s="16" customFormat="1" ht="19.5" x14ac:dyDescent="0.4"/>
    <row r="9" spans="1:18" s="16" customFormat="1" ht="33" customHeight="1" x14ac:dyDescent="0.4">
      <c r="C9" s="2782" t="s">
        <v>2574</v>
      </c>
      <c r="D9" s="2782"/>
      <c r="E9" s="2782"/>
      <c r="F9" s="2782"/>
      <c r="G9" s="2782"/>
      <c r="H9" s="2782"/>
      <c r="M9" s="105" t="s">
        <v>2575</v>
      </c>
    </row>
    <row r="10" spans="1:18" s="16" customFormat="1" ht="11.45" customHeight="1" x14ac:dyDescent="0.4">
      <c r="C10" s="919"/>
      <c r="D10" s="919"/>
      <c r="E10" s="919"/>
      <c r="F10" s="919"/>
      <c r="G10" s="919"/>
      <c r="H10" s="919"/>
      <c r="M10" s="105"/>
    </row>
    <row r="11" spans="1:18" ht="32.25" customHeight="1" x14ac:dyDescent="0.4">
      <c r="C11" s="850" t="s">
        <v>2576</v>
      </c>
      <c r="D11" s="920" t="s">
        <v>2577</v>
      </c>
      <c r="E11" s="850" t="s">
        <v>2578</v>
      </c>
      <c r="F11" s="850" t="s">
        <v>2579</v>
      </c>
      <c r="G11" s="851" t="s">
        <v>2580</v>
      </c>
      <c r="H11" s="851" t="s">
        <v>2581</v>
      </c>
      <c r="I11" s="435"/>
      <c r="K11" s="5"/>
      <c r="L11" s="5"/>
      <c r="M11" s="5"/>
      <c r="N11" s="5"/>
      <c r="O11" s="5"/>
      <c r="P11" s="5"/>
      <c r="Q11" s="5"/>
      <c r="R11" s="5"/>
    </row>
    <row r="12" spans="1:18" ht="18.75" x14ac:dyDescent="0.4">
      <c r="C12" s="545" t="s">
        <v>2582</v>
      </c>
      <c r="D12" s="921">
        <v>50</v>
      </c>
      <c r="E12" s="921">
        <v>35.087719298245602</v>
      </c>
      <c r="F12" s="921">
        <v>8.6419753086419746</v>
      </c>
      <c r="G12" s="921">
        <v>46.30738522954092</v>
      </c>
      <c r="H12" s="922">
        <v>28.4</v>
      </c>
      <c r="I12" s="923"/>
      <c r="J12" s="924"/>
      <c r="K12" s="5"/>
      <c r="L12" s="5"/>
      <c r="M12" s="5"/>
      <c r="N12" s="5"/>
      <c r="O12" s="5"/>
      <c r="P12" s="5"/>
      <c r="Q12" s="5"/>
      <c r="R12" s="5"/>
    </row>
    <row r="13" spans="1:18" ht="18.75" x14ac:dyDescent="0.4">
      <c r="C13" s="545" t="s">
        <v>2583</v>
      </c>
      <c r="D13" s="921">
        <v>50</v>
      </c>
      <c r="E13" s="921">
        <v>38.596491228070199</v>
      </c>
      <c r="F13" s="921">
        <v>11.111111111111111</v>
      </c>
      <c r="G13" s="921">
        <v>40.755467196819083</v>
      </c>
      <c r="H13" s="922">
        <v>28.14498933901919</v>
      </c>
      <c r="I13" s="923"/>
      <c r="J13" s="924"/>
      <c r="K13" s="5"/>
      <c r="L13" s="5"/>
      <c r="M13" s="5"/>
      <c r="N13" s="5"/>
      <c r="O13" s="5"/>
      <c r="P13" s="5"/>
      <c r="Q13" s="5"/>
      <c r="R13" s="5"/>
    </row>
    <row r="14" spans="1:18" ht="19.5" x14ac:dyDescent="0.4">
      <c r="C14" s="545" t="s">
        <v>2584</v>
      </c>
      <c r="D14" s="921">
        <v>0</v>
      </c>
      <c r="E14" s="921">
        <v>38.596491228070199</v>
      </c>
      <c r="F14" s="921">
        <v>12.345679012345679</v>
      </c>
      <c r="G14" s="921">
        <v>38.585858585858581</v>
      </c>
      <c r="H14" s="922">
        <v>27.23404255319149</v>
      </c>
      <c r="I14" s="923"/>
      <c r="J14" s="924"/>
      <c r="K14" s="5"/>
      <c r="L14" s="5"/>
      <c r="M14" s="5"/>
      <c r="N14" s="5"/>
      <c r="O14" s="5"/>
      <c r="P14" s="5"/>
      <c r="Q14" s="5"/>
      <c r="R14" s="5"/>
    </row>
    <row r="15" spans="1:18" ht="18.75" x14ac:dyDescent="0.4">
      <c r="C15" s="545" t="s">
        <v>2585</v>
      </c>
      <c r="D15" s="921">
        <v>50</v>
      </c>
      <c r="E15" s="921">
        <v>33.3333333333333</v>
      </c>
      <c r="F15" s="921" t="s">
        <v>317</v>
      </c>
      <c r="G15" s="921" t="s">
        <v>317</v>
      </c>
      <c r="H15" s="921" t="s">
        <v>317</v>
      </c>
      <c r="I15" s="923"/>
      <c r="J15" s="924"/>
      <c r="K15" s="5"/>
      <c r="L15" s="5"/>
      <c r="M15" s="5"/>
      <c r="N15" s="5"/>
      <c r="O15" s="5"/>
      <c r="P15" s="5"/>
      <c r="Q15" s="5"/>
      <c r="R15" s="5"/>
    </row>
    <row r="16" spans="1:18" ht="18.75" x14ac:dyDescent="0.4">
      <c r="C16" s="545" t="s">
        <v>2586</v>
      </c>
      <c r="D16" s="921" t="s">
        <v>317</v>
      </c>
      <c r="E16" s="921" t="s">
        <v>317</v>
      </c>
      <c r="F16" s="921">
        <v>14.814814814814813</v>
      </c>
      <c r="G16" s="921">
        <v>40.396039603960396</v>
      </c>
      <c r="H16" s="922">
        <v>36.268343815513624</v>
      </c>
      <c r="I16" s="72"/>
      <c r="J16" s="72"/>
      <c r="K16" s="72"/>
      <c r="L16" s="5"/>
      <c r="M16" s="5"/>
      <c r="N16" s="5"/>
      <c r="O16" s="5"/>
      <c r="P16" s="5"/>
      <c r="Q16" s="5"/>
      <c r="R16" s="5"/>
    </row>
    <row r="17" spans="3:21" ht="18.75" x14ac:dyDescent="0.4">
      <c r="C17" s="545" t="s">
        <v>2587</v>
      </c>
      <c r="D17" s="921">
        <v>50</v>
      </c>
      <c r="E17" s="921">
        <v>45.614035087719294</v>
      </c>
      <c r="F17" s="921" t="s">
        <v>317</v>
      </c>
      <c r="G17" s="921" t="s">
        <v>317</v>
      </c>
      <c r="H17" s="921" t="s">
        <v>317</v>
      </c>
      <c r="I17" s="72"/>
      <c r="J17" s="72"/>
      <c r="K17" s="72"/>
      <c r="L17" s="5"/>
      <c r="M17" s="5"/>
      <c r="N17" s="5"/>
      <c r="O17" s="5"/>
      <c r="P17" s="5"/>
      <c r="Q17" s="5"/>
      <c r="R17" s="5"/>
    </row>
    <row r="18" spans="3:21" ht="18.75" x14ac:dyDescent="0.4">
      <c r="C18" s="545" t="s">
        <v>2588</v>
      </c>
      <c r="D18" s="921" t="s">
        <v>317</v>
      </c>
      <c r="E18" s="921" t="s">
        <v>317</v>
      </c>
      <c r="F18" s="921">
        <v>9.7560975609756095</v>
      </c>
      <c r="G18" s="921">
        <v>40.748031496062993</v>
      </c>
      <c r="H18" s="921">
        <v>35.185185185185183</v>
      </c>
      <c r="I18" s="72"/>
      <c r="J18" s="72"/>
      <c r="K18" s="72"/>
      <c r="L18" s="5"/>
      <c r="M18" s="5"/>
      <c r="N18" s="5"/>
      <c r="O18" s="5"/>
      <c r="P18" s="5"/>
      <c r="Q18" s="5"/>
      <c r="R18" s="5"/>
      <c r="S18" s="5"/>
      <c r="T18" s="5"/>
      <c r="U18" s="5"/>
    </row>
    <row r="19" spans="3:21" ht="18.75" x14ac:dyDescent="0.4">
      <c r="C19" s="545" t="s">
        <v>2589</v>
      </c>
      <c r="D19" s="921">
        <v>50</v>
      </c>
      <c r="E19" s="921">
        <v>47.368421052631575</v>
      </c>
      <c r="F19" s="921" t="s">
        <v>317</v>
      </c>
      <c r="G19" s="921" t="s">
        <v>317</v>
      </c>
      <c r="H19" s="921" t="s">
        <v>317</v>
      </c>
      <c r="I19" s="72"/>
      <c r="J19" s="72"/>
      <c r="K19" s="72"/>
      <c r="L19" s="5"/>
      <c r="M19" s="5"/>
      <c r="N19" s="5"/>
      <c r="O19" s="5"/>
      <c r="P19" s="5"/>
      <c r="Q19" s="5"/>
      <c r="R19" s="5"/>
      <c r="S19" s="5"/>
      <c r="T19" s="5"/>
      <c r="U19" s="5"/>
    </row>
    <row r="20" spans="3:21" ht="18.75" x14ac:dyDescent="0.4">
      <c r="C20" s="555" t="s">
        <v>2590</v>
      </c>
      <c r="D20" s="925" t="s">
        <v>317</v>
      </c>
      <c r="E20" s="925" t="s">
        <v>317</v>
      </c>
      <c r="F20" s="925">
        <v>26.2</v>
      </c>
      <c r="G20" s="925">
        <v>47.1</v>
      </c>
      <c r="H20" s="925">
        <v>48.3</v>
      </c>
      <c r="I20" s="72"/>
      <c r="J20" s="72"/>
      <c r="K20" s="72"/>
      <c r="L20" s="5"/>
      <c r="M20" s="5"/>
      <c r="N20" s="5"/>
      <c r="O20" s="5"/>
      <c r="P20" s="5"/>
      <c r="Q20" s="5"/>
      <c r="R20" s="5"/>
      <c r="S20" s="5"/>
      <c r="T20" s="5"/>
      <c r="U20" s="5"/>
    </row>
    <row r="21" spans="3:21" ht="18.75" x14ac:dyDescent="0.4">
      <c r="C21" s="5" t="s">
        <v>2591</v>
      </c>
      <c r="D21" s="154"/>
      <c r="E21" s="154"/>
      <c r="F21" s="154"/>
      <c r="G21" s="154"/>
      <c r="H21" s="154"/>
      <c r="I21" s="72"/>
      <c r="J21" s="72"/>
      <c r="K21" s="72"/>
      <c r="L21" s="5"/>
      <c r="M21" s="5"/>
      <c r="N21" s="5"/>
      <c r="O21" s="5"/>
      <c r="P21" s="5"/>
      <c r="Q21" s="5"/>
      <c r="R21" s="5"/>
      <c r="S21" s="5"/>
      <c r="T21" s="5"/>
      <c r="U21" s="5"/>
    </row>
    <row r="22" spans="3:21" ht="18.75" x14ac:dyDescent="0.4">
      <c r="C22" s="5" t="s">
        <v>2592</v>
      </c>
      <c r="D22" s="154"/>
      <c r="E22" s="154"/>
      <c r="F22" s="154"/>
      <c r="G22" s="154"/>
      <c r="H22" s="154"/>
      <c r="I22" s="72"/>
      <c r="J22" s="72"/>
      <c r="K22" s="72"/>
      <c r="L22" s="5"/>
      <c r="M22" s="5" t="s">
        <v>2593</v>
      </c>
      <c r="N22" s="5"/>
      <c r="O22" s="5"/>
      <c r="P22" s="5"/>
      <c r="Q22" s="5"/>
      <c r="R22" s="5"/>
      <c r="S22" s="5"/>
      <c r="T22" s="5"/>
      <c r="U22" s="5"/>
    </row>
    <row r="23" spans="3:21" ht="18.75" x14ac:dyDescent="0.4">
      <c r="C23" s="5" t="s">
        <v>2594</v>
      </c>
      <c r="D23" s="5"/>
      <c r="E23" s="5"/>
      <c r="F23" s="5"/>
      <c r="G23" s="5"/>
      <c r="H23" s="5"/>
    </row>
    <row r="27" spans="3:21" ht="16.5" x14ac:dyDescent="0.35">
      <c r="C27" s="926"/>
      <c r="D27" s="926"/>
      <c r="E27" s="926"/>
      <c r="F27" s="926"/>
      <c r="G27" s="926"/>
      <c r="H27" s="926"/>
      <c r="I27" s="926"/>
      <c r="J27" s="926"/>
      <c r="K27" s="926"/>
    </row>
    <row r="28" spans="3:21" ht="19.5" x14ac:dyDescent="0.4">
      <c r="C28" s="927" t="s">
        <v>2595</v>
      </c>
      <c r="D28" s="927"/>
      <c r="E28" s="927"/>
      <c r="F28" s="927"/>
      <c r="G28" s="927"/>
      <c r="H28" s="927"/>
      <c r="I28" s="927"/>
      <c r="J28" s="927"/>
      <c r="K28" s="927"/>
      <c r="L28" s="17"/>
      <c r="M28" s="17"/>
      <c r="N28" s="17"/>
      <c r="O28" s="17"/>
      <c r="P28" s="17"/>
      <c r="Q28" s="17"/>
      <c r="R28" s="17"/>
      <c r="S28" s="17"/>
      <c r="T28" s="17"/>
      <c r="U28" s="17"/>
    </row>
    <row r="29" spans="3:21" ht="18.75" x14ac:dyDescent="0.35">
      <c r="C29" s="2783" t="s">
        <v>247</v>
      </c>
      <c r="D29" s="2783" t="s">
        <v>2596</v>
      </c>
      <c r="E29" s="2785" t="s">
        <v>2597</v>
      </c>
      <c r="F29" s="2785"/>
      <c r="G29" s="2785"/>
      <c r="H29" s="2785"/>
      <c r="I29" s="2785"/>
      <c r="J29" s="2785"/>
      <c r="K29" s="2785"/>
      <c r="L29" s="17"/>
      <c r="M29" s="17"/>
      <c r="N29" s="17"/>
      <c r="O29" s="17"/>
      <c r="P29" s="17"/>
      <c r="Q29" s="17"/>
      <c r="R29" s="17"/>
      <c r="S29" s="17"/>
      <c r="T29" s="17"/>
      <c r="U29" s="17"/>
    </row>
    <row r="30" spans="3:21" ht="18.75" x14ac:dyDescent="0.35">
      <c r="C30" s="2784"/>
      <c r="D30" s="2784"/>
      <c r="E30" s="928" t="s">
        <v>2598</v>
      </c>
      <c r="F30" s="928" t="s">
        <v>1032</v>
      </c>
      <c r="G30" s="928" t="s">
        <v>1050</v>
      </c>
      <c r="H30" s="928" t="s">
        <v>1059</v>
      </c>
      <c r="I30" s="928" t="s">
        <v>1070</v>
      </c>
      <c r="J30" s="928" t="s">
        <v>1082</v>
      </c>
      <c r="K30" s="928" t="s">
        <v>2599</v>
      </c>
      <c r="L30" s="17"/>
      <c r="M30" s="17"/>
      <c r="N30" s="17"/>
      <c r="O30" s="17"/>
      <c r="P30" s="17"/>
      <c r="Q30" s="17"/>
      <c r="R30" s="17"/>
      <c r="S30" s="17"/>
      <c r="T30" s="17"/>
      <c r="U30" s="17"/>
    </row>
    <row r="31" spans="3:21" ht="18.75" x14ac:dyDescent="0.35">
      <c r="C31" s="929">
        <v>2002</v>
      </c>
      <c r="D31" s="930">
        <v>35.1</v>
      </c>
      <c r="E31" s="930">
        <v>35</v>
      </c>
      <c r="F31" s="930">
        <v>27.3</v>
      </c>
      <c r="G31" s="930">
        <v>42.9</v>
      </c>
      <c r="H31" s="930">
        <v>40</v>
      </c>
      <c r="I31" s="930">
        <v>50</v>
      </c>
      <c r="J31" s="930">
        <v>20</v>
      </c>
      <c r="K31" s="930">
        <v>40</v>
      </c>
      <c r="L31" s="17"/>
      <c r="M31" s="17"/>
      <c r="N31" s="17"/>
      <c r="O31" s="17"/>
      <c r="P31" s="17"/>
      <c r="Q31" s="17"/>
      <c r="R31" s="17"/>
      <c r="S31" s="17"/>
      <c r="T31" s="17"/>
      <c r="U31" s="17"/>
    </row>
    <row r="32" spans="3:21" ht="18.75" x14ac:dyDescent="0.35">
      <c r="C32" s="929">
        <v>2006</v>
      </c>
      <c r="D32" s="930">
        <v>38.6</v>
      </c>
      <c r="E32" s="930">
        <v>40</v>
      </c>
      <c r="F32" s="930">
        <v>45.5</v>
      </c>
      <c r="G32" s="930">
        <v>57.1</v>
      </c>
      <c r="H32" s="930">
        <v>40</v>
      </c>
      <c r="I32" s="930">
        <v>25</v>
      </c>
      <c r="J32" s="930">
        <v>20</v>
      </c>
      <c r="K32" s="930">
        <v>20</v>
      </c>
      <c r="L32" s="17"/>
      <c r="M32" s="17"/>
      <c r="N32" s="17"/>
      <c r="O32" s="17"/>
      <c r="P32" s="17"/>
      <c r="Q32" s="17"/>
      <c r="R32" s="17"/>
      <c r="S32" s="17"/>
      <c r="T32" s="17"/>
      <c r="U32" s="17"/>
    </row>
    <row r="33" spans="3:21" ht="18.75" x14ac:dyDescent="0.35">
      <c r="C33" s="929">
        <v>2010</v>
      </c>
      <c r="D33" s="930">
        <v>38.6</v>
      </c>
      <c r="E33" s="930">
        <v>50</v>
      </c>
      <c r="F33" s="930">
        <v>36.4</v>
      </c>
      <c r="G33" s="930">
        <v>14.3</v>
      </c>
      <c r="H33" s="930">
        <v>60</v>
      </c>
      <c r="I33" s="930">
        <v>25</v>
      </c>
      <c r="J33" s="930">
        <v>20</v>
      </c>
      <c r="K33" s="930">
        <v>40</v>
      </c>
      <c r="L33" s="17"/>
    </row>
    <row r="34" spans="3:21" ht="18.75" x14ac:dyDescent="0.35">
      <c r="C34" s="929">
        <v>2014</v>
      </c>
      <c r="D34" s="930">
        <v>36.84210526315789</v>
      </c>
      <c r="E34" s="930">
        <v>36.363636363636367</v>
      </c>
      <c r="F34" s="930">
        <v>28.571428571428569</v>
      </c>
      <c r="G34" s="930">
        <v>33.333333333333329</v>
      </c>
      <c r="H34" s="930">
        <v>25</v>
      </c>
      <c r="I34" s="930">
        <v>40</v>
      </c>
      <c r="J34" s="930">
        <v>20</v>
      </c>
      <c r="K34" s="930">
        <v>33.333333333333329</v>
      </c>
      <c r="L34" s="17"/>
    </row>
    <row r="35" spans="3:21" ht="18.75" x14ac:dyDescent="0.35">
      <c r="C35" s="929">
        <v>2018</v>
      </c>
      <c r="D35" s="930">
        <v>45.614035087719301</v>
      </c>
      <c r="E35" s="930">
        <v>47.4</v>
      </c>
      <c r="F35" s="930">
        <v>36.4</v>
      </c>
      <c r="G35" s="930">
        <v>57.1</v>
      </c>
      <c r="H35" s="930">
        <v>50</v>
      </c>
      <c r="I35" s="930">
        <v>50</v>
      </c>
      <c r="J35" s="930">
        <v>40</v>
      </c>
      <c r="K35" s="930">
        <v>40</v>
      </c>
      <c r="L35" s="17"/>
      <c r="M35" s="17"/>
      <c r="N35" s="17"/>
      <c r="O35" s="17"/>
      <c r="P35" s="17"/>
      <c r="Q35" s="17"/>
      <c r="R35" s="17"/>
      <c r="S35" s="17"/>
      <c r="T35" s="17"/>
      <c r="U35" s="17"/>
    </row>
    <row r="36" spans="3:21" ht="18.75" x14ac:dyDescent="0.35">
      <c r="C36" s="931">
        <v>2022</v>
      </c>
      <c r="D36" s="932">
        <v>47.368421052631575</v>
      </c>
      <c r="E36" s="932">
        <v>47.368421052631575</v>
      </c>
      <c r="F36" s="932">
        <v>54.54545454545454</v>
      </c>
      <c r="G36" s="932">
        <v>57.142857142857139</v>
      </c>
      <c r="H36" s="932">
        <v>33.333333333333329</v>
      </c>
      <c r="I36" s="932">
        <v>50</v>
      </c>
      <c r="J36" s="932">
        <v>20</v>
      </c>
      <c r="K36" s="932">
        <v>60</v>
      </c>
      <c r="L36" s="17"/>
      <c r="M36" s="17"/>
      <c r="N36" s="17"/>
      <c r="O36" s="17"/>
      <c r="P36" s="17"/>
      <c r="Q36" s="17"/>
      <c r="R36" s="17"/>
      <c r="S36" s="17"/>
      <c r="T36" s="17"/>
      <c r="U36" s="17"/>
    </row>
    <row r="37" spans="3:21" ht="18.75" x14ac:dyDescent="0.4">
      <c r="C37" s="933" t="s">
        <v>2600</v>
      </c>
      <c r="D37" s="933"/>
      <c r="E37" s="933"/>
      <c r="F37" s="933"/>
      <c r="G37" s="933"/>
      <c r="H37" s="933"/>
      <c r="I37" s="933"/>
      <c r="J37" s="933"/>
      <c r="K37" s="933"/>
      <c r="L37" s="17"/>
      <c r="M37" s="17"/>
      <c r="N37" s="17"/>
      <c r="O37" s="17"/>
      <c r="P37" s="17"/>
      <c r="Q37" s="17"/>
      <c r="R37" s="17"/>
      <c r="S37" s="17"/>
      <c r="T37" s="17"/>
      <c r="U37" s="17"/>
    </row>
    <row r="38" spans="3:21" ht="16.5" x14ac:dyDescent="0.35">
      <c r="C38" s="17"/>
      <c r="D38" s="17"/>
      <c r="E38" s="17"/>
      <c r="F38" s="17"/>
      <c r="G38" s="17"/>
      <c r="H38" s="17"/>
      <c r="I38" s="17"/>
      <c r="J38" s="17"/>
      <c r="K38" s="17"/>
      <c r="L38" s="17"/>
      <c r="M38" s="17"/>
      <c r="N38" s="17"/>
      <c r="O38" s="17"/>
      <c r="P38" s="17"/>
      <c r="Q38" s="17"/>
      <c r="R38" s="17"/>
      <c r="S38" s="17"/>
      <c r="T38" s="17"/>
      <c r="U38" s="17"/>
    </row>
    <row r="39" spans="3:21" ht="16.5" x14ac:dyDescent="0.35">
      <c r="C39" s="17"/>
      <c r="D39" s="17"/>
      <c r="E39" s="17"/>
      <c r="F39" s="17"/>
      <c r="G39" s="17"/>
      <c r="H39" s="17"/>
      <c r="I39" s="17"/>
      <c r="J39" s="17"/>
      <c r="K39" s="17"/>
      <c r="L39" s="17"/>
      <c r="M39" s="17"/>
      <c r="N39" s="17"/>
      <c r="O39" s="17"/>
      <c r="P39" s="17"/>
      <c r="Q39" s="17"/>
      <c r="R39" s="17"/>
      <c r="S39" s="17"/>
      <c r="T39" s="17"/>
      <c r="U39" s="17"/>
    </row>
    <row r="40" spans="3:21" ht="16.5" x14ac:dyDescent="0.35">
      <c r="C40" s="17"/>
      <c r="D40" s="17"/>
      <c r="E40" s="17"/>
      <c r="F40" s="17"/>
      <c r="G40" s="17"/>
      <c r="H40" s="17"/>
      <c r="I40" s="17"/>
      <c r="J40" s="17"/>
      <c r="K40" s="17"/>
      <c r="L40" s="17"/>
      <c r="M40" s="17"/>
      <c r="N40" s="17"/>
      <c r="O40" s="17"/>
      <c r="P40" s="17"/>
      <c r="Q40" s="17"/>
      <c r="R40" s="17"/>
      <c r="S40" s="17"/>
      <c r="T40" s="17"/>
      <c r="U40" s="17"/>
    </row>
    <row r="41" spans="3:21" ht="12" customHeight="1" x14ac:dyDescent="0.35">
      <c r="C41" s="17"/>
      <c r="D41" s="17"/>
      <c r="E41" s="17"/>
      <c r="F41" s="17"/>
      <c r="G41" s="17"/>
      <c r="H41" s="17"/>
      <c r="I41" s="17"/>
      <c r="J41" s="17"/>
      <c r="K41" s="17"/>
      <c r="L41" s="17"/>
      <c r="M41" s="17"/>
      <c r="N41" s="17"/>
      <c r="O41" s="17"/>
      <c r="P41" s="17"/>
      <c r="Q41" s="17"/>
      <c r="R41" s="17"/>
      <c r="S41" s="17"/>
      <c r="T41" s="17"/>
      <c r="U41" s="17"/>
    </row>
    <row r="42" spans="3:21" ht="16.5" x14ac:dyDescent="0.35">
      <c r="C42" s="934"/>
      <c r="D42" s="934"/>
      <c r="E42" s="934"/>
      <c r="F42" s="934"/>
      <c r="G42" s="934"/>
      <c r="H42" s="934"/>
      <c r="I42" s="934"/>
      <c r="J42" s="934"/>
      <c r="K42" s="934"/>
      <c r="L42" s="934"/>
      <c r="M42" s="934"/>
      <c r="N42" s="934"/>
      <c r="O42" s="934"/>
      <c r="P42" s="17"/>
      <c r="Q42" s="17"/>
      <c r="R42" s="17"/>
      <c r="S42" s="17"/>
      <c r="T42" s="17"/>
      <c r="U42" s="17"/>
    </row>
    <row r="43" spans="3:21" ht="19.5" x14ac:dyDescent="0.4">
      <c r="C43" s="800" t="s">
        <v>2601</v>
      </c>
      <c r="D43" s="800"/>
      <c r="E43" s="800"/>
      <c r="F43" s="800"/>
      <c r="G43" s="800"/>
      <c r="H43" s="800"/>
      <c r="I43" s="800"/>
      <c r="J43" s="800"/>
      <c r="K43" s="800"/>
      <c r="L43" s="800"/>
      <c r="M43" s="800"/>
      <c r="N43" s="800"/>
      <c r="O43" s="800"/>
      <c r="P43" s="800"/>
      <c r="Q43" s="800"/>
      <c r="R43" s="800"/>
      <c r="S43" s="800"/>
      <c r="T43" s="800"/>
      <c r="U43" s="17"/>
    </row>
    <row r="44" spans="3:21" ht="17.45" customHeight="1" x14ac:dyDescent="0.4">
      <c r="C44" s="2770" t="s">
        <v>2602</v>
      </c>
      <c r="D44" s="2778" t="s">
        <v>2603</v>
      </c>
      <c r="E44" s="2778"/>
      <c r="F44" s="2778"/>
      <c r="G44" s="2778"/>
      <c r="H44" s="2778"/>
      <c r="I44" s="2778"/>
      <c r="J44" s="2780" t="s">
        <v>2604</v>
      </c>
      <c r="K44" s="2778"/>
      <c r="L44" s="2778"/>
      <c r="M44" s="2778"/>
      <c r="N44" s="2778"/>
      <c r="O44" s="2779"/>
      <c r="P44" s="2778" t="s">
        <v>2605</v>
      </c>
      <c r="Q44" s="2778"/>
      <c r="R44" s="2778"/>
      <c r="S44" s="2778"/>
      <c r="T44" s="2778"/>
      <c r="U44" s="2778"/>
    </row>
    <row r="45" spans="3:21" ht="15" customHeight="1" x14ac:dyDescent="0.25">
      <c r="C45" s="2772"/>
      <c r="D45" s="935">
        <v>2002</v>
      </c>
      <c r="E45" s="935">
        <v>2006</v>
      </c>
      <c r="F45" s="935">
        <v>2010</v>
      </c>
      <c r="G45" s="935">
        <v>2016</v>
      </c>
      <c r="H45" s="935">
        <v>2020</v>
      </c>
      <c r="I45" s="935">
        <v>2024</v>
      </c>
      <c r="J45" s="935">
        <v>2002</v>
      </c>
      <c r="K45" s="935">
        <v>2006</v>
      </c>
      <c r="L45" s="935">
        <v>2010</v>
      </c>
      <c r="M45" s="935">
        <v>2016</v>
      </c>
      <c r="N45" s="935">
        <v>2020</v>
      </c>
      <c r="O45" s="935">
        <v>2024</v>
      </c>
      <c r="P45" s="935">
        <v>2002</v>
      </c>
      <c r="Q45" s="935">
        <v>2006</v>
      </c>
      <c r="R45" s="935">
        <v>2010</v>
      </c>
      <c r="S45" s="935">
        <v>2016</v>
      </c>
      <c r="T45" s="935">
        <v>2020</v>
      </c>
      <c r="U45" s="935">
        <v>2024</v>
      </c>
    </row>
    <row r="46" spans="3:21" ht="18.75" x14ac:dyDescent="0.4">
      <c r="C46" s="467"/>
      <c r="D46" s="467"/>
      <c r="E46" s="936"/>
      <c r="F46" s="936"/>
      <c r="G46" s="936"/>
      <c r="H46" s="5"/>
      <c r="I46" s="937"/>
      <c r="J46" s="938"/>
      <c r="K46" s="937"/>
      <c r="L46" s="937"/>
      <c r="M46" s="937"/>
      <c r="N46" s="281"/>
      <c r="O46" s="939"/>
      <c r="P46" s="467"/>
      <c r="Q46" s="467"/>
      <c r="R46" s="467"/>
      <c r="S46" s="467"/>
      <c r="T46" s="5"/>
      <c r="U46" s="17"/>
    </row>
    <row r="47" spans="3:21" ht="18.75" x14ac:dyDescent="0.4">
      <c r="C47" s="467" t="s">
        <v>2596</v>
      </c>
      <c r="D47" s="940">
        <v>46.3</v>
      </c>
      <c r="E47" s="940">
        <v>40.755467196819097</v>
      </c>
      <c r="F47" s="940">
        <v>38.6</v>
      </c>
      <c r="G47" s="941">
        <v>40.400000000000006</v>
      </c>
      <c r="H47" s="941">
        <v>40.748031496062993</v>
      </c>
      <c r="I47" s="942">
        <v>47.099999999999994</v>
      </c>
      <c r="J47" s="943">
        <v>8.6419753086419746</v>
      </c>
      <c r="K47" s="941">
        <v>11.1</v>
      </c>
      <c r="L47" s="941">
        <v>12.3</v>
      </c>
      <c r="M47" s="941">
        <v>14.799999999999999</v>
      </c>
      <c r="N47" s="941">
        <v>9.7560975609756095</v>
      </c>
      <c r="O47" s="942">
        <v>26.200000000000003</v>
      </c>
      <c r="P47" s="940">
        <v>28.448275862068968</v>
      </c>
      <c r="Q47" s="940">
        <v>28.1</v>
      </c>
      <c r="R47" s="940">
        <v>27.2</v>
      </c>
      <c r="S47" s="940">
        <v>36.299999999999997</v>
      </c>
      <c r="T47" s="940">
        <v>35.199999999999996</v>
      </c>
      <c r="U47" s="940">
        <v>48.3</v>
      </c>
    </row>
    <row r="48" spans="3:21" ht="18.75" x14ac:dyDescent="0.4">
      <c r="C48" s="944" t="s">
        <v>2606</v>
      </c>
      <c r="D48" s="945">
        <v>50</v>
      </c>
      <c r="E48" s="945">
        <v>45.652173913043498</v>
      </c>
      <c r="F48" s="945">
        <v>43.5</v>
      </c>
      <c r="G48" s="946">
        <v>41.3</v>
      </c>
      <c r="H48" s="946">
        <v>40.579710144927539</v>
      </c>
      <c r="I48" s="947">
        <v>47.8</v>
      </c>
      <c r="J48" s="948">
        <v>15</v>
      </c>
      <c r="K48" s="946">
        <v>10</v>
      </c>
      <c r="L48" s="946">
        <v>5</v>
      </c>
      <c r="M48" s="946">
        <v>10</v>
      </c>
      <c r="N48" s="946">
        <v>10</v>
      </c>
      <c r="O48" s="947">
        <v>25</v>
      </c>
      <c r="P48" s="945">
        <v>33.898305084745758</v>
      </c>
      <c r="Q48" s="945">
        <v>31.7</v>
      </c>
      <c r="R48" s="945">
        <v>31.7</v>
      </c>
      <c r="S48" s="945">
        <v>39.300000000000004</v>
      </c>
      <c r="T48" s="945">
        <v>42.3</v>
      </c>
      <c r="U48" s="945">
        <v>49.6</v>
      </c>
    </row>
    <row r="49" spans="3:21" ht="18.75" x14ac:dyDescent="0.4">
      <c r="C49" s="949" t="s">
        <v>2598</v>
      </c>
      <c r="D49" s="940">
        <v>53.8</v>
      </c>
      <c r="E49" s="940">
        <v>46.153846153846203</v>
      </c>
      <c r="F49" s="940">
        <v>54.5</v>
      </c>
      <c r="G49" s="941">
        <v>27.3</v>
      </c>
      <c r="H49" s="941">
        <v>36.363636363636367</v>
      </c>
      <c r="I49" s="942">
        <v>36.4</v>
      </c>
      <c r="J49" s="943">
        <v>0</v>
      </c>
      <c r="K49" s="941">
        <v>0</v>
      </c>
      <c r="L49" s="941">
        <v>0</v>
      </c>
      <c r="M49" s="941">
        <v>0</v>
      </c>
      <c r="N49" s="950">
        <v>0</v>
      </c>
      <c r="O49" s="942">
        <v>0</v>
      </c>
      <c r="P49" s="940">
        <v>72.727272727272734</v>
      </c>
      <c r="Q49" s="940">
        <v>54.5</v>
      </c>
      <c r="R49" s="940">
        <v>45.5</v>
      </c>
      <c r="S49" s="940">
        <v>72.7</v>
      </c>
      <c r="T49" s="940">
        <v>63.6</v>
      </c>
      <c r="U49" s="940">
        <v>63.6</v>
      </c>
    </row>
    <row r="50" spans="3:21" ht="18.75" x14ac:dyDescent="0.4">
      <c r="C50" s="949" t="s">
        <v>2607</v>
      </c>
      <c r="D50" s="940">
        <v>42.9</v>
      </c>
      <c r="E50" s="940">
        <v>42.857142857142897</v>
      </c>
      <c r="F50" s="940">
        <v>71.400000000000006</v>
      </c>
      <c r="G50" s="941">
        <v>42.9</v>
      </c>
      <c r="H50" s="941">
        <v>28.571428571428569</v>
      </c>
      <c r="I50" s="942">
        <v>57.099999999999994</v>
      </c>
      <c r="J50" s="943">
        <v>0</v>
      </c>
      <c r="K50" s="941">
        <v>0</v>
      </c>
      <c r="L50" s="941">
        <v>0</v>
      </c>
      <c r="M50" s="941">
        <v>0</v>
      </c>
      <c r="N50" s="950">
        <v>0</v>
      </c>
      <c r="O50" s="942">
        <v>0</v>
      </c>
      <c r="P50" s="940">
        <v>66.666666666666657</v>
      </c>
      <c r="Q50" s="940">
        <v>66.7</v>
      </c>
      <c r="R50" s="940">
        <v>0</v>
      </c>
      <c r="S50" s="940">
        <v>33.300000000000004</v>
      </c>
      <c r="T50" s="940">
        <v>33.300000000000004</v>
      </c>
      <c r="U50" s="940">
        <v>33.300000000000004</v>
      </c>
    </row>
    <row r="51" spans="3:21" ht="18.75" x14ac:dyDescent="0.4">
      <c r="C51" s="949" t="s">
        <v>1014</v>
      </c>
      <c r="D51" s="940">
        <v>54.5</v>
      </c>
      <c r="E51" s="940">
        <v>45.454545454545503</v>
      </c>
      <c r="F51" s="940">
        <v>45.5</v>
      </c>
      <c r="G51" s="941">
        <v>45.5</v>
      </c>
      <c r="H51" s="941">
        <v>36.363636363636367</v>
      </c>
      <c r="I51" s="942">
        <v>18.2</v>
      </c>
      <c r="J51" s="943">
        <v>0</v>
      </c>
      <c r="K51" s="941">
        <v>100</v>
      </c>
      <c r="L51" s="941">
        <v>100</v>
      </c>
      <c r="M51" s="941">
        <v>0</v>
      </c>
      <c r="N51" s="950">
        <v>0</v>
      </c>
      <c r="O51" s="942">
        <v>100</v>
      </c>
      <c r="P51" s="940">
        <v>33.333333333333329</v>
      </c>
      <c r="Q51" s="940">
        <v>38.5</v>
      </c>
      <c r="R51" s="940">
        <v>23.1</v>
      </c>
      <c r="S51" s="940">
        <v>46.2</v>
      </c>
      <c r="T51" s="940">
        <v>46.2</v>
      </c>
      <c r="U51" s="940">
        <v>46.2</v>
      </c>
    </row>
    <row r="52" spans="3:21" ht="18.75" x14ac:dyDescent="0.4">
      <c r="C52" s="949" t="s">
        <v>2608</v>
      </c>
      <c r="D52" s="940">
        <v>40</v>
      </c>
      <c r="E52" s="940">
        <v>40</v>
      </c>
      <c r="F52" s="940">
        <v>20</v>
      </c>
      <c r="G52" s="941">
        <v>40</v>
      </c>
      <c r="H52" s="941">
        <v>40</v>
      </c>
      <c r="I52" s="942">
        <v>40</v>
      </c>
      <c r="J52" s="943">
        <v>0</v>
      </c>
      <c r="K52" s="941">
        <v>0</v>
      </c>
      <c r="L52" s="941">
        <v>0</v>
      </c>
      <c r="M52" s="941">
        <v>0</v>
      </c>
      <c r="N52" s="950">
        <v>100</v>
      </c>
      <c r="O52" s="942">
        <v>100</v>
      </c>
      <c r="P52" s="940">
        <v>11.111111111111111</v>
      </c>
      <c r="Q52" s="940">
        <v>22.2</v>
      </c>
      <c r="R52" s="940">
        <v>33.299999999999997</v>
      </c>
      <c r="S52" s="940">
        <v>22.2</v>
      </c>
      <c r="T52" s="940">
        <v>33.300000000000004</v>
      </c>
      <c r="U52" s="940">
        <v>44.4</v>
      </c>
    </row>
    <row r="53" spans="3:21" ht="18.75" x14ac:dyDescent="0.4">
      <c r="C53" s="949" t="s">
        <v>2609</v>
      </c>
      <c r="D53" s="940">
        <v>40</v>
      </c>
      <c r="E53" s="940">
        <v>40</v>
      </c>
      <c r="F53" s="940">
        <v>20</v>
      </c>
      <c r="G53" s="941">
        <v>20</v>
      </c>
      <c r="H53" s="941">
        <v>40</v>
      </c>
      <c r="I53" s="942">
        <v>60</v>
      </c>
      <c r="J53" s="943">
        <v>0</v>
      </c>
      <c r="K53" s="941">
        <v>0</v>
      </c>
      <c r="L53" s="941">
        <v>0</v>
      </c>
      <c r="M53" s="941">
        <v>100</v>
      </c>
      <c r="N53" s="950">
        <v>100</v>
      </c>
      <c r="O53" s="942">
        <v>0</v>
      </c>
      <c r="P53" s="940">
        <v>33.333333333333329</v>
      </c>
      <c r="Q53" s="940">
        <v>0</v>
      </c>
      <c r="R53" s="940">
        <v>33.299999999999997</v>
      </c>
      <c r="S53" s="940">
        <v>33.300000000000004</v>
      </c>
      <c r="T53" s="940">
        <v>0</v>
      </c>
      <c r="U53" s="940">
        <v>33.300000000000004</v>
      </c>
    </row>
    <row r="54" spans="3:21" ht="18.75" x14ac:dyDescent="0.4">
      <c r="C54" s="949" t="s">
        <v>2610</v>
      </c>
      <c r="D54" s="940">
        <v>57.1</v>
      </c>
      <c r="E54" s="940">
        <v>28.571428571428601</v>
      </c>
      <c r="F54" s="940">
        <v>57.1</v>
      </c>
      <c r="G54" s="941">
        <v>28.599999999999998</v>
      </c>
      <c r="H54" s="941">
        <v>42.857142857142854</v>
      </c>
      <c r="I54" s="942">
        <v>57.099999999999994</v>
      </c>
      <c r="J54" s="943">
        <v>0</v>
      </c>
      <c r="K54" s="941">
        <v>0</v>
      </c>
      <c r="L54" s="941">
        <v>0</v>
      </c>
      <c r="M54" s="941">
        <v>0</v>
      </c>
      <c r="N54" s="950">
        <v>0</v>
      </c>
      <c r="O54" s="942">
        <v>100</v>
      </c>
      <c r="P54" s="940">
        <v>28.571428571428569</v>
      </c>
      <c r="Q54" s="940">
        <v>28.6</v>
      </c>
      <c r="R54" s="940">
        <v>28.6</v>
      </c>
      <c r="S54" s="940">
        <v>14.299999999999999</v>
      </c>
      <c r="T54" s="940">
        <v>28.599999999999998</v>
      </c>
      <c r="U54" s="940">
        <v>42.9</v>
      </c>
    </row>
    <row r="55" spans="3:21" ht="18.75" x14ac:dyDescent="0.4">
      <c r="C55" s="949" t="s">
        <v>2611</v>
      </c>
      <c r="D55" s="940">
        <v>40</v>
      </c>
      <c r="E55" s="940">
        <v>40</v>
      </c>
      <c r="F55" s="940">
        <v>20</v>
      </c>
      <c r="G55" s="941">
        <v>40</v>
      </c>
      <c r="H55" s="941">
        <v>20</v>
      </c>
      <c r="I55" s="942">
        <v>60</v>
      </c>
      <c r="J55" s="943">
        <v>0</v>
      </c>
      <c r="K55" s="941">
        <v>0</v>
      </c>
      <c r="L55" s="941">
        <v>0</v>
      </c>
      <c r="M55" s="941">
        <v>0</v>
      </c>
      <c r="N55" s="950">
        <v>0</v>
      </c>
      <c r="O55" s="942">
        <v>0</v>
      </c>
      <c r="P55" s="940">
        <v>0</v>
      </c>
      <c r="Q55" s="940">
        <v>20</v>
      </c>
      <c r="R55" s="940">
        <v>40</v>
      </c>
      <c r="S55" s="940">
        <v>28.599999999999998</v>
      </c>
      <c r="T55" s="940">
        <v>42.9</v>
      </c>
      <c r="U55" s="940">
        <v>42.9</v>
      </c>
    </row>
    <row r="56" spans="3:21" ht="18.75" x14ac:dyDescent="0.4">
      <c r="C56" s="949" t="s">
        <v>2612</v>
      </c>
      <c r="D56" s="940">
        <v>44.4</v>
      </c>
      <c r="E56" s="940">
        <v>44.4444444444444</v>
      </c>
      <c r="F56" s="940">
        <v>33.299999999999997</v>
      </c>
      <c r="G56" s="941">
        <v>33.300000000000004</v>
      </c>
      <c r="H56" s="941">
        <v>44.444444444444443</v>
      </c>
      <c r="I56" s="942">
        <v>55.600000000000009</v>
      </c>
      <c r="J56" s="943">
        <v>0</v>
      </c>
      <c r="K56" s="941">
        <v>0</v>
      </c>
      <c r="L56" s="941">
        <v>0</v>
      </c>
      <c r="M56" s="941">
        <v>100</v>
      </c>
      <c r="N56" s="950">
        <v>0</v>
      </c>
      <c r="O56" s="942">
        <v>0</v>
      </c>
      <c r="P56" s="940">
        <v>71.428571428571431</v>
      </c>
      <c r="Q56" s="940">
        <v>28.6</v>
      </c>
      <c r="R56" s="940">
        <v>28.6</v>
      </c>
      <c r="S56" s="940">
        <v>28.599999999999998</v>
      </c>
      <c r="T56" s="940">
        <v>57.099999999999994</v>
      </c>
      <c r="U56" s="940">
        <v>42.9</v>
      </c>
    </row>
    <row r="57" spans="3:21" ht="18.75" x14ac:dyDescent="0.4">
      <c r="C57" s="949" t="s">
        <v>2613</v>
      </c>
      <c r="D57" s="940">
        <v>40</v>
      </c>
      <c r="E57" s="940">
        <v>40</v>
      </c>
      <c r="F57" s="940">
        <v>40</v>
      </c>
      <c r="G57" s="941">
        <v>42.9</v>
      </c>
      <c r="H57" s="941">
        <v>42.857142857142854</v>
      </c>
      <c r="I57" s="942">
        <v>42.9</v>
      </c>
      <c r="J57" s="943">
        <v>0</v>
      </c>
      <c r="K57" s="941">
        <v>0</v>
      </c>
      <c r="L57" s="941">
        <v>0</v>
      </c>
      <c r="M57" s="941">
        <v>0</v>
      </c>
      <c r="N57" s="950">
        <v>0</v>
      </c>
      <c r="O57" s="942">
        <v>0</v>
      </c>
      <c r="P57" s="940">
        <v>33.333333333333329</v>
      </c>
      <c r="Q57" s="940">
        <v>16.7</v>
      </c>
      <c r="R57" s="940">
        <v>33.299999999999997</v>
      </c>
      <c r="S57" s="940">
        <v>33.300000000000004</v>
      </c>
      <c r="T57" s="940">
        <v>33.300000000000004</v>
      </c>
      <c r="U57" s="940">
        <v>66.7</v>
      </c>
    </row>
    <row r="58" spans="3:21" ht="18.75" x14ac:dyDescent="0.4">
      <c r="C58" s="949" t="s">
        <v>2614</v>
      </c>
      <c r="D58" s="940">
        <v>57.1</v>
      </c>
      <c r="E58" s="940">
        <v>57.142857142857103</v>
      </c>
      <c r="F58" s="940">
        <v>44.4</v>
      </c>
      <c r="G58" s="941">
        <v>42.9</v>
      </c>
      <c r="H58" s="941">
        <v>42.857142857142854</v>
      </c>
      <c r="I58" s="942">
        <v>57.099999999999994</v>
      </c>
      <c r="J58" s="943">
        <v>0</v>
      </c>
      <c r="K58" s="941">
        <v>0</v>
      </c>
      <c r="L58" s="941">
        <v>0</v>
      </c>
      <c r="M58" s="941">
        <v>0</v>
      </c>
      <c r="N58" s="950">
        <v>0</v>
      </c>
      <c r="O58" s="942">
        <v>100</v>
      </c>
      <c r="P58" s="940">
        <v>80</v>
      </c>
      <c r="Q58" s="940">
        <v>60</v>
      </c>
      <c r="R58" s="940">
        <v>100</v>
      </c>
      <c r="S58" s="940">
        <v>80</v>
      </c>
      <c r="T58" s="940">
        <v>40</v>
      </c>
      <c r="U58" s="940">
        <v>100</v>
      </c>
    </row>
    <row r="59" spans="3:21" ht="18.75" x14ac:dyDescent="0.4">
      <c r="C59" s="949" t="s">
        <v>2615</v>
      </c>
      <c r="D59" s="940">
        <v>71.400000000000006</v>
      </c>
      <c r="E59" s="940">
        <v>28.571428571428601</v>
      </c>
      <c r="F59" s="940">
        <v>28.6</v>
      </c>
      <c r="G59" s="941">
        <v>71.399999999999991</v>
      </c>
      <c r="H59" s="941">
        <v>57.142857142857139</v>
      </c>
      <c r="I59" s="942">
        <v>42.9</v>
      </c>
      <c r="J59" s="943">
        <v>0</v>
      </c>
      <c r="K59" s="941">
        <v>0</v>
      </c>
      <c r="L59" s="941">
        <v>0</v>
      </c>
      <c r="M59" s="941">
        <v>0</v>
      </c>
      <c r="N59" s="950">
        <v>0</v>
      </c>
      <c r="O59" s="942">
        <v>100</v>
      </c>
      <c r="P59" s="940">
        <v>60</v>
      </c>
      <c r="Q59" s="940">
        <v>60</v>
      </c>
      <c r="R59" s="940">
        <v>60</v>
      </c>
      <c r="S59" s="940">
        <v>60</v>
      </c>
      <c r="T59" s="940">
        <v>20</v>
      </c>
      <c r="U59" s="940">
        <v>60</v>
      </c>
    </row>
    <row r="60" spans="3:21" ht="18.75" x14ac:dyDescent="0.4">
      <c r="C60" s="949" t="s">
        <v>2616</v>
      </c>
      <c r="D60" s="940">
        <v>40</v>
      </c>
      <c r="E60" s="940">
        <v>40</v>
      </c>
      <c r="F60" s="940">
        <v>40</v>
      </c>
      <c r="G60" s="941">
        <v>40</v>
      </c>
      <c r="H60" s="941">
        <v>40</v>
      </c>
      <c r="I60" s="942">
        <v>40</v>
      </c>
      <c r="J60" s="943">
        <v>0</v>
      </c>
      <c r="K60" s="941">
        <v>0</v>
      </c>
      <c r="L60" s="941">
        <v>0</v>
      </c>
      <c r="M60" s="941">
        <v>0</v>
      </c>
      <c r="N60" s="950">
        <v>0</v>
      </c>
      <c r="O60" s="942">
        <v>0</v>
      </c>
      <c r="P60" s="940">
        <v>20</v>
      </c>
      <c r="Q60" s="940">
        <v>20</v>
      </c>
      <c r="R60" s="940">
        <v>20</v>
      </c>
      <c r="S60" s="940">
        <v>40</v>
      </c>
      <c r="T60" s="940">
        <v>40</v>
      </c>
      <c r="U60" s="940">
        <v>20</v>
      </c>
    </row>
    <row r="61" spans="3:21" ht="18.75" x14ac:dyDescent="0.4">
      <c r="C61" s="949" t="s">
        <v>2617</v>
      </c>
      <c r="D61" s="940">
        <v>57.1</v>
      </c>
      <c r="E61" s="940">
        <v>71.428571428571402</v>
      </c>
      <c r="F61" s="940">
        <v>71.400000000000006</v>
      </c>
      <c r="G61" s="941">
        <v>71.399999999999991</v>
      </c>
      <c r="H61" s="941">
        <v>57.142857142857139</v>
      </c>
      <c r="I61" s="942">
        <v>57.099999999999994</v>
      </c>
      <c r="J61" s="943">
        <v>0</v>
      </c>
      <c r="K61" s="941">
        <v>0</v>
      </c>
      <c r="L61" s="941">
        <v>0</v>
      </c>
      <c r="M61" s="941">
        <v>0</v>
      </c>
      <c r="N61" s="950">
        <v>0</v>
      </c>
      <c r="O61" s="942">
        <v>0</v>
      </c>
      <c r="P61" s="940">
        <v>60</v>
      </c>
      <c r="Q61" s="940">
        <v>60</v>
      </c>
      <c r="R61" s="940">
        <v>20</v>
      </c>
      <c r="S61" s="940">
        <v>60</v>
      </c>
      <c r="T61" s="940">
        <v>100</v>
      </c>
      <c r="U61" s="940">
        <v>80</v>
      </c>
    </row>
    <row r="62" spans="3:21" ht="18.75" x14ac:dyDescent="0.4">
      <c r="C62" s="949" t="s">
        <v>2618</v>
      </c>
      <c r="D62" s="940">
        <v>57.1</v>
      </c>
      <c r="E62" s="940">
        <v>85.714285714285694</v>
      </c>
      <c r="F62" s="940">
        <v>57.1</v>
      </c>
      <c r="G62" s="941">
        <v>57.099999999999994</v>
      </c>
      <c r="H62" s="941">
        <v>42.857142857142854</v>
      </c>
      <c r="I62" s="942">
        <v>42.9</v>
      </c>
      <c r="J62" s="943">
        <v>0</v>
      </c>
      <c r="K62" s="941">
        <v>0</v>
      </c>
      <c r="L62" s="941">
        <v>0</v>
      </c>
      <c r="M62" s="941">
        <v>0</v>
      </c>
      <c r="N62" s="950">
        <v>0</v>
      </c>
      <c r="O62" s="942">
        <v>0</v>
      </c>
      <c r="P62" s="940">
        <v>0</v>
      </c>
      <c r="Q62" s="940">
        <v>0</v>
      </c>
      <c r="R62" s="940">
        <v>66.7</v>
      </c>
      <c r="S62" s="940">
        <v>33.300000000000004</v>
      </c>
      <c r="T62" s="940">
        <v>66.7</v>
      </c>
      <c r="U62" s="940">
        <v>66.7</v>
      </c>
    </row>
    <row r="63" spans="3:21" ht="18.75" x14ac:dyDescent="0.4">
      <c r="C63" s="949" t="s">
        <v>2619</v>
      </c>
      <c r="D63" s="940">
        <v>57.1</v>
      </c>
      <c r="E63" s="940">
        <v>42.857142857142897</v>
      </c>
      <c r="F63" s="940">
        <v>42.9</v>
      </c>
      <c r="G63" s="941">
        <v>28.599999999999998</v>
      </c>
      <c r="H63" s="941">
        <v>42.857142857142854</v>
      </c>
      <c r="I63" s="942">
        <v>57.099999999999994</v>
      </c>
      <c r="J63" s="943">
        <v>100</v>
      </c>
      <c r="K63" s="941">
        <v>0</v>
      </c>
      <c r="L63" s="941">
        <v>0</v>
      </c>
      <c r="M63" s="941">
        <v>0</v>
      </c>
      <c r="N63" s="950">
        <v>0</v>
      </c>
      <c r="O63" s="942">
        <v>0</v>
      </c>
      <c r="P63" s="940">
        <v>25</v>
      </c>
      <c r="Q63" s="940">
        <v>25</v>
      </c>
      <c r="R63" s="940">
        <v>25</v>
      </c>
      <c r="S63" s="940">
        <v>50</v>
      </c>
      <c r="T63" s="940">
        <v>50</v>
      </c>
      <c r="U63" s="940">
        <v>25</v>
      </c>
    </row>
    <row r="64" spans="3:21" ht="18.75" x14ac:dyDescent="0.4">
      <c r="C64" s="949" t="s">
        <v>1027</v>
      </c>
      <c r="D64" s="940">
        <v>40</v>
      </c>
      <c r="E64" s="940">
        <v>40</v>
      </c>
      <c r="F64" s="940">
        <v>40</v>
      </c>
      <c r="G64" s="941">
        <v>40</v>
      </c>
      <c r="H64" s="941">
        <v>40</v>
      </c>
      <c r="I64" s="942">
        <v>60</v>
      </c>
      <c r="J64" s="943">
        <v>0</v>
      </c>
      <c r="K64" s="941">
        <v>0</v>
      </c>
      <c r="L64" s="941">
        <v>0</v>
      </c>
      <c r="M64" s="941">
        <v>0</v>
      </c>
      <c r="N64" s="950">
        <v>0</v>
      </c>
      <c r="O64" s="942">
        <v>0</v>
      </c>
      <c r="P64" s="940">
        <v>0</v>
      </c>
      <c r="Q64" s="940">
        <v>20</v>
      </c>
      <c r="R64" s="940">
        <v>0</v>
      </c>
      <c r="S64" s="940">
        <v>80</v>
      </c>
      <c r="T64" s="940">
        <v>60</v>
      </c>
      <c r="U64" s="940">
        <v>80</v>
      </c>
    </row>
    <row r="65" spans="3:21" ht="18.75" x14ac:dyDescent="0.4">
      <c r="C65" s="949" t="s">
        <v>2620</v>
      </c>
      <c r="D65" s="940">
        <v>60</v>
      </c>
      <c r="E65" s="940">
        <v>40</v>
      </c>
      <c r="F65" s="940">
        <v>40</v>
      </c>
      <c r="G65" s="941">
        <v>60</v>
      </c>
      <c r="H65" s="941">
        <v>40</v>
      </c>
      <c r="I65" s="942">
        <v>60</v>
      </c>
      <c r="J65" s="943">
        <v>0</v>
      </c>
      <c r="K65" s="941">
        <v>0</v>
      </c>
      <c r="L65" s="941">
        <v>0</v>
      </c>
      <c r="M65" s="941">
        <v>0</v>
      </c>
      <c r="N65" s="950">
        <v>0</v>
      </c>
      <c r="O65" s="942">
        <v>0</v>
      </c>
      <c r="P65" s="940">
        <v>66.666666666666657</v>
      </c>
      <c r="Q65" s="940">
        <v>100</v>
      </c>
      <c r="R65" s="940">
        <v>33.299999999999997</v>
      </c>
      <c r="S65" s="940">
        <v>33.300000000000004</v>
      </c>
      <c r="T65" s="940">
        <v>33.300000000000004</v>
      </c>
      <c r="U65" s="940">
        <v>33.300000000000004</v>
      </c>
    </row>
    <row r="66" spans="3:21" ht="18.75" x14ac:dyDescent="0.4">
      <c r="C66" s="949" t="s">
        <v>2621</v>
      </c>
      <c r="D66" s="940">
        <v>42.9</v>
      </c>
      <c r="E66" s="940">
        <v>42.857142857142897</v>
      </c>
      <c r="F66" s="940">
        <v>57.1</v>
      </c>
      <c r="G66" s="941">
        <v>28.599999999999998</v>
      </c>
      <c r="H66" s="941">
        <v>42.857142857142854</v>
      </c>
      <c r="I66" s="942">
        <v>42.9</v>
      </c>
      <c r="J66" s="943">
        <v>100</v>
      </c>
      <c r="K66" s="941">
        <v>0</v>
      </c>
      <c r="L66" s="941">
        <v>0</v>
      </c>
      <c r="M66" s="941">
        <v>0</v>
      </c>
      <c r="N66" s="950">
        <v>0</v>
      </c>
      <c r="O66" s="942">
        <v>0</v>
      </c>
      <c r="P66" s="940">
        <v>0</v>
      </c>
      <c r="Q66" s="940">
        <v>25</v>
      </c>
      <c r="R66" s="940">
        <v>50</v>
      </c>
      <c r="S66" s="940">
        <v>0</v>
      </c>
      <c r="T66" s="940">
        <v>50</v>
      </c>
      <c r="U66" s="940">
        <v>50</v>
      </c>
    </row>
    <row r="67" spans="3:21" ht="18.75" x14ac:dyDescent="0.4">
      <c r="C67" s="949" t="s">
        <v>2622</v>
      </c>
      <c r="D67" s="940">
        <v>44.4</v>
      </c>
      <c r="E67" s="940">
        <v>55.5555555555556</v>
      </c>
      <c r="F67" s="940">
        <v>33.299999999999997</v>
      </c>
      <c r="G67" s="941">
        <v>22.2</v>
      </c>
      <c r="H67" s="941">
        <v>33.333333333333329</v>
      </c>
      <c r="I67" s="942">
        <v>44.4</v>
      </c>
      <c r="J67" s="943">
        <v>100</v>
      </c>
      <c r="K67" s="941">
        <v>100</v>
      </c>
      <c r="L67" s="941">
        <v>0</v>
      </c>
      <c r="M67" s="941">
        <v>0</v>
      </c>
      <c r="N67" s="950">
        <v>0</v>
      </c>
      <c r="O67" s="942">
        <v>0</v>
      </c>
      <c r="P67" s="940">
        <v>0</v>
      </c>
      <c r="Q67" s="940">
        <v>9.1</v>
      </c>
      <c r="R67" s="940">
        <v>0</v>
      </c>
      <c r="S67" s="940">
        <v>9.1</v>
      </c>
      <c r="T67" s="940">
        <v>16.7</v>
      </c>
      <c r="U67" s="940">
        <v>25</v>
      </c>
    </row>
    <row r="68" spans="3:21" ht="18.75" x14ac:dyDescent="0.4">
      <c r="C68" s="949" t="s">
        <v>2623</v>
      </c>
      <c r="D68" s="940">
        <v>40</v>
      </c>
      <c r="E68" s="940">
        <v>20</v>
      </c>
      <c r="F68" s="940">
        <v>20</v>
      </c>
      <c r="G68" s="941">
        <v>60</v>
      </c>
      <c r="H68" s="941">
        <v>40</v>
      </c>
      <c r="I68" s="942">
        <v>60</v>
      </c>
      <c r="J68" s="943">
        <v>0</v>
      </c>
      <c r="K68" s="941">
        <v>0</v>
      </c>
      <c r="L68" s="941">
        <v>0</v>
      </c>
      <c r="M68" s="941">
        <v>0</v>
      </c>
      <c r="N68" s="950">
        <v>0</v>
      </c>
      <c r="O68" s="942">
        <v>0</v>
      </c>
      <c r="P68" s="940">
        <v>16.666666666666664</v>
      </c>
      <c r="Q68" s="940">
        <v>0</v>
      </c>
      <c r="R68" s="940">
        <v>33.299999999999997</v>
      </c>
      <c r="S68" s="940">
        <v>33.300000000000004</v>
      </c>
      <c r="T68" s="940">
        <v>33.300000000000004</v>
      </c>
      <c r="U68" s="940">
        <v>50</v>
      </c>
    </row>
    <row r="69" spans="3:21" ht="18.75" x14ac:dyDescent="0.4">
      <c r="C69" s="944" t="s">
        <v>2624</v>
      </c>
      <c r="D69" s="945">
        <v>49.4</v>
      </c>
      <c r="E69" s="945">
        <v>43.956043956043999</v>
      </c>
      <c r="F69" s="945">
        <v>34.799999999999997</v>
      </c>
      <c r="G69" s="946">
        <v>40.699999999999996</v>
      </c>
      <c r="H69" s="946">
        <v>42.708333333333329</v>
      </c>
      <c r="I69" s="947">
        <v>46.9</v>
      </c>
      <c r="J69" s="948">
        <v>0</v>
      </c>
      <c r="K69" s="946">
        <v>6.7</v>
      </c>
      <c r="L69" s="946">
        <v>20</v>
      </c>
      <c r="M69" s="946">
        <v>13.3</v>
      </c>
      <c r="N69" s="946">
        <v>18.75</v>
      </c>
      <c r="O69" s="947">
        <v>31.3</v>
      </c>
      <c r="P69" s="945">
        <v>21.296296296296298</v>
      </c>
      <c r="Q69" s="945">
        <v>26.6</v>
      </c>
      <c r="R69" s="945">
        <v>24.3</v>
      </c>
      <c r="S69" s="945">
        <v>34.5</v>
      </c>
      <c r="T69" s="945">
        <v>37.1</v>
      </c>
      <c r="U69" s="945">
        <v>45.7</v>
      </c>
    </row>
    <row r="70" spans="3:21" ht="18.75" x14ac:dyDescent="0.4">
      <c r="C70" s="949" t="s">
        <v>1032</v>
      </c>
      <c r="D70" s="940">
        <v>54.5</v>
      </c>
      <c r="E70" s="940">
        <v>45.454545454545503</v>
      </c>
      <c r="F70" s="940">
        <v>45.5</v>
      </c>
      <c r="G70" s="941">
        <v>45.5</v>
      </c>
      <c r="H70" s="941">
        <v>45.454545454545453</v>
      </c>
      <c r="I70" s="942">
        <v>36.4</v>
      </c>
      <c r="J70" s="943">
        <v>0</v>
      </c>
      <c r="K70" s="941">
        <v>100</v>
      </c>
      <c r="L70" s="941">
        <v>0</v>
      </c>
      <c r="M70" s="941">
        <v>0</v>
      </c>
      <c r="N70" s="950">
        <v>0</v>
      </c>
      <c r="O70" s="942">
        <v>0</v>
      </c>
      <c r="P70" s="940">
        <v>35.714285714285715</v>
      </c>
      <c r="Q70" s="940">
        <v>28.6</v>
      </c>
      <c r="R70" s="940">
        <v>28.6</v>
      </c>
      <c r="S70" s="940">
        <v>21.4</v>
      </c>
      <c r="T70" s="940">
        <v>28.599999999999998</v>
      </c>
      <c r="U70" s="940">
        <v>35.699999999999996</v>
      </c>
    </row>
    <row r="71" spans="3:21" ht="18.75" x14ac:dyDescent="0.4">
      <c r="C71" s="949" t="s">
        <v>2625</v>
      </c>
      <c r="D71" s="940">
        <v>42.9</v>
      </c>
      <c r="E71" s="940">
        <v>71.428571428571402</v>
      </c>
      <c r="F71" s="940">
        <v>42.9</v>
      </c>
      <c r="G71" s="941">
        <v>28.599999999999998</v>
      </c>
      <c r="H71" s="941">
        <v>42.857142857142854</v>
      </c>
      <c r="I71" s="942">
        <v>42.9</v>
      </c>
      <c r="J71" s="943">
        <v>0</v>
      </c>
      <c r="K71" s="941">
        <v>0</v>
      </c>
      <c r="L71" s="941">
        <v>100</v>
      </c>
      <c r="M71" s="941">
        <v>0</v>
      </c>
      <c r="N71" s="950">
        <v>0</v>
      </c>
      <c r="O71" s="942">
        <v>100</v>
      </c>
      <c r="P71" s="940">
        <v>15.384615384615385</v>
      </c>
      <c r="Q71" s="940">
        <v>30.8</v>
      </c>
      <c r="R71" s="940">
        <v>7.7</v>
      </c>
      <c r="S71" s="940">
        <v>23.1</v>
      </c>
      <c r="T71" s="940">
        <v>35.699999999999996</v>
      </c>
      <c r="U71" s="940">
        <v>35.699999999999996</v>
      </c>
    </row>
    <row r="72" spans="3:21" ht="11.25" customHeight="1" x14ac:dyDescent="0.4">
      <c r="C72" s="949" t="s">
        <v>2626</v>
      </c>
      <c r="D72" s="940">
        <v>57.1</v>
      </c>
      <c r="E72" s="940">
        <v>28.571428571428601</v>
      </c>
      <c r="F72" s="940">
        <v>14.3</v>
      </c>
      <c r="G72" s="941">
        <v>28.599999999999998</v>
      </c>
      <c r="H72" s="941">
        <v>28.571428571428569</v>
      </c>
      <c r="I72" s="942">
        <v>71.399999999999991</v>
      </c>
      <c r="J72" s="943">
        <v>0</v>
      </c>
      <c r="K72" s="941">
        <v>0</v>
      </c>
      <c r="L72" s="941">
        <v>0</v>
      </c>
      <c r="M72" s="941">
        <v>0</v>
      </c>
      <c r="N72" s="950">
        <v>0</v>
      </c>
      <c r="O72" s="942">
        <v>0</v>
      </c>
      <c r="P72" s="940">
        <v>37.5</v>
      </c>
      <c r="Q72" s="940">
        <v>25</v>
      </c>
      <c r="R72" s="940">
        <v>37.5</v>
      </c>
      <c r="S72" s="940">
        <v>50</v>
      </c>
      <c r="T72" s="940">
        <v>42.9</v>
      </c>
      <c r="U72" s="940">
        <v>42.9</v>
      </c>
    </row>
    <row r="73" spans="3:21" ht="11.25" customHeight="1" x14ac:dyDescent="0.4">
      <c r="C73" s="949" t="s">
        <v>2627</v>
      </c>
      <c r="D73" s="940">
        <v>60</v>
      </c>
      <c r="E73" s="940">
        <v>20</v>
      </c>
      <c r="F73" s="940">
        <v>40</v>
      </c>
      <c r="G73" s="941">
        <v>40</v>
      </c>
      <c r="H73" s="941">
        <v>40</v>
      </c>
      <c r="I73" s="942">
        <v>60</v>
      </c>
      <c r="J73" s="943">
        <v>0</v>
      </c>
      <c r="K73" s="941">
        <v>0</v>
      </c>
      <c r="L73" s="941">
        <v>0</v>
      </c>
      <c r="M73" s="941">
        <v>0</v>
      </c>
      <c r="N73" s="950">
        <v>0</v>
      </c>
      <c r="O73" s="942">
        <v>100</v>
      </c>
      <c r="P73" s="940">
        <v>0</v>
      </c>
      <c r="Q73" s="940">
        <v>33.299999999999997</v>
      </c>
      <c r="R73" s="940">
        <v>0</v>
      </c>
      <c r="S73" s="940">
        <v>75</v>
      </c>
      <c r="T73" s="940">
        <v>75</v>
      </c>
      <c r="U73" s="940">
        <v>25</v>
      </c>
    </row>
    <row r="74" spans="3:21" ht="18.75" x14ac:dyDescent="0.4">
      <c r="C74" s="949" t="s">
        <v>2628</v>
      </c>
      <c r="D74" s="940">
        <v>60</v>
      </c>
      <c r="E74" s="940">
        <v>40</v>
      </c>
      <c r="F74" s="940">
        <v>40</v>
      </c>
      <c r="G74" s="941">
        <v>40</v>
      </c>
      <c r="H74" s="941">
        <v>20</v>
      </c>
      <c r="I74" s="942">
        <v>40</v>
      </c>
      <c r="J74" s="943">
        <v>0</v>
      </c>
      <c r="K74" s="941">
        <v>0</v>
      </c>
      <c r="L74" s="941">
        <v>0</v>
      </c>
      <c r="M74" s="941">
        <v>0</v>
      </c>
      <c r="N74" s="950">
        <v>0</v>
      </c>
      <c r="O74" s="942">
        <v>0</v>
      </c>
      <c r="P74" s="940">
        <v>0</v>
      </c>
      <c r="Q74" s="940">
        <v>25</v>
      </c>
      <c r="R74" s="940">
        <v>12.5</v>
      </c>
      <c r="S74" s="940">
        <v>50</v>
      </c>
      <c r="T74" s="940">
        <v>12.5</v>
      </c>
      <c r="U74" s="940">
        <v>50</v>
      </c>
    </row>
    <row r="75" spans="3:21" ht="18.75" x14ac:dyDescent="0.4">
      <c r="C75" s="949" t="s">
        <v>2629</v>
      </c>
      <c r="D75" s="940">
        <v>60</v>
      </c>
      <c r="E75" s="940">
        <v>40</v>
      </c>
      <c r="F75" s="940">
        <v>20</v>
      </c>
      <c r="G75" s="941">
        <v>40</v>
      </c>
      <c r="H75" s="941">
        <v>40</v>
      </c>
      <c r="I75" s="942">
        <v>40</v>
      </c>
      <c r="J75" s="943">
        <v>0</v>
      </c>
      <c r="K75" s="941">
        <v>0</v>
      </c>
      <c r="L75" s="941">
        <v>100</v>
      </c>
      <c r="M75" s="941">
        <v>0</v>
      </c>
      <c r="N75" s="950">
        <v>0</v>
      </c>
      <c r="O75" s="942">
        <v>0</v>
      </c>
      <c r="P75" s="940">
        <v>14.285714285714285</v>
      </c>
      <c r="Q75" s="940">
        <v>42.9</v>
      </c>
      <c r="R75" s="940">
        <v>25</v>
      </c>
      <c r="S75" s="940">
        <v>25</v>
      </c>
      <c r="T75" s="940">
        <v>25</v>
      </c>
      <c r="U75" s="940">
        <v>62.5</v>
      </c>
    </row>
    <row r="76" spans="3:21" ht="18.75" x14ac:dyDescent="0.4">
      <c r="C76" s="949" t="s">
        <v>2630</v>
      </c>
      <c r="D76" s="940">
        <v>40</v>
      </c>
      <c r="E76" s="940">
        <v>60</v>
      </c>
      <c r="F76" s="940">
        <v>60</v>
      </c>
      <c r="G76" s="941">
        <v>20</v>
      </c>
      <c r="H76" s="941">
        <v>20</v>
      </c>
      <c r="I76" s="942">
        <v>40</v>
      </c>
      <c r="J76" s="943">
        <v>0</v>
      </c>
      <c r="K76" s="941">
        <v>0</v>
      </c>
      <c r="L76" s="941">
        <v>0</v>
      </c>
      <c r="M76" s="941">
        <v>0</v>
      </c>
      <c r="N76" s="950">
        <v>100</v>
      </c>
      <c r="O76" s="942">
        <v>0</v>
      </c>
      <c r="P76" s="940">
        <v>57.142857142857139</v>
      </c>
      <c r="Q76" s="940">
        <v>14.3</v>
      </c>
      <c r="R76" s="940">
        <v>57.1</v>
      </c>
      <c r="S76" s="940">
        <v>28.599999999999998</v>
      </c>
      <c r="T76" s="940">
        <v>42.9</v>
      </c>
      <c r="U76" s="940">
        <v>71.399999999999991</v>
      </c>
    </row>
    <row r="77" spans="3:21" ht="18.75" x14ac:dyDescent="0.4">
      <c r="C77" s="949" t="s">
        <v>2631</v>
      </c>
      <c r="D77" s="940">
        <v>40</v>
      </c>
      <c r="E77" s="940">
        <v>40</v>
      </c>
      <c r="F77" s="940">
        <v>20</v>
      </c>
      <c r="G77" s="941">
        <v>40</v>
      </c>
      <c r="H77" s="941">
        <v>60</v>
      </c>
      <c r="I77" s="942">
        <v>60</v>
      </c>
      <c r="J77" s="943">
        <v>0</v>
      </c>
      <c r="K77" s="941">
        <v>0</v>
      </c>
      <c r="L77" s="941">
        <v>0</v>
      </c>
      <c r="M77" s="941">
        <v>0</v>
      </c>
      <c r="N77" s="950">
        <v>0</v>
      </c>
      <c r="O77" s="942">
        <v>0</v>
      </c>
      <c r="P77" s="940">
        <v>60</v>
      </c>
      <c r="Q77" s="940">
        <v>40</v>
      </c>
      <c r="R77" s="940">
        <v>20</v>
      </c>
      <c r="S77" s="940">
        <v>40</v>
      </c>
      <c r="T77" s="940">
        <v>40</v>
      </c>
      <c r="U77" s="940">
        <v>60</v>
      </c>
    </row>
    <row r="78" spans="3:21" ht="18.75" x14ac:dyDescent="0.4">
      <c r="C78" s="949" t="s">
        <v>2632</v>
      </c>
      <c r="D78" s="940">
        <v>60</v>
      </c>
      <c r="E78" s="940">
        <v>40</v>
      </c>
      <c r="F78" s="940">
        <v>60</v>
      </c>
      <c r="G78" s="941">
        <v>60</v>
      </c>
      <c r="H78" s="941">
        <v>40</v>
      </c>
      <c r="I78" s="942">
        <v>40</v>
      </c>
      <c r="J78" s="943">
        <v>0</v>
      </c>
      <c r="K78" s="941">
        <v>0</v>
      </c>
      <c r="L78" s="941">
        <v>100</v>
      </c>
      <c r="M78" s="941">
        <v>100</v>
      </c>
      <c r="N78" s="950">
        <v>0</v>
      </c>
      <c r="O78" s="942">
        <v>100</v>
      </c>
      <c r="P78" s="940">
        <v>20</v>
      </c>
      <c r="Q78" s="940">
        <v>20</v>
      </c>
      <c r="R78" s="940">
        <v>0</v>
      </c>
      <c r="S78" s="940">
        <v>40</v>
      </c>
      <c r="T78" s="940">
        <v>60</v>
      </c>
      <c r="U78" s="940">
        <v>40</v>
      </c>
    </row>
    <row r="79" spans="3:21" ht="18.75" x14ac:dyDescent="0.4">
      <c r="C79" s="949" t="s">
        <v>2633</v>
      </c>
      <c r="D79" s="940">
        <v>44.4</v>
      </c>
      <c r="E79" s="940">
        <v>44.4444444444444</v>
      </c>
      <c r="F79" s="940">
        <v>22.2</v>
      </c>
      <c r="G79" s="941">
        <v>44.4</v>
      </c>
      <c r="H79" s="941">
        <v>44.444444444444443</v>
      </c>
      <c r="I79" s="942">
        <v>44.4</v>
      </c>
      <c r="J79" s="943">
        <v>0</v>
      </c>
      <c r="K79" s="941">
        <v>0</v>
      </c>
      <c r="L79" s="941">
        <v>0</v>
      </c>
      <c r="M79" s="941">
        <v>0</v>
      </c>
      <c r="N79" s="950">
        <v>0</v>
      </c>
      <c r="O79" s="942">
        <v>0</v>
      </c>
      <c r="P79" s="940">
        <v>7.6923076923076925</v>
      </c>
      <c r="Q79" s="940">
        <v>15.4</v>
      </c>
      <c r="R79" s="940">
        <v>23.1</v>
      </c>
      <c r="S79" s="940">
        <v>46.2</v>
      </c>
      <c r="T79" s="940">
        <v>46.2</v>
      </c>
      <c r="U79" s="940">
        <v>53.800000000000004</v>
      </c>
    </row>
    <row r="80" spans="3:21" ht="18.75" x14ac:dyDescent="0.4">
      <c r="C80" s="949" t="s">
        <v>2634</v>
      </c>
      <c r="D80" s="940">
        <v>40</v>
      </c>
      <c r="E80" s="940">
        <v>40</v>
      </c>
      <c r="F80" s="940">
        <v>60</v>
      </c>
      <c r="G80" s="941">
        <v>40</v>
      </c>
      <c r="H80" s="941">
        <v>40</v>
      </c>
      <c r="I80" s="942">
        <v>40</v>
      </c>
      <c r="J80" s="943">
        <v>0</v>
      </c>
      <c r="K80" s="941">
        <v>0</v>
      </c>
      <c r="L80" s="941">
        <v>0</v>
      </c>
      <c r="M80" s="941">
        <v>0</v>
      </c>
      <c r="N80" s="950">
        <v>0</v>
      </c>
      <c r="O80" s="942">
        <v>100</v>
      </c>
      <c r="P80" s="940">
        <v>0</v>
      </c>
      <c r="Q80" s="940">
        <v>14.3</v>
      </c>
      <c r="R80" s="940">
        <v>28.6</v>
      </c>
      <c r="S80" s="940">
        <v>42.9</v>
      </c>
      <c r="T80" s="940">
        <v>42.9</v>
      </c>
      <c r="U80" s="940">
        <v>57.099999999999994</v>
      </c>
    </row>
    <row r="81" spans="3:21" ht="18.75" x14ac:dyDescent="0.4">
      <c r="C81" s="949" t="s">
        <v>2635</v>
      </c>
      <c r="D81" s="940">
        <v>40</v>
      </c>
      <c r="E81" s="940">
        <v>20</v>
      </c>
      <c r="F81" s="940">
        <v>0</v>
      </c>
      <c r="G81" s="941">
        <v>60</v>
      </c>
      <c r="H81" s="941">
        <v>60</v>
      </c>
      <c r="I81" s="942">
        <v>40</v>
      </c>
      <c r="J81" s="943">
        <v>0</v>
      </c>
      <c r="K81" s="941">
        <v>0</v>
      </c>
      <c r="L81" s="941">
        <v>0</v>
      </c>
      <c r="M81" s="941">
        <v>0</v>
      </c>
      <c r="N81" s="950">
        <v>0</v>
      </c>
      <c r="O81" s="942">
        <v>0</v>
      </c>
      <c r="P81" s="940">
        <v>40</v>
      </c>
      <c r="Q81" s="940">
        <v>40</v>
      </c>
      <c r="R81" s="940">
        <v>40</v>
      </c>
      <c r="S81" s="940">
        <v>40</v>
      </c>
      <c r="T81" s="940">
        <v>40</v>
      </c>
      <c r="U81" s="940">
        <v>40</v>
      </c>
    </row>
    <row r="82" spans="3:21" ht="18.75" x14ac:dyDescent="0.4">
      <c r="C82" s="949" t="s">
        <v>2636</v>
      </c>
      <c r="D82" s="940">
        <v>60</v>
      </c>
      <c r="E82" s="940">
        <v>42.857142857142897</v>
      </c>
      <c r="F82" s="940">
        <v>40</v>
      </c>
      <c r="G82" s="941">
        <v>57.099999999999994</v>
      </c>
      <c r="H82" s="941">
        <v>42.857142857142854</v>
      </c>
      <c r="I82" s="942">
        <v>57.099999999999994</v>
      </c>
      <c r="J82" s="943">
        <v>0</v>
      </c>
      <c r="K82" s="941">
        <v>0</v>
      </c>
      <c r="L82" s="941">
        <v>0</v>
      </c>
      <c r="M82" s="941">
        <v>0</v>
      </c>
      <c r="N82" s="950">
        <v>100</v>
      </c>
      <c r="O82" s="942">
        <v>100</v>
      </c>
      <c r="P82" s="940">
        <v>14.285714285714285</v>
      </c>
      <c r="Q82" s="940">
        <v>42.9</v>
      </c>
      <c r="R82" s="940">
        <v>28.6</v>
      </c>
      <c r="S82" s="940">
        <v>25</v>
      </c>
      <c r="T82" s="940">
        <v>50</v>
      </c>
      <c r="U82" s="940">
        <v>37.5</v>
      </c>
    </row>
    <row r="83" spans="3:21" ht="18.75" x14ac:dyDescent="0.4">
      <c r="C83" s="949" t="s">
        <v>2637</v>
      </c>
      <c r="D83" s="940">
        <v>40</v>
      </c>
      <c r="E83" s="940">
        <v>60</v>
      </c>
      <c r="F83" s="940">
        <v>40</v>
      </c>
      <c r="G83" s="941">
        <v>20</v>
      </c>
      <c r="H83" s="941">
        <v>40</v>
      </c>
      <c r="I83" s="942">
        <v>40</v>
      </c>
      <c r="J83" s="943">
        <v>0</v>
      </c>
      <c r="K83" s="941">
        <v>0</v>
      </c>
      <c r="L83" s="941">
        <v>0</v>
      </c>
      <c r="M83" s="941">
        <v>0</v>
      </c>
      <c r="N83" s="950">
        <v>0</v>
      </c>
      <c r="O83" s="942">
        <v>0</v>
      </c>
      <c r="P83" s="940">
        <v>0</v>
      </c>
      <c r="Q83" s="940">
        <v>0</v>
      </c>
      <c r="R83" s="940">
        <v>0</v>
      </c>
      <c r="S83" s="940">
        <v>25</v>
      </c>
      <c r="T83" s="940">
        <v>25</v>
      </c>
      <c r="U83" s="940">
        <v>25</v>
      </c>
    </row>
    <row r="84" spans="3:21" ht="18.75" x14ac:dyDescent="0.4">
      <c r="C84" s="949" t="s">
        <v>2638</v>
      </c>
      <c r="D84" s="940">
        <v>40</v>
      </c>
      <c r="E84" s="940">
        <v>60</v>
      </c>
      <c r="F84" s="940">
        <v>20</v>
      </c>
      <c r="G84" s="941">
        <v>40</v>
      </c>
      <c r="H84" s="941">
        <v>60</v>
      </c>
      <c r="I84" s="942">
        <v>40</v>
      </c>
      <c r="J84" s="943">
        <v>0</v>
      </c>
      <c r="K84" s="941">
        <v>0</v>
      </c>
      <c r="L84" s="941">
        <v>0</v>
      </c>
      <c r="M84" s="941">
        <v>100</v>
      </c>
      <c r="N84" s="950">
        <v>100</v>
      </c>
      <c r="O84" s="942">
        <v>0</v>
      </c>
      <c r="P84" s="940">
        <v>0</v>
      </c>
      <c r="Q84" s="940">
        <v>33.299999999999997</v>
      </c>
      <c r="R84" s="940">
        <v>50</v>
      </c>
      <c r="S84" s="940">
        <v>0</v>
      </c>
      <c r="T84" s="940">
        <v>25</v>
      </c>
      <c r="U84" s="940">
        <v>50</v>
      </c>
    </row>
    <row r="85" spans="3:21" ht="18.75" x14ac:dyDescent="0.4">
      <c r="C85" s="949" t="s">
        <v>2639</v>
      </c>
      <c r="D85" s="940" t="s">
        <v>317</v>
      </c>
      <c r="E85" s="940" t="s">
        <v>317</v>
      </c>
      <c r="F85" s="940" t="s">
        <v>317</v>
      </c>
      <c r="G85" s="940" t="s">
        <v>317</v>
      </c>
      <c r="H85" s="941">
        <v>60</v>
      </c>
      <c r="I85" s="942">
        <v>60</v>
      </c>
      <c r="J85" s="943" t="s">
        <v>317</v>
      </c>
      <c r="K85" s="941" t="s">
        <v>317</v>
      </c>
      <c r="L85" s="941" t="s">
        <v>317</v>
      </c>
      <c r="M85" s="941" t="s">
        <v>317</v>
      </c>
      <c r="N85" s="950">
        <v>0</v>
      </c>
      <c r="O85" s="942">
        <v>0</v>
      </c>
      <c r="P85" s="940" t="s">
        <v>317</v>
      </c>
      <c r="Q85" s="940" t="s">
        <v>317</v>
      </c>
      <c r="R85" s="940" t="s">
        <v>317</v>
      </c>
      <c r="S85" s="940" t="s">
        <v>317</v>
      </c>
      <c r="T85" s="940">
        <v>0</v>
      </c>
      <c r="U85" s="940">
        <v>33.300000000000004</v>
      </c>
    </row>
    <row r="86" spans="3:21" ht="18.75" x14ac:dyDescent="0.4">
      <c r="C86" s="944" t="s">
        <v>2640</v>
      </c>
      <c r="D86" s="945">
        <v>40.700000000000003</v>
      </c>
      <c r="E86" s="945">
        <v>33.3333333333333</v>
      </c>
      <c r="F86" s="945">
        <v>46.2</v>
      </c>
      <c r="G86" s="946">
        <v>46.2</v>
      </c>
      <c r="H86" s="946">
        <v>36.538461538461533</v>
      </c>
      <c r="I86" s="947">
        <v>46.2</v>
      </c>
      <c r="J86" s="948">
        <v>0</v>
      </c>
      <c r="K86" s="946">
        <v>0</v>
      </c>
      <c r="L86" s="946">
        <v>12.5</v>
      </c>
      <c r="M86" s="946">
        <v>25</v>
      </c>
      <c r="N86" s="946">
        <v>12.5</v>
      </c>
      <c r="O86" s="947">
        <v>25</v>
      </c>
      <c r="P86" s="945">
        <v>26</v>
      </c>
      <c r="Q86" s="945">
        <v>31.4</v>
      </c>
      <c r="R86" s="945">
        <v>21.6</v>
      </c>
      <c r="S86" s="945">
        <v>35.299999999999997</v>
      </c>
      <c r="T86" s="945">
        <v>25.5</v>
      </c>
      <c r="U86" s="945">
        <v>43.4</v>
      </c>
    </row>
    <row r="87" spans="3:21" ht="18.75" x14ac:dyDescent="0.4">
      <c r="C87" s="949" t="s">
        <v>1050</v>
      </c>
      <c r="D87" s="940">
        <v>44.4</v>
      </c>
      <c r="E87" s="940">
        <v>22.2222222222222</v>
      </c>
      <c r="F87" s="940">
        <v>33.299999999999997</v>
      </c>
      <c r="G87" s="941">
        <v>33.300000000000004</v>
      </c>
      <c r="H87" s="941">
        <v>44.444444444444443</v>
      </c>
      <c r="I87" s="942">
        <v>33.300000000000004</v>
      </c>
      <c r="J87" s="943">
        <v>0</v>
      </c>
      <c r="K87" s="941">
        <v>0</v>
      </c>
      <c r="L87" s="941">
        <v>0</v>
      </c>
      <c r="M87" s="941">
        <v>0</v>
      </c>
      <c r="N87" s="950">
        <v>0</v>
      </c>
      <c r="O87" s="942">
        <v>0</v>
      </c>
      <c r="P87" s="940">
        <v>27.27272727272727</v>
      </c>
      <c r="Q87" s="940">
        <v>45.5</v>
      </c>
      <c r="R87" s="940">
        <v>27.3</v>
      </c>
      <c r="S87" s="940">
        <v>45.5</v>
      </c>
      <c r="T87" s="940">
        <v>36.4</v>
      </c>
      <c r="U87" s="940">
        <v>45.5</v>
      </c>
    </row>
    <row r="88" spans="3:21" ht="18.75" x14ac:dyDescent="0.4">
      <c r="C88" s="949" t="s">
        <v>2641</v>
      </c>
      <c r="D88" s="940">
        <v>28.6</v>
      </c>
      <c r="E88" s="940">
        <v>28.571428571428601</v>
      </c>
      <c r="F88" s="940">
        <v>57.1</v>
      </c>
      <c r="G88" s="941">
        <v>57.099999999999994</v>
      </c>
      <c r="H88" s="941">
        <v>28.571428571428569</v>
      </c>
      <c r="I88" s="942">
        <v>42.9</v>
      </c>
      <c r="J88" s="943">
        <v>0</v>
      </c>
      <c r="K88" s="941">
        <v>0</v>
      </c>
      <c r="L88" s="941">
        <v>0</v>
      </c>
      <c r="M88" s="941">
        <v>0</v>
      </c>
      <c r="N88" s="950">
        <v>0</v>
      </c>
      <c r="O88" s="942">
        <v>0</v>
      </c>
      <c r="P88" s="940">
        <v>25</v>
      </c>
      <c r="Q88" s="940">
        <v>20</v>
      </c>
      <c r="R88" s="940">
        <v>20</v>
      </c>
      <c r="S88" s="940">
        <v>40</v>
      </c>
      <c r="T88" s="940">
        <v>0</v>
      </c>
      <c r="U88" s="940">
        <v>50</v>
      </c>
    </row>
    <row r="89" spans="3:21" ht="18.75" x14ac:dyDescent="0.4">
      <c r="C89" s="949" t="s">
        <v>2642</v>
      </c>
      <c r="D89" s="940">
        <v>44.4</v>
      </c>
      <c r="E89" s="940">
        <v>44.4444444444444</v>
      </c>
      <c r="F89" s="940">
        <v>55.6</v>
      </c>
      <c r="G89" s="941">
        <v>44.4</v>
      </c>
      <c r="H89" s="941">
        <v>33.333333333333329</v>
      </c>
      <c r="I89" s="942">
        <v>66.7</v>
      </c>
      <c r="J89" s="943">
        <v>0</v>
      </c>
      <c r="K89" s="941">
        <v>0</v>
      </c>
      <c r="L89" s="941">
        <v>0</v>
      </c>
      <c r="M89" s="941">
        <v>0</v>
      </c>
      <c r="N89" s="950">
        <v>0</v>
      </c>
      <c r="O89" s="942">
        <v>0</v>
      </c>
      <c r="P89" s="940">
        <v>37.5</v>
      </c>
      <c r="Q89" s="940">
        <v>25</v>
      </c>
      <c r="R89" s="940">
        <v>37.5</v>
      </c>
      <c r="S89" s="940">
        <v>37.5</v>
      </c>
      <c r="T89" s="940">
        <v>37.5</v>
      </c>
      <c r="U89" s="940">
        <v>37.5</v>
      </c>
    </row>
    <row r="90" spans="3:21" ht="18.75" x14ac:dyDescent="0.4">
      <c r="C90" s="949" t="s">
        <v>2643</v>
      </c>
      <c r="D90" s="940">
        <v>40</v>
      </c>
      <c r="E90" s="940">
        <v>40</v>
      </c>
      <c r="F90" s="940">
        <v>20</v>
      </c>
      <c r="G90" s="941">
        <v>20</v>
      </c>
      <c r="H90" s="941">
        <v>60</v>
      </c>
      <c r="I90" s="942">
        <v>40</v>
      </c>
      <c r="J90" s="943">
        <v>0</v>
      </c>
      <c r="K90" s="941">
        <v>0</v>
      </c>
      <c r="L90" s="941">
        <v>0</v>
      </c>
      <c r="M90" s="941">
        <v>100</v>
      </c>
      <c r="N90" s="950">
        <v>100</v>
      </c>
      <c r="O90" s="942">
        <v>100</v>
      </c>
      <c r="P90" s="940">
        <v>0</v>
      </c>
      <c r="Q90" s="940">
        <v>33.299999999999997</v>
      </c>
      <c r="R90" s="940">
        <v>0</v>
      </c>
      <c r="S90" s="940">
        <v>0</v>
      </c>
      <c r="T90" s="940">
        <v>33.300000000000004</v>
      </c>
      <c r="U90" s="940">
        <v>50</v>
      </c>
    </row>
    <row r="91" spans="3:21" ht="18.75" x14ac:dyDescent="0.4">
      <c r="C91" s="949" t="s">
        <v>2644</v>
      </c>
      <c r="D91" s="940">
        <v>28.6</v>
      </c>
      <c r="E91" s="940">
        <v>28.571428571428601</v>
      </c>
      <c r="F91" s="940">
        <v>57.1</v>
      </c>
      <c r="G91" s="941">
        <v>42.9</v>
      </c>
      <c r="H91" s="941">
        <v>14.285714285714285</v>
      </c>
      <c r="I91" s="942">
        <v>28.599999999999998</v>
      </c>
      <c r="J91" s="943">
        <v>0</v>
      </c>
      <c r="K91" s="941">
        <v>0</v>
      </c>
      <c r="L91" s="941">
        <v>100</v>
      </c>
      <c r="M91" s="941">
        <v>0</v>
      </c>
      <c r="N91" s="950">
        <v>0</v>
      </c>
      <c r="O91" s="942">
        <v>0</v>
      </c>
      <c r="P91" s="940">
        <v>25</v>
      </c>
      <c r="Q91" s="940">
        <v>33.299999999999997</v>
      </c>
      <c r="R91" s="940">
        <v>25</v>
      </c>
      <c r="S91" s="940">
        <v>25</v>
      </c>
      <c r="T91" s="940">
        <v>16.7</v>
      </c>
      <c r="U91" s="940">
        <v>41.699999999999996</v>
      </c>
    </row>
    <row r="92" spans="3:21" ht="18.75" x14ac:dyDescent="0.4">
      <c r="C92" s="949" t="s">
        <v>2645</v>
      </c>
      <c r="D92" s="940">
        <v>60</v>
      </c>
      <c r="E92" s="940">
        <v>20</v>
      </c>
      <c r="F92" s="940">
        <v>40</v>
      </c>
      <c r="G92" s="941">
        <v>80</v>
      </c>
      <c r="H92" s="941">
        <v>40</v>
      </c>
      <c r="I92" s="942">
        <v>60</v>
      </c>
      <c r="J92" s="943">
        <v>0</v>
      </c>
      <c r="K92" s="941">
        <v>0</v>
      </c>
      <c r="L92" s="941">
        <v>0</v>
      </c>
      <c r="M92" s="941">
        <v>0</v>
      </c>
      <c r="N92" s="950">
        <v>0</v>
      </c>
      <c r="O92" s="942">
        <v>100</v>
      </c>
      <c r="P92" s="940">
        <v>33.333333333333329</v>
      </c>
      <c r="Q92" s="940">
        <v>33.299999999999997</v>
      </c>
      <c r="R92" s="940">
        <v>0</v>
      </c>
      <c r="S92" s="940">
        <v>66.7</v>
      </c>
      <c r="T92" s="940">
        <v>33.300000000000004</v>
      </c>
      <c r="U92" s="940">
        <v>33.300000000000004</v>
      </c>
    </row>
    <row r="93" spans="3:21" ht="18.75" x14ac:dyDescent="0.4">
      <c r="C93" s="949" t="s">
        <v>2646</v>
      </c>
      <c r="D93" s="940">
        <v>42.9</v>
      </c>
      <c r="E93" s="940">
        <v>42.857142857142897</v>
      </c>
      <c r="F93" s="940">
        <v>60</v>
      </c>
      <c r="G93" s="941">
        <v>40</v>
      </c>
      <c r="H93" s="941">
        <v>40</v>
      </c>
      <c r="I93" s="942">
        <v>40</v>
      </c>
      <c r="J93" s="943">
        <v>0</v>
      </c>
      <c r="K93" s="941">
        <v>0</v>
      </c>
      <c r="L93" s="941">
        <v>0</v>
      </c>
      <c r="M93" s="941">
        <v>100</v>
      </c>
      <c r="N93" s="950">
        <v>0</v>
      </c>
      <c r="O93" s="942">
        <v>0</v>
      </c>
      <c r="P93" s="940">
        <v>20</v>
      </c>
      <c r="Q93" s="940">
        <v>0</v>
      </c>
      <c r="R93" s="940">
        <v>0</v>
      </c>
      <c r="S93" s="940">
        <v>40</v>
      </c>
      <c r="T93" s="940">
        <v>0</v>
      </c>
      <c r="U93" s="940">
        <v>40</v>
      </c>
    </row>
    <row r="94" spans="3:21" ht="18.75" x14ac:dyDescent="0.4">
      <c r="C94" s="949" t="s">
        <v>2647</v>
      </c>
      <c r="D94" s="940">
        <v>40</v>
      </c>
      <c r="E94" s="940">
        <v>40</v>
      </c>
      <c r="F94" s="940">
        <v>40</v>
      </c>
      <c r="G94" s="941">
        <v>60</v>
      </c>
      <c r="H94" s="941">
        <v>40</v>
      </c>
      <c r="I94" s="942">
        <v>60</v>
      </c>
      <c r="J94" s="943">
        <v>0</v>
      </c>
      <c r="K94" s="941">
        <v>0</v>
      </c>
      <c r="L94" s="941">
        <v>0</v>
      </c>
      <c r="M94" s="941">
        <v>0</v>
      </c>
      <c r="N94" s="950">
        <v>0</v>
      </c>
      <c r="O94" s="942">
        <v>0</v>
      </c>
      <c r="P94" s="940">
        <v>25</v>
      </c>
      <c r="Q94" s="940">
        <v>50</v>
      </c>
      <c r="R94" s="940">
        <v>25</v>
      </c>
      <c r="S94" s="940">
        <v>25</v>
      </c>
      <c r="T94" s="940">
        <v>50</v>
      </c>
      <c r="U94" s="940">
        <v>50</v>
      </c>
    </row>
    <row r="95" spans="3:21" ht="18.75" x14ac:dyDescent="0.4">
      <c r="C95" s="944" t="s">
        <v>2648</v>
      </c>
      <c r="D95" s="945">
        <v>48.2</v>
      </c>
      <c r="E95" s="945">
        <v>37.5</v>
      </c>
      <c r="F95" s="945">
        <v>41.1</v>
      </c>
      <c r="G95" s="946">
        <v>43.1</v>
      </c>
      <c r="H95" s="946">
        <v>44.827586206896555</v>
      </c>
      <c r="I95" s="947">
        <v>48.3</v>
      </c>
      <c r="J95" s="948">
        <v>30</v>
      </c>
      <c r="K95" s="946">
        <v>40</v>
      </c>
      <c r="L95" s="946">
        <v>30</v>
      </c>
      <c r="M95" s="946">
        <v>20</v>
      </c>
      <c r="N95" s="946">
        <v>10</v>
      </c>
      <c r="O95" s="947">
        <v>30</v>
      </c>
      <c r="P95" s="945">
        <v>30.434782608695656</v>
      </c>
      <c r="Q95" s="945">
        <v>32.6</v>
      </c>
      <c r="R95" s="945">
        <v>37</v>
      </c>
      <c r="S95" s="945">
        <v>40.400000000000006</v>
      </c>
      <c r="T95" s="945">
        <v>36.199999999999996</v>
      </c>
      <c r="U95" s="945">
        <v>47.9</v>
      </c>
    </row>
    <row r="96" spans="3:21" ht="18.75" x14ac:dyDescent="0.4">
      <c r="C96" s="949" t="s">
        <v>1059</v>
      </c>
      <c r="D96" s="940">
        <v>44.4</v>
      </c>
      <c r="E96" s="940">
        <v>33.3333333333333</v>
      </c>
      <c r="F96" s="940">
        <v>44.4</v>
      </c>
      <c r="G96" s="941">
        <v>44.4</v>
      </c>
      <c r="H96" s="941">
        <v>55.555555555555557</v>
      </c>
      <c r="I96" s="942">
        <v>33.300000000000004</v>
      </c>
      <c r="J96" s="943">
        <v>0</v>
      </c>
      <c r="K96" s="941">
        <v>0</v>
      </c>
      <c r="L96" s="941">
        <v>0</v>
      </c>
      <c r="M96" s="941">
        <v>0</v>
      </c>
      <c r="N96" s="950">
        <v>0</v>
      </c>
      <c r="O96" s="942">
        <v>100</v>
      </c>
      <c r="P96" s="940">
        <v>20</v>
      </c>
      <c r="Q96" s="940">
        <v>20</v>
      </c>
      <c r="R96" s="940">
        <v>20</v>
      </c>
      <c r="S96" s="940">
        <v>40</v>
      </c>
      <c r="T96" s="940">
        <v>20</v>
      </c>
      <c r="U96" s="940">
        <v>40</v>
      </c>
    </row>
    <row r="97" spans="3:21" ht="11.25" customHeight="1" x14ac:dyDescent="0.4">
      <c r="C97" s="949" t="s">
        <v>2649</v>
      </c>
      <c r="D97" s="940">
        <v>60</v>
      </c>
      <c r="E97" s="940">
        <v>40</v>
      </c>
      <c r="F97" s="940">
        <v>40</v>
      </c>
      <c r="G97" s="941">
        <v>40</v>
      </c>
      <c r="H97" s="941">
        <v>80</v>
      </c>
      <c r="I97" s="942">
        <v>60</v>
      </c>
      <c r="J97" s="943">
        <v>0</v>
      </c>
      <c r="K97" s="941">
        <v>100</v>
      </c>
      <c r="L97" s="941">
        <v>100</v>
      </c>
      <c r="M97" s="941">
        <v>0</v>
      </c>
      <c r="N97" s="950">
        <v>0</v>
      </c>
      <c r="O97" s="942">
        <v>0</v>
      </c>
      <c r="P97" s="940">
        <v>16.666666666666664</v>
      </c>
      <c r="Q97" s="940">
        <v>33.299999999999997</v>
      </c>
      <c r="R97" s="940">
        <v>50</v>
      </c>
      <c r="S97" s="940">
        <v>66.7</v>
      </c>
      <c r="T97" s="940">
        <v>50</v>
      </c>
      <c r="U97" s="940">
        <v>57.099999999999994</v>
      </c>
    </row>
    <row r="98" spans="3:21" ht="11.25" customHeight="1" x14ac:dyDescent="0.4">
      <c r="C98" s="949" t="s">
        <v>2650</v>
      </c>
      <c r="D98" s="940">
        <v>40</v>
      </c>
      <c r="E98" s="940">
        <v>40</v>
      </c>
      <c r="F98" s="940">
        <v>20</v>
      </c>
      <c r="G98" s="941">
        <v>60</v>
      </c>
      <c r="H98" s="941">
        <v>40</v>
      </c>
      <c r="I98" s="942">
        <v>40</v>
      </c>
      <c r="J98" s="943">
        <v>100</v>
      </c>
      <c r="K98" s="941">
        <v>0</v>
      </c>
      <c r="L98" s="941">
        <v>100</v>
      </c>
      <c r="M98" s="941">
        <v>0</v>
      </c>
      <c r="N98" s="950">
        <v>0</v>
      </c>
      <c r="O98" s="942">
        <v>0</v>
      </c>
      <c r="P98" s="940">
        <v>37.5</v>
      </c>
      <c r="Q98" s="940">
        <v>37.5</v>
      </c>
      <c r="R98" s="940">
        <v>50</v>
      </c>
      <c r="S98" s="940">
        <v>12.5</v>
      </c>
      <c r="T98" s="940">
        <v>37.5</v>
      </c>
      <c r="U98" s="940">
        <v>50</v>
      </c>
    </row>
    <row r="99" spans="3:21" ht="18.75" x14ac:dyDescent="0.4">
      <c r="C99" s="949" t="s">
        <v>2651</v>
      </c>
      <c r="D99" s="940">
        <v>60</v>
      </c>
      <c r="E99" s="940">
        <v>60</v>
      </c>
      <c r="F99" s="940">
        <v>60</v>
      </c>
      <c r="G99" s="941">
        <v>40</v>
      </c>
      <c r="H99" s="941">
        <v>20</v>
      </c>
      <c r="I99" s="942">
        <v>60</v>
      </c>
      <c r="J99" s="943">
        <v>0</v>
      </c>
      <c r="K99" s="941">
        <v>0</v>
      </c>
      <c r="L99" s="941">
        <v>0</v>
      </c>
      <c r="M99" s="941">
        <v>0</v>
      </c>
      <c r="N99" s="950">
        <v>0</v>
      </c>
      <c r="O99" s="942">
        <v>0</v>
      </c>
      <c r="P99" s="940">
        <v>50</v>
      </c>
      <c r="Q99" s="940">
        <v>16.7</v>
      </c>
      <c r="R99" s="940">
        <v>80</v>
      </c>
      <c r="S99" s="940">
        <v>16.7</v>
      </c>
      <c r="T99" s="940">
        <v>50</v>
      </c>
      <c r="U99" s="940">
        <v>50</v>
      </c>
    </row>
    <row r="100" spans="3:21" ht="18.75" x14ac:dyDescent="0.4">
      <c r="C100" s="949" t="s">
        <v>2652</v>
      </c>
      <c r="D100" s="940">
        <v>60</v>
      </c>
      <c r="E100" s="940">
        <v>40</v>
      </c>
      <c r="F100" s="940">
        <v>40</v>
      </c>
      <c r="G100" s="941">
        <v>14.299999999999999</v>
      </c>
      <c r="H100" s="941">
        <v>42.857142857142854</v>
      </c>
      <c r="I100" s="942">
        <v>42.9</v>
      </c>
      <c r="J100" s="943">
        <v>0</v>
      </c>
      <c r="K100" s="941">
        <v>0</v>
      </c>
      <c r="L100" s="941">
        <v>0</v>
      </c>
      <c r="M100" s="941">
        <v>0</v>
      </c>
      <c r="N100" s="950">
        <v>0</v>
      </c>
      <c r="O100" s="942">
        <v>0</v>
      </c>
      <c r="P100" s="940">
        <v>0</v>
      </c>
      <c r="Q100" s="940">
        <v>40</v>
      </c>
      <c r="R100" s="940">
        <v>20</v>
      </c>
      <c r="S100" s="940">
        <v>60</v>
      </c>
      <c r="T100" s="940">
        <v>60</v>
      </c>
      <c r="U100" s="940">
        <v>40</v>
      </c>
    </row>
    <row r="101" spans="3:21" ht="18.75" x14ac:dyDescent="0.4">
      <c r="C101" s="949" t="s">
        <v>2653</v>
      </c>
      <c r="D101" s="940">
        <v>40</v>
      </c>
      <c r="E101" s="940">
        <v>40</v>
      </c>
      <c r="F101" s="940">
        <v>40</v>
      </c>
      <c r="G101" s="941">
        <v>60</v>
      </c>
      <c r="H101" s="941">
        <v>40</v>
      </c>
      <c r="I101" s="942">
        <v>60</v>
      </c>
      <c r="J101" s="943">
        <v>100</v>
      </c>
      <c r="K101" s="941">
        <v>100</v>
      </c>
      <c r="L101" s="941">
        <v>0</v>
      </c>
      <c r="M101" s="941">
        <v>100</v>
      </c>
      <c r="N101" s="950">
        <v>100</v>
      </c>
      <c r="O101" s="942">
        <v>0</v>
      </c>
      <c r="P101" s="940">
        <v>50</v>
      </c>
      <c r="Q101" s="940">
        <v>25</v>
      </c>
      <c r="R101" s="940">
        <v>25</v>
      </c>
      <c r="S101" s="940">
        <v>50</v>
      </c>
      <c r="T101" s="940">
        <v>0</v>
      </c>
      <c r="U101" s="940">
        <v>25</v>
      </c>
    </row>
    <row r="102" spans="3:21" ht="18.75" x14ac:dyDescent="0.4">
      <c r="C102" s="949" t="s">
        <v>2654</v>
      </c>
      <c r="D102" s="940">
        <v>40</v>
      </c>
      <c r="E102" s="940">
        <v>20</v>
      </c>
      <c r="F102" s="940">
        <v>60</v>
      </c>
      <c r="G102" s="941">
        <v>40</v>
      </c>
      <c r="H102" s="941">
        <v>40</v>
      </c>
      <c r="I102" s="942">
        <v>60</v>
      </c>
      <c r="J102" s="943">
        <v>0</v>
      </c>
      <c r="K102" s="941">
        <v>0</v>
      </c>
      <c r="L102" s="941">
        <v>0</v>
      </c>
      <c r="M102" s="941">
        <v>0</v>
      </c>
      <c r="N102" s="950">
        <v>0</v>
      </c>
      <c r="O102" s="942">
        <v>100</v>
      </c>
      <c r="P102" s="940">
        <v>66.666666666666657</v>
      </c>
      <c r="Q102" s="940">
        <v>66.7</v>
      </c>
      <c r="R102" s="940">
        <v>66.7</v>
      </c>
      <c r="S102" s="940">
        <v>66.7</v>
      </c>
      <c r="T102" s="940">
        <v>66.7</v>
      </c>
      <c r="U102" s="940">
        <v>66.7</v>
      </c>
    </row>
    <row r="103" spans="3:21" ht="18.75" x14ac:dyDescent="0.4">
      <c r="C103" s="949" t="s">
        <v>2655</v>
      </c>
      <c r="D103" s="940">
        <v>80</v>
      </c>
      <c r="E103" s="940">
        <v>40</v>
      </c>
      <c r="F103" s="940">
        <v>40</v>
      </c>
      <c r="G103" s="941">
        <v>80</v>
      </c>
      <c r="H103" s="941">
        <v>40</v>
      </c>
      <c r="I103" s="942">
        <v>60</v>
      </c>
      <c r="J103" s="943">
        <v>0</v>
      </c>
      <c r="K103" s="941">
        <v>100</v>
      </c>
      <c r="L103" s="941">
        <v>0</v>
      </c>
      <c r="M103" s="941">
        <v>0</v>
      </c>
      <c r="N103" s="950">
        <v>0</v>
      </c>
      <c r="O103" s="942">
        <v>0</v>
      </c>
      <c r="P103" s="940">
        <v>33.333333333333329</v>
      </c>
      <c r="Q103" s="940">
        <v>0</v>
      </c>
      <c r="R103" s="940">
        <v>33.299999999999997</v>
      </c>
      <c r="S103" s="940">
        <v>66.7</v>
      </c>
      <c r="T103" s="940">
        <v>33.300000000000004</v>
      </c>
      <c r="U103" s="940">
        <v>66.7</v>
      </c>
    </row>
    <row r="104" spans="3:21" ht="18.75" x14ac:dyDescent="0.4">
      <c r="C104" s="949" t="s">
        <v>2656</v>
      </c>
      <c r="D104" s="940">
        <v>40</v>
      </c>
      <c r="E104" s="940">
        <v>40</v>
      </c>
      <c r="F104" s="940">
        <v>40</v>
      </c>
      <c r="G104" s="941">
        <v>40</v>
      </c>
      <c r="H104" s="941">
        <v>40</v>
      </c>
      <c r="I104" s="942">
        <v>40</v>
      </c>
      <c r="J104" s="943">
        <v>100</v>
      </c>
      <c r="K104" s="941">
        <v>100</v>
      </c>
      <c r="L104" s="941">
        <v>100</v>
      </c>
      <c r="M104" s="941">
        <v>100</v>
      </c>
      <c r="N104" s="950">
        <v>0</v>
      </c>
      <c r="O104" s="942">
        <v>0</v>
      </c>
      <c r="P104" s="940">
        <v>0</v>
      </c>
      <c r="Q104" s="940">
        <v>0</v>
      </c>
      <c r="R104" s="940">
        <v>0</v>
      </c>
      <c r="S104" s="940">
        <v>0</v>
      </c>
      <c r="T104" s="940">
        <v>50</v>
      </c>
      <c r="U104" s="940">
        <v>50</v>
      </c>
    </row>
    <row r="105" spans="3:21" ht="18.75" x14ac:dyDescent="0.4">
      <c r="C105" s="949" t="s">
        <v>2657</v>
      </c>
      <c r="D105" s="940">
        <v>28.6</v>
      </c>
      <c r="E105" s="940">
        <v>28.571428571428601</v>
      </c>
      <c r="F105" s="940">
        <v>28.6</v>
      </c>
      <c r="G105" s="941">
        <v>28.599999999999998</v>
      </c>
      <c r="H105" s="941">
        <v>42.857142857142854</v>
      </c>
      <c r="I105" s="942">
        <v>42.9</v>
      </c>
      <c r="J105" s="943">
        <v>0</v>
      </c>
      <c r="K105" s="941">
        <v>0</v>
      </c>
      <c r="L105" s="941">
        <v>0</v>
      </c>
      <c r="M105" s="941">
        <v>0</v>
      </c>
      <c r="N105" s="950">
        <v>0</v>
      </c>
      <c r="O105" s="942">
        <v>100</v>
      </c>
      <c r="P105" s="940">
        <v>20</v>
      </c>
      <c r="Q105" s="940">
        <v>60</v>
      </c>
      <c r="R105" s="940">
        <v>0</v>
      </c>
      <c r="S105" s="940">
        <v>40</v>
      </c>
      <c r="T105" s="940">
        <v>0</v>
      </c>
      <c r="U105" s="940">
        <v>40</v>
      </c>
    </row>
    <row r="106" spans="3:21" ht="18.75" x14ac:dyDescent="0.4">
      <c r="C106" s="944" t="s">
        <v>2658</v>
      </c>
      <c r="D106" s="945">
        <v>45.9</v>
      </c>
      <c r="E106" s="945">
        <v>36.065573770491802</v>
      </c>
      <c r="F106" s="945">
        <v>35.1</v>
      </c>
      <c r="G106" s="946">
        <v>34.4</v>
      </c>
      <c r="H106" s="946">
        <v>37.704918032786885</v>
      </c>
      <c r="I106" s="947">
        <v>49.2</v>
      </c>
      <c r="J106" s="948">
        <v>9.0909090909090917</v>
      </c>
      <c r="K106" s="946">
        <v>9.1</v>
      </c>
      <c r="L106" s="946">
        <v>0</v>
      </c>
      <c r="M106" s="946">
        <v>18.2</v>
      </c>
      <c r="N106" s="946">
        <v>9.0909090909090917</v>
      </c>
      <c r="O106" s="947">
        <v>27.3</v>
      </c>
      <c r="P106" s="945">
        <v>27.118644067796609</v>
      </c>
      <c r="Q106" s="945">
        <v>22</v>
      </c>
      <c r="R106" s="945">
        <v>25.4</v>
      </c>
      <c r="S106" s="945">
        <v>39</v>
      </c>
      <c r="T106" s="945">
        <v>26.700000000000003</v>
      </c>
      <c r="U106" s="945">
        <v>45.9</v>
      </c>
    </row>
    <row r="107" spans="3:21" ht="18.75" x14ac:dyDescent="0.4">
      <c r="C107" s="949" t="s">
        <v>2659</v>
      </c>
      <c r="D107" s="940">
        <v>57.1</v>
      </c>
      <c r="E107" s="940">
        <v>42.857142857142897</v>
      </c>
      <c r="F107" s="940">
        <v>28.6</v>
      </c>
      <c r="G107" s="941">
        <v>42.9</v>
      </c>
      <c r="H107" s="941">
        <v>14.285714285714285</v>
      </c>
      <c r="I107" s="942">
        <v>71.399999999999991</v>
      </c>
      <c r="J107" s="943">
        <v>0</v>
      </c>
      <c r="K107" s="941">
        <v>0</v>
      </c>
      <c r="L107" s="941">
        <v>0</v>
      </c>
      <c r="M107" s="941">
        <v>0</v>
      </c>
      <c r="N107" s="950">
        <v>0</v>
      </c>
      <c r="O107" s="942">
        <v>0</v>
      </c>
      <c r="P107" s="940">
        <v>40</v>
      </c>
      <c r="Q107" s="940">
        <v>40</v>
      </c>
      <c r="R107" s="940">
        <v>60</v>
      </c>
      <c r="S107" s="940">
        <v>40</v>
      </c>
      <c r="T107" s="940">
        <v>20</v>
      </c>
      <c r="U107" s="940">
        <v>80</v>
      </c>
    </row>
    <row r="108" spans="3:21" ht="18.75" x14ac:dyDescent="0.4">
      <c r="C108" s="949" t="s">
        <v>2660</v>
      </c>
      <c r="D108" s="940">
        <v>42.9</v>
      </c>
      <c r="E108" s="940">
        <v>42.857142857142897</v>
      </c>
      <c r="F108" s="940">
        <v>20</v>
      </c>
      <c r="G108" s="941">
        <v>28.599999999999998</v>
      </c>
      <c r="H108" s="941">
        <v>28.571428571428569</v>
      </c>
      <c r="I108" s="942">
        <v>57.099999999999994</v>
      </c>
      <c r="J108" s="943">
        <v>0</v>
      </c>
      <c r="K108" s="941">
        <v>0</v>
      </c>
      <c r="L108" s="941">
        <v>0</v>
      </c>
      <c r="M108" s="941">
        <v>0</v>
      </c>
      <c r="N108" s="950">
        <v>0</v>
      </c>
      <c r="O108" s="942">
        <v>0</v>
      </c>
      <c r="P108" s="940">
        <v>14.285714285714285</v>
      </c>
      <c r="Q108" s="940">
        <v>14.3</v>
      </c>
      <c r="R108" s="940">
        <v>28.6</v>
      </c>
      <c r="S108" s="940">
        <v>28.599999999999998</v>
      </c>
      <c r="T108" s="940">
        <v>14.299999999999999</v>
      </c>
      <c r="U108" s="940">
        <v>57.099999999999994</v>
      </c>
    </row>
    <row r="109" spans="3:21" ht="18.75" x14ac:dyDescent="0.4">
      <c r="C109" s="949" t="s">
        <v>2661</v>
      </c>
      <c r="D109" s="940">
        <v>57.1</v>
      </c>
      <c r="E109" s="940">
        <v>14.285714285714301</v>
      </c>
      <c r="F109" s="940">
        <v>40</v>
      </c>
      <c r="G109" s="941">
        <v>42.9</v>
      </c>
      <c r="H109" s="941">
        <v>42.857142857142854</v>
      </c>
      <c r="I109" s="942">
        <v>57.099999999999994</v>
      </c>
      <c r="J109" s="943">
        <v>0</v>
      </c>
      <c r="K109" s="941">
        <v>0</v>
      </c>
      <c r="L109" s="941">
        <v>0</v>
      </c>
      <c r="M109" s="941">
        <v>100</v>
      </c>
      <c r="N109" s="950">
        <v>0</v>
      </c>
      <c r="O109" s="942">
        <v>0</v>
      </c>
      <c r="P109" s="940">
        <v>44.444444444444443</v>
      </c>
      <c r="Q109" s="940">
        <v>22.2</v>
      </c>
      <c r="R109" s="940">
        <v>22.2</v>
      </c>
      <c r="S109" s="940">
        <v>44.4</v>
      </c>
      <c r="T109" s="940">
        <v>33.300000000000004</v>
      </c>
      <c r="U109" s="940">
        <v>33.300000000000004</v>
      </c>
    </row>
    <row r="110" spans="3:21" ht="18.75" x14ac:dyDescent="0.4">
      <c r="C110" s="949" t="s">
        <v>1074</v>
      </c>
      <c r="D110" s="940">
        <v>40</v>
      </c>
      <c r="E110" s="940">
        <v>40</v>
      </c>
      <c r="F110" s="940">
        <v>40</v>
      </c>
      <c r="G110" s="941">
        <v>40</v>
      </c>
      <c r="H110" s="941">
        <v>40</v>
      </c>
      <c r="I110" s="942">
        <v>40</v>
      </c>
      <c r="J110" s="943">
        <v>0</v>
      </c>
      <c r="K110" s="941">
        <v>0</v>
      </c>
      <c r="L110" s="941">
        <v>0</v>
      </c>
      <c r="M110" s="941">
        <v>0</v>
      </c>
      <c r="N110" s="950">
        <v>100</v>
      </c>
      <c r="O110" s="942">
        <v>0</v>
      </c>
      <c r="P110" s="940">
        <v>50</v>
      </c>
      <c r="Q110" s="940">
        <v>25</v>
      </c>
      <c r="R110" s="940">
        <v>25</v>
      </c>
      <c r="S110" s="940">
        <v>75</v>
      </c>
      <c r="T110" s="940">
        <v>50</v>
      </c>
      <c r="U110" s="940">
        <v>50</v>
      </c>
    </row>
    <row r="111" spans="3:21" ht="18.75" x14ac:dyDescent="0.4">
      <c r="C111" s="949" t="s">
        <v>2662</v>
      </c>
      <c r="D111" s="940">
        <v>40</v>
      </c>
      <c r="E111" s="940">
        <v>40</v>
      </c>
      <c r="F111" s="940">
        <v>40</v>
      </c>
      <c r="G111" s="941">
        <v>20</v>
      </c>
      <c r="H111" s="941">
        <v>40</v>
      </c>
      <c r="I111" s="942">
        <v>40</v>
      </c>
      <c r="J111" s="943">
        <v>0</v>
      </c>
      <c r="K111" s="941">
        <v>0</v>
      </c>
      <c r="L111" s="941">
        <v>0</v>
      </c>
      <c r="M111" s="941">
        <v>0</v>
      </c>
      <c r="N111" s="950">
        <v>0</v>
      </c>
      <c r="O111" s="942">
        <v>100</v>
      </c>
      <c r="P111" s="940">
        <v>50</v>
      </c>
      <c r="Q111" s="940">
        <v>25</v>
      </c>
      <c r="R111" s="940">
        <v>50</v>
      </c>
      <c r="S111" s="940">
        <v>50</v>
      </c>
      <c r="T111" s="940">
        <v>50</v>
      </c>
      <c r="U111" s="940">
        <v>75</v>
      </c>
    </row>
    <row r="112" spans="3:21" ht="18.75" x14ac:dyDescent="0.4">
      <c r="C112" s="949" t="s">
        <v>2663</v>
      </c>
      <c r="D112" s="940">
        <v>40</v>
      </c>
      <c r="E112" s="940">
        <v>60</v>
      </c>
      <c r="F112" s="940">
        <v>40</v>
      </c>
      <c r="G112" s="941">
        <v>40</v>
      </c>
      <c r="H112" s="941">
        <v>20</v>
      </c>
      <c r="I112" s="942">
        <v>40</v>
      </c>
      <c r="J112" s="943">
        <v>0</v>
      </c>
      <c r="K112" s="941">
        <v>100</v>
      </c>
      <c r="L112" s="941">
        <v>0</v>
      </c>
      <c r="M112" s="941">
        <v>0</v>
      </c>
      <c r="N112" s="950">
        <v>0</v>
      </c>
      <c r="O112" s="942">
        <v>0</v>
      </c>
      <c r="P112" s="940">
        <v>0</v>
      </c>
      <c r="Q112" s="940">
        <v>20</v>
      </c>
      <c r="R112" s="940">
        <v>0</v>
      </c>
      <c r="S112" s="940">
        <v>40</v>
      </c>
      <c r="T112" s="940">
        <v>0</v>
      </c>
      <c r="U112" s="940">
        <v>20</v>
      </c>
    </row>
    <row r="113" spans="3:21" ht="18.75" x14ac:dyDescent="0.4">
      <c r="C113" s="949" t="s">
        <v>2664</v>
      </c>
      <c r="D113" s="940">
        <v>40</v>
      </c>
      <c r="E113" s="940">
        <v>20</v>
      </c>
      <c r="F113" s="940">
        <v>40</v>
      </c>
      <c r="G113" s="941">
        <v>40</v>
      </c>
      <c r="H113" s="941">
        <v>60</v>
      </c>
      <c r="I113" s="942">
        <v>20</v>
      </c>
      <c r="J113" s="943">
        <v>0</v>
      </c>
      <c r="K113" s="941">
        <v>0</v>
      </c>
      <c r="L113" s="941">
        <v>0</v>
      </c>
      <c r="M113" s="941">
        <v>100</v>
      </c>
      <c r="N113" s="950">
        <v>0</v>
      </c>
      <c r="O113" s="942">
        <v>0</v>
      </c>
      <c r="P113" s="940">
        <v>0</v>
      </c>
      <c r="Q113" s="940">
        <v>0</v>
      </c>
      <c r="R113" s="940">
        <v>25</v>
      </c>
      <c r="S113" s="940">
        <v>25</v>
      </c>
      <c r="T113" s="940">
        <v>0</v>
      </c>
      <c r="U113" s="940">
        <v>0</v>
      </c>
    </row>
    <row r="114" spans="3:21" ht="18.75" x14ac:dyDescent="0.4">
      <c r="C114" s="949" t="s">
        <v>2665</v>
      </c>
      <c r="D114" s="940">
        <v>60</v>
      </c>
      <c r="E114" s="940">
        <v>20</v>
      </c>
      <c r="F114" s="940">
        <v>40</v>
      </c>
      <c r="G114" s="941">
        <v>20</v>
      </c>
      <c r="H114" s="941">
        <v>40</v>
      </c>
      <c r="I114" s="942">
        <v>40</v>
      </c>
      <c r="J114" s="943">
        <v>0</v>
      </c>
      <c r="K114" s="941">
        <v>0</v>
      </c>
      <c r="L114" s="941">
        <v>0</v>
      </c>
      <c r="M114" s="941">
        <v>0</v>
      </c>
      <c r="N114" s="950">
        <v>0</v>
      </c>
      <c r="O114" s="942">
        <v>100</v>
      </c>
      <c r="P114" s="940">
        <v>0</v>
      </c>
      <c r="Q114" s="940">
        <v>28.6</v>
      </c>
      <c r="R114" s="940">
        <v>0</v>
      </c>
      <c r="S114" s="940">
        <v>14.299999999999999</v>
      </c>
      <c r="T114" s="940">
        <v>14.299999999999999</v>
      </c>
      <c r="U114" s="940">
        <v>37.5</v>
      </c>
    </row>
    <row r="115" spans="3:21" ht="18.75" x14ac:dyDescent="0.4">
      <c r="C115" s="949" t="s">
        <v>2666</v>
      </c>
      <c r="D115" s="940">
        <v>40</v>
      </c>
      <c r="E115" s="940">
        <v>40</v>
      </c>
      <c r="F115" s="940">
        <v>20</v>
      </c>
      <c r="G115" s="941">
        <v>40</v>
      </c>
      <c r="H115" s="941">
        <v>60</v>
      </c>
      <c r="I115" s="942">
        <v>60</v>
      </c>
      <c r="J115" s="943">
        <v>0</v>
      </c>
      <c r="K115" s="941">
        <v>0</v>
      </c>
      <c r="L115" s="941">
        <v>0</v>
      </c>
      <c r="M115" s="941">
        <v>0</v>
      </c>
      <c r="N115" s="950">
        <v>0</v>
      </c>
      <c r="O115" s="942">
        <v>0</v>
      </c>
      <c r="P115" s="940">
        <v>33.333333333333329</v>
      </c>
      <c r="Q115" s="940">
        <v>16.7</v>
      </c>
      <c r="R115" s="940">
        <v>16.7</v>
      </c>
      <c r="S115" s="940">
        <v>16.7</v>
      </c>
      <c r="T115" s="940">
        <v>16.7</v>
      </c>
      <c r="U115" s="940">
        <v>50</v>
      </c>
    </row>
    <row r="116" spans="3:21" ht="18.75" x14ac:dyDescent="0.4">
      <c r="C116" s="949" t="s">
        <v>2667</v>
      </c>
      <c r="D116" s="940">
        <v>40</v>
      </c>
      <c r="E116" s="940">
        <v>40</v>
      </c>
      <c r="F116" s="940">
        <v>60</v>
      </c>
      <c r="G116" s="941">
        <v>40</v>
      </c>
      <c r="H116" s="941">
        <v>40</v>
      </c>
      <c r="I116" s="942">
        <v>60</v>
      </c>
      <c r="J116" s="943">
        <v>100</v>
      </c>
      <c r="K116" s="941">
        <v>0</v>
      </c>
      <c r="L116" s="941">
        <v>0</v>
      </c>
      <c r="M116" s="941">
        <v>0</v>
      </c>
      <c r="N116" s="950">
        <v>0</v>
      </c>
      <c r="O116" s="942">
        <v>0</v>
      </c>
      <c r="P116" s="940">
        <v>50</v>
      </c>
      <c r="Q116" s="940">
        <v>50</v>
      </c>
      <c r="R116" s="940">
        <v>25</v>
      </c>
      <c r="S116" s="940">
        <v>75</v>
      </c>
      <c r="T116" s="940">
        <v>75</v>
      </c>
      <c r="U116" s="940">
        <v>50</v>
      </c>
    </row>
    <row r="117" spans="3:21" ht="18.75" x14ac:dyDescent="0.4">
      <c r="C117" s="949" t="s">
        <v>2668</v>
      </c>
      <c r="D117" s="940">
        <v>40</v>
      </c>
      <c r="E117" s="940">
        <v>40</v>
      </c>
      <c r="F117" s="940">
        <v>20</v>
      </c>
      <c r="G117" s="941">
        <v>20</v>
      </c>
      <c r="H117" s="941">
        <v>40</v>
      </c>
      <c r="I117" s="942">
        <v>40</v>
      </c>
      <c r="J117" s="943">
        <v>0</v>
      </c>
      <c r="K117" s="941">
        <v>0</v>
      </c>
      <c r="L117" s="941">
        <v>0</v>
      </c>
      <c r="M117" s="941">
        <v>0</v>
      </c>
      <c r="N117" s="941">
        <v>0</v>
      </c>
      <c r="O117" s="942">
        <v>100</v>
      </c>
      <c r="P117" s="940">
        <v>25</v>
      </c>
      <c r="Q117" s="940">
        <v>0</v>
      </c>
      <c r="R117" s="940">
        <v>50</v>
      </c>
      <c r="S117" s="940">
        <v>50</v>
      </c>
      <c r="T117" s="940">
        <v>40</v>
      </c>
      <c r="U117" s="940">
        <v>60</v>
      </c>
    </row>
    <row r="118" spans="3:21" ht="18.75" x14ac:dyDescent="0.4">
      <c r="C118" s="944" t="s">
        <v>2669</v>
      </c>
      <c r="D118" s="945">
        <v>38.1</v>
      </c>
      <c r="E118" s="945">
        <v>42.857142857142897</v>
      </c>
      <c r="F118" s="945">
        <v>32.200000000000003</v>
      </c>
      <c r="G118" s="946">
        <v>39.700000000000003</v>
      </c>
      <c r="H118" s="946">
        <v>42.857142857142854</v>
      </c>
      <c r="I118" s="947">
        <v>45.2</v>
      </c>
      <c r="J118" s="948">
        <v>0</v>
      </c>
      <c r="K118" s="946">
        <v>9.1</v>
      </c>
      <c r="L118" s="946">
        <v>9.1</v>
      </c>
      <c r="M118" s="946">
        <v>9.1</v>
      </c>
      <c r="N118" s="946">
        <v>0</v>
      </c>
      <c r="O118" s="947">
        <v>15.4</v>
      </c>
      <c r="P118" s="945">
        <v>30.357142857142854</v>
      </c>
      <c r="Q118" s="945">
        <v>19.600000000000001</v>
      </c>
      <c r="R118" s="945">
        <v>23.2</v>
      </c>
      <c r="S118" s="945">
        <v>28.799999999999997</v>
      </c>
      <c r="T118" s="945">
        <v>25.4</v>
      </c>
      <c r="U118" s="945">
        <v>53.300000000000004</v>
      </c>
    </row>
    <row r="119" spans="3:21" ht="18.75" x14ac:dyDescent="0.4">
      <c r="C119" s="949" t="s">
        <v>1082</v>
      </c>
      <c r="D119" s="940">
        <v>44.4</v>
      </c>
      <c r="E119" s="940">
        <v>55.5555555555556</v>
      </c>
      <c r="F119" s="940">
        <v>22.2</v>
      </c>
      <c r="G119" s="941">
        <v>22.2</v>
      </c>
      <c r="H119" s="941">
        <v>33.333333333333329</v>
      </c>
      <c r="I119" s="942">
        <v>55.600000000000009</v>
      </c>
      <c r="J119" s="943">
        <v>0</v>
      </c>
      <c r="K119" s="941">
        <v>100</v>
      </c>
      <c r="L119" s="941">
        <v>0</v>
      </c>
      <c r="M119" s="941">
        <v>0</v>
      </c>
      <c r="N119" s="941">
        <v>0</v>
      </c>
      <c r="O119" s="942">
        <v>0</v>
      </c>
      <c r="P119" s="940">
        <v>46.666666666666664</v>
      </c>
      <c r="Q119" s="940">
        <v>33.299999999999997</v>
      </c>
      <c r="R119" s="940">
        <v>33.299999999999997</v>
      </c>
      <c r="S119" s="940">
        <v>26.700000000000003</v>
      </c>
      <c r="T119" s="940">
        <v>33.300000000000004</v>
      </c>
      <c r="U119" s="940">
        <v>57.099999999999994</v>
      </c>
    </row>
    <row r="120" spans="3:21" ht="18.75" x14ac:dyDescent="0.4">
      <c r="C120" s="949" t="s">
        <v>2670</v>
      </c>
      <c r="D120" s="940">
        <v>40</v>
      </c>
      <c r="E120" s="940">
        <v>40</v>
      </c>
      <c r="F120" s="940">
        <v>40</v>
      </c>
      <c r="G120" s="941">
        <v>40</v>
      </c>
      <c r="H120" s="941">
        <v>40</v>
      </c>
      <c r="I120" s="942">
        <v>40</v>
      </c>
      <c r="J120" s="943">
        <v>0</v>
      </c>
      <c r="K120" s="941">
        <v>0</v>
      </c>
      <c r="L120" s="941">
        <v>0</v>
      </c>
      <c r="M120" s="941">
        <v>0</v>
      </c>
      <c r="N120" s="941">
        <v>0</v>
      </c>
      <c r="O120" s="942">
        <v>0</v>
      </c>
      <c r="P120" s="940">
        <v>40</v>
      </c>
      <c r="Q120" s="940">
        <v>0</v>
      </c>
      <c r="R120" s="940">
        <v>40</v>
      </c>
      <c r="S120" s="940">
        <v>66.7</v>
      </c>
      <c r="T120" s="940">
        <v>33.300000000000004</v>
      </c>
      <c r="U120" s="940">
        <v>33.300000000000004</v>
      </c>
    </row>
    <row r="121" spans="3:21" ht="18.75" x14ac:dyDescent="0.4">
      <c r="C121" s="949" t="s">
        <v>2671</v>
      </c>
      <c r="D121" s="940">
        <v>28.6</v>
      </c>
      <c r="E121" s="940">
        <v>42.857142857142897</v>
      </c>
      <c r="F121" s="940">
        <v>40</v>
      </c>
      <c r="G121" s="941">
        <v>42.9</v>
      </c>
      <c r="H121" s="941">
        <v>28.571428571428569</v>
      </c>
      <c r="I121" s="942">
        <v>57.099999999999994</v>
      </c>
      <c r="J121" s="943">
        <v>0</v>
      </c>
      <c r="K121" s="941">
        <v>0</v>
      </c>
      <c r="L121" s="941">
        <v>0</v>
      </c>
      <c r="M121" s="941">
        <v>0</v>
      </c>
      <c r="N121" s="941">
        <v>0</v>
      </c>
      <c r="O121" s="942">
        <v>100</v>
      </c>
      <c r="P121" s="940">
        <v>22.222222222222221</v>
      </c>
      <c r="Q121" s="940">
        <v>0</v>
      </c>
      <c r="R121" s="940">
        <v>11.1</v>
      </c>
      <c r="S121" s="940">
        <v>22.2</v>
      </c>
      <c r="T121" s="940">
        <v>0</v>
      </c>
      <c r="U121" s="940">
        <v>66.7</v>
      </c>
    </row>
    <row r="122" spans="3:21" ht="11.25" customHeight="1" x14ac:dyDescent="0.4">
      <c r="C122" s="949" t="s">
        <v>2672</v>
      </c>
      <c r="D122" s="940">
        <v>40</v>
      </c>
      <c r="E122" s="940">
        <v>40</v>
      </c>
      <c r="F122" s="940">
        <v>20</v>
      </c>
      <c r="G122" s="941">
        <v>40</v>
      </c>
      <c r="H122" s="941">
        <v>40</v>
      </c>
      <c r="I122" s="942">
        <v>40</v>
      </c>
      <c r="J122" s="943">
        <v>0</v>
      </c>
      <c r="K122" s="941">
        <v>0</v>
      </c>
      <c r="L122" s="941">
        <v>0</v>
      </c>
      <c r="M122" s="941">
        <v>0</v>
      </c>
      <c r="N122" s="941">
        <v>0</v>
      </c>
      <c r="O122" s="942">
        <v>0</v>
      </c>
      <c r="P122" s="940">
        <v>33.333333333333329</v>
      </c>
      <c r="Q122" s="940">
        <v>33.299999999999997</v>
      </c>
      <c r="R122" s="940">
        <v>66.7</v>
      </c>
      <c r="S122" s="940">
        <v>66.7</v>
      </c>
      <c r="T122" s="940">
        <v>33.300000000000004</v>
      </c>
      <c r="U122" s="940">
        <v>33.300000000000004</v>
      </c>
    </row>
    <row r="123" spans="3:21" ht="11.25" customHeight="1" x14ac:dyDescent="0.4">
      <c r="C123" s="949" t="s">
        <v>2673</v>
      </c>
      <c r="D123" s="940">
        <v>40</v>
      </c>
      <c r="E123" s="940">
        <v>80</v>
      </c>
      <c r="F123" s="940">
        <v>60</v>
      </c>
      <c r="G123" s="941">
        <v>60</v>
      </c>
      <c r="H123" s="941">
        <v>60</v>
      </c>
      <c r="I123" s="942">
        <v>40</v>
      </c>
      <c r="J123" s="943">
        <v>0</v>
      </c>
      <c r="K123" s="941">
        <v>0</v>
      </c>
      <c r="L123" s="941">
        <v>0</v>
      </c>
      <c r="M123" s="941">
        <v>0</v>
      </c>
      <c r="N123" s="941">
        <v>0</v>
      </c>
      <c r="O123" s="942">
        <v>0</v>
      </c>
      <c r="P123" s="940">
        <v>20</v>
      </c>
      <c r="Q123" s="940">
        <v>20</v>
      </c>
      <c r="R123" s="940">
        <v>20</v>
      </c>
      <c r="S123" s="940">
        <v>16.7</v>
      </c>
      <c r="T123" s="940">
        <v>16.7</v>
      </c>
      <c r="U123" s="940">
        <v>66.7</v>
      </c>
    </row>
    <row r="124" spans="3:21" ht="18.75" x14ac:dyDescent="0.4">
      <c r="C124" s="949" t="s">
        <v>1088</v>
      </c>
      <c r="D124" s="940">
        <v>60</v>
      </c>
      <c r="E124" s="940">
        <v>40</v>
      </c>
      <c r="F124" s="940">
        <v>20</v>
      </c>
      <c r="G124" s="941">
        <v>40</v>
      </c>
      <c r="H124" s="941">
        <v>40</v>
      </c>
      <c r="I124" s="942">
        <v>40</v>
      </c>
      <c r="J124" s="943">
        <v>0</v>
      </c>
      <c r="K124" s="941">
        <v>0</v>
      </c>
      <c r="L124" s="941">
        <v>0</v>
      </c>
      <c r="M124" s="941">
        <v>100</v>
      </c>
      <c r="N124" s="941">
        <v>0</v>
      </c>
      <c r="O124" s="942">
        <v>100</v>
      </c>
      <c r="P124" s="940">
        <v>0</v>
      </c>
      <c r="Q124" s="940">
        <v>33.299999999999997</v>
      </c>
      <c r="R124" s="940">
        <v>33.299999999999997</v>
      </c>
      <c r="S124" s="940">
        <v>33.300000000000004</v>
      </c>
      <c r="T124" s="940">
        <v>33.300000000000004</v>
      </c>
      <c r="U124" s="940">
        <v>33.300000000000004</v>
      </c>
    </row>
    <row r="125" spans="3:21" ht="18.75" x14ac:dyDescent="0.4">
      <c r="C125" s="949" t="s">
        <v>2674</v>
      </c>
      <c r="D125" s="940">
        <v>40</v>
      </c>
      <c r="E125" s="940">
        <v>20</v>
      </c>
      <c r="F125" s="940">
        <v>20</v>
      </c>
      <c r="G125" s="941">
        <v>20</v>
      </c>
      <c r="H125" s="941">
        <v>40</v>
      </c>
      <c r="I125" s="942">
        <v>60</v>
      </c>
      <c r="J125" s="943">
        <v>0</v>
      </c>
      <c r="K125" s="941">
        <v>0</v>
      </c>
      <c r="L125" s="941">
        <v>0</v>
      </c>
      <c r="M125" s="941">
        <v>0</v>
      </c>
      <c r="N125" s="941">
        <v>0</v>
      </c>
      <c r="O125" s="942">
        <v>0</v>
      </c>
      <c r="P125" s="940">
        <v>50</v>
      </c>
      <c r="Q125" s="940">
        <v>25</v>
      </c>
      <c r="R125" s="940">
        <v>0</v>
      </c>
      <c r="S125" s="940">
        <v>50</v>
      </c>
      <c r="T125" s="940">
        <v>50</v>
      </c>
      <c r="U125" s="940">
        <v>33.300000000000004</v>
      </c>
    </row>
    <row r="126" spans="3:21" ht="18.75" x14ac:dyDescent="0.4">
      <c r="C126" s="949" t="s">
        <v>1090</v>
      </c>
      <c r="D126" s="940">
        <v>42.9</v>
      </c>
      <c r="E126" s="940">
        <v>28.571428571428601</v>
      </c>
      <c r="F126" s="940">
        <v>40</v>
      </c>
      <c r="G126" s="941">
        <v>60</v>
      </c>
      <c r="H126" s="941">
        <v>60</v>
      </c>
      <c r="I126" s="942">
        <v>40</v>
      </c>
      <c r="J126" s="943">
        <v>0</v>
      </c>
      <c r="K126" s="941">
        <v>0</v>
      </c>
      <c r="L126" s="941">
        <v>0</v>
      </c>
      <c r="M126" s="941">
        <v>0</v>
      </c>
      <c r="N126" s="941">
        <v>0</v>
      </c>
      <c r="O126" s="942">
        <v>0</v>
      </c>
      <c r="P126" s="940">
        <v>0</v>
      </c>
      <c r="Q126" s="940">
        <v>20</v>
      </c>
      <c r="R126" s="940">
        <v>0</v>
      </c>
      <c r="S126" s="940">
        <v>0</v>
      </c>
      <c r="T126" s="940">
        <v>33.300000000000004</v>
      </c>
      <c r="U126" s="940">
        <v>66.7</v>
      </c>
    </row>
    <row r="127" spans="3:21" ht="18.75" x14ac:dyDescent="0.4">
      <c r="C127" s="949" t="s">
        <v>2675</v>
      </c>
      <c r="D127" s="940">
        <v>40</v>
      </c>
      <c r="E127" s="940">
        <v>40</v>
      </c>
      <c r="F127" s="940">
        <v>20</v>
      </c>
      <c r="G127" s="941">
        <v>40</v>
      </c>
      <c r="H127" s="941">
        <v>40</v>
      </c>
      <c r="I127" s="942">
        <v>40</v>
      </c>
      <c r="J127" s="943">
        <v>0</v>
      </c>
      <c r="K127" s="941">
        <v>0</v>
      </c>
      <c r="L127" s="941">
        <v>0</v>
      </c>
      <c r="M127" s="941">
        <v>0</v>
      </c>
      <c r="N127" s="941">
        <v>0</v>
      </c>
      <c r="O127" s="942">
        <v>0</v>
      </c>
      <c r="P127" s="940">
        <v>0</v>
      </c>
      <c r="Q127" s="940">
        <v>0</v>
      </c>
      <c r="R127" s="940">
        <v>0</v>
      </c>
      <c r="S127" s="940">
        <v>0</v>
      </c>
      <c r="T127" s="940">
        <v>0</v>
      </c>
      <c r="U127" s="940">
        <v>0</v>
      </c>
    </row>
    <row r="128" spans="3:21" ht="18.75" x14ac:dyDescent="0.4">
      <c r="C128" s="949" t="s">
        <v>2676</v>
      </c>
      <c r="D128" s="940">
        <v>20</v>
      </c>
      <c r="E128" s="940">
        <v>60</v>
      </c>
      <c r="F128" s="940">
        <v>40</v>
      </c>
      <c r="G128" s="941">
        <v>28.599999999999998</v>
      </c>
      <c r="H128" s="941">
        <v>57.142857142857139</v>
      </c>
      <c r="I128" s="942">
        <v>57.099999999999994</v>
      </c>
      <c r="J128" s="943">
        <v>0</v>
      </c>
      <c r="K128" s="941">
        <v>0</v>
      </c>
      <c r="L128" s="941">
        <v>100</v>
      </c>
      <c r="M128" s="941">
        <v>0</v>
      </c>
      <c r="N128" s="941">
        <v>0</v>
      </c>
      <c r="O128" s="942">
        <v>0</v>
      </c>
      <c r="P128" s="940">
        <v>50</v>
      </c>
      <c r="Q128" s="940">
        <v>25</v>
      </c>
      <c r="R128" s="940">
        <v>0</v>
      </c>
      <c r="S128" s="940">
        <v>0</v>
      </c>
      <c r="T128" s="940">
        <v>0</v>
      </c>
      <c r="U128" s="940">
        <v>25</v>
      </c>
    </row>
    <row r="129" spans="3:21" ht="18.75" x14ac:dyDescent="0.4">
      <c r="C129" s="949" t="s">
        <v>2677</v>
      </c>
      <c r="D129" s="940">
        <v>20</v>
      </c>
      <c r="E129" s="940">
        <v>20</v>
      </c>
      <c r="F129" s="940">
        <v>40</v>
      </c>
      <c r="G129" s="941">
        <v>60</v>
      </c>
      <c r="H129" s="941">
        <v>40</v>
      </c>
      <c r="I129" s="942">
        <v>20</v>
      </c>
      <c r="J129" s="943">
        <v>0</v>
      </c>
      <c r="K129" s="941">
        <v>0</v>
      </c>
      <c r="L129" s="941">
        <v>0</v>
      </c>
      <c r="M129" s="941">
        <v>0</v>
      </c>
      <c r="N129" s="941">
        <v>0</v>
      </c>
      <c r="O129" s="942">
        <v>0</v>
      </c>
      <c r="P129" s="940">
        <v>0</v>
      </c>
      <c r="Q129" s="940">
        <v>0</v>
      </c>
      <c r="R129" s="940">
        <v>50</v>
      </c>
      <c r="S129" s="940">
        <v>50</v>
      </c>
      <c r="T129" s="940">
        <v>50</v>
      </c>
      <c r="U129" s="940">
        <v>66.7</v>
      </c>
    </row>
    <row r="130" spans="3:21" ht="19.5" x14ac:dyDescent="0.4">
      <c r="C130" s="949" t="s">
        <v>2678</v>
      </c>
      <c r="D130" s="940" t="s">
        <v>317</v>
      </c>
      <c r="E130" s="940" t="s">
        <v>317</v>
      </c>
      <c r="F130" s="940" t="s">
        <v>317</v>
      </c>
      <c r="G130" s="940" t="s">
        <v>317</v>
      </c>
      <c r="H130" s="940" t="s">
        <v>317</v>
      </c>
      <c r="I130" s="942">
        <v>40</v>
      </c>
      <c r="J130" s="943" t="s">
        <v>317</v>
      </c>
      <c r="K130" s="941" t="s">
        <v>317</v>
      </c>
      <c r="L130" s="941" t="s">
        <v>317</v>
      </c>
      <c r="M130" s="941" t="s">
        <v>317</v>
      </c>
      <c r="N130" s="941" t="s">
        <v>317</v>
      </c>
      <c r="O130" s="942">
        <v>0</v>
      </c>
      <c r="P130" s="940" t="s">
        <v>317</v>
      </c>
      <c r="Q130" s="940" t="s">
        <v>317</v>
      </c>
      <c r="R130" s="940" t="s">
        <v>317</v>
      </c>
      <c r="S130" s="940" t="s">
        <v>317</v>
      </c>
      <c r="T130" s="940" t="s">
        <v>317</v>
      </c>
      <c r="U130" s="940">
        <v>100</v>
      </c>
    </row>
    <row r="131" spans="3:21" ht="19.5" x14ac:dyDescent="0.4">
      <c r="C131" s="949" t="s">
        <v>2679</v>
      </c>
      <c r="D131" s="940" t="s">
        <v>317</v>
      </c>
      <c r="E131" s="940" t="s">
        <v>317</v>
      </c>
      <c r="F131" s="940" t="s">
        <v>317</v>
      </c>
      <c r="G131" s="940" t="s">
        <v>317</v>
      </c>
      <c r="H131" s="940" t="s">
        <v>317</v>
      </c>
      <c r="I131" s="942">
        <v>40</v>
      </c>
      <c r="J131" s="943" t="s">
        <v>317</v>
      </c>
      <c r="K131" s="941" t="s">
        <v>317</v>
      </c>
      <c r="L131" s="941" t="s">
        <v>317</v>
      </c>
      <c r="M131" s="941" t="s">
        <v>317</v>
      </c>
      <c r="N131" s="941" t="s">
        <v>317</v>
      </c>
      <c r="O131" s="942">
        <v>0</v>
      </c>
      <c r="P131" s="940" t="s">
        <v>317</v>
      </c>
      <c r="Q131" s="940" t="s">
        <v>317</v>
      </c>
      <c r="R131" s="940" t="s">
        <v>317</v>
      </c>
      <c r="S131" s="940" t="s">
        <v>317</v>
      </c>
      <c r="T131" s="940" t="s">
        <v>317</v>
      </c>
      <c r="U131" s="940">
        <v>100</v>
      </c>
    </row>
    <row r="132" spans="3:21" ht="18.75" x14ac:dyDescent="0.4">
      <c r="C132" s="944" t="s">
        <v>2680</v>
      </c>
      <c r="D132" s="945">
        <v>45</v>
      </c>
      <c r="E132" s="945">
        <v>35</v>
      </c>
      <c r="F132" s="945">
        <v>31.8</v>
      </c>
      <c r="G132" s="946">
        <v>35.699999999999996</v>
      </c>
      <c r="H132" s="946">
        <v>37.5</v>
      </c>
      <c r="I132" s="947">
        <v>45</v>
      </c>
      <c r="J132" s="948">
        <v>0</v>
      </c>
      <c r="K132" s="946">
        <v>0</v>
      </c>
      <c r="L132" s="946">
        <v>16.7</v>
      </c>
      <c r="M132" s="946">
        <v>16.7</v>
      </c>
      <c r="N132" s="946">
        <v>0</v>
      </c>
      <c r="O132" s="947">
        <v>33.300000000000004</v>
      </c>
      <c r="P132" s="945">
        <v>33.333333333333329</v>
      </c>
      <c r="Q132" s="945">
        <v>35.700000000000003</v>
      </c>
      <c r="R132" s="945">
        <v>25.9</v>
      </c>
      <c r="S132" s="945">
        <v>34.5</v>
      </c>
      <c r="T132" s="945">
        <v>50</v>
      </c>
      <c r="U132" s="945">
        <v>56.699999999999996</v>
      </c>
    </row>
    <row r="133" spans="3:21" ht="18.75" x14ac:dyDescent="0.4">
      <c r="C133" s="949" t="s">
        <v>2599</v>
      </c>
      <c r="D133" s="940">
        <v>33.299999999999997</v>
      </c>
      <c r="E133" s="940">
        <v>44.4444444444444</v>
      </c>
      <c r="F133" s="940">
        <v>44.4</v>
      </c>
      <c r="G133" s="941">
        <v>44.4</v>
      </c>
      <c r="H133" s="941">
        <v>42.857142857142854</v>
      </c>
      <c r="I133" s="942">
        <v>28.599999999999998</v>
      </c>
      <c r="J133" s="943">
        <v>0</v>
      </c>
      <c r="K133" s="941">
        <v>0</v>
      </c>
      <c r="L133" s="941">
        <v>0</v>
      </c>
      <c r="M133" s="941">
        <v>0</v>
      </c>
      <c r="N133" s="941">
        <v>0</v>
      </c>
      <c r="O133" s="942">
        <v>100</v>
      </c>
      <c r="P133" s="940">
        <v>50</v>
      </c>
      <c r="Q133" s="940">
        <v>100</v>
      </c>
      <c r="R133" s="940">
        <v>25</v>
      </c>
      <c r="S133" s="940">
        <v>0</v>
      </c>
      <c r="T133" s="940">
        <v>75</v>
      </c>
      <c r="U133" s="940">
        <v>50</v>
      </c>
    </row>
    <row r="134" spans="3:21" ht="18.75" x14ac:dyDescent="0.4">
      <c r="C134" s="949" t="s">
        <v>2681</v>
      </c>
      <c r="D134" s="940">
        <v>55.6</v>
      </c>
      <c r="E134" s="940">
        <v>22.2222222222222</v>
      </c>
      <c r="F134" s="940">
        <v>22.2</v>
      </c>
      <c r="G134" s="941">
        <v>33.300000000000004</v>
      </c>
      <c r="H134" s="941">
        <v>11.111111111111111</v>
      </c>
      <c r="I134" s="942">
        <v>33.300000000000004</v>
      </c>
      <c r="J134" s="943">
        <v>0</v>
      </c>
      <c r="K134" s="941">
        <v>0</v>
      </c>
      <c r="L134" s="941">
        <v>0</v>
      </c>
      <c r="M134" s="941">
        <v>100</v>
      </c>
      <c r="N134" s="941">
        <v>0</v>
      </c>
      <c r="O134" s="942">
        <v>0</v>
      </c>
      <c r="P134" s="940">
        <v>50</v>
      </c>
      <c r="Q134" s="940">
        <v>16.7</v>
      </c>
      <c r="R134" s="940">
        <v>16.7</v>
      </c>
      <c r="S134" s="940">
        <v>0</v>
      </c>
      <c r="T134" s="940">
        <v>57.099999999999994</v>
      </c>
      <c r="U134" s="940">
        <v>57.099999999999994</v>
      </c>
    </row>
    <row r="135" spans="3:21" ht="18.75" x14ac:dyDescent="0.4">
      <c r="C135" s="949" t="s">
        <v>2682</v>
      </c>
      <c r="D135" s="940">
        <v>28.6</v>
      </c>
      <c r="E135" s="940">
        <v>28.571428571428601</v>
      </c>
      <c r="F135" s="940">
        <v>28.6</v>
      </c>
      <c r="G135" s="941">
        <v>28.599999999999998</v>
      </c>
      <c r="H135" s="941">
        <v>57.142857142857139</v>
      </c>
      <c r="I135" s="942">
        <v>71.399999999999991</v>
      </c>
      <c r="J135" s="943">
        <v>0</v>
      </c>
      <c r="K135" s="941">
        <v>0</v>
      </c>
      <c r="L135" s="941">
        <v>100</v>
      </c>
      <c r="M135" s="941">
        <v>0</v>
      </c>
      <c r="N135" s="941">
        <v>0</v>
      </c>
      <c r="O135" s="942">
        <v>0</v>
      </c>
      <c r="P135" s="940">
        <v>16.666666666666664</v>
      </c>
      <c r="Q135" s="940">
        <v>33.299999999999997</v>
      </c>
      <c r="R135" s="940">
        <v>20</v>
      </c>
      <c r="S135" s="940">
        <v>83.3</v>
      </c>
      <c r="T135" s="940">
        <v>28.599999999999998</v>
      </c>
      <c r="U135" s="940">
        <v>57.099999999999994</v>
      </c>
    </row>
    <row r="136" spans="3:21" ht="18.75" x14ac:dyDescent="0.4">
      <c r="C136" s="949" t="s">
        <v>2683</v>
      </c>
      <c r="D136" s="940">
        <v>40</v>
      </c>
      <c r="E136" s="940">
        <v>40</v>
      </c>
      <c r="F136" s="940">
        <v>20</v>
      </c>
      <c r="G136" s="941">
        <v>40</v>
      </c>
      <c r="H136" s="941">
        <v>40</v>
      </c>
      <c r="I136" s="942">
        <v>40</v>
      </c>
      <c r="J136" s="943">
        <v>0</v>
      </c>
      <c r="K136" s="941">
        <v>0</v>
      </c>
      <c r="L136" s="941">
        <v>0</v>
      </c>
      <c r="M136" s="941">
        <v>0</v>
      </c>
      <c r="N136" s="941">
        <v>0</v>
      </c>
      <c r="O136" s="942">
        <v>0</v>
      </c>
      <c r="P136" s="940">
        <v>0</v>
      </c>
      <c r="Q136" s="940">
        <v>50</v>
      </c>
      <c r="R136" s="940">
        <v>0</v>
      </c>
      <c r="S136" s="940">
        <v>50</v>
      </c>
      <c r="T136" s="940">
        <v>50</v>
      </c>
      <c r="U136" s="940">
        <v>50</v>
      </c>
    </row>
    <row r="137" spans="3:21" ht="18.75" x14ac:dyDescent="0.4">
      <c r="C137" s="949" t="s">
        <v>2684</v>
      </c>
      <c r="D137" s="940">
        <v>60</v>
      </c>
      <c r="E137" s="940">
        <v>20</v>
      </c>
      <c r="F137" s="940">
        <v>42.9</v>
      </c>
      <c r="G137" s="941">
        <v>20</v>
      </c>
      <c r="H137" s="941">
        <v>40</v>
      </c>
      <c r="I137" s="942">
        <v>60</v>
      </c>
      <c r="J137" s="943">
        <v>0</v>
      </c>
      <c r="K137" s="941">
        <v>0</v>
      </c>
      <c r="L137" s="941">
        <v>0</v>
      </c>
      <c r="M137" s="941">
        <v>0</v>
      </c>
      <c r="N137" s="941">
        <v>0</v>
      </c>
      <c r="O137" s="942">
        <v>0</v>
      </c>
      <c r="P137" s="941">
        <v>66.666666666666657</v>
      </c>
      <c r="Q137" s="941">
        <v>0</v>
      </c>
      <c r="R137" s="941">
        <v>100</v>
      </c>
      <c r="S137" s="941">
        <v>66.7</v>
      </c>
      <c r="T137" s="941">
        <v>66.7</v>
      </c>
      <c r="U137" s="941">
        <v>66.7</v>
      </c>
    </row>
    <row r="138" spans="3:21" ht="18.75" x14ac:dyDescent="0.4">
      <c r="C138" s="951" t="s">
        <v>2685</v>
      </c>
      <c r="D138" s="952">
        <v>60</v>
      </c>
      <c r="E138" s="952">
        <v>60</v>
      </c>
      <c r="F138" s="952">
        <v>28.6</v>
      </c>
      <c r="G138" s="952">
        <v>42.9</v>
      </c>
      <c r="H138" s="952">
        <v>42.857142857142854</v>
      </c>
      <c r="I138" s="953">
        <v>42.9</v>
      </c>
      <c r="J138" s="954">
        <v>0</v>
      </c>
      <c r="K138" s="952">
        <v>0</v>
      </c>
      <c r="L138" s="952">
        <v>0</v>
      </c>
      <c r="M138" s="952">
        <v>0</v>
      </c>
      <c r="N138" s="952">
        <v>0</v>
      </c>
      <c r="O138" s="953">
        <v>100</v>
      </c>
      <c r="P138" s="952">
        <v>20</v>
      </c>
      <c r="Q138" s="952">
        <v>20</v>
      </c>
      <c r="R138" s="952">
        <v>20</v>
      </c>
      <c r="S138" s="952">
        <v>20</v>
      </c>
      <c r="T138" s="952">
        <v>40</v>
      </c>
      <c r="U138" s="952">
        <v>60</v>
      </c>
    </row>
    <row r="139" spans="3:21" ht="18.75" x14ac:dyDescent="0.4">
      <c r="C139" s="467"/>
      <c r="D139" s="467"/>
      <c r="E139" s="467"/>
      <c r="F139" s="467"/>
      <c r="G139" s="940"/>
      <c r="H139" s="467"/>
      <c r="I139" s="467"/>
      <c r="J139" s="467"/>
      <c r="K139" s="467"/>
      <c r="L139" s="467"/>
      <c r="M139" s="955"/>
      <c r="N139" s="467"/>
      <c r="O139" s="467"/>
      <c r="P139" s="467"/>
      <c r="Q139" s="467"/>
      <c r="R139" s="5"/>
      <c r="S139" s="5"/>
      <c r="T139" s="5"/>
      <c r="U139" s="17"/>
    </row>
    <row r="140" spans="3:21" ht="19.5" x14ac:dyDescent="0.4">
      <c r="C140" s="467" t="s">
        <v>2686</v>
      </c>
      <c r="D140" s="467"/>
      <c r="E140" s="467"/>
      <c r="F140" s="467"/>
      <c r="G140" s="940"/>
      <c r="H140" s="467"/>
      <c r="I140" s="467"/>
      <c r="J140" s="467"/>
      <c r="K140" s="467"/>
      <c r="L140" s="467"/>
      <c r="M140" s="955"/>
      <c r="N140" s="467"/>
      <c r="O140" s="467"/>
      <c r="P140" s="467"/>
      <c r="Q140" s="467"/>
      <c r="R140" s="5"/>
      <c r="S140" s="5"/>
      <c r="T140" s="5"/>
      <c r="U140" s="17"/>
    </row>
    <row r="141" spans="3:21" ht="28.5" customHeight="1" x14ac:dyDescent="0.4">
      <c r="C141" s="467" t="s">
        <v>2687</v>
      </c>
      <c r="D141" s="467"/>
      <c r="E141" s="467"/>
      <c r="F141" s="467"/>
      <c r="G141" s="940"/>
      <c r="H141" s="467"/>
      <c r="I141" s="467"/>
      <c r="J141" s="467"/>
      <c r="K141" s="467"/>
      <c r="L141" s="467"/>
      <c r="M141" s="955"/>
      <c r="N141" s="467"/>
      <c r="O141" s="467"/>
      <c r="P141" s="467"/>
      <c r="Q141" s="467"/>
      <c r="R141" s="5"/>
      <c r="S141" s="5"/>
      <c r="T141" s="5"/>
      <c r="U141" s="17"/>
    </row>
    <row r="142" spans="3:21" ht="18.75" x14ac:dyDescent="0.4">
      <c r="C142" s="933" t="s">
        <v>2688</v>
      </c>
      <c r="D142" s="467"/>
      <c r="E142" s="467"/>
      <c r="F142" s="467"/>
      <c r="G142" s="940"/>
      <c r="H142" s="950"/>
      <c r="I142" s="950"/>
      <c r="J142" s="467"/>
      <c r="K142" s="467"/>
      <c r="L142" s="467"/>
      <c r="M142" s="467"/>
      <c r="N142" s="467"/>
      <c r="O142" s="467"/>
      <c r="P142" s="467"/>
      <c r="Q142" s="467"/>
      <c r="R142" s="5"/>
      <c r="S142" s="5"/>
      <c r="T142" s="5"/>
      <c r="U142" s="17"/>
    </row>
    <row r="143" spans="3:21" ht="16.5" x14ac:dyDescent="0.35">
      <c r="C143" s="956"/>
      <c r="D143" s="957"/>
      <c r="E143" s="957"/>
      <c r="F143" s="957"/>
      <c r="G143" s="957"/>
      <c r="H143" s="957"/>
      <c r="I143" s="957"/>
      <c r="J143" s="17"/>
      <c r="K143" s="17"/>
      <c r="L143" s="17"/>
      <c r="M143" s="17"/>
      <c r="N143" s="17"/>
      <c r="O143" s="17"/>
      <c r="P143" s="17"/>
      <c r="Q143" s="17"/>
      <c r="R143" s="17"/>
      <c r="S143" s="17"/>
      <c r="T143" s="17"/>
      <c r="U143" s="17"/>
    </row>
    <row r="144" spans="3:21" ht="11.25" customHeight="1" x14ac:dyDescent="0.35">
      <c r="C144" s="958" t="s">
        <v>2689</v>
      </c>
      <c r="D144" s="958"/>
      <c r="E144" s="958"/>
      <c r="F144" s="958"/>
      <c r="G144" s="958"/>
      <c r="H144" s="958"/>
      <c r="I144" s="958"/>
      <c r="J144" s="958"/>
      <c r="K144" s="17"/>
      <c r="L144" s="17"/>
      <c r="M144" s="17"/>
      <c r="N144" s="17"/>
      <c r="O144" s="17"/>
      <c r="P144" s="17"/>
      <c r="Q144" s="17"/>
      <c r="R144" s="17"/>
      <c r="S144" s="17"/>
      <c r="T144" s="17"/>
      <c r="U144" s="17"/>
    </row>
    <row r="145" spans="3:21" ht="11.25" customHeight="1" x14ac:dyDescent="0.35">
      <c r="C145" s="959" t="s">
        <v>2690</v>
      </c>
      <c r="D145" s="959">
        <v>2002</v>
      </c>
      <c r="E145" s="959">
        <v>2006</v>
      </c>
      <c r="F145" s="959">
        <v>2010</v>
      </c>
      <c r="G145" s="959">
        <v>2014</v>
      </c>
      <c r="H145" s="959">
        <v>2018</v>
      </c>
      <c r="I145" s="959">
        <v>2022</v>
      </c>
      <c r="J145" s="960"/>
      <c r="K145" s="17"/>
      <c r="L145" s="17"/>
      <c r="M145" s="17"/>
      <c r="N145" s="17"/>
      <c r="O145" s="17"/>
      <c r="P145" s="17"/>
      <c r="Q145" s="17"/>
      <c r="R145" s="17"/>
      <c r="S145" s="17"/>
      <c r="T145" s="17"/>
      <c r="U145" s="17"/>
    </row>
    <row r="146" spans="3:21" ht="18.75" x14ac:dyDescent="0.35">
      <c r="C146" s="961" t="s">
        <v>1104</v>
      </c>
      <c r="D146" s="962">
        <v>57</v>
      </c>
      <c r="E146" s="962">
        <v>57</v>
      </c>
      <c r="F146" s="962">
        <v>57</v>
      </c>
      <c r="G146" s="962">
        <v>57</v>
      </c>
      <c r="H146" s="962">
        <v>57</v>
      </c>
      <c r="I146" s="962">
        <v>57</v>
      </c>
      <c r="J146" s="963"/>
      <c r="K146" s="17"/>
      <c r="L146" s="17"/>
      <c r="M146" s="17"/>
      <c r="N146" s="17"/>
      <c r="O146" s="17"/>
      <c r="P146" s="17"/>
      <c r="Q146" s="17"/>
      <c r="R146" s="17"/>
      <c r="S146" s="17"/>
      <c r="T146" s="17"/>
      <c r="U146" s="17"/>
    </row>
    <row r="147" spans="3:21" ht="18.75" x14ac:dyDescent="0.35">
      <c r="C147" s="964" t="s">
        <v>2691</v>
      </c>
      <c r="D147" s="965">
        <v>2</v>
      </c>
      <c r="E147" s="965">
        <v>1</v>
      </c>
      <c r="F147" s="965">
        <v>0</v>
      </c>
      <c r="G147" s="965">
        <v>2</v>
      </c>
      <c r="H147" s="965">
        <v>2</v>
      </c>
      <c r="I147" s="965">
        <v>3</v>
      </c>
      <c r="J147" s="966"/>
      <c r="K147" s="17"/>
      <c r="L147" s="17"/>
      <c r="M147" s="17"/>
      <c r="N147" s="17"/>
      <c r="O147" s="17"/>
      <c r="P147" s="17"/>
      <c r="Q147" s="17"/>
      <c r="R147" s="17"/>
      <c r="S147" s="17"/>
      <c r="T147" s="17"/>
      <c r="U147" s="17"/>
    </row>
    <row r="148" spans="3:21" ht="18.75" x14ac:dyDescent="0.35">
      <c r="C148" s="964" t="s">
        <v>2692</v>
      </c>
      <c r="D148" s="965">
        <v>11</v>
      </c>
      <c r="E148" s="965">
        <v>7</v>
      </c>
      <c r="F148" s="965">
        <v>7</v>
      </c>
      <c r="G148" s="965">
        <v>7</v>
      </c>
      <c r="H148" s="965">
        <v>17</v>
      </c>
      <c r="I148" s="965">
        <v>13</v>
      </c>
      <c r="J148" s="966"/>
      <c r="K148" s="17"/>
      <c r="L148" s="17"/>
      <c r="M148" s="17"/>
      <c r="N148" s="17"/>
      <c r="O148" s="17"/>
      <c r="P148" s="17"/>
      <c r="Q148" s="17"/>
      <c r="R148" s="17"/>
      <c r="S148" s="17"/>
      <c r="T148" s="17"/>
      <c r="U148" s="17"/>
    </row>
    <row r="149" spans="3:21" ht="18.75" x14ac:dyDescent="0.35">
      <c r="C149" s="964" t="s">
        <v>2693</v>
      </c>
      <c r="D149" s="965">
        <v>25</v>
      </c>
      <c r="E149" s="965">
        <v>17</v>
      </c>
      <c r="F149" s="965">
        <v>21</v>
      </c>
      <c r="G149" s="965">
        <v>18</v>
      </c>
      <c r="H149" s="965">
        <v>17</v>
      </c>
      <c r="I149" s="965">
        <v>13</v>
      </c>
      <c r="J149" s="966"/>
      <c r="K149" s="17"/>
      <c r="L149" s="17"/>
      <c r="M149" s="17"/>
      <c r="N149" s="17"/>
      <c r="O149" s="17"/>
      <c r="P149" s="17"/>
      <c r="Q149" s="17"/>
      <c r="R149" s="17"/>
      <c r="S149" s="17"/>
      <c r="T149" s="17"/>
      <c r="U149" s="17"/>
    </row>
    <row r="150" spans="3:21" ht="18.75" x14ac:dyDescent="0.35">
      <c r="C150" s="964" t="s">
        <v>2694</v>
      </c>
      <c r="D150" s="965">
        <v>11</v>
      </c>
      <c r="E150" s="965">
        <v>23</v>
      </c>
      <c r="F150" s="965">
        <v>24</v>
      </c>
      <c r="G150" s="965">
        <v>17</v>
      </c>
      <c r="H150" s="965">
        <v>11</v>
      </c>
      <c r="I150" s="965">
        <v>18</v>
      </c>
      <c r="J150" s="966"/>
      <c r="K150" s="17"/>
      <c r="L150" s="17"/>
      <c r="M150" s="17"/>
      <c r="N150" s="17"/>
      <c r="O150" s="17"/>
      <c r="P150" s="17"/>
      <c r="Q150" s="17"/>
      <c r="R150" s="17"/>
      <c r="S150" s="17"/>
      <c r="T150" s="17"/>
      <c r="U150" s="17"/>
    </row>
    <row r="151" spans="3:21" ht="18.75" x14ac:dyDescent="0.35">
      <c r="C151" s="964" t="s">
        <v>2695</v>
      </c>
      <c r="D151" s="965">
        <v>8</v>
      </c>
      <c r="E151" s="965">
        <v>9</v>
      </c>
      <c r="F151" s="965">
        <v>5</v>
      </c>
      <c r="G151" s="965">
        <v>13</v>
      </c>
      <c r="H151" s="965">
        <v>10</v>
      </c>
      <c r="I151" s="965">
        <v>10</v>
      </c>
      <c r="J151" s="966"/>
      <c r="K151" s="72"/>
      <c r="L151" s="72"/>
      <c r="M151" s="72"/>
      <c r="N151" s="17"/>
      <c r="O151" s="17"/>
      <c r="P151" s="17"/>
      <c r="Q151" s="17"/>
      <c r="R151" s="17"/>
      <c r="S151" s="17"/>
      <c r="T151" s="17"/>
      <c r="U151" s="17"/>
    </row>
    <row r="152" spans="3:21" ht="18.75" x14ac:dyDescent="0.35">
      <c r="C152" s="964"/>
      <c r="D152" s="965"/>
      <c r="E152" s="965"/>
      <c r="F152" s="965"/>
      <c r="G152" s="965"/>
      <c r="H152" s="965"/>
      <c r="I152" s="965"/>
      <c r="J152" s="966"/>
      <c r="K152" s="72"/>
      <c r="L152" s="72"/>
      <c r="M152" s="72"/>
      <c r="N152" s="17"/>
      <c r="O152" s="17"/>
      <c r="P152" s="17"/>
      <c r="Q152" s="17"/>
      <c r="R152" s="17"/>
      <c r="S152" s="17"/>
      <c r="T152" s="17"/>
      <c r="U152" s="17"/>
    </row>
    <row r="153" spans="3:21" ht="18.75" x14ac:dyDescent="0.35">
      <c r="C153" s="961" t="s">
        <v>2696</v>
      </c>
      <c r="D153" s="962">
        <v>37</v>
      </c>
      <c r="E153" s="962">
        <v>35</v>
      </c>
      <c r="F153" s="962">
        <v>35</v>
      </c>
      <c r="G153" s="962">
        <v>38</v>
      </c>
      <c r="H153" s="962">
        <v>31</v>
      </c>
      <c r="I153" s="962">
        <v>30</v>
      </c>
      <c r="J153" s="963"/>
      <c r="K153" s="17"/>
      <c r="L153" s="17"/>
      <c r="M153" s="17"/>
      <c r="N153" s="17"/>
      <c r="O153" s="17"/>
      <c r="P153" s="17"/>
      <c r="Q153" s="17"/>
      <c r="R153" s="17"/>
      <c r="S153" s="17"/>
      <c r="T153" s="17"/>
      <c r="U153" s="17"/>
    </row>
    <row r="154" spans="3:21" ht="18.75" x14ac:dyDescent="0.35">
      <c r="C154" s="964" t="s">
        <v>2691</v>
      </c>
      <c r="D154" s="965">
        <v>0</v>
      </c>
      <c r="E154" s="965">
        <v>0</v>
      </c>
      <c r="F154" s="965">
        <v>0</v>
      </c>
      <c r="G154" s="965">
        <v>0</v>
      </c>
      <c r="H154" s="965">
        <v>1</v>
      </c>
      <c r="I154" s="965">
        <v>1</v>
      </c>
      <c r="J154" s="966"/>
      <c r="K154" s="17"/>
      <c r="L154" s="17"/>
      <c r="M154" s="17"/>
      <c r="N154" s="17"/>
      <c r="O154" s="17"/>
      <c r="P154" s="17"/>
      <c r="Q154" s="17"/>
      <c r="R154" s="17"/>
      <c r="S154" s="17"/>
      <c r="T154" s="17"/>
      <c r="U154" s="17"/>
    </row>
    <row r="155" spans="3:21" ht="18.75" x14ac:dyDescent="0.35">
      <c r="C155" s="964" t="s">
        <v>2692</v>
      </c>
      <c r="D155" s="965">
        <v>7</v>
      </c>
      <c r="E155" s="965">
        <v>6</v>
      </c>
      <c r="F155" s="965">
        <v>5</v>
      </c>
      <c r="G155" s="965">
        <v>6</v>
      </c>
      <c r="H155" s="965">
        <v>6</v>
      </c>
      <c r="I155" s="965">
        <v>8</v>
      </c>
      <c r="J155" s="966"/>
      <c r="K155" s="17"/>
      <c r="L155" s="17"/>
      <c r="M155" s="17"/>
      <c r="N155" s="17"/>
      <c r="O155" s="17"/>
      <c r="P155" s="17"/>
      <c r="Q155" s="17"/>
      <c r="R155" s="17"/>
      <c r="S155" s="17"/>
      <c r="T155" s="17"/>
      <c r="U155" s="17"/>
    </row>
    <row r="156" spans="3:21" ht="18.75" x14ac:dyDescent="0.35">
      <c r="C156" s="964" t="s">
        <v>2693</v>
      </c>
      <c r="D156" s="965">
        <v>20</v>
      </c>
      <c r="E156" s="965">
        <v>8</v>
      </c>
      <c r="F156" s="965">
        <v>11</v>
      </c>
      <c r="G156" s="965">
        <v>13</v>
      </c>
      <c r="H156" s="965">
        <v>10</v>
      </c>
      <c r="I156" s="965">
        <v>7</v>
      </c>
      <c r="J156" s="966"/>
      <c r="K156" s="17"/>
      <c r="L156" s="17"/>
      <c r="M156" s="17"/>
      <c r="N156" s="17"/>
      <c r="O156" s="17"/>
      <c r="P156" s="17"/>
      <c r="Q156" s="17"/>
      <c r="R156" s="17"/>
      <c r="S156" s="17"/>
      <c r="T156" s="17"/>
      <c r="U156" s="17"/>
    </row>
    <row r="157" spans="3:21" ht="18.75" x14ac:dyDescent="0.35">
      <c r="C157" s="964" t="s">
        <v>2694</v>
      </c>
      <c r="D157" s="965">
        <v>6</v>
      </c>
      <c r="E157" s="965">
        <v>17</v>
      </c>
      <c r="F157" s="965">
        <v>15</v>
      </c>
      <c r="G157" s="965">
        <v>12</v>
      </c>
      <c r="H157" s="965">
        <v>7</v>
      </c>
      <c r="I157" s="965">
        <v>8</v>
      </c>
      <c r="J157" s="966"/>
      <c r="K157" s="17"/>
      <c r="L157" s="17"/>
      <c r="M157" s="17"/>
      <c r="N157" s="17"/>
      <c r="O157" s="17"/>
      <c r="P157" s="17"/>
      <c r="Q157" s="17"/>
      <c r="R157" s="17"/>
      <c r="S157" s="17"/>
      <c r="T157" s="17"/>
      <c r="U157" s="17"/>
    </row>
    <row r="158" spans="3:21" ht="18.75" x14ac:dyDescent="0.35">
      <c r="C158" s="964" t="s">
        <v>2695</v>
      </c>
      <c r="D158" s="965">
        <v>4</v>
      </c>
      <c r="E158" s="965">
        <v>4</v>
      </c>
      <c r="F158" s="965">
        <v>4</v>
      </c>
      <c r="G158" s="965">
        <v>7</v>
      </c>
      <c r="H158" s="965">
        <v>7</v>
      </c>
      <c r="I158" s="965">
        <v>6</v>
      </c>
      <c r="J158" s="966"/>
      <c r="K158" s="17"/>
      <c r="L158" s="17"/>
      <c r="M158" s="17"/>
      <c r="N158" s="17"/>
      <c r="O158" s="17"/>
      <c r="P158" s="17"/>
      <c r="Q158" s="17"/>
      <c r="R158" s="17"/>
      <c r="S158" s="17"/>
      <c r="T158" s="17"/>
      <c r="U158" s="17"/>
    </row>
    <row r="159" spans="3:21" ht="18.75" x14ac:dyDescent="0.35">
      <c r="C159" s="964"/>
      <c r="D159" s="965"/>
      <c r="E159" s="965"/>
      <c r="F159" s="965"/>
      <c r="G159" s="965"/>
      <c r="H159" s="965"/>
      <c r="I159" s="965"/>
      <c r="J159" s="966"/>
      <c r="K159" s="17"/>
      <c r="L159" s="17"/>
      <c r="M159" s="17"/>
      <c r="N159" s="17"/>
      <c r="O159" s="17"/>
      <c r="P159" s="17"/>
      <c r="Q159" s="17"/>
      <c r="R159" s="17"/>
      <c r="S159" s="17"/>
      <c r="T159" s="17"/>
      <c r="U159" s="17"/>
    </row>
    <row r="160" spans="3:21" ht="18.75" x14ac:dyDescent="0.35">
      <c r="C160" s="961" t="s">
        <v>2697</v>
      </c>
      <c r="D160" s="962">
        <v>20</v>
      </c>
      <c r="E160" s="962">
        <v>22</v>
      </c>
      <c r="F160" s="962">
        <v>22</v>
      </c>
      <c r="G160" s="962">
        <v>19</v>
      </c>
      <c r="H160" s="962">
        <v>26</v>
      </c>
      <c r="I160" s="962">
        <v>27</v>
      </c>
      <c r="J160" s="963"/>
      <c r="K160" s="17"/>
      <c r="L160" s="17"/>
      <c r="M160" s="17"/>
      <c r="N160" s="17"/>
      <c r="O160" s="17"/>
      <c r="P160" s="17"/>
      <c r="Q160" s="17"/>
      <c r="R160" s="17"/>
      <c r="S160" s="17"/>
      <c r="T160" s="17"/>
      <c r="U160" s="17"/>
    </row>
    <row r="161" spans="3:21" ht="18.75" x14ac:dyDescent="0.35">
      <c r="C161" s="964" t="s">
        <v>2691</v>
      </c>
      <c r="D161" s="965">
        <v>2</v>
      </c>
      <c r="E161" s="965">
        <v>1</v>
      </c>
      <c r="F161" s="965">
        <v>0</v>
      </c>
      <c r="G161" s="965">
        <v>2</v>
      </c>
      <c r="H161" s="965">
        <v>1</v>
      </c>
      <c r="I161" s="965">
        <v>2</v>
      </c>
      <c r="J161" s="966"/>
      <c r="K161" s="17"/>
      <c r="L161" s="17"/>
      <c r="M161" s="17"/>
      <c r="N161" s="17"/>
      <c r="O161" s="17"/>
      <c r="P161" s="17"/>
      <c r="Q161" s="17"/>
      <c r="R161" s="17"/>
      <c r="S161" s="17"/>
      <c r="T161" s="17"/>
      <c r="U161" s="17"/>
    </row>
    <row r="162" spans="3:21" ht="18.75" x14ac:dyDescent="0.35">
      <c r="C162" s="964" t="s">
        <v>2692</v>
      </c>
      <c r="D162" s="965">
        <v>4</v>
      </c>
      <c r="E162" s="965">
        <v>1</v>
      </c>
      <c r="F162" s="965">
        <v>2</v>
      </c>
      <c r="G162" s="965">
        <v>1</v>
      </c>
      <c r="H162" s="965">
        <v>11</v>
      </c>
      <c r="I162" s="965">
        <v>5</v>
      </c>
      <c r="J162" s="966"/>
      <c r="K162" s="17"/>
      <c r="L162" s="17"/>
      <c r="M162" s="17"/>
      <c r="N162" s="17"/>
      <c r="O162" s="17"/>
      <c r="P162" s="17"/>
      <c r="Q162" s="17"/>
      <c r="R162" s="17"/>
      <c r="S162" s="17"/>
      <c r="T162" s="17"/>
      <c r="U162" s="17"/>
    </row>
    <row r="163" spans="3:21" ht="12.75" customHeight="1" x14ac:dyDescent="0.35">
      <c r="C163" s="964" t="s">
        <v>2693</v>
      </c>
      <c r="D163" s="965">
        <v>5</v>
      </c>
      <c r="E163" s="965">
        <v>9</v>
      </c>
      <c r="F163" s="965">
        <v>10</v>
      </c>
      <c r="G163" s="965">
        <v>5</v>
      </c>
      <c r="H163" s="965">
        <v>7</v>
      </c>
      <c r="I163" s="965">
        <v>6</v>
      </c>
      <c r="J163" s="966"/>
      <c r="K163" s="17"/>
      <c r="L163" s="17"/>
      <c r="M163" s="17"/>
      <c r="N163" s="17"/>
      <c r="O163" s="17"/>
      <c r="P163" s="17"/>
      <c r="Q163" s="17"/>
      <c r="R163" s="17"/>
      <c r="S163" s="17"/>
      <c r="T163" s="17"/>
      <c r="U163" s="17"/>
    </row>
    <row r="164" spans="3:21" ht="18.75" x14ac:dyDescent="0.35">
      <c r="C164" s="964" t="s">
        <v>2694</v>
      </c>
      <c r="D164" s="965">
        <v>5</v>
      </c>
      <c r="E164" s="965">
        <v>6</v>
      </c>
      <c r="F164" s="965">
        <v>9</v>
      </c>
      <c r="G164" s="965">
        <v>5</v>
      </c>
      <c r="H164" s="965">
        <v>4</v>
      </c>
      <c r="I164" s="965">
        <v>10</v>
      </c>
      <c r="J164" s="966"/>
      <c r="K164" s="17"/>
      <c r="L164" s="17"/>
      <c r="M164" s="17"/>
      <c r="N164" s="17"/>
      <c r="O164" s="17"/>
      <c r="P164" s="17"/>
      <c r="Q164" s="17"/>
      <c r="R164" s="17"/>
      <c r="S164" s="17"/>
      <c r="T164" s="17"/>
      <c r="U164" s="17"/>
    </row>
    <row r="165" spans="3:21" ht="18.75" x14ac:dyDescent="0.35">
      <c r="C165" s="967" t="s">
        <v>2695</v>
      </c>
      <c r="D165" s="968">
        <v>4</v>
      </c>
      <c r="E165" s="968">
        <v>5</v>
      </c>
      <c r="F165" s="968">
        <v>1</v>
      </c>
      <c r="G165" s="968">
        <v>6</v>
      </c>
      <c r="H165" s="968">
        <v>3</v>
      </c>
      <c r="I165" s="968">
        <v>4</v>
      </c>
      <c r="J165" s="969"/>
      <c r="K165" s="17"/>
      <c r="L165" s="17"/>
      <c r="M165" s="17"/>
      <c r="N165" s="970"/>
      <c r="O165" s="970"/>
      <c r="P165" s="970"/>
      <c r="Q165" s="970"/>
      <c r="R165" s="17"/>
      <c r="S165" s="17"/>
      <c r="T165" s="17"/>
      <c r="U165" s="17"/>
    </row>
    <row r="166" spans="3:21" ht="18.75" x14ac:dyDescent="0.4">
      <c r="C166" s="933"/>
      <c r="D166" s="933"/>
      <c r="E166" s="933"/>
      <c r="F166" s="933"/>
      <c r="G166" s="933"/>
      <c r="H166" s="933"/>
      <c r="I166" s="933"/>
      <c r="J166" s="5"/>
      <c r="K166" s="17"/>
      <c r="L166" s="17"/>
      <c r="M166" s="17"/>
      <c r="N166" s="971"/>
      <c r="O166" s="971"/>
      <c r="P166" s="971"/>
      <c r="Q166" s="971"/>
      <c r="R166" s="17"/>
      <c r="S166" s="17"/>
      <c r="T166" s="17"/>
      <c r="U166" s="17"/>
    </row>
    <row r="167" spans="3:21" s="17" customFormat="1" ht="18.75" x14ac:dyDescent="0.4">
      <c r="C167" s="933" t="s">
        <v>2594</v>
      </c>
      <c r="D167" s="933"/>
      <c r="E167" s="933"/>
      <c r="F167" s="933"/>
      <c r="G167" s="933"/>
      <c r="H167" s="933"/>
      <c r="I167" s="933"/>
      <c r="J167" s="5"/>
    </row>
    <row r="168" spans="3:21" s="17" customFormat="1" ht="17.45" customHeight="1" x14ac:dyDescent="0.35">
      <c r="C168" s="972"/>
      <c r="D168" s="973"/>
      <c r="E168" s="973"/>
      <c r="F168" s="974"/>
      <c r="G168" s="974"/>
      <c r="H168" s="974"/>
      <c r="I168" s="974"/>
      <c r="J168" s="974"/>
      <c r="K168" s="975"/>
      <c r="L168" s="975"/>
      <c r="M168" s="975"/>
      <c r="N168" s="975"/>
      <c r="O168" s="975"/>
      <c r="P168" s="975"/>
      <c r="Q168" s="975"/>
    </row>
    <row r="169" spans="3:21" s="17" customFormat="1" ht="16.5" x14ac:dyDescent="0.35">
      <c r="C169" s="956"/>
      <c r="D169" s="976"/>
      <c r="E169" s="976"/>
      <c r="F169" s="977"/>
      <c r="G169" s="977"/>
      <c r="H169" s="977"/>
      <c r="I169" s="977"/>
      <c r="J169" s="977"/>
      <c r="K169" s="977"/>
      <c r="L169" s="977"/>
      <c r="M169" s="977"/>
      <c r="N169" s="976"/>
      <c r="O169" s="976"/>
      <c r="P169" s="976"/>
      <c r="Q169" s="976"/>
    </row>
    <row r="170" spans="3:21" ht="16.5" x14ac:dyDescent="0.35">
      <c r="C170" s="2786" t="s">
        <v>2698</v>
      </c>
      <c r="D170" s="2786"/>
      <c r="E170" s="2786"/>
      <c r="F170" s="2786"/>
      <c r="G170" s="2786"/>
      <c r="H170" s="2786"/>
      <c r="I170" s="2786"/>
      <c r="J170" s="2786"/>
      <c r="K170" s="2786"/>
      <c r="L170" s="2786"/>
      <c r="M170" s="2786"/>
      <c r="N170" s="2786"/>
      <c r="O170" s="2786"/>
      <c r="P170" s="2786"/>
      <c r="Q170" s="2786"/>
      <c r="R170" s="2786"/>
      <c r="S170" s="2786"/>
      <c r="T170" s="2786"/>
      <c r="U170" s="17"/>
    </row>
    <row r="171" spans="3:21" ht="18.75" x14ac:dyDescent="0.4">
      <c r="C171" s="2770" t="s">
        <v>2690</v>
      </c>
      <c r="D171" s="2778" t="s">
        <v>2699</v>
      </c>
      <c r="E171" s="2778"/>
      <c r="F171" s="2778"/>
      <c r="G171" s="2778"/>
      <c r="H171" s="2778"/>
      <c r="I171" s="2779"/>
      <c r="J171" s="2780" t="s">
        <v>2700</v>
      </c>
      <c r="K171" s="2778"/>
      <c r="L171" s="2778"/>
      <c r="M171" s="2778"/>
      <c r="N171" s="2778"/>
      <c r="O171" s="2779"/>
      <c r="P171" s="2780" t="s">
        <v>2701</v>
      </c>
      <c r="Q171" s="2778"/>
      <c r="R171" s="2778"/>
      <c r="S171" s="2778"/>
      <c r="T171" s="2778"/>
      <c r="U171" s="2778"/>
    </row>
    <row r="172" spans="3:21" ht="18.75" x14ac:dyDescent="0.25">
      <c r="C172" s="2777"/>
      <c r="D172" s="935">
        <v>2002</v>
      </c>
      <c r="E172" s="935">
        <v>2006</v>
      </c>
      <c r="F172" s="935">
        <v>2010</v>
      </c>
      <c r="G172" s="935">
        <v>2016</v>
      </c>
      <c r="H172" s="978">
        <v>2020</v>
      </c>
      <c r="I172" s="979">
        <v>2024</v>
      </c>
      <c r="J172" s="935">
        <v>2002</v>
      </c>
      <c r="K172" s="935">
        <v>2006</v>
      </c>
      <c r="L172" s="935">
        <v>2010</v>
      </c>
      <c r="M172" s="935">
        <v>2016</v>
      </c>
      <c r="N172" s="978">
        <v>2020</v>
      </c>
      <c r="O172" s="979">
        <v>2024</v>
      </c>
      <c r="P172" s="935">
        <v>2002</v>
      </c>
      <c r="Q172" s="935">
        <v>2006</v>
      </c>
      <c r="R172" s="935">
        <v>2010</v>
      </c>
      <c r="S172" s="935">
        <v>2016</v>
      </c>
      <c r="T172" s="935">
        <v>2020</v>
      </c>
      <c r="U172" s="935">
        <v>2024</v>
      </c>
    </row>
    <row r="173" spans="3:21" ht="18.75" x14ac:dyDescent="0.25">
      <c r="C173" s="961" t="s">
        <v>1104</v>
      </c>
      <c r="D173" s="980">
        <v>501</v>
      </c>
      <c r="E173" s="980">
        <v>503</v>
      </c>
      <c r="F173" s="980">
        <v>495</v>
      </c>
      <c r="G173" s="980">
        <v>505</v>
      </c>
      <c r="H173" s="980">
        <v>508</v>
      </c>
      <c r="I173" s="980">
        <v>518</v>
      </c>
      <c r="J173" s="981">
        <v>81</v>
      </c>
      <c r="K173" s="980">
        <v>81</v>
      </c>
      <c r="L173" s="980">
        <v>81</v>
      </c>
      <c r="M173" s="980">
        <v>81</v>
      </c>
      <c r="N173" s="980">
        <v>82</v>
      </c>
      <c r="O173" s="980">
        <v>84</v>
      </c>
      <c r="P173" s="981">
        <v>464</v>
      </c>
      <c r="Q173" s="982">
        <v>469</v>
      </c>
      <c r="R173" s="982">
        <v>470</v>
      </c>
      <c r="S173" s="982">
        <v>480</v>
      </c>
      <c r="T173" s="982">
        <v>486</v>
      </c>
      <c r="U173" s="980">
        <v>491</v>
      </c>
    </row>
    <row r="174" spans="3:21" ht="18.75" x14ac:dyDescent="0.25">
      <c r="C174" s="964" t="s">
        <v>2691</v>
      </c>
      <c r="D174" s="983">
        <v>44</v>
      </c>
      <c r="E174" s="983">
        <v>40</v>
      </c>
      <c r="F174" s="983">
        <v>28</v>
      </c>
      <c r="G174" s="983">
        <v>28</v>
      </c>
      <c r="H174" s="983">
        <v>27</v>
      </c>
      <c r="I174" s="983">
        <v>32</v>
      </c>
      <c r="J174" s="984">
        <v>2</v>
      </c>
      <c r="K174" s="983">
        <v>3</v>
      </c>
      <c r="L174" s="983">
        <v>0</v>
      </c>
      <c r="M174" s="983">
        <v>1</v>
      </c>
      <c r="N174" s="983">
        <v>1</v>
      </c>
      <c r="O174" s="983">
        <v>1</v>
      </c>
      <c r="P174" s="984">
        <v>22</v>
      </c>
      <c r="Q174" s="985">
        <v>20</v>
      </c>
      <c r="R174" s="985">
        <v>24</v>
      </c>
      <c r="S174" s="985">
        <v>32</v>
      </c>
      <c r="T174" s="985">
        <v>29</v>
      </c>
      <c r="U174" s="983">
        <v>39</v>
      </c>
    </row>
    <row r="175" spans="3:21" ht="18.75" x14ac:dyDescent="0.25">
      <c r="C175" s="964" t="s">
        <v>2692</v>
      </c>
      <c r="D175" s="983">
        <v>107</v>
      </c>
      <c r="E175" s="983">
        <v>97</v>
      </c>
      <c r="F175" s="983">
        <v>70</v>
      </c>
      <c r="G175" s="983">
        <v>83</v>
      </c>
      <c r="H175" s="983">
        <v>111</v>
      </c>
      <c r="I175" s="983">
        <v>97</v>
      </c>
      <c r="J175" s="984">
        <v>25</v>
      </c>
      <c r="K175" s="983">
        <v>9</v>
      </c>
      <c r="L175" s="983">
        <v>6</v>
      </c>
      <c r="M175" s="983">
        <v>10</v>
      </c>
      <c r="N175" s="983">
        <v>19</v>
      </c>
      <c r="O175" s="983">
        <v>24</v>
      </c>
      <c r="P175" s="984">
        <v>112</v>
      </c>
      <c r="Q175" s="985">
        <v>57</v>
      </c>
      <c r="R175" s="985">
        <v>60</v>
      </c>
      <c r="S175" s="985">
        <v>69</v>
      </c>
      <c r="T175" s="985">
        <v>85</v>
      </c>
      <c r="U175" s="983">
        <v>82</v>
      </c>
    </row>
    <row r="176" spans="3:21" ht="18.75" x14ac:dyDescent="0.25">
      <c r="C176" s="964" t="s">
        <v>2693</v>
      </c>
      <c r="D176" s="983">
        <v>202</v>
      </c>
      <c r="E176" s="983">
        <v>186</v>
      </c>
      <c r="F176" s="983">
        <v>181</v>
      </c>
      <c r="G176" s="983">
        <v>125</v>
      </c>
      <c r="H176" s="983">
        <v>137</v>
      </c>
      <c r="I176" s="983">
        <v>129</v>
      </c>
      <c r="J176" s="984">
        <v>40</v>
      </c>
      <c r="K176" s="983">
        <v>39</v>
      </c>
      <c r="L176" s="983">
        <v>33</v>
      </c>
      <c r="M176" s="983">
        <v>19</v>
      </c>
      <c r="N176" s="983">
        <v>15</v>
      </c>
      <c r="O176" s="983">
        <v>18</v>
      </c>
      <c r="P176" s="984">
        <v>183</v>
      </c>
      <c r="Q176" s="985">
        <v>179</v>
      </c>
      <c r="R176" s="985">
        <v>164</v>
      </c>
      <c r="S176" s="985">
        <v>131</v>
      </c>
      <c r="T176" s="985">
        <v>123</v>
      </c>
      <c r="U176" s="983">
        <v>121</v>
      </c>
    </row>
    <row r="177" spans="3:21" ht="18.75" x14ac:dyDescent="0.25">
      <c r="C177" s="964" t="s">
        <v>2694</v>
      </c>
      <c r="D177" s="983">
        <v>105</v>
      </c>
      <c r="E177" s="983">
        <v>130</v>
      </c>
      <c r="F177" s="983">
        <v>166</v>
      </c>
      <c r="G177" s="983">
        <v>158</v>
      </c>
      <c r="H177" s="983">
        <v>146</v>
      </c>
      <c r="I177" s="983">
        <v>136</v>
      </c>
      <c r="J177" s="984">
        <v>12</v>
      </c>
      <c r="K177" s="983">
        <v>21</v>
      </c>
      <c r="L177" s="983">
        <v>35</v>
      </c>
      <c r="M177" s="983">
        <v>41</v>
      </c>
      <c r="N177" s="983">
        <v>30</v>
      </c>
      <c r="O177" s="983">
        <v>23</v>
      </c>
      <c r="P177" s="984">
        <v>106</v>
      </c>
      <c r="Q177" s="985">
        <v>141</v>
      </c>
      <c r="R177" s="985">
        <v>143</v>
      </c>
      <c r="S177" s="985">
        <v>165</v>
      </c>
      <c r="T177" s="985">
        <v>143</v>
      </c>
      <c r="U177" s="983">
        <v>138</v>
      </c>
    </row>
    <row r="178" spans="3:21" ht="18.75" x14ac:dyDescent="0.25">
      <c r="C178" s="964" t="s">
        <v>2695</v>
      </c>
      <c r="D178" s="983">
        <v>43</v>
      </c>
      <c r="E178" s="983">
        <v>50</v>
      </c>
      <c r="F178" s="983">
        <v>50</v>
      </c>
      <c r="G178" s="983">
        <v>111</v>
      </c>
      <c r="H178" s="983">
        <v>87</v>
      </c>
      <c r="I178" s="983">
        <v>124</v>
      </c>
      <c r="J178" s="984">
        <v>2</v>
      </c>
      <c r="K178" s="983">
        <v>9</v>
      </c>
      <c r="L178" s="983">
        <v>7</v>
      </c>
      <c r="M178" s="983">
        <v>10</v>
      </c>
      <c r="N178" s="983">
        <v>17</v>
      </c>
      <c r="O178" s="983">
        <v>18</v>
      </c>
      <c r="P178" s="984">
        <v>41</v>
      </c>
      <c r="Q178" s="985">
        <v>72</v>
      </c>
      <c r="R178" s="985">
        <v>79</v>
      </c>
      <c r="S178" s="985">
        <v>83</v>
      </c>
      <c r="T178" s="985">
        <v>106</v>
      </c>
      <c r="U178" s="983">
        <v>111</v>
      </c>
    </row>
    <row r="179" spans="3:21" ht="18.75" x14ac:dyDescent="0.25">
      <c r="C179" s="964"/>
      <c r="D179" s="983"/>
      <c r="E179" s="983"/>
      <c r="F179" s="983"/>
      <c r="G179" s="983"/>
      <c r="H179" s="983"/>
      <c r="I179" s="983"/>
      <c r="J179" s="984"/>
      <c r="K179" s="983"/>
      <c r="L179" s="983"/>
      <c r="M179" s="983"/>
      <c r="N179" s="983"/>
      <c r="O179" s="983"/>
      <c r="P179" s="984"/>
      <c r="Q179" s="983"/>
      <c r="R179" s="983"/>
      <c r="S179" s="983"/>
      <c r="T179" s="983"/>
      <c r="U179" s="983"/>
    </row>
    <row r="180" spans="3:21" ht="18.75" x14ac:dyDescent="0.25">
      <c r="C180" s="961" t="s">
        <v>2696</v>
      </c>
      <c r="D180" s="980">
        <v>269</v>
      </c>
      <c r="E180" s="980">
        <v>298</v>
      </c>
      <c r="F180" s="980">
        <v>304</v>
      </c>
      <c r="G180" s="980">
        <v>301</v>
      </c>
      <c r="H180" s="980">
        <v>207</v>
      </c>
      <c r="I180" s="980">
        <v>274</v>
      </c>
      <c r="J180" s="981">
        <v>74</v>
      </c>
      <c r="K180" s="980">
        <v>72</v>
      </c>
      <c r="L180" s="980">
        <v>71</v>
      </c>
      <c r="M180" s="980">
        <v>69</v>
      </c>
      <c r="N180" s="980">
        <v>74</v>
      </c>
      <c r="O180" s="980">
        <v>62</v>
      </c>
      <c r="P180" s="981">
        <v>332</v>
      </c>
      <c r="Q180" s="986">
        <v>337</v>
      </c>
      <c r="R180" s="986">
        <v>342</v>
      </c>
      <c r="S180" s="986">
        <v>306</v>
      </c>
      <c r="T180" s="986">
        <v>315</v>
      </c>
      <c r="U180" s="980">
        <v>254</v>
      </c>
    </row>
    <row r="181" spans="3:21" ht="18.75" x14ac:dyDescent="0.25">
      <c r="C181" s="964" t="s">
        <v>2691</v>
      </c>
      <c r="D181" s="983">
        <v>17</v>
      </c>
      <c r="E181" s="983">
        <v>18</v>
      </c>
      <c r="F181" s="983">
        <v>17</v>
      </c>
      <c r="G181" s="983">
        <v>16</v>
      </c>
      <c r="H181" s="983">
        <v>11</v>
      </c>
      <c r="I181" s="983">
        <v>17</v>
      </c>
      <c r="J181" s="984">
        <v>2</v>
      </c>
      <c r="K181" s="983">
        <v>3</v>
      </c>
      <c r="L181" s="983">
        <v>0</v>
      </c>
      <c r="M181" s="983">
        <v>1</v>
      </c>
      <c r="N181" s="983">
        <v>1</v>
      </c>
      <c r="O181" s="983">
        <v>1</v>
      </c>
      <c r="P181" s="984">
        <v>15</v>
      </c>
      <c r="Q181" s="985">
        <v>11</v>
      </c>
      <c r="R181" s="985">
        <v>17</v>
      </c>
      <c r="S181" s="985">
        <v>20</v>
      </c>
      <c r="T181" s="985">
        <v>22</v>
      </c>
      <c r="U181" s="983">
        <v>21</v>
      </c>
    </row>
    <row r="182" spans="3:21" ht="18.75" x14ac:dyDescent="0.25">
      <c r="C182" s="964" t="s">
        <v>2692</v>
      </c>
      <c r="D182" s="983">
        <v>55</v>
      </c>
      <c r="E182" s="983">
        <v>52</v>
      </c>
      <c r="F182" s="983">
        <v>44</v>
      </c>
      <c r="G182" s="983">
        <v>46</v>
      </c>
      <c r="H182" s="983">
        <v>50</v>
      </c>
      <c r="I182" s="983">
        <v>50</v>
      </c>
      <c r="J182" s="984">
        <v>22</v>
      </c>
      <c r="K182" s="983">
        <v>5</v>
      </c>
      <c r="L182" s="983">
        <v>5</v>
      </c>
      <c r="M182" s="983">
        <v>9</v>
      </c>
      <c r="N182" s="983">
        <v>18</v>
      </c>
      <c r="O182" s="983">
        <v>17</v>
      </c>
      <c r="P182" s="984">
        <v>80</v>
      </c>
      <c r="Q182" s="985">
        <v>41</v>
      </c>
      <c r="R182" s="985">
        <v>40</v>
      </c>
      <c r="S182" s="985">
        <v>34</v>
      </c>
      <c r="T182" s="985">
        <v>49</v>
      </c>
      <c r="U182" s="983">
        <v>36</v>
      </c>
    </row>
    <row r="183" spans="3:21" ht="18.75" x14ac:dyDescent="0.25">
      <c r="C183" s="964" t="s">
        <v>2693</v>
      </c>
      <c r="D183" s="983">
        <v>110</v>
      </c>
      <c r="E183" s="983">
        <v>114</v>
      </c>
      <c r="F183" s="983">
        <v>109</v>
      </c>
      <c r="G183" s="983">
        <v>74</v>
      </c>
      <c r="H183" s="983">
        <v>62</v>
      </c>
      <c r="I183" s="983">
        <v>66</v>
      </c>
      <c r="J183" s="984">
        <v>37</v>
      </c>
      <c r="K183" s="983">
        <v>35</v>
      </c>
      <c r="L183" s="983">
        <v>28</v>
      </c>
      <c r="M183" s="983">
        <v>16</v>
      </c>
      <c r="N183" s="983">
        <v>13</v>
      </c>
      <c r="O183" s="983">
        <v>16</v>
      </c>
      <c r="P183" s="984">
        <v>130</v>
      </c>
      <c r="Q183" s="985">
        <v>132</v>
      </c>
      <c r="R183" s="985">
        <v>119</v>
      </c>
      <c r="S183" s="985">
        <v>82</v>
      </c>
      <c r="T183" s="985">
        <v>80</v>
      </c>
      <c r="U183" s="983">
        <v>47</v>
      </c>
    </row>
    <row r="184" spans="3:21" ht="18.75" x14ac:dyDescent="0.25">
      <c r="C184" s="964" t="s">
        <v>2694</v>
      </c>
      <c r="D184" s="983">
        <v>60</v>
      </c>
      <c r="E184" s="983">
        <v>77</v>
      </c>
      <c r="F184" s="983">
        <v>100</v>
      </c>
      <c r="G184" s="983">
        <v>96</v>
      </c>
      <c r="H184" s="983">
        <v>53</v>
      </c>
      <c r="I184" s="983">
        <v>71</v>
      </c>
      <c r="J184" s="984">
        <v>11</v>
      </c>
      <c r="K184" s="983">
        <v>21</v>
      </c>
      <c r="L184" s="983">
        <v>32</v>
      </c>
      <c r="M184" s="983">
        <v>34</v>
      </c>
      <c r="N184" s="983">
        <v>26</v>
      </c>
      <c r="O184" s="983">
        <v>16</v>
      </c>
      <c r="P184" s="984">
        <v>72</v>
      </c>
      <c r="Q184" s="985">
        <v>94</v>
      </c>
      <c r="R184" s="985">
        <v>105</v>
      </c>
      <c r="S184" s="985">
        <v>111</v>
      </c>
      <c r="T184" s="985">
        <v>88</v>
      </c>
      <c r="U184" s="983">
        <v>74</v>
      </c>
    </row>
    <row r="185" spans="3:21" ht="18.75" x14ac:dyDescent="0.25">
      <c r="C185" s="964" t="s">
        <v>2695</v>
      </c>
      <c r="D185" s="983">
        <v>27</v>
      </c>
      <c r="E185" s="983">
        <v>37</v>
      </c>
      <c r="F185" s="983">
        <v>34</v>
      </c>
      <c r="G185" s="983">
        <v>69</v>
      </c>
      <c r="H185" s="983">
        <v>31</v>
      </c>
      <c r="I185" s="983">
        <v>70</v>
      </c>
      <c r="J185" s="984">
        <v>2</v>
      </c>
      <c r="K185" s="983">
        <v>8</v>
      </c>
      <c r="L185" s="983">
        <v>6</v>
      </c>
      <c r="M185" s="983">
        <v>9</v>
      </c>
      <c r="N185" s="983">
        <v>16</v>
      </c>
      <c r="O185" s="983">
        <v>12</v>
      </c>
      <c r="P185" s="984">
        <v>35</v>
      </c>
      <c r="Q185" s="985">
        <v>59</v>
      </c>
      <c r="R185" s="985">
        <v>61</v>
      </c>
      <c r="S185" s="985">
        <v>59</v>
      </c>
      <c r="T185" s="985">
        <v>76</v>
      </c>
      <c r="U185" s="983">
        <v>76</v>
      </c>
    </row>
    <row r="186" spans="3:21" ht="18.75" x14ac:dyDescent="0.25">
      <c r="C186" s="964"/>
      <c r="D186" s="983"/>
      <c r="E186" s="983"/>
      <c r="F186" s="983"/>
      <c r="G186" s="983"/>
      <c r="H186" s="983"/>
      <c r="I186" s="983"/>
      <c r="J186" s="984"/>
      <c r="K186" s="983"/>
      <c r="L186" s="983"/>
      <c r="M186" s="983"/>
      <c r="N186" s="983"/>
      <c r="O186" s="983"/>
      <c r="P186" s="984"/>
      <c r="Q186" s="983"/>
      <c r="R186" s="983"/>
      <c r="S186" s="983"/>
      <c r="T186" s="983"/>
      <c r="U186" s="983"/>
    </row>
    <row r="187" spans="3:21" ht="18.75" x14ac:dyDescent="0.25">
      <c r="C187" s="961" t="s">
        <v>2697</v>
      </c>
      <c r="D187" s="980">
        <v>232</v>
      </c>
      <c r="E187" s="980">
        <v>205</v>
      </c>
      <c r="F187" s="980">
        <v>191</v>
      </c>
      <c r="G187" s="980">
        <v>204</v>
      </c>
      <c r="H187" s="980">
        <v>301</v>
      </c>
      <c r="I187" s="980">
        <v>244</v>
      </c>
      <c r="J187" s="981">
        <v>7</v>
      </c>
      <c r="K187" s="980">
        <v>9</v>
      </c>
      <c r="L187" s="980">
        <v>10</v>
      </c>
      <c r="M187" s="980">
        <v>12</v>
      </c>
      <c r="N187" s="980">
        <v>8</v>
      </c>
      <c r="O187" s="980">
        <v>22</v>
      </c>
      <c r="P187" s="981">
        <v>132</v>
      </c>
      <c r="Q187" s="986">
        <v>132</v>
      </c>
      <c r="R187" s="986">
        <v>128</v>
      </c>
      <c r="S187" s="986">
        <v>174</v>
      </c>
      <c r="T187" s="986">
        <v>171</v>
      </c>
      <c r="U187" s="980">
        <v>237</v>
      </c>
    </row>
    <row r="188" spans="3:21" ht="18.75" x14ac:dyDescent="0.4">
      <c r="C188" s="964" t="s">
        <v>2691</v>
      </c>
      <c r="D188" s="983">
        <v>27</v>
      </c>
      <c r="E188" s="983">
        <v>22</v>
      </c>
      <c r="F188" s="983">
        <v>11</v>
      </c>
      <c r="G188" s="983">
        <v>12</v>
      </c>
      <c r="H188" s="983">
        <v>16</v>
      </c>
      <c r="I188" s="983">
        <v>15</v>
      </c>
      <c r="J188" s="984">
        <v>0</v>
      </c>
      <c r="K188" s="983">
        <v>0</v>
      </c>
      <c r="L188" s="987">
        <v>0</v>
      </c>
      <c r="M188" s="987">
        <v>0</v>
      </c>
      <c r="N188" s="983">
        <v>0</v>
      </c>
      <c r="O188" s="983">
        <v>0</v>
      </c>
      <c r="P188" s="984">
        <v>7</v>
      </c>
      <c r="Q188" s="985">
        <v>9</v>
      </c>
      <c r="R188" s="985">
        <v>7</v>
      </c>
      <c r="S188" s="985">
        <v>12</v>
      </c>
      <c r="T188" s="985">
        <v>7</v>
      </c>
      <c r="U188" s="983">
        <v>18</v>
      </c>
    </row>
    <row r="189" spans="3:21" ht="18.75" x14ac:dyDescent="0.4">
      <c r="C189" s="964" t="s">
        <v>2692</v>
      </c>
      <c r="D189" s="983">
        <v>52</v>
      </c>
      <c r="E189" s="983">
        <v>45</v>
      </c>
      <c r="F189" s="983">
        <v>26</v>
      </c>
      <c r="G189" s="983">
        <v>37</v>
      </c>
      <c r="H189" s="983">
        <v>61</v>
      </c>
      <c r="I189" s="983">
        <v>47</v>
      </c>
      <c r="J189" s="984">
        <v>3</v>
      </c>
      <c r="K189" s="983">
        <v>4</v>
      </c>
      <c r="L189" s="987">
        <v>1</v>
      </c>
      <c r="M189" s="987">
        <v>1</v>
      </c>
      <c r="N189" s="983">
        <v>1</v>
      </c>
      <c r="O189" s="983">
        <v>7</v>
      </c>
      <c r="P189" s="984">
        <v>32</v>
      </c>
      <c r="Q189" s="985">
        <v>16</v>
      </c>
      <c r="R189" s="985">
        <v>20</v>
      </c>
      <c r="S189" s="985">
        <v>35</v>
      </c>
      <c r="T189" s="985">
        <v>36</v>
      </c>
      <c r="U189" s="983">
        <v>46</v>
      </c>
    </row>
    <row r="190" spans="3:21" ht="18.75" x14ac:dyDescent="0.4">
      <c r="C190" s="964" t="s">
        <v>2693</v>
      </c>
      <c r="D190" s="983">
        <v>92</v>
      </c>
      <c r="E190" s="983">
        <v>72</v>
      </c>
      <c r="F190" s="983">
        <v>72</v>
      </c>
      <c r="G190" s="983">
        <v>51</v>
      </c>
      <c r="H190" s="983">
        <v>75</v>
      </c>
      <c r="I190" s="983">
        <v>63</v>
      </c>
      <c r="J190" s="984">
        <v>3</v>
      </c>
      <c r="K190" s="983">
        <v>4</v>
      </c>
      <c r="L190" s="987">
        <v>5</v>
      </c>
      <c r="M190" s="987">
        <v>3</v>
      </c>
      <c r="N190" s="983">
        <v>2</v>
      </c>
      <c r="O190" s="983">
        <v>2</v>
      </c>
      <c r="P190" s="984">
        <v>53</v>
      </c>
      <c r="Q190" s="985">
        <v>47</v>
      </c>
      <c r="R190" s="985">
        <v>45</v>
      </c>
      <c r="S190" s="985">
        <v>49</v>
      </c>
      <c r="T190" s="985">
        <v>43</v>
      </c>
      <c r="U190" s="983">
        <v>74</v>
      </c>
    </row>
    <row r="191" spans="3:21" ht="18.75" x14ac:dyDescent="0.4">
      <c r="C191" s="964" t="s">
        <v>2694</v>
      </c>
      <c r="D191" s="983">
        <v>45</v>
      </c>
      <c r="E191" s="983">
        <v>53</v>
      </c>
      <c r="F191" s="983">
        <v>66</v>
      </c>
      <c r="G191" s="983">
        <v>62</v>
      </c>
      <c r="H191" s="983">
        <v>93</v>
      </c>
      <c r="I191" s="983">
        <v>65</v>
      </c>
      <c r="J191" s="984">
        <v>1</v>
      </c>
      <c r="K191" s="983">
        <v>0</v>
      </c>
      <c r="L191" s="987">
        <v>3</v>
      </c>
      <c r="M191" s="987">
        <v>7</v>
      </c>
      <c r="N191" s="983">
        <v>4</v>
      </c>
      <c r="O191" s="983">
        <v>7</v>
      </c>
      <c r="P191" s="984">
        <v>34</v>
      </c>
      <c r="Q191" s="985">
        <v>47</v>
      </c>
      <c r="R191" s="985">
        <v>38</v>
      </c>
      <c r="S191" s="985">
        <v>54</v>
      </c>
      <c r="T191" s="985">
        <v>55</v>
      </c>
      <c r="U191" s="983">
        <v>64</v>
      </c>
    </row>
    <row r="192" spans="3:21" ht="18.75" x14ac:dyDescent="0.4">
      <c r="C192" s="967" t="s">
        <v>2695</v>
      </c>
      <c r="D192" s="988">
        <v>16</v>
      </c>
      <c r="E192" s="988">
        <v>13</v>
      </c>
      <c r="F192" s="988">
        <v>16</v>
      </c>
      <c r="G192" s="988">
        <v>42</v>
      </c>
      <c r="H192" s="988">
        <v>56</v>
      </c>
      <c r="I192" s="989">
        <v>54</v>
      </c>
      <c r="J192" s="990">
        <v>0</v>
      </c>
      <c r="K192" s="988">
        <v>1</v>
      </c>
      <c r="L192" s="991">
        <v>1</v>
      </c>
      <c r="M192" s="991">
        <v>1</v>
      </c>
      <c r="N192" s="991">
        <v>1</v>
      </c>
      <c r="O192" s="989">
        <v>6</v>
      </c>
      <c r="P192" s="990">
        <v>6</v>
      </c>
      <c r="Q192" s="988">
        <v>13</v>
      </c>
      <c r="R192" s="988">
        <v>18</v>
      </c>
      <c r="S192" s="988">
        <v>24</v>
      </c>
      <c r="T192" s="988">
        <v>30</v>
      </c>
      <c r="U192" s="988">
        <v>35</v>
      </c>
    </row>
    <row r="193" spans="3:21" ht="18.75" x14ac:dyDescent="0.4">
      <c r="C193" s="467"/>
      <c r="D193" s="467"/>
      <c r="E193" s="467"/>
      <c r="F193" s="467"/>
      <c r="G193" s="940"/>
      <c r="H193" s="467"/>
      <c r="I193" s="467"/>
      <c r="J193" s="467"/>
      <c r="K193" s="467"/>
      <c r="L193" s="467"/>
      <c r="M193" s="955"/>
      <c r="N193" s="467"/>
      <c r="O193" s="467"/>
      <c r="P193" s="467"/>
      <c r="Q193" s="467"/>
      <c r="R193" s="5"/>
      <c r="S193" s="5"/>
      <c r="T193" s="5"/>
      <c r="U193" s="17"/>
    </row>
    <row r="194" spans="3:21" ht="18.75" x14ac:dyDescent="0.4">
      <c r="C194" s="933" t="s">
        <v>2702</v>
      </c>
      <c r="D194" s="467"/>
      <c r="E194" s="467"/>
      <c r="F194" s="467"/>
      <c r="G194" s="940"/>
      <c r="H194" s="992"/>
      <c r="I194" s="992"/>
      <c r="J194" s="992"/>
      <c r="K194" s="467"/>
      <c r="L194" s="467"/>
      <c r="M194" s="992"/>
      <c r="N194" s="992"/>
      <c r="O194" s="992"/>
      <c r="P194" s="467"/>
      <c r="Q194" s="467"/>
      <c r="R194" s="5"/>
      <c r="S194" s="5"/>
      <c r="T194" s="5"/>
      <c r="U194" s="17"/>
    </row>
    <row r="195" spans="3:21" ht="18.75" x14ac:dyDescent="0.4">
      <c r="C195" s="5"/>
      <c r="D195" s="5"/>
      <c r="E195" s="5"/>
      <c r="F195" s="5"/>
      <c r="G195" s="5"/>
      <c r="H195" s="5"/>
      <c r="I195" s="5"/>
      <c r="J195" s="5"/>
      <c r="K195" s="5"/>
      <c r="L195" s="5"/>
      <c r="M195" s="5"/>
      <c r="N195" s="5"/>
      <c r="O195" s="5"/>
      <c r="P195" s="5"/>
      <c r="Q195" s="5"/>
      <c r="R195" s="5"/>
      <c r="S195" s="5"/>
      <c r="T195" s="5"/>
      <c r="U195" s="17"/>
    </row>
    <row r="196" spans="3:21" ht="16.5" x14ac:dyDescent="0.35">
      <c r="C196" s="17"/>
      <c r="D196" s="17"/>
      <c r="E196" s="17"/>
      <c r="F196" s="17"/>
      <c r="G196" s="17"/>
      <c r="H196" s="17"/>
      <c r="I196" s="17"/>
      <c r="J196" s="17"/>
      <c r="K196" s="17"/>
      <c r="L196" s="17"/>
      <c r="M196" s="17"/>
      <c r="N196" s="17"/>
      <c r="O196" s="17"/>
      <c r="P196" s="17"/>
      <c r="Q196" s="17"/>
      <c r="R196" s="17"/>
      <c r="S196" s="17"/>
      <c r="T196" s="17"/>
      <c r="U196" s="17"/>
    </row>
    <row r="197" spans="3:21" ht="16.5" x14ac:dyDescent="0.35">
      <c r="C197" s="17"/>
      <c r="D197" s="17"/>
      <c r="E197" s="17"/>
      <c r="F197" s="17"/>
      <c r="G197" s="17"/>
      <c r="H197" s="17"/>
      <c r="I197" s="17"/>
      <c r="J197" s="17"/>
      <c r="K197" s="17"/>
      <c r="L197" s="17"/>
      <c r="M197" s="17"/>
      <c r="N197" s="17"/>
      <c r="O197" s="17"/>
      <c r="P197" s="17"/>
      <c r="Q197" s="17"/>
      <c r="R197" s="17"/>
      <c r="S197" s="17"/>
      <c r="T197" s="17"/>
      <c r="U197" s="17"/>
    </row>
    <row r="198" spans="3:21" ht="16.5" x14ac:dyDescent="0.35">
      <c r="C198" s="17"/>
      <c r="D198" s="17"/>
      <c r="E198" s="17"/>
      <c r="F198" s="17"/>
      <c r="G198" s="17"/>
      <c r="H198" s="17"/>
      <c r="I198" s="17"/>
      <c r="J198" s="17"/>
      <c r="K198" s="17"/>
      <c r="L198" s="17"/>
      <c r="M198" s="17"/>
      <c r="N198" s="17"/>
      <c r="O198" s="17"/>
      <c r="P198" s="17"/>
      <c r="Q198" s="17"/>
      <c r="R198" s="17"/>
      <c r="S198" s="17"/>
      <c r="T198" s="17"/>
      <c r="U198" s="17"/>
    </row>
    <row r="199" spans="3:21" ht="16.5" x14ac:dyDescent="0.35">
      <c r="C199" s="17"/>
      <c r="D199" s="17"/>
      <c r="E199" s="17"/>
      <c r="F199" s="17"/>
      <c r="G199" s="17"/>
      <c r="H199" s="17"/>
      <c r="I199" s="17"/>
      <c r="J199" s="17"/>
      <c r="K199" s="17"/>
      <c r="L199" s="17"/>
      <c r="M199" s="17"/>
      <c r="N199" s="17"/>
      <c r="O199" s="17"/>
      <c r="P199" s="17"/>
      <c r="Q199" s="17"/>
      <c r="R199" s="17"/>
      <c r="S199" s="17"/>
      <c r="T199" s="17"/>
      <c r="U199" s="17"/>
    </row>
    <row r="200" spans="3:21" ht="16.5" x14ac:dyDescent="0.35">
      <c r="C200" s="17"/>
      <c r="D200" s="17"/>
      <c r="E200" s="17"/>
      <c r="F200" s="17"/>
      <c r="G200" s="17"/>
      <c r="H200" s="17"/>
      <c r="I200" s="17"/>
      <c r="J200" s="17"/>
      <c r="K200" s="17"/>
      <c r="L200" s="17"/>
      <c r="M200" s="17"/>
      <c r="N200" s="17"/>
      <c r="O200" s="17"/>
      <c r="P200" s="17"/>
      <c r="Q200" s="17"/>
      <c r="R200" s="17"/>
      <c r="S200" s="17"/>
      <c r="T200" s="17"/>
      <c r="U200" s="17"/>
    </row>
    <row r="201" spans="3:21" ht="16.5" x14ac:dyDescent="0.35">
      <c r="C201" s="17"/>
      <c r="D201" s="17"/>
      <c r="E201" s="17"/>
      <c r="F201" s="17"/>
      <c r="G201" s="17"/>
      <c r="H201" s="17"/>
      <c r="I201" s="17"/>
      <c r="J201" s="17"/>
      <c r="K201" s="17"/>
      <c r="L201" s="17"/>
      <c r="M201" s="17"/>
      <c r="N201" s="17"/>
      <c r="O201" s="17"/>
      <c r="P201" s="17"/>
      <c r="Q201" s="17"/>
      <c r="R201" s="17"/>
      <c r="S201" s="17"/>
      <c r="T201" s="17"/>
      <c r="U201" s="17"/>
    </row>
    <row r="202" spans="3:21" ht="16.5" x14ac:dyDescent="0.35">
      <c r="C202" s="17"/>
      <c r="D202" s="17"/>
      <c r="E202" s="17"/>
      <c r="F202" s="17"/>
      <c r="G202" s="17"/>
      <c r="H202" s="17"/>
      <c r="I202" s="17"/>
      <c r="J202" s="17"/>
      <c r="K202" s="17"/>
      <c r="L202" s="17"/>
      <c r="M202" s="17"/>
      <c r="N202" s="17"/>
      <c r="O202" s="17"/>
      <c r="P202" s="17"/>
      <c r="Q202" s="17"/>
      <c r="R202" s="17"/>
      <c r="S202" s="17"/>
      <c r="T202" s="17"/>
      <c r="U202" s="17"/>
    </row>
    <row r="203" spans="3:21" ht="16.5" x14ac:dyDescent="0.35">
      <c r="C203" s="17"/>
      <c r="D203" s="17"/>
      <c r="E203" s="17"/>
      <c r="F203" s="17"/>
      <c r="G203" s="17"/>
      <c r="H203" s="17"/>
      <c r="I203" s="17"/>
      <c r="J203" s="17"/>
      <c r="K203" s="17"/>
      <c r="L203" s="17"/>
      <c r="M203" s="17"/>
      <c r="N203" s="17"/>
      <c r="O203" s="17"/>
      <c r="P203" s="17"/>
      <c r="Q203" s="17"/>
      <c r="R203" s="17"/>
      <c r="S203" s="17"/>
      <c r="T203" s="17"/>
      <c r="U203" s="17"/>
    </row>
    <row r="204" spans="3:21" ht="16.5" x14ac:dyDescent="0.35">
      <c r="C204" s="17"/>
      <c r="D204" s="17"/>
      <c r="E204" s="17"/>
      <c r="F204" s="17"/>
      <c r="G204" s="17"/>
      <c r="H204" s="17"/>
      <c r="I204" s="17"/>
      <c r="J204" s="17"/>
      <c r="K204" s="17"/>
      <c r="L204" s="17"/>
      <c r="M204" s="17"/>
      <c r="N204" s="17"/>
      <c r="O204" s="17"/>
      <c r="P204" s="17"/>
      <c r="Q204" s="17"/>
      <c r="R204" s="17"/>
      <c r="S204" s="17"/>
      <c r="T204" s="17"/>
      <c r="U204" s="17"/>
    </row>
    <row r="205" spans="3:21" ht="16.5" x14ac:dyDescent="0.35">
      <c r="C205" s="17"/>
      <c r="D205" s="17"/>
      <c r="E205" s="17"/>
      <c r="F205" s="17"/>
      <c r="G205" s="17"/>
      <c r="H205" s="17"/>
      <c r="I205" s="17"/>
      <c r="J205" s="17"/>
      <c r="K205" s="17"/>
      <c r="L205" s="17"/>
      <c r="M205" s="17"/>
      <c r="N205" s="17"/>
      <c r="O205" s="17"/>
      <c r="P205" s="17"/>
      <c r="Q205" s="17"/>
      <c r="R205" s="17"/>
      <c r="S205" s="17"/>
      <c r="T205" s="17"/>
      <c r="U205" s="17"/>
    </row>
    <row r="206" spans="3:21" ht="16.5" x14ac:dyDescent="0.35">
      <c r="C206" s="17"/>
      <c r="D206" s="17"/>
      <c r="E206" s="17"/>
      <c r="F206" s="17"/>
      <c r="G206" s="17"/>
      <c r="H206" s="17"/>
      <c r="I206" s="17"/>
      <c r="J206" s="17"/>
      <c r="K206" s="17"/>
      <c r="L206" s="17"/>
      <c r="M206" s="17"/>
      <c r="N206" s="17"/>
      <c r="O206" s="17"/>
      <c r="P206" s="17"/>
      <c r="Q206" s="17"/>
      <c r="R206" s="17"/>
      <c r="S206" s="17"/>
      <c r="T206" s="17"/>
      <c r="U206" s="17"/>
    </row>
    <row r="207" spans="3:21" ht="16.5" x14ac:dyDescent="0.35">
      <c r="C207" s="17"/>
      <c r="D207" s="17"/>
      <c r="E207" s="17"/>
      <c r="F207" s="17"/>
      <c r="G207" s="17"/>
      <c r="H207" s="17"/>
      <c r="I207" s="17"/>
      <c r="J207" s="17"/>
      <c r="K207" s="17"/>
      <c r="L207" s="17"/>
      <c r="M207" s="17"/>
      <c r="N207" s="17"/>
      <c r="O207" s="17"/>
      <c r="P207" s="17"/>
      <c r="Q207" s="17"/>
      <c r="R207" s="17"/>
      <c r="S207" s="17"/>
      <c r="T207" s="17"/>
      <c r="U207" s="17"/>
    </row>
    <row r="208" spans="3:21" ht="16.5" x14ac:dyDescent="0.35">
      <c r="C208" s="17"/>
      <c r="D208" s="17"/>
      <c r="E208" s="17"/>
      <c r="F208" s="17"/>
      <c r="G208" s="17"/>
      <c r="H208" s="17"/>
      <c r="I208" s="17"/>
      <c r="J208" s="17"/>
      <c r="K208" s="17"/>
      <c r="L208" s="17"/>
      <c r="M208" s="17"/>
      <c r="N208" s="17"/>
      <c r="O208" s="17"/>
      <c r="P208" s="17"/>
      <c r="Q208" s="17"/>
      <c r="R208" s="17"/>
      <c r="S208" s="17"/>
      <c r="T208" s="17"/>
      <c r="U208" s="17"/>
    </row>
    <row r="209" spans="3:21" ht="16.5" x14ac:dyDescent="0.35">
      <c r="C209" s="17"/>
      <c r="D209" s="17"/>
      <c r="E209" s="17"/>
      <c r="F209" s="17"/>
      <c r="G209" s="17"/>
      <c r="H209" s="17"/>
      <c r="I209" s="17"/>
      <c r="J209" s="17"/>
      <c r="K209" s="17"/>
      <c r="L209" s="17"/>
      <c r="M209" s="17"/>
      <c r="N209" s="17"/>
      <c r="O209" s="17"/>
      <c r="P209" s="17"/>
      <c r="Q209" s="17"/>
      <c r="R209" s="17"/>
      <c r="S209" s="17"/>
      <c r="T209" s="17"/>
      <c r="U209" s="17"/>
    </row>
    <row r="210" spans="3:21" ht="16.5" x14ac:dyDescent="0.35">
      <c r="C210" s="17"/>
      <c r="D210" s="17"/>
      <c r="E210" s="17"/>
      <c r="F210" s="17"/>
      <c r="G210" s="17"/>
      <c r="H210" s="17"/>
      <c r="I210" s="17"/>
      <c r="J210" s="17"/>
      <c r="K210" s="17"/>
      <c r="L210" s="17"/>
      <c r="M210" s="17"/>
      <c r="N210" s="17"/>
      <c r="O210" s="17"/>
      <c r="P210" s="17"/>
      <c r="Q210" s="17"/>
      <c r="R210" s="17"/>
      <c r="S210" s="17"/>
      <c r="T210" s="17"/>
      <c r="U210" s="17"/>
    </row>
    <row r="211" spans="3:21" ht="16.5" x14ac:dyDescent="0.35">
      <c r="C211" s="17"/>
      <c r="D211" s="17"/>
      <c r="E211" s="17"/>
      <c r="F211" s="17"/>
      <c r="G211" s="17"/>
      <c r="H211" s="17"/>
      <c r="I211" s="17"/>
      <c r="J211" s="17"/>
      <c r="K211" s="17"/>
      <c r="L211" s="17"/>
      <c r="M211" s="17"/>
      <c r="N211" s="17"/>
      <c r="O211" s="17"/>
      <c r="P211" s="17"/>
      <c r="Q211" s="17"/>
      <c r="R211" s="17"/>
      <c r="S211" s="17"/>
      <c r="T211" s="17"/>
      <c r="U211" s="17"/>
    </row>
    <row r="212" spans="3:21" ht="16.5" x14ac:dyDescent="0.35">
      <c r="C212" s="17"/>
      <c r="D212" s="17"/>
      <c r="E212" s="17"/>
      <c r="F212" s="17"/>
      <c r="G212" s="17"/>
      <c r="H212" s="17"/>
      <c r="I212" s="17"/>
      <c r="J212" s="17"/>
      <c r="K212" s="17"/>
      <c r="L212" s="17"/>
      <c r="M212" s="17"/>
      <c r="N212" s="17"/>
      <c r="O212" s="17"/>
      <c r="P212" s="17"/>
      <c r="Q212" s="17"/>
      <c r="R212" s="17"/>
      <c r="S212" s="17"/>
      <c r="T212" s="17"/>
      <c r="U212" s="17"/>
    </row>
    <row r="213" spans="3:21" ht="16.5" x14ac:dyDescent="0.35">
      <c r="C213" s="17"/>
      <c r="D213" s="17"/>
      <c r="E213" s="17"/>
      <c r="F213" s="17"/>
      <c r="G213" s="17"/>
      <c r="H213" s="17"/>
      <c r="I213" s="17"/>
      <c r="J213" s="17"/>
      <c r="K213" s="17"/>
      <c r="L213" s="17"/>
      <c r="M213" s="17"/>
      <c r="N213" s="17"/>
      <c r="O213" s="17"/>
      <c r="P213" s="17"/>
      <c r="Q213" s="17"/>
      <c r="R213" s="17"/>
      <c r="S213" s="17"/>
      <c r="T213" s="17"/>
      <c r="U213" s="17"/>
    </row>
    <row r="214" spans="3:21" ht="16.5" x14ac:dyDescent="0.35">
      <c r="C214" s="17"/>
      <c r="D214" s="17"/>
      <c r="E214" s="17"/>
      <c r="F214" s="17"/>
      <c r="G214" s="17"/>
      <c r="H214" s="17"/>
      <c r="I214" s="17"/>
      <c r="J214" s="17"/>
      <c r="K214" s="17"/>
      <c r="L214" s="17"/>
      <c r="M214" s="17"/>
      <c r="N214" s="17"/>
      <c r="O214" s="17"/>
      <c r="P214" s="17"/>
      <c r="Q214" s="17"/>
      <c r="R214" s="17"/>
      <c r="S214" s="17"/>
      <c r="T214" s="17"/>
      <c r="U214" s="17"/>
    </row>
    <row r="215" spans="3:21" ht="16.5" x14ac:dyDescent="0.35">
      <c r="C215" s="17"/>
      <c r="D215" s="17"/>
      <c r="E215" s="17"/>
      <c r="F215" s="17"/>
      <c r="G215" s="17"/>
      <c r="H215" s="17"/>
      <c r="I215" s="17"/>
      <c r="J215" s="17"/>
      <c r="K215" s="17"/>
      <c r="L215" s="17"/>
      <c r="M215" s="17"/>
      <c r="N215" s="17"/>
      <c r="O215" s="17"/>
      <c r="P215" s="17"/>
      <c r="Q215" s="17"/>
      <c r="R215" s="17"/>
      <c r="S215" s="17"/>
      <c r="T215" s="17"/>
      <c r="U215" s="17"/>
    </row>
    <row r="216" spans="3:21" ht="16.5" x14ac:dyDescent="0.35">
      <c r="C216" s="17"/>
      <c r="D216" s="17"/>
      <c r="E216" s="17"/>
      <c r="F216" s="17"/>
      <c r="G216" s="17"/>
      <c r="H216" s="17"/>
      <c r="I216" s="17"/>
      <c r="J216" s="17"/>
      <c r="K216" s="17"/>
      <c r="L216" s="17"/>
      <c r="M216" s="17"/>
      <c r="N216" s="17"/>
      <c r="O216" s="17"/>
      <c r="P216" s="17"/>
      <c r="Q216" s="17"/>
      <c r="R216" s="17"/>
      <c r="S216" s="17"/>
      <c r="T216" s="17"/>
      <c r="U216" s="17"/>
    </row>
    <row r="217" spans="3:21" ht="16.5" x14ac:dyDescent="0.35">
      <c r="C217" s="17"/>
      <c r="D217" s="17"/>
      <c r="E217" s="17"/>
      <c r="F217" s="17"/>
      <c r="G217" s="17"/>
      <c r="H217" s="17"/>
      <c r="I217" s="17"/>
      <c r="J217" s="17"/>
      <c r="K217" s="17"/>
      <c r="L217" s="17"/>
      <c r="M217" s="17"/>
      <c r="N217" s="17"/>
      <c r="O217" s="17"/>
      <c r="P217" s="17"/>
      <c r="Q217" s="17"/>
      <c r="R217" s="17"/>
      <c r="S217" s="17"/>
      <c r="T217" s="17"/>
      <c r="U217" s="17"/>
    </row>
    <row r="218" spans="3:21" ht="16.5" x14ac:dyDescent="0.35">
      <c r="C218" s="17"/>
      <c r="D218" s="17"/>
      <c r="E218" s="17"/>
      <c r="F218" s="17"/>
      <c r="G218" s="17"/>
      <c r="H218" s="17"/>
      <c r="I218" s="17"/>
      <c r="J218" s="17"/>
      <c r="K218" s="17"/>
      <c r="L218" s="17"/>
      <c r="M218" s="17"/>
      <c r="N218" s="17"/>
      <c r="O218" s="17"/>
      <c r="P218" s="17"/>
      <c r="Q218" s="17"/>
      <c r="R218" s="17"/>
      <c r="S218" s="17"/>
      <c r="T218" s="17"/>
      <c r="U218" s="17"/>
    </row>
    <row r="219" spans="3:21" ht="16.5" x14ac:dyDescent="0.35">
      <c r="C219" s="17"/>
      <c r="D219" s="17"/>
      <c r="E219" s="17"/>
      <c r="F219" s="17"/>
      <c r="G219" s="17"/>
      <c r="H219" s="17"/>
      <c r="I219" s="17"/>
      <c r="J219" s="17"/>
      <c r="K219" s="17"/>
      <c r="L219" s="17"/>
      <c r="M219" s="17"/>
      <c r="N219" s="17"/>
      <c r="O219" s="17"/>
      <c r="P219" s="17"/>
      <c r="Q219" s="17"/>
      <c r="R219" s="17"/>
      <c r="S219" s="17"/>
      <c r="T219" s="17"/>
      <c r="U219" s="17"/>
    </row>
    <row r="220" spans="3:21" ht="16.5" x14ac:dyDescent="0.35">
      <c r="C220" s="17"/>
      <c r="D220" s="17"/>
      <c r="E220" s="17"/>
      <c r="F220" s="17"/>
      <c r="G220" s="17"/>
      <c r="H220" s="17"/>
      <c r="I220" s="17"/>
      <c r="J220" s="17"/>
      <c r="K220" s="17"/>
      <c r="L220" s="17"/>
      <c r="M220" s="17"/>
      <c r="N220" s="17"/>
      <c r="O220" s="17"/>
      <c r="P220" s="17"/>
      <c r="Q220" s="17"/>
      <c r="R220" s="17"/>
      <c r="S220" s="17"/>
      <c r="T220" s="17"/>
      <c r="U220" s="17"/>
    </row>
    <row r="221" spans="3:21" ht="16.5" x14ac:dyDescent="0.35">
      <c r="C221" s="17"/>
      <c r="D221" s="17"/>
      <c r="E221" s="17"/>
      <c r="F221" s="17"/>
      <c r="G221" s="17"/>
      <c r="H221" s="17"/>
      <c r="I221" s="17"/>
      <c r="J221" s="17"/>
      <c r="K221" s="17"/>
      <c r="L221" s="17"/>
      <c r="M221" s="17"/>
      <c r="N221" s="17"/>
      <c r="O221" s="17"/>
      <c r="P221" s="17"/>
      <c r="Q221" s="17"/>
      <c r="R221" s="17"/>
      <c r="S221" s="17"/>
      <c r="T221" s="17"/>
      <c r="U221" s="17"/>
    </row>
    <row r="222" spans="3:21" ht="16.5" x14ac:dyDescent="0.35">
      <c r="C222" s="17"/>
      <c r="D222" s="17"/>
      <c r="E222" s="17"/>
      <c r="F222" s="17"/>
      <c r="G222" s="17"/>
      <c r="H222" s="17"/>
      <c r="I222" s="17"/>
      <c r="J222" s="17"/>
      <c r="K222" s="17"/>
      <c r="L222" s="17"/>
      <c r="M222" s="17"/>
      <c r="N222" s="17"/>
      <c r="O222" s="17"/>
      <c r="P222" s="17"/>
      <c r="Q222" s="17"/>
      <c r="R222" s="17"/>
      <c r="S222" s="17"/>
      <c r="T222" s="17"/>
      <c r="U222" s="17"/>
    </row>
    <row r="223" spans="3:21" ht="16.5" x14ac:dyDescent="0.35">
      <c r="C223" s="17"/>
      <c r="D223" s="17"/>
      <c r="E223" s="17"/>
      <c r="F223" s="17"/>
      <c r="G223" s="17"/>
      <c r="H223" s="17"/>
      <c r="I223" s="17"/>
      <c r="J223" s="17"/>
      <c r="K223" s="17"/>
      <c r="L223" s="17"/>
      <c r="M223" s="17"/>
      <c r="N223" s="17"/>
      <c r="O223" s="17"/>
      <c r="P223" s="17"/>
      <c r="Q223" s="17"/>
      <c r="R223" s="17"/>
      <c r="S223" s="17"/>
      <c r="T223" s="17"/>
      <c r="U223" s="17"/>
    </row>
    <row r="224" spans="3:21" ht="16.5" x14ac:dyDescent="0.35">
      <c r="C224" s="17"/>
      <c r="D224" s="17"/>
      <c r="E224" s="17"/>
      <c r="F224" s="17"/>
      <c r="G224" s="17"/>
      <c r="H224" s="17"/>
      <c r="I224" s="17"/>
      <c r="J224" s="17"/>
      <c r="K224" s="17"/>
      <c r="L224" s="17"/>
      <c r="M224" s="17"/>
      <c r="N224" s="17"/>
      <c r="O224" s="17"/>
      <c r="P224" s="17"/>
      <c r="Q224" s="17"/>
      <c r="R224" s="17"/>
      <c r="S224" s="17"/>
      <c r="T224" s="17"/>
      <c r="U224" s="17"/>
    </row>
    <row r="225" spans="3:21" ht="16.5" x14ac:dyDescent="0.35">
      <c r="C225" s="17"/>
      <c r="D225" s="17"/>
      <c r="E225" s="17"/>
      <c r="F225" s="17"/>
      <c r="G225" s="17"/>
      <c r="H225" s="17"/>
      <c r="I225" s="17"/>
      <c r="J225" s="17"/>
      <c r="K225" s="17"/>
      <c r="L225" s="17"/>
      <c r="M225" s="17"/>
      <c r="N225" s="17"/>
      <c r="O225" s="17"/>
      <c r="P225" s="17"/>
      <c r="Q225" s="17"/>
      <c r="R225" s="17"/>
      <c r="S225" s="17"/>
      <c r="T225" s="17"/>
      <c r="U225" s="17"/>
    </row>
    <row r="226" spans="3:21" ht="16.5" x14ac:dyDescent="0.35">
      <c r="C226" s="17"/>
      <c r="D226" s="17"/>
      <c r="E226" s="17"/>
      <c r="F226" s="17"/>
      <c r="G226" s="17"/>
      <c r="H226" s="17"/>
      <c r="I226" s="17"/>
      <c r="J226" s="17"/>
      <c r="K226" s="17"/>
      <c r="L226" s="17"/>
      <c r="M226" s="17"/>
      <c r="N226" s="17"/>
      <c r="O226" s="17"/>
      <c r="P226" s="17"/>
      <c r="Q226" s="17"/>
      <c r="R226" s="17"/>
      <c r="S226" s="17"/>
      <c r="T226" s="17"/>
      <c r="U226" s="17"/>
    </row>
    <row r="227" spans="3:21" ht="16.5" x14ac:dyDescent="0.35">
      <c r="C227" s="17"/>
      <c r="D227" s="17"/>
      <c r="E227" s="17"/>
      <c r="F227" s="17"/>
      <c r="G227" s="17"/>
      <c r="H227" s="17"/>
      <c r="I227" s="17"/>
      <c r="J227" s="17"/>
      <c r="K227" s="17"/>
      <c r="L227" s="17"/>
      <c r="M227" s="17"/>
      <c r="N227" s="17"/>
      <c r="O227" s="17"/>
      <c r="P227" s="17"/>
      <c r="Q227" s="17"/>
      <c r="R227" s="17"/>
      <c r="S227" s="17"/>
      <c r="T227" s="17"/>
      <c r="U227" s="17"/>
    </row>
    <row r="228" spans="3:21" ht="16.5" x14ac:dyDescent="0.35">
      <c r="C228" s="17"/>
      <c r="D228" s="17"/>
      <c r="E228" s="17"/>
      <c r="F228" s="17"/>
      <c r="G228" s="17"/>
      <c r="H228" s="17"/>
      <c r="I228" s="17"/>
      <c r="J228" s="17"/>
      <c r="K228" s="17"/>
      <c r="L228" s="17"/>
      <c r="M228" s="17"/>
      <c r="N228" s="17"/>
      <c r="O228" s="17"/>
      <c r="P228" s="17"/>
      <c r="Q228" s="17"/>
      <c r="R228" s="17"/>
      <c r="S228" s="17"/>
      <c r="T228" s="17"/>
      <c r="U228" s="17"/>
    </row>
    <row r="229" spans="3:21" ht="16.5" x14ac:dyDescent="0.35">
      <c r="C229" s="17"/>
      <c r="D229" s="17"/>
      <c r="E229" s="17"/>
      <c r="F229" s="17"/>
      <c r="G229" s="17"/>
      <c r="H229" s="17"/>
      <c r="I229" s="17"/>
      <c r="J229" s="17"/>
      <c r="K229" s="17"/>
      <c r="L229" s="17"/>
      <c r="M229" s="17"/>
      <c r="N229" s="17"/>
      <c r="O229" s="17"/>
      <c r="P229" s="17"/>
      <c r="Q229" s="17"/>
      <c r="R229" s="17"/>
      <c r="S229" s="17"/>
      <c r="T229" s="17"/>
      <c r="U229" s="17"/>
    </row>
    <row r="230" spans="3:21" ht="16.5" x14ac:dyDescent="0.35">
      <c r="C230" s="17"/>
      <c r="D230" s="17"/>
      <c r="E230" s="17"/>
      <c r="F230" s="17"/>
      <c r="G230" s="17"/>
      <c r="H230" s="17"/>
      <c r="I230" s="17"/>
      <c r="J230" s="17"/>
      <c r="K230" s="17"/>
      <c r="L230" s="17"/>
      <c r="M230" s="17"/>
      <c r="N230" s="17"/>
      <c r="O230" s="17"/>
      <c r="P230" s="17"/>
      <c r="Q230" s="17"/>
      <c r="R230" s="17"/>
      <c r="S230" s="17"/>
      <c r="T230" s="17"/>
      <c r="U230" s="17"/>
    </row>
    <row r="231" spans="3:21" ht="16.5" x14ac:dyDescent="0.35">
      <c r="C231" s="17"/>
      <c r="D231" s="17"/>
      <c r="E231" s="17"/>
      <c r="F231" s="17"/>
      <c r="G231" s="17"/>
      <c r="H231" s="17"/>
      <c r="I231" s="17"/>
      <c r="J231" s="17"/>
      <c r="K231" s="17"/>
      <c r="L231" s="17"/>
      <c r="M231" s="17"/>
      <c r="N231" s="17"/>
      <c r="O231" s="17"/>
      <c r="P231" s="17"/>
      <c r="Q231" s="17"/>
      <c r="R231" s="17"/>
      <c r="S231" s="17"/>
      <c r="T231" s="17"/>
      <c r="U231" s="17"/>
    </row>
    <row r="232" spans="3:21" ht="16.5" x14ac:dyDescent="0.35">
      <c r="C232" s="17"/>
      <c r="D232" s="17"/>
      <c r="E232" s="17"/>
      <c r="F232" s="17"/>
      <c r="G232" s="17"/>
      <c r="H232" s="17"/>
      <c r="I232" s="17"/>
      <c r="J232" s="17"/>
      <c r="K232" s="17"/>
      <c r="L232" s="17"/>
      <c r="M232" s="17"/>
      <c r="N232" s="17"/>
      <c r="O232" s="17"/>
      <c r="P232" s="17"/>
      <c r="Q232" s="17"/>
      <c r="R232" s="17"/>
      <c r="S232" s="17"/>
      <c r="T232" s="17"/>
      <c r="U232" s="17"/>
    </row>
    <row r="233" spans="3:21" ht="16.5" x14ac:dyDescent="0.35">
      <c r="C233" s="17"/>
      <c r="D233" s="17"/>
      <c r="E233" s="17"/>
      <c r="F233" s="17"/>
      <c r="G233" s="17"/>
      <c r="H233" s="17"/>
      <c r="I233" s="17"/>
      <c r="J233" s="17"/>
      <c r="K233" s="17"/>
      <c r="L233" s="17"/>
      <c r="M233" s="17"/>
      <c r="N233" s="17"/>
      <c r="O233" s="17"/>
      <c r="P233" s="17"/>
      <c r="Q233" s="17"/>
      <c r="R233" s="17"/>
      <c r="S233" s="17"/>
      <c r="T233" s="17"/>
      <c r="U233" s="17"/>
    </row>
    <row r="234" spans="3:21" ht="16.5" x14ac:dyDescent="0.35">
      <c r="C234" s="17"/>
      <c r="D234" s="17"/>
      <c r="E234" s="17"/>
      <c r="F234" s="17"/>
      <c r="G234" s="17"/>
      <c r="H234" s="17"/>
      <c r="I234" s="17"/>
      <c r="J234" s="17"/>
      <c r="K234" s="17"/>
      <c r="L234" s="17"/>
      <c r="M234" s="17"/>
      <c r="N234" s="17"/>
      <c r="O234" s="17"/>
      <c r="P234" s="17"/>
      <c r="Q234" s="17"/>
      <c r="R234" s="17"/>
      <c r="S234" s="17"/>
      <c r="T234" s="17"/>
      <c r="U234" s="17"/>
    </row>
    <row r="235" spans="3:21" ht="16.5" x14ac:dyDescent="0.35">
      <c r="C235" s="17"/>
      <c r="D235" s="17"/>
      <c r="E235" s="17"/>
      <c r="F235" s="17"/>
      <c r="G235" s="17"/>
      <c r="H235" s="17"/>
      <c r="I235" s="17"/>
      <c r="J235" s="17"/>
      <c r="K235" s="17"/>
      <c r="L235" s="17"/>
      <c r="M235" s="17"/>
      <c r="N235" s="17"/>
      <c r="O235" s="17"/>
      <c r="P235" s="17"/>
      <c r="Q235" s="17"/>
      <c r="R235" s="17"/>
      <c r="S235" s="17"/>
      <c r="T235" s="17"/>
      <c r="U235" s="17"/>
    </row>
    <row r="236" spans="3:21" ht="16.5" x14ac:dyDescent="0.35">
      <c r="C236" s="17"/>
      <c r="D236" s="17"/>
      <c r="E236" s="17"/>
      <c r="F236" s="17"/>
      <c r="G236" s="17"/>
      <c r="H236" s="17"/>
      <c r="I236" s="17"/>
      <c r="J236" s="17"/>
      <c r="K236" s="17"/>
      <c r="L236" s="17"/>
      <c r="M236" s="17"/>
      <c r="N236" s="17"/>
      <c r="O236" s="17"/>
      <c r="P236" s="17"/>
      <c r="Q236" s="17"/>
      <c r="R236" s="17"/>
      <c r="S236" s="17"/>
      <c r="T236" s="17"/>
      <c r="U236" s="17"/>
    </row>
    <row r="237" spans="3:21" ht="16.5" x14ac:dyDescent="0.35">
      <c r="C237" s="17"/>
      <c r="D237" s="17"/>
      <c r="E237" s="17"/>
      <c r="F237" s="17"/>
      <c r="G237" s="17"/>
      <c r="H237" s="17"/>
      <c r="I237" s="17"/>
      <c r="J237" s="17"/>
      <c r="K237" s="17"/>
      <c r="L237" s="17"/>
      <c r="M237" s="17"/>
      <c r="N237" s="17"/>
      <c r="O237" s="17"/>
      <c r="P237" s="17"/>
      <c r="Q237" s="17"/>
      <c r="R237" s="17"/>
      <c r="S237" s="17"/>
      <c r="T237" s="17"/>
      <c r="U237" s="17"/>
    </row>
    <row r="238" spans="3:21" ht="16.5" x14ac:dyDescent="0.35">
      <c r="C238" s="17"/>
      <c r="D238" s="17"/>
      <c r="E238" s="17"/>
      <c r="F238" s="17"/>
      <c r="G238" s="17"/>
      <c r="H238" s="17"/>
      <c r="I238" s="17"/>
      <c r="J238" s="17"/>
      <c r="K238" s="17"/>
      <c r="L238" s="17"/>
      <c r="M238" s="17"/>
      <c r="N238" s="17"/>
      <c r="O238" s="17"/>
      <c r="P238" s="17"/>
      <c r="Q238" s="17"/>
      <c r="R238" s="17"/>
      <c r="S238" s="17"/>
      <c r="T238" s="17"/>
      <c r="U238" s="17"/>
    </row>
    <row r="239" spans="3:21" ht="16.5" x14ac:dyDescent="0.35">
      <c r="C239" s="17"/>
      <c r="D239" s="17"/>
      <c r="E239" s="17"/>
      <c r="F239" s="17"/>
      <c r="G239" s="17"/>
      <c r="H239" s="17"/>
      <c r="I239" s="17"/>
      <c r="J239" s="17"/>
      <c r="K239" s="17"/>
      <c r="L239" s="17"/>
      <c r="M239" s="17"/>
      <c r="N239" s="17"/>
      <c r="O239" s="17"/>
      <c r="P239" s="17"/>
      <c r="Q239" s="17"/>
      <c r="R239" s="17"/>
      <c r="S239" s="17"/>
      <c r="T239" s="17"/>
      <c r="U239" s="17"/>
    </row>
    <row r="240" spans="3:21" ht="16.5" x14ac:dyDescent="0.35">
      <c r="C240" s="17"/>
      <c r="D240" s="17"/>
      <c r="E240" s="17"/>
      <c r="F240" s="17"/>
      <c r="G240" s="17"/>
      <c r="H240" s="17"/>
      <c r="I240" s="17"/>
      <c r="J240" s="17"/>
      <c r="K240" s="17"/>
      <c r="L240" s="17"/>
      <c r="M240" s="17"/>
      <c r="N240" s="17"/>
      <c r="O240" s="17"/>
      <c r="P240" s="17"/>
      <c r="Q240" s="17"/>
      <c r="R240" s="17"/>
      <c r="S240" s="17"/>
      <c r="T240" s="17"/>
      <c r="U240" s="17"/>
    </row>
    <row r="241" spans="3:21" ht="16.5" x14ac:dyDescent="0.35">
      <c r="C241" s="17"/>
      <c r="D241" s="17"/>
      <c r="E241" s="17"/>
      <c r="F241" s="17"/>
      <c r="G241" s="17"/>
      <c r="H241" s="17"/>
      <c r="I241" s="17"/>
      <c r="J241" s="17"/>
      <c r="K241" s="17"/>
      <c r="L241" s="17"/>
      <c r="M241" s="17"/>
      <c r="N241" s="17"/>
      <c r="O241" s="17"/>
      <c r="P241" s="17"/>
      <c r="Q241" s="17"/>
      <c r="R241" s="17"/>
      <c r="S241" s="17"/>
      <c r="T241" s="17"/>
      <c r="U241" s="17"/>
    </row>
    <row r="242" spans="3:21" ht="16.5" x14ac:dyDescent="0.35">
      <c r="C242" s="17"/>
      <c r="D242" s="17"/>
      <c r="E242" s="17"/>
      <c r="F242" s="17"/>
      <c r="G242" s="17"/>
      <c r="H242" s="17"/>
      <c r="I242" s="17"/>
      <c r="J242" s="17"/>
      <c r="K242" s="17"/>
      <c r="L242" s="17"/>
      <c r="M242" s="17"/>
      <c r="N242" s="17"/>
      <c r="O242" s="17"/>
      <c r="P242" s="17"/>
      <c r="Q242" s="17"/>
      <c r="R242" s="17"/>
      <c r="S242" s="17"/>
      <c r="T242" s="17"/>
      <c r="U242" s="17"/>
    </row>
    <row r="243" spans="3:21" ht="16.5" x14ac:dyDescent="0.35">
      <c r="C243" s="17"/>
      <c r="D243" s="17"/>
      <c r="E243" s="17"/>
      <c r="F243" s="17"/>
      <c r="G243" s="17"/>
      <c r="H243" s="17"/>
      <c r="I243" s="17"/>
      <c r="J243" s="17"/>
      <c r="K243" s="17"/>
      <c r="L243" s="17"/>
      <c r="M243" s="17"/>
      <c r="N243" s="17"/>
      <c r="O243" s="17"/>
      <c r="P243" s="17"/>
      <c r="Q243" s="17"/>
      <c r="R243" s="17"/>
      <c r="S243" s="17"/>
      <c r="T243" s="17"/>
      <c r="U243" s="17"/>
    </row>
    <row r="244" spans="3:21" ht="16.5" x14ac:dyDescent="0.35">
      <c r="C244" s="17"/>
      <c r="D244" s="17"/>
      <c r="E244" s="17"/>
      <c r="F244" s="17"/>
      <c r="G244" s="17"/>
      <c r="H244" s="17"/>
      <c r="I244" s="17"/>
      <c r="J244" s="17"/>
      <c r="K244" s="17"/>
      <c r="L244" s="17"/>
      <c r="M244" s="17"/>
      <c r="N244" s="17"/>
      <c r="O244" s="17"/>
      <c r="P244" s="17"/>
      <c r="Q244" s="17"/>
      <c r="R244" s="17"/>
      <c r="S244" s="17"/>
      <c r="T244" s="17"/>
      <c r="U244" s="17"/>
    </row>
    <row r="245" spans="3:21" ht="16.5" x14ac:dyDescent="0.35">
      <c r="C245" s="17"/>
      <c r="D245" s="17"/>
      <c r="E245" s="17"/>
      <c r="F245" s="17"/>
      <c r="G245" s="17"/>
      <c r="H245" s="17"/>
      <c r="I245" s="17"/>
      <c r="J245" s="17"/>
      <c r="K245" s="17"/>
      <c r="L245" s="17"/>
      <c r="M245" s="17"/>
      <c r="N245" s="17"/>
      <c r="O245" s="17"/>
      <c r="P245" s="17"/>
      <c r="Q245" s="17"/>
      <c r="R245" s="17"/>
      <c r="S245" s="17"/>
      <c r="T245" s="17"/>
      <c r="U245" s="17"/>
    </row>
    <row r="246" spans="3:21" ht="16.5" x14ac:dyDescent="0.35">
      <c r="C246" s="17"/>
      <c r="D246" s="17"/>
      <c r="E246" s="17"/>
      <c r="F246" s="17"/>
      <c r="G246" s="17"/>
      <c r="H246" s="17"/>
      <c r="I246" s="17"/>
      <c r="J246" s="17"/>
      <c r="K246" s="17"/>
      <c r="L246" s="17"/>
      <c r="M246" s="17"/>
      <c r="N246" s="17"/>
      <c r="O246" s="17"/>
      <c r="P246" s="17"/>
      <c r="Q246" s="17"/>
      <c r="R246" s="17"/>
      <c r="S246" s="17"/>
      <c r="T246" s="17"/>
      <c r="U246" s="17"/>
    </row>
    <row r="247" spans="3:21" ht="16.5" x14ac:dyDescent="0.35">
      <c r="C247" s="17"/>
      <c r="D247" s="17"/>
      <c r="E247" s="17"/>
      <c r="F247" s="17"/>
      <c r="G247" s="17"/>
      <c r="H247" s="17"/>
      <c r="I247" s="17"/>
      <c r="J247" s="17"/>
      <c r="K247" s="17"/>
      <c r="L247" s="17"/>
      <c r="M247" s="17"/>
      <c r="N247" s="17"/>
      <c r="O247" s="17"/>
      <c r="P247" s="17"/>
      <c r="Q247" s="17"/>
      <c r="R247" s="17"/>
      <c r="S247" s="17"/>
      <c r="T247" s="17"/>
      <c r="U247" s="17"/>
    </row>
    <row r="248" spans="3:21" ht="16.5" x14ac:dyDescent="0.35">
      <c r="C248" s="17"/>
      <c r="D248" s="17"/>
      <c r="E248" s="17"/>
      <c r="F248" s="17"/>
      <c r="G248" s="17"/>
      <c r="H248" s="17"/>
      <c r="I248" s="17"/>
      <c r="J248" s="17"/>
      <c r="K248" s="17"/>
      <c r="L248" s="17"/>
      <c r="M248" s="17"/>
      <c r="N248" s="17"/>
      <c r="O248" s="17"/>
      <c r="P248" s="17"/>
      <c r="Q248" s="17"/>
      <c r="R248" s="17"/>
      <c r="S248" s="17"/>
      <c r="T248" s="17"/>
      <c r="U248" s="17"/>
    </row>
    <row r="249" spans="3:21" ht="16.5" x14ac:dyDescent="0.35">
      <c r="C249" s="17"/>
      <c r="D249" s="17"/>
      <c r="E249" s="17"/>
      <c r="F249" s="17"/>
      <c r="G249" s="17"/>
      <c r="H249" s="17"/>
      <c r="I249" s="17"/>
      <c r="J249" s="17"/>
      <c r="K249" s="17"/>
      <c r="L249" s="17"/>
      <c r="M249" s="17"/>
      <c r="N249" s="17"/>
      <c r="O249" s="17"/>
      <c r="P249" s="17"/>
      <c r="Q249" s="17"/>
      <c r="R249" s="17"/>
      <c r="S249" s="17"/>
      <c r="T249" s="17"/>
      <c r="U249" s="17"/>
    </row>
    <row r="250" spans="3:21" ht="16.5" x14ac:dyDescent="0.35">
      <c r="C250" s="17"/>
      <c r="D250" s="17"/>
      <c r="E250" s="17"/>
      <c r="F250" s="17"/>
      <c r="G250" s="17"/>
      <c r="H250" s="17"/>
      <c r="I250" s="17"/>
      <c r="J250" s="17"/>
      <c r="K250" s="17"/>
      <c r="L250" s="17"/>
      <c r="M250" s="17"/>
      <c r="N250" s="17"/>
      <c r="O250" s="17"/>
      <c r="P250" s="17"/>
      <c r="Q250" s="17"/>
      <c r="R250" s="17"/>
      <c r="S250" s="17"/>
      <c r="T250" s="17"/>
      <c r="U250" s="17"/>
    </row>
    <row r="251" spans="3:21" ht="16.5" x14ac:dyDescent="0.35">
      <c r="C251" s="17"/>
      <c r="D251" s="17"/>
      <c r="E251" s="17"/>
      <c r="F251" s="17"/>
      <c r="G251" s="17"/>
      <c r="H251" s="17"/>
      <c r="I251" s="17"/>
      <c r="J251" s="17"/>
      <c r="K251" s="17"/>
      <c r="L251" s="17"/>
      <c r="M251" s="17"/>
      <c r="N251" s="17"/>
      <c r="O251" s="17"/>
      <c r="P251" s="17"/>
      <c r="Q251" s="17"/>
      <c r="R251" s="17"/>
      <c r="S251" s="17"/>
      <c r="T251" s="17"/>
      <c r="U251" s="17"/>
    </row>
    <row r="252" spans="3:21" ht="16.5" x14ac:dyDescent="0.35">
      <c r="C252" s="17"/>
      <c r="D252" s="17"/>
      <c r="E252" s="17"/>
      <c r="F252" s="17"/>
      <c r="G252" s="17"/>
      <c r="H252" s="17"/>
      <c r="I252" s="17"/>
      <c r="J252" s="17"/>
      <c r="K252" s="17"/>
      <c r="L252" s="17"/>
      <c r="M252" s="17"/>
      <c r="N252" s="17"/>
      <c r="O252" s="17"/>
      <c r="P252" s="17"/>
      <c r="Q252" s="17"/>
      <c r="R252" s="17"/>
      <c r="S252" s="17"/>
      <c r="T252" s="17"/>
      <c r="U252" s="17"/>
    </row>
    <row r="253" spans="3:21" ht="16.5" x14ac:dyDescent="0.35">
      <c r="C253" s="17"/>
      <c r="D253" s="17"/>
      <c r="E253" s="17"/>
      <c r="F253" s="17"/>
      <c r="G253" s="17"/>
      <c r="H253" s="17"/>
      <c r="I253" s="17"/>
      <c r="J253" s="17"/>
      <c r="K253" s="17"/>
      <c r="L253" s="17"/>
      <c r="M253" s="17"/>
      <c r="N253" s="17"/>
      <c r="O253" s="17"/>
      <c r="P253" s="17"/>
      <c r="Q253" s="17"/>
      <c r="R253" s="17"/>
      <c r="S253" s="17"/>
      <c r="T253" s="17"/>
      <c r="U253" s="17"/>
    </row>
    <row r="254" spans="3:21" ht="16.5" x14ac:dyDescent="0.35">
      <c r="C254" s="17"/>
      <c r="D254" s="17"/>
      <c r="E254" s="17"/>
      <c r="F254" s="17"/>
      <c r="G254" s="17"/>
      <c r="H254" s="17"/>
      <c r="I254" s="17"/>
      <c r="J254" s="17"/>
      <c r="K254" s="17"/>
      <c r="L254" s="17"/>
      <c r="M254" s="17"/>
      <c r="N254" s="17"/>
      <c r="O254" s="17"/>
      <c r="P254" s="17"/>
      <c r="Q254" s="17"/>
      <c r="R254" s="17"/>
      <c r="S254" s="17"/>
      <c r="T254" s="17"/>
      <c r="U254" s="17"/>
    </row>
    <row r="255" spans="3:21" ht="16.5" x14ac:dyDescent="0.35">
      <c r="C255" s="17"/>
      <c r="D255" s="17"/>
      <c r="E255" s="17"/>
      <c r="F255" s="17"/>
      <c r="G255" s="17"/>
      <c r="H255" s="17"/>
      <c r="I255" s="17"/>
      <c r="J255" s="17"/>
      <c r="K255" s="17"/>
      <c r="L255" s="17"/>
      <c r="M255" s="17"/>
      <c r="N255" s="17"/>
      <c r="O255" s="17"/>
      <c r="P255" s="17"/>
      <c r="Q255" s="17"/>
      <c r="R255" s="17"/>
      <c r="S255" s="17"/>
      <c r="T255" s="17"/>
      <c r="U255" s="17"/>
    </row>
    <row r="256" spans="3:21" ht="16.5" x14ac:dyDescent="0.35">
      <c r="C256" s="17"/>
      <c r="D256" s="17"/>
      <c r="E256" s="17"/>
      <c r="F256" s="17"/>
      <c r="G256" s="17"/>
      <c r="H256" s="17"/>
      <c r="I256" s="17"/>
      <c r="J256" s="17"/>
      <c r="K256" s="17"/>
      <c r="L256" s="17"/>
      <c r="M256" s="17"/>
      <c r="N256" s="17"/>
      <c r="O256" s="17"/>
      <c r="P256" s="17"/>
      <c r="Q256" s="17"/>
      <c r="R256" s="17"/>
      <c r="S256" s="17"/>
      <c r="T256" s="17"/>
      <c r="U256" s="17"/>
    </row>
    <row r="257" spans="3:21" ht="16.5" x14ac:dyDescent="0.35">
      <c r="C257" s="17"/>
      <c r="D257" s="17"/>
      <c r="E257" s="17"/>
      <c r="F257" s="17"/>
      <c r="G257" s="17"/>
      <c r="H257" s="17"/>
      <c r="I257" s="17"/>
      <c r="J257" s="17"/>
      <c r="K257" s="17"/>
      <c r="L257" s="17"/>
      <c r="M257" s="17"/>
      <c r="N257" s="17"/>
      <c r="O257" s="17"/>
      <c r="P257" s="17"/>
      <c r="Q257" s="17"/>
      <c r="R257" s="17"/>
      <c r="S257" s="17"/>
      <c r="T257" s="17"/>
      <c r="U257" s="17"/>
    </row>
    <row r="258" spans="3:21" ht="16.5" x14ac:dyDescent="0.35">
      <c r="C258" s="17"/>
      <c r="D258" s="17"/>
      <c r="E258" s="17"/>
      <c r="F258" s="17"/>
      <c r="G258" s="17"/>
      <c r="H258" s="17"/>
      <c r="I258" s="17"/>
      <c r="J258" s="17"/>
      <c r="K258" s="17"/>
      <c r="L258" s="17"/>
      <c r="M258" s="17"/>
      <c r="N258" s="17"/>
      <c r="O258" s="17"/>
      <c r="P258" s="17"/>
      <c r="Q258" s="17"/>
      <c r="R258" s="17"/>
      <c r="S258" s="17"/>
      <c r="T258" s="17"/>
      <c r="U258" s="17"/>
    </row>
    <row r="259" spans="3:21" ht="16.5" x14ac:dyDescent="0.35">
      <c r="C259" s="17"/>
      <c r="D259" s="17"/>
      <c r="E259" s="17"/>
      <c r="F259" s="17"/>
      <c r="G259" s="17"/>
      <c r="H259" s="17"/>
      <c r="I259" s="17"/>
      <c r="J259" s="17"/>
      <c r="K259" s="17"/>
      <c r="L259" s="17"/>
      <c r="M259" s="17"/>
      <c r="N259" s="17"/>
      <c r="O259" s="17"/>
      <c r="P259" s="17"/>
      <c r="Q259" s="17"/>
      <c r="R259" s="17"/>
      <c r="S259" s="17"/>
      <c r="T259" s="17"/>
      <c r="U259" s="17"/>
    </row>
    <row r="260" spans="3:21" ht="16.5" x14ac:dyDescent="0.35">
      <c r="C260" s="17"/>
      <c r="D260" s="17"/>
      <c r="E260" s="17"/>
      <c r="F260" s="17"/>
      <c r="G260" s="17"/>
      <c r="H260" s="17"/>
      <c r="I260" s="17"/>
      <c r="J260" s="17"/>
      <c r="K260" s="17"/>
      <c r="L260" s="17"/>
      <c r="M260" s="17"/>
      <c r="N260" s="17"/>
      <c r="O260" s="17"/>
      <c r="P260" s="17"/>
      <c r="Q260" s="17"/>
      <c r="R260" s="17"/>
      <c r="S260" s="17"/>
      <c r="T260" s="17"/>
      <c r="U260" s="17"/>
    </row>
    <row r="261" spans="3:21" ht="16.5" x14ac:dyDescent="0.35">
      <c r="C261" s="17"/>
      <c r="D261" s="17"/>
      <c r="E261" s="17"/>
      <c r="F261" s="17"/>
      <c r="G261" s="17"/>
      <c r="H261" s="17"/>
      <c r="I261" s="17"/>
      <c r="J261" s="17"/>
      <c r="K261" s="17"/>
      <c r="L261" s="17"/>
      <c r="M261" s="17"/>
      <c r="N261" s="17"/>
      <c r="O261" s="17"/>
      <c r="P261" s="17"/>
      <c r="Q261" s="17"/>
      <c r="R261" s="17"/>
      <c r="S261" s="17"/>
      <c r="T261" s="17"/>
      <c r="U261" s="17"/>
    </row>
    <row r="262" spans="3:21" ht="16.5" x14ac:dyDescent="0.35">
      <c r="C262" s="17"/>
      <c r="D262" s="17"/>
      <c r="E262" s="17"/>
      <c r="F262" s="17"/>
      <c r="G262" s="17"/>
      <c r="H262" s="17"/>
      <c r="I262" s="17"/>
      <c r="J262" s="17"/>
      <c r="K262" s="17"/>
      <c r="L262" s="17"/>
      <c r="M262" s="17"/>
      <c r="N262" s="17"/>
      <c r="O262" s="17"/>
      <c r="P262" s="17"/>
      <c r="Q262" s="17"/>
      <c r="R262" s="17"/>
      <c r="S262" s="17"/>
      <c r="T262" s="17"/>
      <c r="U262" s="17"/>
    </row>
    <row r="263" spans="3:21" ht="16.5" x14ac:dyDescent="0.35">
      <c r="C263" s="17"/>
      <c r="D263" s="17"/>
      <c r="E263" s="17"/>
      <c r="F263" s="17"/>
      <c r="G263" s="17"/>
      <c r="H263" s="17"/>
      <c r="I263" s="17"/>
      <c r="J263" s="17"/>
      <c r="K263" s="17"/>
      <c r="L263" s="17"/>
      <c r="M263" s="17"/>
      <c r="N263" s="17"/>
      <c r="O263" s="17"/>
      <c r="P263" s="17"/>
      <c r="Q263" s="17"/>
      <c r="R263" s="17"/>
      <c r="S263" s="17"/>
      <c r="T263" s="17"/>
      <c r="U263" s="17"/>
    </row>
    <row r="264" spans="3:21" ht="16.5" x14ac:dyDescent="0.35">
      <c r="C264" s="17"/>
      <c r="D264" s="17"/>
      <c r="E264" s="17"/>
      <c r="F264" s="17"/>
      <c r="G264" s="17"/>
      <c r="H264" s="17"/>
      <c r="I264" s="17"/>
      <c r="J264" s="17"/>
      <c r="K264" s="17"/>
      <c r="L264" s="17"/>
      <c r="M264" s="17"/>
      <c r="N264" s="17"/>
      <c r="O264" s="17"/>
      <c r="P264" s="17"/>
      <c r="Q264" s="17"/>
      <c r="R264" s="17"/>
      <c r="S264" s="17"/>
      <c r="T264" s="17"/>
      <c r="U264" s="17"/>
    </row>
    <row r="265" spans="3:21" ht="16.5" x14ac:dyDescent="0.35">
      <c r="C265" s="17"/>
      <c r="D265" s="17"/>
      <c r="E265" s="17"/>
      <c r="F265" s="17"/>
      <c r="G265" s="17"/>
      <c r="H265" s="17"/>
      <c r="I265" s="17"/>
      <c r="J265" s="17"/>
      <c r="K265" s="17"/>
      <c r="L265" s="17"/>
      <c r="M265" s="17"/>
      <c r="N265" s="17"/>
      <c r="O265" s="17"/>
      <c r="P265" s="17"/>
      <c r="Q265" s="17"/>
      <c r="R265" s="17"/>
      <c r="S265" s="17"/>
      <c r="T265" s="17"/>
      <c r="U265" s="17"/>
    </row>
    <row r="266" spans="3:21" ht="16.5" x14ac:dyDescent="0.35">
      <c r="C266" s="17"/>
      <c r="D266" s="17"/>
      <c r="E266" s="17"/>
      <c r="F266" s="17"/>
      <c r="G266" s="17"/>
      <c r="H266" s="17"/>
      <c r="I266" s="17"/>
      <c r="J266" s="17"/>
      <c r="K266" s="17"/>
      <c r="L266" s="17"/>
      <c r="M266" s="17"/>
      <c r="N266" s="17"/>
      <c r="O266" s="17"/>
      <c r="P266" s="17"/>
      <c r="Q266" s="17"/>
      <c r="R266" s="17"/>
      <c r="S266" s="17"/>
      <c r="T266" s="17"/>
      <c r="U266" s="17"/>
    </row>
    <row r="267" spans="3:21" ht="16.5" x14ac:dyDescent="0.35">
      <c r="C267" s="17"/>
      <c r="D267" s="17"/>
      <c r="E267" s="17"/>
      <c r="F267" s="17"/>
      <c r="G267" s="17"/>
      <c r="H267" s="17"/>
      <c r="I267" s="17"/>
      <c r="J267" s="17"/>
      <c r="K267" s="17"/>
      <c r="L267" s="17"/>
      <c r="M267" s="17"/>
      <c r="N267" s="17"/>
      <c r="O267" s="17"/>
      <c r="P267" s="17"/>
      <c r="Q267" s="17"/>
      <c r="R267" s="17"/>
      <c r="S267" s="17"/>
      <c r="T267" s="17"/>
      <c r="U267" s="17"/>
    </row>
    <row r="268" spans="3:21" ht="16.5" x14ac:dyDescent="0.35">
      <c r="C268" s="17"/>
      <c r="D268" s="17"/>
      <c r="E268" s="17"/>
      <c r="F268" s="17"/>
      <c r="G268" s="17"/>
      <c r="H268" s="17"/>
      <c r="I268" s="17"/>
      <c r="J268" s="17"/>
      <c r="K268" s="17"/>
      <c r="L268" s="17"/>
      <c r="M268" s="17"/>
      <c r="N268" s="17"/>
      <c r="O268" s="17"/>
      <c r="P268" s="17"/>
      <c r="Q268" s="17"/>
      <c r="R268" s="17"/>
      <c r="S268" s="17"/>
      <c r="T268" s="17"/>
      <c r="U268" s="17"/>
    </row>
    <row r="269" spans="3:21" ht="16.5" x14ac:dyDescent="0.35">
      <c r="C269" s="17"/>
      <c r="D269" s="17"/>
      <c r="E269" s="17"/>
      <c r="F269" s="17"/>
      <c r="G269" s="17"/>
      <c r="H269" s="17"/>
      <c r="I269" s="17"/>
      <c r="J269" s="17"/>
      <c r="K269" s="17"/>
      <c r="L269" s="17"/>
      <c r="M269" s="17"/>
      <c r="N269" s="17"/>
      <c r="O269" s="17"/>
      <c r="P269" s="17"/>
      <c r="Q269" s="17"/>
      <c r="R269" s="17"/>
      <c r="S269" s="17"/>
      <c r="T269" s="17"/>
      <c r="U269" s="17"/>
    </row>
    <row r="270" spans="3:21" ht="16.5" x14ac:dyDescent="0.35">
      <c r="C270" s="17"/>
      <c r="D270" s="17"/>
      <c r="E270" s="17"/>
      <c r="F270" s="17"/>
      <c r="G270" s="17"/>
      <c r="H270" s="17"/>
      <c r="I270" s="17"/>
      <c r="J270" s="17"/>
      <c r="K270" s="17"/>
      <c r="L270" s="17"/>
      <c r="M270" s="17"/>
      <c r="N270" s="17"/>
      <c r="O270" s="17"/>
      <c r="P270" s="17"/>
      <c r="Q270" s="17"/>
      <c r="R270" s="17"/>
      <c r="S270" s="17"/>
      <c r="T270" s="17"/>
      <c r="U270" s="17"/>
    </row>
    <row r="271" spans="3:21" ht="16.5" x14ac:dyDescent="0.35">
      <c r="C271" s="17"/>
      <c r="D271" s="17"/>
      <c r="E271" s="17"/>
      <c r="F271" s="17"/>
      <c r="G271" s="17"/>
      <c r="H271" s="17"/>
      <c r="I271" s="17"/>
      <c r="J271" s="17"/>
      <c r="K271" s="17"/>
      <c r="L271" s="17"/>
      <c r="M271" s="17"/>
      <c r="N271" s="17"/>
      <c r="O271" s="17"/>
      <c r="P271" s="17"/>
      <c r="Q271" s="17"/>
      <c r="R271" s="17"/>
      <c r="S271" s="17"/>
      <c r="T271" s="17"/>
      <c r="U271" s="17"/>
    </row>
    <row r="272" spans="3:21" ht="16.5" x14ac:dyDescent="0.35">
      <c r="C272" s="17"/>
      <c r="D272" s="17"/>
      <c r="E272" s="17"/>
      <c r="F272" s="17"/>
      <c r="G272" s="17"/>
      <c r="H272" s="17"/>
      <c r="I272" s="17"/>
      <c r="J272" s="17"/>
      <c r="K272" s="17"/>
      <c r="L272" s="17"/>
      <c r="M272" s="17"/>
      <c r="N272" s="17"/>
      <c r="O272" s="17"/>
      <c r="P272" s="17"/>
      <c r="Q272" s="17"/>
      <c r="R272" s="17"/>
      <c r="S272" s="17"/>
      <c r="T272" s="17"/>
      <c r="U272" s="17"/>
    </row>
    <row r="273" spans="3:21" ht="16.5" x14ac:dyDescent="0.35">
      <c r="C273" s="17"/>
      <c r="D273" s="17"/>
      <c r="E273" s="17"/>
      <c r="F273" s="17"/>
      <c r="G273" s="17"/>
      <c r="H273" s="17"/>
      <c r="I273" s="17"/>
      <c r="J273" s="17"/>
      <c r="K273" s="17"/>
      <c r="L273" s="17"/>
      <c r="M273" s="17"/>
      <c r="N273" s="17"/>
      <c r="O273" s="17"/>
      <c r="P273" s="17"/>
      <c r="Q273" s="17"/>
      <c r="R273" s="17"/>
      <c r="S273" s="17"/>
      <c r="T273" s="17"/>
      <c r="U273" s="17"/>
    </row>
    <row r="274" spans="3:21" ht="16.5" x14ac:dyDescent="0.35">
      <c r="C274" s="17"/>
      <c r="D274" s="17"/>
      <c r="E274" s="17"/>
      <c r="F274" s="17"/>
      <c r="G274" s="17"/>
      <c r="H274" s="17"/>
      <c r="I274" s="17"/>
      <c r="J274" s="17"/>
      <c r="K274" s="17"/>
      <c r="L274" s="17"/>
      <c r="M274" s="17"/>
      <c r="N274" s="17"/>
      <c r="O274" s="17"/>
      <c r="P274" s="17"/>
      <c r="Q274" s="17"/>
      <c r="R274" s="17"/>
      <c r="S274" s="17"/>
      <c r="T274" s="17"/>
      <c r="U274" s="17"/>
    </row>
    <row r="275" spans="3:21" ht="16.5" x14ac:dyDescent="0.35">
      <c r="C275" s="17"/>
      <c r="D275" s="17"/>
      <c r="E275" s="17"/>
      <c r="F275" s="17"/>
      <c r="G275" s="17"/>
      <c r="H275" s="17"/>
      <c r="I275" s="17"/>
      <c r="J275" s="17"/>
      <c r="K275" s="17"/>
      <c r="L275" s="17"/>
      <c r="M275" s="17"/>
      <c r="N275" s="17"/>
      <c r="O275" s="17"/>
      <c r="P275" s="17"/>
      <c r="Q275" s="17"/>
      <c r="R275" s="17"/>
      <c r="S275" s="17"/>
      <c r="T275" s="17"/>
      <c r="U275" s="17"/>
    </row>
    <row r="276" spans="3:21" ht="16.5" x14ac:dyDescent="0.35">
      <c r="C276" s="17"/>
      <c r="D276" s="17"/>
      <c r="E276" s="17"/>
      <c r="F276" s="17"/>
      <c r="G276" s="17"/>
      <c r="H276" s="17"/>
      <c r="I276" s="17"/>
      <c r="J276" s="17"/>
      <c r="K276" s="17"/>
      <c r="L276" s="17"/>
      <c r="M276" s="17"/>
      <c r="N276" s="17"/>
      <c r="O276" s="17"/>
      <c r="P276" s="17"/>
      <c r="Q276" s="17"/>
      <c r="R276" s="17"/>
      <c r="S276" s="17"/>
      <c r="T276" s="17"/>
      <c r="U276" s="17"/>
    </row>
    <row r="277" spans="3:21" ht="16.5" x14ac:dyDescent="0.35">
      <c r="C277" s="17"/>
      <c r="D277" s="17"/>
      <c r="E277" s="17"/>
      <c r="F277" s="17"/>
      <c r="G277" s="17"/>
      <c r="H277" s="17"/>
      <c r="I277" s="17"/>
      <c r="J277" s="17"/>
      <c r="K277" s="17"/>
      <c r="L277" s="17"/>
      <c r="M277" s="17"/>
      <c r="N277" s="17"/>
      <c r="O277" s="17"/>
      <c r="P277" s="17"/>
      <c r="Q277" s="17"/>
      <c r="R277" s="17"/>
      <c r="S277" s="17"/>
      <c r="T277" s="17"/>
      <c r="U277" s="17"/>
    </row>
    <row r="278" spans="3:21" ht="16.5" x14ac:dyDescent="0.35">
      <c r="C278" s="17"/>
      <c r="D278" s="17"/>
      <c r="E278" s="17"/>
      <c r="F278" s="17"/>
      <c r="G278" s="17"/>
      <c r="H278" s="17"/>
      <c r="I278" s="17"/>
      <c r="J278" s="17"/>
      <c r="K278" s="17"/>
      <c r="L278" s="17"/>
      <c r="M278" s="17"/>
      <c r="N278" s="17"/>
      <c r="O278" s="17"/>
      <c r="P278" s="17"/>
      <c r="Q278" s="17"/>
      <c r="R278" s="17"/>
      <c r="S278" s="17"/>
      <c r="T278" s="17"/>
      <c r="U278" s="17"/>
    </row>
    <row r="279" spans="3:21" ht="16.5" x14ac:dyDescent="0.35">
      <c r="C279" s="17"/>
      <c r="D279" s="17"/>
      <c r="E279" s="17"/>
      <c r="F279" s="17"/>
      <c r="G279" s="17"/>
      <c r="H279" s="17"/>
      <c r="I279" s="17"/>
      <c r="J279" s="17"/>
      <c r="K279" s="17"/>
      <c r="L279" s="17"/>
      <c r="M279" s="17"/>
      <c r="N279" s="17"/>
      <c r="O279" s="17"/>
      <c r="P279" s="17"/>
      <c r="Q279" s="17"/>
      <c r="R279" s="17"/>
      <c r="S279" s="17"/>
      <c r="T279" s="17"/>
      <c r="U279" s="17"/>
    </row>
    <row r="280" spans="3:21" ht="16.5" x14ac:dyDescent="0.35">
      <c r="C280" s="17"/>
      <c r="D280" s="17"/>
      <c r="E280" s="17"/>
      <c r="F280" s="17"/>
      <c r="G280" s="17"/>
      <c r="H280" s="17"/>
      <c r="I280" s="17"/>
      <c r="J280" s="17"/>
      <c r="K280" s="17"/>
      <c r="L280" s="17"/>
      <c r="M280" s="17"/>
      <c r="N280" s="17"/>
      <c r="O280" s="17"/>
      <c r="P280" s="17"/>
      <c r="Q280" s="17"/>
      <c r="R280" s="17"/>
      <c r="S280" s="17"/>
      <c r="T280" s="17"/>
      <c r="U280" s="17"/>
    </row>
    <row r="281" spans="3:21" ht="16.5" x14ac:dyDescent="0.35">
      <c r="C281" s="17"/>
      <c r="D281" s="17"/>
      <c r="E281" s="17"/>
      <c r="F281" s="17"/>
      <c r="G281" s="17"/>
      <c r="H281" s="17"/>
      <c r="I281" s="17"/>
      <c r="J281" s="17"/>
      <c r="K281" s="17"/>
      <c r="L281" s="17"/>
      <c r="M281" s="17"/>
      <c r="N281" s="17"/>
      <c r="O281" s="17"/>
      <c r="P281" s="17"/>
      <c r="Q281" s="17"/>
      <c r="R281" s="17"/>
      <c r="S281" s="17"/>
      <c r="T281" s="17"/>
      <c r="U281" s="17"/>
    </row>
    <row r="282" spans="3:21" ht="16.5" x14ac:dyDescent="0.35">
      <c r="C282" s="17"/>
      <c r="D282" s="17"/>
      <c r="E282" s="17"/>
      <c r="F282" s="17"/>
      <c r="G282" s="17"/>
      <c r="H282" s="17"/>
      <c r="I282" s="17"/>
      <c r="J282" s="17"/>
      <c r="K282" s="17"/>
      <c r="L282" s="17"/>
      <c r="M282" s="17"/>
      <c r="N282" s="17"/>
      <c r="O282" s="17"/>
      <c r="P282" s="17"/>
      <c r="Q282" s="17"/>
      <c r="R282" s="17"/>
      <c r="S282" s="17"/>
      <c r="T282" s="17"/>
      <c r="U282" s="17"/>
    </row>
    <row r="283" spans="3:21" ht="16.5" x14ac:dyDescent="0.35">
      <c r="C283" s="17"/>
      <c r="D283" s="17"/>
      <c r="E283" s="17"/>
      <c r="F283" s="17"/>
      <c r="G283" s="17"/>
      <c r="H283" s="17"/>
      <c r="I283" s="17"/>
      <c r="J283" s="17"/>
      <c r="K283" s="17"/>
      <c r="L283" s="17"/>
      <c r="M283" s="17"/>
      <c r="N283" s="17"/>
      <c r="O283" s="17"/>
      <c r="P283" s="17"/>
      <c r="Q283" s="17"/>
      <c r="R283" s="17"/>
      <c r="S283" s="17"/>
      <c r="T283" s="17"/>
      <c r="U283" s="17"/>
    </row>
    <row r="284" spans="3:21" ht="16.5" x14ac:dyDescent="0.35">
      <c r="C284" s="17"/>
      <c r="D284" s="17"/>
      <c r="E284" s="17"/>
      <c r="F284" s="17"/>
      <c r="G284" s="17"/>
      <c r="H284" s="17"/>
      <c r="I284" s="17"/>
      <c r="J284" s="17"/>
      <c r="K284" s="17"/>
      <c r="L284" s="17"/>
      <c r="M284" s="17"/>
      <c r="N284" s="17"/>
      <c r="O284" s="17"/>
      <c r="P284" s="17"/>
      <c r="Q284" s="17"/>
      <c r="R284" s="17"/>
      <c r="S284" s="17"/>
      <c r="T284" s="17"/>
      <c r="U284" s="17"/>
    </row>
    <row r="285" spans="3:21" ht="16.5" x14ac:dyDescent="0.35">
      <c r="C285" s="17"/>
      <c r="D285" s="17"/>
      <c r="E285" s="17"/>
      <c r="F285" s="17"/>
      <c r="G285" s="17"/>
      <c r="H285" s="17"/>
      <c r="I285" s="17"/>
      <c r="J285" s="17"/>
      <c r="K285" s="17"/>
      <c r="L285" s="17"/>
      <c r="M285" s="17"/>
      <c r="N285" s="17"/>
      <c r="O285" s="17"/>
      <c r="P285" s="17"/>
      <c r="Q285" s="17"/>
      <c r="R285" s="17"/>
      <c r="S285" s="17"/>
      <c r="T285" s="17"/>
      <c r="U285" s="17"/>
    </row>
    <row r="286" spans="3:21" ht="16.5" x14ac:dyDescent="0.35">
      <c r="C286" s="17"/>
      <c r="D286" s="17"/>
      <c r="E286" s="17"/>
      <c r="F286" s="17"/>
      <c r="G286" s="17"/>
      <c r="H286" s="17"/>
      <c r="I286" s="17"/>
      <c r="J286" s="17"/>
      <c r="K286" s="17"/>
      <c r="L286" s="17"/>
      <c r="M286" s="17"/>
      <c r="N286" s="17"/>
      <c r="O286" s="17"/>
      <c r="P286" s="17"/>
      <c r="Q286" s="17"/>
      <c r="R286" s="17"/>
      <c r="S286" s="17"/>
      <c r="T286" s="17"/>
      <c r="U286" s="17"/>
    </row>
    <row r="287" spans="3:21" ht="16.5" x14ac:dyDescent="0.35">
      <c r="C287" s="17"/>
      <c r="D287" s="17"/>
      <c r="E287" s="17"/>
      <c r="F287" s="17"/>
      <c r="G287" s="17"/>
      <c r="H287" s="17"/>
      <c r="I287" s="17"/>
      <c r="J287" s="17"/>
      <c r="K287" s="17"/>
      <c r="L287" s="17"/>
      <c r="M287" s="17"/>
      <c r="N287" s="17"/>
      <c r="O287" s="17"/>
      <c r="P287" s="17"/>
      <c r="Q287" s="17"/>
      <c r="R287" s="17"/>
      <c r="S287" s="17"/>
      <c r="T287" s="17"/>
      <c r="U287" s="17"/>
    </row>
    <row r="288" spans="3:21" ht="16.5" x14ac:dyDescent="0.35">
      <c r="C288" s="17"/>
      <c r="D288" s="17"/>
      <c r="E288" s="17"/>
      <c r="F288" s="17"/>
      <c r="G288" s="17"/>
      <c r="H288" s="17"/>
      <c r="I288" s="17"/>
      <c r="J288" s="17"/>
      <c r="K288" s="17"/>
      <c r="L288" s="17"/>
      <c r="M288" s="17"/>
      <c r="N288" s="17"/>
      <c r="O288" s="17"/>
      <c r="P288" s="17"/>
      <c r="Q288" s="17"/>
      <c r="R288" s="17"/>
      <c r="S288" s="17"/>
      <c r="T288" s="17"/>
      <c r="U288" s="17"/>
    </row>
    <row r="289" spans="3:21" ht="16.5" x14ac:dyDescent="0.35">
      <c r="C289" s="17"/>
      <c r="D289" s="17"/>
      <c r="E289" s="17"/>
      <c r="F289" s="17"/>
      <c r="G289" s="17"/>
      <c r="H289" s="17"/>
      <c r="I289" s="17"/>
      <c r="J289" s="17"/>
      <c r="K289" s="17"/>
      <c r="L289" s="17"/>
      <c r="M289" s="17"/>
      <c r="N289" s="17"/>
      <c r="O289" s="17"/>
      <c r="P289" s="17"/>
      <c r="Q289" s="17"/>
      <c r="R289" s="17"/>
      <c r="S289" s="17"/>
      <c r="T289" s="17"/>
      <c r="U289" s="17"/>
    </row>
    <row r="290" spans="3:21" ht="16.5" x14ac:dyDescent="0.35">
      <c r="C290" s="17"/>
      <c r="D290" s="17"/>
      <c r="E290" s="17"/>
      <c r="F290" s="17"/>
      <c r="G290" s="17"/>
      <c r="H290" s="17"/>
      <c r="I290" s="17"/>
      <c r="J290" s="17"/>
      <c r="K290" s="17"/>
      <c r="L290" s="17"/>
      <c r="M290" s="17"/>
      <c r="N290" s="17"/>
      <c r="O290" s="17"/>
      <c r="P290" s="17"/>
      <c r="Q290" s="17"/>
      <c r="R290" s="17"/>
      <c r="S290" s="17"/>
      <c r="T290" s="17"/>
      <c r="U290" s="17"/>
    </row>
    <row r="291" spans="3:21" ht="16.5" x14ac:dyDescent="0.35">
      <c r="C291" s="17"/>
      <c r="D291" s="17"/>
      <c r="E291" s="17"/>
      <c r="F291" s="17"/>
      <c r="G291" s="17"/>
      <c r="H291" s="17"/>
      <c r="I291" s="17"/>
      <c r="J291" s="17"/>
      <c r="K291" s="17"/>
      <c r="L291" s="17"/>
      <c r="M291" s="17"/>
      <c r="N291" s="17"/>
      <c r="O291" s="17"/>
      <c r="P291" s="17"/>
      <c r="Q291" s="17"/>
      <c r="R291" s="17"/>
      <c r="S291" s="17"/>
      <c r="T291" s="17"/>
      <c r="U291" s="17"/>
    </row>
    <row r="292" spans="3:21" ht="16.5" x14ac:dyDescent="0.35">
      <c r="C292" s="17"/>
      <c r="D292" s="17"/>
      <c r="E292" s="17"/>
      <c r="F292" s="17"/>
      <c r="G292" s="17"/>
      <c r="H292" s="17"/>
      <c r="I292" s="17"/>
      <c r="J292" s="17"/>
      <c r="K292" s="17"/>
      <c r="L292" s="17"/>
      <c r="M292" s="17"/>
      <c r="N292" s="17"/>
      <c r="O292" s="17"/>
      <c r="P292" s="17"/>
      <c r="Q292" s="17"/>
      <c r="R292" s="17"/>
      <c r="S292" s="17"/>
      <c r="T292" s="17"/>
      <c r="U292" s="17"/>
    </row>
    <row r="293" spans="3:21" ht="16.5" x14ac:dyDescent="0.35">
      <c r="C293" s="17"/>
      <c r="D293" s="17"/>
      <c r="E293" s="17"/>
      <c r="F293" s="17"/>
      <c r="G293" s="17"/>
      <c r="H293" s="17"/>
      <c r="I293" s="17"/>
      <c r="J293" s="17"/>
      <c r="K293" s="17"/>
      <c r="L293" s="17"/>
      <c r="M293" s="17"/>
      <c r="N293" s="17"/>
      <c r="O293" s="17"/>
      <c r="P293" s="17"/>
      <c r="Q293" s="17"/>
      <c r="R293" s="17"/>
      <c r="S293" s="17"/>
      <c r="T293" s="17"/>
      <c r="U293" s="17"/>
    </row>
    <row r="294" spans="3:21" ht="16.5" x14ac:dyDescent="0.35">
      <c r="C294" s="17"/>
      <c r="D294" s="17"/>
      <c r="E294" s="17"/>
      <c r="F294" s="17"/>
      <c r="G294" s="17"/>
      <c r="H294" s="17"/>
      <c r="I294" s="17"/>
      <c r="J294" s="17"/>
      <c r="K294" s="17"/>
      <c r="L294" s="17"/>
      <c r="M294" s="17"/>
      <c r="N294" s="17"/>
      <c r="O294" s="17"/>
      <c r="P294" s="17"/>
      <c r="Q294" s="17"/>
      <c r="R294" s="17"/>
      <c r="S294" s="17"/>
      <c r="T294" s="17"/>
      <c r="U294" s="17"/>
    </row>
    <row r="295" spans="3:21" ht="16.5" x14ac:dyDescent="0.35">
      <c r="C295" s="17"/>
      <c r="D295" s="17"/>
      <c r="E295" s="17"/>
      <c r="F295" s="17"/>
      <c r="G295" s="17"/>
      <c r="H295" s="17"/>
      <c r="I295" s="17"/>
      <c r="J295" s="17"/>
      <c r="K295" s="17"/>
      <c r="L295" s="17"/>
      <c r="M295" s="17"/>
      <c r="N295" s="17"/>
      <c r="O295" s="17"/>
      <c r="P295" s="17"/>
      <c r="Q295" s="17"/>
      <c r="R295" s="17"/>
      <c r="S295" s="17"/>
      <c r="T295" s="17"/>
      <c r="U295" s="17"/>
    </row>
    <row r="296" spans="3:21" ht="16.5" x14ac:dyDescent="0.35">
      <c r="C296" s="17"/>
      <c r="D296" s="17"/>
      <c r="E296" s="17"/>
      <c r="F296" s="17"/>
      <c r="G296" s="17"/>
      <c r="H296" s="17"/>
      <c r="I296" s="17"/>
      <c r="J296" s="17"/>
      <c r="K296" s="17"/>
      <c r="L296" s="17"/>
      <c r="M296" s="17"/>
      <c r="N296" s="17"/>
      <c r="O296" s="17"/>
      <c r="P296" s="17"/>
      <c r="Q296" s="17"/>
      <c r="R296" s="17"/>
      <c r="S296" s="17"/>
      <c r="T296" s="17"/>
      <c r="U296" s="17"/>
    </row>
    <row r="297" spans="3:21" ht="16.5" x14ac:dyDescent="0.35">
      <c r="C297" s="17"/>
      <c r="D297" s="17"/>
      <c r="E297" s="17"/>
      <c r="F297" s="17"/>
      <c r="G297" s="17"/>
      <c r="H297" s="17"/>
      <c r="I297" s="17"/>
      <c r="J297" s="17"/>
      <c r="K297" s="17"/>
      <c r="L297" s="17"/>
      <c r="M297" s="17"/>
      <c r="N297" s="17"/>
      <c r="O297" s="17"/>
      <c r="P297" s="17"/>
      <c r="Q297" s="17"/>
      <c r="R297" s="17"/>
      <c r="S297" s="17"/>
      <c r="T297" s="17"/>
      <c r="U297" s="17"/>
    </row>
    <row r="298" spans="3:21" ht="16.5" x14ac:dyDescent="0.35">
      <c r="C298" s="17"/>
      <c r="D298" s="17"/>
      <c r="E298" s="17"/>
      <c r="F298" s="17"/>
      <c r="G298" s="17"/>
      <c r="H298" s="17"/>
      <c r="I298" s="17"/>
      <c r="J298" s="17"/>
      <c r="K298" s="17"/>
      <c r="L298" s="17"/>
      <c r="M298" s="17"/>
      <c r="N298" s="17"/>
      <c r="O298" s="17"/>
      <c r="P298" s="17"/>
      <c r="Q298" s="17"/>
      <c r="R298" s="17"/>
      <c r="S298" s="17"/>
      <c r="T298" s="17"/>
      <c r="U298" s="17"/>
    </row>
    <row r="299" spans="3:21" ht="16.5" x14ac:dyDescent="0.35">
      <c r="C299" s="17"/>
      <c r="D299" s="17"/>
      <c r="E299" s="17"/>
      <c r="F299" s="17"/>
      <c r="G299" s="17"/>
      <c r="H299" s="17"/>
      <c r="I299" s="17"/>
      <c r="J299" s="17"/>
      <c r="K299" s="17"/>
      <c r="L299" s="17"/>
      <c r="M299" s="17"/>
      <c r="N299" s="17"/>
      <c r="O299" s="17"/>
      <c r="P299" s="17"/>
      <c r="Q299" s="17"/>
      <c r="R299" s="17"/>
      <c r="S299" s="17"/>
      <c r="T299" s="17"/>
      <c r="U299" s="17"/>
    </row>
    <row r="300" spans="3:21" ht="16.5" x14ac:dyDescent="0.35">
      <c r="C300" s="17"/>
      <c r="D300" s="17"/>
      <c r="E300" s="17"/>
      <c r="F300" s="17"/>
      <c r="G300" s="17"/>
      <c r="H300" s="17"/>
      <c r="I300" s="17"/>
      <c r="J300" s="17"/>
      <c r="K300" s="17"/>
      <c r="L300" s="17"/>
      <c r="M300" s="17"/>
      <c r="N300" s="17"/>
      <c r="O300" s="17"/>
      <c r="P300" s="17"/>
      <c r="Q300" s="17"/>
      <c r="R300" s="17"/>
      <c r="S300" s="17"/>
      <c r="T300" s="17"/>
      <c r="U300" s="17"/>
    </row>
    <row r="301" spans="3:21" ht="16.5" x14ac:dyDescent="0.35">
      <c r="C301" s="17"/>
      <c r="D301" s="17"/>
      <c r="E301" s="17"/>
      <c r="F301" s="17"/>
      <c r="G301" s="17"/>
      <c r="H301" s="17"/>
      <c r="I301" s="17"/>
      <c r="J301" s="17"/>
      <c r="K301" s="17"/>
      <c r="L301" s="17"/>
      <c r="M301" s="17"/>
      <c r="N301" s="17"/>
      <c r="O301" s="17"/>
      <c r="P301" s="17"/>
      <c r="Q301" s="17"/>
      <c r="R301" s="17"/>
      <c r="S301" s="17"/>
      <c r="T301" s="17"/>
      <c r="U301" s="17"/>
    </row>
    <row r="302" spans="3:21" ht="16.5" x14ac:dyDescent="0.35">
      <c r="C302" s="17"/>
      <c r="D302" s="17"/>
      <c r="E302" s="17"/>
      <c r="F302" s="17"/>
      <c r="G302" s="17"/>
      <c r="H302" s="17"/>
      <c r="I302" s="17"/>
      <c r="J302" s="17"/>
      <c r="K302" s="17"/>
      <c r="L302" s="17"/>
      <c r="M302" s="17"/>
      <c r="N302" s="17"/>
      <c r="O302" s="17"/>
      <c r="P302" s="17"/>
      <c r="Q302" s="17"/>
      <c r="R302" s="17"/>
      <c r="S302" s="17"/>
      <c r="T302" s="17"/>
      <c r="U302" s="17"/>
    </row>
    <row r="303" spans="3:21" ht="16.5" x14ac:dyDescent="0.35">
      <c r="C303" s="17"/>
      <c r="D303" s="17"/>
      <c r="E303" s="17"/>
      <c r="F303" s="17"/>
      <c r="G303" s="17"/>
      <c r="H303" s="17"/>
      <c r="I303" s="17"/>
      <c r="J303" s="17"/>
      <c r="K303" s="17"/>
      <c r="L303" s="17"/>
      <c r="M303" s="17"/>
      <c r="N303" s="17"/>
      <c r="O303" s="17"/>
      <c r="P303" s="17"/>
      <c r="Q303" s="17"/>
      <c r="R303" s="17"/>
      <c r="S303" s="17"/>
      <c r="T303" s="17"/>
      <c r="U303" s="17"/>
    </row>
    <row r="304" spans="3:21" ht="16.5" x14ac:dyDescent="0.35">
      <c r="C304" s="17"/>
      <c r="D304" s="17"/>
      <c r="E304" s="17"/>
      <c r="F304" s="17"/>
      <c r="G304" s="17"/>
      <c r="H304" s="17"/>
      <c r="I304" s="17"/>
      <c r="J304" s="17"/>
      <c r="K304" s="17"/>
      <c r="L304" s="17"/>
      <c r="M304" s="17"/>
      <c r="N304" s="17"/>
      <c r="O304" s="17"/>
      <c r="P304" s="17"/>
      <c r="Q304" s="17"/>
      <c r="R304" s="17"/>
      <c r="S304" s="17"/>
      <c r="T304" s="17"/>
      <c r="U304" s="17"/>
    </row>
    <row r="305" spans="3:21" ht="16.5" x14ac:dyDescent="0.35">
      <c r="C305" s="17"/>
      <c r="D305" s="17"/>
      <c r="E305" s="17"/>
      <c r="F305" s="17"/>
      <c r="G305" s="17"/>
      <c r="H305" s="17"/>
      <c r="I305" s="17"/>
      <c r="J305" s="17"/>
      <c r="K305" s="17"/>
      <c r="L305" s="17"/>
      <c r="M305" s="17"/>
      <c r="N305" s="17"/>
      <c r="O305" s="17"/>
      <c r="P305" s="17"/>
      <c r="Q305" s="17"/>
      <c r="R305" s="17"/>
      <c r="S305" s="17"/>
      <c r="T305" s="17"/>
      <c r="U305" s="17"/>
    </row>
    <row r="306" spans="3:21" ht="16.5" x14ac:dyDescent="0.35">
      <c r="C306" s="17"/>
      <c r="D306" s="17"/>
      <c r="E306" s="17"/>
      <c r="F306" s="17"/>
      <c r="G306" s="17"/>
      <c r="H306" s="17"/>
      <c r="I306" s="17"/>
      <c r="J306" s="17"/>
      <c r="K306" s="17"/>
      <c r="L306" s="17"/>
      <c r="M306" s="17"/>
      <c r="N306" s="17"/>
      <c r="O306" s="17"/>
      <c r="P306" s="17"/>
      <c r="Q306" s="17"/>
      <c r="R306" s="17"/>
      <c r="S306" s="17"/>
      <c r="T306" s="17"/>
      <c r="U306" s="17"/>
    </row>
    <row r="307" spans="3:21" ht="16.5" x14ac:dyDescent="0.35">
      <c r="C307" s="17"/>
      <c r="D307" s="17"/>
      <c r="E307" s="17"/>
      <c r="F307" s="17"/>
      <c r="G307" s="17"/>
      <c r="H307" s="17"/>
      <c r="I307" s="17"/>
      <c r="J307" s="17"/>
      <c r="K307" s="17"/>
      <c r="L307" s="17"/>
      <c r="M307" s="17"/>
      <c r="N307" s="17"/>
      <c r="O307" s="17"/>
      <c r="P307" s="17"/>
      <c r="Q307" s="17"/>
      <c r="R307" s="17"/>
      <c r="S307" s="17"/>
      <c r="T307" s="17"/>
      <c r="U307" s="17"/>
    </row>
    <row r="308" spans="3:21" ht="16.5" x14ac:dyDescent="0.35">
      <c r="C308" s="17"/>
      <c r="D308" s="17"/>
      <c r="E308" s="17"/>
      <c r="F308" s="17"/>
      <c r="G308" s="17"/>
      <c r="H308" s="17"/>
      <c r="I308" s="17"/>
      <c r="J308" s="17"/>
      <c r="K308" s="17"/>
      <c r="L308" s="17"/>
      <c r="M308" s="17"/>
      <c r="N308" s="17"/>
      <c r="O308" s="17"/>
      <c r="P308" s="17"/>
      <c r="Q308" s="17"/>
      <c r="R308" s="17"/>
      <c r="S308" s="17"/>
      <c r="T308" s="17"/>
      <c r="U308" s="17"/>
    </row>
    <row r="309" spans="3:21" ht="16.5" x14ac:dyDescent="0.35">
      <c r="C309" s="17"/>
      <c r="D309" s="17"/>
      <c r="E309" s="17"/>
      <c r="F309" s="17"/>
      <c r="G309" s="17"/>
      <c r="H309" s="17"/>
      <c r="I309" s="17"/>
      <c r="J309" s="17"/>
      <c r="K309" s="17"/>
      <c r="L309" s="17"/>
      <c r="M309" s="17"/>
      <c r="N309" s="17"/>
      <c r="O309" s="17"/>
      <c r="P309" s="17"/>
      <c r="Q309" s="17"/>
      <c r="R309" s="17"/>
      <c r="S309" s="17"/>
      <c r="T309" s="17"/>
      <c r="U309" s="17"/>
    </row>
    <row r="310" spans="3:21" ht="16.5" x14ac:dyDescent="0.35">
      <c r="C310" s="17"/>
      <c r="D310" s="17"/>
      <c r="E310" s="17"/>
      <c r="F310" s="17"/>
      <c r="G310" s="17"/>
      <c r="H310" s="17"/>
      <c r="I310" s="17"/>
      <c r="J310" s="17"/>
      <c r="K310" s="17"/>
      <c r="L310" s="17"/>
      <c r="M310" s="17"/>
      <c r="N310" s="17"/>
      <c r="O310" s="17"/>
      <c r="P310" s="17"/>
      <c r="Q310" s="17"/>
      <c r="R310" s="17"/>
      <c r="S310" s="17"/>
      <c r="T310" s="17"/>
      <c r="U310" s="17"/>
    </row>
  </sheetData>
  <mergeCells count="22">
    <mergeCell ref="A5:B5"/>
    <mergeCell ref="C5:R5"/>
    <mergeCell ref="C1:D1"/>
    <mergeCell ref="A3:B3"/>
    <mergeCell ref="C3:R3"/>
    <mergeCell ref="A4:B4"/>
    <mergeCell ref="C4:R4"/>
    <mergeCell ref="C171:C172"/>
    <mergeCell ref="D171:I171"/>
    <mergeCell ref="J171:O171"/>
    <mergeCell ref="P171:U171"/>
    <mergeCell ref="A6:B6"/>
    <mergeCell ref="C6:R6"/>
    <mergeCell ref="C9:H9"/>
    <mergeCell ref="C29:C30"/>
    <mergeCell ref="D29:D30"/>
    <mergeCell ref="E29:K29"/>
    <mergeCell ref="C44:C45"/>
    <mergeCell ref="D44:I44"/>
    <mergeCell ref="J44:O44"/>
    <mergeCell ref="P44:U44"/>
    <mergeCell ref="C170:T170"/>
  </mergeCells>
  <hyperlinks>
    <hyperlink ref="A1" location="'ODS 5.'!A1" display="REGRESAR" xr:uid="{51E5724F-C39E-4F22-B1BD-3E6A1205299A}"/>
    <hyperlink ref="C1" location="'Metadato 5.5.1'!A1" display="VER METADATO" xr:uid="{7C159F00-A87D-4BF9-9F3B-F50743DB0D9B}"/>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E70D4-863B-438B-9AD5-CB6B1F196D9E}">
  <sheetPr>
    <tabColor theme="0" tint="-0.499984740745262"/>
  </sheetPr>
  <dimension ref="A1:G37"/>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7.28515625" style="5" customWidth="1"/>
    <col min="2" max="2" width="26.42578125" style="5" customWidth="1"/>
    <col min="3" max="3" width="24" style="5" customWidth="1"/>
    <col min="4" max="4" width="85.7109375" style="5" customWidth="1"/>
    <col min="5" max="5" width="9.28515625" style="5" customWidth="1"/>
    <col min="6" max="6" width="7.28515625" style="5" customWidth="1"/>
    <col min="7" max="8" width="12.42578125" style="5" customWidth="1"/>
    <col min="9" max="9" width="1.7109375" style="5" customWidth="1"/>
    <col min="10" max="11" width="11.42578125" style="5"/>
    <col min="12" max="12" width="2.28515625" style="5" customWidth="1"/>
    <col min="13" max="14" width="11.42578125" style="5"/>
    <col min="15" max="15" width="2.28515625" style="5" customWidth="1"/>
    <col min="16" max="16" width="11.42578125" style="5"/>
    <col min="17" max="17" width="9.7109375" style="5" customWidth="1"/>
    <col min="18" max="18" width="1.5703125" style="5" customWidth="1"/>
    <col min="19" max="20" width="11.42578125" style="5"/>
    <col min="21" max="21" width="3.28515625" style="5" customWidth="1"/>
    <col min="22" max="23" width="9.28515625" style="5" customWidth="1"/>
    <col min="24" max="24" width="1.5703125" style="5" customWidth="1"/>
    <col min="25" max="25" width="11.42578125" style="5"/>
    <col min="26" max="26" width="1.7109375" style="5" customWidth="1"/>
    <col min="27" max="40" width="11.42578125" style="5"/>
    <col min="41" max="41" width="12" style="5" customWidth="1"/>
    <col min="42" max="77" width="11.42578125" style="5"/>
    <col min="78" max="78" width="12.28515625" style="5" customWidth="1"/>
    <col min="79" max="93" width="11.42578125" style="5"/>
    <col min="94" max="94" width="12.28515625" style="5" customWidth="1"/>
    <col min="95" max="107" width="11.42578125" style="5"/>
    <col min="108" max="108" width="12.7109375" style="5" customWidth="1"/>
    <col min="109" max="118" width="11.42578125" style="5"/>
    <col min="119" max="119" width="11.7109375" style="5" customWidth="1"/>
    <col min="120" max="126" width="11.42578125" style="5"/>
    <col min="127" max="127" width="11.7109375" style="5" customWidth="1"/>
    <col min="128" max="16384" width="11.42578125" style="5"/>
  </cols>
  <sheetData>
    <row r="1" spans="1:7" x14ac:dyDescent="0.4">
      <c r="B1" s="90" t="s">
        <v>39</v>
      </c>
    </row>
    <row r="2" spans="1:7" ht="19.5" thickBot="1" x14ac:dyDescent="0.45"/>
    <row r="3" spans="1:7" ht="23.25" customHeight="1" thickBot="1" x14ac:dyDescent="0.45">
      <c r="B3" s="2431" t="s">
        <v>75</v>
      </c>
      <c r="C3" s="2431"/>
      <c r="D3" s="2431"/>
      <c r="F3" s="91" t="s">
        <v>265</v>
      </c>
    </row>
    <row r="4" spans="1:7" ht="20.25" customHeight="1" x14ac:dyDescent="0.4">
      <c r="A4" s="92"/>
      <c r="B4" s="2487" t="s">
        <v>234</v>
      </c>
      <c r="C4" s="2456"/>
      <c r="D4" s="49" t="s">
        <v>78</v>
      </c>
    </row>
    <row r="5" spans="1:7" ht="56.25" x14ac:dyDescent="0.4">
      <c r="B5" s="2487" t="s">
        <v>79</v>
      </c>
      <c r="C5" s="2456"/>
      <c r="D5" s="49" t="s">
        <v>22</v>
      </c>
    </row>
    <row r="6" spans="1:7" x14ac:dyDescent="0.4">
      <c r="B6" s="2487" t="s">
        <v>80</v>
      </c>
      <c r="C6" s="2456"/>
      <c r="D6" s="50" t="s">
        <v>23</v>
      </c>
    </row>
    <row r="7" spans="1:7" ht="37.5" x14ac:dyDescent="0.4">
      <c r="B7" s="2457" t="s">
        <v>81</v>
      </c>
      <c r="C7" s="2458"/>
      <c r="D7" s="93" t="s">
        <v>24</v>
      </c>
    </row>
    <row r="8" spans="1:7" x14ac:dyDescent="0.4">
      <c r="B8" s="2446" t="s">
        <v>210</v>
      </c>
      <c r="C8" s="2446"/>
      <c r="D8" s="202" t="s">
        <v>266</v>
      </c>
    </row>
    <row r="9" spans="1:7" ht="15" customHeight="1" x14ac:dyDescent="0.4"/>
    <row r="10" spans="1:7" ht="23.25" customHeight="1" x14ac:dyDescent="0.4">
      <c r="B10" s="2431" t="s">
        <v>85</v>
      </c>
      <c r="C10" s="2431"/>
      <c r="D10" s="2431"/>
    </row>
    <row r="11" spans="1:7" ht="18.75" customHeight="1" x14ac:dyDescent="0.4">
      <c r="B11" s="2453" t="s">
        <v>86</v>
      </c>
      <c r="C11" s="2454"/>
      <c r="D11" s="49" t="s">
        <v>167</v>
      </c>
    </row>
    <row r="12" spans="1:7" ht="33.75" customHeight="1" x14ac:dyDescent="0.4">
      <c r="B12" s="2455" t="s">
        <v>88</v>
      </c>
      <c r="C12" s="2455"/>
      <c r="D12" s="184" t="s">
        <v>267</v>
      </c>
    </row>
    <row r="13" spans="1:7" x14ac:dyDescent="0.4">
      <c r="B13" s="2445" t="s">
        <v>90</v>
      </c>
      <c r="C13" s="2445"/>
      <c r="D13" s="54" t="s">
        <v>23</v>
      </c>
    </row>
    <row r="14" spans="1:7" x14ac:dyDescent="0.4">
      <c r="B14" s="2445" t="s">
        <v>91</v>
      </c>
      <c r="C14" s="2456"/>
      <c r="D14" s="54" t="s">
        <v>92</v>
      </c>
    </row>
    <row r="15" spans="1:7" ht="300" customHeight="1" x14ac:dyDescent="0.4">
      <c r="B15" s="2449" t="s">
        <v>93</v>
      </c>
      <c r="C15" s="2450"/>
      <c r="D15" s="2485" t="s">
        <v>268</v>
      </c>
    </row>
    <row r="16" spans="1:7" ht="125.25" customHeight="1" x14ac:dyDescent="0.4">
      <c r="B16" s="2469"/>
      <c r="C16" s="2470"/>
      <c r="D16" s="2486"/>
      <c r="G16" s="115"/>
    </row>
    <row r="17" spans="2:4" ht="64.5" customHeight="1" x14ac:dyDescent="0.4">
      <c r="B17" s="2445" t="s">
        <v>95</v>
      </c>
      <c r="C17" s="2445"/>
      <c r="D17" s="56" t="s">
        <v>269</v>
      </c>
    </row>
    <row r="18" spans="2:4" x14ac:dyDescent="0.4">
      <c r="B18" s="2445" t="s">
        <v>97</v>
      </c>
      <c r="C18" s="2445"/>
      <c r="D18" s="203" t="s">
        <v>270</v>
      </c>
    </row>
    <row r="19" spans="2:4" x14ac:dyDescent="0.4">
      <c r="B19" s="2446" t="s">
        <v>99</v>
      </c>
      <c r="C19" s="2446"/>
      <c r="D19" s="49"/>
    </row>
    <row r="20" spans="2:4" ht="50.25" customHeight="1" x14ac:dyDescent="0.4">
      <c r="B20" s="2457" t="s">
        <v>100</v>
      </c>
      <c r="C20" s="2458"/>
      <c r="D20" s="204" t="s">
        <v>271</v>
      </c>
    </row>
    <row r="21" spans="2:4" ht="15" customHeight="1" x14ac:dyDescent="0.4">
      <c r="B21" s="2445" t="s">
        <v>102</v>
      </c>
      <c r="C21" s="2445"/>
      <c r="D21" s="203" t="s">
        <v>140</v>
      </c>
    </row>
    <row r="22" spans="2:4" x14ac:dyDescent="0.4">
      <c r="B22" s="2451" t="s">
        <v>104</v>
      </c>
      <c r="C22" s="95" t="s">
        <v>105</v>
      </c>
      <c r="D22" s="49"/>
    </row>
    <row r="23" spans="2:4" x14ac:dyDescent="0.4">
      <c r="B23" s="2452"/>
      <c r="C23" s="96" t="s">
        <v>107</v>
      </c>
      <c r="D23" s="55" t="s">
        <v>272</v>
      </c>
    </row>
    <row r="24" spans="2:4" x14ac:dyDescent="0.4">
      <c r="B24" s="2444" t="s">
        <v>109</v>
      </c>
      <c r="C24" s="2444"/>
      <c r="D24" s="49" t="s">
        <v>143</v>
      </c>
    </row>
    <row r="25" spans="2:4" x14ac:dyDescent="0.4">
      <c r="B25" s="2444" t="s">
        <v>111</v>
      </c>
      <c r="C25" s="2444"/>
      <c r="D25" s="205" t="s">
        <v>273</v>
      </c>
    </row>
    <row r="26" spans="2:4" x14ac:dyDescent="0.4">
      <c r="B26" s="2445" t="s">
        <v>113</v>
      </c>
      <c r="C26" s="2445"/>
      <c r="D26" s="56" t="s">
        <v>220</v>
      </c>
    </row>
    <row r="27" spans="2:4" ht="15" customHeight="1" x14ac:dyDescent="0.4">
      <c r="B27" s="2446" t="s">
        <v>115</v>
      </c>
      <c r="C27" s="2446"/>
      <c r="D27" s="205" t="s">
        <v>274</v>
      </c>
    </row>
    <row r="28" spans="2:4" x14ac:dyDescent="0.4">
      <c r="B28" s="2447" t="s">
        <v>117</v>
      </c>
      <c r="C28" s="2448"/>
      <c r="D28" s="49"/>
    </row>
    <row r="29" spans="2:4" ht="93.75" x14ac:dyDescent="0.4">
      <c r="B29" s="97" t="s">
        <v>118</v>
      </c>
      <c r="C29" s="98"/>
      <c r="D29" s="203" t="s">
        <v>275</v>
      </c>
    </row>
    <row r="30" spans="2:4" x14ac:dyDescent="0.4">
      <c r="B30" s="2445" t="s">
        <v>120</v>
      </c>
      <c r="C30" s="2445"/>
      <c r="D30" s="49"/>
    </row>
    <row r="31" spans="2:4" x14ac:dyDescent="0.4">
      <c r="B31" s="115"/>
      <c r="C31" s="115"/>
      <c r="D31" s="115"/>
    </row>
    <row r="32" spans="2:4" ht="23.25" customHeight="1" x14ac:dyDescent="0.4">
      <c r="B32" s="2431" t="s">
        <v>121</v>
      </c>
      <c r="C32" s="2431"/>
      <c r="D32" s="2431"/>
    </row>
    <row r="33" spans="2:4" x14ac:dyDescent="0.4">
      <c r="B33" s="206" t="s">
        <v>122</v>
      </c>
      <c r="C33" s="207"/>
      <c r="D33" s="205" t="s">
        <v>276</v>
      </c>
    </row>
    <row r="34" spans="2:4" x14ac:dyDescent="0.4">
      <c r="B34" s="206" t="s">
        <v>124</v>
      </c>
      <c r="C34" s="207"/>
      <c r="D34" s="205" t="s">
        <v>277</v>
      </c>
    </row>
    <row r="35" spans="2:4" x14ac:dyDescent="0.4">
      <c r="B35" s="206" t="s">
        <v>126</v>
      </c>
      <c r="C35" s="207"/>
      <c r="D35" s="205" t="s">
        <v>273</v>
      </c>
    </row>
    <row r="36" spans="2:4" x14ac:dyDescent="0.4">
      <c r="B36" s="206" t="s">
        <v>128</v>
      </c>
      <c r="C36" s="207"/>
      <c r="D36" s="205" t="s">
        <v>278</v>
      </c>
    </row>
    <row r="37" spans="2:4" x14ac:dyDescent="0.4">
      <c r="B37" s="2442" t="s">
        <v>130</v>
      </c>
      <c r="C37" s="2443"/>
      <c r="D37" s="208" t="s">
        <v>279</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type="list" allowBlank="1" showInputMessage="1" showErrorMessage="1" sqref="D26" xr:uid="{550D5859-6ED7-413E-903B-353BBEA20E31}">
      <formula1>Tipo_operación</formula1>
    </dataValidation>
    <dataValidation type="list" allowBlank="1" showInputMessage="1" showErrorMessage="1" sqref="D14" xr:uid="{2F6567BC-6A68-4C93-8276-659D39AE4AD3}">
      <formula1>Tipo_indicador</formula1>
    </dataValidation>
    <dataValidation type="list" allowBlank="1" showInputMessage="1" showErrorMessage="1" sqref="D7" xr:uid="{831DD809-2D67-4CBB-BC52-EB5AE647ADE1}">
      <formula1>Nombre_indicador_ODS</formula1>
    </dataValidation>
    <dataValidation type="list" allowBlank="1" showInputMessage="1" showErrorMessage="1" sqref="D6" xr:uid="{3E060B73-9751-4647-8949-5B5E6E878BD8}">
      <formula1>Numero_indicador</formula1>
    </dataValidation>
    <dataValidation type="list" allowBlank="1" showInputMessage="1" showErrorMessage="1" sqref="D5" xr:uid="{A3791E1D-1D8E-4800-B0A8-0DB14B3B73E8}">
      <formula1>Metas_ODS</formula1>
    </dataValidation>
    <dataValidation type="list" allowBlank="1" showInputMessage="1" showErrorMessage="1" sqref="D4" xr:uid="{2487E804-5D0F-46A6-8284-99CFD6CCA4CF}">
      <formula1>ODS</formula1>
    </dataValidation>
    <dataValidation allowBlank="1" showDropDown="1" showInputMessage="1" showErrorMessage="1" sqref="D13" xr:uid="{E43F2CF1-E274-4BA9-B43D-B26BFB31DF5A}"/>
  </dataValidations>
  <hyperlinks>
    <hyperlink ref="B1" location="'1.5.1'!A1" display="REGRESAR" xr:uid="{DE3B5C56-0B25-409F-9B84-068C61A47D84}"/>
    <hyperlink ref="D8" r:id="rId1" xr:uid="{6AD1FCF7-8467-48F7-9594-457837711015}"/>
    <hyperlink ref="D37" r:id="rId2" xr:uid="{34222FB4-CE64-4EC7-8448-53BEDC81D6DD}"/>
  </hyperlinks>
  <pageMargins left="0.7" right="0.7" top="0.75" bottom="0.75" header="0.3" footer="0.3"/>
  <pageSetup orientation="portrait" r:id="rId3"/>
  <drawing r:id="rId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E8E0-5DA5-4F7C-96F7-411AD8820501}">
  <sheetPr>
    <tabColor theme="0" tint="-0.499984740745262"/>
  </sheetPr>
  <dimension ref="A1:F42"/>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2" style="5" customWidth="1"/>
    <col min="2" max="2" width="26.42578125" style="5" customWidth="1"/>
    <col min="3" max="3" width="10.5703125" style="5" bestFit="1" customWidth="1"/>
    <col min="4" max="4" width="85.7109375" style="5" customWidth="1"/>
    <col min="5" max="5" width="8" style="5" customWidth="1"/>
    <col min="6" max="6" width="7.28515625" style="5" customWidth="1"/>
    <col min="7" max="16384" width="11.42578125" style="5"/>
  </cols>
  <sheetData>
    <row r="1" spans="1:6" x14ac:dyDescent="0.4">
      <c r="A1" s="222"/>
      <c r="B1" s="90" t="s">
        <v>39</v>
      </c>
    </row>
    <row r="2" spans="1:6" ht="19.5" thickBot="1" x14ac:dyDescent="0.45"/>
    <row r="3" spans="1:6" ht="23.25" customHeight="1" thickBot="1" x14ac:dyDescent="0.45">
      <c r="B3" s="2745" t="s">
        <v>75</v>
      </c>
      <c r="C3" s="2745"/>
      <c r="D3" s="2745"/>
      <c r="F3" s="91" t="s">
        <v>76</v>
      </c>
    </row>
    <row r="4" spans="1:6" x14ac:dyDescent="0.4">
      <c r="A4" s="92"/>
      <c r="B4" s="2445" t="s">
        <v>234</v>
      </c>
      <c r="C4" s="2445"/>
      <c r="D4" s="49" t="s">
        <v>2064</v>
      </c>
    </row>
    <row r="5" spans="1:6" ht="37.5" x14ac:dyDescent="0.4">
      <c r="B5" s="2445" t="s">
        <v>79</v>
      </c>
      <c r="C5" s="2445"/>
      <c r="D5" s="49" t="s">
        <v>1991</v>
      </c>
    </row>
    <row r="6" spans="1:6" x14ac:dyDescent="0.4">
      <c r="B6" s="2445" t="s">
        <v>80</v>
      </c>
      <c r="C6" s="2445"/>
      <c r="D6" s="50" t="s">
        <v>1992</v>
      </c>
    </row>
    <row r="7" spans="1:6" ht="37.5" x14ac:dyDescent="0.4">
      <c r="B7" s="2446" t="s">
        <v>81</v>
      </c>
      <c r="C7" s="2446"/>
      <c r="D7" s="93" t="s">
        <v>1993</v>
      </c>
    </row>
    <row r="8" spans="1:6" x14ac:dyDescent="0.4">
      <c r="B8" s="2474" t="s">
        <v>82</v>
      </c>
      <c r="C8" s="2474"/>
      <c r="D8" s="94" t="s">
        <v>2703</v>
      </c>
    </row>
    <row r="9" spans="1:6" x14ac:dyDescent="0.4">
      <c r="B9" s="2474"/>
      <c r="C9" s="2474"/>
      <c r="D9" s="94" t="s">
        <v>2704</v>
      </c>
    </row>
    <row r="11" spans="1:6" ht="23.25" customHeight="1" x14ac:dyDescent="0.4">
      <c r="B11" s="2745" t="s">
        <v>85</v>
      </c>
      <c r="C11" s="2745"/>
      <c r="D11" s="2745"/>
    </row>
    <row r="12" spans="1:6" x14ac:dyDescent="0.4">
      <c r="B12" s="2453" t="s">
        <v>86</v>
      </c>
      <c r="C12" s="2454"/>
      <c r="D12" s="49" t="s">
        <v>1754</v>
      </c>
    </row>
    <row r="13" spans="1:6" ht="17.45" customHeight="1" x14ac:dyDescent="0.4">
      <c r="B13" s="2455" t="s">
        <v>88</v>
      </c>
      <c r="C13" s="2455"/>
      <c r="D13" s="214" t="s">
        <v>2705</v>
      </c>
    </row>
    <row r="14" spans="1:6" x14ac:dyDescent="0.4">
      <c r="B14" s="2445" t="s">
        <v>90</v>
      </c>
      <c r="C14" s="2445"/>
      <c r="D14" s="54" t="s">
        <v>1992</v>
      </c>
    </row>
    <row r="15" spans="1:6" x14ac:dyDescent="0.4">
      <c r="B15" s="2445" t="s">
        <v>91</v>
      </c>
      <c r="C15" s="2456"/>
      <c r="D15" s="54" t="s">
        <v>92</v>
      </c>
    </row>
    <row r="16" spans="1:6" ht="409.5" x14ac:dyDescent="0.4">
      <c r="B16" s="2445" t="s">
        <v>93</v>
      </c>
      <c r="C16" s="2445"/>
      <c r="D16" s="993" t="s">
        <v>2706</v>
      </c>
    </row>
    <row r="17" spans="2:4" ht="121.5" customHeight="1" x14ac:dyDescent="0.4">
      <c r="B17" s="2445" t="s">
        <v>95</v>
      </c>
      <c r="C17" s="2445"/>
      <c r="D17" s="203"/>
    </row>
    <row r="18" spans="2:4" x14ac:dyDescent="0.4">
      <c r="B18" s="2445" t="s">
        <v>97</v>
      </c>
      <c r="C18" s="2445"/>
      <c r="D18" s="203" t="s">
        <v>98</v>
      </c>
    </row>
    <row r="19" spans="2:4" x14ac:dyDescent="0.4">
      <c r="B19" s="2446" t="s">
        <v>99</v>
      </c>
      <c r="C19" s="2446"/>
      <c r="D19" s="49"/>
    </row>
    <row r="20" spans="2:4" ht="31.5" customHeight="1" x14ac:dyDescent="0.4">
      <c r="B20" s="2457" t="s">
        <v>100</v>
      </c>
      <c r="C20" s="2458"/>
      <c r="D20" s="56" t="s">
        <v>2707</v>
      </c>
    </row>
    <row r="21" spans="2:4" x14ac:dyDescent="0.4">
      <c r="B21" s="2445" t="s">
        <v>102</v>
      </c>
      <c r="C21" s="2445"/>
      <c r="D21" s="203" t="s">
        <v>140</v>
      </c>
    </row>
    <row r="22" spans="2:4" x14ac:dyDescent="0.4">
      <c r="B22" s="2451" t="s">
        <v>104</v>
      </c>
      <c r="C22" s="95" t="s">
        <v>105</v>
      </c>
      <c r="D22" s="49"/>
    </row>
    <row r="23" spans="2:4" x14ac:dyDescent="0.4">
      <c r="B23" s="2452"/>
      <c r="C23" s="96" t="s">
        <v>107</v>
      </c>
      <c r="D23" s="203" t="s">
        <v>2708</v>
      </c>
    </row>
    <row r="24" spans="2:4" x14ac:dyDescent="0.4">
      <c r="B24" s="2444" t="s">
        <v>109</v>
      </c>
      <c r="C24" s="2444"/>
      <c r="D24" s="203" t="s">
        <v>2709</v>
      </c>
    </row>
    <row r="25" spans="2:4" x14ac:dyDescent="0.4">
      <c r="B25" s="2444" t="s">
        <v>111</v>
      </c>
      <c r="C25" s="2444"/>
      <c r="D25" s="205" t="s">
        <v>2710</v>
      </c>
    </row>
    <row r="26" spans="2:4" x14ac:dyDescent="0.4">
      <c r="B26" s="2445" t="s">
        <v>113</v>
      </c>
      <c r="C26" s="2445"/>
      <c r="D26" s="56" t="s">
        <v>220</v>
      </c>
    </row>
    <row r="27" spans="2:4" ht="15" customHeight="1" x14ac:dyDescent="0.4">
      <c r="B27" s="2446" t="s">
        <v>115</v>
      </c>
      <c r="C27" s="2446"/>
      <c r="D27" s="205" t="s">
        <v>2711</v>
      </c>
    </row>
    <row r="28" spans="2:4" x14ac:dyDescent="0.4">
      <c r="B28" s="2447" t="s">
        <v>117</v>
      </c>
      <c r="C28" s="2448"/>
      <c r="D28" s="49"/>
    </row>
    <row r="29" spans="2:4" ht="115.5" customHeight="1" x14ac:dyDescent="0.4">
      <c r="B29" s="97" t="s">
        <v>118</v>
      </c>
      <c r="C29" s="98"/>
      <c r="D29" s="56" t="s">
        <v>2712</v>
      </c>
    </row>
    <row r="30" spans="2:4" ht="337.5" x14ac:dyDescent="0.4">
      <c r="B30" s="2449" t="s">
        <v>120</v>
      </c>
      <c r="C30" s="2450"/>
      <c r="D30" s="263" t="s">
        <v>2713</v>
      </c>
    </row>
    <row r="31" spans="2:4" x14ac:dyDescent="0.4">
      <c r="B31" s="63"/>
      <c r="C31" s="63"/>
      <c r="D31" s="64"/>
    </row>
    <row r="32" spans="2:4" ht="23.25" customHeight="1" x14ac:dyDescent="0.4">
      <c r="B32" s="2745" t="s">
        <v>121</v>
      </c>
      <c r="C32" s="2745"/>
      <c r="D32" s="2745"/>
    </row>
    <row r="33" spans="2:4" x14ac:dyDescent="0.4">
      <c r="B33" s="2442" t="s">
        <v>122</v>
      </c>
      <c r="C33" s="2443"/>
      <c r="D33" s="205" t="s">
        <v>2714</v>
      </c>
    </row>
    <row r="34" spans="2:4" x14ac:dyDescent="0.4">
      <c r="B34" s="2442" t="s">
        <v>124</v>
      </c>
      <c r="C34" s="2443"/>
      <c r="D34" s="205" t="s">
        <v>2715</v>
      </c>
    </row>
    <row r="35" spans="2:4" x14ac:dyDescent="0.4">
      <c r="B35" s="2442" t="s">
        <v>126</v>
      </c>
      <c r="C35" s="2443"/>
      <c r="D35" s="205" t="s">
        <v>2716</v>
      </c>
    </row>
    <row r="36" spans="2:4" x14ac:dyDescent="0.4">
      <c r="B36" s="2442" t="s">
        <v>128</v>
      </c>
      <c r="C36" s="2443"/>
      <c r="D36" s="205" t="s">
        <v>2717</v>
      </c>
    </row>
    <row r="37" spans="2:4" x14ac:dyDescent="0.4">
      <c r="B37" s="2442" t="s">
        <v>130</v>
      </c>
      <c r="C37" s="2443"/>
      <c r="D37" s="208" t="s">
        <v>2718</v>
      </c>
    </row>
    <row r="38" spans="2:4" x14ac:dyDescent="0.4">
      <c r="B38" s="2442" t="s">
        <v>122</v>
      </c>
      <c r="C38" s="2443"/>
      <c r="D38" s="205" t="s">
        <v>2719</v>
      </c>
    </row>
    <row r="39" spans="2:4" x14ac:dyDescent="0.4">
      <c r="B39" s="2442" t="s">
        <v>124</v>
      </c>
      <c r="C39" s="2443"/>
      <c r="D39" s="205" t="s">
        <v>2720</v>
      </c>
    </row>
    <row r="40" spans="2:4" x14ac:dyDescent="0.4">
      <c r="B40" s="2442" t="s">
        <v>126</v>
      </c>
      <c r="C40" s="2443"/>
      <c r="D40" s="205" t="s">
        <v>2716</v>
      </c>
    </row>
    <row r="41" spans="2:4" x14ac:dyDescent="0.4">
      <c r="B41" s="2442" t="s">
        <v>128</v>
      </c>
      <c r="C41" s="2443"/>
      <c r="D41" s="205" t="s">
        <v>2721</v>
      </c>
    </row>
    <row r="42" spans="2:4" x14ac:dyDescent="0.4">
      <c r="B42" s="2442" t="s">
        <v>130</v>
      </c>
      <c r="C42" s="2443"/>
      <c r="D42" s="639" t="s">
        <v>2722</v>
      </c>
    </row>
  </sheetData>
  <mergeCells count="35">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7">
    <dataValidation allowBlank="1" showDropDown="1" showInputMessage="1" showErrorMessage="1" sqref="D14" xr:uid="{37E05E6E-4F13-4DE9-9A56-198B13BF89AA}"/>
    <dataValidation type="list" allowBlank="1" showInputMessage="1" showErrorMessage="1" sqref="D4" xr:uid="{FB7F181B-D524-4B0C-BA1F-2781A6AAD82C}">
      <formula1>ODS</formula1>
    </dataValidation>
    <dataValidation type="list" allowBlank="1" showInputMessage="1" showErrorMessage="1" sqref="D5" xr:uid="{02001E61-8E67-454B-A877-DB558F6838BB}">
      <formula1>Metas_ODS</formula1>
    </dataValidation>
    <dataValidation type="list" allowBlank="1" showInputMessage="1" showErrorMessage="1" sqref="D6" xr:uid="{D08EE38B-99A1-436B-87F1-8AC0EB4D2B4C}">
      <formula1>Numero_indicador</formula1>
    </dataValidation>
    <dataValidation type="list" allowBlank="1" showInputMessage="1" showErrorMessage="1" sqref="D7" xr:uid="{5DEC9B17-7BA7-4B5E-AE26-B543C453F0BA}">
      <formula1>Nombre_indicador_ODS</formula1>
    </dataValidation>
    <dataValidation type="list" allowBlank="1" showInputMessage="1" showErrorMessage="1" sqref="D15" xr:uid="{985E801F-C708-4098-8F87-C97245CB9EB1}">
      <formula1>Tipo_indicador</formula1>
    </dataValidation>
    <dataValidation type="list" allowBlank="1" showInputMessage="1" showErrorMessage="1" sqref="D26" xr:uid="{64D011B8-5593-4EA5-9C5A-D1F17CC4A7F8}">
      <formula1>Tipo_operación</formula1>
    </dataValidation>
  </dataValidations>
  <hyperlinks>
    <hyperlink ref="B1" location="'5.5.1'!A1" display="REGRESAR" xr:uid="{999C6E79-8367-48D5-AA37-779818BD7231}"/>
    <hyperlink ref="D8" r:id="rId1" xr:uid="{4884D872-3FD1-47F6-BADF-CED915237308}"/>
    <hyperlink ref="D9" r:id="rId2" xr:uid="{1CC08656-E851-48BA-9A0B-0294C1295943}"/>
    <hyperlink ref="D37" r:id="rId3" xr:uid="{867031D9-C5AB-4870-8E9A-00BEAA2963BC}"/>
    <hyperlink ref="D42" r:id="rId4" xr:uid="{C50851C2-40A4-46A9-8A6F-1C0413C1CDE8}"/>
  </hyperlinks>
  <pageMargins left="0.7" right="0.7" top="0.75" bottom="0.75" header="0.3" footer="0.3"/>
  <drawing r:id="rId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2C05-850A-4D63-939A-0BA238BC5C87}">
  <dimension ref="A1:R51"/>
  <sheetViews>
    <sheetView showGridLines="0" workbookViewId="0">
      <pane ySplit="1" topLeftCell="A2" activePane="bottomLeft" state="frozen"/>
      <selection activeCell="R16" sqref="R16"/>
      <selection pane="bottomLeft"/>
    </sheetView>
  </sheetViews>
  <sheetFormatPr baseColWidth="10" defaultColWidth="11.42578125" defaultRowHeight="12.75" x14ac:dyDescent="0.25"/>
  <cols>
    <col min="1" max="2" width="15" style="22" customWidth="1"/>
    <col min="3" max="3" width="9.28515625" style="22" customWidth="1"/>
    <col min="4" max="4" width="12.42578125" style="22" customWidth="1"/>
    <col min="5" max="5" width="6.28515625" style="22" customWidth="1"/>
    <col min="6" max="16384" width="11.42578125" style="22"/>
  </cols>
  <sheetData>
    <row r="1" spans="1:18" s="16" customFormat="1" ht="19.5" x14ac:dyDescent="0.4">
      <c r="A1" s="15" t="s">
        <v>39</v>
      </c>
      <c r="C1" s="2421" t="s">
        <v>149</v>
      </c>
      <c r="D1" s="2421"/>
    </row>
    <row r="2" spans="1:18" s="16" customFormat="1" ht="19.5" x14ac:dyDescent="0.4"/>
    <row r="3" spans="1:18" s="16" customFormat="1" ht="15" customHeight="1" x14ac:dyDescent="0.4">
      <c r="A3" s="2736" t="s">
        <v>41</v>
      </c>
      <c r="B3" s="2744"/>
      <c r="C3" s="2736" t="s">
        <v>1974</v>
      </c>
      <c r="D3" s="2762"/>
      <c r="E3" s="2762"/>
      <c r="F3" s="2762"/>
      <c r="G3" s="2762"/>
      <c r="H3" s="2762"/>
      <c r="I3" s="2762"/>
      <c r="J3" s="2762"/>
      <c r="K3" s="2762"/>
      <c r="L3" s="2762"/>
      <c r="M3" s="2762"/>
      <c r="N3" s="2762"/>
      <c r="O3" s="2762"/>
      <c r="P3" s="2762"/>
      <c r="Q3" s="2762"/>
      <c r="R3" s="2762"/>
    </row>
    <row r="4" spans="1:18" s="16" customFormat="1" ht="19.5" x14ac:dyDescent="0.4">
      <c r="A4" s="2736" t="s">
        <v>42</v>
      </c>
      <c r="B4" s="2737"/>
      <c r="C4" s="2736" t="s">
        <v>2723</v>
      </c>
      <c r="D4" s="2738"/>
      <c r="E4" s="2738"/>
      <c r="F4" s="2738"/>
      <c r="G4" s="2738"/>
      <c r="H4" s="2738"/>
      <c r="I4" s="2738"/>
      <c r="J4" s="2738"/>
      <c r="K4" s="2738"/>
      <c r="L4" s="2738"/>
      <c r="M4" s="2738"/>
      <c r="N4" s="2738"/>
      <c r="O4" s="2738"/>
      <c r="P4" s="2738"/>
      <c r="Q4" s="2738"/>
      <c r="R4" s="2738"/>
    </row>
    <row r="5" spans="1:18" s="16" customFormat="1" ht="19.5" x14ac:dyDescent="0.4">
      <c r="A5" s="2736" t="s">
        <v>43</v>
      </c>
      <c r="B5" s="2737"/>
      <c r="C5" s="2736" t="s">
        <v>1995</v>
      </c>
      <c r="D5" s="2738"/>
      <c r="E5" s="2738"/>
      <c r="F5" s="2738"/>
      <c r="G5" s="2738"/>
      <c r="H5" s="2738"/>
      <c r="I5" s="2738"/>
      <c r="J5" s="2738"/>
      <c r="K5" s="2738"/>
      <c r="L5" s="2738"/>
      <c r="M5" s="2738"/>
      <c r="N5" s="2738"/>
      <c r="O5" s="2738"/>
      <c r="P5" s="2738"/>
      <c r="Q5" s="2738"/>
      <c r="R5" s="2738"/>
    </row>
    <row r="6" spans="1:18" s="16" customFormat="1" ht="19.5" x14ac:dyDescent="0.4">
      <c r="A6" s="2736" t="s">
        <v>132</v>
      </c>
      <c r="B6" s="2737"/>
      <c r="C6" s="2736" t="s">
        <v>2724</v>
      </c>
      <c r="D6" s="2738"/>
      <c r="E6" s="2738"/>
      <c r="F6" s="2738"/>
      <c r="G6" s="2738"/>
      <c r="H6" s="2738"/>
      <c r="I6" s="2738"/>
      <c r="J6" s="2738"/>
      <c r="K6" s="2738"/>
      <c r="L6" s="2738"/>
      <c r="M6" s="2738"/>
      <c r="N6" s="2738"/>
      <c r="O6" s="2738"/>
      <c r="P6" s="2738"/>
      <c r="Q6" s="2738"/>
      <c r="R6" s="2738"/>
    </row>
    <row r="7" spans="1:18" s="16" customFormat="1" ht="19.5" x14ac:dyDescent="0.4"/>
    <row r="8" spans="1:18" s="16" customFormat="1" ht="19.5" x14ac:dyDescent="0.4"/>
    <row r="9" spans="1:18" s="16" customFormat="1" ht="19.5" x14ac:dyDescent="0.4">
      <c r="C9" s="138" t="s">
        <v>2725</v>
      </c>
      <c r="D9" s="138"/>
      <c r="E9" s="138"/>
      <c r="J9" s="105" t="s">
        <v>8150</v>
      </c>
    </row>
    <row r="10" spans="1:18" s="16" customFormat="1" ht="12.6" customHeight="1" x14ac:dyDescent="0.4">
      <c r="C10" s="994"/>
      <c r="D10" s="994"/>
      <c r="E10" s="994"/>
      <c r="J10" s="105"/>
    </row>
    <row r="11" spans="1:18" ht="21.75" customHeight="1" x14ac:dyDescent="0.25">
      <c r="A11" s="23"/>
      <c r="C11" s="851" t="s">
        <v>46</v>
      </c>
      <c r="D11" s="2773" t="s">
        <v>387</v>
      </c>
      <c r="E11" s="2773"/>
    </row>
    <row r="12" spans="1:18" ht="18.75" x14ac:dyDescent="0.4">
      <c r="A12" s="23"/>
      <c r="C12" s="141">
        <v>1990</v>
      </c>
      <c r="D12" s="995">
        <v>22.429435483870968</v>
      </c>
      <c r="E12" s="5"/>
    </row>
    <row r="13" spans="1:18" ht="18.75" x14ac:dyDescent="0.4">
      <c r="A13" s="21"/>
      <c r="C13" s="141">
        <v>1991</v>
      </c>
      <c r="D13" s="995">
        <v>24.975963849629842</v>
      </c>
      <c r="E13" s="5"/>
    </row>
    <row r="14" spans="1:18" ht="18.75" x14ac:dyDescent="0.4">
      <c r="A14" s="23"/>
      <c r="C14" s="141">
        <f t="shared" ref="C14:C37" si="0">+C13+1</f>
        <v>1992</v>
      </c>
      <c r="D14" s="996">
        <v>23.138337785514903</v>
      </c>
      <c r="E14" s="5"/>
    </row>
    <row r="15" spans="1:18" ht="18.75" x14ac:dyDescent="0.4">
      <c r="A15" s="23"/>
      <c r="C15" s="141">
        <f t="shared" si="0"/>
        <v>1993</v>
      </c>
      <c r="D15" s="996">
        <v>20.599638149392607</v>
      </c>
      <c r="E15" s="5"/>
    </row>
    <row r="16" spans="1:18" ht="18.75" x14ac:dyDescent="0.4">
      <c r="A16" s="23"/>
      <c r="C16" s="141">
        <f t="shared" si="0"/>
        <v>1994</v>
      </c>
      <c r="D16" s="996">
        <v>25.250953403761013</v>
      </c>
      <c r="E16" s="5"/>
    </row>
    <row r="17" spans="1:10" ht="18.75" x14ac:dyDescent="0.4">
      <c r="A17" s="21"/>
      <c r="C17" s="141">
        <f t="shared" si="0"/>
        <v>1995</v>
      </c>
      <c r="D17" s="996">
        <v>23.573378189666116</v>
      </c>
      <c r="E17" s="5"/>
    </row>
    <row r="18" spans="1:10" ht="18.75" x14ac:dyDescent="0.4">
      <c r="A18" s="23"/>
      <c r="C18" s="141">
        <f t="shared" si="0"/>
        <v>1996</v>
      </c>
      <c r="D18" s="995">
        <v>26.427872676649862</v>
      </c>
      <c r="E18" s="5"/>
    </row>
    <row r="19" spans="1:10" ht="18.75" x14ac:dyDescent="0.4">
      <c r="A19" s="23"/>
      <c r="C19" s="141">
        <f t="shared" si="0"/>
        <v>1997</v>
      </c>
      <c r="D19" s="995">
        <v>27.307994851258581</v>
      </c>
      <c r="E19" s="5"/>
    </row>
    <row r="20" spans="1:10" ht="18.75" x14ac:dyDescent="0.4">
      <c r="A20" s="23"/>
      <c r="C20" s="141">
        <f t="shared" si="0"/>
        <v>1998</v>
      </c>
      <c r="D20" s="996">
        <v>30.207331680078276</v>
      </c>
      <c r="E20" s="5"/>
    </row>
    <row r="21" spans="1:10" ht="18.75" x14ac:dyDescent="0.4">
      <c r="A21" s="21"/>
      <c r="C21" s="141">
        <f t="shared" si="0"/>
        <v>1999</v>
      </c>
      <c r="D21" s="996">
        <v>31.871159412929767</v>
      </c>
      <c r="E21" s="5"/>
    </row>
    <row r="22" spans="1:10" ht="18.75" x14ac:dyDescent="0.4">
      <c r="A22" s="23"/>
      <c r="C22" s="141">
        <f t="shared" si="0"/>
        <v>2000</v>
      </c>
      <c r="D22" s="996">
        <v>29.363112434192196</v>
      </c>
      <c r="E22" s="5"/>
    </row>
    <row r="23" spans="1:10" ht="18.75" x14ac:dyDescent="0.4">
      <c r="C23" s="141">
        <f t="shared" si="0"/>
        <v>2001</v>
      </c>
      <c r="D23" s="996">
        <v>24.768440878247631</v>
      </c>
      <c r="E23" s="5"/>
    </row>
    <row r="24" spans="1:10" ht="18.75" x14ac:dyDescent="0.4">
      <c r="C24" s="141">
        <f t="shared" si="0"/>
        <v>2002</v>
      </c>
      <c r="D24" s="995">
        <v>25.705131572036343</v>
      </c>
      <c r="E24" s="5"/>
    </row>
    <row r="25" spans="1:10" ht="18.75" x14ac:dyDescent="0.4">
      <c r="C25" s="141">
        <f t="shared" si="0"/>
        <v>2003</v>
      </c>
      <c r="D25" s="995">
        <v>28.440607635990744</v>
      </c>
      <c r="E25" s="5"/>
    </row>
    <row r="26" spans="1:10" ht="18.75" x14ac:dyDescent="0.4">
      <c r="C26" s="141">
        <f t="shared" si="0"/>
        <v>2004</v>
      </c>
      <c r="D26" s="996">
        <v>25.815934596485206</v>
      </c>
      <c r="E26" s="5"/>
      <c r="J26" s="36" t="s">
        <v>8144</v>
      </c>
    </row>
    <row r="27" spans="1:10" ht="18.75" x14ac:dyDescent="0.4">
      <c r="C27" s="141">
        <f t="shared" si="0"/>
        <v>2005</v>
      </c>
      <c r="D27" s="996">
        <v>24.649764619136747</v>
      </c>
      <c r="E27" s="5"/>
    </row>
    <row r="28" spans="1:10" ht="18.75" x14ac:dyDescent="0.4">
      <c r="C28" s="141">
        <f t="shared" si="0"/>
        <v>2006</v>
      </c>
      <c r="D28" s="996">
        <v>28.868618055154627</v>
      </c>
      <c r="E28" s="5"/>
    </row>
    <row r="29" spans="1:10" ht="18.75" x14ac:dyDescent="0.4">
      <c r="C29" s="141">
        <f t="shared" si="0"/>
        <v>2007</v>
      </c>
      <c r="D29" s="996">
        <v>26.507198228128459</v>
      </c>
      <c r="E29" s="5"/>
    </row>
    <row r="30" spans="1:10" ht="18.75" x14ac:dyDescent="0.4">
      <c r="C30" s="141">
        <f t="shared" si="0"/>
        <v>2008</v>
      </c>
      <c r="D30" s="995">
        <v>29.488237721832437</v>
      </c>
      <c r="E30" s="5"/>
    </row>
    <row r="31" spans="1:10" ht="18.75" x14ac:dyDescent="0.4">
      <c r="C31" s="141">
        <f t="shared" si="0"/>
        <v>2009</v>
      </c>
      <c r="D31" s="995">
        <v>30.045250152488755</v>
      </c>
      <c r="E31" s="5"/>
    </row>
    <row r="32" spans="1:10" ht="18.75" x14ac:dyDescent="0.4">
      <c r="C32" s="141">
        <f t="shared" si="0"/>
        <v>2010</v>
      </c>
      <c r="D32" s="996">
        <v>34.354462582149672</v>
      </c>
      <c r="E32" s="5"/>
    </row>
    <row r="33" spans="3:13" ht="15" customHeight="1" x14ac:dyDescent="0.4">
      <c r="C33" s="141">
        <f t="shared" si="0"/>
        <v>2011</v>
      </c>
      <c r="D33" s="996">
        <v>30.393525472248239</v>
      </c>
      <c r="E33" s="5"/>
      <c r="H33" s="74"/>
      <c r="I33" s="74"/>
      <c r="J33" s="74"/>
      <c r="K33" s="74"/>
      <c r="L33" s="74"/>
      <c r="M33" s="74"/>
    </row>
    <row r="34" spans="3:13" ht="18.75" x14ac:dyDescent="0.4">
      <c r="C34" s="141">
        <f t="shared" si="0"/>
        <v>2012</v>
      </c>
      <c r="D34" s="996">
        <v>35.529319508582383</v>
      </c>
      <c r="E34" s="5"/>
      <c r="G34" s="74"/>
      <c r="H34" s="74"/>
      <c r="I34" s="74"/>
      <c r="J34" s="74"/>
      <c r="K34" s="74"/>
      <c r="L34" s="74"/>
      <c r="M34" s="74"/>
    </row>
    <row r="35" spans="3:13" ht="18.75" x14ac:dyDescent="0.4">
      <c r="C35" s="141">
        <f t="shared" si="0"/>
        <v>2013</v>
      </c>
      <c r="D35" s="996">
        <v>35.950360324404919</v>
      </c>
      <c r="E35" s="5"/>
      <c r="F35" s="17"/>
    </row>
    <row r="36" spans="3:13" ht="18.75" x14ac:dyDescent="0.4">
      <c r="C36" s="141">
        <f t="shared" si="0"/>
        <v>2014</v>
      </c>
      <c r="D36" s="995">
        <v>36.475155279503106</v>
      </c>
      <c r="E36" s="5"/>
    </row>
    <row r="37" spans="3:13" ht="18.75" x14ac:dyDescent="0.4">
      <c r="C37" s="141">
        <f t="shared" si="0"/>
        <v>2015</v>
      </c>
      <c r="D37" s="995">
        <v>41.322526996322409</v>
      </c>
      <c r="E37" s="5"/>
    </row>
    <row r="38" spans="3:13" ht="18.75" x14ac:dyDescent="0.4">
      <c r="C38" s="141">
        <v>2016</v>
      </c>
      <c r="D38" s="996">
        <v>32.102822359416237</v>
      </c>
      <c r="E38" s="5"/>
    </row>
    <row r="39" spans="3:13" ht="18.75" x14ac:dyDescent="0.4">
      <c r="C39" s="141">
        <v>2017</v>
      </c>
      <c r="D39" s="996">
        <v>41.046114579381232</v>
      </c>
      <c r="E39" s="5"/>
    </row>
    <row r="40" spans="3:13" ht="18.75" x14ac:dyDescent="0.4">
      <c r="C40" s="141">
        <v>2018</v>
      </c>
      <c r="D40" s="996">
        <v>37.144721577726223</v>
      </c>
      <c r="E40" s="5"/>
    </row>
    <row r="41" spans="3:13" ht="18.75" x14ac:dyDescent="0.4">
      <c r="C41" s="141">
        <v>2019</v>
      </c>
      <c r="D41" s="996">
        <v>40.455293472298408</v>
      </c>
      <c r="E41" s="5"/>
    </row>
    <row r="42" spans="3:13" ht="18.75" x14ac:dyDescent="0.4">
      <c r="C42" s="141">
        <v>2020</v>
      </c>
      <c r="D42" s="996">
        <v>59.4</v>
      </c>
      <c r="E42" s="5"/>
    </row>
    <row r="43" spans="3:13" ht="18.75" x14ac:dyDescent="0.4">
      <c r="C43" s="141">
        <v>2021</v>
      </c>
      <c r="D43" s="996">
        <v>40.240821594310347</v>
      </c>
      <c r="E43" s="5"/>
    </row>
    <row r="44" spans="3:13" ht="18.75" x14ac:dyDescent="0.4">
      <c r="C44" s="141">
        <v>2022</v>
      </c>
      <c r="D44" s="996">
        <v>45.988856022563112</v>
      </c>
      <c r="E44" s="5"/>
    </row>
    <row r="45" spans="3:13" ht="18.75" x14ac:dyDescent="0.4">
      <c r="C45" s="141">
        <v>2023</v>
      </c>
      <c r="D45" s="996">
        <v>44.312065759859088</v>
      </c>
      <c r="E45" s="5"/>
    </row>
    <row r="46" spans="3:13" ht="18.75" x14ac:dyDescent="0.4">
      <c r="C46" s="2377">
        <v>2024</v>
      </c>
      <c r="D46" s="996">
        <v>49.11821220815456</v>
      </c>
      <c r="E46" s="5"/>
    </row>
    <row r="47" spans="3:13" ht="18.75" x14ac:dyDescent="0.25">
      <c r="C47" s="465" t="s">
        <v>8149</v>
      </c>
      <c r="D47" s="465"/>
      <c r="E47" s="813"/>
    </row>
    <row r="48" spans="3:13" ht="11.25" customHeight="1" x14ac:dyDescent="0.25">
      <c r="C48" s="837"/>
      <c r="D48" s="837"/>
      <c r="E48" s="837"/>
    </row>
    <row r="49" spans="3:5" ht="15.75" customHeight="1" x14ac:dyDescent="0.25">
      <c r="C49" s="837"/>
      <c r="D49" s="837"/>
      <c r="E49" s="837"/>
    </row>
    <row r="50" spans="3:5" ht="19.5" customHeight="1" x14ac:dyDescent="0.25">
      <c r="C50" s="837"/>
      <c r="D50" s="837"/>
      <c r="E50" s="837"/>
    </row>
    <row r="51" spans="3:5" ht="11.25" customHeight="1" x14ac:dyDescent="0.25">
      <c r="C51" s="837"/>
      <c r="D51" s="837"/>
      <c r="E51" s="837"/>
    </row>
  </sheetData>
  <mergeCells count="10">
    <mergeCell ref="A6:B6"/>
    <mergeCell ref="C6:R6"/>
    <mergeCell ref="D11:E11"/>
    <mergeCell ref="C1:D1"/>
    <mergeCell ref="A3:B3"/>
    <mergeCell ref="C3:R3"/>
    <mergeCell ref="A4:B4"/>
    <mergeCell ref="C4:R4"/>
    <mergeCell ref="A5:B5"/>
    <mergeCell ref="C5:R5"/>
  </mergeCells>
  <hyperlinks>
    <hyperlink ref="A1" location="'ODS 5.'!A1" display="REGRESAR" xr:uid="{61EE6996-E57D-4651-BEEE-BD3B900374E0}"/>
    <hyperlink ref="C1" location="'Metadato 5.5.2'!A1" display="VER METADATO" xr:uid="{903B3753-E59F-452E-8F49-0980EA8E1261}"/>
  </hyperlinks>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87A75-AA34-4A18-981F-9B74A1E1FEE8}">
  <sheetPr>
    <tabColor theme="0" tint="-0.499984740745262"/>
  </sheetPr>
  <dimension ref="A1:F36"/>
  <sheetViews>
    <sheetView showGridLines="0" zoomScaleNormal="100" workbookViewId="0">
      <pane ySplit="1" topLeftCell="A2" activePane="bottomLeft" state="frozen"/>
      <selection activeCell="R16" sqref="R16"/>
      <selection pane="bottomLeft" activeCell="J32" sqref="J32"/>
    </sheetView>
  </sheetViews>
  <sheetFormatPr baseColWidth="10" defaultColWidth="11.42578125" defaultRowHeight="18.75" x14ac:dyDescent="0.25"/>
  <cols>
    <col min="1" max="1" width="9.2851562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76</v>
      </c>
    </row>
    <row r="4" spans="1:6" x14ac:dyDescent="0.25">
      <c r="A4" s="224"/>
      <c r="B4" s="2445" t="s">
        <v>234</v>
      </c>
      <c r="C4" s="2445"/>
      <c r="D4" s="49" t="s">
        <v>2064</v>
      </c>
    </row>
    <row r="5" spans="1:6" ht="37.5" x14ac:dyDescent="0.25">
      <c r="B5" s="2445" t="s">
        <v>79</v>
      </c>
      <c r="C5" s="2445"/>
      <c r="D5" s="49" t="s">
        <v>1991</v>
      </c>
    </row>
    <row r="6" spans="1:6" x14ac:dyDescent="0.25">
      <c r="B6" s="2445" t="s">
        <v>80</v>
      </c>
      <c r="C6" s="2445"/>
      <c r="D6" s="50" t="s">
        <v>1994</v>
      </c>
    </row>
    <row r="7" spans="1:6" ht="15" customHeight="1" x14ac:dyDescent="0.25">
      <c r="B7" s="2446" t="s">
        <v>81</v>
      </c>
      <c r="C7" s="2446"/>
      <c r="D7" s="93" t="s">
        <v>1995</v>
      </c>
    </row>
    <row r="8" spans="1:6" x14ac:dyDescent="0.25">
      <c r="B8" s="2446" t="s">
        <v>82</v>
      </c>
      <c r="C8" s="2446"/>
      <c r="D8" s="94" t="s">
        <v>2726</v>
      </c>
    </row>
    <row r="9" spans="1:6" x14ac:dyDescent="0.4">
      <c r="B9" s="5"/>
      <c r="C9" s="5"/>
      <c r="D9" s="5"/>
    </row>
    <row r="10" spans="1:6" ht="23.25" customHeight="1" x14ac:dyDescent="0.25">
      <c r="B10" s="2745" t="s">
        <v>85</v>
      </c>
      <c r="C10" s="2745"/>
      <c r="D10" s="2745"/>
    </row>
    <row r="11" spans="1:6" x14ac:dyDescent="0.25">
      <c r="B11" s="2453" t="s">
        <v>86</v>
      </c>
      <c r="C11" s="2454"/>
      <c r="D11" s="49" t="s">
        <v>167</v>
      </c>
    </row>
    <row r="12" spans="1:6" ht="15" customHeight="1" x14ac:dyDescent="0.25">
      <c r="B12" s="2455" t="s">
        <v>88</v>
      </c>
      <c r="C12" s="2455"/>
      <c r="D12" s="997" t="s">
        <v>2727</v>
      </c>
    </row>
    <row r="13" spans="1:6" x14ac:dyDescent="0.25">
      <c r="B13" s="2445" t="s">
        <v>90</v>
      </c>
      <c r="C13" s="2445"/>
      <c r="D13" s="54" t="s">
        <v>1994</v>
      </c>
    </row>
    <row r="14" spans="1:6" x14ac:dyDescent="0.25">
      <c r="B14" s="2445" t="s">
        <v>91</v>
      </c>
      <c r="C14" s="2456"/>
      <c r="D14" s="54" t="s">
        <v>92</v>
      </c>
    </row>
    <row r="15" spans="1:6" ht="112.5" x14ac:dyDescent="0.25">
      <c r="B15" s="2445" t="s">
        <v>93</v>
      </c>
      <c r="C15" s="2445"/>
      <c r="D15" s="56" t="s">
        <v>2728</v>
      </c>
    </row>
    <row r="16" spans="1:6" ht="45.6" customHeight="1" x14ac:dyDescent="0.25">
      <c r="B16" s="2445" t="s">
        <v>95</v>
      </c>
      <c r="C16" s="2445"/>
      <c r="D16" s="56"/>
    </row>
    <row r="17" spans="2:4" x14ac:dyDescent="0.25">
      <c r="B17" s="2445" t="s">
        <v>97</v>
      </c>
      <c r="C17" s="2445"/>
      <c r="D17" s="56" t="s">
        <v>98</v>
      </c>
    </row>
    <row r="18" spans="2:4" x14ac:dyDescent="0.25">
      <c r="B18" s="2446" t="s">
        <v>99</v>
      </c>
      <c r="C18" s="2446"/>
      <c r="D18" s="49"/>
    </row>
    <row r="19" spans="2:4" ht="32.25" customHeight="1" x14ac:dyDescent="0.25">
      <c r="B19" s="2457" t="s">
        <v>100</v>
      </c>
      <c r="C19" s="2458"/>
      <c r="D19" s="55" t="s">
        <v>2729</v>
      </c>
    </row>
    <row r="20" spans="2:4" x14ac:dyDescent="0.25">
      <c r="B20" s="2445" t="s">
        <v>102</v>
      </c>
      <c r="C20" s="2445"/>
      <c r="D20" s="56" t="s">
        <v>612</v>
      </c>
    </row>
    <row r="21" spans="2:4" ht="17.25" customHeight="1" x14ac:dyDescent="0.25">
      <c r="B21" s="2451" t="s">
        <v>104</v>
      </c>
      <c r="C21" s="95" t="s">
        <v>105</v>
      </c>
      <c r="D21" s="56" t="s">
        <v>2730</v>
      </c>
    </row>
    <row r="22" spans="2:4" x14ac:dyDescent="0.25">
      <c r="B22" s="2452"/>
      <c r="C22" s="96" t="s">
        <v>107</v>
      </c>
      <c r="D22" s="55"/>
    </row>
    <row r="23" spans="2:4" x14ac:dyDescent="0.25">
      <c r="B23" s="2444" t="s">
        <v>109</v>
      </c>
      <c r="C23" s="2444"/>
      <c r="D23" s="56" t="s">
        <v>2731</v>
      </c>
    </row>
    <row r="24" spans="2:4" x14ac:dyDescent="0.25">
      <c r="B24" s="2444" t="s">
        <v>111</v>
      </c>
      <c r="C24" s="2444"/>
      <c r="D24" s="59" t="s">
        <v>127</v>
      </c>
    </row>
    <row r="25" spans="2:4" x14ac:dyDescent="0.25">
      <c r="B25" s="2445" t="s">
        <v>113</v>
      </c>
      <c r="C25" s="2445"/>
      <c r="D25" s="56" t="s">
        <v>2732</v>
      </c>
    </row>
    <row r="26" spans="2:4" ht="15" customHeight="1" x14ac:dyDescent="0.25">
      <c r="B26" s="2446" t="s">
        <v>115</v>
      </c>
      <c r="C26" s="2446"/>
      <c r="D26" s="59" t="s">
        <v>614</v>
      </c>
    </row>
    <row r="27" spans="2:4" x14ac:dyDescent="0.25">
      <c r="B27" s="2447" t="s">
        <v>117</v>
      </c>
      <c r="C27" s="2448"/>
      <c r="D27" s="49"/>
    </row>
    <row r="28" spans="2:4" ht="187.5" x14ac:dyDescent="0.25">
      <c r="B28" s="97" t="s">
        <v>118</v>
      </c>
      <c r="C28" s="98"/>
      <c r="D28" s="49" t="s">
        <v>615</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9" t="s">
        <v>8145</v>
      </c>
    </row>
    <row r="33" spans="2:4" x14ac:dyDescent="0.25">
      <c r="B33" s="2442" t="s">
        <v>124</v>
      </c>
      <c r="C33" s="2443"/>
      <c r="D33" s="59" t="s">
        <v>8146</v>
      </c>
    </row>
    <row r="34" spans="2:4" x14ac:dyDescent="0.25">
      <c r="B34" s="2442" t="s">
        <v>126</v>
      </c>
      <c r="C34" s="2443"/>
      <c r="D34" s="59" t="s">
        <v>127</v>
      </c>
    </row>
    <row r="35" spans="2:4" x14ac:dyDescent="0.25">
      <c r="B35" s="2442" t="s">
        <v>128</v>
      </c>
      <c r="C35" s="2443"/>
      <c r="D35" s="59" t="s">
        <v>8147</v>
      </c>
    </row>
    <row r="36" spans="2:4" x14ac:dyDescent="0.25">
      <c r="B36" s="2442" t="s">
        <v>130</v>
      </c>
      <c r="C36" s="2443"/>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4683F62-CF68-4B22-9DCF-48C82F34C4DF}"/>
    <dataValidation type="list" allowBlank="1" showInputMessage="1" showErrorMessage="1" sqref="D4" xr:uid="{5031DB62-9024-49F0-B9CE-85A8CC6B3FD9}">
      <formula1>ODS</formula1>
    </dataValidation>
    <dataValidation type="list" allowBlank="1" showInputMessage="1" showErrorMessage="1" sqref="D5" xr:uid="{2F21D76F-96C9-4147-A986-246B5A476A2B}">
      <formula1>Metas_ODS</formula1>
    </dataValidation>
    <dataValidation type="list" allowBlank="1" showInputMessage="1" showErrorMessage="1" sqref="D6" xr:uid="{54A961C1-3994-4D8D-8F83-38E85B344828}">
      <formula1>Numero_indicador</formula1>
    </dataValidation>
    <dataValidation type="list" allowBlank="1" showInputMessage="1" showErrorMessage="1" sqref="D7" xr:uid="{39C135C6-BFE0-49B9-BDE3-5E5D73FFD73E}">
      <formula1>Nombre_indicador_ODS</formula1>
    </dataValidation>
    <dataValidation type="list" allowBlank="1" showInputMessage="1" showErrorMessage="1" sqref="D14" xr:uid="{30A0BFE6-65B4-4221-A11E-E5F827A16D54}">
      <formula1>Tipo_indicador</formula1>
    </dataValidation>
    <dataValidation type="list" allowBlank="1" showInputMessage="1" showErrorMessage="1" sqref="D25" xr:uid="{45D1B2F1-38D6-4A32-9914-5989FFFD79BA}">
      <formula1>Tipo_operación</formula1>
    </dataValidation>
  </dataValidations>
  <hyperlinks>
    <hyperlink ref="B1" location="'5.5.2'!A1" display="REGRESAR" xr:uid="{9BDBB356-A5FB-4DFD-B35C-C827F8D238DA}"/>
    <hyperlink ref="D8" r:id="rId1" xr:uid="{7A570E7F-20F4-4664-B966-36D6182A1343}"/>
    <hyperlink ref="D36" r:id="rId2" display="braulio.villegas@inec.go.cr" xr:uid="{3591A835-2F42-4D5F-AEC2-C00DE26E7410}"/>
  </hyperlinks>
  <pageMargins left="0.7" right="0.7" top="0.75" bottom="0.75" header="0.3" footer="0.3"/>
  <pageSetup paperSize="9" orientation="portrait" r:id="rId3"/>
  <drawing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4CCA-D7DE-44AB-943B-2838E50CD02D}">
  <dimension ref="A1:R43"/>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1" width="14.7109375" style="22" customWidth="1"/>
    <col min="2" max="2" width="15.28515625" style="22" customWidth="1"/>
    <col min="3" max="3" width="7.7109375" style="22" customWidth="1"/>
    <col min="4" max="4" width="13.28515625" style="22" customWidth="1"/>
    <col min="5" max="5" width="13.7109375" style="22" customWidth="1"/>
    <col min="6" max="6" width="11.7109375" style="250" customWidth="1"/>
    <col min="7" max="7" width="11.42578125" style="22"/>
    <col min="8" max="8" width="13.28515625" style="22" customWidth="1"/>
    <col min="9" max="16384" width="11.42578125" style="22"/>
  </cols>
  <sheetData>
    <row r="1" spans="1:18" s="16" customFormat="1" ht="19.5" x14ac:dyDescent="0.4">
      <c r="A1" s="15" t="s">
        <v>39</v>
      </c>
      <c r="C1" s="2421" t="s">
        <v>149</v>
      </c>
      <c r="D1" s="2421"/>
      <c r="F1" s="248"/>
    </row>
    <row r="2" spans="1:18" s="16" customFormat="1" ht="19.5" x14ac:dyDescent="0.4">
      <c r="F2" s="248"/>
    </row>
    <row r="3" spans="1:18" s="16" customFormat="1" ht="20.45" customHeight="1" x14ac:dyDescent="0.4">
      <c r="A3" s="2736" t="s">
        <v>41</v>
      </c>
      <c r="B3" s="2744"/>
      <c r="C3" s="2776" t="s">
        <v>1974</v>
      </c>
      <c r="D3" s="2776"/>
      <c r="E3" s="2776"/>
      <c r="F3" s="2776"/>
      <c r="G3" s="2776"/>
      <c r="H3" s="2776"/>
      <c r="I3" s="2776"/>
      <c r="J3" s="2776"/>
      <c r="K3" s="2776"/>
      <c r="L3" s="2776"/>
      <c r="M3" s="2776"/>
      <c r="N3" s="2776"/>
      <c r="O3" s="2776"/>
      <c r="P3" s="2776"/>
      <c r="Q3" s="2776"/>
      <c r="R3" s="2776"/>
    </row>
    <row r="4" spans="1:18" s="16" customFormat="1" ht="43.15" customHeight="1" x14ac:dyDescent="0.4">
      <c r="A4" s="2736" t="s">
        <v>42</v>
      </c>
      <c r="B4" s="2737"/>
      <c r="C4" s="2774" t="s">
        <v>1996</v>
      </c>
      <c r="D4" s="2775"/>
      <c r="E4" s="2775"/>
      <c r="F4" s="2775"/>
      <c r="G4" s="2775"/>
      <c r="H4" s="2775"/>
      <c r="I4" s="2775"/>
      <c r="J4" s="2775"/>
      <c r="K4" s="2775"/>
      <c r="L4" s="2775"/>
      <c r="M4" s="2775"/>
      <c r="N4" s="2775"/>
      <c r="O4" s="2775"/>
      <c r="P4" s="2775"/>
      <c r="Q4" s="2775"/>
      <c r="R4" s="2775"/>
    </row>
    <row r="5" spans="1:18" s="16" customFormat="1" ht="19.5" x14ac:dyDescent="0.4">
      <c r="A5" s="2736" t="s">
        <v>43</v>
      </c>
      <c r="B5" s="2737"/>
      <c r="C5" s="2776" t="s">
        <v>1998</v>
      </c>
      <c r="D5" s="2790"/>
      <c r="E5" s="2790"/>
      <c r="F5" s="2790"/>
      <c r="G5" s="2790"/>
      <c r="H5" s="2790"/>
      <c r="I5" s="2790"/>
      <c r="J5" s="2790"/>
      <c r="K5" s="2790"/>
      <c r="L5" s="2790"/>
      <c r="M5" s="2790"/>
      <c r="N5" s="2790"/>
      <c r="O5" s="2790"/>
      <c r="P5" s="2790"/>
      <c r="Q5" s="2790"/>
      <c r="R5" s="2790"/>
    </row>
    <row r="6" spans="1:18" s="16" customFormat="1" ht="19.5" x14ac:dyDescent="0.4">
      <c r="A6" s="2736" t="s">
        <v>132</v>
      </c>
      <c r="B6" s="2737"/>
      <c r="C6" s="2776" t="s">
        <v>2733</v>
      </c>
      <c r="D6" s="2790"/>
      <c r="E6" s="2790"/>
      <c r="F6" s="2790"/>
      <c r="G6" s="2790"/>
      <c r="H6" s="2790"/>
      <c r="I6" s="2790"/>
      <c r="J6" s="2790"/>
      <c r="K6" s="2790"/>
      <c r="L6" s="2790"/>
      <c r="M6" s="2790"/>
      <c r="N6" s="2790"/>
      <c r="O6" s="2790"/>
      <c r="P6" s="2790"/>
      <c r="Q6" s="2790"/>
      <c r="R6" s="2790"/>
    </row>
    <row r="7" spans="1:18" s="16" customFormat="1" ht="19.5" x14ac:dyDescent="0.4">
      <c r="F7" s="248"/>
    </row>
    <row r="8" spans="1:18" s="16" customFormat="1" ht="19.5" x14ac:dyDescent="0.4">
      <c r="F8" s="248"/>
    </row>
    <row r="9" spans="1:18" s="16" customFormat="1" ht="36" customHeight="1" x14ac:dyDescent="0.4">
      <c r="C9" s="2711" t="s">
        <v>2733</v>
      </c>
      <c r="D9" s="2711"/>
      <c r="E9" s="2711"/>
      <c r="F9" s="2711"/>
      <c r="G9" s="2711"/>
      <c r="H9" s="2711"/>
      <c r="I9" s="2711"/>
    </row>
    <row r="10" spans="1:18" ht="18.600000000000001" customHeight="1" x14ac:dyDescent="0.4">
      <c r="C10" s="2791" t="s">
        <v>247</v>
      </c>
      <c r="D10" s="2793" t="s">
        <v>2734</v>
      </c>
      <c r="E10" s="2793"/>
      <c r="F10" s="2793"/>
      <c r="G10" s="2793"/>
      <c r="H10" s="2793"/>
      <c r="I10" s="2793"/>
    </row>
    <row r="11" spans="1:18" s="35" customFormat="1" ht="48" customHeight="1" x14ac:dyDescent="0.25">
      <c r="C11" s="2792"/>
      <c r="D11" s="901" t="s">
        <v>2735</v>
      </c>
      <c r="E11" s="998" t="s">
        <v>2736</v>
      </c>
      <c r="F11" s="901" t="s">
        <v>2737</v>
      </c>
      <c r="G11" s="901" t="s">
        <v>2738</v>
      </c>
      <c r="H11" s="901" t="s">
        <v>2739</v>
      </c>
      <c r="I11" s="901" t="s">
        <v>2740</v>
      </c>
    </row>
    <row r="12" spans="1:18" ht="18.75" x14ac:dyDescent="0.4">
      <c r="C12" s="999">
        <v>2010</v>
      </c>
      <c r="D12" s="260">
        <v>30.086956521739129</v>
      </c>
      <c r="E12" s="260">
        <v>14.347826086956522</v>
      </c>
      <c r="F12" s="260">
        <v>9.5652173913043477</v>
      </c>
      <c r="G12" s="260">
        <v>8</v>
      </c>
      <c r="H12" s="260">
        <v>7.7391304347826084</v>
      </c>
      <c r="I12" s="260">
        <v>7.2173913043478253</v>
      </c>
    </row>
    <row r="13" spans="1:18" ht="18.75" x14ac:dyDescent="0.4">
      <c r="C13" s="5" t="s">
        <v>2741</v>
      </c>
      <c r="D13" s="5"/>
      <c r="E13" s="5"/>
      <c r="F13" s="123"/>
      <c r="G13" s="5"/>
      <c r="H13" s="5"/>
      <c r="I13" s="5"/>
    </row>
    <row r="15" spans="1:18" ht="38.25" customHeight="1" x14ac:dyDescent="0.25">
      <c r="C15" s="2602" t="s">
        <v>2742</v>
      </c>
      <c r="D15" s="2602"/>
      <c r="E15" s="2602"/>
      <c r="F15" s="2602"/>
      <c r="G15" s="2602"/>
      <c r="H15" s="2602"/>
      <c r="I15" s="2602"/>
    </row>
    <row r="18" spans="3:15" ht="16.5" x14ac:dyDescent="0.35">
      <c r="D18" s="1000"/>
    </row>
    <row r="19" spans="3:15" ht="16.5" x14ac:dyDescent="0.25">
      <c r="C19" s="2787"/>
      <c r="D19" s="2787"/>
      <c r="E19" s="2787"/>
      <c r="F19" s="2787"/>
      <c r="G19" s="2787"/>
      <c r="H19" s="2787"/>
      <c r="I19" s="2787"/>
      <c r="J19" s="2787"/>
      <c r="K19" s="2787"/>
      <c r="L19" s="2787"/>
      <c r="M19" s="2787"/>
      <c r="N19" s="2787"/>
      <c r="O19" s="2787"/>
    </row>
    <row r="20" spans="3:15" ht="16.5" x14ac:dyDescent="0.35">
      <c r="C20" s="2788"/>
      <c r="D20" s="2789"/>
      <c r="E20" s="2789"/>
      <c r="F20" s="2789"/>
      <c r="G20" s="2789"/>
      <c r="H20" s="2789"/>
      <c r="I20" s="2789"/>
      <c r="J20" s="2789"/>
      <c r="K20" s="2789"/>
      <c r="L20" s="1001"/>
      <c r="M20" s="2789"/>
      <c r="N20" s="2789"/>
      <c r="O20" s="1001"/>
    </row>
    <row r="21" spans="3:15" ht="16.5" x14ac:dyDescent="0.35">
      <c r="C21" s="2788"/>
      <c r="D21" s="2789"/>
      <c r="E21" s="2789"/>
      <c r="F21" s="1001"/>
      <c r="G21" s="2789"/>
      <c r="H21" s="2789"/>
      <c r="I21" s="1001"/>
      <c r="J21" s="2789"/>
      <c r="K21" s="2789"/>
      <c r="L21" s="1001"/>
      <c r="M21" s="2789"/>
      <c r="N21" s="2789"/>
      <c r="O21" s="1001"/>
    </row>
    <row r="22" spans="3:15" ht="16.5" x14ac:dyDescent="0.35">
      <c r="C22" s="2788"/>
      <c r="D22" s="1001"/>
      <c r="E22" s="1002"/>
      <c r="F22" s="1002"/>
      <c r="G22" s="1001"/>
      <c r="H22" s="1002"/>
      <c r="I22" s="1002"/>
      <c r="J22" s="1001"/>
      <c r="K22" s="1002"/>
      <c r="L22" s="1002"/>
      <c r="M22" s="1001"/>
      <c r="N22" s="1002"/>
      <c r="O22" s="1002"/>
    </row>
    <row r="23" spans="3:15" ht="16.5" x14ac:dyDescent="0.35">
      <c r="C23" s="1003"/>
      <c r="D23" s="85"/>
      <c r="E23" s="1004"/>
      <c r="F23" s="353"/>
      <c r="G23" s="85"/>
      <c r="H23" s="1004"/>
      <c r="I23" s="85"/>
      <c r="J23" s="85"/>
      <c r="K23" s="1004"/>
      <c r="L23" s="1004"/>
      <c r="M23" s="85"/>
      <c r="N23" s="1004"/>
      <c r="O23" s="85"/>
    </row>
    <row r="24" spans="3:15" ht="16.5" x14ac:dyDescent="0.35">
      <c r="C24" s="1005"/>
      <c r="D24" s="1005"/>
      <c r="E24" s="1006"/>
      <c r="F24" s="1007"/>
      <c r="G24" s="1005"/>
      <c r="H24" s="1006"/>
      <c r="I24" s="1005"/>
      <c r="J24" s="1005"/>
      <c r="K24" s="1006"/>
      <c r="L24" s="1006"/>
      <c r="M24" s="1005"/>
      <c r="N24" s="1006"/>
      <c r="O24" s="1005"/>
    </row>
    <row r="25" spans="3:15" ht="16.5" x14ac:dyDescent="0.35">
      <c r="C25" s="17"/>
      <c r="D25" s="17"/>
      <c r="E25" s="1000"/>
      <c r="F25" s="352"/>
      <c r="G25" s="17"/>
      <c r="H25" s="1000"/>
      <c r="I25" s="17"/>
      <c r="J25" s="17"/>
      <c r="K25" s="1000"/>
      <c r="L25" s="1000"/>
      <c r="M25" s="17"/>
      <c r="N25" s="1000"/>
      <c r="O25" s="17"/>
    </row>
    <row r="26" spans="3:15" ht="16.5" x14ac:dyDescent="0.35">
      <c r="C26" s="17"/>
      <c r="D26" s="17"/>
      <c r="E26" s="1000"/>
      <c r="F26" s="352"/>
      <c r="G26" s="17"/>
      <c r="H26" s="1000"/>
      <c r="I26" s="17"/>
      <c r="J26" s="17"/>
      <c r="K26" s="1000"/>
      <c r="L26" s="1000"/>
      <c r="M26" s="17"/>
      <c r="N26" s="1000"/>
      <c r="O26" s="17"/>
    </row>
    <row r="27" spans="3:15" ht="16.5" x14ac:dyDescent="0.35">
      <c r="C27" s="17"/>
      <c r="D27" s="17"/>
      <c r="E27" s="1000"/>
      <c r="F27" s="352"/>
      <c r="G27" s="17"/>
      <c r="H27" s="1000"/>
      <c r="I27" s="17"/>
      <c r="J27" s="17"/>
      <c r="K27" s="1000"/>
      <c r="L27" s="1000"/>
      <c r="M27" s="17"/>
      <c r="N27" s="1000"/>
      <c r="O27" s="17"/>
    </row>
    <row r="28" spans="3:15" ht="16.5" x14ac:dyDescent="0.35">
      <c r="C28" s="17"/>
      <c r="D28" s="17"/>
      <c r="E28" s="1000"/>
      <c r="F28" s="352"/>
      <c r="G28" s="17"/>
      <c r="H28" s="1000"/>
      <c r="I28" s="17"/>
      <c r="J28" s="17"/>
      <c r="K28" s="1000"/>
      <c r="L28" s="1000"/>
      <c r="M28" s="17"/>
      <c r="N28" s="1000"/>
      <c r="O28" s="17"/>
    </row>
    <row r="29" spans="3:15" ht="16.5" x14ac:dyDescent="0.35">
      <c r="C29" s="17"/>
      <c r="D29" s="17"/>
      <c r="E29" s="1000"/>
      <c r="F29" s="352"/>
      <c r="G29" s="17"/>
      <c r="H29" s="1000"/>
      <c r="I29" s="17"/>
      <c r="J29" s="17"/>
      <c r="K29" s="1000"/>
      <c r="L29" s="1000"/>
      <c r="M29" s="17"/>
      <c r="N29" s="1000"/>
      <c r="O29" s="17"/>
    </row>
    <row r="30" spans="3:15" ht="16.5" x14ac:dyDescent="0.35">
      <c r="C30" s="17"/>
      <c r="D30" s="17"/>
      <c r="E30" s="1000"/>
      <c r="F30" s="352"/>
      <c r="G30" s="17"/>
      <c r="H30" s="1000"/>
      <c r="I30" s="17"/>
      <c r="J30" s="17"/>
      <c r="K30" s="1000"/>
      <c r="L30" s="1000"/>
      <c r="M30" s="17"/>
      <c r="N30" s="1000"/>
      <c r="O30" s="17"/>
    </row>
    <row r="31" spans="3:15" ht="16.5" x14ac:dyDescent="0.35">
      <c r="C31" s="17"/>
      <c r="D31" s="17"/>
      <c r="E31" s="1000"/>
      <c r="F31" s="352"/>
      <c r="G31" s="17"/>
      <c r="H31" s="1000"/>
      <c r="I31" s="17"/>
      <c r="J31" s="17"/>
      <c r="K31" s="1000"/>
      <c r="L31" s="1000"/>
      <c r="M31" s="17"/>
      <c r="N31" s="1000"/>
      <c r="O31" s="17"/>
    </row>
    <row r="32" spans="3:15" ht="16.5" x14ac:dyDescent="0.35">
      <c r="C32" s="1008"/>
      <c r="D32" s="17"/>
      <c r="E32" s="1000"/>
      <c r="F32" s="352"/>
      <c r="G32" s="17"/>
      <c r="H32" s="1000"/>
      <c r="I32" s="17"/>
      <c r="J32" s="17"/>
      <c r="K32" s="1000"/>
      <c r="L32" s="1000"/>
      <c r="M32" s="17"/>
      <c r="N32" s="1000"/>
      <c r="O32" s="17"/>
    </row>
    <row r="33" spans="3:15" ht="16.5" x14ac:dyDescent="0.35">
      <c r="C33" s="1005"/>
      <c r="D33" s="1005"/>
      <c r="E33" s="1006"/>
      <c r="F33" s="1009"/>
      <c r="G33" s="1005"/>
      <c r="H33" s="1006"/>
      <c r="I33" s="1005"/>
      <c r="J33" s="1005"/>
      <c r="K33" s="1006"/>
      <c r="L33" s="1006"/>
      <c r="M33" s="1005"/>
      <c r="N33" s="1006"/>
      <c r="O33" s="1005"/>
    </row>
    <row r="34" spans="3:15" ht="16.5" x14ac:dyDescent="0.35">
      <c r="J34" s="17"/>
      <c r="K34" s="1000"/>
      <c r="L34" s="1000"/>
      <c r="M34" s="17"/>
      <c r="N34" s="1000"/>
      <c r="O34" s="17"/>
    </row>
    <row r="35" spans="3:15" ht="18.75" x14ac:dyDescent="0.35">
      <c r="C35" s="2752" t="s">
        <v>2741</v>
      </c>
      <c r="D35" s="2752"/>
      <c r="E35" s="2752"/>
      <c r="F35" s="2752"/>
      <c r="G35" s="2752"/>
      <c r="H35" s="2752"/>
      <c r="I35" s="2752"/>
      <c r="J35" s="17"/>
      <c r="K35" s="1000"/>
      <c r="L35" s="1000"/>
      <c r="M35" s="17"/>
      <c r="N35" s="1000"/>
      <c r="O35" s="17"/>
    </row>
    <row r="36" spans="3:15" ht="16.5" x14ac:dyDescent="0.35">
      <c r="J36" s="17"/>
      <c r="K36" s="1000"/>
      <c r="L36" s="1000"/>
      <c r="M36" s="17"/>
      <c r="N36" s="1000"/>
      <c r="O36" s="17"/>
    </row>
    <row r="37" spans="3:15" ht="16.5" x14ac:dyDescent="0.35">
      <c r="J37" s="17"/>
      <c r="K37" s="1000"/>
      <c r="L37" s="1000"/>
      <c r="M37" s="17"/>
      <c r="N37" s="1000"/>
      <c r="O37" s="17"/>
    </row>
    <row r="38" spans="3:15" ht="16.5" x14ac:dyDescent="0.35">
      <c r="J38" s="17"/>
      <c r="K38" s="1000"/>
      <c r="L38" s="1000"/>
      <c r="M38" s="17"/>
      <c r="N38" s="1000"/>
      <c r="O38" s="17"/>
    </row>
    <row r="39" spans="3:15" ht="16.5" x14ac:dyDescent="0.35">
      <c r="C39" s="17"/>
      <c r="D39" s="17"/>
      <c r="E39" s="1000"/>
      <c r="F39" s="352"/>
      <c r="G39" s="17"/>
      <c r="H39" s="1000"/>
      <c r="I39" s="17"/>
      <c r="J39" s="17"/>
      <c r="K39" s="1000"/>
      <c r="L39" s="1000"/>
      <c r="M39" s="17"/>
      <c r="N39" s="1000"/>
      <c r="O39" s="17"/>
    </row>
    <row r="40" spans="3:15" ht="18.75" x14ac:dyDescent="0.4">
      <c r="C40" s="5"/>
      <c r="D40" s="5"/>
      <c r="E40" s="558"/>
      <c r="F40" s="123"/>
      <c r="G40" s="5"/>
      <c r="H40" s="558"/>
      <c r="I40" s="5"/>
      <c r="J40" s="5"/>
      <c r="K40" s="558"/>
      <c r="L40" s="558"/>
      <c r="M40" s="5"/>
      <c r="N40" s="558"/>
      <c r="O40" s="5"/>
    </row>
    <row r="42" spans="3:15" x14ac:dyDescent="0.25">
      <c r="F42" s="22"/>
    </row>
    <row r="43" spans="3:15" x14ac:dyDescent="0.25">
      <c r="F43" s="22"/>
    </row>
  </sheetData>
  <mergeCells count="21">
    <mergeCell ref="C15:I15"/>
    <mergeCell ref="C1:D1"/>
    <mergeCell ref="A3:B3"/>
    <mergeCell ref="C3:R3"/>
    <mergeCell ref="A4:B4"/>
    <mergeCell ref="C4:R4"/>
    <mergeCell ref="A5:B5"/>
    <mergeCell ref="C5:R5"/>
    <mergeCell ref="A6:B6"/>
    <mergeCell ref="C6:R6"/>
    <mergeCell ref="C9:I9"/>
    <mergeCell ref="C10:C11"/>
    <mergeCell ref="D10:I10"/>
    <mergeCell ref="C35:I35"/>
    <mergeCell ref="C19:O19"/>
    <mergeCell ref="C20:C22"/>
    <mergeCell ref="D20:K20"/>
    <mergeCell ref="M20:N21"/>
    <mergeCell ref="D21:E21"/>
    <mergeCell ref="G21:H21"/>
    <mergeCell ref="J21:K21"/>
  </mergeCells>
  <hyperlinks>
    <hyperlink ref="A1" location="'ODS 5.'!A1" display="REGRESAR" xr:uid="{D6C7AE15-73DC-4320-B645-F1857BD2819D}"/>
    <hyperlink ref="C1" location="'Metadato 5.6.1'!A1" display="VER METADATO" xr:uid="{999B1CA5-77D2-4A67-92F7-13E14128F318}"/>
  </hyperlinks>
  <pageMargins left="0.7" right="0.7" top="0.75" bottom="0.75" header="0.3" footer="0.3"/>
  <pageSetup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F8CA-E08E-405E-BABD-D79D4FE67550}">
  <sheetPr>
    <tabColor theme="0" tint="-0.499984740745262"/>
  </sheetPr>
  <dimension ref="A1:M58"/>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7109375" style="222" customWidth="1"/>
    <col min="2" max="2" width="26.42578125" style="222" customWidth="1"/>
    <col min="3" max="3" width="10.5703125" style="222" bestFit="1" customWidth="1"/>
    <col min="4" max="4" width="85.7109375" style="261"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76</v>
      </c>
    </row>
    <row r="4" spans="1:6" x14ac:dyDescent="0.25">
      <c r="A4" s="224"/>
      <c r="B4" s="2606" t="s">
        <v>234</v>
      </c>
      <c r="C4" s="2606"/>
      <c r="D4" s="359" t="s">
        <v>2064</v>
      </c>
    </row>
    <row r="5" spans="1:6" ht="64.5" customHeight="1" x14ac:dyDescent="0.25">
      <c r="B5" s="2445" t="s">
        <v>79</v>
      </c>
      <c r="C5" s="2445"/>
      <c r="D5" s="49" t="s">
        <v>1996</v>
      </c>
    </row>
    <row r="6" spans="1:6" x14ac:dyDescent="0.25">
      <c r="B6" s="2445" t="s">
        <v>80</v>
      </c>
      <c r="C6" s="2445"/>
      <c r="D6" s="50" t="s">
        <v>1997</v>
      </c>
    </row>
    <row r="7" spans="1:6" ht="37.5" x14ac:dyDescent="0.25">
      <c r="B7" s="2446" t="s">
        <v>81</v>
      </c>
      <c r="C7" s="2446"/>
      <c r="D7" s="51" t="s">
        <v>1998</v>
      </c>
    </row>
    <row r="8" spans="1:6" x14ac:dyDescent="0.25">
      <c r="B8" s="2446" t="s">
        <v>82</v>
      </c>
      <c r="C8" s="2446"/>
      <c r="D8" s="52" t="s">
        <v>2743</v>
      </c>
    </row>
    <row r="9" spans="1:6" x14ac:dyDescent="0.4">
      <c r="B9" s="5"/>
      <c r="C9" s="5"/>
      <c r="D9" s="5"/>
    </row>
    <row r="10" spans="1:6" ht="19.5" x14ac:dyDescent="0.25">
      <c r="B10" s="2745" t="s">
        <v>85</v>
      </c>
      <c r="C10" s="2745"/>
      <c r="D10" s="2745"/>
    </row>
    <row r="11" spans="1:6" x14ac:dyDescent="0.25">
      <c r="A11" s="620"/>
      <c r="B11" s="2633" t="s">
        <v>86</v>
      </c>
      <c r="C11" s="2634"/>
      <c r="D11" s="359" t="s">
        <v>2744</v>
      </c>
    </row>
    <row r="12" spans="1:6" ht="37.5" x14ac:dyDescent="0.25">
      <c r="A12" s="621"/>
      <c r="B12" s="2455" t="s">
        <v>88</v>
      </c>
      <c r="C12" s="2455"/>
      <c r="D12" s="169" t="s">
        <v>2745</v>
      </c>
    </row>
    <row r="13" spans="1:6" x14ac:dyDescent="0.25">
      <c r="B13" s="2445" t="s">
        <v>90</v>
      </c>
      <c r="C13" s="2445"/>
      <c r="D13" s="54" t="s">
        <v>1997</v>
      </c>
    </row>
    <row r="14" spans="1:6" x14ac:dyDescent="0.25">
      <c r="B14" s="2445" t="s">
        <v>91</v>
      </c>
      <c r="C14" s="2456"/>
      <c r="D14" s="54" t="s">
        <v>92</v>
      </c>
    </row>
    <row r="15" spans="1:6" ht="56.25" x14ac:dyDescent="0.25">
      <c r="B15" s="2445" t="s">
        <v>93</v>
      </c>
      <c r="C15" s="2445"/>
      <c r="D15" s="56" t="s">
        <v>2746</v>
      </c>
    </row>
    <row r="16" spans="1:6" ht="50.25" customHeight="1" x14ac:dyDescent="0.25">
      <c r="B16" s="2445" t="s">
        <v>95</v>
      </c>
      <c r="C16" s="2445"/>
      <c r="D16" s="56"/>
    </row>
    <row r="17" spans="2:4" x14ac:dyDescent="0.25">
      <c r="B17" s="2445" t="s">
        <v>97</v>
      </c>
      <c r="C17" s="2445"/>
      <c r="D17" s="56" t="s">
        <v>238</v>
      </c>
    </row>
    <row r="18" spans="2:4" x14ac:dyDescent="0.25">
      <c r="B18" s="2446" t="s">
        <v>99</v>
      </c>
      <c r="C18" s="2446"/>
      <c r="D18" s="49"/>
    </row>
    <row r="19" spans="2:4" ht="46.5" customHeight="1" x14ac:dyDescent="0.25">
      <c r="B19" s="2457" t="s">
        <v>100</v>
      </c>
      <c r="C19" s="2458"/>
      <c r="D19" s="56" t="s">
        <v>2747</v>
      </c>
    </row>
    <row r="20" spans="2:4" x14ac:dyDescent="0.25">
      <c r="B20" s="2445" t="s">
        <v>102</v>
      </c>
      <c r="C20" s="2445"/>
      <c r="D20" s="56" t="s">
        <v>140</v>
      </c>
    </row>
    <row r="21" spans="2:4" x14ac:dyDescent="0.25">
      <c r="B21" s="2451" t="s">
        <v>104</v>
      </c>
      <c r="C21" s="95" t="s">
        <v>105</v>
      </c>
      <c r="D21" s="49"/>
    </row>
    <row r="22" spans="2:4" x14ac:dyDescent="0.25">
      <c r="B22" s="2452"/>
      <c r="C22" s="96" t="s">
        <v>107</v>
      </c>
      <c r="D22" s="56" t="s">
        <v>2748</v>
      </c>
    </row>
    <row r="23" spans="2:4" x14ac:dyDescent="0.25">
      <c r="B23" s="2444" t="s">
        <v>109</v>
      </c>
      <c r="C23" s="2444"/>
      <c r="D23" s="56" t="s">
        <v>515</v>
      </c>
    </row>
    <row r="24" spans="2:4" x14ac:dyDescent="0.25">
      <c r="B24" s="2444" t="s">
        <v>111</v>
      </c>
      <c r="C24" s="2444"/>
      <c r="D24" s="59" t="s">
        <v>522</v>
      </c>
    </row>
    <row r="25" spans="2:4" x14ac:dyDescent="0.25">
      <c r="B25" s="2445" t="s">
        <v>113</v>
      </c>
      <c r="C25" s="2445"/>
      <c r="D25" s="56" t="s">
        <v>144</v>
      </c>
    </row>
    <row r="26" spans="2:4" ht="15" customHeight="1" x14ac:dyDescent="0.25">
      <c r="B26" s="2446" t="s">
        <v>115</v>
      </c>
      <c r="C26" s="2446"/>
      <c r="D26" s="59" t="s">
        <v>2749</v>
      </c>
    </row>
    <row r="27" spans="2:4" x14ac:dyDescent="0.25">
      <c r="B27" s="2447" t="s">
        <v>117</v>
      </c>
      <c r="C27" s="2448"/>
      <c r="D27" s="49"/>
    </row>
    <row r="28" spans="2:4" ht="37.5" x14ac:dyDescent="0.25">
      <c r="B28" s="97" t="s">
        <v>118</v>
      </c>
      <c r="C28" s="98"/>
      <c r="D28" s="56" t="s">
        <v>2750</v>
      </c>
    </row>
    <row r="29" spans="2:4" x14ac:dyDescent="0.25">
      <c r="B29" s="2449" t="s">
        <v>120</v>
      </c>
      <c r="C29" s="2450"/>
      <c r="D29" s="62"/>
    </row>
    <row r="30" spans="2:4" x14ac:dyDescent="0.25">
      <c r="B30" s="628"/>
      <c r="C30" s="628"/>
      <c r="D30" s="629"/>
    </row>
    <row r="31" spans="2:4" ht="23.25" customHeight="1" x14ac:dyDescent="0.25">
      <c r="B31" s="2745" t="s">
        <v>121</v>
      </c>
      <c r="C31" s="2745"/>
      <c r="D31" s="2745"/>
    </row>
    <row r="32" spans="2:4" x14ac:dyDescent="0.4">
      <c r="B32" s="2631" t="s">
        <v>122</v>
      </c>
      <c r="C32" s="2632"/>
      <c r="D32" s="205" t="s">
        <v>1373</v>
      </c>
    </row>
    <row r="33" spans="1:13" x14ac:dyDescent="0.4">
      <c r="B33" s="2442" t="s">
        <v>124</v>
      </c>
      <c r="C33" s="2443"/>
      <c r="D33" s="205" t="s">
        <v>1374</v>
      </c>
    </row>
    <row r="34" spans="1:13" x14ac:dyDescent="0.4">
      <c r="A34" s="620"/>
      <c r="B34" s="2442" t="s">
        <v>126</v>
      </c>
      <c r="C34" s="2443"/>
      <c r="D34" s="205" t="s">
        <v>522</v>
      </c>
      <c r="E34" s="620"/>
      <c r="F34" s="620"/>
      <c r="G34" s="620"/>
      <c r="H34" s="620"/>
      <c r="I34" s="620"/>
      <c r="J34" s="620"/>
      <c r="K34" s="620"/>
      <c r="L34" s="620"/>
      <c r="M34" s="620"/>
    </row>
    <row r="35" spans="1:13" x14ac:dyDescent="0.4">
      <c r="A35" s="1010"/>
      <c r="B35" s="2442" t="s">
        <v>128</v>
      </c>
      <c r="C35" s="2443"/>
      <c r="D35" s="205" t="s">
        <v>1375</v>
      </c>
      <c r="E35" s="1011"/>
      <c r="F35" s="1011"/>
      <c r="G35" s="1011"/>
      <c r="H35" s="1011"/>
      <c r="I35" s="1011"/>
      <c r="J35" s="1012"/>
      <c r="K35" s="1011"/>
      <c r="L35" s="1011"/>
      <c r="M35" s="1012"/>
    </row>
    <row r="36" spans="1:13" x14ac:dyDescent="0.25">
      <c r="A36" s="1010"/>
      <c r="B36" s="2442" t="s">
        <v>130</v>
      </c>
      <c r="C36" s="2443"/>
      <c r="D36" s="639" t="s">
        <v>1376</v>
      </c>
      <c r="E36" s="1011"/>
      <c r="F36" s="1011"/>
      <c r="G36" s="1012"/>
      <c r="H36" s="1011"/>
      <c r="I36" s="1011"/>
      <c r="J36" s="1012"/>
      <c r="K36" s="1011"/>
      <c r="L36" s="1011"/>
      <c r="M36" s="1012"/>
    </row>
    <row r="37" spans="1:13" x14ac:dyDescent="0.25">
      <c r="A37" s="1010"/>
      <c r="B37" s="1012"/>
      <c r="C37" s="1013"/>
      <c r="D37" s="1013"/>
      <c r="E37" s="1012"/>
      <c r="F37" s="1013"/>
      <c r="G37" s="1013"/>
      <c r="H37" s="1012"/>
      <c r="I37" s="1013"/>
      <c r="J37" s="1013"/>
      <c r="K37" s="1012"/>
      <c r="L37" s="1013"/>
      <c r="M37" s="1013"/>
    </row>
    <row r="38" spans="1:13" x14ac:dyDescent="0.25">
      <c r="A38" s="1014"/>
      <c r="B38" s="399"/>
      <c r="C38" s="1015"/>
      <c r="D38" s="1016"/>
      <c r="E38" s="399"/>
      <c r="F38" s="1015"/>
      <c r="G38" s="399"/>
      <c r="H38" s="399"/>
      <c r="I38" s="1015"/>
      <c r="J38" s="1015"/>
      <c r="K38" s="399"/>
      <c r="L38" s="1015"/>
      <c r="M38" s="399"/>
    </row>
    <row r="39" spans="1:13" x14ac:dyDescent="0.25">
      <c r="A39" s="1017"/>
      <c r="B39" s="1017"/>
      <c r="C39" s="1018"/>
      <c r="D39" s="1019"/>
      <c r="E39" s="1017"/>
      <c r="F39" s="1018"/>
      <c r="G39" s="1017"/>
      <c r="H39" s="1017"/>
      <c r="I39" s="1018"/>
      <c r="J39" s="1018"/>
      <c r="K39" s="1017"/>
      <c r="L39" s="1018"/>
      <c r="M39" s="1017"/>
    </row>
    <row r="40" spans="1:13" x14ac:dyDescent="0.25">
      <c r="C40" s="1020"/>
      <c r="F40" s="1020"/>
      <c r="I40" s="1020"/>
      <c r="J40" s="1020"/>
      <c r="L40" s="1020"/>
    </row>
    <row r="41" spans="1:13" x14ac:dyDescent="0.25">
      <c r="C41" s="1020"/>
      <c r="F41" s="1020"/>
      <c r="I41" s="1020"/>
      <c r="J41" s="1020"/>
      <c r="L41" s="1020"/>
    </row>
    <row r="42" spans="1:13" x14ac:dyDescent="0.25">
      <c r="C42" s="1020"/>
      <c r="F42" s="1020"/>
      <c r="I42" s="1020"/>
      <c r="J42" s="1020"/>
      <c r="L42" s="1020"/>
    </row>
    <row r="43" spans="1:13" x14ac:dyDescent="0.25">
      <c r="C43" s="1020"/>
      <c r="F43" s="1020"/>
      <c r="I43" s="1020"/>
      <c r="J43" s="1020"/>
      <c r="L43" s="1020"/>
    </row>
    <row r="44" spans="1:13" x14ac:dyDescent="0.25">
      <c r="C44" s="1020"/>
      <c r="F44" s="1020"/>
      <c r="I44" s="1020"/>
      <c r="J44" s="1020"/>
      <c r="L44" s="1020"/>
    </row>
    <row r="45" spans="1:13" x14ac:dyDescent="0.25">
      <c r="C45" s="1020"/>
      <c r="F45" s="1020"/>
      <c r="I45" s="1020"/>
      <c r="J45" s="1020"/>
      <c r="L45" s="1020"/>
    </row>
    <row r="46" spans="1:13" x14ac:dyDescent="0.25">
      <c r="C46" s="1020"/>
      <c r="F46" s="1020"/>
      <c r="I46" s="1020"/>
      <c r="J46" s="1020"/>
      <c r="L46" s="1020"/>
    </row>
    <row r="47" spans="1:13" x14ac:dyDescent="0.25">
      <c r="A47" s="1021"/>
      <c r="C47" s="1020"/>
      <c r="F47" s="1020"/>
      <c r="I47" s="1020"/>
      <c r="J47" s="1020"/>
      <c r="L47" s="1020"/>
    </row>
    <row r="48" spans="1:13" x14ac:dyDescent="0.25">
      <c r="A48" s="1017"/>
      <c r="B48" s="1017"/>
      <c r="C48" s="1018"/>
      <c r="D48" s="1022"/>
      <c r="E48" s="1017"/>
      <c r="F48" s="1018"/>
      <c r="G48" s="1017"/>
      <c r="H48" s="1017"/>
      <c r="I48" s="1018"/>
      <c r="J48" s="1018"/>
      <c r="K48" s="1017"/>
      <c r="L48" s="1018"/>
      <c r="M48" s="1017"/>
    </row>
    <row r="49" spans="3:12" x14ac:dyDescent="0.25">
      <c r="C49" s="1020"/>
      <c r="D49" s="243"/>
      <c r="F49" s="1020"/>
      <c r="I49" s="1020"/>
      <c r="J49" s="1020"/>
      <c r="L49" s="1020"/>
    </row>
    <row r="50" spans="3:12" x14ac:dyDescent="0.25">
      <c r="C50" s="1020"/>
      <c r="D50" s="1023"/>
      <c r="F50" s="1020"/>
      <c r="I50" s="1020"/>
      <c r="J50" s="1020"/>
      <c r="L50" s="1020"/>
    </row>
    <row r="51" spans="3:12" x14ac:dyDescent="0.25">
      <c r="C51" s="1020"/>
      <c r="F51" s="1020"/>
      <c r="I51" s="1020"/>
      <c r="J51" s="1020"/>
      <c r="L51" s="1020"/>
    </row>
    <row r="52" spans="3:12" x14ac:dyDescent="0.25">
      <c r="C52" s="1020"/>
      <c r="F52" s="1020"/>
      <c r="I52" s="1020"/>
      <c r="J52" s="1020"/>
      <c r="L52" s="1020"/>
    </row>
    <row r="53" spans="3:12" x14ac:dyDescent="0.25">
      <c r="C53" s="1020"/>
      <c r="F53" s="1020"/>
      <c r="I53" s="1020"/>
      <c r="J53" s="1020"/>
      <c r="L53" s="1020"/>
    </row>
    <row r="54" spans="3:12" x14ac:dyDescent="0.25">
      <c r="C54" s="1020"/>
      <c r="F54" s="1020"/>
      <c r="I54" s="1020"/>
      <c r="J54" s="1020"/>
      <c r="L54" s="1020"/>
    </row>
    <row r="55" spans="3:12" x14ac:dyDescent="0.25">
      <c r="C55" s="1020"/>
      <c r="F55" s="1020"/>
      <c r="I55" s="1020"/>
      <c r="J55" s="1020"/>
      <c r="L55" s="1020"/>
    </row>
    <row r="57" spans="3:12" x14ac:dyDescent="0.25">
      <c r="D57" s="222"/>
    </row>
    <row r="58" spans="3:12" x14ac:dyDescent="0.25">
      <c r="D58" s="2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CC4F33D-70D2-4AD4-A84A-2B0850DA588F}">
      <formula1>Tipo_operación</formula1>
    </dataValidation>
    <dataValidation type="list" allowBlank="1" showInputMessage="1" showErrorMessage="1" sqref="D14" xr:uid="{AB8EEF03-B8D0-4B4F-BD79-8180F188F308}">
      <formula1>Tipo_indicador</formula1>
    </dataValidation>
    <dataValidation type="list" allowBlank="1" showInputMessage="1" showErrorMessage="1" sqref="D7" xr:uid="{D30E26A8-A71B-4FDD-A690-5D4AFBE4D51F}">
      <formula1>Nombre_indicador_ODS</formula1>
    </dataValidation>
    <dataValidation type="list" allowBlank="1" showInputMessage="1" showErrorMessage="1" sqref="D6" xr:uid="{6CA34C68-A1AD-4393-9238-A2F74EA72DD9}">
      <formula1>Numero_indicador</formula1>
    </dataValidation>
    <dataValidation type="list" allowBlank="1" showInputMessage="1" showErrorMessage="1" sqref="D5" xr:uid="{70FC8779-DEEE-4449-9499-902616BC27B4}">
      <formula1>Metas_ODS</formula1>
    </dataValidation>
    <dataValidation type="list" allowBlank="1" showInputMessage="1" showErrorMessage="1" sqref="D4" xr:uid="{2BDC0D35-BD1B-495C-B40D-BA030B55D4D2}">
      <formula1>ODS</formula1>
    </dataValidation>
    <dataValidation allowBlank="1" showDropDown="1" showInputMessage="1" showErrorMessage="1" sqref="D13" xr:uid="{1F29D286-A99C-4832-88D5-2367538BAC18}"/>
  </dataValidations>
  <hyperlinks>
    <hyperlink ref="B1" location="'5.6.1'!A1" display="REGRESAR" xr:uid="{6BC2D143-591D-49F2-9A38-DF95B9861421}"/>
    <hyperlink ref="D8" r:id="rId1" xr:uid="{B677D7C9-FC32-4AC0-B93E-7650ACBC30DE}"/>
    <hyperlink ref="D36" r:id="rId2" xr:uid="{99AE82F6-204C-4658-A334-8F8A8CF150D2}"/>
  </hyperlinks>
  <pageMargins left="0.7" right="0.7" top="0.75" bottom="0.75" header="0.3" footer="0.3"/>
  <pageSetup orientation="portrait" r:id="rId3"/>
  <drawing r:id="rId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BF90-2444-472F-BC5D-FDC9CF6700F3}">
  <sheetPr>
    <tabColor rgb="FF7030A0"/>
  </sheetPr>
  <dimension ref="A1:O41"/>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28515625" style="22" customWidth="1"/>
    <col min="3" max="3" width="13.42578125" style="89" customWidth="1"/>
    <col min="4" max="5" width="13.42578125" style="22" customWidth="1"/>
    <col min="6" max="16384" width="11.42578125" style="22"/>
  </cols>
  <sheetData>
    <row r="1" spans="1:15" s="16" customFormat="1" ht="19.5" x14ac:dyDescent="0.4">
      <c r="A1" s="15" t="s">
        <v>39</v>
      </c>
      <c r="B1" s="161"/>
      <c r="C1" s="2421" t="s">
        <v>149</v>
      </c>
      <c r="D1" s="2421"/>
    </row>
    <row r="2" spans="1:15" s="16" customFormat="1" ht="19.5" x14ac:dyDescent="0.4">
      <c r="C2" s="218"/>
    </row>
    <row r="3" spans="1:15" s="16" customFormat="1" ht="15" customHeight="1" x14ac:dyDescent="0.4">
      <c r="A3" s="2736" t="s">
        <v>41</v>
      </c>
      <c r="B3" s="2744"/>
      <c r="C3" s="2736" t="s">
        <v>1974</v>
      </c>
      <c r="D3" s="2762"/>
      <c r="E3" s="2762"/>
      <c r="F3" s="2762"/>
      <c r="G3" s="2762"/>
      <c r="H3" s="2762"/>
      <c r="I3" s="2762"/>
      <c r="J3" s="2762"/>
      <c r="K3" s="2762"/>
      <c r="L3" s="2762"/>
      <c r="M3" s="2762"/>
      <c r="N3" s="2762"/>
      <c r="O3" s="2762"/>
    </row>
    <row r="4" spans="1:15" s="16" customFormat="1" ht="34.9" customHeight="1" x14ac:dyDescent="0.4">
      <c r="A4" s="2736" t="s">
        <v>42</v>
      </c>
      <c r="B4" s="2737"/>
      <c r="C4" s="2781" t="s">
        <v>2751</v>
      </c>
      <c r="D4" s="2796"/>
      <c r="E4" s="2796"/>
      <c r="F4" s="2796"/>
      <c r="G4" s="2796"/>
      <c r="H4" s="2796"/>
      <c r="I4" s="2796"/>
      <c r="J4" s="2796"/>
      <c r="K4" s="2796"/>
      <c r="L4" s="2796"/>
      <c r="M4" s="2796"/>
      <c r="N4" s="2796"/>
      <c r="O4" s="2796"/>
    </row>
    <row r="5" spans="1:15" s="16" customFormat="1" ht="33.6" customHeight="1" x14ac:dyDescent="0.4">
      <c r="A5" s="2736" t="s">
        <v>43</v>
      </c>
      <c r="B5" s="2737"/>
      <c r="C5" s="2781" t="s">
        <v>2000</v>
      </c>
      <c r="D5" s="2796"/>
      <c r="E5" s="2796"/>
      <c r="F5" s="2796"/>
      <c r="G5" s="2796"/>
      <c r="H5" s="2796"/>
      <c r="I5" s="2796"/>
      <c r="J5" s="2796"/>
      <c r="K5" s="2796"/>
      <c r="L5" s="2796"/>
      <c r="M5" s="2796"/>
      <c r="N5" s="2796"/>
      <c r="O5" s="2796"/>
    </row>
    <row r="6" spans="1:15" s="16" customFormat="1" ht="19.5" x14ac:dyDescent="0.4">
      <c r="A6" s="2736" t="s">
        <v>132</v>
      </c>
      <c r="B6" s="2737"/>
      <c r="C6" s="2794"/>
      <c r="D6" s="2795"/>
      <c r="E6" s="2795"/>
      <c r="F6" s="2795"/>
      <c r="G6" s="2795"/>
      <c r="H6" s="2795"/>
      <c r="I6" s="2795"/>
      <c r="J6" s="2795"/>
      <c r="K6" s="2795"/>
      <c r="L6" s="2795"/>
      <c r="M6" s="2795"/>
      <c r="N6" s="2795"/>
      <c r="O6" s="2795"/>
    </row>
    <row r="7" spans="1:15" s="16" customFormat="1" ht="19.5" x14ac:dyDescent="0.4">
      <c r="A7" s="218"/>
    </row>
    <row r="8" spans="1:15" s="16" customFormat="1" ht="19.5" x14ac:dyDescent="0.4">
      <c r="A8" s="363"/>
      <c r="C8" s="218"/>
    </row>
    <row r="9" spans="1:15" s="16" customFormat="1" ht="11.25" customHeight="1" x14ac:dyDescent="0.4">
      <c r="A9" s="217"/>
      <c r="C9" s="2506" t="s">
        <v>650</v>
      </c>
      <c r="D9" s="2506"/>
      <c r="E9" s="2506"/>
      <c r="F9" s="2506"/>
      <c r="G9" s="2506"/>
      <c r="H9" s="2506"/>
      <c r="I9" s="2506"/>
      <c r="J9" s="2506"/>
      <c r="K9" s="2506"/>
      <c r="L9" s="2506"/>
      <c r="M9" s="2506"/>
      <c r="N9" s="2506"/>
      <c r="O9" s="2506"/>
    </row>
    <row r="10" spans="1:15" s="16" customFormat="1" ht="11.25" customHeight="1" x14ac:dyDescent="0.4">
      <c r="A10" s="217"/>
      <c r="C10" s="2506"/>
      <c r="D10" s="2506"/>
      <c r="E10" s="2506"/>
      <c r="F10" s="2506"/>
      <c r="G10" s="2506"/>
      <c r="H10" s="2506"/>
      <c r="I10" s="2506"/>
      <c r="J10" s="2506"/>
      <c r="K10" s="2506"/>
      <c r="L10" s="2506"/>
      <c r="M10" s="2506"/>
      <c r="N10" s="2506"/>
      <c r="O10" s="2506"/>
    </row>
    <row r="11" spans="1:15" x14ac:dyDescent="0.25">
      <c r="A11" s="23"/>
    </row>
    <row r="12" spans="1:15" x14ac:dyDescent="0.25">
      <c r="A12" s="23"/>
      <c r="C12" s="2493" t="s">
        <v>2752</v>
      </c>
      <c r="D12" s="2493"/>
      <c r="E12" s="2493"/>
      <c r="F12" s="2493"/>
      <c r="G12" s="2493"/>
      <c r="H12" s="2493"/>
      <c r="I12" s="2493"/>
      <c r="J12" s="2493"/>
      <c r="K12" s="2493"/>
      <c r="L12" s="2493"/>
      <c r="M12" s="2493"/>
      <c r="N12" s="2493"/>
    </row>
    <row r="13" spans="1:15" x14ac:dyDescent="0.25">
      <c r="A13" s="23"/>
      <c r="C13" s="2493"/>
      <c r="D13" s="2493"/>
      <c r="E13" s="2493"/>
      <c r="F13" s="2493"/>
      <c r="G13" s="2493"/>
      <c r="H13" s="2493"/>
      <c r="I13" s="2493"/>
      <c r="J13" s="2493"/>
      <c r="K13" s="2493"/>
      <c r="L13" s="2493"/>
      <c r="M13" s="2493"/>
      <c r="N13" s="2493"/>
    </row>
    <row r="14" spans="1:15" x14ac:dyDescent="0.25">
      <c r="A14" s="23"/>
      <c r="C14" s="2493"/>
      <c r="D14" s="2493"/>
      <c r="E14" s="2493"/>
      <c r="F14" s="2493"/>
      <c r="G14" s="2493"/>
      <c r="H14" s="2493"/>
      <c r="I14" s="2493"/>
      <c r="J14" s="2493"/>
      <c r="K14" s="2493"/>
      <c r="L14" s="2493"/>
      <c r="M14" s="2493"/>
      <c r="N14" s="2493"/>
    </row>
    <row r="15" spans="1:15" x14ac:dyDescent="0.25">
      <c r="A15" s="23"/>
      <c r="C15" s="2493"/>
      <c r="D15" s="2493"/>
      <c r="E15" s="2493"/>
      <c r="F15" s="2493"/>
      <c r="G15" s="2493"/>
      <c r="H15" s="2493"/>
      <c r="I15" s="2493"/>
      <c r="J15" s="2493"/>
      <c r="K15" s="2493"/>
      <c r="L15" s="2493"/>
      <c r="M15" s="2493"/>
      <c r="N15" s="2493"/>
    </row>
    <row r="16" spans="1:15" x14ac:dyDescent="0.25">
      <c r="A16" s="23"/>
      <c r="C16" s="2493"/>
      <c r="D16" s="2493"/>
      <c r="E16" s="2493"/>
      <c r="F16" s="2493"/>
      <c r="G16" s="2493"/>
      <c r="H16" s="2493"/>
      <c r="I16" s="2493"/>
      <c r="J16" s="2493"/>
      <c r="K16" s="2493"/>
      <c r="L16" s="2493"/>
      <c r="M16" s="2493"/>
      <c r="N16" s="2493"/>
    </row>
    <row r="17" spans="1:15" x14ac:dyDescent="0.25">
      <c r="A17" s="23"/>
      <c r="C17" s="2493"/>
      <c r="D17" s="2493"/>
      <c r="E17" s="2493"/>
      <c r="F17" s="2493"/>
      <c r="G17" s="2493"/>
      <c r="H17" s="2493"/>
      <c r="I17" s="2493"/>
      <c r="J17" s="2493"/>
      <c r="K17" s="2493"/>
      <c r="L17" s="2493"/>
      <c r="M17" s="2493"/>
      <c r="N17" s="2493"/>
    </row>
    <row r="18" spans="1:15" ht="24" customHeight="1" x14ac:dyDescent="0.25">
      <c r="A18" s="23"/>
      <c r="C18" s="2493"/>
      <c r="D18" s="2493"/>
      <c r="E18" s="2493"/>
      <c r="F18" s="2493"/>
      <c r="G18" s="2493"/>
      <c r="H18" s="2493"/>
      <c r="I18" s="2493"/>
      <c r="J18" s="2493"/>
      <c r="K18" s="2493"/>
      <c r="L18" s="2493"/>
      <c r="M18" s="2493"/>
      <c r="N18" s="2493"/>
    </row>
    <row r="19" spans="1:15" x14ac:dyDescent="0.25">
      <c r="A19" s="23"/>
    </row>
    <row r="20" spans="1:15" x14ac:dyDescent="0.25">
      <c r="A20" s="23"/>
    </row>
    <row r="21" spans="1:15" x14ac:dyDescent="0.25">
      <c r="A21" s="23"/>
    </row>
    <row r="22" spans="1:15" ht="15.75" x14ac:dyDescent="0.25">
      <c r="A22" s="221"/>
      <c r="B22" s="220"/>
      <c r="C22" s="220"/>
      <c r="D22" s="220"/>
      <c r="E22" s="220"/>
      <c r="F22" s="220"/>
      <c r="G22" s="220"/>
      <c r="H22" s="220"/>
      <c r="I22" s="220"/>
      <c r="J22" s="220"/>
      <c r="K22" s="220"/>
      <c r="L22" s="220"/>
      <c r="M22" s="220"/>
      <c r="N22" s="220"/>
      <c r="O22" s="220"/>
    </row>
    <row r="23" spans="1:15" ht="15.75" x14ac:dyDescent="0.25">
      <c r="A23" s="221"/>
      <c r="B23" s="220"/>
      <c r="C23" s="220"/>
      <c r="D23" s="220"/>
      <c r="E23" s="220"/>
      <c r="F23" s="220"/>
      <c r="G23" s="220"/>
      <c r="H23" s="220"/>
      <c r="I23" s="220"/>
      <c r="J23" s="220"/>
      <c r="K23" s="220"/>
      <c r="L23" s="220"/>
      <c r="M23" s="220"/>
      <c r="N23" s="220"/>
      <c r="O23" s="220"/>
    </row>
    <row r="24" spans="1:15" ht="15.75" x14ac:dyDescent="0.25">
      <c r="A24" s="221"/>
      <c r="B24" s="220"/>
      <c r="C24" s="220"/>
      <c r="D24" s="220"/>
      <c r="E24" s="220"/>
      <c r="F24" s="220"/>
      <c r="G24" s="220"/>
      <c r="H24" s="220"/>
      <c r="I24" s="220"/>
      <c r="J24" s="220"/>
      <c r="K24" s="220"/>
      <c r="L24" s="220"/>
      <c r="M24" s="220"/>
      <c r="N24" s="220"/>
      <c r="O24" s="220"/>
    </row>
    <row r="25" spans="1:15" ht="15.75" x14ac:dyDescent="0.25">
      <c r="A25" s="221"/>
      <c r="B25" s="220"/>
      <c r="C25" s="220"/>
      <c r="D25" s="220"/>
      <c r="E25" s="220"/>
      <c r="F25" s="220"/>
      <c r="G25" s="220"/>
      <c r="H25" s="220"/>
      <c r="I25" s="220"/>
      <c r="J25" s="220"/>
      <c r="K25" s="220"/>
      <c r="L25" s="220"/>
      <c r="M25" s="220"/>
      <c r="N25" s="220"/>
      <c r="O25" s="220"/>
    </row>
    <row r="26" spans="1:15" ht="15.75" x14ac:dyDescent="0.25">
      <c r="A26" s="221"/>
      <c r="B26" s="220"/>
      <c r="C26" s="220"/>
      <c r="D26" s="220"/>
      <c r="E26" s="220"/>
      <c r="F26" s="220"/>
      <c r="G26" s="220"/>
      <c r="H26" s="220"/>
      <c r="I26" s="220"/>
      <c r="J26" s="220"/>
      <c r="K26" s="220"/>
      <c r="L26" s="220"/>
      <c r="M26" s="220"/>
      <c r="N26" s="220"/>
      <c r="O26" s="220"/>
    </row>
    <row r="27" spans="1:15" ht="16.5" x14ac:dyDescent="0.35">
      <c r="A27" s="2494" t="s">
        <v>652</v>
      </c>
      <c r="B27" s="2494"/>
      <c r="C27" s="2494"/>
      <c r="D27" s="2494"/>
      <c r="E27" s="2494"/>
      <c r="F27" s="2494"/>
      <c r="G27" s="2494"/>
      <c r="H27" s="2494"/>
      <c r="I27" s="2494"/>
      <c r="J27" s="2494"/>
      <c r="K27" s="2494"/>
      <c r="L27" s="2494"/>
      <c r="M27" s="2494"/>
      <c r="N27" s="2494"/>
      <c r="O27" s="2494"/>
    </row>
    <row r="28" spans="1:15" x14ac:dyDescent="0.25">
      <c r="A28" s="23"/>
    </row>
    <row r="29" spans="1:15" x14ac:dyDescent="0.25">
      <c r="A29" s="23"/>
    </row>
    <row r="30" spans="1:15" x14ac:dyDescent="0.25">
      <c r="A30" s="23"/>
    </row>
    <row r="31" spans="1:15" x14ac:dyDescent="0.25">
      <c r="A31" s="23"/>
    </row>
    <row r="32" spans="1:15"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sheetData>
  <mergeCells count="12">
    <mergeCell ref="A5:B5"/>
    <mergeCell ref="C5:O5"/>
    <mergeCell ref="C1:D1"/>
    <mergeCell ref="A3:B3"/>
    <mergeCell ref="C3:O3"/>
    <mergeCell ref="A4:B4"/>
    <mergeCell ref="C4:O4"/>
    <mergeCell ref="A6:B6"/>
    <mergeCell ref="C6:O6"/>
    <mergeCell ref="C9:O10"/>
    <mergeCell ref="C12:N18"/>
    <mergeCell ref="A27:O27"/>
  </mergeCells>
  <hyperlinks>
    <hyperlink ref="A1" location="'ODS 5.'!A1" display="REGRESAR" xr:uid="{6927C3E5-A536-4785-ACAE-B41453A149CB}"/>
    <hyperlink ref="C1" location="'Metadato 5.6.2'!A1" display="VER METADATO" xr:uid="{149E7F1D-CD00-47B1-8BB2-B52436F2ACFA}"/>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2F03-8B91-42F2-96B7-D941BDF46E8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10.5703125" style="222" bestFit="1"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317</v>
      </c>
    </row>
    <row r="4" spans="1:6" x14ac:dyDescent="0.25">
      <c r="A4" s="224"/>
      <c r="B4" s="2445" t="s">
        <v>234</v>
      </c>
      <c r="C4" s="2445"/>
      <c r="D4" s="49" t="s">
        <v>2064</v>
      </c>
    </row>
    <row r="5" spans="1:6" ht="56.25" x14ac:dyDescent="0.25">
      <c r="B5" s="2445" t="s">
        <v>79</v>
      </c>
      <c r="C5" s="2445"/>
      <c r="D5" s="49" t="s">
        <v>1996</v>
      </c>
    </row>
    <row r="6" spans="1:6" x14ac:dyDescent="0.25">
      <c r="B6" s="2445" t="s">
        <v>80</v>
      </c>
      <c r="C6" s="2445"/>
      <c r="D6" s="50" t="s">
        <v>1999</v>
      </c>
    </row>
    <row r="7" spans="1:6" ht="56.25" x14ac:dyDescent="0.25">
      <c r="B7" s="2446" t="s">
        <v>81</v>
      </c>
      <c r="C7" s="2446"/>
      <c r="D7" s="93" t="s">
        <v>2000</v>
      </c>
    </row>
    <row r="8" spans="1:6" x14ac:dyDescent="0.25">
      <c r="B8" s="2446" t="s">
        <v>82</v>
      </c>
      <c r="C8" s="2446"/>
      <c r="D8" s="94" t="s">
        <v>2753</v>
      </c>
    </row>
    <row r="9" spans="1:6" x14ac:dyDescent="0.4">
      <c r="B9" s="5"/>
      <c r="C9" s="5"/>
      <c r="D9" s="5"/>
    </row>
    <row r="10" spans="1:6" ht="23.25" customHeight="1" x14ac:dyDescent="0.25">
      <c r="B10" s="2745" t="s">
        <v>85</v>
      </c>
      <c r="C10" s="2745"/>
      <c r="D10" s="2745"/>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AA9FF05-0CB1-4D53-B587-B6964E1BB33F}">
      <formula1>Tipo_operación</formula1>
    </dataValidation>
    <dataValidation type="list" allowBlank="1" showInputMessage="1" showErrorMessage="1" sqref="D14" xr:uid="{82EAD3C8-2DB6-4B2A-A010-4896DD533034}">
      <formula1>Tipo_indicador</formula1>
    </dataValidation>
    <dataValidation type="list" allowBlank="1" showInputMessage="1" showErrorMessage="1" sqref="D7" xr:uid="{20835E7F-3AFC-4C2D-A111-BBB63C94B0FD}">
      <formula1>Nombre_indicador_ODS</formula1>
    </dataValidation>
    <dataValidation type="list" allowBlank="1" showInputMessage="1" showErrorMessage="1" sqref="D6" xr:uid="{A2EB8E59-C4F3-4366-A312-192E5EAB3F78}">
      <formula1>Numero_indicador</formula1>
    </dataValidation>
    <dataValidation type="list" allowBlank="1" showInputMessage="1" showErrorMessage="1" sqref="D5" xr:uid="{AC888832-3C2F-4E5D-AD80-8399F20325D8}">
      <formula1>Metas_ODS</formula1>
    </dataValidation>
    <dataValidation type="list" allowBlank="1" showInputMessage="1" showErrorMessage="1" sqref="D4" xr:uid="{2170FC78-4B92-4AF9-BC4D-A19497A7B5AB}">
      <formula1>ODS</formula1>
    </dataValidation>
    <dataValidation allowBlank="1" showDropDown="1" showInputMessage="1" showErrorMessage="1" sqref="D13" xr:uid="{A808BE69-AC12-4235-ACAF-FE6221324EE9}"/>
  </dataValidations>
  <hyperlinks>
    <hyperlink ref="B1" location="'5.6.2'!A1" display="REGRESAR" xr:uid="{9F43B7A4-9D37-418E-966C-7AAF568BA8FF}"/>
    <hyperlink ref="D8" r:id="rId1" xr:uid="{74242EA4-5359-419F-9A5B-637045FA2B06}"/>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DC33-0E03-4DDE-891F-9F7C0155065E}">
  <sheetPr>
    <tabColor rgb="FFC00000"/>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5703125" style="22" customWidth="1"/>
    <col min="3" max="3" width="12.28515625" style="89" customWidth="1"/>
    <col min="4" max="6" width="12.28515625" style="22" customWidth="1"/>
    <col min="7" max="16384" width="11.42578125" style="22"/>
  </cols>
  <sheetData>
    <row r="1" spans="1:16" s="16" customFormat="1" ht="19.5" x14ac:dyDescent="0.4">
      <c r="A1" s="15" t="s">
        <v>39</v>
      </c>
      <c r="B1" s="161"/>
      <c r="C1" s="2421" t="s">
        <v>149</v>
      </c>
      <c r="D1" s="2421"/>
    </row>
    <row r="2" spans="1:16" s="16" customFormat="1" ht="19.5" x14ac:dyDescent="0.4">
      <c r="C2" s="218"/>
    </row>
    <row r="3" spans="1:16" s="16" customFormat="1" ht="19.5" x14ac:dyDescent="0.4">
      <c r="A3" s="2736" t="s">
        <v>41</v>
      </c>
      <c r="B3" s="2744"/>
      <c r="C3" s="2776" t="s">
        <v>1974</v>
      </c>
      <c r="D3" s="2776"/>
      <c r="E3" s="2776"/>
      <c r="F3" s="2776"/>
      <c r="G3" s="2776"/>
      <c r="H3" s="2776"/>
      <c r="I3" s="2776"/>
      <c r="J3" s="2776"/>
      <c r="K3" s="2776"/>
      <c r="L3" s="2776"/>
      <c r="M3" s="2776"/>
      <c r="N3" s="2776"/>
      <c r="O3" s="2776"/>
      <c r="P3" s="2776"/>
    </row>
    <row r="4" spans="1:16" s="16" customFormat="1" ht="36" customHeight="1" x14ac:dyDescent="0.4">
      <c r="A4" s="2736" t="s">
        <v>42</v>
      </c>
      <c r="B4" s="2737"/>
      <c r="C4" s="2774" t="s">
        <v>2001</v>
      </c>
      <c r="D4" s="2774"/>
      <c r="E4" s="2774"/>
      <c r="F4" s="2774"/>
      <c r="G4" s="2774"/>
      <c r="H4" s="2774"/>
      <c r="I4" s="2774"/>
      <c r="J4" s="2774"/>
      <c r="K4" s="2774"/>
      <c r="L4" s="2774"/>
      <c r="M4" s="2774"/>
      <c r="N4" s="2774"/>
      <c r="O4" s="2774"/>
      <c r="P4" s="2774"/>
    </row>
    <row r="5" spans="1:16" s="16" customFormat="1" ht="34.15" customHeight="1" x14ac:dyDescent="0.4">
      <c r="A5" s="2736" t="s">
        <v>43</v>
      </c>
      <c r="B5" s="2737"/>
      <c r="C5" s="2774" t="s">
        <v>2754</v>
      </c>
      <c r="D5" s="2774"/>
      <c r="E5" s="2774"/>
      <c r="F5" s="2774"/>
      <c r="G5" s="2774"/>
      <c r="H5" s="2774"/>
      <c r="I5" s="2774"/>
      <c r="J5" s="2774"/>
      <c r="K5" s="2774"/>
      <c r="L5" s="2774"/>
      <c r="M5" s="2774"/>
      <c r="N5" s="2774"/>
      <c r="O5" s="2774"/>
      <c r="P5" s="2774"/>
    </row>
    <row r="6" spans="1:16" s="16" customFormat="1" ht="12.75" customHeight="1" x14ac:dyDescent="0.4">
      <c r="A6" s="2736" t="s">
        <v>132</v>
      </c>
      <c r="B6" s="2737"/>
      <c r="C6" s="2776"/>
      <c r="D6" s="2776"/>
      <c r="E6" s="2776"/>
      <c r="F6" s="2776"/>
      <c r="G6" s="2776"/>
      <c r="H6" s="2776"/>
      <c r="I6" s="2776"/>
      <c r="J6" s="2776"/>
      <c r="K6" s="2776"/>
      <c r="L6" s="2776"/>
      <c r="M6" s="2776"/>
      <c r="N6" s="2776"/>
      <c r="O6" s="2776"/>
      <c r="P6" s="2776"/>
    </row>
    <row r="7" spans="1:16" s="16" customFormat="1" ht="19.5" x14ac:dyDescent="0.4">
      <c r="C7" s="218"/>
    </row>
    <row r="8" spans="1:16" s="16" customFormat="1" ht="19.5" x14ac:dyDescent="0.4">
      <c r="C8" s="218"/>
    </row>
    <row r="9" spans="1:16" s="16" customFormat="1" ht="15.75" customHeight="1" x14ac:dyDescent="0.4">
      <c r="C9" s="2506" t="s">
        <v>243</v>
      </c>
      <c r="D9" s="2506"/>
      <c r="E9" s="2506"/>
      <c r="F9" s="2506"/>
      <c r="G9" s="2506"/>
      <c r="H9" s="2506"/>
      <c r="I9" s="2506"/>
      <c r="J9" s="2506"/>
      <c r="K9" s="2506"/>
      <c r="L9" s="2506"/>
      <c r="M9" s="2506"/>
      <c r="N9" s="2506"/>
      <c r="O9" s="2506"/>
      <c r="P9" s="2506"/>
    </row>
    <row r="10" spans="1:16" s="16" customFormat="1" ht="15.7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CE324CD4-A73B-420C-A676-EBB046B41B4B}"/>
    <hyperlink ref="C1" location="'Metadato 5.a.1'!A1" display="VER METADATO" xr:uid="{5DC834FE-C576-442F-986C-5709F34C9A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F09C-4989-4C09-9233-453F2C1F4D5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10.5703125" style="222" bestFit="1"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265</v>
      </c>
    </row>
    <row r="4" spans="1:6" x14ac:dyDescent="0.25">
      <c r="A4" s="224"/>
      <c r="B4" s="2445" t="s">
        <v>234</v>
      </c>
      <c r="C4" s="2445"/>
      <c r="D4" s="49" t="s">
        <v>2064</v>
      </c>
    </row>
    <row r="5" spans="1:6" ht="56.25" x14ac:dyDescent="0.25">
      <c r="B5" s="2445" t="s">
        <v>79</v>
      </c>
      <c r="C5" s="2445"/>
      <c r="D5" s="49" t="s">
        <v>2001</v>
      </c>
    </row>
    <row r="6" spans="1:6" x14ac:dyDescent="0.25">
      <c r="B6" s="2445" t="s">
        <v>80</v>
      </c>
      <c r="C6" s="2445"/>
      <c r="D6" s="50" t="s">
        <v>2002</v>
      </c>
    </row>
    <row r="7" spans="1:6" ht="56.25" x14ac:dyDescent="0.25">
      <c r="B7" s="2446" t="s">
        <v>81</v>
      </c>
      <c r="C7" s="2446"/>
      <c r="D7" s="93" t="s">
        <v>2754</v>
      </c>
    </row>
    <row r="8" spans="1:6" x14ac:dyDescent="0.25">
      <c r="B8" s="2446" t="s">
        <v>82</v>
      </c>
      <c r="C8" s="2446"/>
      <c r="D8" s="94" t="s">
        <v>2755</v>
      </c>
    </row>
    <row r="9" spans="1:6" x14ac:dyDescent="0.4">
      <c r="B9" s="5"/>
      <c r="C9" s="5"/>
      <c r="D9" s="5"/>
    </row>
    <row r="10" spans="1:6" ht="23.25" customHeight="1" x14ac:dyDescent="0.25">
      <c r="B10" s="2745" t="s">
        <v>85</v>
      </c>
      <c r="C10" s="2745"/>
      <c r="D10" s="2745"/>
    </row>
    <row r="11" spans="1:6" x14ac:dyDescent="0.25">
      <c r="B11" s="2453" t="s">
        <v>86</v>
      </c>
      <c r="C11" s="2454"/>
      <c r="D11" s="49"/>
    </row>
    <row r="12" spans="1:6" ht="56.25" x14ac:dyDescent="0.25">
      <c r="B12" s="2455" t="s">
        <v>88</v>
      </c>
      <c r="C12" s="2455"/>
      <c r="D12" s="169" t="s">
        <v>2756</v>
      </c>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127</v>
      </c>
    </row>
    <row r="25" spans="2:4" x14ac:dyDescent="0.25">
      <c r="B25" s="2445" t="s">
        <v>113</v>
      </c>
      <c r="C25" s="2445"/>
      <c r="D25" s="56" t="s">
        <v>1773</v>
      </c>
    </row>
    <row r="26" spans="2:4" x14ac:dyDescent="0.25">
      <c r="B26" s="2446" t="s">
        <v>115</v>
      </c>
      <c r="C26" s="2446"/>
      <c r="D26" s="59" t="s">
        <v>2757</v>
      </c>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C8B555D-681E-4911-B688-36204CE31E7F}">
      <formula1>Tipo_operación</formula1>
    </dataValidation>
    <dataValidation type="list" allowBlank="1" showInputMessage="1" showErrorMessage="1" sqref="D14" xr:uid="{7A995843-73FE-434C-9A66-FF5F4FD3F99E}">
      <formula1>Tipo_indicador</formula1>
    </dataValidation>
    <dataValidation type="list" allowBlank="1" showInputMessage="1" showErrorMessage="1" sqref="D7" xr:uid="{BC569C0B-EBF4-45EE-9B97-61D09BC41041}">
      <formula1>Nombre_indicador_ODS</formula1>
    </dataValidation>
    <dataValidation type="list" allowBlank="1" showInputMessage="1" showErrorMessage="1" sqref="D6" xr:uid="{FFAF6361-36A1-428D-8A2C-1B968FBF9B53}">
      <formula1>Numero_indicador</formula1>
    </dataValidation>
    <dataValidation type="list" allowBlank="1" showInputMessage="1" showErrorMessage="1" sqref="D5" xr:uid="{B6180173-3C2D-4033-8806-0EA98C5EC2E6}">
      <formula1>Metas_ODS</formula1>
    </dataValidation>
    <dataValidation type="list" allowBlank="1" showInputMessage="1" showErrorMessage="1" sqref="D4" xr:uid="{6D970C3D-5970-45B3-9281-BCF29574E4A4}">
      <formula1>ODS</formula1>
    </dataValidation>
    <dataValidation allowBlank="1" showDropDown="1" showInputMessage="1" showErrorMessage="1" sqref="D13" xr:uid="{C0816A14-1D30-4DF4-B860-7EE4A6B9DEBA}"/>
  </dataValidations>
  <hyperlinks>
    <hyperlink ref="B1" location="'5.a.1'!A1" display="REGRESAR" xr:uid="{D718E501-30F8-4E6D-899A-4000186A81CE}"/>
    <hyperlink ref="D8" r:id="rId1" xr:uid="{C25374E5-A404-494B-ADC0-EBDA6EAA7B87}"/>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1311-C348-4CFF-9674-CBA51F04F126}">
  <sheetPr>
    <tabColor rgb="FF7030A0"/>
  </sheetPr>
  <dimension ref="A1:P25"/>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42578125" style="22" customWidth="1"/>
    <col min="2" max="2" width="17.7109375" style="22" customWidth="1"/>
    <col min="3" max="3" width="12.28515625" style="89" customWidth="1"/>
    <col min="4" max="5" width="12.28515625" style="22" customWidth="1"/>
    <col min="6" max="16384" width="11.42578125" style="22"/>
  </cols>
  <sheetData>
    <row r="1" spans="1:16" s="16" customFormat="1" ht="19.5" x14ac:dyDescent="0.4">
      <c r="A1" s="15" t="s">
        <v>39</v>
      </c>
      <c r="B1" s="161"/>
      <c r="C1" s="2421" t="s">
        <v>149</v>
      </c>
      <c r="D1" s="2421"/>
    </row>
    <row r="2" spans="1:16" s="16" customFormat="1" ht="19.5" x14ac:dyDescent="0.4">
      <c r="C2" s="218"/>
    </row>
    <row r="3" spans="1:16" s="16" customFormat="1" ht="19.5" x14ac:dyDescent="0.4">
      <c r="A3" s="2736" t="s">
        <v>41</v>
      </c>
      <c r="B3" s="2744"/>
      <c r="C3" s="2736" t="s">
        <v>1974</v>
      </c>
      <c r="D3" s="2762"/>
      <c r="E3" s="2762"/>
      <c r="F3" s="2762"/>
      <c r="G3" s="2762"/>
      <c r="H3" s="2762"/>
      <c r="I3" s="2762"/>
      <c r="J3" s="2762"/>
      <c r="K3" s="2762"/>
      <c r="L3" s="2762"/>
      <c r="M3" s="2762"/>
      <c r="N3" s="2762"/>
      <c r="O3" s="2762"/>
      <c r="P3" s="2762"/>
    </row>
    <row r="4" spans="1:16" s="16" customFormat="1" ht="41.45" customHeight="1" x14ac:dyDescent="0.4">
      <c r="A4" s="2736" t="s">
        <v>42</v>
      </c>
      <c r="B4" s="2737"/>
      <c r="C4" s="2781" t="s">
        <v>2001</v>
      </c>
      <c r="D4" s="2797"/>
      <c r="E4" s="2797"/>
      <c r="F4" s="2797"/>
      <c r="G4" s="2797"/>
      <c r="H4" s="2797"/>
      <c r="I4" s="2797"/>
      <c r="J4" s="2797"/>
      <c r="K4" s="2797"/>
      <c r="L4" s="2797"/>
      <c r="M4" s="2797"/>
      <c r="N4" s="2797"/>
      <c r="O4" s="2797"/>
      <c r="P4" s="2797"/>
    </row>
    <row r="5" spans="1:16" s="16" customFormat="1" ht="19.5" x14ac:dyDescent="0.4">
      <c r="A5" s="2736" t="s">
        <v>43</v>
      </c>
      <c r="B5" s="2737"/>
      <c r="C5" s="2736" t="s">
        <v>2005</v>
      </c>
      <c r="D5" s="2738"/>
      <c r="E5" s="2738"/>
      <c r="F5" s="2738"/>
      <c r="G5" s="2738"/>
      <c r="H5" s="2738"/>
      <c r="I5" s="2738"/>
      <c r="J5" s="2738"/>
      <c r="K5" s="2738"/>
      <c r="L5" s="2738"/>
      <c r="M5" s="2738"/>
      <c r="N5" s="2738"/>
      <c r="O5" s="2738"/>
      <c r="P5" s="2738"/>
    </row>
    <row r="6" spans="1:16" s="16" customFormat="1" ht="16.5" customHeight="1" x14ac:dyDescent="0.4">
      <c r="A6" s="2736" t="s">
        <v>132</v>
      </c>
      <c r="B6" s="2737"/>
      <c r="C6" s="2736"/>
      <c r="D6" s="2738"/>
      <c r="E6" s="2738"/>
      <c r="F6" s="2738"/>
      <c r="G6" s="2738"/>
      <c r="H6" s="2738"/>
      <c r="I6" s="2738"/>
      <c r="J6" s="2738"/>
      <c r="K6" s="2738"/>
      <c r="L6" s="2738"/>
      <c r="M6" s="2738"/>
      <c r="N6" s="2738"/>
      <c r="O6" s="2738"/>
      <c r="P6" s="2738"/>
    </row>
    <row r="7" spans="1:16" s="16" customFormat="1" ht="19.5" x14ac:dyDescent="0.4">
      <c r="A7" s="217"/>
      <c r="C7" s="218"/>
    </row>
    <row r="8" spans="1:16" s="16" customFormat="1" ht="19.5" x14ac:dyDescent="0.4">
      <c r="A8" s="217"/>
      <c r="C8" s="218"/>
    </row>
    <row r="9" spans="1:16" s="16" customFormat="1" ht="19.5" x14ac:dyDescent="0.4">
      <c r="A9" s="217"/>
      <c r="C9" s="2506" t="s">
        <v>650</v>
      </c>
      <c r="D9" s="2506"/>
      <c r="E9" s="2506"/>
      <c r="F9" s="2506"/>
      <c r="G9" s="2506"/>
      <c r="H9" s="2506"/>
      <c r="I9" s="2506"/>
      <c r="J9" s="2506"/>
      <c r="K9" s="2506"/>
      <c r="L9" s="2506"/>
      <c r="M9" s="2506"/>
      <c r="N9" s="2506"/>
      <c r="O9" s="2506"/>
      <c r="P9" s="2506"/>
    </row>
    <row r="10" spans="1:16" s="16" customFormat="1" ht="19.5" x14ac:dyDescent="0.4">
      <c r="A10" s="217"/>
      <c r="C10" s="2506"/>
      <c r="D10" s="2506"/>
      <c r="E10" s="2506"/>
      <c r="F10" s="2506"/>
      <c r="G10" s="2506"/>
      <c r="H10" s="2506"/>
      <c r="I10" s="2506"/>
      <c r="J10" s="2506"/>
      <c r="K10" s="2506"/>
      <c r="L10" s="2506"/>
      <c r="M10" s="2506"/>
      <c r="N10" s="2506"/>
      <c r="O10" s="2506"/>
      <c r="P10" s="2506"/>
    </row>
    <row r="11" spans="1:16" x14ac:dyDescent="0.25">
      <c r="A11" s="23"/>
    </row>
    <row r="12" spans="1:16" x14ac:dyDescent="0.25">
      <c r="A12" s="23"/>
    </row>
    <row r="13" spans="1:16" ht="15.75" x14ac:dyDescent="0.25">
      <c r="A13" s="221"/>
      <c r="B13" s="220"/>
      <c r="C13" s="220"/>
      <c r="D13" s="220"/>
      <c r="E13" s="220"/>
      <c r="F13" s="220"/>
      <c r="G13" s="220"/>
      <c r="H13" s="220"/>
      <c r="I13" s="220"/>
      <c r="J13" s="220"/>
      <c r="K13" s="220"/>
      <c r="L13" s="220"/>
      <c r="M13" s="220"/>
      <c r="N13" s="220"/>
      <c r="O13" s="220"/>
    </row>
    <row r="14" spans="1:16" ht="15.75" x14ac:dyDescent="0.25">
      <c r="A14" s="221"/>
      <c r="B14" s="220"/>
      <c r="C14" s="220"/>
      <c r="D14" s="220"/>
      <c r="E14" s="220"/>
      <c r="F14" s="220"/>
      <c r="G14" s="220"/>
      <c r="H14" s="220"/>
      <c r="I14" s="220"/>
      <c r="J14" s="220"/>
      <c r="K14" s="220"/>
      <c r="L14" s="220"/>
      <c r="M14" s="220"/>
      <c r="N14" s="220"/>
      <c r="O14" s="220"/>
    </row>
    <row r="15" spans="1:16" ht="15.75" x14ac:dyDescent="0.25">
      <c r="A15" s="221"/>
      <c r="B15" s="220"/>
      <c r="C15" s="220"/>
      <c r="D15" s="220"/>
      <c r="E15" s="220"/>
      <c r="F15" s="220"/>
      <c r="G15" s="220"/>
      <c r="H15" s="220"/>
      <c r="I15" s="220"/>
      <c r="J15" s="220"/>
      <c r="K15" s="220"/>
      <c r="L15" s="220"/>
      <c r="M15" s="220"/>
      <c r="N15" s="220"/>
      <c r="O15" s="220"/>
    </row>
    <row r="16" spans="1:16" ht="15.75" x14ac:dyDescent="0.25">
      <c r="A16" s="221"/>
      <c r="B16" s="220"/>
      <c r="C16" s="220"/>
      <c r="D16" s="220"/>
      <c r="E16" s="220"/>
      <c r="F16" s="220"/>
      <c r="G16" s="220"/>
      <c r="H16" s="220"/>
      <c r="I16" s="220"/>
      <c r="J16" s="220"/>
      <c r="K16" s="220"/>
      <c r="L16" s="220"/>
      <c r="M16" s="220"/>
      <c r="N16" s="220"/>
      <c r="O16" s="220"/>
    </row>
    <row r="17" spans="1:15" ht="15.75" x14ac:dyDescent="0.25">
      <c r="A17" s="221"/>
      <c r="B17" s="220"/>
      <c r="C17" s="220"/>
      <c r="D17" s="220"/>
      <c r="E17" s="220"/>
      <c r="F17" s="220"/>
      <c r="G17" s="220"/>
      <c r="H17" s="220"/>
      <c r="I17" s="220"/>
      <c r="J17" s="220"/>
      <c r="K17" s="220"/>
      <c r="L17" s="220"/>
      <c r="M17" s="220"/>
      <c r="N17" s="220"/>
      <c r="O17" s="220"/>
    </row>
    <row r="18" spans="1:15" ht="16.5" x14ac:dyDescent="0.35">
      <c r="A18" s="2494" t="s">
        <v>652</v>
      </c>
      <c r="B18" s="2494"/>
      <c r="C18" s="2494"/>
      <c r="D18" s="2494"/>
      <c r="E18" s="2494"/>
      <c r="F18" s="2494"/>
      <c r="G18" s="2494"/>
      <c r="H18" s="2494"/>
      <c r="I18" s="2494"/>
      <c r="J18" s="2494"/>
      <c r="K18" s="2494"/>
      <c r="L18" s="2494"/>
      <c r="M18" s="2494"/>
      <c r="N18" s="2494"/>
      <c r="O18" s="2494"/>
    </row>
    <row r="19" spans="1:15" x14ac:dyDescent="0.25">
      <c r="A19" s="23"/>
    </row>
    <row r="20" spans="1:15" x14ac:dyDescent="0.25">
      <c r="A20" s="23"/>
    </row>
    <row r="21" spans="1:15" x14ac:dyDescent="0.25">
      <c r="A21" s="23"/>
    </row>
    <row r="22" spans="1:15" x14ac:dyDescent="0.25">
      <c r="A22" s="23"/>
    </row>
    <row r="23" spans="1:15" x14ac:dyDescent="0.25">
      <c r="A23" s="23"/>
    </row>
    <row r="24" spans="1:15" x14ac:dyDescent="0.25">
      <c r="A24" s="23"/>
    </row>
    <row r="25" spans="1:15" x14ac:dyDescent="0.25">
      <c r="A25" s="23"/>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5.'!A1" display="REGRESAR" xr:uid="{ABBC0E99-5A92-4E40-A82E-73A2270C1616}"/>
    <hyperlink ref="C1" location="'Metadato 5.a.2'!A1" display="VER METADATO" xr:uid="{0CA4B052-3D95-4151-A807-4867FF2548E1}"/>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3400-1781-4140-82F4-8BC929140500}">
  <dimension ref="A1:P40"/>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28515625" style="22" customWidth="1"/>
    <col min="3" max="3" width="14.140625" style="22" bestFit="1" customWidth="1"/>
    <col min="4" max="4" width="11.140625" style="22" customWidth="1"/>
    <col min="5" max="5" width="24.28515625" style="22" customWidth="1"/>
    <col min="6" max="6" width="12.5703125" style="22" customWidth="1"/>
    <col min="7" max="9" width="11.42578125" style="22"/>
    <col min="10" max="10" width="14" style="22" customWidth="1"/>
    <col min="11" max="16384" width="11.42578125" style="22"/>
  </cols>
  <sheetData>
    <row r="1" spans="1:16" ht="18.75" x14ac:dyDescent="0.4">
      <c r="A1" s="90" t="s">
        <v>39</v>
      </c>
      <c r="C1" s="2492" t="s">
        <v>149</v>
      </c>
      <c r="D1" s="2492"/>
    </row>
    <row r="2" spans="1:16" x14ac:dyDescent="0.25">
      <c r="A2" s="45"/>
      <c r="B2" s="45"/>
      <c r="C2" s="45"/>
      <c r="D2" s="45"/>
      <c r="E2" s="45"/>
      <c r="F2" s="45"/>
      <c r="G2" s="45"/>
      <c r="H2" s="45"/>
      <c r="I2" s="45"/>
      <c r="J2" s="45"/>
      <c r="K2" s="45"/>
      <c r="L2" s="45"/>
      <c r="M2" s="45"/>
      <c r="N2" s="45"/>
      <c r="O2" s="45"/>
    </row>
    <row r="3" spans="1:16" s="175" customFormat="1" ht="19.5" x14ac:dyDescent="0.25">
      <c r="A3" s="2413" t="s">
        <v>41</v>
      </c>
      <c r="B3" s="2413"/>
      <c r="C3" s="2414" t="s">
        <v>2</v>
      </c>
      <c r="D3" s="2415"/>
      <c r="E3" s="2415"/>
      <c r="F3" s="2415"/>
      <c r="G3" s="2415"/>
      <c r="H3" s="2415"/>
      <c r="I3" s="2415"/>
      <c r="J3" s="2415"/>
      <c r="K3" s="2415"/>
      <c r="L3" s="2415"/>
      <c r="M3" s="2415"/>
      <c r="N3" s="2415"/>
      <c r="O3" s="2415"/>
      <c r="P3" s="209"/>
    </row>
    <row r="4" spans="1:16" s="175" customFormat="1" ht="37.15" customHeight="1" x14ac:dyDescent="0.25">
      <c r="A4" s="2413" t="s">
        <v>42</v>
      </c>
      <c r="B4" s="2413"/>
      <c r="C4" s="2414" t="s">
        <v>22</v>
      </c>
      <c r="D4" s="2415"/>
      <c r="E4" s="2415"/>
      <c r="F4" s="2415"/>
      <c r="G4" s="2415"/>
      <c r="H4" s="2415"/>
      <c r="I4" s="2415"/>
      <c r="J4" s="2415"/>
      <c r="K4" s="2415"/>
      <c r="L4" s="2415"/>
      <c r="M4" s="2415"/>
      <c r="N4" s="2415"/>
      <c r="O4" s="2415"/>
      <c r="P4" s="209"/>
    </row>
    <row r="5" spans="1:16" s="175" customFormat="1" ht="19.5" x14ac:dyDescent="0.25">
      <c r="A5" s="2413" t="s">
        <v>43</v>
      </c>
      <c r="B5" s="2413"/>
      <c r="C5" s="2414" t="s">
        <v>280</v>
      </c>
      <c r="D5" s="2415"/>
      <c r="E5" s="2415"/>
      <c r="F5" s="2415"/>
      <c r="G5" s="2415"/>
      <c r="H5" s="2415"/>
      <c r="I5" s="2415"/>
      <c r="J5" s="2415"/>
      <c r="K5" s="2415"/>
      <c r="L5" s="2415"/>
      <c r="M5" s="2415"/>
      <c r="N5" s="2415"/>
      <c r="O5" s="2415"/>
      <c r="P5" s="209"/>
    </row>
    <row r="6" spans="1:16" s="175" customFormat="1" ht="19.5" x14ac:dyDescent="0.25">
      <c r="A6" s="2413" t="s">
        <v>132</v>
      </c>
      <c r="B6" s="2413"/>
      <c r="C6" s="2414" t="s">
        <v>281</v>
      </c>
      <c r="D6" s="2415"/>
      <c r="E6" s="2415"/>
      <c r="F6" s="2415"/>
      <c r="G6" s="2415"/>
      <c r="H6" s="2415"/>
      <c r="I6" s="2415"/>
      <c r="J6" s="2415"/>
      <c r="K6" s="2415"/>
      <c r="L6" s="2415"/>
      <c r="M6" s="2415"/>
      <c r="N6" s="2415"/>
      <c r="O6" s="2415"/>
      <c r="P6" s="209"/>
    </row>
    <row r="7" spans="1:16" ht="19.5" x14ac:dyDescent="0.4">
      <c r="A7" s="16"/>
      <c r="B7" s="16"/>
      <c r="C7" s="16"/>
      <c r="D7" s="16"/>
      <c r="E7" s="16"/>
      <c r="F7" s="16"/>
      <c r="G7" s="16"/>
      <c r="H7" s="16"/>
      <c r="I7" s="16"/>
      <c r="J7" s="16"/>
      <c r="K7" s="16"/>
      <c r="L7" s="16"/>
      <c r="M7" s="16"/>
      <c r="N7" s="16"/>
      <c r="O7" s="16"/>
    </row>
    <row r="8" spans="1:16" ht="19.5" x14ac:dyDescent="0.4">
      <c r="A8" s="16"/>
      <c r="B8" s="16"/>
      <c r="C8" s="16"/>
      <c r="D8" s="16"/>
      <c r="E8" s="16"/>
      <c r="F8" s="16"/>
      <c r="G8" s="16"/>
      <c r="H8" s="16"/>
      <c r="I8" s="16"/>
      <c r="J8" s="16"/>
      <c r="K8" s="16"/>
      <c r="L8" s="16"/>
      <c r="M8" s="16"/>
      <c r="N8" s="16"/>
      <c r="O8" s="16"/>
    </row>
    <row r="9" spans="1:16" ht="19.5" x14ac:dyDescent="0.4">
      <c r="A9" s="16"/>
      <c r="B9" s="16"/>
      <c r="C9" s="138" t="s">
        <v>281</v>
      </c>
      <c r="D9" s="138"/>
      <c r="E9" s="138"/>
      <c r="F9" s="138"/>
      <c r="G9" s="138"/>
      <c r="H9" s="16"/>
      <c r="I9" s="16"/>
      <c r="J9" s="16"/>
      <c r="K9" s="16"/>
      <c r="L9" s="16"/>
      <c r="M9" s="16"/>
      <c r="N9" s="16"/>
      <c r="O9" s="16"/>
    </row>
    <row r="10" spans="1:16" ht="16.5" x14ac:dyDescent="0.25">
      <c r="C10" s="139"/>
      <c r="D10" s="139"/>
      <c r="E10" s="139"/>
      <c r="F10" s="139"/>
      <c r="G10" s="139"/>
    </row>
    <row r="11" spans="1:16" ht="18.75" x14ac:dyDescent="0.4">
      <c r="C11" s="2416" t="s">
        <v>46</v>
      </c>
      <c r="D11" s="2416" t="s">
        <v>282</v>
      </c>
      <c r="E11" s="2416"/>
      <c r="F11" s="2491" t="s">
        <v>283</v>
      </c>
      <c r="G11" s="2491"/>
    </row>
    <row r="12" spans="1:16" ht="56.25" x14ac:dyDescent="0.25">
      <c r="C12" s="2417"/>
      <c r="D12" s="2417"/>
      <c r="E12" s="2417"/>
      <c r="F12" s="27" t="s">
        <v>284</v>
      </c>
      <c r="G12" s="27" t="s">
        <v>285</v>
      </c>
    </row>
    <row r="13" spans="1:16" ht="18.75" x14ac:dyDescent="0.4">
      <c r="C13" s="210">
        <v>2010</v>
      </c>
      <c r="D13" s="2489" t="s">
        <v>286</v>
      </c>
      <c r="E13" s="2489"/>
      <c r="F13" s="211">
        <v>7889869.7647700002</v>
      </c>
      <c r="G13" s="212">
        <v>11288257.449999999</v>
      </c>
    </row>
    <row r="14" spans="1:16" ht="18.75" x14ac:dyDescent="0.4">
      <c r="C14" s="210">
        <v>2010</v>
      </c>
      <c r="D14" s="2489" t="s">
        <v>287</v>
      </c>
      <c r="E14" s="2489"/>
      <c r="F14" s="211">
        <v>142822623.00569001</v>
      </c>
      <c r="G14" s="212">
        <v>204340342.99000001</v>
      </c>
    </row>
    <row r="15" spans="1:16" ht="18.75" x14ac:dyDescent="0.4">
      <c r="C15" s="210">
        <v>2012</v>
      </c>
      <c r="D15" s="2489" t="s">
        <v>288</v>
      </c>
      <c r="E15" s="2489"/>
      <c r="F15" s="211">
        <v>50602833.619999997</v>
      </c>
      <c r="G15" s="212">
        <v>66061757.68</v>
      </c>
    </row>
    <row r="16" spans="1:16" ht="18.75" x14ac:dyDescent="0.4">
      <c r="C16" s="210">
        <v>2014</v>
      </c>
      <c r="D16" s="2489" t="s">
        <v>289</v>
      </c>
      <c r="E16" s="2489"/>
      <c r="F16" s="211">
        <v>19241273.407910001</v>
      </c>
      <c r="G16" s="212">
        <v>22838519.190000001</v>
      </c>
    </row>
    <row r="17" spans="2:7" ht="18.75" x14ac:dyDescent="0.4">
      <c r="C17" s="210">
        <v>2015</v>
      </c>
      <c r="D17" s="2489" t="s">
        <v>290</v>
      </c>
      <c r="E17" s="2489"/>
      <c r="F17" s="211">
        <v>91016579.010000005</v>
      </c>
      <c r="G17" s="212">
        <v>107173048.12</v>
      </c>
    </row>
    <row r="18" spans="2:7" ht="18.75" x14ac:dyDescent="0.4">
      <c r="C18" s="210">
        <v>2016</v>
      </c>
      <c r="D18" s="2489" t="s">
        <v>291</v>
      </c>
      <c r="E18" s="2489"/>
      <c r="F18" s="211">
        <v>106258934.55</v>
      </c>
      <c r="G18" s="212">
        <v>125142968</v>
      </c>
    </row>
    <row r="19" spans="2:7" ht="18.75" x14ac:dyDescent="0.4">
      <c r="C19" s="210">
        <v>2017</v>
      </c>
      <c r="D19" s="2489" t="s">
        <v>292</v>
      </c>
      <c r="E19" s="2489"/>
      <c r="F19" s="211">
        <v>329363329.70315999</v>
      </c>
      <c r="G19" s="212">
        <v>381691060.01999998</v>
      </c>
    </row>
    <row r="20" spans="2:7" ht="18.75" x14ac:dyDescent="0.4">
      <c r="C20" s="210">
        <v>2018</v>
      </c>
      <c r="D20" s="2489" t="s">
        <v>293</v>
      </c>
      <c r="E20" s="2489"/>
      <c r="F20" s="211">
        <v>9100095</v>
      </c>
      <c r="G20" s="212">
        <v>10316723.130000001</v>
      </c>
    </row>
    <row r="21" spans="2:7" ht="18.75" x14ac:dyDescent="0.4">
      <c r="C21" s="210">
        <v>2019</v>
      </c>
      <c r="D21" s="2489" t="s">
        <v>294</v>
      </c>
      <c r="E21" s="2489"/>
      <c r="F21" s="211">
        <v>35441377.055629998</v>
      </c>
      <c r="G21" s="212">
        <v>39354803.82</v>
      </c>
    </row>
    <row r="22" spans="2:7" ht="19.5" x14ac:dyDescent="0.4">
      <c r="B22" s="23"/>
      <c r="C22" s="4">
        <v>2020</v>
      </c>
      <c r="D22" s="2489" t="s">
        <v>295</v>
      </c>
      <c r="E22" s="2489"/>
      <c r="F22" s="211">
        <v>155997347.20524001</v>
      </c>
      <c r="G22" s="212">
        <v>171975874.31999999</v>
      </c>
    </row>
    <row r="23" spans="2:7" ht="18.75" x14ac:dyDescent="0.4">
      <c r="B23" s="23"/>
      <c r="C23" s="4">
        <v>2020</v>
      </c>
      <c r="D23" s="2489" t="s">
        <v>296</v>
      </c>
      <c r="E23" s="2489"/>
      <c r="F23" s="211">
        <v>503390326.56301498</v>
      </c>
      <c r="G23" s="212">
        <v>554951690.54999995</v>
      </c>
    </row>
    <row r="24" spans="2:7" ht="18.75" x14ac:dyDescent="0.4">
      <c r="B24" s="23"/>
      <c r="C24" s="4">
        <v>2021</v>
      </c>
      <c r="D24" s="2489" t="s">
        <v>297</v>
      </c>
      <c r="E24" s="2489"/>
      <c r="F24" s="211">
        <v>209606648.06900001</v>
      </c>
      <c r="G24" s="212">
        <v>227154430.03</v>
      </c>
    </row>
    <row r="25" spans="2:7" ht="17.45" customHeight="1" x14ac:dyDescent="0.4">
      <c r="C25" s="4">
        <v>2022</v>
      </c>
      <c r="D25" s="213" t="s">
        <v>298</v>
      </c>
      <c r="E25" s="213"/>
      <c r="F25" s="211">
        <v>52629437</v>
      </c>
      <c r="G25" s="211">
        <v>52676600.630000003</v>
      </c>
    </row>
    <row r="26" spans="2:7" ht="18.75" x14ac:dyDescent="0.4">
      <c r="C26" s="4">
        <v>2022</v>
      </c>
      <c r="D26" s="213" t="s">
        <v>299</v>
      </c>
      <c r="E26" s="213"/>
      <c r="F26" s="211">
        <v>30808911</v>
      </c>
      <c r="G26" s="211">
        <v>30836520.260000002</v>
      </c>
    </row>
    <row r="27" spans="2:7" ht="17.45" customHeight="1" x14ac:dyDescent="0.4">
      <c r="C27" s="4">
        <v>2022</v>
      </c>
      <c r="D27" s="213" t="s">
        <v>300</v>
      </c>
      <c r="E27" s="213"/>
      <c r="F27" s="211">
        <v>122318297</v>
      </c>
      <c r="G27" s="211">
        <v>122427911.97</v>
      </c>
    </row>
    <row r="28" spans="2:7" ht="17.45" customHeight="1" x14ac:dyDescent="0.4">
      <c r="C28" s="4">
        <v>2022</v>
      </c>
      <c r="D28" s="213" t="s">
        <v>301</v>
      </c>
      <c r="E28" s="213"/>
      <c r="F28" s="211">
        <v>16507756</v>
      </c>
      <c r="G28" s="211">
        <v>16522549.35</v>
      </c>
    </row>
    <row r="29" spans="2:7" ht="17.45" customHeight="1" x14ac:dyDescent="0.4">
      <c r="C29" s="4">
        <v>2023</v>
      </c>
      <c r="D29" s="213" t="s">
        <v>302</v>
      </c>
      <c r="E29" s="213"/>
      <c r="F29" s="211">
        <v>5095821</v>
      </c>
      <c r="G29" s="211">
        <v>5073743.54</v>
      </c>
    </row>
    <row r="30" spans="2:7" ht="18.75" x14ac:dyDescent="0.4">
      <c r="C30" s="4">
        <v>2023</v>
      </c>
      <c r="D30" s="213" t="s">
        <v>303</v>
      </c>
      <c r="E30" s="213"/>
      <c r="F30" s="211">
        <v>9804428</v>
      </c>
      <c r="G30" s="211">
        <v>9761950.6699999999</v>
      </c>
    </row>
    <row r="31" spans="2:7" ht="17.45" customHeight="1" x14ac:dyDescent="0.25">
      <c r="C31" s="2490" t="s">
        <v>304</v>
      </c>
      <c r="D31" s="2490"/>
      <c r="E31" s="2490"/>
      <c r="F31" s="2490"/>
      <c r="G31" s="2490"/>
    </row>
    <row r="32" spans="2:7" ht="17.45" customHeight="1" x14ac:dyDescent="0.4">
      <c r="C32" s="2482" t="s">
        <v>305</v>
      </c>
      <c r="D32" s="2482"/>
      <c r="E32" s="2482"/>
      <c r="F32" s="2482"/>
      <c r="G32" s="2482"/>
    </row>
    <row r="33" spans="3:7" ht="18.75" x14ac:dyDescent="0.25">
      <c r="C33" s="2488" t="s">
        <v>264</v>
      </c>
      <c r="D33" s="2488"/>
      <c r="E33" s="2488"/>
      <c r="F33" s="2488"/>
      <c r="G33" s="2488"/>
    </row>
    <row r="40" spans="3:7" ht="51" customHeight="1" x14ac:dyDescent="0.25"/>
  </sheetData>
  <mergeCells count="27">
    <mergeCell ref="A5:B5"/>
    <mergeCell ref="C5:O5"/>
    <mergeCell ref="C1:D1"/>
    <mergeCell ref="A3:B3"/>
    <mergeCell ref="C3:O3"/>
    <mergeCell ref="A4:B4"/>
    <mergeCell ref="C4:O4"/>
    <mergeCell ref="D19:E19"/>
    <mergeCell ref="A6:B6"/>
    <mergeCell ref="C6:O6"/>
    <mergeCell ref="C11:C12"/>
    <mergeCell ref="D11:E12"/>
    <mergeCell ref="F11:G11"/>
    <mergeCell ref="D13:E13"/>
    <mergeCell ref="D14:E14"/>
    <mergeCell ref="D15:E15"/>
    <mergeCell ref="D16:E16"/>
    <mergeCell ref="D17:E17"/>
    <mergeCell ref="D18:E18"/>
    <mergeCell ref="C32:G32"/>
    <mergeCell ref="C33:G33"/>
    <mergeCell ref="D20:E20"/>
    <mergeCell ref="D21:E21"/>
    <mergeCell ref="D22:E22"/>
    <mergeCell ref="D23:E23"/>
    <mergeCell ref="D24:E24"/>
    <mergeCell ref="C31:G31"/>
  </mergeCells>
  <hyperlinks>
    <hyperlink ref="A1" location="'ODS 1.'!A1" display="REGRESAR" xr:uid="{CFB616F4-32F0-4B2E-B81F-FBE09C027F31}"/>
    <hyperlink ref="C1" location="'Metadato 1.5.2'!A1" display="VER METADATO" xr:uid="{D92DB8B7-A31B-4BB7-9C96-8EE53A02707D}"/>
  </hyperlinks>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76423-9A74-4AEB-8D1A-FFED972ACF9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10.5703125" style="222" bestFit="1"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317</v>
      </c>
    </row>
    <row r="4" spans="1:6" x14ac:dyDescent="0.25">
      <c r="A4" s="224"/>
      <c r="B4" s="2445" t="s">
        <v>234</v>
      </c>
      <c r="C4" s="2445"/>
      <c r="D4" s="49" t="s">
        <v>2064</v>
      </c>
    </row>
    <row r="5" spans="1:6" ht="56.25" x14ac:dyDescent="0.25">
      <c r="B5" s="2445" t="s">
        <v>79</v>
      </c>
      <c r="C5" s="2445"/>
      <c r="D5" s="49" t="s">
        <v>2001</v>
      </c>
    </row>
    <row r="6" spans="1:6" x14ac:dyDescent="0.25">
      <c r="B6" s="2445" t="s">
        <v>80</v>
      </c>
      <c r="C6" s="2445"/>
      <c r="D6" s="50" t="s">
        <v>2004</v>
      </c>
    </row>
    <row r="7" spans="1:6" ht="37.5" x14ac:dyDescent="0.25">
      <c r="B7" s="2446" t="s">
        <v>81</v>
      </c>
      <c r="C7" s="2446"/>
      <c r="D7" s="93" t="s">
        <v>2005</v>
      </c>
    </row>
    <row r="8" spans="1:6" x14ac:dyDescent="0.25">
      <c r="B8" s="2446" t="s">
        <v>82</v>
      </c>
      <c r="C8" s="2446"/>
      <c r="D8" s="94" t="s">
        <v>2758</v>
      </c>
    </row>
    <row r="9" spans="1:6" x14ac:dyDescent="0.4">
      <c r="B9" s="5"/>
      <c r="C9" s="5"/>
      <c r="D9" s="5"/>
    </row>
    <row r="10" spans="1:6" ht="19.5" x14ac:dyDescent="0.25">
      <c r="B10" s="2745" t="s">
        <v>85</v>
      </c>
      <c r="C10" s="2745"/>
      <c r="D10" s="2745"/>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321</v>
      </c>
    </row>
    <row r="25" spans="2:4" x14ac:dyDescent="0.25">
      <c r="B25" s="2445" t="s">
        <v>113</v>
      </c>
      <c r="C25" s="2445"/>
      <c r="D25" s="56"/>
    </row>
    <row r="26" spans="2:4"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19.5" x14ac:dyDescent="0.25">
      <c r="B31" s="2745" t="s">
        <v>121</v>
      </c>
      <c r="C31" s="2745"/>
      <c r="D31" s="2745"/>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4CAD95F-6043-4246-AB99-B7C86E0DF09C}">
      <formula1>Tipo_operación</formula1>
    </dataValidation>
    <dataValidation type="list" allowBlank="1" showInputMessage="1" showErrorMessage="1" sqref="D14" xr:uid="{0AFBFA7B-483C-4D49-AB59-60F1FCB6602D}">
      <formula1>Tipo_indicador</formula1>
    </dataValidation>
    <dataValidation type="list" allowBlank="1" showInputMessage="1" showErrorMessage="1" sqref="D7" xr:uid="{2864020F-CC0D-4B44-8AEE-68B723BD0D5E}">
      <formula1>Nombre_indicador_ODS</formula1>
    </dataValidation>
    <dataValidation type="list" allowBlank="1" showInputMessage="1" showErrorMessage="1" sqref="D6" xr:uid="{D228DC94-3758-4E3F-BEF4-A76D362056B9}">
      <formula1>Numero_indicador</formula1>
    </dataValidation>
    <dataValidation type="list" allowBlank="1" showInputMessage="1" showErrorMessage="1" sqref="D5" xr:uid="{5F897245-4D1A-4DCC-81C7-76564843B361}">
      <formula1>Metas_ODS</formula1>
    </dataValidation>
    <dataValidation type="list" allowBlank="1" showInputMessage="1" showErrorMessage="1" sqref="D4" xr:uid="{F84692E7-5DD8-41FE-BB52-75374E66794A}">
      <formula1>ODS</formula1>
    </dataValidation>
    <dataValidation allowBlank="1" showDropDown="1" showInputMessage="1" showErrorMessage="1" sqref="D13" xr:uid="{84327EA4-C2C2-4FE0-8ECC-324CDDBB07BC}"/>
  </dataValidations>
  <hyperlinks>
    <hyperlink ref="B1" location="'5.a.2'!A1" display="REGRESAR" xr:uid="{A69065EC-24AC-42E9-82ED-37534204166F}"/>
    <hyperlink ref="D8" r:id="rId1" xr:uid="{95D62C2C-20F4-4800-A26C-F50B8F7E945C}"/>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199B-40BC-4EA4-A91B-55566A68558F}">
  <dimension ref="A1:W49"/>
  <sheetViews>
    <sheetView showGridLines="0" workbookViewId="0">
      <pane ySplit="1" topLeftCell="A2" activePane="bottomLeft" state="frozen"/>
      <selection activeCell="R16" sqref="R16"/>
      <selection pane="bottomLeft"/>
    </sheetView>
  </sheetViews>
  <sheetFormatPr baseColWidth="10" defaultColWidth="11.42578125" defaultRowHeight="12.75" x14ac:dyDescent="0.25"/>
  <cols>
    <col min="1" max="2" width="15.28515625" style="22" customWidth="1"/>
    <col min="3" max="3" width="5.7109375" style="22" customWidth="1"/>
    <col min="4" max="4" width="7.28515625" style="22" customWidth="1"/>
    <col min="5" max="5" width="7.7109375" style="22" customWidth="1"/>
    <col min="6" max="6" width="7" style="22" customWidth="1"/>
    <col min="7" max="7" width="3.28515625" style="22" customWidth="1"/>
    <col min="8" max="8" width="6.5703125" style="22" customWidth="1"/>
    <col min="9" max="9" width="6.7109375" style="22" customWidth="1"/>
    <col min="10" max="10" width="2.5703125" style="22" customWidth="1"/>
    <col min="11" max="11" width="7.5703125" style="22" customWidth="1"/>
    <col min="12" max="12" width="9.28515625" style="22" customWidth="1"/>
    <col min="13" max="13" width="8.42578125" style="22" customWidth="1"/>
    <col min="14" max="14" width="7.7109375" style="22" customWidth="1"/>
    <col min="15" max="16" width="6.7109375" style="22" customWidth="1"/>
    <col min="17" max="16384" width="11.42578125" style="22"/>
  </cols>
  <sheetData>
    <row r="1" spans="1:23" s="16" customFormat="1" ht="19.5" x14ac:dyDescent="0.4">
      <c r="A1" s="15" t="s">
        <v>39</v>
      </c>
      <c r="C1" s="2421" t="s">
        <v>149</v>
      </c>
      <c r="D1" s="2421"/>
      <c r="E1" s="2421"/>
    </row>
    <row r="2" spans="1:23" s="16" customFormat="1" ht="19.5" x14ac:dyDescent="0.4"/>
    <row r="3" spans="1:23" s="16" customFormat="1" ht="15" customHeight="1" x14ac:dyDescent="0.4">
      <c r="A3" s="2736" t="s">
        <v>41</v>
      </c>
      <c r="B3" s="2744"/>
      <c r="C3" s="2736" t="s">
        <v>1974</v>
      </c>
      <c r="D3" s="2762"/>
      <c r="E3" s="2762"/>
      <c r="F3" s="2762"/>
      <c r="G3" s="2762"/>
      <c r="H3" s="2762"/>
      <c r="I3" s="2762"/>
      <c r="J3" s="2762"/>
      <c r="K3" s="2762"/>
      <c r="L3" s="2762"/>
      <c r="M3" s="2762"/>
      <c r="N3" s="2762"/>
      <c r="O3" s="2762"/>
      <c r="P3" s="2762"/>
      <c r="Q3" s="2762"/>
      <c r="R3" s="2762"/>
      <c r="S3" s="2762"/>
      <c r="T3" s="2762"/>
      <c r="U3" s="2762"/>
      <c r="V3" s="2762"/>
      <c r="W3" s="2762"/>
    </row>
    <row r="4" spans="1:23" s="16" customFormat="1" ht="19.5" x14ac:dyDescent="0.4">
      <c r="A4" s="2736" t="s">
        <v>42</v>
      </c>
      <c r="B4" s="2737"/>
      <c r="C4" s="2736" t="s">
        <v>2006</v>
      </c>
      <c r="D4" s="2738"/>
      <c r="E4" s="2738"/>
      <c r="F4" s="2738"/>
      <c r="G4" s="2738"/>
      <c r="H4" s="2738"/>
      <c r="I4" s="2738"/>
      <c r="J4" s="2738"/>
      <c r="K4" s="2738"/>
      <c r="L4" s="2738"/>
      <c r="M4" s="2738"/>
      <c r="N4" s="2738"/>
      <c r="O4" s="2738"/>
      <c r="P4" s="2738"/>
      <c r="Q4" s="2738"/>
      <c r="R4" s="2738"/>
      <c r="S4" s="2738"/>
      <c r="T4" s="2738"/>
      <c r="U4" s="2738"/>
      <c r="V4" s="2738"/>
      <c r="W4" s="2738"/>
    </row>
    <row r="5" spans="1:23" s="16" customFormat="1" ht="19.5" x14ac:dyDescent="0.4">
      <c r="A5" s="2736" t="s">
        <v>43</v>
      </c>
      <c r="B5" s="2737"/>
      <c r="C5" s="2736" t="s">
        <v>2008</v>
      </c>
      <c r="D5" s="2738"/>
      <c r="E5" s="2738"/>
      <c r="F5" s="2738"/>
      <c r="G5" s="2738"/>
      <c r="H5" s="2738"/>
      <c r="I5" s="2738"/>
      <c r="J5" s="2738"/>
      <c r="K5" s="2738"/>
      <c r="L5" s="2738"/>
      <c r="M5" s="2738"/>
      <c r="N5" s="2738"/>
      <c r="O5" s="2738"/>
      <c r="P5" s="2738"/>
      <c r="Q5" s="2738"/>
      <c r="R5" s="2738"/>
      <c r="S5" s="2738"/>
      <c r="T5" s="2738"/>
      <c r="U5" s="2738"/>
      <c r="V5" s="2738"/>
      <c r="W5" s="2738"/>
    </row>
    <row r="6" spans="1:23" s="16" customFormat="1" ht="19.5" x14ac:dyDescent="0.4">
      <c r="A6" s="2736" t="s">
        <v>132</v>
      </c>
      <c r="B6" s="2737"/>
      <c r="C6" s="2736" t="s">
        <v>2759</v>
      </c>
      <c r="D6" s="2738"/>
      <c r="E6" s="2738"/>
      <c r="F6" s="2738"/>
      <c r="G6" s="2738"/>
      <c r="H6" s="2738"/>
      <c r="I6" s="2738"/>
      <c r="J6" s="2738"/>
      <c r="K6" s="2738"/>
      <c r="L6" s="2738"/>
      <c r="M6" s="2738"/>
      <c r="N6" s="2738"/>
      <c r="O6" s="2738"/>
      <c r="P6" s="2738"/>
      <c r="Q6" s="2738"/>
      <c r="R6" s="2738"/>
      <c r="S6" s="2738"/>
      <c r="T6" s="2738"/>
      <c r="U6" s="2738"/>
      <c r="V6" s="2738"/>
      <c r="W6" s="2738"/>
    </row>
    <row r="7" spans="1:23" s="16" customFormat="1" ht="19.5" x14ac:dyDescent="0.4"/>
    <row r="8" spans="1:23" s="16" customFormat="1" ht="19.5" x14ac:dyDescent="0.4"/>
    <row r="9" spans="1:23" s="16" customFormat="1" ht="29.25" customHeight="1" x14ac:dyDescent="0.4">
      <c r="C9" s="2628" t="s">
        <v>2759</v>
      </c>
      <c r="D9" s="2628"/>
      <c r="E9" s="2628"/>
      <c r="F9" s="2628"/>
      <c r="G9" s="2628"/>
      <c r="H9" s="2628"/>
      <c r="I9" s="2628"/>
      <c r="J9" s="2628"/>
      <c r="K9" s="2628"/>
      <c r="L9" s="2628"/>
      <c r="M9" s="2628"/>
      <c r="N9" s="2628"/>
      <c r="O9" s="2628"/>
      <c r="P9" s="2628"/>
    </row>
    <row r="10" spans="1:23" s="16" customFormat="1" ht="19.5" x14ac:dyDescent="0.4">
      <c r="C10" s="533"/>
      <c r="D10" s="533"/>
      <c r="E10" s="533"/>
      <c r="F10" s="533"/>
      <c r="G10" s="533"/>
      <c r="H10" s="533"/>
      <c r="I10" s="533"/>
      <c r="J10" s="533"/>
      <c r="K10" s="533"/>
      <c r="L10" s="533"/>
      <c r="M10" s="533"/>
      <c r="N10" s="533"/>
      <c r="O10" s="533"/>
      <c r="P10" s="533"/>
    </row>
    <row r="11" spans="1:23" ht="18.600000000000001" customHeight="1" x14ac:dyDescent="0.4">
      <c r="C11" s="2798" t="s">
        <v>46</v>
      </c>
      <c r="D11" s="2800" t="s">
        <v>48</v>
      </c>
      <c r="E11" s="2800"/>
      <c r="F11" s="2800"/>
      <c r="G11" s="1024"/>
      <c r="H11" s="2800" t="s">
        <v>49</v>
      </c>
      <c r="I11" s="2800"/>
      <c r="J11" s="1024"/>
      <c r="K11" s="2800" t="s">
        <v>50</v>
      </c>
      <c r="L11" s="2800"/>
      <c r="M11" s="2800"/>
      <c r="N11" s="2800"/>
      <c r="O11" s="2800"/>
      <c r="P11" s="2800"/>
    </row>
    <row r="12" spans="1:23" ht="56.25" x14ac:dyDescent="0.25">
      <c r="C12" s="2799"/>
      <c r="D12" s="1025" t="s">
        <v>47</v>
      </c>
      <c r="E12" s="1025" t="s">
        <v>53</v>
      </c>
      <c r="F12" s="1025" t="s">
        <v>54</v>
      </c>
      <c r="G12" s="1025"/>
      <c r="H12" s="1025" t="s">
        <v>55</v>
      </c>
      <c r="I12" s="1025" t="s">
        <v>56</v>
      </c>
      <c r="J12" s="1025"/>
      <c r="K12" s="1025" t="s">
        <v>57</v>
      </c>
      <c r="L12" s="1025" t="s">
        <v>58</v>
      </c>
      <c r="M12" s="1025" t="s">
        <v>59</v>
      </c>
      <c r="N12" s="1025" t="s">
        <v>60</v>
      </c>
      <c r="O12" s="1025" t="s">
        <v>61</v>
      </c>
      <c r="P12" s="1025" t="s">
        <v>62</v>
      </c>
    </row>
    <row r="13" spans="1:23" ht="18.75" x14ac:dyDescent="0.25">
      <c r="C13" s="1026">
        <v>2015</v>
      </c>
      <c r="D13" s="1027">
        <v>86.019366966697135</v>
      </c>
      <c r="E13" s="1027">
        <v>85.79635481996111</v>
      </c>
      <c r="F13" s="1027">
        <v>86.229343175185718</v>
      </c>
      <c r="G13" s="1027"/>
      <c r="H13" s="1027">
        <v>87.566550118463311</v>
      </c>
      <c r="I13" s="1027">
        <v>81.846852570697763</v>
      </c>
      <c r="J13" s="1027"/>
      <c r="K13" s="1027">
        <v>87.545617038319193</v>
      </c>
      <c r="L13" s="1027">
        <v>81.364644372971469</v>
      </c>
      <c r="M13" s="1027">
        <v>84.309771333866465</v>
      </c>
      <c r="N13" s="1027">
        <v>86.6380840629419</v>
      </c>
      <c r="O13" s="1027">
        <v>82.874789302239776</v>
      </c>
      <c r="P13" s="1027">
        <v>82.438140874798563</v>
      </c>
    </row>
    <row r="14" spans="1:23" ht="12.75" customHeight="1" x14ac:dyDescent="0.25">
      <c r="C14" s="1026">
        <v>2016</v>
      </c>
      <c r="D14" s="1027">
        <v>87.212464538342843</v>
      </c>
      <c r="E14" s="1027">
        <v>87.333827370247533</v>
      </c>
      <c r="F14" s="1027">
        <v>87.098240732983271</v>
      </c>
      <c r="G14" s="1027"/>
      <c r="H14" s="1027">
        <v>88.459877711059747</v>
      </c>
      <c r="I14" s="1027">
        <v>83.837728662372811</v>
      </c>
      <c r="J14" s="1027"/>
      <c r="K14" s="1027">
        <v>88.546109371866095</v>
      </c>
      <c r="L14" s="1027">
        <v>83.620266336182198</v>
      </c>
      <c r="M14" s="1027">
        <v>84.770030952327431</v>
      </c>
      <c r="N14" s="1027">
        <v>89.117994313527063</v>
      </c>
      <c r="O14" s="1027">
        <v>83.268220059551169</v>
      </c>
      <c r="P14" s="1027">
        <v>84.416276994066493</v>
      </c>
    </row>
    <row r="15" spans="1:23" ht="18.75" x14ac:dyDescent="0.25">
      <c r="C15" s="1028">
        <v>2017</v>
      </c>
      <c r="D15" s="1029">
        <v>88.080804336267178</v>
      </c>
      <c r="E15" s="1029">
        <v>88.268859217340761</v>
      </c>
      <c r="F15" s="1029">
        <v>87.903442637917848</v>
      </c>
      <c r="G15" s="1029"/>
      <c r="H15" s="1029">
        <v>89.322033095414895</v>
      </c>
      <c r="I15" s="1029">
        <v>84.759092418092379</v>
      </c>
      <c r="J15" s="1029"/>
      <c r="K15" s="1029">
        <v>89.166109458145286</v>
      </c>
      <c r="L15" s="1029">
        <v>86.033974337079172</v>
      </c>
      <c r="M15" s="1029">
        <v>84.922633107023273</v>
      </c>
      <c r="N15" s="1029">
        <v>87.348509686814182</v>
      </c>
      <c r="O15" s="1029">
        <v>85.497175044472556</v>
      </c>
      <c r="P15" s="1029">
        <v>87.332459859538901</v>
      </c>
    </row>
    <row r="16" spans="1:23" ht="18.75" x14ac:dyDescent="0.25">
      <c r="C16" s="1028">
        <v>2018</v>
      </c>
      <c r="D16" s="1029">
        <v>87.781662864251658</v>
      </c>
      <c r="E16" s="1029">
        <v>87.632868288841465</v>
      </c>
      <c r="F16" s="1029">
        <v>87.921693036107328</v>
      </c>
      <c r="G16" s="1029"/>
      <c r="H16" s="1029">
        <v>89.345265244864208</v>
      </c>
      <c r="I16" s="1029">
        <v>83.586624711979084</v>
      </c>
      <c r="J16" s="1029"/>
      <c r="K16" s="1029">
        <v>89.156840533880413</v>
      </c>
      <c r="L16" s="1029">
        <v>83.247878557194994</v>
      </c>
      <c r="M16" s="1029">
        <v>84.121193067370498</v>
      </c>
      <c r="N16" s="1029">
        <v>87.042556738905958</v>
      </c>
      <c r="O16" s="1029">
        <v>87.531930978526489</v>
      </c>
      <c r="P16" s="1029">
        <v>84.901438752185015</v>
      </c>
    </row>
    <row r="17" spans="3:16" ht="18.75" x14ac:dyDescent="0.25">
      <c r="C17" s="1028">
        <v>2019</v>
      </c>
      <c r="D17" s="1029">
        <v>87.57989057005949</v>
      </c>
      <c r="E17" s="1029">
        <v>87.273896000955517</v>
      </c>
      <c r="F17" s="1029">
        <v>87.865808745198535</v>
      </c>
      <c r="G17" s="1029"/>
      <c r="H17" s="1029">
        <v>89.406046337023099</v>
      </c>
      <c r="I17" s="1029">
        <v>82.687395942600844</v>
      </c>
      <c r="J17" s="1029"/>
      <c r="K17" s="1029">
        <v>89.614655118548271</v>
      </c>
      <c r="L17" s="1029">
        <v>82.427204854299191</v>
      </c>
      <c r="M17" s="1029">
        <v>88.706559205736042</v>
      </c>
      <c r="N17" s="1029">
        <v>83.252704621814772</v>
      </c>
      <c r="O17" s="1029">
        <v>85.413927784337815</v>
      </c>
      <c r="P17" s="1029">
        <v>82.11195286414349</v>
      </c>
    </row>
    <row r="18" spans="3:16" ht="18.75" x14ac:dyDescent="0.25">
      <c r="C18" s="1028">
        <v>2020</v>
      </c>
      <c r="D18" s="1029">
        <v>89.573997499363301</v>
      </c>
      <c r="E18" s="1029">
        <v>89.720496484659463</v>
      </c>
      <c r="F18" s="1029">
        <v>89.436512548904474</v>
      </c>
      <c r="G18" s="1029"/>
      <c r="H18" s="1029">
        <v>90.463470876740857</v>
      </c>
      <c r="I18" s="1029">
        <v>87.19457986699561</v>
      </c>
      <c r="J18" s="1029"/>
      <c r="K18" s="1029">
        <v>90.029622318743563</v>
      </c>
      <c r="L18" s="1029">
        <v>87.989376778199684</v>
      </c>
      <c r="M18" s="1029">
        <v>83.700023991306679</v>
      </c>
      <c r="N18" s="1029">
        <v>92.145691119625411</v>
      </c>
      <c r="O18" s="1029">
        <v>89.007702975143047</v>
      </c>
      <c r="P18" s="1029">
        <v>90.104377684142293</v>
      </c>
    </row>
    <row r="19" spans="3:16" ht="18.75" x14ac:dyDescent="0.25">
      <c r="C19" s="1028">
        <v>2021</v>
      </c>
      <c r="D19" s="1029">
        <v>90.285130896499027</v>
      </c>
      <c r="E19" s="1029">
        <v>90.271466729548592</v>
      </c>
      <c r="F19" s="1029">
        <v>90.297778029007631</v>
      </c>
      <c r="G19" s="1029"/>
      <c r="H19" s="1029">
        <v>91.139041572208185</v>
      </c>
      <c r="I19" s="1029">
        <v>88.017871406941111</v>
      </c>
      <c r="J19" s="1029"/>
      <c r="K19" s="1029">
        <v>90.910299766884464</v>
      </c>
      <c r="L19" s="1029">
        <v>89.474677203770185</v>
      </c>
      <c r="M19" s="1029">
        <v>89.635472682064815</v>
      </c>
      <c r="N19" s="1029">
        <v>89.980106736095848</v>
      </c>
      <c r="O19" s="1029">
        <v>89.113185987000477</v>
      </c>
      <c r="P19" s="1029">
        <v>88.323114100068508</v>
      </c>
    </row>
    <row r="20" spans="3:16" ht="18.75" x14ac:dyDescent="0.25">
      <c r="C20" s="1028">
        <v>2022</v>
      </c>
      <c r="D20" s="1029">
        <v>90.410161687719167</v>
      </c>
      <c r="E20" s="1029">
        <v>90.12754532920107</v>
      </c>
      <c r="F20" s="1029">
        <v>90.666061034672424</v>
      </c>
      <c r="G20" s="1029"/>
      <c r="H20" s="1029">
        <v>91.35067289396298</v>
      </c>
      <c r="I20" s="1029">
        <v>87.907704248865386</v>
      </c>
      <c r="J20" s="1029"/>
      <c r="K20" s="1029">
        <v>91.163896502651056</v>
      </c>
      <c r="L20" s="1029">
        <v>85.687246789406998</v>
      </c>
      <c r="M20" s="1029">
        <v>89.429723404472128</v>
      </c>
      <c r="N20" s="1029">
        <v>89.455598824435114</v>
      </c>
      <c r="O20" s="1029">
        <v>90.798730734360831</v>
      </c>
      <c r="P20" s="1029">
        <v>90.268006863948131</v>
      </c>
    </row>
    <row r="21" spans="3:16" ht="18.75" x14ac:dyDescent="0.25">
      <c r="C21" s="1028">
        <v>2023</v>
      </c>
      <c r="D21" s="1029">
        <v>88.669249504876433</v>
      </c>
      <c r="E21" s="1029">
        <v>88.314328139346387</v>
      </c>
      <c r="F21" s="1029">
        <v>88.988022866809146</v>
      </c>
      <c r="G21" s="1029"/>
      <c r="H21" s="1029">
        <v>89.727704409213175</v>
      </c>
      <c r="I21" s="1029">
        <v>85.855397697087383</v>
      </c>
      <c r="J21" s="1029"/>
      <c r="K21" s="1029">
        <v>89.727193774706976</v>
      </c>
      <c r="L21" s="1029">
        <v>84.788815062903694</v>
      </c>
      <c r="M21" s="1029">
        <v>85.85141959225335</v>
      </c>
      <c r="N21" s="1029">
        <v>85.299136733506487</v>
      </c>
      <c r="O21" s="1029">
        <v>89.456849687871681</v>
      </c>
      <c r="P21" s="1029">
        <v>88.459741214701666</v>
      </c>
    </row>
    <row r="22" spans="3:16" ht="18.75" x14ac:dyDescent="0.25">
      <c r="C22" s="1030">
        <v>2024</v>
      </c>
      <c r="D22" s="1031">
        <v>91.972899006484624</v>
      </c>
      <c r="E22" s="1031">
        <v>91.737088074111867</v>
      </c>
      <c r="F22" s="1031">
        <v>92.186616148440706</v>
      </c>
      <c r="G22" s="1031"/>
      <c r="H22" s="1031">
        <v>92.547366057518573</v>
      </c>
      <c r="I22" s="1031">
        <v>90.449985046986967</v>
      </c>
      <c r="J22" s="1031"/>
      <c r="K22" s="1031">
        <v>92.350936967632023</v>
      </c>
      <c r="L22" s="1031">
        <v>91.054580437625575</v>
      </c>
      <c r="M22" s="1031">
        <v>90.451909717065504</v>
      </c>
      <c r="N22" s="1031">
        <v>92.874525157956953</v>
      </c>
      <c r="O22" s="1031">
        <v>92.352683335030576</v>
      </c>
      <c r="P22" s="1031">
        <v>89.953034588339094</v>
      </c>
    </row>
    <row r="23" spans="3:16" ht="17.45" customHeight="1" x14ac:dyDescent="0.25">
      <c r="C23" s="2364" t="s">
        <v>8120</v>
      </c>
      <c r="D23" s="1029"/>
      <c r="E23" s="1029"/>
      <c r="F23" s="1029"/>
      <c r="G23" s="1029"/>
      <c r="H23" s="1029"/>
      <c r="I23" s="1029"/>
      <c r="J23" s="1029"/>
      <c r="K23" s="1029"/>
      <c r="L23" s="1029"/>
      <c r="M23" s="1029"/>
      <c r="N23" s="1029"/>
      <c r="O23" s="1029"/>
      <c r="P23" s="1029"/>
    </row>
    <row r="24" spans="3:16" ht="16.5" x14ac:dyDescent="0.35">
      <c r="C24" s="100"/>
      <c r="D24" s="100"/>
      <c r="E24" s="100"/>
      <c r="F24" s="100"/>
      <c r="G24" s="100"/>
      <c r="H24" s="100"/>
      <c r="I24" s="100"/>
      <c r="J24" s="100"/>
      <c r="K24" s="100"/>
      <c r="L24" s="100"/>
      <c r="M24" s="17"/>
      <c r="N24" s="17"/>
      <c r="O24" s="17"/>
      <c r="P24" s="17"/>
    </row>
    <row r="25" spans="3:16" ht="16.5" x14ac:dyDescent="0.35">
      <c r="C25" s="100"/>
      <c r="D25" s="100"/>
      <c r="E25" s="100"/>
      <c r="F25" s="100"/>
      <c r="G25" s="100"/>
      <c r="H25" s="100"/>
      <c r="I25" s="100"/>
      <c r="J25" s="100"/>
      <c r="K25" s="100"/>
      <c r="L25" s="100"/>
      <c r="M25" s="17"/>
      <c r="N25" s="17"/>
      <c r="O25" s="17"/>
      <c r="P25" s="17"/>
    </row>
    <row r="26" spans="3:16" ht="19.5" x14ac:dyDescent="0.25">
      <c r="C26" s="105" t="s">
        <v>8121</v>
      </c>
    </row>
    <row r="33" ht="12.75" customHeight="1" x14ac:dyDescent="0.25"/>
    <row r="49" spans="3:12" ht="27" customHeight="1" x14ac:dyDescent="0.25">
      <c r="C49" s="36" t="s">
        <v>8122</v>
      </c>
      <c r="D49" s="36"/>
      <c r="E49" s="36"/>
      <c r="F49" s="36"/>
      <c r="G49" s="36"/>
      <c r="H49" s="36"/>
      <c r="I49" s="36"/>
      <c r="J49" s="36"/>
      <c r="K49" s="36"/>
      <c r="L49" s="36"/>
    </row>
  </sheetData>
  <mergeCells count="14">
    <mergeCell ref="A5:B5"/>
    <mergeCell ref="C5:W5"/>
    <mergeCell ref="C1:E1"/>
    <mergeCell ref="A3:B3"/>
    <mergeCell ref="C3:W3"/>
    <mergeCell ref="A4:B4"/>
    <mergeCell ref="C4:W4"/>
    <mergeCell ref="A6:B6"/>
    <mergeCell ref="C6:W6"/>
    <mergeCell ref="C9:P9"/>
    <mergeCell ref="C11:C12"/>
    <mergeCell ref="D11:F11"/>
    <mergeCell ref="H11:I11"/>
    <mergeCell ref="K11:P11"/>
  </mergeCells>
  <hyperlinks>
    <hyperlink ref="A1" location="'ODS 5.'!A1" display="REGRESAR" xr:uid="{C2AA948E-1A9C-40C9-BDE9-BE047AAF6FC4}"/>
    <hyperlink ref="C1" location="'Metadato 5.b.1'!A1" display="VER METADATO" xr:uid="{82A86481-8DF4-483C-A1BD-4BAD9529A706}"/>
  </hyperlinks>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92FF-A034-41AB-A958-4274BC11E306}">
  <sheetPr>
    <tabColor theme="0" tint="-0.499984740745262"/>
  </sheetPr>
  <dimension ref="A1:F37"/>
  <sheetViews>
    <sheetView showGridLines="0" workbookViewId="0">
      <pane ySplit="1" topLeftCell="A2" activePane="bottomLeft" state="frozen"/>
      <selection activeCell="R16" sqref="R16"/>
      <selection pane="bottomLeft" activeCell="B1" sqref="B1"/>
    </sheetView>
  </sheetViews>
  <sheetFormatPr baseColWidth="10" defaultColWidth="11.42578125" defaultRowHeight="18.75" x14ac:dyDescent="0.25"/>
  <cols>
    <col min="1" max="1" width="11.28515625" style="222" customWidth="1"/>
    <col min="2" max="2" width="26.42578125" style="222" customWidth="1"/>
    <col min="3" max="3" width="10.5703125" style="222" bestFit="1" customWidth="1"/>
    <col min="4" max="4" width="85.7109375" style="222" customWidth="1"/>
    <col min="5" max="5" width="3.28515625" style="222" customWidth="1"/>
    <col min="6" max="6" width="7.28515625" style="222" customWidth="1"/>
    <col min="7" max="7" width="6.7109375" style="222" customWidth="1"/>
    <col min="8" max="8" width="2.5703125" style="222" customWidth="1"/>
    <col min="9" max="9" width="7.5703125" style="222" customWidth="1"/>
    <col min="10" max="10" width="9.28515625" style="222" customWidth="1"/>
    <col min="11" max="11" width="8.42578125" style="222" customWidth="1"/>
    <col min="12" max="12" width="7.7109375" style="222" customWidth="1"/>
    <col min="13" max="14" width="6.7109375" style="222" customWidth="1"/>
    <col min="15" max="16384" width="11.42578125" style="222"/>
  </cols>
  <sheetData>
    <row r="1" spans="1:6" x14ac:dyDescent="0.25">
      <c r="B1" s="223" t="s">
        <v>39</v>
      </c>
    </row>
    <row r="2" spans="1:6" ht="19.5" thickBot="1" x14ac:dyDescent="0.3"/>
    <row r="3" spans="1:6" ht="23.25" customHeight="1" thickBot="1" x14ac:dyDescent="0.3">
      <c r="B3" s="2745" t="s">
        <v>75</v>
      </c>
      <c r="C3" s="2745"/>
      <c r="D3" s="2745"/>
      <c r="F3" s="91" t="s">
        <v>76</v>
      </c>
    </row>
    <row r="4" spans="1:6" x14ac:dyDescent="0.25">
      <c r="A4" s="224"/>
      <c r="B4" s="2445" t="s">
        <v>234</v>
      </c>
      <c r="C4" s="2445"/>
      <c r="D4" s="49" t="s">
        <v>2064</v>
      </c>
    </row>
    <row r="5" spans="1:6" ht="37.5" customHeight="1" x14ac:dyDescent="0.25">
      <c r="B5" s="2445" t="s">
        <v>79</v>
      </c>
      <c r="C5" s="2445"/>
      <c r="D5" s="49" t="s">
        <v>2006</v>
      </c>
    </row>
    <row r="6" spans="1:6" x14ac:dyDescent="0.25">
      <c r="B6" s="2445" t="s">
        <v>80</v>
      </c>
      <c r="C6" s="2445"/>
      <c r="D6" s="50" t="s">
        <v>2007</v>
      </c>
    </row>
    <row r="7" spans="1:6" ht="15" customHeight="1" x14ac:dyDescent="0.25">
      <c r="B7" s="2446" t="s">
        <v>81</v>
      </c>
      <c r="C7" s="2446"/>
      <c r="D7" s="93" t="s">
        <v>2008</v>
      </c>
    </row>
    <row r="8" spans="1:6" ht="15" customHeight="1" x14ac:dyDescent="0.25">
      <c r="B8" s="2446" t="s">
        <v>82</v>
      </c>
      <c r="C8" s="2446"/>
      <c r="D8" s="94" t="s">
        <v>2760</v>
      </c>
    </row>
    <row r="9" spans="1:6" x14ac:dyDescent="0.4">
      <c r="B9" s="5"/>
      <c r="C9" s="5"/>
      <c r="D9" s="5"/>
    </row>
    <row r="10" spans="1:6" ht="23.25" customHeight="1" x14ac:dyDescent="0.25">
      <c r="B10" s="2745" t="s">
        <v>85</v>
      </c>
      <c r="C10" s="2745"/>
      <c r="D10" s="2745"/>
    </row>
    <row r="11" spans="1:6" x14ac:dyDescent="0.25">
      <c r="B11" s="2453" t="s">
        <v>86</v>
      </c>
      <c r="C11" s="2454"/>
      <c r="D11" s="49" t="s">
        <v>167</v>
      </c>
    </row>
    <row r="12" spans="1:6" ht="37.5" x14ac:dyDescent="0.25">
      <c r="B12" s="2455" t="s">
        <v>88</v>
      </c>
      <c r="C12" s="2455"/>
      <c r="D12" s="169" t="s">
        <v>2761</v>
      </c>
    </row>
    <row r="13" spans="1:6" x14ac:dyDescent="0.25">
      <c r="B13" s="2445" t="s">
        <v>90</v>
      </c>
      <c r="C13" s="2445"/>
      <c r="D13" s="54" t="s">
        <v>2007</v>
      </c>
    </row>
    <row r="14" spans="1:6" x14ac:dyDescent="0.25">
      <c r="B14" s="2445" t="s">
        <v>91</v>
      </c>
      <c r="C14" s="2456"/>
      <c r="D14" s="54" t="s">
        <v>214</v>
      </c>
    </row>
    <row r="15" spans="1:6" ht="48.75" customHeight="1" x14ac:dyDescent="0.25">
      <c r="B15" s="2445" t="s">
        <v>93</v>
      </c>
      <c r="C15" s="2445"/>
      <c r="D15" s="56" t="s">
        <v>2762</v>
      </c>
    </row>
    <row r="16" spans="1:6" ht="50.25" customHeight="1" x14ac:dyDescent="0.25">
      <c r="B16" s="2445" t="s">
        <v>95</v>
      </c>
      <c r="C16" s="2445"/>
      <c r="D16" s="56"/>
    </row>
    <row r="17" spans="2:4" x14ac:dyDescent="0.25">
      <c r="B17" s="2445" t="s">
        <v>97</v>
      </c>
      <c r="C17" s="2445"/>
      <c r="D17" s="56" t="s">
        <v>98</v>
      </c>
    </row>
    <row r="18" spans="2:4" x14ac:dyDescent="0.25">
      <c r="B18" s="2446" t="s">
        <v>99</v>
      </c>
      <c r="C18" s="2446"/>
      <c r="D18" s="49"/>
    </row>
    <row r="19" spans="2:4" ht="36" customHeight="1" x14ac:dyDescent="0.25">
      <c r="B19" s="2457" t="s">
        <v>100</v>
      </c>
      <c r="C19" s="2458"/>
      <c r="D19" s="56" t="s">
        <v>2763</v>
      </c>
    </row>
    <row r="20" spans="2:4" x14ac:dyDescent="0.25">
      <c r="B20" s="2445" t="s">
        <v>102</v>
      </c>
      <c r="C20" s="2445"/>
      <c r="D20" s="56" t="s">
        <v>140</v>
      </c>
    </row>
    <row r="21" spans="2:4" x14ac:dyDescent="0.25">
      <c r="B21" s="2451" t="s">
        <v>104</v>
      </c>
      <c r="C21" s="95" t="s">
        <v>105</v>
      </c>
      <c r="D21" s="49" t="s">
        <v>1457</v>
      </c>
    </row>
    <row r="22" spans="2:4" x14ac:dyDescent="0.25">
      <c r="B22" s="2452"/>
      <c r="C22" s="96" t="s">
        <v>107</v>
      </c>
      <c r="D22" s="56" t="s">
        <v>2764</v>
      </c>
    </row>
    <row r="23" spans="2:4" x14ac:dyDescent="0.25">
      <c r="B23" s="2444" t="s">
        <v>109</v>
      </c>
      <c r="C23" s="2444"/>
      <c r="D23" s="56" t="s">
        <v>143</v>
      </c>
    </row>
    <row r="24" spans="2:4" x14ac:dyDescent="0.25">
      <c r="B24" s="2444" t="s">
        <v>111</v>
      </c>
      <c r="C24" s="2444"/>
      <c r="D24" s="59" t="s">
        <v>127</v>
      </c>
    </row>
    <row r="25" spans="2:4" x14ac:dyDescent="0.25">
      <c r="B25" s="2445" t="s">
        <v>113</v>
      </c>
      <c r="C25" s="2445"/>
      <c r="D25" s="56" t="s">
        <v>144</v>
      </c>
    </row>
    <row r="26" spans="2:4" ht="15" customHeight="1" x14ac:dyDescent="0.25">
      <c r="B26" s="2446" t="s">
        <v>115</v>
      </c>
      <c r="C26" s="2446"/>
      <c r="D26" s="59" t="s">
        <v>116</v>
      </c>
    </row>
    <row r="27" spans="2:4" x14ac:dyDescent="0.25">
      <c r="B27" s="2447" t="s">
        <v>117</v>
      </c>
      <c r="C27" s="2448"/>
      <c r="D27" s="49"/>
    </row>
    <row r="28" spans="2:4" ht="93.75" x14ac:dyDescent="0.25">
      <c r="B28" s="97" t="s">
        <v>118</v>
      </c>
      <c r="C28" s="98"/>
      <c r="D28" s="56" t="s">
        <v>2765</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9" t="s">
        <v>123</v>
      </c>
    </row>
    <row r="33" spans="2:4" x14ac:dyDescent="0.25">
      <c r="B33" s="2442" t="s">
        <v>124</v>
      </c>
      <c r="C33" s="2443"/>
      <c r="D33" s="59" t="s">
        <v>1790</v>
      </c>
    </row>
    <row r="34" spans="2:4" x14ac:dyDescent="0.25">
      <c r="B34" s="2442" t="s">
        <v>126</v>
      </c>
      <c r="C34" s="2443"/>
      <c r="D34" s="59" t="s">
        <v>127</v>
      </c>
    </row>
    <row r="35" spans="2:4" x14ac:dyDescent="0.25">
      <c r="B35" s="2442" t="s">
        <v>128</v>
      </c>
      <c r="C35" s="2443"/>
      <c r="D35" s="59" t="s">
        <v>1791</v>
      </c>
    </row>
    <row r="36" spans="2:4" x14ac:dyDescent="0.25">
      <c r="B36" s="2442" t="s">
        <v>130</v>
      </c>
      <c r="C36" s="2443"/>
      <c r="D36" s="65" t="s">
        <v>1792</v>
      </c>
    </row>
    <row r="37" spans="2:4" ht="12.75" customHeight="1" x14ac:dyDescent="0.25"/>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E90D807-72C1-4D2A-8E53-514DBB592A76}">
      <formula1>Tipo_operación</formula1>
    </dataValidation>
    <dataValidation type="list" allowBlank="1" showInputMessage="1" showErrorMessage="1" sqref="D14" xr:uid="{FF3CEFE4-D7A0-4374-9547-BC03CA7B8B69}">
      <formula1>Tipo_indicador</formula1>
    </dataValidation>
    <dataValidation type="list" allowBlank="1" showInputMessage="1" showErrorMessage="1" sqref="D7" xr:uid="{500532EF-5EAB-4E5A-BBFF-4AEB162CBD52}">
      <formula1>Nombre_indicador_ODS</formula1>
    </dataValidation>
    <dataValidation type="list" allowBlank="1" showInputMessage="1" showErrorMessage="1" sqref="D6" xr:uid="{403ECDBE-8088-4589-BEBE-8A23ABE7E2CD}">
      <formula1>Numero_indicador</formula1>
    </dataValidation>
    <dataValidation type="list" allowBlank="1" showInputMessage="1" showErrorMessage="1" sqref="D5" xr:uid="{4CD70386-A628-40B3-B81B-E0B4A370EBF5}">
      <formula1>Metas_ODS</formula1>
    </dataValidation>
    <dataValidation type="list" allowBlank="1" showInputMessage="1" showErrorMessage="1" sqref="D4" xr:uid="{9799EB65-4848-4B90-B19B-3890753C6464}">
      <formula1>ODS</formula1>
    </dataValidation>
    <dataValidation allowBlank="1" showDropDown="1" showInputMessage="1" showErrorMessage="1" sqref="D13" xr:uid="{20F48D4F-3597-4D1D-A7D7-4D0E876398D4}"/>
  </dataValidations>
  <hyperlinks>
    <hyperlink ref="B1" location="'5.b.1'!A1" display="REGRESAR" xr:uid="{74751309-A0B3-4ABF-BD71-9782342B48F5}"/>
    <hyperlink ref="D8" r:id="rId1" xr:uid="{842CF97D-22FA-4B53-87D8-066B2F3D9017}"/>
    <hyperlink ref="D36" r:id="rId2" xr:uid="{F8212399-BC27-4A67-A9AF-811A859BAB36}"/>
  </hyperlinks>
  <pageMargins left="0.7" right="0.7" top="0.75" bottom="0.75" header="0.3" footer="0.3"/>
  <pageSetup paperSize="9" orientation="portrait" r:id="rId3"/>
  <drawing r:id="rId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63F4-F649-4895-B103-7B4189E74A31}">
  <sheetPr>
    <tabColor rgb="FF7030A0"/>
  </sheetPr>
  <dimension ref="A1:Q32"/>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1" width="15" style="16" customWidth="1"/>
    <col min="2" max="2" width="18.85546875" style="16" customWidth="1"/>
    <col min="3" max="3" width="11" style="218" customWidth="1"/>
    <col min="4" max="5" width="11" style="16" customWidth="1"/>
    <col min="6" max="16384" width="11.42578125" style="16"/>
  </cols>
  <sheetData>
    <row r="1" spans="1:17" ht="15" customHeight="1" x14ac:dyDescent="0.4">
      <c r="A1" s="68" t="s">
        <v>39</v>
      </c>
      <c r="B1" s="161"/>
      <c r="C1" s="2421" t="s">
        <v>149</v>
      </c>
      <c r="D1" s="2421"/>
    </row>
    <row r="3" spans="1:17" x14ac:dyDescent="0.4">
      <c r="A3" s="2736" t="s">
        <v>41</v>
      </c>
      <c r="B3" s="2744"/>
      <c r="C3" s="2736" t="s">
        <v>1974</v>
      </c>
      <c r="D3" s="2762"/>
      <c r="E3" s="2762"/>
      <c r="F3" s="2762"/>
      <c r="G3" s="2762"/>
      <c r="H3" s="2762"/>
      <c r="I3" s="2762"/>
      <c r="J3" s="2762"/>
      <c r="K3" s="2762"/>
      <c r="L3" s="2762"/>
      <c r="M3" s="2762"/>
      <c r="N3" s="2762"/>
      <c r="O3" s="2762"/>
      <c r="P3" s="2762"/>
      <c r="Q3" s="2762"/>
    </row>
    <row r="4" spans="1:17" x14ac:dyDescent="0.4">
      <c r="A4" s="2736" t="s">
        <v>42</v>
      </c>
      <c r="B4" s="2737"/>
      <c r="C4" s="2736" t="s">
        <v>2009</v>
      </c>
      <c r="D4" s="2738"/>
      <c r="E4" s="2738"/>
      <c r="F4" s="2738"/>
      <c r="G4" s="2738"/>
      <c r="H4" s="2738"/>
      <c r="I4" s="2738"/>
      <c r="J4" s="2738"/>
      <c r="K4" s="2738"/>
      <c r="L4" s="2738"/>
      <c r="M4" s="2738"/>
      <c r="N4" s="2738"/>
      <c r="O4" s="2738"/>
      <c r="P4" s="2738"/>
      <c r="Q4" s="2738"/>
    </row>
    <row r="5" spans="1:17" x14ac:dyDescent="0.4">
      <c r="A5" s="2736" t="s">
        <v>43</v>
      </c>
      <c r="B5" s="2737"/>
      <c r="C5" s="2736" t="s">
        <v>2011</v>
      </c>
      <c r="D5" s="2738"/>
      <c r="E5" s="2738"/>
      <c r="F5" s="2738"/>
      <c r="G5" s="2738"/>
      <c r="H5" s="2738"/>
      <c r="I5" s="2738"/>
      <c r="J5" s="2738"/>
      <c r="K5" s="2738"/>
      <c r="L5" s="2738"/>
      <c r="M5" s="2738"/>
      <c r="N5" s="2738"/>
      <c r="O5" s="2738"/>
      <c r="P5" s="2738"/>
      <c r="Q5" s="2738"/>
    </row>
    <row r="6" spans="1:17" x14ac:dyDescent="0.4">
      <c r="A6" s="2736" t="s">
        <v>132</v>
      </c>
      <c r="B6" s="2737"/>
      <c r="C6" s="2736"/>
      <c r="D6" s="2738"/>
      <c r="E6" s="2738"/>
      <c r="F6" s="2738"/>
      <c r="G6" s="2738"/>
      <c r="H6" s="2738"/>
      <c r="I6" s="2738"/>
      <c r="J6" s="2738"/>
      <c r="K6" s="2738"/>
      <c r="L6" s="2738"/>
      <c r="M6" s="2738"/>
      <c r="N6" s="2738"/>
      <c r="O6" s="2738"/>
      <c r="P6" s="2738"/>
      <c r="Q6" s="2738"/>
    </row>
    <row r="7" spans="1:17" x14ac:dyDescent="0.4">
      <c r="A7" s="363"/>
    </row>
    <row r="8" spans="1:17" x14ac:dyDescent="0.4">
      <c r="A8" s="217"/>
    </row>
    <row r="9" spans="1:17" ht="11.25" customHeight="1" x14ac:dyDescent="0.4">
      <c r="A9" s="217"/>
      <c r="C9" s="2506" t="s">
        <v>650</v>
      </c>
      <c r="D9" s="2506"/>
      <c r="E9" s="2506"/>
      <c r="F9" s="2506"/>
      <c r="G9" s="2506"/>
      <c r="H9" s="2506"/>
      <c r="I9" s="2506"/>
      <c r="J9" s="2506"/>
      <c r="K9" s="2506"/>
      <c r="L9" s="2506"/>
      <c r="M9" s="2506"/>
      <c r="N9" s="2506"/>
      <c r="O9" s="2506"/>
      <c r="P9" s="2506"/>
      <c r="Q9" s="2506"/>
    </row>
    <row r="10" spans="1:17" ht="11.25" customHeight="1" x14ac:dyDescent="0.4">
      <c r="A10" s="217"/>
      <c r="C10" s="2506"/>
      <c r="D10" s="2506"/>
      <c r="E10" s="2506"/>
      <c r="F10" s="2506"/>
      <c r="G10" s="2506"/>
      <c r="H10" s="2506"/>
      <c r="I10" s="2506"/>
      <c r="J10" s="2506"/>
      <c r="K10" s="2506"/>
      <c r="L10" s="2506"/>
      <c r="M10" s="2506"/>
      <c r="N10" s="2506"/>
      <c r="O10" s="2506"/>
      <c r="P10" s="2506"/>
      <c r="Q10" s="2506"/>
    </row>
    <row r="11" spans="1:17" x14ac:dyDescent="0.4">
      <c r="A11" s="217"/>
    </row>
    <row r="12" spans="1:17" x14ac:dyDescent="0.4">
      <c r="A12" s="221"/>
      <c r="B12" s="220"/>
      <c r="C12" s="220"/>
      <c r="D12" s="220"/>
      <c r="E12" s="220"/>
      <c r="F12" s="220"/>
      <c r="G12" s="220"/>
      <c r="H12" s="220"/>
      <c r="I12" s="220"/>
      <c r="J12" s="220"/>
      <c r="K12" s="220"/>
      <c r="L12" s="220"/>
      <c r="M12" s="220"/>
      <c r="N12" s="220"/>
      <c r="O12" s="220"/>
    </row>
    <row r="13" spans="1:17" x14ac:dyDescent="0.4">
      <c r="A13" s="221"/>
      <c r="B13" s="220"/>
      <c r="C13" s="220"/>
      <c r="D13" s="220"/>
      <c r="E13" s="220"/>
      <c r="F13" s="220"/>
      <c r="G13" s="220"/>
      <c r="H13" s="220"/>
      <c r="I13" s="220"/>
      <c r="J13" s="220"/>
      <c r="K13" s="220"/>
      <c r="L13" s="220"/>
      <c r="M13" s="220"/>
      <c r="N13" s="220"/>
      <c r="O13" s="220"/>
    </row>
    <row r="14" spans="1:17" x14ac:dyDescent="0.4">
      <c r="A14" s="221"/>
      <c r="B14" s="220"/>
      <c r="C14" s="220"/>
      <c r="D14" s="220"/>
      <c r="E14" s="220"/>
      <c r="F14" s="220"/>
      <c r="G14" s="220"/>
      <c r="H14" s="220"/>
      <c r="I14" s="220"/>
      <c r="J14" s="220"/>
      <c r="K14" s="220"/>
      <c r="L14" s="220"/>
      <c r="M14" s="220"/>
      <c r="N14" s="220"/>
      <c r="O14" s="220"/>
    </row>
    <row r="15" spans="1:17" x14ac:dyDescent="0.4">
      <c r="A15" s="221"/>
      <c r="B15" s="220"/>
      <c r="C15" s="220"/>
      <c r="D15" s="220"/>
      <c r="E15" s="220"/>
      <c r="F15" s="220"/>
      <c r="G15" s="220"/>
      <c r="H15" s="220"/>
      <c r="I15" s="220"/>
      <c r="J15" s="220"/>
      <c r="K15" s="220"/>
      <c r="L15" s="220"/>
      <c r="M15" s="220"/>
      <c r="N15" s="220"/>
      <c r="O15" s="220"/>
    </row>
    <row r="16" spans="1:17" x14ac:dyDescent="0.4">
      <c r="A16" s="221"/>
      <c r="B16" s="220"/>
      <c r="C16" s="220"/>
      <c r="D16" s="220"/>
      <c r="E16" s="220"/>
      <c r="F16" s="220"/>
      <c r="G16" s="220"/>
      <c r="H16" s="220"/>
      <c r="I16" s="220"/>
      <c r="J16" s="220"/>
      <c r="K16" s="220"/>
      <c r="L16" s="220"/>
      <c r="M16" s="220"/>
      <c r="N16" s="220"/>
      <c r="O16" s="220"/>
    </row>
    <row r="17" spans="1:15" x14ac:dyDescent="0.4">
      <c r="A17" s="2494" t="s">
        <v>652</v>
      </c>
      <c r="B17" s="2494"/>
      <c r="C17" s="2494"/>
      <c r="D17" s="2494"/>
      <c r="E17" s="2494"/>
      <c r="F17" s="2494"/>
      <c r="G17" s="2494"/>
      <c r="H17" s="2494"/>
      <c r="I17" s="2494"/>
      <c r="J17" s="2494"/>
      <c r="K17" s="2494"/>
      <c r="L17" s="2494"/>
      <c r="M17" s="2494"/>
      <c r="N17" s="2494"/>
      <c r="O17" s="2494"/>
    </row>
    <row r="18" spans="1:15" x14ac:dyDescent="0.4">
      <c r="A18" s="217"/>
    </row>
    <row r="19" spans="1:15" x14ac:dyDescent="0.4">
      <c r="A19" s="217"/>
    </row>
    <row r="20" spans="1:15" x14ac:dyDescent="0.4">
      <c r="A20" s="217"/>
    </row>
    <row r="21" spans="1:15" x14ac:dyDescent="0.4">
      <c r="A21" s="217"/>
    </row>
    <row r="22" spans="1:15" x14ac:dyDescent="0.4">
      <c r="A22" s="217"/>
    </row>
    <row r="23" spans="1:15" x14ac:dyDescent="0.4">
      <c r="A23" s="217"/>
    </row>
    <row r="24" spans="1:15" x14ac:dyDescent="0.4">
      <c r="A24" s="217"/>
    </row>
    <row r="25" spans="1:15" x14ac:dyDescent="0.4">
      <c r="A25" s="217"/>
    </row>
    <row r="26" spans="1:15" x14ac:dyDescent="0.4">
      <c r="A26" s="217"/>
    </row>
    <row r="27" spans="1:15" x14ac:dyDescent="0.4">
      <c r="A27" s="217"/>
    </row>
    <row r="28" spans="1:15" x14ac:dyDescent="0.4">
      <c r="A28" s="217"/>
    </row>
    <row r="29" spans="1:15" x14ac:dyDescent="0.4">
      <c r="A29" s="217"/>
    </row>
    <row r="30" spans="1:15" x14ac:dyDescent="0.4">
      <c r="A30" s="217"/>
    </row>
    <row r="31" spans="1:15" x14ac:dyDescent="0.4">
      <c r="A31" s="217"/>
    </row>
    <row r="32" spans="1:15" x14ac:dyDescent="0.4">
      <c r="A32" s="217"/>
    </row>
  </sheetData>
  <mergeCells count="11">
    <mergeCell ref="A6:B6"/>
    <mergeCell ref="C6:Q6"/>
    <mergeCell ref="C9:Q10"/>
    <mergeCell ref="A17:O17"/>
    <mergeCell ref="C1:D1"/>
    <mergeCell ref="A3:B3"/>
    <mergeCell ref="C3:Q3"/>
    <mergeCell ref="A4:B4"/>
    <mergeCell ref="C4:Q4"/>
    <mergeCell ref="A5:B5"/>
    <mergeCell ref="C5:Q5"/>
  </mergeCells>
  <hyperlinks>
    <hyperlink ref="A1" location="'ODS 5.'!A1" display="REGRESAR" xr:uid="{FE1B48D4-2450-42B0-AF35-5F08B436FE15}"/>
    <hyperlink ref="C1" location="'Metadato 5.c.1'!A1" display="VER METADATO" xr:uid="{0D98557A-DC83-47DD-8540-1C4353E05D1F}"/>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B94DE-FB0F-42F3-8AA3-4D441D499A28}">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10.5703125" style="222" bestFit="1"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745" t="s">
        <v>75</v>
      </c>
      <c r="C3" s="2745"/>
      <c r="D3" s="2745"/>
      <c r="F3" s="91" t="s">
        <v>317</v>
      </c>
    </row>
    <row r="4" spans="1:6" x14ac:dyDescent="0.25">
      <c r="A4" s="224"/>
      <c r="B4" s="2445" t="s">
        <v>234</v>
      </c>
      <c r="C4" s="2445"/>
      <c r="D4" s="49" t="s">
        <v>2064</v>
      </c>
    </row>
    <row r="5" spans="1:6" ht="37.5" x14ac:dyDescent="0.25">
      <c r="B5" s="2445" t="s">
        <v>79</v>
      </c>
      <c r="C5" s="2445"/>
      <c r="D5" s="49" t="s">
        <v>2009</v>
      </c>
    </row>
    <row r="6" spans="1:6" x14ac:dyDescent="0.25">
      <c r="B6" s="2445" t="s">
        <v>80</v>
      </c>
      <c r="C6" s="2445"/>
      <c r="D6" s="50" t="s">
        <v>2010</v>
      </c>
    </row>
    <row r="7" spans="1:6" ht="37.5" x14ac:dyDescent="0.25">
      <c r="B7" s="2446" t="s">
        <v>81</v>
      </c>
      <c r="C7" s="2446"/>
      <c r="D7" s="93" t="s">
        <v>2011</v>
      </c>
    </row>
    <row r="8" spans="1:6" x14ac:dyDescent="0.25">
      <c r="B8" s="2446" t="s">
        <v>82</v>
      </c>
      <c r="C8" s="2446"/>
      <c r="D8" s="94" t="s">
        <v>2766</v>
      </c>
    </row>
    <row r="9" spans="1:6" x14ac:dyDescent="0.4">
      <c r="B9" s="5"/>
      <c r="C9" s="5"/>
      <c r="D9" s="5"/>
    </row>
    <row r="10" spans="1:6" ht="23.25" customHeight="1" x14ac:dyDescent="0.25">
      <c r="B10" s="2745" t="s">
        <v>85</v>
      </c>
      <c r="C10" s="2745"/>
      <c r="D10" s="2745"/>
    </row>
    <row r="11" spans="1:6" x14ac:dyDescent="0.25">
      <c r="B11" s="2453" t="s">
        <v>86</v>
      </c>
      <c r="C11" s="2454"/>
      <c r="D11" s="49"/>
    </row>
    <row r="12" spans="1:6" ht="15" customHeight="1"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ht="15" customHeight="1"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321</v>
      </c>
    </row>
    <row r="25" spans="2:4" x14ac:dyDescent="0.25">
      <c r="B25" s="2445" t="s">
        <v>113</v>
      </c>
      <c r="C25" s="2445"/>
      <c r="D25" s="56"/>
    </row>
    <row r="26" spans="2:4" ht="15" customHeight="1" x14ac:dyDescent="0.25">
      <c r="B26" s="2446" t="s">
        <v>115</v>
      </c>
      <c r="C26" s="2446"/>
      <c r="D26" s="49"/>
    </row>
    <row r="27" spans="2:4" x14ac:dyDescent="0.25">
      <c r="B27" s="2447" t="s">
        <v>117</v>
      </c>
      <c r="C27" s="2448"/>
      <c r="D27" s="49"/>
    </row>
    <row r="28" spans="2:4" ht="37.5" x14ac:dyDescent="0.25">
      <c r="B28" s="97" t="s">
        <v>118</v>
      </c>
      <c r="C28" s="98"/>
      <c r="D28" s="56" t="s">
        <v>2767</v>
      </c>
    </row>
    <row r="29" spans="2:4" x14ac:dyDescent="0.25">
      <c r="B29" s="2449" t="s">
        <v>120</v>
      </c>
      <c r="C29" s="2450"/>
      <c r="D29" s="62"/>
    </row>
    <row r="30" spans="2:4" x14ac:dyDescent="0.25">
      <c r="B30" s="63"/>
      <c r="C30" s="63"/>
      <c r="D30" s="64"/>
    </row>
    <row r="31" spans="2:4" ht="23.25" customHeight="1" x14ac:dyDescent="0.25">
      <c r="B31" s="2745" t="s">
        <v>121</v>
      </c>
      <c r="C31" s="2745"/>
      <c r="D31" s="2745"/>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8728B0D-D4BE-4F05-8141-3DE0AF783DDA}">
      <formula1>Tipo_operación</formula1>
    </dataValidation>
    <dataValidation type="list" allowBlank="1" showInputMessage="1" showErrorMessage="1" sqref="D14" xr:uid="{117E823C-5A17-4D64-9B73-BF2282BF93E5}">
      <formula1>Tipo_indicador</formula1>
    </dataValidation>
    <dataValidation type="list" allowBlank="1" showInputMessage="1" showErrorMessage="1" sqref="D7" xr:uid="{754D3599-C689-42A9-82F2-9D744C19BB3D}">
      <formula1>Nombre_indicador_ODS</formula1>
    </dataValidation>
    <dataValidation type="list" allowBlank="1" showInputMessage="1" showErrorMessage="1" sqref="D6" xr:uid="{31A1A492-E245-4657-A8E1-8A046AD34339}">
      <formula1>Numero_indicador</formula1>
    </dataValidation>
    <dataValidation type="list" allowBlank="1" showInputMessage="1" showErrorMessage="1" sqref="D5" xr:uid="{E10CF1E2-FEE9-47FE-B0F0-10B04BF5C5C8}">
      <formula1>Metas_ODS</formula1>
    </dataValidation>
    <dataValidation type="list" allowBlank="1" showInputMessage="1" showErrorMessage="1" sqref="D4" xr:uid="{BE41597A-51EC-4960-B958-25A90B46C701}">
      <formula1>ODS</formula1>
    </dataValidation>
    <dataValidation allowBlank="1" showDropDown="1" showInputMessage="1" showErrorMessage="1" sqref="D13" xr:uid="{C40E3201-3438-4103-BF86-9AA08EFBD6DB}"/>
  </dataValidations>
  <hyperlinks>
    <hyperlink ref="B1" location="'5.c.1'!A1" display="REGRESAR" xr:uid="{933F6377-6861-421B-AEAC-972801A17E20}"/>
    <hyperlink ref="D8" r:id="rId1" xr:uid="{DAFEC347-4C82-42D4-BD8A-F09E83E4A2C4}"/>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DEC-0ACC-4F1C-83D1-A02C6B16C663}">
  <sheetPr>
    <tabColor rgb="FF26BDE2"/>
  </sheetPr>
  <dimension ref="A1:E15"/>
  <sheetViews>
    <sheetView showGridLines="0" workbookViewId="0">
      <pane ySplit="4" topLeftCell="A6" activePane="bottomLeft" state="frozen"/>
      <selection activeCell="R16" sqref="R16"/>
      <selection pane="bottomLeft" sqref="A1:B1"/>
    </sheetView>
  </sheetViews>
  <sheetFormatPr baseColWidth="10" defaultColWidth="11.5703125" defaultRowHeight="18.75" x14ac:dyDescent="0.4"/>
  <cols>
    <col min="1" max="2" width="11.5703125" style="5"/>
    <col min="3" max="3" width="63.42578125" style="9" customWidth="1"/>
    <col min="4" max="4" width="14" style="6" customWidth="1"/>
    <col min="5" max="5" width="72.42578125" style="9" customWidth="1"/>
    <col min="6" max="16384" width="11.5703125" style="5"/>
  </cols>
  <sheetData>
    <row r="1" spans="1:5" ht="19.5" x14ac:dyDescent="0.4">
      <c r="A1" s="2410" t="s">
        <v>1</v>
      </c>
      <c r="B1" s="2410"/>
    </row>
    <row r="3" spans="1:5" ht="57" customHeight="1" x14ac:dyDescent="0.4">
      <c r="C3" s="2801" t="s">
        <v>2768</v>
      </c>
      <c r="D3" s="2801"/>
      <c r="E3" s="2801"/>
    </row>
    <row r="4" spans="1:5" s="263" customFormat="1" ht="45" x14ac:dyDescent="0.4">
      <c r="C4" s="8" t="s">
        <v>3</v>
      </c>
      <c r="D4" s="8" t="s">
        <v>4</v>
      </c>
      <c r="E4" s="8" t="s">
        <v>5</v>
      </c>
    </row>
    <row r="5" spans="1:5" s="3" customFormat="1" ht="39" x14ac:dyDescent="0.25">
      <c r="C5" s="10" t="s">
        <v>2769</v>
      </c>
      <c r="D5" s="11" t="s">
        <v>2770</v>
      </c>
      <c r="E5" s="12" t="s">
        <v>2771</v>
      </c>
    </row>
    <row r="6" spans="1:5" s="3" customFormat="1" ht="97.5" x14ac:dyDescent="0.25">
      <c r="C6" s="10" t="s">
        <v>2772</v>
      </c>
      <c r="D6" s="11" t="s">
        <v>2773</v>
      </c>
      <c r="E6" s="12" t="s">
        <v>2774</v>
      </c>
    </row>
    <row r="7" spans="1:5" s="3" customFormat="1" ht="55.9" customHeight="1" x14ac:dyDescent="0.25">
      <c r="C7" s="2408" t="s">
        <v>2775</v>
      </c>
      <c r="D7" s="11" t="s">
        <v>2776</v>
      </c>
      <c r="E7" s="12" t="s">
        <v>2777</v>
      </c>
    </row>
    <row r="8" spans="1:5" s="3" customFormat="1" ht="56.45" customHeight="1" x14ac:dyDescent="0.25">
      <c r="C8" s="2409"/>
      <c r="D8" s="11" t="s">
        <v>2778</v>
      </c>
      <c r="E8" s="12" t="s">
        <v>2779</v>
      </c>
    </row>
    <row r="9" spans="1:5" s="3" customFormat="1" ht="46.9" customHeight="1" x14ac:dyDescent="0.25">
      <c r="C9" s="2408" t="s">
        <v>2780</v>
      </c>
      <c r="D9" s="11" t="s">
        <v>2781</v>
      </c>
      <c r="E9" s="12" t="s">
        <v>2782</v>
      </c>
    </row>
    <row r="10" spans="1:5" s="3" customFormat="1" ht="48.6" customHeight="1" x14ac:dyDescent="0.25">
      <c r="C10" s="2409"/>
      <c r="D10" s="11" t="s">
        <v>2783</v>
      </c>
      <c r="E10" s="12" t="s">
        <v>2784</v>
      </c>
    </row>
    <row r="11" spans="1:5" s="3" customFormat="1" ht="31.5" customHeight="1" x14ac:dyDescent="0.25">
      <c r="C11" s="2408" t="s">
        <v>2785</v>
      </c>
      <c r="D11" s="11" t="s">
        <v>2786</v>
      </c>
      <c r="E11" s="12" t="s">
        <v>2787</v>
      </c>
    </row>
    <row r="12" spans="1:5" s="3" customFormat="1" ht="39" customHeight="1" x14ac:dyDescent="0.25">
      <c r="C12" s="2409"/>
      <c r="D12" s="11" t="s">
        <v>2788</v>
      </c>
      <c r="E12" s="12" t="s">
        <v>2789</v>
      </c>
    </row>
    <row r="13" spans="1:5" s="3" customFormat="1" ht="58.5" x14ac:dyDescent="0.25">
      <c r="C13" s="10" t="s">
        <v>2790</v>
      </c>
      <c r="D13" s="13" t="s">
        <v>2791</v>
      </c>
      <c r="E13" s="14" t="s">
        <v>2792</v>
      </c>
    </row>
    <row r="14" spans="1:5" s="3" customFormat="1" ht="117" x14ac:dyDescent="0.25">
      <c r="C14" s="10" t="s">
        <v>2793</v>
      </c>
      <c r="D14" s="13" t="s">
        <v>2794</v>
      </c>
      <c r="E14" s="14" t="s">
        <v>2795</v>
      </c>
    </row>
    <row r="15" spans="1:5" s="3" customFormat="1" ht="78" x14ac:dyDescent="0.25">
      <c r="C15" s="10" t="s">
        <v>2796</v>
      </c>
      <c r="D15" s="11" t="s">
        <v>2797</v>
      </c>
      <c r="E15" s="12" t="s">
        <v>2798</v>
      </c>
    </row>
  </sheetData>
  <mergeCells count="5">
    <mergeCell ref="A1:B1"/>
    <mergeCell ref="C3:E3"/>
    <mergeCell ref="C7:C8"/>
    <mergeCell ref="C9:C10"/>
    <mergeCell ref="C11:C12"/>
  </mergeCells>
  <hyperlinks>
    <hyperlink ref="A1" location="Objetivos!A1" display="REGRESAR A INICIO" xr:uid="{30A79A03-5C4A-49BE-9985-ACBD164DC9AF}"/>
    <hyperlink ref="A1:B1" location="'Lista de Objetivos'!A1" display="REGRESAR A INICIO" xr:uid="{5FB5301C-E368-404D-BFCF-EC5E8803ECF1}"/>
    <hyperlink ref="D5" location="'6.1.1'!A1" display="6.1.1" xr:uid="{6ABAA77D-6329-455D-BFCB-479C21F42B8B}"/>
    <hyperlink ref="E5" location="'6.1.1'!A1" display="6.1.1 Proporción de la población que utiliza servicios de suministro de agua potable gestionados sin riesgos" xr:uid="{DB207A04-D2E7-4D26-8C72-14D46147D3A3}"/>
    <hyperlink ref="D6" location="'6.2.1.a'!A1" display="6.2.1" xr:uid="{F94DB0A9-ECFD-4C3E-9227-259E02C453C3}"/>
    <hyperlink ref="E6" location="'6.2.1'!A1" display="6.2.1 Proporción de la población que utiliza: a) servicios de saneamiento gestionados sin riesgos y b) instalaciones para el lavado de manos con agua y jabón" xr:uid="{91103FCF-FB27-4ADD-8774-4662EAA43F1D}"/>
    <hyperlink ref="D7" location="'6.3.1'!A1" display="6.3.1" xr:uid="{8D2674A8-26AC-4014-8163-061CFB32DEC5}"/>
    <hyperlink ref="E7" location="'6.3.1'!A1" display="6.3.1 Proporción de los flujos de aguas residuales domésticas e industriales tratados de manera adecuada" xr:uid="{F0AC5519-51B4-4375-98A9-3578208E76C5}"/>
    <hyperlink ref="D8" location="'6.3.2'!A1" display="6.3.2" xr:uid="{1CDD70F5-EF30-4D10-81DA-A2ABCEDFE9BB}"/>
    <hyperlink ref="E8" location="'6.3.2'!A1" display="6.3.2 Proporción de masas de agua de buena calidad" xr:uid="{4FEF3B55-4F06-4C3A-91E0-C3C158E5ECBC}"/>
    <hyperlink ref="D9" location="'6.4.1'!A1" display="6.4.1" xr:uid="{53EBECD6-FDD5-41C8-BEBA-F35B420ED5E8}"/>
    <hyperlink ref="E9" location="'6.4.1'!A1" display="6.4.1 Cambio en el uso eficiente de los recursos hídricos con el paso del tiempo" xr:uid="{D4BD0035-BC66-4899-BC05-BE6AC70F0062}"/>
    <hyperlink ref="D10" location="'6.4.2'!A1" display="6.4.2" xr:uid="{776F5877-DB10-442C-9B8E-814651F3AAB6}"/>
    <hyperlink ref="E10" location="'6.4.2'!A1" display="6.4.2 Nivel de estrés hídrico: extracción de agua dulce en proporción a los recursos de agua dulce disponibles" xr:uid="{C27BF5CC-CBFF-49AE-8C59-F4C62DAF0DD6}"/>
    <hyperlink ref="D11" location="'6.5.1'!A1" display="6.5.1" xr:uid="{B0D76FDD-F642-4B09-8E10-14867253F791}"/>
    <hyperlink ref="E11" location="'6.5.1'!A1" display="6.5.1 Grado de gestión integrada de los recursos hídricos" xr:uid="{C2B33B56-DB91-48D0-B388-0311213835AA}"/>
    <hyperlink ref="D12" location="'6.5.2'!A1" display="6.5.2" xr:uid="{F2EDD5B7-02A7-453D-BD7C-18098005BE67}"/>
    <hyperlink ref="E12" location="'6.5.2'!A1" display="6.5.2 Proporción de la superficie de cuencas transfronterizas sujetas a arreglos operacionales para la cooperación en materia de aguas" xr:uid="{E873742C-0468-44BF-888B-7E267AB58172}"/>
    <hyperlink ref="D13" location="'6.6.1'!A1" display="6.6.1" xr:uid="{7B1DE936-E49E-4C85-8CBD-80B64D9D208C}"/>
    <hyperlink ref="E13" location="'6.6.1'!A1" display="6.6.1 Cambio en la extensión de los ecosistemas relacionados con el agua con el paso del tiempo" xr:uid="{A1907DD2-680B-406A-BAC2-DCAF6CA16AC8}"/>
    <hyperlink ref="D14" location="'6.a.1'!A1" display="6.a.1" xr:uid="{7BFD6AE5-F78B-41D2-A711-A635C88786D2}"/>
    <hyperlink ref="E14" location="'6.a.1'!A1" display="6.a.1 Volumen de la asistencia oficial para el desarrollo destinada al agua y el saneamiento que forma parte de un plan de gastos coordinados por el gobierno" xr:uid="{B79BE88B-67E3-4B38-989E-0D42E80A7E31}"/>
    <hyperlink ref="D15" location="'6.b.1'!A1" display="6.b.1" xr:uid="{770A3080-3F04-494A-B043-9E29C58F0F9F}"/>
    <hyperlink ref="E15" location="'6.b.1'!A1" display="6.b.1 Proporción de dependencias administrativas locales que han establecido políticas y procedimientos operacionales para la participación de las comunidades locales en la gestión del agua y el saneamiento" xr:uid="{7EE9CF93-24D5-4475-B9DC-E7AC44F36572}"/>
  </hyperlinks>
  <pageMargins left="0.7" right="0.7" top="0.75" bottom="0.75" header="0.3" footer="0.3"/>
  <pageSetup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1557-1F60-4ECE-95FE-3F538D03E3F1}">
  <dimension ref="A1:AQ67"/>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8.75" x14ac:dyDescent="0.4"/>
  <cols>
    <col min="1" max="2" width="15" style="115" customWidth="1"/>
    <col min="3" max="3" width="7.7109375" style="115" customWidth="1"/>
    <col min="4" max="4" width="12.7109375" style="115" customWidth="1"/>
    <col min="5" max="5" width="11" style="115" customWidth="1"/>
    <col min="6" max="6" width="1.28515625" style="115" customWidth="1"/>
    <col min="7" max="7" width="9.7109375" style="115" customWidth="1"/>
    <col min="8" max="8" width="10.28515625" style="115" customWidth="1"/>
    <col min="9" max="9" width="10" style="115" customWidth="1"/>
    <col min="10" max="10" width="10.7109375" style="115" customWidth="1"/>
    <col min="11" max="11" width="3.28515625" style="115" customWidth="1"/>
    <col min="12" max="12" width="10.5703125" style="115" customWidth="1"/>
    <col min="13" max="13" width="10.28515625" style="115" customWidth="1"/>
    <col min="14" max="14" width="9.5703125" style="115" customWidth="1"/>
    <col min="15" max="15" width="9.7109375" style="115" customWidth="1"/>
    <col min="16" max="16" width="3.7109375" style="115" customWidth="1"/>
    <col min="17" max="17" width="10.28515625" style="115" customWidth="1"/>
    <col min="18" max="18" width="11.5703125" style="115" bestFit="1" customWidth="1"/>
    <col min="19" max="19" width="10.28515625" style="115" customWidth="1"/>
    <col min="20" max="20" width="10" style="115" customWidth="1"/>
    <col min="21" max="21" width="8.7109375" style="115" customWidth="1"/>
    <col min="22" max="22" width="9.28515625" style="115" customWidth="1"/>
    <col min="23" max="23" width="9.7109375" style="115" customWidth="1"/>
    <col min="24" max="25" width="10.28515625" style="115" customWidth="1"/>
    <col min="26" max="27" width="9.42578125" style="115" customWidth="1"/>
    <col min="28" max="28" width="9.7109375" style="115" customWidth="1"/>
    <col min="29" max="29" width="3.28515625" style="115" customWidth="1"/>
    <col min="30" max="30" width="9.28515625" style="115" customWidth="1"/>
    <col min="31" max="31" width="10.7109375" style="115" customWidth="1"/>
    <col min="32" max="32" width="9.28515625" style="115" customWidth="1"/>
    <col min="33" max="33" width="10.28515625" style="115" customWidth="1"/>
    <col min="34" max="34" width="9.7109375" style="115" customWidth="1"/>
    <col min="35" max="16384" width="11.42578125" style="115"/>
  </cols>
  <sheetData>
    <row r="1" spans="1:43" s="1032" customFormat="1" ht="19.5" x14ac:dyDescent="0.4">
      <c r="A1" s="15" t="s">
        <v>2799</v>
      </c>
      <c r="C1" s="2421" t="s">
        <v>149</v>
      </c>
      <c r="D1" s="2421"/>
    </row>
    <row r="2" spans="1:43" s="1032" customFormat="1" ht="19.5" x14ac:dyDescent="0.4"/>
    <row r="3" spans="1:43" s="1032" customFormat="1" ht="19.5" x14ac:dyDescent="0.4">
      <c r="A3" s="2804" t="s">
        <v>41</v>
      </c>
      <c r="B3" s="2804"/>
      <c r="C3" s="2804" t="s">
        <v>2768</v>
      </c>
      <c r="D3" s="2804"/>
      <c r="E3" s="2804"/>
      <c r="F3" s="2804"/>
      <c r="G3" s="2804"/>
      <c r="H3" s="2804"/>
      <c r="I3" s="2804"/>
      <c r="J3" s="2804"/>
      <c r="K3" s="2804"/>
      <c r="L3" s="2804"/>
      <c r="M3" s="2804"/>
      <c r="N3" s="2804"/>
      <c r="O3" s="2804"/>
      <c r="P3" s="2804"/>
      <c r="Q3" s="2804"/>
      <c r="R3" s="2804"/>
      <c r="S3" s="2804"/>
      <c r="T3" s="2804"/>
    </row>
    <row r="4" spans="1:43" s="1032" customFormat="1" ht="19.5" x14ac:dyDescent="0.4">
      <c r="A4" s="2804" t="s">
        <v>42</v>
      </c>
      <c r="B4" s="2804"/>
      <c r="C4" s="2804" t="s">
        <v>2769</v>
      </c>
      <c r="D4" s="2804"/>
      <c r="E4" s="2804"/>
      <c r="F4" s="2804"/>
      <c r="G4" s="2804"/>
      <c r="H4" s="2804"/>
      <c r="I4" s="2804"/>
      <c r="J4" s="2804"/>
      <c r="K4" s="2804"/>
      <c r="L4" s="2804"/>
      <c r="M4" s="2804"/>
      <c r="N4" s="2804"/>
      <c r="O4" s="2804"/>
      <c r="P4" s="2804"/>
      <c r="Q4" s="2804"/>
      <c r="R4" s="2804"/>
      <c r="S4" s="2804"/>
      <c r="T4" s="2804"/>
    </row>
    <row r="5" spans="1:43" s="1032" customFormat="1" ht="19.5" x14ac:dyDescent="0.4">
      <c r="A5" s="2804" t="s">
        <v>43</v>
      </c>
      <c r="B5" s="2804"/>
      <c r="C5" s="2804" t="s">
        <v>2771</v>
      </c>
      <c r="D5" s="2804"/>
      <c r="E5" s="2804"/>
      <c r="F5" s="2804"/>
      <c r="G5" s="2804"/>
      <c r="H5" s="2804"/>
      <c r="I5" s="2804"/>
      <c r="J5" s="2804"/>
      <c r="K5" s="2804"/>
      <c r="L5" s="2804"/>
      <c r="M5" s="2804"/>
      <c r="N5" s="2804"/>
      <c r="O5" s="2804"/>
      <c r="P5" s="2804"/>
      <c r="Q5" s="2804"/>
      <c r="R5" s="2804"/>
      <c r="S5" s="2804"/>
      <c r="T5" s="2804"/>
    </row>
    <row r="6" spans="1:43" s="1032" customFormat="1" ht="19.5" x14ac:dyDescent="0.4">
      <c r="A6" s="2804" t="s">
        <v>132</v>
      </c>
      <c r="B6" s="2804"/>
      <c r="C6" s="2804" t="s">
        <v>2800</v>
      </c>
      <c r="D6" s="2804"/>
      <c r="E6" s="2804"/>
      <c r="F6" s="2804"/>
      <c r="G6" s="2804"/>
      <c r="H6" s="2804"/>
      <c r="I6" s="2804"/>
      <c r="J6" s="2804"/>
      <c r="K6" s="2804"/>
      <c r="L6" s="2804"/>
      <c r="M6" s="2804"/>
      <c r="N6" s="2804"/>
      <c r="O6" s="2804"/>
      <c r="P6" s="2804"/>
      <c r="Q6" s="2804"/>
      <c r="R6" s="2804"/>
      <c r="S6" s="2804"/>
      <c r="T6" s="2804"/>
    </row>
    <row r="7" spans="1:43" s="1032" customFormat="1" ht="19.5" x14ac:dyDescent="0.4"/>
    <row r="8" spans="1:43" s="1032" customFormat="1" ht="19.5" x14ac:dyDescent="0.4"/>
    <row r="9" spans="1:43" s="1032" customFormat="1" ht="16.5" customHeight="1" x14ac:dyDescent="0.4">
      <c r="C9" s="2805" t="s">
        <v>2801</v>
      </c>
      <c r="D9" s="2805"/>
      <c r="E9" s="2805"/>
      <c r="F9" s="2805"/>
      <c r="G9" s="2805"/>
      <c r="H9" s="2805"/>
      <c r="I9" s="2805"/>
      <c r="J9" s="2805"/>
      <c r="K9" s="2805"/>
      <c r="L9" s="2805"/>
      <c r="M9" s="2805"/>
      <c r="N9" s="2805"/>
      <c r="O9" s="2805"/>
      <c r="P9" s="2805"/>
      <c r="Q9" s="2805"/>
      <c r="R9" s="2805"/>
      <c r="S9" s="2805"/>
      <c r="T9" s="2805"/>
      <c r="U9" s="2805"/>
      <c r="V9" s="2805"/>
      <c r="W9" s="2805"/>
      <c r="X9" s="2805"/>
      <c r="Y9" s="2805"/>
      <c r="Z9" s="2805"/>
      <c r="AA9" s="2805"/>
      <c r="AB9" s="2805"/>
      <c r="AC9" s="2805"/>
      <c r="AD9" s="2805"/>
      <c r="AE9" s="2805"/>
      <c r="AF9" s="2805"/>
      <c r="AG9" s="2805"/>
      <c r="AH9" s="2805"/>
      <c r="AI9" s="2805"/>
      <c r="AJ9" s="2805"/>
      <c r="AK9" s="2805"/>
      <c r="AL9" s="2805"/>
      <c r="AM9" s="2805"/>
      <c r="AN9" s="2805"/>
      <c r="AO9" s="2805"/>
      <c r="AP9" s="2805"/>
      <c r="AQ9" s="1033"/>
    </row>
    <row r="10" spans="1:43" s="1032" customFormat="1" ht="16.5" customHeight="1" x14ac:dyDescent="0.4">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533"/>
    </row>
    <row r="11" spans="1:43" ht="12.75" customHeight="1" x14ac:dyDescent="0.4">
      <c r="C11" s="2806" t="s">
        <v>46</v>
      </c>
      <c r="D11" s="2806" t="s">
        <v>47</v>
      </c>
      <c r="E11" s="2806"/>
      <c r="F11" s="1035"/>
      <c r="G11" s="2802" t="s">
        <v>48</v>
      </c>
      <c r="H11" s="2802"/>
      <c r="I11" s="2802"/>
      <c r="J11" s="2802"/>
      <c r="K11" s="1035"/>
      <c r="L11" s="2806" t="s">
        <v>49</v>
      </c>
      <c r="M11" s="2806"/>
      <c r="N11" s="2806"/>
      <c r="O11" s="2806"/>
      <c r="P11" s="1035"/>
      <c r="Q11" s="2806" t="s">
        <v>50</v>
      </c>
      <c r="R11" s="2806"/>
      <c r="S11" s="2806"/>
      <c r="T11" s="2806"/>
      <c r="U11" s="2806"/>
      <c r="V11" s="2806"/>
      <c r="W11" s="2806"/>
      <c r="X11" s="2806"/>
      <c r="Y11" s="2806"/>
      <c r="Z11" s="2806"/>
      <c r="AA11" s="2806"/>
      <c r="AB11" s="1035"/>
      <c r="AC11" s="1035"/>
      <c r="AD11" s="2802" t="s">
        <v>52</v>
      </c>
      <c r="AE11" s="2802"/>
      <c r="AF11" s="2802"/>
      <c r="AG11" s="2802"/>
      <c r="AH11" s="2802"/>
      <c r="AI11" s="2802"/>
      <c r="AJ11" s="2802"/>
      <c r="AK11" s="2802"/>
      <c r="AL11" s="2802"/>
      <c r="AM11" s="2802"/>
      <c r="AN11" s="2802"/>
      <c r="AO11" s="2802"/>
      <c r="AP11" s="2802"/>
      <c r="AQ11" s="2802"/>
    </row>
    <row r="12" spans="1:43" ht="24.75" customHeight="1" x14ac:dyDescent="0.4">
      <c r="C12" s="2807"/>
      <c r="D12" s="2808"/>
      <c r="E12" s="2808"/>
      <c r="F12" s="1036"/>
      <c r="G12" s="2802" t="s">
        <v>53</v>
      </c>
      <c r="H12" s="2802"/>
      <c r="I12" s="2802" t="s">
        <v>54</v>
      </c>
      <c r="J12" s="2802"/>
      <c r="K12" s="1036"/>
      <c r="L12" s="2802" t="s">
        <v>55</v>
      </c>
      <c r="M12" s="2802"/>
      <c r="N12" s="2802" t="s">
        <v>56</v>
      </c>
      <c r="O12" s="2802"/>
      <c r="P12" s="1036"/>
      <c r="Q12" s="2802" t="s">
        <v>57</v>
      </c>
      <c r="R12" s="2802"/>
      <c r="S12" s="2802" t="s">
        <v>58</v>
      </c>
      <c r="T12" s="2802"/>
      <c r="U12" s="2802" t="s">
        <v>59</v>
      </c>
      <c r="V12" s="2802"/>
      <c r="W12" s="2802" t="s">
        <v>60</v>
      </c>
      <c r="X12" s="2802"/>
      <c r="Y12" s="2803" t="s">
        <v>61</v>
      </c>
      <c r="Z12" s="2803"/>
      <c r="AA12" s="2803" t="s">
        <v>62</v>
      </c>
      <c r="AB12" s="2803"/>
      <c r="AC12" s="1037"/>
      <c r="AD12" s="2802" t="s">
        <v>66</v>
      </c>
      <c r="AE12" s="2802"/>
      <c r="AF12" s="2803" t="s">
        <v>67</v>
      </c>
      <c r="AG12" s="2803"/>
      <c r="AH12" s="2802" t="s">
        <v>68</v>
      </c>
      <c r="AI12" s="2802"/>
      <c r="AJ12" s="2802" t="s">
        <v>69</v>
      </c>
      <c r="AK12" s="2802"/>
      <c r="AL12" s="2802" t="s">
        <v>70</v>
      </c>
      <c r="AM12" s="2802"/>
      <c r="AN12" s="2802" t="s">
        <v>71</v>
      </c>
      <c r="AO12" s="2802"/>
      <c r="AP12" s="2802" t="s">
        <v>72</v>
      </c>
      <c r="AQ12" s="2802"/>
    </row>
    <row r="13" spans="1:43" ht="37.5" x14ac:dyDescent="0.4">
      <c r="C13" s="2808"/>
      <c r="D13" s="1038" t="s">
        <v>257</v>
      </c>
      <c r="E13" s="1038" t="s">
        <v>98</v>
      </c>
      <c r="F13" s="1038"/>
      <c r="G13" s="1038" t="s">
        <v>257</v>
      </c>
      <c r="H13" s="1038" t="s">
        <v>98</v>
      </c>
      <c r="I13" s="1038" t="s">
        <v>257</v>
      </c>
      <c r="J13" s="1038" t="s">
        <v>98</v>
      </c>
      <c r="K13" s="1038"/>
      <c r="L13" s="1038" t="s">
        <v>257</v>
      </c>
      <c r="M13" s="1038" t="s">
        <v>98</v>
      </c>
      <c r="N13" s="1038" t="s">
        <v>257</v>
      </c>
      <c r="O13" s="1038" t="s">
        <v>98</v>
      </c>
      <c r="P13" s="1038"/>
      <c r="Q13" s="1038" t="s">
        <v>257</v>
      </c>
      <c r="R13" s="1038" t="s">
        <v>98</v>
      </c>
      <c r="S13" s="1038" t="s">
        <v>257</v>
      </c>
      <c r="T13" s="1038" t="s">
        <v>98</v>
      </c>
      <c r="U13" s="1038" t="s">
        <v>257</v>
      </c>
      <c r="V13" s="1038" t="s">
        <v>98</v>
      </c>
      <c r="W13" s="1038" t="s">
        <v>257</v>
      </c>
      <c r="X13" s="1038" t="s">
        <v>98</v>
      </c>
      <c r="Y13" s="1038" t="s">
        <v>257</v>
      </c>
      <c r="Z13" s="1038" t="s">
        <v>98</v>
      </c>
      <c r="AA13" s="1038" t="s">
        <v>257</v>
      </c>
      <c r="AB13" s="1038" t="s">
        <v>98</v>
      </c>
      <c r="AC13" s="1038"/>
      <c r="AD13" s="1038" t="s">
        <v>257</v>
      </c>
      <c r="AE13" s="1038" t="s">
        <v>98</v>
      </c>
      <c r="AF13" s="1038" t="s">
        <v>257</v>
      </c>
      <c r="AG13" s="1038" t="s">
        <v>98</v>
      </c>
      <c r="AH13" s="1038" t="s">
        <v>257</v>
      </c>
      <c r="AI13" s="1038" t="s">
        <v>98</v>
      </c>
      <c r="AJ13" s="1038" t="s">
        <v>257</v>
      </c>
      <c r="AK13" s="1038" t="s">
        <v>98</v>
      </c>
      <c r="AL13" s="1038" t="s">
        <v>257</v>
      </c>
      <c r="AM13" s="1038" t="s">
        <v>98</v>
      </c>
      <c r="AN13" s="1038" t="s">
        <v>257</v>
      </c>
      <c r="AO13" s="1038" t="s">
        <v>98</v>
      </c>
      <c r="AP13" s="1038" t="s">
        <v>257</v>
      </c>
      <c r="AQ13" s="1038" t="s">
        <v>98</v>
      </c>
    </row>
    <row r="14" spans="1:43" x14ac:dyDescent="0.4">
      <c r="C14" s="536">
        <v>2010</v>
      </c>
      <c r="D14" s="1039">
        <v>4133568</v>
      </c>
      <c r="E14" s="1040">
        <f>0.910817183588506*100</f>
        <v>91.081718358850608</v>
      </c>
      <c r="F14" s="1041"/>
      <c r="G14" s="1039">
        <v>1995105</v>
      </c>
      <c r="H14" s="1040">
        <f>0.904183771231338*100</f>
        <v>90.418377123133794</v>
      </c>
      <c r="I14" s="1039">
        <v>2138463</v>
      </c>
      <c r="J14" s="1040">
        <f>0.91709427257534*100</f>
        <v>91.709427257534003</v>
      </c>
      <c r="K14" s="1041"/>
      <c r="L14" s="1039">
        <v>3194953</v>
      </c>
      <c r="M14" s="1040">
        <f>0.966922882301813*100</f>
        <v>96.692288230181305</v>
      </c>
      <c r="N14" s="1039">
        <v>938615</v>
      </c>
      <c r="O14" s="1040">
        <f>0.760591673493731*100</f>
        <v>76.059167349373098</v>
      </c>
      <c r="P14" s="1041"/>
      <c r="Q14" s="1039">
        <v>2731610</v>
      </c>
      <c r="R14" s="1040">
        <f>0.960699258200521*100</f>
        <v>96.069925820052106</v>
      </c>
      <c r="S14" s="1039">
        <v>302905</v>
      </c>
      <c r="T14" s="1040">
        <f>0.895487750438276*100</f>
        <v>89.548775043827604</v>
      </c>
      <c r="U14" s="1039">
        <v>240586</v>
      </c>
      <c r="V14" s="1040">
        <f>0.93606673462559*100</f>
        <v>93.606673462559002</v>
      </c>
      <c r="W14" s="1039">
        <v>287958</v>
      </c>
      <c r="X14" s="1040">
        <f>0.831505967214251*100</f>
        <v>83.150596721425103</v>
      </c>
      <c r="Y14" s="1039">
        <v>304205</v>
      </c>
      <c r="Z14" s="1040">
        <f>0.750567480878362*100</f>
        <v>75.056748087836198</v>
      </c>
      <c r="AA14" s="1039">
        <v>266304</v>
      </c>
      <c r="AB14" s="1040">
        <f>0.765094076715115*100</f>
        <v>76.509407671511497</v>
      </c>
      <c r="AC14" s="1041"/>
      <c r="AD14" s="1039">
        <v>345594</v>
      </c>
      <c r="AE14" s="1040">
        <f>0.892120242136376*100</f>
        <v>89.212024213637591</v>
      </c>
      <c r="AF14" s="1039">
        <v>459249</v>
      </c>
      <c r="AG14" s="1040">
        <f>0.885084297597114*100</f>
        <v>88.508429759711404</v>
      </c>
      <c r="AH14" s="1039">
        <v>390066</v>
      </c>
      <c r="AI14" s="1040">
        <f>0.892875373399105*100</f>
        <v>89.2875373399105</v>
      </c>
      <c r="AJ14" s="1039">
        <v>577996</v>
      </c>
      <c r="AK14" s="1040">
        <f>0.919782624263015*100</f>
        <v>91.978262426301498</v>
      </c>
      <c r="AL14" s="1039">
        <v>699825</v>
      </c>
      <c r="AM14" s="1040">
        <f>0.916879785344073*100</f>
        <v>91.687978534407293</v>
      </c>
      <c r="AN14" s="1039">
        <v>1324873</v>
      </c>
      <c r="AO14" s="1040">
        <f>0.916699013675693*100</f>
        <v>91.669901367569295</v>
      </c>
      <c r="AP14" s="1039">
        <v>335965</v>
      </c>
      <c r="AQ14" s="1040">
        <f>0.937813160340886*100</f>
        <v>93.781316034088604</v>
      </c>
    </row>
    <row r="15" spans="1:43" x14ac:dyDescent="0.4">
      <c r="C15" s="536">
        <v>2011</v>
      </c>
      <c r="D15" s="1039">
        <v>4264255</v>
      </c>
      <c r="E15" s="1040">
        <f>0.928556994616695*100</f>
        <v>92.855699461669502</v>
      </c>
      <c r="F15" s="1041"/>
      <c r="G15" s="1039">
        <v>2068245</v>
      </c>
      <c r="H15" s="1040">
        <f>0.923894908235673*100</f>
        <v>92.3894908235673</v>
      </c>
      <c r="I15" s="1039">
        <v>2196010</v>
      </c>
      <c r="J15" s="1040">
        <f>0.932991068223174*100</f>
        <v>93.299106822317398</v>
      </c>
      <c r="K15" s="1041"/>
      <c r="L15" s="1039">
        <v>3276939</v>
      </c>
      <c r="M15" s="1040">
        <f>0.980168345626295*100</f>
        <v>98.016834562629498</v>
      </c>
      <c r="N15" s="1039">
        <v>987316</v>
      </c>
      <c r="O15" s="1040">
        <f>0.790418739817709*100</f>
        <v>79.041873981770905</v>
      </c>
      <c r="P15" s="1041"/>
      <c r="Q15" s="1039">
        <v>2794224</v>
      </c>
      <c r="R15" s="1040">
        <f>0.972145091982812*100</f>
        <v>97.214509198281192</v>
      </c>
      <c r="S15" s="1039">
        <v>307334</v>
      </c>
      <c r="T15" s="1040">
        <f>0.897561402996408*100</f>
        <v>89.756140299640791</v>
      </c>
      <c r="U15" s="1039">
        <v>246620</v>
      </c>
      <c r="V15" s="1040">
        <f>0.944*100</f>
        <v>94.399999999999991</v>
      </c>
      <c r="W15" s="1039">
        <v>283724</v>
      </c>
      <c r="X15" s="1040">
        <f>0.817483504768491*100</f>
        <v>81.748350476849097</v>
      </c>
      <c r="Y15" s="1039">
        <v>335045</v>
      </c>
      <c r="Z15" s="1040">
        <f>0.813510225785539*100</f>
        <v>81.351022578553895</v>
      </c>
      <c r="AA15" s="1039">
        <v>297308</v>
      </c>
      <c r="AB15" s="1040">
        <f>0.836361181282667*100</f>
        <v>83.636118128266702</v>
      </c>
      <c r="AC15" s="1041"/>
      <c r="AD15" s="1039">
        <v>346742</v>
      </c>
      <c r="AE15" s="1040">
        <f>0.908895983727307*100</f>
        <v>90.889598372730688</v>
      </c>
      <c r="AF15" s="1039">
        <v>466911</v>
      </c>
      <c r="AG15" s="1040">
        <f>0.910630073293365*100</f>
        <v>91.0630073293365</v>
      </c>
      <c r="AH15" s="1039">
        <v>383540</v>
      </c>
      <c r="AI15" s="1040">
        <f>0.908912097104818*100</f>
        <v>90.891209710481803</v>
      </c>
      <c r="AJ15" s="1039">
        <v>580117</v>
      </c>
      <c r="AK15" s="1040">
        <f>0.942900981231928*100</f>
        <v>94.290098123192806</v>
      </c>
      <c r="AL15" s="1039">
        <v>743483</v>
      </c>
      <c r="AM15" s="1040">
        <f>0.934909449403078*100</f>
        <v>93.490944940307799</v>
      </c>
      <c r="AN15" s="1039">
        <v>1396693</v>
      </c>
      <c r="AO15" s="1040">
        <f>0.932820803604405*100</f>
        <v>93.282080360440503</v>
      </c>
      <c r="AP15" s="1039">
        <v>346769</v>
      </c>
      <c r="AQ15" s="1040">
        <f>0.941373366090698*100</f>
        <v>94.137336609069806</v>
      </c>
    </row>
    <row r="16" spans="1:43" x14ac:dyDescent="0.4">
      <c r="C16" s="536">
        <v>2012</v>
      </c>
      <c r="D16" s="1039">
        <v>4343888</v>
      </c>
      <c r="E16" s="1040">
        <f>0.93393527558466*100</f>
        <v>93.393527558466005</v>
      </c>
      <c r="F16" s="1041"/>
      <c r="G16" s="1039">
        <v>2108655</v>
      </c>
      <c r="H16" s="1040">
        <f>0.930472328370591*100</f>
        <v>93.047232837059099</v>
      </c>
      <c r="I16" s="1039">
        <v>2235233</v>
      </c>
      <c r="J16" s="1040">
        <f>0.937225832366854*100</f>
        <v>93.722583236685395</v>
      </c>
      <c r="K16" s="1041"/>
      <c r="L16" s="1039">
        <v>3321522</v>
      </c>
      <c r="M16" s="1040">
        <f>0.981269008914525*100</f>
        <v>98.126900891452493</v>
      </c>
      <c r="N16" s="1039">
        <v>1022366</v>
      </c>
      <c r="O16" s="1040">
        <f>0.807402382326903*100</f>
        <v>80.740238232690302</v>
      </c>
      <c r="P16" s="1041"/>
      <c r="Q16" s="1039">
        <v>2831985</v>
      </c>
      <c r="R16" s="1040">
        <f>0.974016125004901*100</f>
        <v>97.401612500490103</v>
      </c>
      <c r="S16" s="1039">
        <v>314968</v>
      </c>
      <c r="T16" s="1040">
        <f>0.902976110271752*100</f>
        <v>90.297611027175193</v>
      </c>
      <c r="U16" s="1039">
        <v>252415</v>
      </c>
      <c r="V16" s="1040">
        <f>0.949046310256536*100</f>
        <v>94.9046310256536</v>
      </c>
      <c r="W16" s="1039">
        <v>297419</v>
      </c>
      <c r="X16" s="1040">
        <f>0.849292967366846*100</f>
        <v>84.929296736684606</v>
      </c>
      <c r="Y16" s="1039">
        <v>337124</v>
      </c>
      <c r="Z16" s="1040">
        <f>0.809537988665834*100</f>
        <v>80.953798866583398</v>
      </c>
      <c r="AA16" s="1039">
        <v>309977</v>
      </c>
      <c r="AB16" s="1040">
        <f>0.855774699214285*100</f>
        <v>85.577469921428502</v>
      </c>
      <c r="AC16" s="1041"/>
      <c r="AD16" s="1039">
        <v>332662</v>
      </c>
      <c r="AE16" s="1040">
        <f>0.917452901738313*100</f>
        <v>91.745290173831293</v>
      </c>
      <c r="AF16" s="1039">
        <v>461509</v>
      </c>
      <c r="AG16" s="1040">
        <f>0.921722058785348*100</f>
        <v>92.172205878534797</v>
      </c>
      <c r="AH16" s="1039">
        <v>376161</v>
      </c>
      <c r="AI16" s="1040">
        <f>0.922519460262806*100</f>
        <v>92.251946026280592</v>
      </c>
      <c r="AJ16" s="1039">
        <v>584251</v>
      </c>
      <c r="AK16" s="1040">
        <f>0.939402417278865*100</f>
        <v>93.940241727886502</v>
      </c>
      <c r="AL16" s="1039">
        <v>754817</v>
      </c>
      <c r="AM16" s="1040">
        <f>0.940893804052184*100</f>
        <v>94.089380405218407</v>
      </c>
      <c r="AN16" s="1039">
        <v>1450398</v>
      </c>
      <c r="AO16" s="1040">
        <f>0.936178535121266*100</f>
        <v>93.617853512126601</v>
      </c>
      <c r="AP16" s="1039">
        <v>384090</v>
      </c>
      <c r="AQ16" s="1040">
        <f>0.944480509899968*100</f>
        <v>94.448050989996801</v>
      </c>
    </row>
    <row r="17" spans="3:43" x14ac:dyDescent="0.4">
      <c r="C17" s="536">
        <v>2013</v>
      </c>
      <c r="D17" s="1039">
        <v>4382894</v>
      </c>
      <c r="E17" s="1040">
        <f>0.930158536124683*100</f>
        <v>93.015853612468305</v>
      </c>
      <c r="F17" s="1041"/>
      <c r="G17" s="1039">
        <v>2105426</v>
      </c>
      <c r="H17" s="1040">
        <f>0.924767690894045*100</f>
        <v>92.476769089404499</v>
      </c>
      <c r="I17" s="1039">
        <v>2277468</v>
      </c>
      <c r="J17" s="1040">
        <f>0.935198363390135*100</f>
        <v>93.519836339013494</v>
      </c>
      <c r="K17" s="1041"/>
      <c r="L17" s="1039">
        <v>3357771</v>
      </c>
      <c r="M17" s="1040">
        <f>0.97964229822602*100</f>
        <v>97.964229822601993</v>
      </c>
      <c r="N17" s="1039">
        <v>1025123</v>
      </c>
      <c r="O17" s="1040">
        <f>0.798110146227377*100</f>
        <v>79.811014622737702</v>
      </c>
      <c r="P17" s="1041"/>
      <c r="Q17" s="1039">
        <v>2872238</v>
      </c>
      <c r="R17" s="1040">
        <f>0.976380484886393*100</f>
        <v>97.638048488639299</v>
      </c>
      <c r="S17" s="1039">
        <v>313743</v>
      </c>
      <c r="T17" s="1040">
        <f>0.885834241539565*100</f>
        <v>88.5834241539565</v>
      </c>
      <c r="U17" s="1039">
        <v>250939</v>
      </c>
      <c r="V17" s="1040">
        <f>0.92571455975446*100</f>
        <v>92.571455975446</v>
      </c>
      <c r="W17" s="1039">
        <v>300936</v>
      </c>
      <c r="X17" s="1040">
        <f>0.852906166037479*100</f>
        <v>85.290616603747907</v>
      </c>
      <c r="Y17" s="1039">
        <v>342389</v>
      </c>
      <c r="Z17" s="1040">
        <f>0.809979820824058*100</f>
        <v>80.997982082405798</v>
      </c>
      <c r="AA17" s="1039">
        <v>302649</v>
      </c>
      <c r="AB17" s="1040">
        <f>0.819159158021236*100</f>
        <v>81.915915802123592</v>
      </c>
      <c r="AC17" s="1041"/>
      <c r="AD17" s="1039">
        <v>330916</v>
      </c>
      <c r="AE17" s="1040">
        <f>0.918392211389289*100</f>
        <v>91.839221138928892</v>
      </c>
      <c r="AF17" s="1039">
        <v>445007</v>
      </c>
      <c r="AG17" s="1040">
        <f>0.914737525848637*100</f>
        <v>91.473752584863703</v>
      </c>
      <c r="AH17" s="1039">
        <v>374631</v>
      </c>
      <c r="AI17" s="1040">
        <f>0.908266823123248*100</f>
        <v>90.826682312324806</v>
      </c>
      <c r="AJ17" s="1039">
        <v>571885</v>
      </c>
      <c r="AK17" s="1040">
        <f>0.930597931769549*100</f>
        <v>93.059793176954898</v>
      </c>
      <c r="AL17" s="1039">
        <v>753156</v>
      </c>
      <c r="AM17" s="1040">
        <f>0.942165756803955*100</f>
        <v>94.216575680395493</v>
      </c>
      <c r="AN17" s="1039">
        <v>1484980</v>
      </c>
      <c r="AO17" s="1040">
        <f>0.931897167370985*100</f>
        <v>93.189716737098507</v>
      </c>
      <c r="AP17" s="1039">
        <v>422319</v>
      </c>
      <c r="AQ17" s="1040">
        <f>0.948421913107531*100</f>
        <v>94.842191310753094</v>
      </c>
    </row>
    <row r="18" spans="3:43" x14ac:dyDescent="0.4">
      <c r="C18" s="536">
        <v>2014</v>
      </c>
      <c r="D18" s="1039">
        <v>4463094</v>
      </c>
      <c r="E18" s="1040">
        <f>0.9352477673342*100</f>
        <v>93.524776733419998</v>
      </c>
      <c r="F18" s="1041"/>
      <c r="G18" s="1039">
        <v>2163696</v>
      </c>
      <c r="H18" s="1040">
        <f>0.930446651340522*100</f>
        <v>93.044665134052195</v>
      </c>
      <c r="I18" s="1039">
        <v>2299398</v>
      </c>
      <c r="J18" s="1040">
        <f>0.939811007659421*100</f>
        <v>93.981100765942102</v>
      </c>
      <c r="K18" s="1041"/>
      <c r="L18" s="1039">
        <v>3397413</v>
      </c>
      <c r="M18" s="1040">
        <f>0.979137426285419*100</f>
        <v>97.913742628541897</v>
      </c>
      <c r="N18" s="1039">
        <v>1065681</v>
      </c>
      <c r="O18" s="1040">
        <f>0.818309355169639*100</f>
        <v>81.830935516963905</v>
      </c>
      <c r="P18" s="1041"/>
      <c r="Q18" s="1039">
        <v>2903227</v>
      </c>
      <c r="R18" s="1040">
        <f>0.975716867289692*100</f>
        <v>97.571686728969198</v>
      </c>
      <c r="S18" s="1039">
        <v>323083</v>
      </c>
      <c r="T18" s="1040">
        <f>0.899023571740625*100</f>
        <v>89.902357174062502</v>
      </c>
      <c r="U18" s="1039">
        <v>262539</v>
      </c>
      <c r="V18" s="1040">
        <f>0.9530134345858*100</f>
        <v>95.301343458580007</v>
      </c>
      <c r="W18" s="1039">
        <v>297547</v>
      </c>
      <c r="X18" s="1040">
        <f>0.834589460870248*100</f>
        <v>83.458946087024799</v>
      </c>
      <c r="Y18" s="1039">
        <v>344030</v>
      </c>
      <c r="Z18" s="1040">
        <f>0.803558707224157*100</f>
        <v>80.355870722415702</v>
      </c>
      <c r="AA18" s="1039">
        <v>332668</v>
      </c>
      <c r="AB18" s="1040">
        <f>0.882148757262451*100</f>
        <v>88.214875726245097</v>
      </c>
      <c r="AC18" s="1041"/>
      <c r="AD18" s="1039">
        <v>331845</v>
      </c>
      <c r="AE18" s="1040">
        <f>0.922083659825611*100</f>
        <v>92.208365982561105</v>
      </c>
      <c r="AF18" s="1039">
        <v>439846</v>
      </c>
      <c r="AG18" s="1040">
        <f>0.922068420467862*100</f>
        <v>92.206842046786193</v>
      </c>
      <c r="AH18" s="1039">
        <v>388591</v>
      </c>
      <c r="AI18" s="1040">
        <f>0.927858855216283*100</f>
        <v>92.785885521628302</v>
      </c>
      <c r="AJ18" s="1039">
        <v>574237</v>
      </c>
      <c r="AK18" s="1040">
        <f>0.9370142468552*100</f>
        <v>93.701424685519996</v>
      </c>
      <c r="AL18" s="1039">
        <v>777446</v>
      </c>
      <c r="AM18" s="1040">
        <f>0.937647817932931*100</f>
        <v>93.764781793293096</v>
      </c>
      <c r="AN18" s="1039">
        <v>1530224</v>
      </c>
      <c r="AO18" s="1040">
        <f>0.939462644636116*100</f>
        <v>93.946264463611598</v>
      </c>
      <c r="AP18" s="1039">
        <v>420905</v>
      </c>
      <c r="AQ18" s="1040">
        <f>0.944631218916638*100</f>
        <v>94.463121891663803</v>
      </c>
    </row>
    <row r="19" spans="3:43" x14ac:dyDescent="0.4">
      <c r="C19" s="536">
        <v>2015</v>
      </c>
      <c r="D19" s="1039">
        <v>4524227</v>
      </c>
      <c r="E19" s="1040">
        <f>0.935965891506225*100</f>
        <v>93.596589150622506</v>
      </c>
      <c r="F19" s="1041"/>
      <c r="G19" s="1039">
        <v>2189017</v>
      </c>
      <c r="H19" s="1040">
        <f>0.931408211050611*100</f>
        <v>93.140821105061093</v>
      </c>
      <c r="I19" s="1039">
        <v>2335210</v>
      </c>
      <c r="J19" s="1040">
        <f>0.940278933726967*100</f>
        <v>94.027893372696695</v>
      </c>
      <c r="K19" s="1041"/>
      <c r="L19" s="1039">
        <v>3435562</v>
      </c>
      <c r="M19" s="1040">
        <f>0.97804498726472*100</f>
        <v>97.804498726472005</v>
      </c>
      <c r="N19" s="1039">
        <v>1088665</v>
      </c>
      <c r="O19" s="1040">
        <f>0.824078833126809*100</f>
        <v>82.407883312680895</v>
      </c>
      <c r="P19" s="1041"/>
      <c r="Q19" s="1039">
        <v>2934362</v>
      </c>
      <c r="R19" s="1040">
        <f>0.974960494716459*100</f>
        <v>97.49604947164589</v>
      </c>
      <c r="S19" s="1039">
        <v>334948</v>
      </c>
      <c r="T19" s="1040">
        <f>0.915396072751124*100</f>
        <v>91.539607275112402</v>
      </c>
      <c r="U19" s="1039">
        <v>264858</v>
      </c>
      <c r="V19" s="1040">
        <f>0.94550270594451*100</f>
        <v>94.550270594451007</v>
      </c>
      <c r="W19" s="1039">
        <v>311794</v>
      </c>
      <c r="X19" s="1040">
        <f>0.868804632227755*100</f>
        <v>86.880463222775489</v>
      </c>
      <c r="Y19" s="1039">
        <v>354068</v>
      </c>
      <c r="Z19" s="1040">
        <f>0.816044878458017*100</f>
        <v>81.6044878458017</v>
      </c>
      <c r="AA19" s="1039">
        <v>324197</v>
      </c>
      <c r="AB19" s="1040">
        <f>0.841547714535652*100</f>
        <v>84.154771453565203</v>
      </c>
      <c r="AC19" s="1041"/>
      <c r="AD19" s="1039">
        <v>358960</v>
      </c>
      <c r="AE19" s="1040">
        <f>0.914706242100542*100</f>
        <v>91.470624210054197</v>
      </c>
      <c r="AF19" s="1039">
        <v>478615</v>
      </c>
      <c r="AG19" s="1040">
        <f>0.926571598934457*100</f>
        <v>92.657159893445694</v>
      </c>
      <c r="AH19" s="1039">
        <v>374322</v>
      </c>
      <c r="AI19" s="1040">
        <f>0.930700109897214*100</f>
        <v>93.070010989721396</v>
      </c>
      <c r="AJ19" s="1039">
        <v>568853</v>
      </c>
      <c r="AK19" s="1040">
        <f>0.935564246618599*100</f>
        <v>93.556424661859907</v>
      </c>
      <c r="AL19" s="1039">
        <v>806612</v>
      </c>
      <c r="AM19" s="1040">
        <f>0.942653929847771*100</f>
        <v>94.265392984777094</v>
      </c>
      <c r="AN19" s="1039">
        <v>1517372</v>
      </c>
      <c r="AO19" s="1040">
        <f>0.939373566057616*100</f>
        <v>93.937356605761607</v>
      </c>
      <c r="AP19" s="1039">
        <v>419493</v>
      </c>
      <c r="AQ19" s="1040">
        <f>0.945728482345356*100</f>
        <v>94.572848234535599</v>
      </c>
    </row>
    <row r="20" spans="3:43" x14ac:dyDescent="0.4">
      <c r="C20" s="536">
        <v>2016</v>
      </c>
      <c r="D20" s="1039">
        <v>4584701</v>
      </c>
      <c r="E20" s="1040">
        <v>93.761230096679498</v>
      </c>
      <c r="F20" s="1041"/>
      <c r="G20" s="1039">
        <v>2210919</v>
      </c>
      <c r="H20" s="1040">
        <v>93.148941387325507</v>
      </c>
      <c r="I20" s="1039">
        <v>2373782</v>
      </c>
      <c r="J20" s="1040">
        <v>94.338794808584709</v>
      </c>
      <c r="K20" s="1041"/>
      <c r="L20" s="1039">
        <v>3468864</v>
      </c>
      <c r="M20" s="1040">
        <v>97.666938459251398</v>
      </c>
      <c r="N20" s="1039">
        <v>1115837</v>
      </c>
      <c r="O20" s="1040">
        <v>83.393770262938006</v>
      </c>
      <c r="P20" s="1041"/>
      <c r="Q20" s="1039">
        <v>2955255</v>
      </c>
      <c r="R20" s="1040">
        <v>97.182797070890302</v>
      </c>
      <c r="S20" s="1039">
        <v>341539</v>
      </c>
      <c r="T20" s="1040">
        <v>91.899011424850499</v>
      </c>
      <c r="U20" s="1039">
        <v>268295</v>
      </c>
      <c r="V20" s="1040">
        <v>94.266269403472805</v>
      </c>
      <c r="W20" s="1039">
        <v>318543</v>
      </c>
      <c r="X20" s="1040">
        <v>88.280141450869095</v>
      </c>
      <c r="Y20" s="1039">
        <v>357016</v>
      </c>
      <c r="Z20" s="1040">
        <v>81.308900762037496</v>
      </c>
      <c r="AA20" s="1039">
        <v>344053</v>
      </c>
      <c r="AB20" s="1040">
        <v>87.621097132379205</v>
      </c>
      <c r="AC20" s="1041"/>
      <c r="AD20" s="1039">
        <v>365924</v>
      </c>
      <c r="AE20" s="1040">
        <v>92.077431562949002</v>
      </c>
      <c r="AF20" s="1039">
        <v>474544</v>
      </c>
      <c r="AG20" s="1040">
        <v>92.397617550220104</v>
      </c>
      <c r="AH20" s="1039">
        <v>370957</v>
      </c>
      <c r="AI20" s="1040">
        <v>93.446405674945098</v>
      </c>
      <c r="AJ20" s="1039">
        <v>563422</v>
      </c>
      <c r="AK20" s="1040">
        <v>93.384139570191209</v>
      </c>
      <c r="AL20" s="1039">
        <v>800220</v>
      </c>
      <c r="AM20" s="1040">
        <v>94.854491725628193</v>
      </c>
      <c r="AN20" s="1039">
        <v>1561311</v>
      </c>
      <c r="AO20" s="1040">
        <v>94.123090408289897</v>
      </c>
      <c r="AP20" s="1039">
        <v>448323</v>
      </c>
      <c r="AQ20" s="1040">
        <v>94.180162049631605</v>
      </c>
    </row>
    <row r="21" spans="3:43" x14ac:dyDescent="0.4">
      <c r="C21" s="536">
        <v>2017</v>
      </c>
      <c r="D21" s="1039">
        <v>4578674</v>
      </c>
      <c r="E21" s="1040">
        <v>92.560171427416265</v>
      </c>
      <c r="F21" s="1041"/>
      <c r="G21" s="1039">
        <v>2214442</v>
      </c>
      <c r="H21" s="1040">
        <v>92.052247305909958</v>
      </c>
      <c r="I21" s="1039">
        <v>2364232</v>
      </c>
      <c r="J21" s="1040">
        <v>93.04102533426942</v>
      </c>
      <c r="K21" s="1041"/>
      <c r="L21" s="1039">
        <v>3467768</v>
      </c>
      <c r="M21" s="1040">
        <v>96.539544051201673</v>
      </c>
      <c r="N21" s="1039">
        <v>1110906</v>
      </c>
      <c r="O21" s="1040">
        <v>82.008076005994255</v>
      </c>
      <c r="P21" s="1041"/>
      <c r="Q21" s="1039">
        <v>2946727</v>
      </c>
      <c r="R21" s="1040">
        <v>95.895288394293388</v>
      </c>
      <c r="S21" s="1039">
        <v>348414</v>
      </c>
      <c r="T21" s="1040">
        <v>92.358465808329427</v>
      </c>
      <c r="U21" s="1039">
        <v>258996</v>
      </c>
      <c r="V21" s="1040">
        <v>89.586994119681776</v>
      </c>
      <c r="W21" s="1039">
        <v>318357</v>
      </c>
      <c r="X21" s="1040">
        <v>87.512163744619087</v>
      </c>
      <c r="Y21" s="1039">
        <v>356746</v>
      </c>
      <c r="Z21" s="1040">
        <v>80.32341372144181</v>
      </c>
      <c r="AA21" s="1039">
        <v>349434</v>
      </c>
      <c r="AB21" s="1040">
        <v>87.450979410726845</v>
      </c>
      <c r="AC21" s="1041"/>
      <c r="AD21" s="1039">
        <v>341001</v>
      </c>
      <c r="AE21" s="1040">
        <v>90.87665063227044</v>
      </c>
      <c r="AF21" s="1039">
        <v>467614</v>
      </c>
      <c r="AG21" s="1040">
        <v>91.12227479285697</v>
      </c>
      <c r="AH21" s="1039">
        <v>379932</v>
      </c>
      <c r="AI21" s="1040">
        <v>92.366712858288963</v>
      </c>
      <c r="AJ21" s="1039">
        <v>547223</v>
      </c>
      <c r="AK21" s="1040">
        <v>92.575493562957817</v>
      </c>
      <c r="AL21" s="1039">
        <v>772698</v>
      </c>
      <c r="AM21" s="1040">
        <v>93.255465361304019</v>
      </c>
      <c r="AN21" s="1039">
        <v>1586651</v>
      </c>
      <c r="AO21" s="1040">
        <v>92.971790595771466</v>
      </c>
      <c r="AP21" s="1039">
        <v>483555</v>
      </c>
      <c r="AQ21" s="1040">
        <v>92.870435990066781</v>
      </c>
    </row>
    <row r="22" spans="3:43" x14ac:dyDescent="0.4">
      <c r="C22" s="536">
        <v>2018</v>
      </c>
      <c r="D22" s="1039">
        <v>4709563</v>
      </c>
      <c r="E22" s="1040">
        <v>94.122117892196385</v>
      </c>
      <c r="F22" s="1041"/>
      <c r="G22" s="1039">
        <v>2279965</v>
      </c>
      <c r="H22" s="1040">
        <v>93.749216174619647</v>
      </c>
      <c r="I22" s="1039">
        <v>2429598</v>
      </c>
      <c r="J22" s="1040">
        <v>94.474761732557184</v>
      </c>
      <c r="K22" s="1041"/>
      <c r="L22" s="1039">
        <v>3547689</v>
      </c>
      <c r="M22" s="1040">
        <v>97.707231574871287</v>
      </c>
      <c r="N22" s="1039">
        <v>1161874</v>
      </c>
      <c r="O22" s="1040">
        <v>84.639351367889645</v>
      </c>
      <c r="P22" s="1041"/>
      <c r="Q22" s="1039">
        <v>3019505</v>
      </c>
      <c r="R22" s="1040">
        <v>97.31589696617911</v>
      </c>
      <c r="S22" s="1039">
        <v>353750</v>
      </c>
      <c r="T22" s="1040">
        <v>92.383909660941256</v>
      </c>
      <c r="U22" s="1039">
        <v>276604</v>
      </c>
      <c r="V22" s="1040">
        <v>94.144475303599634</v>
      </c>
      <c r="W22" s="1039">
        <v>317204</v>
      </c>
      <c r="X22" s="1040">
        <v>86.569836305381344</v>
      </c>
      <c r="Y22" s="1039">
        <v>375699</v>
      </c>
      <c r="Z22" s="1040">
        <v>83.440827259038159</v>
      </c>
      <c r="AA22" s="1039">
        <v>366801</v>
      </c>
      <c r="AB22" s="1040">
        <v>90.014061591242054</v>
      </c>
      <c r="AC22" s="1041"/>
      <c r="AD22" s="1039">
        <v>343825</v>
      </c>
      <c r="AE22" s="1040">
        <v>91.73999818561191</v>
      </c>
      <c r="AF22" s="1039">
        <v>470426</v>
      </c>
      <c r="AG22" s="1040">
        <v>92.863487952496953</v>
      </c>
      <c r="AH22" s="1039">
        <v>375012</v>
      </c>
      <c r="AI22" s="1040">
        <v>92.335420457427347</v>
      </c>
      <c r="AJ22" s="1039">
        <v>555898</v>
      </c>
      <c r="AK22" s="1040">
        <v>94.7465660850728</v>
      </c>
      <c r="AL22" s="1039">
        <v>789947</v>
      </c>
      <c r="AM22" s="1040">
        <v>94.547702516214827</v>
      </c>
      <c r="AN22" s="1039">
        <v>1657574</v>
      </c>
      <c r="AO22" s="1040">
        <v>94.839692315438469</v>
      </c>
      <c r="AP22" s="1039">
        <v>516881</v>
      </c>
      <c r="AQ22" s="1040">
        <v>94.634611652440753</v>
      </c>
    </row>
    <row r="23" spans="3:43" x14ac:dyDescent="0.4">
      <c r="C23" s="536">
        <v>2019</v>
      </c>
      <c r="D23" s="1039">
        <v>4761971</v>
      </c>
      <c r="E23" s="1040">
        <v>94.11512076731367</v>
      </c>
      <c r="F23" s="1041"/>
      <c r="G23" s="1039">
        <v>2301669</v>
      </c>
      <c r="H23" s="1040">
        <v>93.859820466259222</v>
      </c>
      <c r="I23" s="1039">
        <v>2460302</v>
      </c>
      <c r="J23" s="1040">
        <v>94.355220673989422</v>
      </c>
      <c r="K23" s="1041"/>
      <c r="L23" s="1039">
        <v>3595277</v>
      </c>
      <c r="M23" s="1040">
        <v>97.959306561487281</v>
      </c>
      <c r="N23" s="1039">
        <v>1166694</v>
      </c>
      <c r="O23" s="1040">
        <v>83.961639545293608</v>
      </c>
      <c r="P23" s="1041"/>
      <c r="Q23" s="1039">
        <v>3043302</v>
      </c>
      <c r="R23" s="1040">
        <v>97.092955923917046</v>
      </c>
      <c r="S23" s="1039">
        <v>369089</v>
      </c>
      <c r="T23" s="1040">
        <v>94.964004713607196</v>
      </c>
      <c r="U23" s="1039">
        <v>282388</v>
      </c>
      <c r="V23" s="1040">
        <v>94.727061088803694</v>
      </c>
      <c r="W23" s="1039">
        <v>325185</v>
      </c>
      <c r="X23" s="1040">
        <v>88.294469665703673</v>
      </c>
      <c r="Y23" s="1039">
        <v>377178</v>
      </c>
      <c r="Z23" s="1040">
        <v>82.870036735626528</v>
      </c>
      <c r="AA23" s="1039">
        <v>364829</v>
      </c>
      <c r="AB23" s="1040">
        <v>87.889424235124068</v>
      </c>
      <c r="AC23" s="1041"/>
      <c r="AD23" s="1039">
        <v>337859</v>
      </c>
      <c r="AE23" s="1040">
        <v>92.338197232524266</v>
      </c>
      <c r="AF23" s="1039">
        <v>482411</v>
      </c>
      <c r="AG23" s="1040">
        <v>93.241318259921641</v>
      </c>
      <c r="AH23" s="1039">
        <v>360391</v>
      </c>
      <c r="AI23" s="1040">
        <v>93.467244151667614</v>
      </c>
      <c r="AJ23" s="1039">
        <v>546496</v>
      </c>
      <c r="AK23" s="1040">
        <v>93.473085027777017</v>
      </c>
      <c r="AL23" s="1039">
        <v>803727</v>
      </c>
      <c r="AM23" s="1040">
        <v>95.145009286892162</v>
      </c>
      <c r="AN23" s="1039">
        <v>1689635</v>
      </c>
      <c r="AO23" s="1040">
        <v>94.36913451511991</v>
      </c>
      <c r="AP23" s="1039">
        <v>541452</v>
      </c>
      <c r="AQ23" s="1040">
        <v>94.820237115387982</v>
      </c>
    </row>
    <row r="24" spans="3:43" x14ac:dyDescent="0.4">
      <c r="C24" s="536">
        <v>2020</v>
      </c>
      <c r="D24" s="1039">
        <v>4839248</v>
      </c>
      <c r="E24" s="1040">
        <v>94.67549528945564</v>
      </c>
      <c r="F24" s="1041"/>
      <c r="G24" s="1039">
        <v>2340216</v>
      </c>
      <c r="H24" s="1040">
        <v>94.373328203769503</v>
      </c>
      <c r="I24" s="1039">
        <v>2499032</v>
      </c>
      <c r="J24" s="1040">
        <v>94.960219055486604</v>
      </c>
      <c r="K24" s="1041"/>
      <c r="L24" s="1039">
        <v>3636209</v>
      </c>
      <c r="M24" s="1040">
        <v>98.09272412872177</v>
      </c>
      <c r="N24" s="1039">
        <v>1203039</v>
      </c>
      <c r="O24" s="1040">
        <v>85.656339111210784</v>
      </c>
      <c r="P24" s="1041"/>
      <c r="Q24" s="1039">
        <v>3073824</v>
      </c>
      <c r="R24" s="1040">
        <v>97.191405941220182</v>
      </c>
      <c r="S24" s="1039">
        <v>371441</v>
      </c>
      <c r="T24" s="1040">
        <v>94.325119099617055</v>
      </c>
      <c r="U24" s="1039">
        <v>285811</v>
      </c>
      <c r="V24" s="1040">
        <v>94.402148243322245</v>
      </c>
      <c r="W24" s="1039">
        <v>337153</v>
      </c>
      <c r="X24" s="1040">
        <v>91.124648977948112</v>
      </c>
      <c r="Y24" s="1039">
        <v>396944</v>
      </c>
      <c r="Z24" s="1040">
        <v>86.260670016168007</v>
      </c>
      <c r="AA24" s="1039">
        <v>374075</v>
      </c>
      <c r="AB24" s="1040">
        <v>88.633073410907258</v>
      </c>
      <c r="AC24" s="1041"/>
      <c r="AD24" s="1039">
        <v>297768</v>
      </c>
      <c r="AE24" s="1040">
        <v>92.968247525679843</v>
      </c>
      <c r="AF24" s="1039">
        <v>494082</v>
      </c>
      <c r="AG24" s="1040">
        <v>93.662703407694991</v>
      </c>
      <c r="AH24" s="1039">
        <v>375707</v>
      </c>
      <c r="AI24" s="1040">
        <v>94.854186811549937</v>
      </c>
      <c r="AJ24" s="1039">
        <v>552211</v>
      </c>
      <c r="AK24" s="1040">
        <v>94.478862443774901</v>
      </c>
      <c r="AL24" s="1039">
        <v>776498</v>
      </c>
      <c r="AM24" s="1040">
        <v>94.865520295653766</v>
      </c>
      <c r="AN24" s="1039">
        <v>1746170</v>
      </c>
      <c r="AO24" s="1040">
        <v>94.992903426211683</v>
      </c>
      <c r="AP24" s="1039">
        <v>596812</v>
      </c>
      <c r="AQ24" s="1040">
        <v>95.292169689460422</v>
      </c>
    </row>
    <row r="25" spans="3:43" x14ac:dyDescent="0.4">
      <c r="C25" s="536">
        <v>2021</v>
      </c>
      <c r="D25" s="1039">
        <v>4858534</v>
      </c>
      <c r="E25" s="1040">
        <v>94.095397753385214</v>
      </c>
      <c r="F25" s="1041"/>
      <c r="G25" s="1039">
        <v>2325401</v>
      </c>
      <c r="H25" s="1040">
        <v>93.672836460123804</v>
      </c>
      <c r="I25" s="1039">
        <v>2533133</v>
      </c>
      <c r="J25" s="1040">
        <v>94.486676697966615</v>
      </c>
      <c r="K25" s="1041"/>
      <c r="L25" s="1039">
        <v>3654254</v>
      </c>
      <c r="M25" s="1040">
        <v>97.624554154752758</v>
      </c>
      <c r="N25" s="1039">
        <v>1204280</v>
      </c>
      <c r="O25" s="1040">
        <v>84.79399989579241</v>
      </c>
      <c r="P25" s="1041"/>
      <c r="Q25" s="1039">
        <v>3096432</v>
      </c>
      <c r="R25" s="1040">
        <v>97.050496515163431</v>
      </c>
      <c r="S25" s="1039">
        <v>377364</v>
      </c>
      <c r="T25" s="1040">
        <v>94.492424109635692</v>
      </c>
      <c r="U25" s="1039">
        <v>273417</v>
      </c>
      <c r="V25" s="1040">
        <v>88.985839308205783</v>
      </c>
      <c r="W25" s="1039">
        <v>332131</v>
      </c>
      <c r="X25" s="1040">
        <v>89.344251270366897</v>
      </c>
      <c r="Y25" s="1039">
        <v>384708</v>
      </c>
      <c r="Z25" s="1040">
        <v>82.717249208751895</v>
      </c>
      <c r="AA25" s="1039">
        <v>394482</v>
      </c>
      <c r="AB25" s="1040">
        <v>91.862412004834354</v>
      </c>
      <c r="AC25" s="1041"/>
      <c r="AD25" s="1039">
        <v>294227</v>
      </c>
      <c r="AE25" s="1040">
        <v>92.09501630764801</v>
      </c>
      <c r="AF25" s="1039">
        <v>456569</v>
      </c>
      <c r="AG25" s="1040">
        <v>93.396542906822134</v>
      </c>
      <c r="AH25" s="1039">
        <v>366468</v>
      </c>
      <c r="AI25" s="1040">
        <v>93.192417823302932</v>
      </c>
      <c r="AJ25" s="1039">
        <v>545310</v>
      </c>
      <c r="AK25" s="1040">
        <v>93.325301081102367</v>
      </c>
      <c r="AL25" s="1039">
        <v>779090</v>
      </c>
      <c r="AM25" s="1040">
        <v>94.633135505311714</v>
      </c>
      <c r="AN25" s="1039">
        <v>1788095</v>
      </c>
      <c r="AO25" s="1040">
        <v>94.566721792398994</v>
      </c>
      <c r="AP25" s="1039">
        <v>628775</v>
      </c>
      <c r="AQ25" s="1040">
        <v>94.776532228769014</v>
      </c>
    </row>
    <row r="26" spans="3:43" x14ac:dyDescent="0.4">
      <c r="C26" s="536">
        <v>2022</v>
      </c>
      <c r="D26" s="1039">
        <v>4928301</v>
      </c>
      <c r="E26" s="1040">
        <v>94.529968466360287</v>
      </c>
      <c r="F26" s="1041"/>
      <c r="G26" s="1039">
        <v>2338194</v>
      </c>
      <c r="H26" s="1040">
        <v>94.012450590263157</v>
      </c>
      <c r="I26" s="1039">
        <v>2590107</v>
      </c>
      <c r="J26" s="1040">
        <v>95.002070519434454</v>
      </c>
      <c r="K26" s="1041"/>
      <c r="L26" s="1039">
        <v>3699516</v>
      </c>
      <c r="M26" s="1040">
        <v>97.946326333667372</v>
      </c>
      <c r="N26" s="1039">
        <v>1228785</v>
      </c>
      <c r="O26" s="1040">
        <v>85.546454840068364</v>
      </c>
      <c r="P26" s="1041"/>
      <c r="Q26" s="1039">
        <v>3142154</v>
      </c>
      <c r="R26" s="1040">
        <v>97.694832097180139</v>
      </c>
      <c r="S26" s="1039">
        <v>357763</v>
      </c>
      <c r="T26" s="1040">
        <v>88.350286587790194</v>
      </c>
      <c r="U26" s="1039">
        <v>282349</v>
      </c>
      <c r="V26" s="1040">
        <v>90.528101163547518</v>
      </c>
      <c r="W26" s="1039">
        <v>341121</v>
      </c>
      <c r="X26" s="1040">
        <v>91.32016576360482</v>
      </c>
      <c r="Y26" s="1039">
        <v>398775</v>
      </c>
      <c r="Z26" s="1040">
        <v>84.872289843844769</v>
      </c>
      <c r="AA26" s="1039">
        <v>406139</v>
      </c>
      <c r="AB26" s="1040">
        <v>92.946493958257051</v>
      </c>
      <c r="AC26" s="1041"/>
      <c r="AD26" s="1039">
        <v>288972</v>
      </c>
      <c r="AE26" s="1040">
        <v>93.011848089531782</v>
      </c>
      <c r="AF26" s="1039">
        <v>456204</v>
      </c>
      <c r="AG26" s="1040">
        <v>93.624287101017714</v>
      </c>
      <c r="AH26" s="1039">
        <v>365254</v>
      </c>
      <c r="AI26" s="1040">
        <v>93.46004355024013</v>
      </c>
      <c r="AJ26" s="1039">
        <v>529859</v>
      </c>
      <c r="AK26" s="1040">
        <v>94.272405884875226</v>
      </c>
      <c r="AL26" s="1039">
        <v>751189</v>
      </c>
      <c r="AM26" s="1040">
        <v>95.153702333782604</v>
      </c>
      <c r="AN26" s="1039">
        <v>1861454</v>
      </c>
      <c r="AO26" s="1040">
        <v>94.836806862859476</v>
      </c>
      <c r="AP26" s="1039">
        <v>675369</v>
      </c>
      <c r="AQ26" s="1040">
        <v>95.066559499561521</v>
      </c>
    </row>
    <row r="27" spans="3:43" x14ac:dyDescent="0.4">
      <c r="C27" s="2365">
        <v>2023</v>
      </c>
      <c r="D27" s="1039">
        <v>4995065</v>
      </c>
      <c r="E27" s="1040">
        <v>94.929770938108675</v>
      </c>
      <c r="F27" s="1041"/>
      <c r="G27" s="1039">
        <v>2360423</v>
      </c>
      <c r="H27" s="1040">
        <v>94.616636796950999</v>
      </c>
      <c r="I27" s="1039">
        <v>2634642</v>
      </c>
      <c r="J27" s="1040">
        <v>95.212078940996619</v>
      </c>
      <c r="K27" s="1041"/>
      <c r="L27" s="1039">
        <v>3722318</v>
      </c>
      <c r="M27" s="1040">
        <v>97.691583940791674</v>
      </c>
      <c r="N27" s="1039">
        <v>1272747</v>
      </c>
      <c r="O27" s="1040">
        <v>87.680234889203334</v>
      </c>
      <c r="P27" s="1041"/>
      <c r="Q27" s="1039">
        <v>3144674</v>
      </c>
      <c r="R27" s="1040">
        <v>97.033401464322566</v>
      </c>
      <c r="S27" s="1039">
        <v>374552</v>
      </c>
      <c r="T27" s="1040">
        <v>91.367740078401908</v>
      </c>
      <c r="U27" s="1039">
        <v>296355</v>
      </c>
      <c r="V27" s="1040">
        <v>93.739621125615614</v>
      </c>
      <c r="W27" s="1039">
        <v>341763</v>
      </c>
      <c r="X27" s="1040">
        <v>91.025869806662286</v>
      </c>
      <c r="Y27" s="1039">
        <v>412502</v>
      </c>
      <c r="Z27" s="1040">
        <v>86.869958934400344</v>
      </c>
      <c r="AA27" s="1039">
        <v>425219</v>
      </c>
      <c r="AB27" s="1040">
        <v>95.631336529898078</v>
      </c>
      <c r="AC27" s="1041"/>
      <c r="AD27" s="1039">
        <v>277812</v>
      </c>
      <c r="AE27" s="1040">
        <v>93.573735815501308</v>
      </c>
      <c r="AF27" s="1039">
        <v>457896</v>
      </c>
      <c r="AG27" s="1040">
        <v>93.948197754579482</v>
      </c>
      <c r="AH27" s="1039">
        <v>372646</v>
      </c>
      <c r="AI27" s="1040">
        <v>94.216965556648361</v>
      </c>
      <c r="AJ27" s="1039">
        <v>506501</v>
      </c>
      <c r="AK27" s="1040">
        <v>95.296877881008029</v>
      </c>
      <c r="AL27" s="1039">
        <v>762396</v>
      </c>
      <c r="AM27" s="1040">
        <v>95.657978273580241</v>
      </c>
      <c r="AN27" s="1039">
        <v>1914341</v>
      </c>
      <c r="AO27" s="1040">
        <v>94.871742771902348</v>
      </c>
      <c r="AP27" s="1039">
        <v>703473</v>
      </c>
      <c r="AQ27" s="1040">
        <v>95.615517084369145</v>
      </c>
    </row>
    <row r="28" spans="3:43" s="2279" customFormat="1" x14ac:dyDescent="0.4">
      <c r="C28" s="824">
        <v>2024</v>
      </c>
      <c r="D28" s="1042">
        <v>4996544</v>
      </c>
      <c r="E28" s="1043">
        <v>94.093312098732227</v>
      </c>
      <c r="F28" s="1044"/>
      <c r="G28" s="1042">
        <v>2372350</v>
      </c>
      <c r="H28" s="1043">
        <v>93.70958580311725</v>
      </c>
      <c r="I28" s="1042">
        <v>2624194</v>
      </c>
      <c r="J28" s="1043">
        <v>94.442926895277949</v>
      </c>
      <c r="K28" s="1044"/>
      <c r="L28" s="1042">
        <v>3766839</v>
      </c>
      <c r="M28" s="1043">
        <v>98.012654502725198</v>
      </c>
      <c r="N28" s="1042">
        <v>1229705</v>
      </c>
      <c r="O28" s="1043">
        <v>83.825385961946424</v>
      </c>
      <c r="P28" s="1044"/>
      <c r="Q28" s="1042">
        <v>3194989</v>
      </c>
      <c r="R28" s="1043">
        <v>97.827217860892588</v>
      </c>
      <c r="S28" s="1042">
        <v>371640</v>
      </c>
      <c r="T28" s="1043">
        <v>89.47849954254346</v>
      </c>
      <c r="U28" s="1042">
        <v>301640</v>
      </c>
      <c r="V28" s="1043">
        <v>94.134535865308095</v>
      </c>
      <c r="W28" s="1042">
        <v>302545</v>
      </c>
      <c r="X28" s="1043">
        <v>80.231935251188048</v>
      </c>
      <c r="Y28" s="1042">
        <v>426074</v>
      </c>
      <c r="Z28" s="1043">
        <v>88.845933293714097</v>
      </c>
      <c r="AA28" s="1042">
        <v>399656</v>
      </c>
      <c r="AB28" s="1043">
        <v>88.454302800660429</v>
      </c>
      <c r="AC28" s="1044"/>
      <c r="AD28" s="1042">
        <v>267448</v>
      </c>
      <c r="AE28" s="1043">
        <v>91.958670723950007</v>
      </c>
      <c r="AF28" s="1042">
        <v>442021</v>
      </c>
      <c r="AG28" s="1043">
        <v>92.714496963849356</v>
      </c>
      <c r="AH28" s="1042">
        <v>360963</v>
      </c>
      <c r="AI28" s="1043">
        <v>93.012523191094616</v>
      </c>
      <c r="AJ28" s="1042">
        <v>501116</v>
      </c>
      <c r="AK28" s="1043">
        <v>94.662354639081784</v>
      </c>
      <c r="AL28" s="1042">
        <v>757598</v>
      </c>
      <c r="AM28" s="1043">
        <v>94.72568115521625</v>
      </c>
      <c r="AN28" s="1042">
        <v>1912388</v>
      </c>
      <c r="AO28" s="1043">
        <v>94.342102277268069</v>
      </c>
      <c r="AP28" s="1042">
        <v>755010</v>
      </c>
      <c r="AQ28" s="1043">
        <v>94.5772266065389</v>
      </c>
    </row>
    <row r="29" spans="3:43" x14ac:dyDescent="0.4">
      <c r="C29" s="2285" t="s">
        <v>2802</v>
      </c>
      <c r="D29" s="1039"/>
      <c r="E29" s="1040"/>
      <c r="F29" s="1041"/>
      <c r="G29" s="1039"/>
      <c r="H29" s="1040"/>
      <c r="I29" s="1039"/>
      <c r="J29" s="1040"/>
      <c r="K29" s="1041"/>
      <c r="L29" s="1039"/>
      <c r="M29" s="1040"/>
      <c r="N29" s="1039"/>
      <c r="O29" s="1040"/>
      <c r="P29" s="1041"/>
      <c r="Q29" s="1039"/>
      <c r="R29" s="1040"/>
      <c r="S29" s="1039"/>
      <c r="T29" s="1040"/>
      <c r="U29" s="1039"/>
      <c r="V29" s="1040"/>
      <c r="W29" s="1039"/>
      <c r="X29" s="1040"/>
      <c r="Y29" s="1039"/>
      <c r="Z29" s="1040"/>
      <c r="AA29" s="1039"/>
      <c r="AB29" s="1040"/>
      <c r="AC29" s="1041"/>
      <c r="AD29" s="1039"/>
      <c r="AE29" s="1040"/>
      <c r="AF29" s="1039"/>
      <c r="AG29" s="1040"/>
      <c r="AH29" s="1039"/>
      <c r="AI29" s="1040"/>
      <c r="AJ29" s="1039"/>
      <c r="AK29" s="1040"/>
      <c r="AL29" s="1039"/>
      <c r="AM29" s="1040"/>
      <c r="AN29" s="1039"/>
      <c r="AO29" s="1040"/>
      <c r="AP29" s="1039"/>
      <c r="AQ29" s="1040"/>
    </row>
    <row r="30" spans="3:43" x14ac:dyDescent="0.4">
      <c r="C30" s="2285" t="s">
        <v>8115</v>
      </c>
      <c r="D30" s="1039"/>
      <c r="E30" s="1040"/>
      <c r="F30" s="1041"/>
      <c r="G30" s="1039"/>
      <c r="H30" s="1040"/>
      <c r="I30" s="1039"/>
      <c r="J30" s="1040"/>
      <c r="K30" s="1041"/>
      <c r="L30" s="1039"/>
      <c r="M30" s="1040"/>
      <c r="N30" s="1039"/>
      <c r="O30" s="1040"/>
      <c r="P30" s="1041"/>
      <c r="Q30" s="1039"/>
      <c r="R30" s="1040"/>
      <c r="S30" s="1039"/>
      <c r="T30" s="1040"/>
      <c r="U30" s="1039"/>
      <c r="V30" s="1040"/>
      <c r="W30" s="1039"/>
      <c r="X30" s="1040"/>
      <c r="Y30" s="1039"/>
      <c r="Z30" s="1040"/>
      <c r="AA30" s="1039"/>
      <c r="AB30" s="1040"/>
      <c r="AC30" s="1041"/>
      <c r="AD30" s="1039"/>
      <c r="AE30" s="1040"/>
      <c r="AF30" s="1039"/>
      <c r="AG30" s="1040"/>
      <c r="AH30" s="1039"/>
      <c r="AI30" s="1040"/>
      <c r="AJ30" s="1039"/>
      <c r="AK30" s="1040"/>
      <c r="AL30" s="1039"/>
      <c r="AM30" s="1040"/>
      <c r="AN30" s="1039"/>
      <c r="AO30" s="1040"/>
      <c r="AP30" s="1039"/>
      <c r="AQ30" s="1040"/>
    </row>
    <row r="31" spans="3:43" x14ac:dyDescent="0.4">
      <c r="C31" s="536"/>
      <c r="D31" s="1039"/>
      <c r="E31" s="1040"/>
      <c r="F31" s="1041"/>
      <c r="G31" s="1039"/>
      <c r="H31" s="1040"/>
      <c r="I31" s="1039"/>
      <c r="J31" s="1040"/>
      <c r="K31" s="1041"/>
      <c r="L31" s="1039"/>
      <c r="M31" s="1040"/>
      <c r="N31" s="1039"/>
      <c r="O31" s="1040"/>
      <c r="P31" s="1041"/>
      <c r="Q31" s="1039"/>
      <c r="R31" s="1040"/>
      <c r="S31" s="1039"/>
      <c r="T31" s="1040"/>
      <c r="U31" s="1039"/>
      <c r="V31" s="1040"/>
      <c r="W31" s="1039"/>
      <c r="X31" s="1040"/>
      <c r="Y31" s="1039"/>
      <c r="Z31" s="1040"/>
      <c r="AA31" s="1039"/>
      <c r="AB31" s="1040"/>
      <c r="AC31" s="1041"/>
      <c r="AD31" s="1039"/>
      <c r="AE31" s="1040"/>
      <c r="AF31" s="1039"/>
      <c r="AG31" s="1040"/>
      <c r="AH31" s="1039"/>
      <c r="AI31" s="1040"/>
      <c r="AJ31" s="1039"/>
      <c r="AK31" s="1040"/>
      <c r="AL31" s="1039"/>
      <c r="AM31" s="1040"/>
      <c r="AN31" s="1039"/>
      <c r="AO31" s="1040"/>
      <c r="AP31" s="1039"/>
      <c r="AQ31" s="1040"/>
    </row>
    <row r="32" spans="3:43" x14ac:dyDescent="0.4">
      <c r="C32" s="226"/>
    </row>
    <row r="33" spans="3:3" ht="19.5" x14ac:dyDescent="0.4">
      <c r="C33" s="532" t="s">
        <v>8123</v>
      </c>
    </row>
    <row r="34" spans="3:3" x14ac:dyDescent="0.4">
      <c r="C34" s="226"/>
    </row>
    <row r="35" spans="3:3" x14ac:dyDescent="0.4">
      <c r="C35" s="226"/>
    </row>
    <row r="36" spans="3:3" x14ac:dyDescent="0.4">
      <c r="C36" s="226"/>
    </row>
    <row r="37" spans="3:3" x14ac:dyDescent="0.4">
      <c r="C37" s="226"/>
    </row>
    <row r="38" spans="3:3" x14ac:dyDescent="0.4">
      <c r="C38" s="226"/>
    </row>
    <row r="39" spans="3:3" x14ac:dyDescent="0.4">
      <c r="C39" s="226"/>
    </row>
    <row r="40" spans="3:3" x14ac:dyDescent="0.4">
      <c r="C40" s="226"/>
    </row>
    <row r="41" spans="3:3" x14ac:dyDescent="0.4">
      <c r="C41" s="226"/>
    </row>
    <row r="42" spans="3:3" x14ac:dyDescent="0.4">
      <c r="C42" s="226"/>
    </row>
    <row r="43" spans="3:3" x14ac:dyDescent="0.4">
      <c r="C43" s="226"/>
    </row>
    <row r="44" spans="3:3" x14ac:dyDescent="0.4">
      <c r="C44" s="226"/>
    </row>
    <row r="45" spans="3:3" x14ac:dyDescent="0.4">
      <c r="C45" s="226"/>
    </row>
    <row r="46" spans="3:3" x14ac:dyDescent="0.4">
      <c r="C46" s="226"/>
    </row>
    <row r="47" spans="3:3" x14ac:dyDescent="0.4">
      <c r="C47" s="155" t="s">
        <v>8105</v>
      </c>
    </row>
    <row r="50" spans="3:13" ht="15" customHeight="1" x14ac:dyDescent="0.4">
      <c r="F50" s="226"/>
      <c r="G50" s="226"/>
      <c r="H50" s="226"/>
      <c r="I50" s="226"/>
      <c r="J50" s="226"/>
    </row>
    <row r="51" spans="3:13" ht="19.5" x14ac:dyDescent="0.4">
      <c r="C51" s="1045" t="s">
        <v>8124</v>
      </c>
      <c r="D51" s="1045"/>
      <c r="E51" s="1045"/>
      <c r="F51" s="1045"/>
      <c r="G51" s="1045"/>
      <c r="H51" s="1045"/>
      <c r="I51" s="1045"/>
      <c r="J51" s="1045"/>
      <c r="K51" s="1045"/>
      <c r="L51" s="1045"/>
      <c r="M51" s="1045"/>
    </row>
    <row r="67" spans="3:3" x14ac:dyDescent="0.4">
      <c r="C67" s="155" t="s">
        <v>8109</v>
      </c>
    </row>
  </sheetData>
  <mergeCells count="33">
    <mergeCell ref="A5:B5"/>
    <mergeCell ref="C5:T5"/>
    <mergeCell ref="C1:D1"/>
    <mergeCell ref="A3:B3"/>
    <mergeCell ref="C3:T3"/>
    <mergeCell ref="A4:B4"/>
    <mergeCell ref="C4:T4"/>
    <mergeCell ref="U12:V12"/>
    <mergeCell ref="A6:B6"/>
    <mergeCell ref="C6:T6"/>
    <mergeCell ref="C9:AP9"/>
    <mergeCell ref="C11:C13"/>
    <mergeCell ref="D11:E12"/>
    <mergeCell ref="G11:J11"/>
    <mergeCell ref="L11:O11"/>
    <mergeCell ref="Q11:AA11"/>
    <mergeCell ref="AD11:AQ11"/>
    <mergeCell ref="G12:H12"/>
    <mergeCell ref="I12:J12"/>
    <mergeCell ref="L12:M12"/>
    <mergeCell ref="N12:O12"/>
    <mergeCell ref="Q12:R12"/>
    <mergeCell ref="S12:T12"/>
    <mergeCell ref="AJ12:AK12"/>
    <mergeCell ref="AL12:AM12"/>
    <mergeCell ref="AN12:AO12"/>
    <mergeCell ref="AP12:AQ12"/>
    <mergeCell ref="W12:X12"/>
    <mergeCell ref="Y12:Z12"/>
    <mergeCell ref="AA12:AB12"/>
    <mergeCell ref="AD12:AE12"/>
    <mergeCell ref="AF12:AG12"/>
    <mergeCell ref="AH12:AI12"/>
  </mergeCells>
  <hyperlinks>
    <hyperlink ref="A1" location="'ODS 6.'!A1" display="REGRESAR" xr:uid="{62E950EE-0D01-4DBE-BAAD-FA86C47B8A68}"/>
    <hyperlink ref="C1" location="'Metadato 6.1.1'!A1" display="VER METADATO" xr:uid="{C4111530-47FD-40F3-A67D-5D3DFD2FA3E4}"/>
  </hyperlinks>
  <pageMargins left="0.7" right="0.7" top="0.75" bottom="0.75" header="0.3" footer="0.3"/>
  <pageSetup orientation="portrait" horizontalDpi="4294967293"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4C8E-31C0-4CC8-A3BD-18932AF81F18}">
  <sheetPr>
    <tabColor theme="0" tint="-0.499984740745262"/>
  </sheetPr>
  <dimension ref="A1:F36"/>
  <sheetViews>
    <sheetView showGridLines="0" zoomScale="90" zoomScaleNormal="90" zoomScaleSheetLayoutView="90" workbookViewId="0">
      <pane ySplit="1" topLeftCell="A2" activePane="bottomLeft" state="frozen"/>
      <selection activeCell="R16" sqref="R16"/>
      <selection pane="bottomLeft" activeCell="B1" sqref="B1"/>
    </sheetView>
  </sheetViews>
  <sheetFormatPr baseColWidth="10" defaultColWidth="11.42578125" defaultRowHeight="18.75" x14ac:dyDescent="0.4"/>
  <cols>
    <col min="1" max="1" width="12.28515625" style="115" customWidth="1"/>
    <col min="2" max="2" width="26.42578125" style="115" customWidth="1"/>
    <col min="3" max="3" width="10.5703125" style="115" bestFit="1" customWidth="1"/>
    <col min="4" max="4" width="85.7109375" style="115" customWidth="1"/>
    <col min="5" max="5" width="9.7109375" style="115" customWidth="1"/>
    <col min="6" max="6" width="7.28515625" style="115" customWidth="1"/>
    <col min="7" max="7" width="11.5703125" style="115" customWidth="1"/>
    <col min="8" max="8" width="9.7109375" style="115" customWidth="1"/>
    <col min="9" max="9" width="1.28515625" style="115" customWidth="1"/>
    <col min="10" max="10" width="9.7109375" style="115" customWidth="1"/>
    <col min="11" max="12" width="10.28515625" style="115" customWidth="1"/>
    <col min="13" max="13" width="10" style="115" customWidth="1"/>
    <col min="14" max="14" width="1.28515625" style="115" customWidth="1"/>
    <col min="15" max="15" width="10.28515625" style="115" customWidth="1"/>
    <col min="16" max="16" width="9.5703125" style="115" customWidth="1"/>
    <col min="17" max="17" width="8.7109375" style="115" customWidth="1"/>
    <col min="18" max="19" width="10.28515625" style="115" customWidth="1"/>
    <col min="20" max="20" width="11.5703125" style="115" bestFit="1" customWidth="1"/>
    <col min="21" max="21" width="10.28515625" style="115" customWidth="1"/>
    <col min="22" max="22" width="10" style="115" customWidth="1"/>
    <col min="23" max="23" width="8.7109375" style="115" customWidth="1"/>
    <col min="24" max="24" width="9.28515625" style="115" customWidth="1"/>
    <col min="25" max="25" width="9.7109375" style="115" customWidth="1"/>
    <col min="26" max="26" width="10.28515625" style="115" customWidth="1"/>
    <col min="27" max="27" width="1.7109375" style="115" customWidth="1"/>
    <col min="28" max="28" width="9.42578125" style="115" customWidth="1"/>
    <col min="29" max="29" width="9.7109375" style="115" customWidth="1"/>
    <col min="30" max="31" width="9.28515625" style="115" customWidth="1"/>
    <col min="32" max="32" width="8.42578125" style="115" customWidth="1"/>
    <col min="33" max="33" width="9.28515625" style="115" customWidth="1"/>
    <col min="34" max="34" width="10.28515625" style="115" customWidth="1"/>
    <col min="35" max="35" width="9.7109375" style="115" customWidth="1"/>
    <col min="36" max="16384" width="11.42578125" style="115"/>
  </cols>
  <sheetData>
    <row r="1" spans="1:6" x14ac:dyDescent="0.4">
      <c r="B1" s="90" t="s">
        <v>39</v>
      </c>
    </row>
    <row r="2" spans="1:6" ht="19.5" thickBot="1" x14ac:dyDescent="0.45"/>
    <row r="3" spans="1:6" ht="23.25" customHeight="1" thickBot="1" x14ac:dyDescent="0.45">
      <c r="B3" s="2809" t="s">
        <v>75</v>
      </c>
      <c r="C3" s="2809"/>
      <c r="D3" s="2809"/>
      <c r="F3" s="1046" t="s">
        <v>76</v>
      </c>
    </row>
    <row r="4" spans="1:6" ht="36" customHeight="1" x14ac:dyDescent="0.4">
      <c r="A4" s="283"/>
      <c r="B4" s="2445" t="s">
        <v>234</v>
      </c>
      <c r="C4" s="2445"/>
      <c r="D4" s="49" t="s">
        <v>2803</v>
      </c>
    </row>
    <row r="5" spans="1:6" x14ac:dyDescent="0.4">
      <c r="B5" s="2445" t="s">
        <v>79</v>
      </c>
      <c r="C5" s="2445"/>
      <c r="D5" s="49" t="s">
        <v>2769</v>
      </c>
    </row>
    <row r="6" spans="1:6" x14ac:dyDescent="0.4">
      <c r="B6" s="2445" t="s">
        <v>80</v>
      </c>
      <c r="C6" s="2445"/>
      <c r="D6" s="50" t="s">
        <v>2770</v>
      </c>
    </row>
    <row r="7" spans="1:6" ht="37.5" x14ac:dyDescent="0.4">
      <c r="B7" s="2446" t="s">
        <v>81</v>
      </c>
      <c r="C7" s="2446"/>
      <c r="D7" s="93" t="s">
        <v>2771</v>
      </c>
    </row>
    <row r="8" spans="1:6" x14ac:dyDescent="0.4">
      <c r="B8" s="2446" t="s">
        <v>82</v>
      </c>
      <c r="C8" s="2446"/>
      <c r="D8" s="1047" t="s">
        <v>2804</v>
      </c>
    </row>
    <row r="10" spans="1:6" ht="23.25" customHeight="1" x14ac:dyDescent="0.4">
      <c r="B10" s="2809" t="s">
        <v>85</v>
      </c>
      <c r="C10" s="2809"/>
      <c r="D10" s="2809"/>
    </row>
    <row r="11" spans="1:6" x14ac:dyDescent="0.4">
      <c r="B11" s="2487" t="s">
        <v>86</v>
      </c>
      <c r="C11" s="2456"/>
      <c r="D11" s="49" t="s">
        <v>167</v>
      </c>
    </row>
    <row r="12" spans="1:6" ht="19.5" customHeight="1" x14ac:dyDescent="0.4">
      <c r="B12" s="2446" t="s">
        <v>88</v>
      </c>
      <c r="C12" s="2446"/>
      <c r="D12" s="755" t="s">
        <v>2805</v>
      </c>
    </row>
    <row r="13" spans="1:6" x14ac:dyDescent="0.4">
      <c r="B13" s="2445" t="s">
        <v>90</v>
      </c>
      <c r="C13" s="2445"/>
      <c r="D13" s="54" t="s">
        <v>2770</v>
      </c>
    </row>
    <row r="14" spans="1:6" x14ac:dyDescent="0.4">
      <c r="B14" s="2445" t="s">
        <v>91</v>
      </c>
      <c r="C14" s="2456"/>
      <c r="D14" s="54" t="s">
        <v>214</v>
      </c>
    </row>
    <row r="15" spans="1:6" ht="409.5" x14ac:dyDescent="0.4">
      <c r="B15" s="2445" t="s">
        <v>93</v>
      </c>
      <c r="C15" s="2445"/>
      <c r="D15" s="55" t="s">
        <v>2806</v>
      </c>
    </row>
    <row r="16" spans="1:6" ht="137.25" customHeight="1" x14ac:dyDescent="0.4">
      <c r="B16" s="2445" t="s">
        <v>95</v>
      </c>
      <c r="C16" s="2445"/>
      <c r="D16" s="594" t="s">
        <v>2807</v>
      </c>
    </row>
    <row r="17" spans="2:4" x14ac:dyDescent="0.4">
      <c r="B17" s="2445" t="s">
        <v>97</v>
      </c>
      <c r="C17" s="2445"/>
      <c r="D17" s="594" t="s">
        <v>238</v>
      </c>
    </row>
    <row r="18" spans="2:4" ht="56.25" x14ac:dyDescent="0.4">
      <c r="B18" s="2446" t="s">
        <v>99</v>
      </c>
      <c r="C18" s="2446"/>
      <c r="D18" s="49" t="s">
        <v>2808</v>
      </c>
    </row>
    <row r="19" spans="2:4" ht="37.5" x14ac:dyDescent="0.4">
      <c r="B19" s="2457" t="s">
        <v>100</v>
      </c>
      <c r="C19" s="2458"/>
      <c r="D19" s="55" t="s">
        <v>2809</v>
      </c>
    </row>
    <row r="20" spans="2:4" x14ac:dyDescent="0.4">
      <c r="B20" s="2445" t="s">
        <v>102</v>
      </c>
      <c r="C20" s="2445"/>
      <c r="D20" s="594" t="s">
        <v>140</v>
      </c>
    </row>
    <row r="21" spans="2:4" x14ac:dyDescent="0.4">
      <c r="B21" s="2451" t="s">
        <v>104</v>
      </c>
      <c r="C21" s="95" t="s">
        <v>105</v>
      </c>
      <c r="D21" s="49" t="s">
        <v>1457</v>
      </c>
    </row>
    <row r="22" spans="2:4" x14ac:dyDescent="0.4">
      <c r="B22" s="2452"/>
      <c r="C22" s="96" t="s">
        <v>107</v>
      </c>
      <c r="D22" s="594" t="s">
        <v>1507</v>
      </c>
    </row>
    <row r="23" spans="2:4" x14ac:dyDescent="0.4">
      <c r="B23" s="2445" t="s">
        <v>109</v>
      </c>
      <c r="C23" s="2445"/>
      <c r="D23" s="594" t="s">
        <v>143</v>
      </c>
    </row>
    <row r="24" spans="2:4" x14ac:dyDescent="0.4">
      <c r="B24" s="2445" t="s">
        <v>111</v>
      </c>
      <c r="C24" s="2445"/>
      <c r="D24" s="826" t="s">
        <v>127</v>
      </c>
    </row>
    <row r="25" spans="2:4" x14ac:dyDescent="0.4">
      <c r="B25" s="2445" t="s">
        <v>113</v>
      </c>
      <c r="C25" s="2445"/>
      <c r="D25" s="55" t="s">
        <v>144</v>
      </c>
    </row>
    <row r="26" spans="2:4" ht="15" customHeight="1" x14ac:dyDescent="0.4">
      <c r="B26" s="2446" t="s">
        <v>115</v>
      </c>
      <c r="C26" s="2446"/>
      <c r="D26" s="826" t="s">
        <v>145</v>
      </c>
    </row>
    <row r="27" spans="2:4" ht="262.5" x14ac:dyDescent="0.4">
      <c r="B27" s="2447" t="s">
        <v>117</v>
      </c>
      <c r="C27" s="2448"/>
      <c r="D27" s="49" t="s">
        <v>2810</v>
      </c>
    </row>
    <row r="28" spans="2:4" ht="150" x14ac:dyDescent="0.4">
      <c r="B28" s="97" t="s">
        <v>118</v>
      </c>
      <c r="C28" s="98"/>
      <c r="D28" s="594" t="s">
        <v>2811</v>
      </c>
    </row>
    <row r="29" spans="2:4" x14ac:dyDescent="0.4">
      <c r="B29" s="2449" t="s">
        <v>120</v>
      </c>
      <c r="C29" s="2450"/>
      <c r="D29" s="62"/>
    </row>
    <row r="30" spans="2:4" x14ac:dyDescent="0.4">
      <c r="B30" s="63"/>
      <c r="C30" s="63"/>
      <c r="D30" s="64"/>
    </row>
    <row r="31" spans="2:4" ht="23.25" customHeight="1" x14ac:dyDescent="0.4">
      <c r="B31" s="2809" t="s">
        <v>121</v>
      </c>
      <c r="C31" s="2809"/>
      <c r="D31" s="2809"/>
    </row>
    <row r="32" spans="2:4" x14ac:dyDescent="0.4">
      <c r="B32" s="2447" t="s">
        <v>122</v>
      </c>
      <c r="C32" s="2448"/>
      <c r="D32" s="826" t="s">
        <v>123</v>
      </c>
    </row>
    <row r="33" spans="2:4" x14ac:dyDescent="0.4">
      <c r="B33" s="2447" t="s">
        <v>124</v>
      </c>
      <c r="C33" s="2448"/>
      <c r="D33" s="826" t="s">
        <v>1790</v>
      </c>
    </row>
    <row r="34" spans="2:4" x14ac:dyDescent="0.4">
      <c r="B34" s="2447" t="s">
        <v>126</v>
      </c>
      <c r="C34" s="2448"/>
      <c r="D34" s="826" t="s">
        <v>127</v>
      </c>
    </row>
    <row r="35" spans="2:4" x14ac:dyDescent="0.4">
      <c r="B35" s="2447" t="s">
        <v>128</v>
      </c>
      <c r="C35" s="2448"/>
      <c r="D35" s="826" t="s">
        <v>2812</v>
      </c>
    </row>
    <row r="36" spans="2:4" x14ac:dyDescent="0.4">
      <c r="B36" s="2447" t="s">
        <v>130</v>
      </c>
      <c r="C36" s="2448"/>
      <c r="D36" s="826"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A9B5B5-F832-4B73-A895-CB6DEEA25D7D}">
      <formula1>Tipo_operación</formula1>
    </dataValidation>
    <dataValidation type="list" allowBlank="1" showInputMessage="1" showErrorMessage="1" sqref="D14" xr:uid="{99022BFA-3086-4288-AFAD-49AC3769B900}">
      <formula1>Tipo_indicador</formula1>
    </dataValidation>
    <dataValidation type="list" allowBlank="1" showInputMessage="1" showErrorMessage="1" sqref="D7" xr:uid="{A71E7C8C-3F5F-412D-9A7E-EDEEED12D8D3}">
      <formula1>Nombre_indicador_ODS</formula1>
    </dataValidation>
    <dataValidation type="list" allowBlank="1" showInputMessage="1" showErrorMessage="1" sqref="D6" xr:uid="{11EE2902-B357-4B61-9021-54E15A39EDCE}">
      <formula1>Numero_indicador</formula1>
    </dataValidation>
    <dataValidation type="list" allowBlank="1" showInputMessage="1" showErrorMessage="1" sqref="D5" xr:uid="{EB70515A-BD0D-475F-A61D-B64222F5154C}">
      <formula1>Metas_ODS</formula1>
    </dataValidation>
    <dataValidation type="list" allowBlank="1" showInputMessage="1" showErrorMessage="1" sqref="D4" xr:uid="{990B6A5F-A246-431F-9C5F-D9BE8DE5A3C5}">
      <formula1>ODS</formula1>
    </dataValidation>
    <dataValidation allowBlank="1" showDropDown="1" showInputMessage="1" showErrorMessage="1" sqref="D13" xr:uid="{362320E4-2AAD-4CB3-8C2F-7AD71DDC7B89}"/>
  </dataValidations>
  <hyperlinks>
    <hyperlink ref="B1" location="'6.1.1'!A1" display="REGRESAR" xr:uid="{7CF6E4A5-2C1E-41D8-A5CD-7E486840B7A4}"/>
    <hyperlink ref="D8" r:id="rId1" xr:uid="{BF936422-8817-4011-AFAD-37D0CC75D4B7}"/>
  </hyperlinks>
  <pageMargins left="0.7" right="0.7" top="0.75" bottom="0.75" header="0.3" footer="0.3"/>
  <pageSetup orientation="portrait" horizontalDpi="4294967293" r:id="rId2"/>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B3E6-2E5E-4D89-B9E0-CC83A25B1975}">
  <dimension ref="A1:S49"/>
  <sheetViews>
    <sheetView showGridLines="0" workbookViewId="0">
      <pane ySplit="1" topLeftCell="A2" activePane="bottomLeft" state="frozen"/>
      <selection activeCell="R16" sqref="R16"/>
      <selection pane="bottomLeft"/>
    </sheetView>
  </sheetViews>
  <sheetFormatPr baseColWidth="10" defaultColWidth="11.42578125" defaultRowHeight="18.75" x14ac:dyDescent="0.4"/>
  <cols>
    <col min="1" max="2" width="15.5703125" style="115" customWidth="1"/>
    <col min="3" max="3" width="6.28515625" style="115" customWidth="1"/>
    <col min="4" max="4" width="6.7109375" style="1048" customWidth="1"/>
    <col min="5" max="5" width="2.42578125" style="115" customWidth="1"/>
    <col min="6" max="6" width="9.28515625" style="115" customWidth="1"/>
    <col min="7" max="7" width="11.42578125" style="115"/>
    <col min="8" max="8" width="2" style="115" customWidth="1"/>
    <col min="9" max="13" width="11.42578125" style="115"/>
    <col min="14" max="14" width="10.28515625" style="115" customWidth="1"/>
    <col min="15" max="15" width="11.42578125" style="115"/>
    <col min="16" max="16" width="14.5703125" style="115" customWidth="1"/>
    <col min="17" max="17" width="13.42578125" style="115" customWidth="1"/>
    <col min="18" max="16384" width="11.42578125" style="115"/>
  </cols>
  <sheetData>
    <row r="1" spans="1:19" x14ac:dyDescent="0.4">
      <c r="A1" s="90" t="s">
        <v>39</v>
      </c>
      <c r="C1" s="2541" t="s">
        <v>149</v>
      </c>
      <c r="D1" s="2541"/>
      <c r="E1" s="2541"/>
    </row>
    <row r="3" spans="1:19" s="1048" customFormat="1" x14ac:dyDescent="0.4">
      <c r="A3" s="2810" t="s">
        <v>41</v>
      </c>
      <c r="B3" s="2810"/>
      <c r="C3" s="2810" t="s">
        <v>2768</v>
      </c>
      <c r="D3" s="2810"/>
      <c r="E3" s="2810"/>
      <c r="F3" s="2810"/>
      <c r="G3" s="2810"/>
      <c r="H3" s="2810"/>
      <c r="I3" s="2810"/>
      <c r="J3" s="2810"/>
      <c r="K3" s="2810"/>
      <c r="L3" s="2810"/>
      <c r="M3" s="2810"/>
      <c r="N3" s="2810"/>
      <c r="O3" s="2810"/>
      <c r="P3" s="2810"/>
      <c r="Q3" s="2810"/>
      <c r="R3" s="2810"/>
      <c r="S3" s="2810"/>
    </row>
    <row r="4" spans="1:19" s="1048" customFormat="1" ht="34.9" customHeight="1" x14ac:dyDescent="0.4">
      <c r="A4" s="2810" t="s">
        <v>42</v>
      </c>
      <c r="B4" s="2810"/>
      <c r="C4" s="2810" t="s">
        <v>2772</v>
      </c>
      <c r="D4" s="2810"/>
      <c r="E4" s="2810"/>
      <c r="F4" s="2810"/>
      <c r="G4" s="2810"/>
      <c r="H4" s="2810"/>
      <c r="I4" s="2810"/>
      <c r="J4" s="2810"/>
      <c r="K4" s="2810"/>
      <c r="L4" s="2810"/>
      <c r="M4" s="2810"/>
      <c r="N4" s="2810"/>
      <c r="O4" s="2810"/>
      <c r="P4" s="2810"/>
      <c r="Q4" s="2810"/>
      <c r="R4" s="2810"/>
      <c r="S4" s="2810"/>
    </row>
    <row r="5" spans="1:19" x14ac:dyDescent="0.4">
      <c r="A5" s="2810" t="s">
        <v>43</v>
      </c>
      <c r="B5" s="2810"/>
      <c r="C5" s="2810" t="s">
        <v>2774</v>
      </c>
      <c r="D5" s="2810"/>
      <c r="E5" s="2810"/>
      <c r="F5" s="2810"/>
      <c r="G5" s="2810"/>
      <c r="H5" s="2810"/>
      <c r="I5" s="2810"/>
      <c r="J5" s="2810"/>
      <c r="K5" s="2810"/>
      <c r="L5" s="2810"/>
      <c r="M5" s="2810"/>
      <c r="N5" s="2810"/>
      <c r="O5" s="2810"/>
      <c r="P5" s="2810"/>
      <c r="Q5" s="2810"/>
      <c r="R5" s="2810"/>
      <c r="S5" s="2810"/>
    </row>
    <row r="6" spans="1:19" x14ac:dyDescent="0.4">
      <c r="A6" s="2810" t="s">
        <v>132</v>
      </c>
      <c r="B6" s="2810"/>
      <c r="C6" s="2810" t="s">
        <v>2813</v>
      </c>
      <c r="D6" s="2810"/>
      <c r="E6" s="2810"/>
      <c r="F6" s="2810"/>
      <c r="G6" s="2810"/>
      <c r="H6" s="2810"/>
      <c r="I6" s="2810"/>
      <c r="J6" s="2810"/>
      <c r="K6" s="2810"/>
      <c r="L6" s="2810"/>
      <c r="M6" s="2810"/>
      <c r="N6" s="2810"/>
      <c r="O6" s="2810"/>
      <c r="P6" s="2810"/>
      <c r="Q6" s="2810"/>
      <c r="R6" s="2810"/>
      <c r="S6" s="2810"/>
    </row>
    <row r="9" spans="1:19" ht="33.75" customHeight="1" x14ac:dyDescent="0.4">
      <c r="C9" s="2811" t="s">
        <v>2813</v>
      </c>
      <c r="D9" s="2811"/>
      <c r="E9" s="2811"/>
      <c r="F9" s="2811"/>
      <c r="G9" s="2811"/>
      <c r="H9" s="2811"/>
      <c r="I9" s="2811"/>
      <c r="J9" s="2811"/>
      <c r="K9" s="2811"/>
      <c r="L9" s="2811"/>
      <c r="M9" s="2811"/>
      <c r="N9" s="2811"/>
      <c r="P9" s="2812" t="s">
        <v>2814</v>
      </c>
      <c r="Q9" s="2812"/>
    </row>
    <row r="10" spans="1:19" x14ac:dyDescent="0.4">
      <c r="C10" s="575"/>
      <c r="D10" s="575"/>
      <c r="E10" s="575"/>
      <c r="F10" s="575"/>
      <c r="G10" s="575"/>
      <c r="H10" s="575"/>
      <c r="I10" s="575"/>
      <c r="J10" s="575"/>
      <c r="K10" s="575"/>
      <c r="L10" s="575"/>
      <c r="M10" s="575"/>
      <c r="N10" s="575"/>
      <c r="P10" s="2812"/>
      <c r="Q10" s="2812"/>
    </row>
    <row r="11" spans="1:19" ht="22.5" customHeight="1" x14ac:dyDescent="0.4">
      <c r="C11" s="2806" t="s">
        <v>46</v>
      </c>
      <c r="D11" s="2806" t="s">
        <v>47</v>
      </c>
      <c r="E11" s="1035"/>
      <c r="F11" s="2802" t="s">
        <v>49</v>
      </c>
      <c r="G11" s="2802"/>
      <c r="H11" s="1035"/>
      <c r="I11" s="2802" t="s">
        <v>50</v>
      </c>
      <c r="J11" s="2802"/>
      <c r="K11" s="2802"/>
      <c r="L11" s="2802"/>
      <c r="M11" s="2802"/>
      <c r="N11" s="2802"/>
      <c r="P11" s="2812"/>
      <c r="Q11" s="2812"/>
    </row>
    <row r="12" spans="1:19" ht="38.25" customHeight="1" x14ac:dyDescent="0.4">
      <c r="C12" s="2808"/>
      <c r="D12" s="2808"/>
      <c r="E12" s="1038"/>
      <c r="F12" s="1038" t="s">
        <v>55</v>
      </c>
      <c r="G12" s="1038" t="s">
        <v>56</v>
      </c>
      <c r="H12" s="1038"/>
      <c r="I12" s="1038" t="s">
        <v>57</v>
      </c>
      <c r="J12" s="1038" t="s">
        <v>58</v>
      </c>
      <c r="K12" s="1038" t="s">
        <v>59</v>
      </c>
      <c r="L12" s="1038" t="s">
        <v>60</v>
      </c>
      <c r="M12" s="1049" t="s">
        <v>61</v>
      </c>
      <c r="N12" s="1049" t="s">
        <v>62</v>
      </c>
    </row>
    <row r="13" spans="1:19" x14ac:dyDescent="0.4">
      <c r="C13" s="141">
        <v>2010</v>
      </c>
      <c r="D13" s="1050">
        <v>96.919137466901205</v>
      </c>
      <c r="F13" s="1050">
        <v>99.031973386985484</v>
      </c>
      <c r="G13" s="1050">
        <v>91.261925078136457</v>
      </c>
      <c r="I13" s="1050">
        <v>98.954685941542323</v>
      </c>
      <c r="J13" s="1050">
        <v>92.321518845138456</v>
      </c>
      <c r="K13" s="1050">
        <v>98.193511738477454</v>
      </c>
      <c r="L13" s="1050">
        <v>94.44369046140875</v>
      </c>
      <c r="M13" s="1050">
        <v>93.916358253145816</v>
      </c>
      <c r="N13" s="1050">
        <v>89.777255528389659</v>
      </c>
    </row>
    <row r="14" spans="1:19" x14ac:dyDescent="0.4">
      <c r="C14" s="141">
        <v>2011</v>
      </c>
      <c r="D14" s="1050">
        <v>96.956936607128469</v>
      </c>
      <c r="F14" s="1050">
        <v>98.933101143471262</v>
      </c>
      <c r="G14" s="1050">
        <v>91.667714083283641</v>
      </c>
      <c r="I14" s="1050">
        <v>98.874642650507766</v>
      </c>
      <c r="J14" s="1050">
        <v>90.370900382582292</v>
      </c>
      <c r="K14" s="1050">
        <v>97.82507177033493</v>
      </c>
      <c r="L14" s="1050">
        <v>95.490823176880752</v>
      </c>
      <c r="M14" s="1050">
        <v>94.237236282053459</v>
      </c>
      <c r="N14" s="1050">
        <v>91.739291883041986</v>
      </c>
    </row>
    <row r="15" spans="1:19" x14ac:dyDescent="0.4">
      <c r="C15" s="141">
        <v>2012</v>
      </c>
      <c r="D15" s="142">
        <v>97.802723016121121</v>
      </c>
      <c r="F15" s="142">
        <v>99.484597147647293</v>
      </c>
      <c r="G15" s="142">
        <v>93.306724391328345</v>
      </c>
      <c r="I15" s="142">
        <v>99.236672726784974</v>
      </c>
      <c r="J15" s="142">
        <v>93.411331638050413</v>
      </c>
      <c r="K15" s="142">
        <v>98.336635748043932</v>
      </c>
      <c r="L15" s="142">
        <v>96.878034015237176</v>
      </c>
      <c r="M15" s="142">
        <v>96.392997790798191</v>
      </c>
      <c r="N15" s="142">
        <v>92.64393265933775</v>
      </c>
    </row>
    <row r="16" spans="1:19" x14ac:dyDescent="0.4">
      <c r="C16" s="141">
        <v>2013</v>
      </c>
      <c r="D16" s="142">
        <v>97.510943368677232</v>
      </c>
      <c r="F16" s="142">
        <v>98.852328253316941</v>
      </c>
      <c r="G16" s="142">
        <v>93.931431489881177</v>
      </c>
      <c r="I16" s="142">
        <v>98.766775899813723</v>
      </c>
      <c r="J16" s="142">
        <v>94.018262003851177</v>
      </c>
      <c r="K16" s="142">
        <v>98.454676917174524</v>
      </c>
      <c r="L16" s="142">
        <v>96.65481980296795</v>
      </c>
      <c r="M16" s="142">
        <v>95.244291043805134</v>
      </c>
      <c r="N16" s="142">
        <v>93.578518011275818</v>
      </c>
    </row>
    <row r="17" spans="3:14" x14ac:dyDescent="0.4">
      <c r="C17" s="141">
        <v>2014</v>
      </c>
      <c r="D17" s="142">
        <v>98.086921098435113</v>
      </c>
      <c r="F17" s="142">
        <v>99.279526612757735</v>
      </c>
      <c r="G17" s="142">
        <v>94.909375441527885</v>
      </c>
      <c r="I17" s="142">
        <v>99.281662359799981</v>
      </c>
      <c r="J17" s="142">
        <v>94.733297901054897</v>
      </c>
      <c r="K17" s="142">
        <v>98.460885063688139</v>
      </c>
      <c r="L17" s="142">
        <v>96.82934149372123</v>
      </c>
      <c r="M17" s="142">
        <v>95.848486334853888</v>
      </c>
      <c r="N17" s="142">
        <v>95.313051064540673</v>
      </c>
    </row>
    <row r="18" spans="3:14" x14ac:dyDescent="0.4">
      <c r="C18" s="141">
        <v>2015</v>
      </c>
      <c r="D18" s="546">
        <v>97.966569240623016</v>
      </c>
      <c r="F18" s="546">
        <v>98.929650070900223</v>
      </c>
      <c r="G18" s="546">
        <v>95.405766087918195</v>
      </c>
      <c r="I18" s="546">
        <v>99.150287534670952</v>
      </c>
      <c r="J18" s="546">
        <v>95.852475369289849</v>
      </c>
      <c r="K18" s="546">
        <v>98.351801345118588</v>
      </c>
      <c r="L18" s="546">
        <v>96.615832165337991</v>
      </c>
      <c r="M18" s="546">
        <v>95.61241164092624</v>
      </c>
      <c r="N18" s="546">
        <v>94.356230807368931</v>
      </c>
    </row>
    <row r="19" spans="3:14" x14ac:dyDescent="0.4">
      <c r="C19" s="141">
        <v>2016</v>
      </c>
      <c r="D19" s="546">
        <v>97.859629977900767</v>
      </c>
      <c r="F19" s="546">
        <v>98.901661388484712</v>
      </c>
      <c r="G19" s="546">
        <v>95.093622434108553</v>
      </c>
      <c r="I19" s="546">
        <v>98.841602091995711</v>
      </c>
      <c r="J19" s="546">
        <v>97.257067209118347</v>
      </c>
      <c r="K19" s="546">
        <v>98.182099264266682</v>
      </c>
      <c r="L19" s="546">
        <v>97.0512593118127</v>
      </c>
      <c r="M19" s="546">
        <v>95.005761969181435</v>
      </c>
      <c r="N19" s="546">
        <v>94.525543727397761</v>
      </c>
    </row>
    <row r="20" spans="3:14" x14ac:dyDescent="0.4">
      <c r="C20" s="141">
        <v>2017</v>
      </c>
      <c r="D20" s="546">
        <v>97.970667313562572</v>
      </c>
      <c r="F20" s="546">
        <v>98.652782378962542</v>
      </c>
      <c r="G20" s="546">
        <v>96.161903988543003</v>
      </c>
      <c r="I20" s="546">
        <v>98.610837659651807</v>
      </c>
      <c r="J20" s="546">
        <v>97.3626938747379</v>
      </c>
      <c r="K20" s="546">
        <v>96.959529574541676</v>
      </c>
      <c r="L20" s="546">
        <v>97.006756719609882</v>
      </c>
      <c r="M20" s="546">
        <v>96.85344837291197</v>
      </c>
      <c r="N20" s="546">
        <v>96.472519689571726</v>
      </c>
    </row>
    <row r="21" spans="3:14" x14ac:dyDescent="0.4">
      <c r="C21" s="141">
        <v>2018</v>
      </c>
      <c r="D21" s="546">
        <v>98.224104572780831</v>
      </c>
      <c r="F21" s="546">
        <v>98.998192753497861</v>
      </c>
      <c r="G21" s="546">
        <v>96.176610926362343</v>
      </c>
      <c r="I21" s="546">
        <v>98.945625336189693</v>
      </c>
      <c r="J21" s="546">
        <v>96.003269672223183</v>
      </c>
      <c r="K21" s="546">
        <v>98.404740510809788</v>
      </c>
      <c r="L21" s="546">
        <v>98.665444005960467</v>
      </c>
      <c r="M21" s="546">
        <v>96.112451083600959</v>
      </c>
      <c r="N21" s="546">
        <v>96.623254877997894</v>
      </c>
    </row>
    <row r="22" spans="3:14" x14ac:dyDescent="0.4">
      <c r="C22" s="141">
        <v>2019</v>
      </c>
      <c r="D22" s="546">
        <v>98.509920489828502</v>
      </c>
      <c r="F22" s="546">
        <v>99.041871039356721</v>
      </c>
      <c r="G22" s="546">
        <v>97.104902573196043</v>
      </c>
      <c r="I22" s="546">
        <v>99.041768798766981</v>
      </c>
      <c r="J22" s="546">
        <v>97.809150367157073</v>
      </c>
      <c r="K22" s="546">
        <v>97.40261047207882</v>
      </c>
      <c r="L22" s="546">
        <v>98.467536981123885</v>
      </c>
      <c r="M22" s="546">
        <v>97.396648093790091</v>
      </c>
      <c r="N22" s="546">
        <v>97.203565405926284</v>
      </c>
    </row>
    <row r="23" spans="3:14" x14ac:dyDescent="0.4">
      <c r="C23" s="141">
        <v>2020</v>
      </c>
      <c r="D23" s="546">
        <v>98.616544766067264</v>
      </c>
      <c r="F23" s="546">
        <v>99.114194841525688</v>
      </c>
      <c r="G23" s="546">
        <v>97.303087586641453</v>
      </c>
      <c r="I23" s="546">
        <v>99.05841620160308</v>
      </c>
      <c r="J23" s="546">
        <v>98.444594553414532</v>
      </c>
      <c r="K23" s="546">
        <v>98.260993067092969</v>
      </c>
      <c r="L23" s="546">
        <v>99.397552913449246</v>
      </c>
      <c r="M23" s="546">
        <v>98.140896368282895</v>
      </c>
      <c r="N23" s="546">
        <v>95.554781553800623</v>
      </c>
    </row>
    <row r="24" spans="3:14" x14ac:dyDescent="0.4">
      <c r="C24" s="141">
        <v>2021</v>
      </c>
      <c r="D24" s="546">
        <v>98.444923929191802</v>
      </c>
      <c r="F24" s="546">
        <v>99.078348277436433</v>
      </c>
      <c r="G24" s="546">
        <v>96.775479108489961</v>
      </c>
      <c r="I24" s="546">
        <v>99.026057369025963</v>
      </c>
      <c r="J24" s="546">
        <v>97.35100498548924</v>
      </c>
      <c r="K24" s="546">
        <v>98.611269320019929</v>
      </c>
      <c r="L24" s="546">
        <v>97.602913841013816</v>
      </c>
      <c r="M24" s="546">
        <v>97.68172904912619</v>
      </c>
      <c r="N24" s="546">
        <v>96.581025412933968</v>
      </c>
    </row>
    <row r="25" spans="3:14" x14ac:dyDescent="0.4">
      <c r="C25" s="2366">
        <v>2022</v>
      </c>
      <c r="D25" s="2367">
        <v>98.770686758173042</v>
      </c>
      <c r="E25" s="2296"/>
      <c r="F25" s="2367">
        <v>99.286989834753527</v>
      </c>
      <c r="G25" s="2367">
        <v>97.413037500130542</v>
      </c>
      <c r="H25" s="2296"/>
      <c r="I25" s="2367">
        <v>99.088174436735429</v>
      </c>
      <c r="J25" s="2367">
        <v>96.795797864853057</v>
      </c>
      <c r="K25" s="2367">
        <v>98.511659522076627</v>
      </c>
      <c r="L25" s="2367">
        <v>98.587582721178762</v>
      </c>
      <c r="M25" s="2367">
        <v>98.362466558689633</v>
      </c>
      <c r="N25" s="2367">
        <v>99.044306114976195</v>
      </c>
    </row>
    <row r="26" spans="3:14" x14ac:dyDescent="0.4">
      <c r="C26" s="2366">
        <v>2023</v>
      </c>
      <c r="D26" s="2367">
        <v>99.102616511711744</v>
      </c>
      <c r="E26" s="2296"/>
      <c r="F26" s="2367">
        <v>99.453372788053358</v>
      </c>
      <c r="G26" s="2367">
        <v>98.181909618360152</v>
      </c>
      <c r="H26" s="2296"/>
      <c r="I26" s="2367">
        <v>99.336895399183405</v>
      </c>
      <c r="J26" s="2367">
        <v>97.317649699101565</v>
      </c>
      <c r="K26" s="2367">
        <v>99.499283561128209</v>
      </c>
      <c r="L26" s="2367">
        <v>98.81877285548012</v>
      </c>
      <c r="M26" s="2367">
        <v>99.010213751711063</v>
      </c>
      <c r="N26" s="2367">
        <v>99.097030433335433</v>
      </c>
    </row>
    <row r="27" spans="3:14" s="2279" customFormat="1" x14ac:dyDescent="0.4">
      <c r="C27" s="2288">
        <v>2024</v>
      </c>
      <c r="D27" s="1051">
        <v>99.069639736800923</v>
      </c>
      <c r="E27" s="120"/>
      <c r="F27" s="1051">
        <v>99.351923141472369</v>
      </c>
      <c r="G27" s="1051">
        <v>98.330111303190762</v>
      </c>
      <c r="H27" s="120"/>
      <c r="I27" s="1051">
        <v>99.305255957606221</v>
      </c>
      <c r="J27" s="1051">
        <v>97.9029229065344</v>
      </c>
      <c r="K27" s="1051">
        <v>99.256011359558102</v>
      </c>
      <c r="L27" s="1051">
        <v>98.879837067209778</v>
      </c>
      <c r="M27" s="1051">
        <v>98.651277720434138</v>
      </c>
      <c r="N27" s="1051">
        <v>98.909304991788801</v>
      </c>
    </row>
    <row r="28" spans="3:14" x14ac:dyDescent="0.4">
      <c r="C28" s="2278" t="s">
        <v>8115</v>
      </c>
      <c r="D28" s="546"/>
      <c r="E28" s="2279"/>
      <c r="F28" s="546"/>
      <c r="G28" s="546"/>
      <c r="H28" s="2279"/>
      <c r="I28" s="546"/>
      <c r="J28" s="546"/>
      <c r="K28" s="546"/>
      <c r="L28" s="546"/>
      <c r="M28" s="546"/>
      <c r="N28" s="546"/>
    </row>
    <row r="31" spans="3:14" ht="15" customHeight="1" x14ac:dyDescent="0.4">
      <c r="C31" s="2628" t="s">
        <v>8125</v>
      </c>
      <c r="D31" s="2628"/>
      <c r="E31" s="2628"/>
      <c r="F31" s="2628"/>
      <c r="G31" s="2628"/>
      <c r="H31" s="2628"/>
      <c r="I31" s="2628"/>
      <c r="J31" s="2628"/>
      <c r="K31" s="2628"/>
    </row>
    <row r="32" spans="3:14" x14ac:dyDescent="0.4">
      <c r="C32" s="2628"/>
      <c r="D32" s="2628"/>
      <c r="E32" s="2628"/>
      <c r="F32" s="2628"/>
      <c r="G32" s="2628"/>
      <c r="H32" s="2628"/>
      <c r="I32" s="2628"/>
      <c r="J32" s="2628"/>
      <c r="K32" s="2628"/>
    </row>
    <row r="38" spans="11:16" x14ac:dyDescent="0.4">
      <c r="K38" s="226"/>
      <c r="L38" s="226"/>
      <c r="M38" s="226"/>
      <c r="N38" s="226"/>
      <c r="O38" s="226"/>
      <c r="P38" s="226"/>
    </row>
    <row r="49" spans="3:3" x14ac:dyDescent="0.4">
      <c r="C49" s="155" t="s">
        <v>8109</v>
      </c>
    </row>
  </sheetData>
  <mergeCells count="16">
    <mergeCell ref="A5:B5"/>
    <mergeCell ref="C5:S5"/>
    <mergeCell ref="C1:E1"/>
    <mergeCell ref="A3:B3"/>
    <mergeCell ref="C3:S3"/>
    <mergeCell ref="A4:B4"/>
    <mergeCell ref="C4:S4"/>
    <mergeCell ref="C31:K32"/>
    <mergeCell ref="A6:B6"/>
    <mergeCell ref="C6:S6"/>
    <mergeCell ref="C9:N9"/>
    <mergeCell ref="P9:Q11"/>
    <mergeCell ref="C11:C12"/>
    <mergeCell ref="D11:D12"/>
    <mergeCell ref="F11:G11"/>
    <mergeCell ref="I11:N11"/>
  </mergeCells>
  <hyperlinks>
    <hyperlink ref="A1" location="'ODS 6.'!A1" display="REGRESAR" xr:uid="{3F849662-F866-4B10-89BD-E7827CE79622}"/>
    <hyperlink ref="C1" location="'Metadato 6.2.1'!A1" display="VER METADATO" xr:uid="{8FEB5C51-821C-4D52-B98F-E607267FF51B}"/>
    <hyperlink ref="C1:E1" location="'Metadato 6.2.1.a'!A1" display="VER METADATO" xr:uid="{60251774-308D-4B67-809E-296F265C6C71}"/>
    <hyperlink ref="P9:Q11" location="'6.2.1.b'!A1" display="Ver indicador 6.2.1.b" xr:uid="{82C9161C-FFAB-4607-8DD0-D3B7E3C7CAA5}"/>
  </hyperlinks>
  <pageMargins left="0.7" right="0.7" top="0.75" bottom="0.75" header="0.3" footer="0.3"/>
  <pageSetup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D3C9-4807-49CD-97F7-5D844519C35A}">
  <sheetPr>
    <tabColor theme="0" tint="-0.499984740745262"/>
  </sheetPr>
  <dimension ref="A1:N4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2.75" x14ac:dyDescent="0.25"/>
  <cols>
    <col min="1" max="1" width="13" style="270" customWidth="1"/>
    <col min="2" max="2" width="26.42578125" style="1052" customWidth="1"/>
    <col min="3" max="3" width="24" style="270" customWidth="1"/>
    <col min="4" max="4" width="85.7109375" style="270" customWidth="1"/>
    <col min="5" max="5" width="11.42578125" style="270"/>
    <col min="6" max="6" width="7.28515625" style="270" customWidth="1"/>
    <col min="7" max="16384" width="11.42578125" style="270"/>
  </cols>
  <sheetData>
    <row r="1" spans="1:6" ht="18.75" x14ac:dyDescent="0.4">
      <c r="B1" s="90" t="s">
        <v>39</v>
      </c>
    </row>
    <row r="2" spans="1:6" ht="13.5" thickBot="1" x14ac:dyDescent="0.3"/>
    <row r="3" spans="1:6" ht="23.25" customHeight="1" thickBot="1" x14ac:dyDescent="0.3">
      <c r="B3" s="2809" t="s">
        <v>75</v>
      </c>
      <c r="C3" s="2809"/>
      <c r="D3" s="2809"/>
      <c r="F3" s="1053" t="s">
        <v>265</v>
      </c>
    </row>
    <row r="4" spans="1:6" ht="29.25" customHeight="1" x14ac:dyDescent="0.25">
      <c r="A4" s="275"/>
      <c r="B4" s="2445" t="s">
        <v>234</v>
      </c>
      <c r="C4" s="2445"/>
      <c r="D4" s="49" t="s">
        <v>2803</v>
      </c>
    </row>
    <row r="5" spans="1:6" ht="49.5" customHeight="1" x14ac:dyDescent="0.25">
      <c r="B5" s="2445" t="s">
        <v>79</v>
      </c>
      <c r="C5" s="2445"/>
      <c r="D5" s="49" t="s">
        <v>2772</v>
      </c>
    </row>
    <row r="6" spans="1:6" ht="18.75" x14ac:dyDescent="0.25">
      <c r="B6" s="2445" t="s">
        <v>80</v>
      </c>
      <c r="C6" s="2445"/>
      <c r="D6" s="50" t="s">
        <v>2773</v>
      </c>
    </row>
    <row r="7" spans="1:6" ht="37.5" x14ac:dyDescent="0.25">
      <c r="B7" s="2446" t="s">
        <v>81</v>
      </c>
      <c r="C7" s="2446"/>
      <c r="D7" s="93" t="s">
        <v>2774</v>
      </c>
    </row>
    <row r="8" spans="1:6" ht="18.75" x14ac:dyDescent="0.25">
      <c r="B8" s="2446" t="s">
        <v>210</v>
      </c>
      <c r="C8" s="2446"/>
      <c r="D8" s="1047" t="s">
        <v>2815</v>
      </c>
    </row>
    <row r="9" spans="1:6" ht="18.75" x14ac:dyDescent="0.4">
      <c r="B9" s="115"/>
      <c r="C9" s="115"/>
      <c r="D9" s="115"/>
    </row>
    <row r="10" spans="1:6" ht="19.5" x14ac:dyDescent="0.25">
      <c r="B10" s="2809" t="s">
        <v>85</v>
      </c>
      <c r="C10" s="2809"/>
      <c r="D10" s="2809"/>
    </row>
    <row r="11" spans="1:6" ht="18.75" x14ac:dyDescent="0.25">
      <c r="B11" s="2487" t="s">
        <v>86</v>
      </c>
      <c r="C11" s="2456"/>
      <c r="D11" s="49" t="s">
        <v>167</v>
      </c>
    </row>
    <row r="12" spans="1:6" ht="30.75" customHeight="1" x14ac:dyDescent="0.25">
      <c r="B12" s="2446" t="s">
        <v>88</v>
      </c>
      <c r="C12" s="2446"/>
      <c r="D12" s="184" t="s">
        <v>2816</v>
      </c>
    </row>
    <row r="13" spans="1:6" ht="18.75" x14ac:dyDescent="0.25">
      <c r="B13" s="2445" t="s">
        <v>90</v>
      </c>
      <c r="C13" s="2445"/>
      <c r="D13" s="54" t="s">
        <v>2773</v>
      </c>
    </row>
    <row r="14" spans="1:6" ht="18.75" x14ac:dyDescent="0.25">
      <c r="B14" s="2445" t="s">
        <v>91</v>
      </c>
      <c r="C14" s="2456"/>
      <c r="D14" s="54" t="s">
        <v>214</v>
      </c>
    </row>
    <row r="15" spans="1:6" ht="276" customHeight="1" x14ac:dyDescent="0.25">
      <c r="B15" s="2445" t="s">
        <v>93</v>
      </c>
      <c r="C15" s="2445"/>
      <c r="D15" s="55" t="s">
        <v>2817</v>
      </c>
    </row>
    <row r="16" spans="1:6" ht="51" customHeight="1" x14ac:dyDescent="0.4">
      <c r="B16" s="2445" t="s">
        <v>95</v>
      </c>
      <c r="C16" s="2445"/>
      <c r="D16" s="594"/>
    </row>
    <row r="17" spans="2:14" ht="18.75" x14ac:dyDescent="0.4">
      <c r="B17" s="2445" t="s">
        <v>97</v>
      </c>
      <c r="C17" s="2445"/>
      <c r="D17" s="594" t="s">
        <v>98</v>
      </c>
    </row>
    <row r="18" spans="2:14" ht="18.75" x14ac:dyDescent="0.25">
      <c r="B18" s="2446" t="s">
        <v>99</v>
      </c>
      <c r="C18" s="2446"/>
      <c r="D18" s="49"/>
    </row>
    <row r="19" spans="2:14" ht="37.5" x14ac:dyDescent="0.4">
      <c r="B19" s="2457" t="s">
        <v>100</v>
      </c>
      <c r="C19" s="2458"/>
      <c r="D19" s="594" t="s">
        <v>2818</v>
      </c>
    </row>
    <row r="20" spans="2:14" ht="18.75" x14ac:dyDescent="0.4">
      <c r="B20" s="2445" t="s">
        <v>102</v>
      </c>
      <c r="C20" s="2445"/>
      <c r="D20" s="594" t="s">
        <v>140</v>
      </c>
    </row>
    <row r="21" spans="2:14" ht="18.75" x14ac:dyDescent="0.25">
      <c r="B21" s="2451" t="s">
        <v>104</v>
      </c>
      <c r="C21" s="95" t="s">
        <v>105</v>
      </c>
      <c r="D21" s="49" t="s">
        <v>2819</v>
      </c>
      <c r="E21" s="1054"/>
      <c r="F21" s="1054"/>
      <c r="G21" s="1054"/>
      <c r="H21" s="1054"/>
      <c r="I21" s="1054"/>
      <c r="J21" s="1054"/>
      <c r="K21" s="1054"/>
      <c r="L21" s="1054"/>
      <c r="M21" s="1054"/>
      <c r="N21" s="1054"/>
    </row>
    <row r="22" spans="2:14" ht="18.75" x14ac:dyDescent="0.25">
      <c r="B22" s="2452"/>
      <c r="C22" s="96" t="s">
        <v>107</v>
      </c>
      <c r="D22" s="55" t="s">
        <v>2820</v>
      </c>
    </row>
    <row r="23" spans="2:14" ht="18.75" x14ac:dyDescent="0.4">
      <c r="B23" s="2445" t="s">
        <v>109</v>
      </c>
      <c r="C23" s="2445"/>
      <c r="D23" s="594" t="s">
        <v>143</v>
      </c>
    </row>
    <row r="24" spans="2:14" ht="18.75" x14ac:dyDescent="0.4">
      <c r="B24" s="2445" t="s">
        <v>111</v>
      </c>
      <c r="C24" s="2445"/>
      <c r="D24" s="826" t="s">
        <v>127</v>
      </c>
    </row>
    <row r="25" spans="2:14" ht="18.75" x14ac:dyDescent="0.25">
      <c r="B25" s="2445" t="s">
        <v>113</v>
      </c>
      <c r="C25" s="2445"/>
      <c r="D25" s="55" t="s">
        <v>144</v>
      </c>
    </row>
    <row r="26" spans="2:14" ht="15" customHeight="1" x14ac:dyDescent="0.4">
      <c r="B26" s="2446" t="s">
        <v>115</v>
      </c>
      <c r="C26" s="2446"/>
      <c r="D26" s="826" t="s">
        <v>116</v>
      </c>
    </row>
    <row r="27" spans="2:14" ht="18.75" x14ac:dyDescent="0.25">
      <c r="B27" s="2447" t="s">
        <v>117</v>
      </c>
      <c r="C27" s="2448"/>
      <c r="D27" s="49"/>
    </row>
    <row r="28" spans="2:14" ht="15" customHeight="1" x14ac:dyDescent="0.25">
      <c r="B28" s="97" t="s">
        <v>118</v>
      </c>
      <c r="C28" s="98"/>
      <c r="D28" s="754" t="s">
        <v>2821</v>
      </c>
    </row>
    <row r="29" spans="2:14" ht="18.75" x14ac:dyDescent="0.25">
      <c r="B29" s="2449" t="s">
        <v>120</v>
      </c>
      <c r="C29" s="2450"/>
      <c r="D29" s="62"/>
    </row>
    <row r="30" spans="2:14" ht="18.75" x14ac:dyDescent="0.25">
      <c r="B30" s="63"/>
      <c r="C30" s="63"/>
      <c r="D30" s="64"/>
    </row>
    <row r="31" spans="2:14" ht="19.5" x14ac:dyDescent="0.25">
      <c r="B31" s="2809" t="s">
        <v>121</v>
      </c>
      <c r="C31" s="2809"/>
      <c r="D31" s="2809"/>
    </row>
    <row r="32" spans="2:14" ht="18.75" x14ac:dyDescent="0.4">
      <c r="B32" s="2447" t="s">
        <v>122</v>
      </c>
      <c r="C32" s="2448"/>
      <c r="D32" s="826" t="s">
        <v>123</v>
      </c>
    </row>
    <row r="33" spans="2:4" ht="18.75" x14ac:dyDescent="0.4">
      <c r="B33" s="2447" t="s">
        <v>124</v>
      </c>
      <c r="C33" s="2448"/>
      <c r="D33" s="826" t="s">
        <v>1790</v>
      </c>
    </row>
    <row r="34" spans="2:4" ht="18.75" x14ac:dyDescent="0.4">
      <c r="B34" s="2447" t="s">
        <v>126</v>
      </c>
      <c r="C34" s="2448"/>
      <c r="D34" s="826" t="s">
        <v>127</v>
      </c>
    </row>
    <row r="35" spans="2:4" ht="18.75" x14ac:dyDescent="0.4">
      <c r="B35" s="2447" t="s">
        <v>128</v>
      </c>
      <c r="C35" s="2448"/>
      <c r="D35" s="826" t="s">
        <v>2822</v>
      </c>
    </row>
    <row r="36" spans="2:4" ht="18.75" x14ac:dyDescent="0.4">
      <c r="B36" s="2447" t="s">
        <v>130</v>
      </c>
      <c r="C36" s="2448"/>
      <c r="D36" s="826" t="s">
        <v>131</v>
      </c>
    </row>
    <row r="39" spans="2:4" ht="19.5" x14ac:dyDescent="0.25">
      <c r="B39" s="2809" t="s">
        <v>2823</v>
      </c>
      <c r="C39" s="2809"/>
      <c r="D39" s="2809"/>
    </row>
    <row r="40" spans="2:4" ht="18.75" x14ac:dyDescent="0.25">
      <c r="B40" s="2447" t="s">
        <v>122</v>
      </c>
      <c r="C40" s="2448"/>
      <c r="D40" s="50" t="s">
        <v>1480</v>
      </c>
    </row>
    <row r="41" spans="2:4" ht="18.75" x14ac:dyDescent="0.25">
      <c r="B41" s="2447" t="s">
        <v>124</v>
      </c>
      <c r="C41" s="2448"/>
      <c r="D41" s="50" t="s">
        <v>1511</v>
      </c>
    </row>
    <row r="42" spans="2:4" ht="18.75" x14ac:dyDescent="0.25">
      <c r="B42" s="2447" t="s">
        <v>126</v>
      </c>
      <c r="C42" s="2448"/>
      <c r="D42" s="50" t="s">
        <v>522</v>
      </c>
    </row>
    <row r="43" spans="2:4" ht="18.75" x14ac:dyDescent="0.25">
      <c r="B43" s="2447" t="s">
        <v>128</v>
      </c>
      <c r="C43" s="2448"/>
      <c r="D43" s="50" t="s">
        <v>1483</v>
      </c>
    </row>
    <row r="44" spans="2:4" ht="18.75" x14ac:dyDescent="0.25">
      <c r="B44" s="2447" t="s">
        <v>130</v>
      </c>
      <c r="C44" s="2448"/>
      <c r="D44" s="50" t="s">
        <v>1484</v>
      </c>
    </row>
    <row r="45" spans="2:4" ht="18.75" x14ac:dyDescent="0.25">
      <c r="B45" s="2447" t="s">
        <v>128</v>
      </c>
      <c r="C45" s="2448"/>
      <c r="D45" s="50" t="s">
        <v>1483</v>
      </c>
    </row>
    <row r="46" spans="2:4" ht="18.75" x14ac:dyDescent="0.25">
      <c r="B46" s="2447" t="s">
        <v>130</v>
      </c>
      <c r="C46" s="2448"/>
      <c r="D46" s="50" t="s">
        <v>1484</v>
      </c>
    </row>
  </sheetData>
  <mergeCells count="38">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5:C45"/>
    <mergeCell ref="B46:C46"/>
    <mergeCell ref="B39:D39"/>
    <mergeCell ref="B40:C40"/>
    <mergeCell ref="B41:C41"/>
    <mergeCell ref="B42:C42"/>
    <mergeCell ref="B43:C43"/>
    <mergeCell ref="B44:C44"/>
  </mergeCells>
  <dataValidations count="5">
    <dataValidation type="list" allowBlank="1" showInputMessage="1" showErrorMessage="1" sqref="D7" xr:uid="{53D4C4D0-9101-40C5-94DA-99CA44C531FD}">
      <formula1>Nombre_indicador_ODS</formula1>
    </dataValidation>
    <dataValidation type="list" allowBlank="1" showInputMessage="1" showErrorMessage="1" sqref="D6" xr:uid="{8323CB46-7C50-41C0-AB7B-11642F6516B7}">
      <formula1>Numero_indicador</formula1>
    </dataValidation>
    <dataValidation type="list" allowBlank="1" showInputMessage="1" showErrorMessage="1" sqref="D5" xr:uid="{39ED28B4-D266-4C0A-B106-C7BB95152D64}">
      <formula1>Metas_ODS</formula1>
    </dataValidation>
    <dataValidation type="list" allowBlank="1" showInputMessage="1" showErrorMessage="1" sqref="D4" xr:uid="{0E3F886D-A523-424E-B762-42D8F24B0D81}">
      <formula1>ODS</formula1>
    </dataValidation>
    <dataValidation allowBlank="1" showDropDown="1" showInputMessage="1" showErrorMessage="1" sqref="D13" xr:uid="{724E84AA-616E-4CE1-96D7-76F339C63432}"/>
  </dataValidations>
  <hyperlinks>
    <hyperlink ref="B1" location="'6.2.1.a'!A1" display="REGRESAR" xr:uid="{4903CF4D-5E54-4D58-8678-E9D8BFF014B5}"/>
    <hyperlink ref="D8" r:id="rId1" xr:uid="{53402E03-5DD9-4395-968D-89D6E46BA9FF}"/>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91AE-56C8-4F05-BD38-E3E4580E5A2B}">
  <sheetPr>
    <tabColor theme="0" tint="-0.499984740745262"/>
  </sheetPr>
  <dimension ref="A1:G48"/>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7" x14ac:dyDescent="0.4">
      <c r="B1" s="90" t="s">
        <v>39</v>
      </c>
    </row>
    <row r="2" spans="1:7" ht="19.5" thickBot="1" x14ac:dyDescent="0.45"/>
    <row r="3" spans="1:7" ht="23.25" customHeight="1" thickBot="1" x14ac:dyDescent="0.45">
      <c r="B3" s="2431" t="s">
        <v>75</v>
      </c>
      <c r="C3" s="2431"/>
      <c r="D3" s="2431"/>
      <c r="F3" s="91" t="s">
        <v>265</v>
      </c>
    </row>
    <row r="4" spans="1:7" x14ac:dyDescent="0.4">
      <c r="A4" s="92"/>
      <c r="B4" s="2445" t="s">
        <v>234</v>
      </c>
      <c r="C4" s="2445"/>
      <c r="D4" s="49" t="s">
        <v>78</v>
      </c>
    </row>
    <row r="5" spans="1:7" ht="56.25" x14ac:dyDescent="0.4">
      <c r="B5" s="2445" t="s">
        <v>79</v>
      </c>
      <c r="C5" s="2445"/>
      <c r="D5" s="49" t="s">
        <v>22</v>
      </c>
    </row>
    <row r="6" spans="1:7" x14ac:dyDescent="0.4">
      <c r="B6" s="2445" t="s">
        <v>80</v>
      </c>
      <c r="C6" s="2445"/>
      <c r="D6" s="50" t="s">
        <v>25</v>
      </c>
    </row>
    <row r="7" spans="1:7" ht="37.5" x14ac:dyDescent="0.4">
      <c r="B7" s="2446" t="s">
        <v>81</v>
      </c>
      <c r="C7" s="2446"/>
      <c r="D7" s="93" t="s">
        <v>26</v>
      </c>
    </row>
    <row r="8" spans="1:7" x14ac:dyDescent="0.4">
      <c r="B8" s="2446" t="s">
        <v>82</v>
      </c>
      <c r="C8" s="2446"/>
      <c r="D8" s="94" t="s">
        <v>306</v>
      </c>
    </row>
    <row r="10" spans="1:7" ht="23.25" customHeight="1" x14ac:dyDescent="0.4">
      <c r="B10" s="2431" t="s">
        <v>85</v>
      </c>
      <c r="C10" s="2431"/>
      <c r="D10" s="2431"/>
    </row>
    <row r="11" spans="1:7" x14ac:dyDescent="0.4">
      <c r="B11" s="2453" t="s">
        <v>86</v>
      </c>
      <c r="C11" s="2454"/>
      <c r="D11" s="49" t="s">
        <v>307</v>
      </c>
    </row>
    <row r="12" spans="1:7" ht="17.45" customHeight="1" x14ac:dyDescent="0.4">
      <c r="B12" s="2455" t="s">
        <v>88</v>
      </c>
      <c r="C12" s="2455"/>
      <c r="D12" s="214" t="s">
        <v>308</v>
      </c>
    </row>
    <row r="13" spans="1:7" x14ac:dyDescent="0.4">
      <c r="B13" s="2445" t="s">
        <v>90</v>
      </c>
      <c r="C13" s="2445"/>
      <c r="D13" s="54" t="s">
        <v>25</v>
      </c>
    </row>
    <row r="14" spans="1:7" x14ac:dyDescent="0.4">
      <c r="B14" s="2445" t="s">
        <v>91</v>
      </c>
      <c r="C14" s="2456"/>
      <c r="D14" s="54" t="s">
        <v>92</v>
      </c>
    </row>
    <row r="15" spans="1:7" ht="187.5" x14ac:dyDescent="0.4">
      <c r="B15" s="2445" t="s">
        <v>93</v>
      </c>
      <c r="C15" s="2445"/>
      <c r="D15" s="204" t="s">
        <v>309</v>
      </c>
    </row>
    <row r="16" spans="1:7" ht="41.25" customHeight="1" x14ac:dyDescent="0.4">
      <c r="B16" s="2445" t="s">
        <v>95</v>
      </c>
      <c r="C16" s="2445"/>
      <c r="D16" s="49"/>
      <c r="G16" s="115"/>
    </row>
    <row r="17" spans="1:4" x14ac:dyDescent="0.4">
      <c r="B17" s="2445" t="s">
        <v>97</v>
      </c>
      <c r="C17" s="2445"/>
      <c r="D17" s="203" t="s">
        <v>270</v>
      </c>
    </row>
    <row r="18" spans="1:4" ht="37.5" x14ac:dyDescent="0.4">
      <c r="B18" s="2487" t="s">
        <v>310</v>
      </c>
      <c r="C18" s="2456"/>
      <c r="D18" s="203" t="s">
        <v>311</v>
      </c>
    </row>
    <row r="19" spans="1:4" ht="18.75" customHeight="1" x14ac:dyDescent="0.4">
      <c r="B19" s="2446" t="s">
        <v>99</v>
      </c>
      <c r="C19" s="2446"/>
      <c r="D19" s="49"/>
    </row>
    <row r="20" spans="1:4" x14ac:dyDescent="0.4">
      <c r="B20" s="2457" t="s">
        <v>100</v>
      </c>
      <c r="C20" s="2458"/>
      <c r="D20" s="56" t="s">
        <v>312</v>
      </c>
    </row>
    <row r="21" spans="1:4" x14ac:dyDescent="0.4">
      <c r="A21" s="215"/>
      <c r="B21" s="2445" t="s">
        <v>102</v>
      </c>
      <c r="C21" s="2445"/>
      <c r="D21" s="49" t="s">
        <v>140</v>
      </c>
    </row>
    <row r="22" spans="1:4" x14ac:dyDescent="0.4">
      <c r="B22" s="2451" t="s">
        <v>104</v>
      </c>
      <c r="C22" s="95" t="s">
        <v>105</v>
      </c>
      <c r="D22" s="49" t="s">
        <v>313</v>
      </c>
    </row>
    <row r="23" spans="1:4" x14ac:dyDescent="0.4">
      <c r="B23" s="2452"/>
      <c r="C23" s="96" t="s">
        <v>107</v>
      </c>
      <c r="D23" s="55"/>
    </row>
    <row r="24" spans="1:4" x14ac:dyDescent="0.4">
      <c r="B24" s="2444" t="s">
        <v>109</v>
      </c>
      <c r="C24" s="2444"/>
      <c r="D24" s="49" t="s">
        <v>143</v>
      </c>
    </row>
    <row r="25" spans="1:4" x14ac:dyDescent="0.4">
      <c r="B25" s="2444" t="s">
        <v>111</v>
      </c>
      <c r="C25" s="2444"/>
      <c r="D25" s="205" t="s">
        <v>273</v>
      </c>
    </row>
    <row r="26" spans="1:4" ht="15" customHeight="1" x14ac:dyDescent="0.4">
      <c r="B26" s="2445" t="s">
        <v>113</v>
      </c>
      <c r="C26" s="2445"/>
      <c r="D26" s="56" t="s">
        <v>220</v>
      </c>
    </row>
    <row r="27" spans="1:4" x14ac:dyDescent="0.4">
      <c r="B27" s="2446" t="s">
        <v>115</v>
      </c>
      <c r="C27" s="2446"/>
      <c r="D27" s="49" t="s">
        <v>274</v>
      </c>
    </row>
    <row r="28" spans="1:4" ht="48.75" customHeight="1" x14ac:dyDescent="0.4">
      <c r="B28" s="2447" t="s">
        <v>117</v>
      </c>
      <c r="C28" s="2448"/>
      <c r="D28" s="49"/>
    </row>
    <row r="29" spans="1:4" ht="56.25" x14ac:dyDescent="0.4">
      <c r="B29" s="97" t="s">
        <v>118</v>
      </c>
      <c r="C29" s="98"/>
      <c r="D29" s="49" t="s">
        <v>314</v>
      </c>
    </row>
    <row r="30" spans="1:4" x14ac:dyDescent="0.4">
      <c r="B30" s="2449" t="s">
        <v>120</v>
      </c>
      <c r="C30" s="2450"/>
      <c r="D30" s="62"/>
    </row>
    <row r="31" spans="1:4" ht="23.25" customHeight="1" x14ac:dyDescent="0.4">
      <c r="B31" s="63"/>
      <c r="C31" s="63"/>
      <c r="D31" s="64"/>
    </row>
    <row r="32" spans="1:4" ht="19.5" x14ac:dyDescent="0.4">
      <c r="B32" s="2431" t="s">
        <v>121</v>
      </c>
      <c r="C32" s="2431"/>
      <c r="D32" s="2431"/>
    </row>
    <row r="33" spans="2:4" x14ac:dyDescent="0.4">
      <c r="B33" s="2442" t="s">
        <v>122</v>
      </c>
      <c r="C33" s="2443"/>
      <c r="D33" s="205" t="s">
        <v>276</v>
      </c>
    </row>
    <row r="34" spans="2:4" x14ac:dyDescent="0.4">
      <c r="B34" s="2442" t="s">
        <v>124</v>
      </c>
      <c r="C34" s="2443"/>
      <c r="D34" s="205" t="s">
        <v>277</v>
      </c>
    </row>
    <row r="35" spans="2:4" x14ac:dyDescent="0.4">
      <c r="B35" s="2442" t="s">
        <v>126</v>
      </c>
      <c r="C35" s="2443"/>
      <c r="D35" s="205" t="s">
        <v>273</v>
      </c>
    </row>
    <row r="36" spans="2:4" x14ac:dyDescent="0.4">
      <c r="B36" s="2442" t="s">
        <v>128</v>
      </c>
      <c r="C36" s="2443"/>
      <c r="D36" s="205" t="s">
        <v>278</v>
      </c>
    </row>
    <row r="37" spans="2:4" x14ac:dyDescent="0.4">
      <c r="B37" s="2442" t="s">
        <v>130</v>
      </c>
      <c r="C37" s="2443"/>
      <c r="D37" s="205" t="s">
        <v>279</v>
      </c>
    </row>
    <row r="38" spans="2:4" ht="47.25" customHeight="1" x14ac:dyDescent="0.4"/>
    <row r="48" spans="2:4" ht="51" customHeight="1" x14ac:dyDescent="0.4"/>
  </sheetData>
  <mergeCells count="31">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B23"/>
    <mergeCell ref="B24:C24"/>
    <mergeCell ref="B25:C25"/>
    <mergeCell ref="B26:C26"/>
    <mergeCell ref="B27:C27"/>
    <mergeCell ref="B37:C37"/>
    <mergeCell ref="B30:C30"/>
    <mergeCell ref="B32:D32"/>
    <mergeCell ref="B33:C33"/>
    <mergeCell ref="B34:C34"/>
    <mergeCell ref="B35:C35"/>
    <mergeCell ref="B36:C36"/>
  </mergeCells>
  <dataValidations count="7">
    <dataValidation type="list" allowBlank="1" showInputMessage="1" showErrorMessage="1" sqref="D26" xr:uid="{9DC305FA-F3BC-4768-BF0D-9874D28C01D4}">
      <formula1>Tipo_operación</formula1>
    </dataValidation>
    <dataValidation type="list" allowBlank="1" showInputMessage="1" showErrorMessage="1" sqref="D14" xr:uid="{3D4378CD-7DBC-4414-A6F3-82A4878AC64F}">
      <formula1>Tipo_indicador</formula1>
    </dataValidation>
    <dataValidation type="list" allowBlank="1" showInputMessage="1" showErrorMessage="1" sqref="D7" xr:uid="{BA8F8DC2-C05A-446F-A2F1-CB835D21DD56}">
      <formula1>Nombre_indicador_ODS</formula1>
    </dataValidation>
    <dataValidation type="list" allowBlank="1" showInputMessage="1" showErrorMessage="1" sqref="D6" xr:uid="{DF3E048D-42BC-47D6-A3BF-FA0EF2F6A521}">
      <formula1>Numero_indicador</formula1>
    </dataValidation>
    <dataValidation type="list" allowBlank="1" showInputMessage="1" showErrorMessage="1" sqref="D5" xr:uid="{49B8F562-B6F1-480D-9A79-53943210BA3B}">
      <formula1>Metas_ODS</formula1>
    </dataValidation>
    <dataValidation type="list" allowBlank="1" showInputMessage="1" showErrorMessage="1" sqref="D4" xr:uid="{B24DF8DE-26F0-4DF8-ADC1-F1018B43232F}">
      <formula1>ODS</formula1>
    </dataValidation>
    <dataValidation allowBlank="1" showDropDown="1" showInputMessage="1" showErrorMessage="1" sqref="D13" xr:uid="{AF3B4FBD-3CCB-4B65-86E8-5E2B95F8D43A}"/>
  </dataValidations>
  <hyperlinks>
    <hyperlink ref="B1" location="'1.5.2'!A1" display="REGRESAR" xr:uid="{B3B28626-51E5-4273-8F8F-C000D257B026}"/>
    <hyperlink ref="D8" r:id="rId1" xr:uid="{1CA96202-9B5D-4546-A2A7-99723AD5D1DB}"/>
  </hyperlinks>
  <pageMargins left="0.7" right="0.7" top="0.75" bottom="0.75" header="0.3" footer="0.3"/>
  <pageSetup paperSize="9" orientation="portrait" r:id="rId2"/>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DF65-E2C9-46B9-B81C-17DA3CFB5856}">
  <dimension ref="A1:P36"/>
  <sheetViews>
    <sheetView showGridLines="0" workbookViewId="0">
      <pane ySplit="1" topLeftCell="A2" activePane="bottomLeft" state="frozen"/>
      <selection activeCell="R16" sqref="R16"/>
      <selection pane="bottomLeft"/>
    </sheetView>
  </sheetViews>
  <sheetFormatPr baseColWidth="10" defaultColWidth="11.42578125" defaultRowHeight="18.75" x14ac:dyDescent="0.4"/>
  <cols>
    <col min="1" max="2" width="15.5703125" style="115" customWidth="1"/>
    <col min="3" max="5" width="14.28515625" style="115" customWidth="1"/>
    <col min="6" max="6" width="19.42578125" style="1048" customWidth="1"/>
    <col min="7" max="7" width="9.28515625" style="115" customWidth="1"/>
    <col min="8" max="8" width="11.42578125" style="115"/>
    <col min="9" max="9" width="2" style="115" customWidth="1"/>
    <col min="10" max="14" width="11.42578125" style="115"/>
    <col min="15" max="15" width="10.28515625" style="115" customWidth="1"/>
    <col min="16" max="16384" width="11.42578125" style="115"/>
  </cols>
  <sheetData>
    <row r="1" spans="1:16" x14ac:dyDescent="0.4">
      <c r="A1" s="90" t="s">
        <v>39</v>
      </c>
      <c r="C1" s="2541" t="s">
        <v>149</v>
      </c>
      <c r="D1" s="2541"/>
      <c r="G1" s="536"/>
    </row>
    <row r="3" spans="1:16" s="1048" customFormat="1" x14ac:dyDescent="0.4">
      <c r="A3" s="2810" t="s">
        <v>41</v>
      </c>
      <c r="B3" s="2810"/>
      <c r="C3" s="2810" t="s">
        <v>2768</v>
      </c>
      <c r="D3" s="2810"/>
      <c r="E3" s="2810"/>
      <c r="F3" s="2810"/>
      <c r="G3" s="2810"/>
      <c r="H3" s="2810"/>
      <c r="I3" s="2810"/>
      <c r="J3" s="2810"/>
      <c r="K3" s="2810"/>
      <c r="L3" s="2810"/>
      <c r="M3" s="2810"/>
      <c r="N3" s="2810"/>
      <c r="O3" s="2810"/>
      <c r="P3" s="2810"/>
    </row>
    <row r="4" spans="1:16" s="1048" customFormat="1" x14ac:dyDescent="0.4">
      <c r="A4" s="2810" t="s">
        <v>42</v>
      </c>
      <c r="B4" s="2810"/>
      <c r="C4" s="2810" t="s">
        <v>2772</v>
      </c>
      <c r="D4" s="2810"/>
      <c r="E4" s="2810"/>
      <c r="F4" s="2810"/>
      <c r="G4" s="2810"/>
      <c r="H4" s="2810"/>
      <c r="I4" s="2810"/>
      <c r="J4" s="2810"/>
      <c r="K4" s="2810"/>
      <c r="L4" s="2810"/>
      <c r="M4" s="2810"/>
      <c r="N4" s="2810"/>
      <c r="O4" s="2810"/>
      <c r="P4" s="2810"/>
    </row>
    <row r="5" spans="1:16" x14ac:dyDescent="0.4">
      <c r="A5" s="2810" t="s">
        <v>43</v>
      </c>
      <c r="B5" s="2810"/>
      <c r="C5" s="2810" t="s">
        <v>2774</v>
      </c>
      <c r="D5" s="2810"/>
      <c r="E5" s="2810"/>
      <c r="F5" s="2810"/>
      <c r="G5" s="2810"/>
      <c r="H5" s="2810"/>
      <c r="I5" s="2810"/>
      <c r="J5" s="2810"/>
      <c r="K5" s="2810"/>
      <c r="L5" s="2810"/>
      <c r="M5" s="2810"/>
      <c r="N5" s="2810"/>
      <c r="O5" s="2810"/>
      <c r="P5" s="2810"/>
    </row>
    <row r="6" spans="1:16" x14ac:dyDescent="0.4">
      <c r="A6" s="2810" t="s">
        <v>132</v>
      </c>
      <c r="B6" s="2810"/>
      <c r="C6" s="2810" t="s">
        <v>2824</v>
      </c>
      <c r="D6" s="2810"/>
      <c r="E6" s="2810"/>
      <c r="F6" s="2810"/>
      <c r="G6" s="2810"/>
      <c r="H6" s="2810"/>
      <c r="I6" s="2810"/>
      <c r="J6" s="2810"/>
      <c r="K6" s="2810"/>
      <c r="L6" s="2810"/>
      <c r="M6" s="2810"/>
      <c r="N6" s="2810"/>
      <c r="O6" s="2810"/>
      <c r="P6" s="2810"/>
    </row>
    <row r="9" spans="1:16" ht="51.6" customHeight="1" x14ac:dyDescent="0.4">
      <c r="C9" s="2811" t="s">
        <v>2824</v>
      </c>
      <c r="D9" s="2811"/>
      <c r="E9" s="2811"/>
      <c r="F9" s="2811"/>
    </row>
    <row r="10" spans="1:16" x14ac:dyDescent="0.4">
      <c r="C10" s="1055" t="s">
        <v>2825</v>
      </c>
      <c r="D10" s="1055"/>
      <c r="E10" s="1055"/>
      <c r="F10" s="1055" t="s">
        <v>98</v>
      </c>
      <c r="H10" s="1056"/>
    </row>
    <row r="11" spans="1:16" x14ac:dyDescent="0.4">
      <c r="C11" s="339" t="s">
        <v>47</v>
      </c>
      <c r="D11" s="339"/>
      <c r="E11" s="339"/>
      <c r="F11" s="327">
        <v>88.272180383589117</v>
      </c>
    </row>
    <row r="12" spans="1:16" ht="8.25" customHeight="1" x14ac:dyDescent="0.4">
      <c r="C12" s="301"/>
      <c r="D12" s="301"/>
      <c r="E12" s="301"/>
      <c r="F12" s="327"/>
      <c r="H12" s="1057"/>
    </row>
    <row r="13" spans="1:16" x14ac:dyDescent="0.4">
      <c r="C13" s="226" t="s">
        <v>49</v>
      </c>
      <c r="D13" s="226"/>
      <c r="E13" s="226"/>
      <c r="F13" s="327"/>
    </row>
    <row r="14" spans="1:16" x14ac:dyDescent="0.4">
      <c r="C14" s="341" t="s">
        <v>532</v>
      </c>
      <c r="D14" s="341"/>
      <c r="E14" s="341"/>
      <c r="F14" s="327">
        <v>88.700472094317462</v>
      </c>
    </row>
    <row r="15" spans="1:16" x14ac:dyDescent="0.4">
      <c r="C15" s="341" t="s">
        <v>56</v>
      </c>
      <c r="D15" s="341"/>
      <c r="E15" s="341"/>
      <c r="F15" s="327">
        <v>87.327537701631172</v>
      </c>
    </row>
    <row r="16" spans="1:16" x14ac:dyDescent="0.4">
      <c r="C16" s="339" t="s">
        <v>327</v>
      </c>
      <c r="D16" s="339"/>
      <c r="E16" s="339"/>
      <c r="F16" s="327"/>
    </row>
    <row r="17" spans="3:6" x14ac:dyDescent="0.4">
      <c r="C17" s="341" t="s">
        <v>328</v>
      </c>
      <c r="D17" s="341"/>
      <c r="E17" s="341"/>
      <c r="F17" s="327">
        <v>86.588095244135218</v>
      </c>
    </row>
    <row r="18" spans="3:6" x14ac:dyDescent="0.4">
      <c r="C18" s="341" t="s">
        <v>329</v>
      </c>
      <c r="D18" s="341"/>
      <c r="E18" s="341"/>
      <c r="F18" s="327">
        <v>90.518384147382008</v>
      </c>
    </row>
    <row r="19" spans="3:6" x14ac:dyDescent="0.4">
      <c r="C19" s="341" t="s">
        <v>330</v>
      </c>
      <c r="D19" s="341"/>
      <c r="E19" s="341"/>
      <c r="F19" s="327">
        <v>89.337183009360075</v>
      </c>
    </row>
    <row r="20" spans="3:6" x14ac:dyDescent="0.4">
      <c r="C20" s="341" t="s">
        <v>331</v>
      </c>
      <c r="D20" s="341"/>
      <c r="E20" s="341"/>
      <c r="F20" s="327">
        <v>92.198563436065527</v>
      </c>
    </row>
    <row r="21" spans="3:6" x14ac:dyDescent="0.4">
      <c r="C21" s="341" t="s">
        <v>332</v>
      </c>
      <c r="D21" s="341"/>
      <c r="E21" s="341"/>
      <c r="F21" s="327">
        <v>83.763798877907348</v>
      </c>
    </row>
    <row r="22" spans="3:6" x14ac:dyDescent="0.4">
      <c r="C22" s="341" t="s">
        <v>533</v>
      </c>
      <c r="D22" s="341"/>
      <c r="E22" s="341"/>
      <c r="F22" s="327">
        <v>88.196389565798853</v>
      </c>
    </row>
    <row r="23" spans="3:6" x14ac:dyDescent="0.4">
      <c r="C23" s="341" t="s">
        <v>334</v>
      </c>
      <c r="D23" s="341"/>
      <c r="E23" s="341"/>
      <c r="F23" s="327">
        <v>87.875159669212437</v>
      </c>
    </row>
    <row r="24" spans="3:6" x14ac:dyDescent="0.4">
      <c r="C24" s="339" t="s">
        <v>2826</v>
      </c>
      <c r="D24" s="339"/>
      <c r="E24" s="339"/>
      <c r="F24" s="327"/>
    </row>
    <row r="25" spans="3:6" s="1048" customFormat="1" ht="27.6" customHeight="1" x14ac:dyDescent="0.4">
      <c r="C25" s="2526" t="s">
        <v>543</v>
      </c>
      <c r="D25" s="2526"/>
      <c r="E25" s="2526"/>
      <c r="F25" s="1058">
        <v>82.370977427767514</v>
      </c>
    </row>
    <row r="26" spans="3:6" x14ac:dyDescent="0.4">
      <c r="C26" s="341" t="s">
        <v>544</v>
      </c>
      <c r="D26" s="341"/>
      <c r="E26" s="341"/>
      <c r="F26" s="327">
        <v>85.3228637824419</v>
      </c>
    </row>
    <row r="27" spans="3:6" x14ac:dyDescent="0.4">
      <c r="C27" s="341" t="s">
        <v>545</v>
      </c>
      <c r="D27" s="341"/>
      <c r="E27" s="341"/>
      <c r="F27" s="327">
        <v>88.050768198839222</v>
      </c>
    </row>
    <row r="28" spans="3:6" x14ac:dyDescent="0.4">
      <c r="C28" s="341" t="s">
        <v>546</v>
      </c>
      <c r="D28" s="341"/>
      <c r="E28" s="341"/>
      <c r="F28" s="327">
        <v>95.557223064704303</v>
      </c>
    </row>
    <row r="29" spans="3:6" x14ac:dyDescent="0.4">
      <c r="C29" s="341" t="s">
        <v>547</v>
      </c>
      <c r="D29" s="341"/>
      <c r="E29" s="341"/>
      <c r="F29" s="327">
        <v>99.041366049802932</v>
      </c>
    </row>
    <row r="30" spans="3:6" x14ac:dyDescent="0.4">
      <c r="C30" s="226" t="s">
        <v>558</v>
      </c>
      <c r="D30" s="226"/>
      <c r="E30" s="226"/>
      <c r="F30" s="327"/>
    </row>
    <row r="31" spans="3:6" x14ac:dyDescent="0.4">
      <c r="C31" s="341" t="s">
        <v>559</v>
      </c>
      <c r="D31" s="341"/>
      <c r="E31" s="341"/>
      <c r="F31" s="327">
        <v>73.805502571324169</v>
      </c>
    </row>
    <row r="32" spans="3:6" x14ac:dyDescent="0.4">
      <c r="C32" s="341" t="s">
        <v>560</v>
      </c>
      <c r="D32" s="341"/>
      <c r="E32" s="341"/>
      <c r="F32" s="327">
        <v>85.890426488969993</v>
      </c>
    </row>
    <row r="33" spans="3:6" x14ac:dyDescent="0.4">
      <c r="C33" s="341" t="s">
        <v>561</v>
      </c>
      <c r="D33" s="341"/>
      <c r="E33" s="341"/>
      <c r="F33" s="327">
        <v>92.019521118385171</v>
      </c>
    </row>
    <row r="34" spans="3:6" x14ac:dyDescent="0.4">
      <c r="C34" s="341" t="s">
        <v>562</v>
      </c>
      <c r="D34" s="341"/>
      <c r="E34" s="341"/>
      <c r="F34" s="327">
        <v>94.233540570490348</v>
      </c>
    </row>
    <row r="35" spans="3:6" x14ac:dyDescent="0.4">
      <c r="C35" s="650" t="s">
        <v>563</v>
      </c>
      <c r="D35" s="650"/>
      <c r="E35" s="650"/>
      <c r="F35" s="330">
        <v>96.497320417545097</v>
      </c>
    </row>
    <row r="36" spans="3:6" x14ac:dyDescent="0.4">
      <c r="C36" s="2526" t="s">
        <v>2827</v>
      </c>
      <c r="D36" s="2526"/>
      <c r="E36" s="2526"/>
      <c r="F36" s="2684"/>
    </row>
  </sheetData>
  <mergeCells count="12">
    <mergeCell ref="A5:B5"/>
    <mergeCell ref="C5:P5"/>
    <mergeCell ref="C1:D1"/>
    <mergeCell ref="A3:B3"/>
    <mergeCell ref="C3:P3"/>
    <mergeCell ref="A4:B4"/>
    <mergeCell ref="C4:P4"/>
    <mergeCell ref="A6:B6"/>
    <mergeCell ref="C6:P6"/>
    <mergeCell ref="C9:F9"/>
    <mergeCell ref="C25:E25"/>
    <mergeCell ref="C36:F36"/>
  </mergeCells>
  <hyperlinks>
    <hyperlink ref="A1" location="'6.2.1.a'!A1" display="REGRESAR" xr:uid="{2682321B-6F96-468C-9F02-DDA3432CC41A}"/>
    <hyperlink ref="C1" location="'Metadato 6.2.1.b'!A1" display="VER METADATO" xr:uid="{459C18DB-66FC-4694-839E-F69AF7E491BF}"/>
  </hyperlink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CB6C-08C0-401D-800B-BC88D113FDA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3" style="115" customWidth="1"/>
    <col min="2" max="2" width="26.42578125" style="1048"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2809" t="s">
        <v>75</v>
      </c>
      <c r="C3" s="2809"/>
      <c r="D3" s="2809"/>
      <c r="F3" s="1046" t="s">
        <v>265</v>
      </c>
    </row>
    <row r="4" spans="1:6" ht="29.25" customHeight="1" x14ac:dyDescent="0.4">
      <c r="A4" s="283"/>
      <c r="B4" s="2445" t="s">
        <v>234</v>
      </c>
      <c r="C4" s="2445"/>
      <c r="D4" s="49" t="s">
        <v>2803</v>
      </c>
    </row>
    <row r="5" spans="1:6" ht="49.5" customHeight="1" x14ac:dyDescent="0.4">
      <c r="B5" s="2445" t="s">
        <v>79</v>
      </c>
      <c r="C5" s="2445"/>
      <c r="D5" s="49" t="s">
        <v>2772</v>
      </c>
    </row>
    <row r="6" spans="1:6" x14ac:dyDescent="0.4">
      <c r="B6" s="2445" t="s">
        <v>80</v>
      </c>
      <c r="C6" s="2445"/>
      <c r="D6" s="50" t="s">
        <v>2773</v>
      </c>
    </row>
    <row r="7" spans="1:6" ht="37.5" x14ac:dyDescent="0.4">
      <c r="B7" s="2446" t="s">
        <v>81</v>
      </c>
      <c r="C7" s="2446"/>
      <c r="D7" s="93" t="s">
        <v>2774</v>
      </c>
    </row>
    <row r="8" spans="1:6" x14ac:dyDescent="0.4">
      <c r="B8" s="2446" t="s">
        <v>210</v>
      </c>
      <c r="C8" s="2446"/>
      <c r="D8" s="1047" t="s">
        <v>2815</v>
      </c>
    </row>
    <row r="9" spans="1:6" x14ac:dyDescent="0.4">
      <c r="B9" s="115"/>
    </row>
    <row r="10" spans="1:6" ht="19.5" x14ac:dyDescent="0.4">
      <c r="B10" s="2809" t="s">
        <v>85</v>
      </c>
      <c r="C10" s="2809"/>
      <c r="D10" s="2809"/>
    </row>
    <row r="11" spans="1:6" x14ac:dyDescent="0.4">
      <c r="B11" s="2487" t="s">
        <v>86</v>
      </c>
      <c r="C11" s="2456"/>
      <c r="D11" s="49" t="s">
        <v>167</v>
      </c>
    </row>
    <row r="12" spans="1:6" ht="30.75" customHeight="1" x14ac:dyDescent="0.4">
      <c r="B12" s="2446" t="s">
        <v>88</v>
      </c>
      <c r="C12" s="2446"/>
      <c r="D12" s="184"/>
    </row>
    <row r="13" spans="1:6" x14ac:dyDescent="0.4">
      <c r="B13" s="2445" t="s">
        <v>90</v>
      </c>
      <c r="C13" s="2445"/>
      <c r="D13" s="54"/>
    </row>
    <row r="14" spans="1:6" x14ac:dyDescent="0.4">
      <c r="B14" s="2445" t="s">
        <v>91</v>
      </c>
      <c r="C14" s="2456"/>
      <c r="D14" s="54"/>
    </row>
    <row r="15" spans="1:6" x14ac:dyDescent="0.4">
      <c r="B15" s="2445" t="s">
        <v>93</v>
      </c>
      <c r="C15" s="2445"/>
      <c r="D15" s="55"/>
    </row>
    <row r="16" spans="1:6" x14ac:dyDescent="0.4">
      <c r="B16" s="2445" t="s">
        <v>95</v>
      </c>
      <c r="C16" s="2445"/>
      <c r="D16" s="594"/>
    </row>
    <row r="17" spans="2:4" x14ac:dyDescent="0.4">
      <c r="B17" s="2445" t="s">
        <v>97</v>
      </c>
      <c r="C17" s="2445"/>
      <c r="D17" s="594"/>
    </row>
    <row r="18" spans="2:4" x14ac:dyDescent="0.4">
      <c r="B18" s="2446" t="s">
        <v>99</v>
      </c>
      <c r="C18" s="2446"/>
      <c r="D18" s="49"/>
    </row>
    <row r="19" spans="2:4" x14ac:dyDescent="0.4">
      <c r="B19" s="2457" t="s">
        <v>100</v>
      </c>
      <c r="C19" s="2458"/>
      <c r="D19" s="594"/>
    </row>
    <row r="20" spans="2:4" x14ac:dyDescent="0.4">
      <c r="B20" s="2445" t="s">
        <v>102</v>
      </c>
      <c r="C20" s="2445"/>
      <c r="D20" s="594"/>
    </row>
    <row r="21" spans="2:4" x14ac:dyDescent="0.4">
      <c r="B21" s="2451" t="s">
        <v>104</v>
      </c>
      <c r="C21" s="95" t="s">
        <v>105</v>
      </c>
      <c r="D21" s="49"/>
    </row>
    <row r="22" spans="2:4" x14ac:dyDescent="0.4">
      <c r="B22" s="2452"/>
      <c r="C22" s="96" t="s">
        <v>107</v>
      </c>
      <c r="D22" s="55"/>
    </row>
    <row r="23" spans="2:4" x14ac:dyDescent="0.4">
      <c r="B23" s="2445" t="s">
        <v>109</v>
      </c>
      <c r="C23" s="2445"/>
      <c r="D23" s="594"/>
    </row>
    <row r="24" spans="2:4" x14ac:dyDescent="0.4">
      <c r="B24" s="2445" t="s">
        <v>111</v>
      </c>
      <c r="C24" s="2445"/>
      <c r="D24" s="826"/>
    </row>
    <row r="25" spans="2:4" x14ac:dyDescent="0.4">
      <c r="B25" s="2445" t="s">
        <v>113</v>
      </c>
      <c r="C25" s="2445"/>
      <c r="D25" s="55"/>
    </row>
    <row r="26" spans="2:4" ht="15" customHeight="1" x14ac:dyDescent="0.4">
      <c r="B26" s="2446" t="s">
        <v>115</v>
      </c>
      <c r="C26" s="2446"/>
      <c r="D26" s="826"/>
    </row>
    <row r="27" spans="2:4" x14ac:dyDescent="0.4">
      <c r="B27" s="2447" t="s">
        <v>117</v>
      </c>
      <c r="C27" s="2448"/>
      <c r="D27" s="49"/>
    </row>
    <row r="28" spans="2:4" ht="15" customHeight="1" x14ac:dyDescent="0.4">
      <c r="B28" s="97" t="s">
        <v>118</v>
      </c>
      <c r="C28" s="98"/>
      <c r="D28" s="754"/>
    </row>
    <row r="29" spans="2:4" x14ac:dyDescent="0.4">
      <c r="B29" s="2449" t="s">
        <v>120</v>
      </c>
      <c r="C29" s="2450"/>
      <c r="D29" s="62"/>
    </row>
    <row r="30" spans="2:4" x14ac:dyDescent="0.4">
      <c r="B30" s="63"/>
      <c r="C30" s="63"/>
      <c r="D30" s="64"/>
    </row>
    <row r="31" spans="2:4" ht="19.5" x14ac:dyDescent="0.4">
      <c r="B31" s="2809" t="s">
        <v>121</v>
      </c>
      <c r="C31" s="2809"/>
      <c r="D31" s="2809"/>
    </row>
    <row r="32" spans="2:4" x14ac:dyDescent="0.4">
      <c r="B32" s="2447" t="s">
        <v>122</v>
      </c>
      <c r="C32" s="2448"/>
      <c r="D32" s="826"/>
    </row>
    <row r="33" spans="2:4" x14ac:dyDescent="0.4">
      <c r="B33" s="2447" t="s">
        <v>124</v>
      </c>
      <c r="C33" s="2448"/>
      <c r="D33" s="826"/>
    </row>
    <row r="34" spans="2:4" x14ac:dyDescent="0.4">
      <c r="B34" s="2447" t="s">
        <v>126</v>
      </c>
      <c r="C34" s="2448"/>
      <c r="D34" s="826"/>
    </row>
    <row r="35" spans="2:4" x14ac:dyDescent="0.4">
      <c r="B35" s="2447" t="s">
        <v>128</v>
      </c>
      <c r="C35" s="2448"/>
      <c r="D35" s="826"/>
    </row>
    <row r="36" spans="2:4" x14ac:dyDescent="0.4">
      <c r="B36" s="2447" t="s">
        <v>130</v>
      </c>
      <c r="C36" s="2448"/>
      <c r="D36" s="82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5B26F4D3-15AC-41FB-AA04-7974E9B4CFCD}"/>
    <dataValidation type="list" allowBlank="1" showInputMessage="1" showErrorMessage="1" sqref="D4" xr:uid="{ECD46781-1A66-4552-AB9C-25002EF3A896}">
      <formula1>ODS</formula1>
    </dataValidation>
    <dataValidation type="list" allowBlank="1" showInputMessage="1" showErrorMessage="1" sqref="D5" xr:uid="{DA8CF766-FCC1-47F7-A58C-8E06CE12B0AC}">
      <formula1>Metas_ODS</formula1>
    </dataValidation>
    <dataValidation type="list" allowBlank="1" showInputMessage="1" showErrorMessage="1" sqref="D6" xr:uid="{F5065189-9515-4ED1-8A36-490CBC63204C}">
      <formula1>Numero_indicador</formula1>
    </dataValidation>
    <dataValidation type="list" allowBlank="1" showInputMessage="1" showErrorMessage="1" sqref="D7" xr:uid="{EA4E3564-BB63-4B6C-A955-F0816201B3BC}">
      <formula1>Nombre_indicador_ODS</formula1>
    </dataValidation>
  </dataValidations>
  <hyperlinks>
    <hyperlink ref="B1" location="'6.2.1.b'!A1" display="REGRESAR" xr:uid="{8C40001D-EE71-490A-97A7-D61EC738E19C}"/>
    <hyperlink ref="D8" r:id="rId1" xr:uid="{F0BBFCA6-115B-4FDE-A35C-2F814E9BF230}"/>
  </hyperlinks>
  <pageMargins left="0.7" right="0.7" top="0.75" bottom="0.75" header="0.3" footer="0.3"/>
  <pageSetup orientation="portrait"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437B6-9930-4B91-9065-AB03305D34C4}">
  <dimension ref="A1:Z65"/>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8.7109375" style="115" customWidth="1"/>
    <col min="3" max="3" width="8.28515625" style="1048" customWidth="1"/>
    <col min="4" max="4" width="14.28515625" style="1048" customWidth="1"/>
    <col min="5" max="5" width="9.28515625" style="1048" customWidth="1"/>
    <col min="6" max="6" width="12" style="1048" customWidth="1"/>
    <col min="7" max="7" width="10.7109375" style="115" customWidth="1"/>
    <col min="8" max="8" width="9.28515625" style="115" customWidth="1"/>
    <col min="9" max="9" width="9.7109375" style="115" customWidth="1"/>
    <col min="10" max="10" width="12" style="115" customWidth="1"/>
    <col min="11" max="11" width="11.28515625" style="115" customWidth="1"/>
    <col min="12" max="13" width="9.28515625" style="115" customWidth="1"/>
    <col min="14" max="14" width="11.28515625" style="115" customWidth="1"/>
    <col min="15" max="15" width="10.28515625" style="115" customWidth="1"/>
    <col min="16" max="17" width="10" style="115" customWidth="1"/>
    <col min="18" max="18" width="7.42578125" style="115" bestFit="1" customWidth="1"/>
    <col min="19" max="20" width="11.42578125" style="115"/>
    <col min="21" max="21" width="11.7109375" style="115" customWidth="1"/>
    <col min="22" max="22" width="1.5703125" style="115" customWidth="1"/>
    <col min="23" max="23" width="11.42578125" style="115"/>
    <col min="24" max="24" width="1.42578125" style="115" customWidth="1"/>
    <col min="25" max="16384" width="11.42578125" style="115"/>
  </cols>
  <sheetData>
    <row r="1" spans="1:26" s="1032" customFormat="1" ht="15" customHeight="1" x14ac:dyDescent="0.4">
      <c r="A1" s="68" t="s">
        <v>39</v>
      </c>
      <c r="B1" s="1059"/>
      <c r="C1" s="2648" t="s">
        <v>149</v>
      </c>
      <c r="D1" s="2648"/>
      <c r="E1" s="1060"/>
      <c r="F1" s="1060"/>
      <c r="G1" s="1060"/>
      <c r="H1" s="1060"/>
    </row>
    <row r="2" spans="1:26" s="1032" customFormat="1" ht="9" customHeight="1" x14ac:dyDescent="0.4">
      <c r="C2" s="1061"/>
      <c r="D2" s="1061"/>
      <c r="E2" s="1061"/>
      <c r="F2" s="1061"/>
    </row>
    <row r="3" spans="1:26" s="1032" customFormat="1" ht="16.5" customHeight="1" x14ac:dyDescent="0.4">
      <c r="A3" s="2804" t="s">
        <v>41</v>
      </c>
      <c r="B3" s="2804"/>
      <c r="C3" s="2804" t="s">
        <v>2768</v>
      </c>
      <c r="D3" s="2804"/>
      <c r="E3" s="2804"/>
      <c r="F3" s="2804"/>
      <c r="G3" s="2804"/>
      <c r="H3" s="2804"/>
      <c r="I3" s="2804"/>
      <c r="J3" s="2804"/>
      <c r="K3" s="2804"/>
      <c r="L3" s="2804"/>
      <c r="M3" s="2804"/>
      <c r="N3" s="2804"/>
      <c r="O3" s="2804"/>
      <c r="P3" s="2804"/>
      <c r="Q3" s="2804"/>
      <c r="R3" s="2804"/>
    </row>
    <row r="4" spans="1:26" s="1032" customFormat="1" ht="37.9" customHeight="1" x14ac:dyDescent="0.4">
      <c r="A4" s="2804" t="s">
        <v>42</v>
      </c>
      <c r="B4" s="2804"/>
      <c r="C4" s="2804" t="s">
        <v>2775</v>
      </c>
      <c r="D4" s="2804"/>
      <c r="E4" s="2804"/>
      <c r="F4" s="2804"/>
      <c r="G4" s="2804"/>
      <c r="H4" s="2804"/>
      <c r="I4" s="2804"/>
      <c r="J4" s="2804"/>
      <c r="K4" s="2804"/>
      <c r="L4" s="2804"/>
      <c r="M4" s="2804"/>
      <c r="N4" s="2804"/>
      <c r="O4" s="2804"/>
      <c r="P4" s="2804"/>
      <c r="Q4" s="2804"/>
      <c r="R4" s="2804"/>
    </row>
    <row r="5" spans="1:26" s="1032" customFormat="1" ht="24" customHeight="1" x14ac:dyDescent="0.4">
      <c r="A5" s="2804" t="s">
        <v>43</v>
      </c>
      <c r="B5" s="2804"/>
      <c r="C5" s="2804" t="s">
        <v>2777</v>
      </c>
      <c r="D5" s="2804"/>
      <c r="E5" s="2804"/>
      <c r="F5" s="2804"/>
      <c r="G5" s="2804"/>
      <c r="H5" s="2804"/>
      <c r="I5" s="2804"/>
      <c r="J5" s="2804"/>
      <c r="K5" s="2804"/>
      <c r="L5" s="2804"/>
      <c r="M5" s="2804"/>
      <c r="N5" s="2804"/>
      <c r="O5" s="2804"/>
      <c r="P5" s="2804"/>
      <c r="Q5" s="2804"/>
      <c r="R5" s="2804"/>
    </row>
    <row r="6" spans="1:26" s="1032" customFormat="1" ht="19.5" x14ac:dyDescent="0.4">
      <c r="A6" s="2804" t="s">
        <v>132</v>
      </c>
      <c r="B6" s="2804"/>
      <c r="C6" s="2804" t="s">
        <v>2828</v>
      </c>
      <c r="D6" s="2804"/>
      <c r="E6" s="2804"/>
      <c r="F6" s="2804"/>
      <c r="G6" s="2804"/>
      <c r="H6" s="2804"/>
      <c r="I6" s="2804"/>
      <c r="J6" s="2804"/>
      <c r="K6" s="2804"/>
      <c r="L6" s="2804"/>
      <c r="M6" s="2804"/>
      <c r="N6" s="2804"/>
      <c r="O6" s="2804"/>
      <c r="P6" s="2804"/>
      <c r="Q6" s="2804"/>
      <c r="R6" s="2804"/>
    </row>
    <row r="7" spans="1:26" s="1032" customFormat="1" ht="19.5" x14ac:dyDescent="0.4">
      <c r="C7" s="1061"/>
      <c r="D7" s="1061"/>
      <c r="E7" s="1061"/>
      <c r="F7" s="1061"/>
    </row>
    <row r="8" spans="1:26" s="1032" customFormat="1" ht="15" customHeight="1" x14ac:dyDescent="0.4">
      <c r="C8" s="1061"/>
      <c r="D8" s="1061"/>
      <c r="E8" s="1061"/>
      <c r="F8" s="1061"/>
    </row>
    <row r="9" spans="1:26" s="1032" customFormat="1" ht="19.5" x14ac:dyDescent="0.4">
      <c r="C9" s="1062" t="s">
        <v>2828</v>
      </c>
      <c r="D9" s="1062"/>
      <c r="E9" s="1062"/>
      <c r="F9" s="1062"/>
      <c r="G9" s="1062"/>
      <c r="H9" s="1062"/>
      <c r="I9" s="1062"/>
      <c r="J9" s="1062"/>
      <c r="K9" s="1062"/>
      <c r="L9" s="1062"/>
      <c r="M9" s="1062"/>
      <c r="N9" s="1062"/>
      <c r="O9" s="1062"/>
      <c r="P9" s="1062"/>
      <c r="Q9" s="1062"/>
    </row>
    <row r="10" spans="1:26" s="1032" customFormat="1" ht="10.15" customHeight="1" x14ac:dyDescent="0.4">
      <c r="C10" s="1062"/>
      <c r="D10" s="1062"/>
      <c r="E10" s="1062"/>
      <c r="F10" s="1062"/>
      <c r="G10" s="1062"/>
      <c r="H10" s="1062"/>
      <c r="I10" s="1062"/>
      <c r="J10" s="1062"/>
      <c r="K10" s="1062"/>
      <c r="L10" s="1062"/>
      <c r="M10" s="1062"/>
      <c r="N10" s="1062"/>
      <c r="O10" s="1062"/>
      <c r="P10" s="1062"/>
      <c r="Q10" s="1062"/>
    </row>
    <row r="11" spans="1:26" ht="18.75" customHeight="1" x14ac:dyDescent="0.4">
      <c r="C11" s="2816" t="s">
        <v>46</v>
      </c>
      <c r="D11" s="2818" t="s">
        <v>2829</v>
      </c>
      <c r="E11" s="2818"/>
      <c r="F11" s="2818"/>
      <c r="G11" s="2818"/>
      <c r="H11" s="2818"/>
      <c r="I11" s="2818"/>
      <c r="J11" s="2818"/>
      <c r="K11" s="2818"/>
      <c r="L11" s="2806" t="s">
        <v>2830</v>
      </c>
      <c r="M11" s="2806"/>
      <c r="N11" s="2806" t="s">
        <v>2831</v>
      </c>
      <c r="O11" s="2806"/>
      <c r="P11" s="2806" t="s">
        <v>2832</v>
      </c>
      <c r="Q11" s="2806"/>
    </row>
    <row r="12" spans="1:26" ht="53.45" customHeight="1" x14ac:dyDescent="0.4">
      <c r="C12" s="2817"/>
      <c r="D12" s="2813" t="s">
        <v>2833</v>
      </c>
      <c r="E12" s="2813"/>
      <c r="F12" s="2813" t="s">
        <v>2834</v>
      </c>
      <c r="G12" s="2813"/>
      <c r="H12" s="2813" t="s">
        <v>2835</v>
      </c>
      <c r="I12" s="2813"/>
      <c r="J12" s="2813" t="s">
        <v>2836</v>
      </c>
      <c r="K12" s="2813"/>
      <c r="L12" s="2808"/>
      <c r="M12" s="2808"/>
      <c r="N12" s="2808"/>
      <c r="O12" s="2808"/>
      <c r="P12" s="2808"/>
      <c r="Q12" s="2808"/>
      <c r="R12" s="1063"/>
    </row>
    <row r="13" spans="1:26" ht="19.5" x14ac:dyDescent="0.4">
      <c r="C13" s="2817"/>
      <c r="D13" s="1064" t="s">
        <v>2837</v>
      </c>
      <c r="E13" s="1064" t="s">
        <v>98</v>
      </c>
      <c r="F13" s="1064" t="s">
        <v>2837</v>
      </c>
      <c r="G13" s="1064" t="s">
        <v>98</v>
      </c>
      <c r="H13" s="1064" t="s">
        <v>2837</v>
      </c>
      <c r="I13" s="1064" t="s">
        <v>98</v>
      </c>
      <c r="J13" s="1064" t="s">
        <v>2837</v>
      </c>
      <c r="K13" s="1064" t="s">
        <v>98</v>
      </c>
      <c r="L13" s="1064" t="s">
        <v>2837</v>
      </c>
      <c r="M13" s="1064" t="s">
        <v>98</v>
      </c>
      <c r="N13" s="1064" t="s">
        <v>2837</v>
      </c>
      <c r="O13" s="1064" t="s">
        <v>98</v>
      </c>
      <c r="P13" s="1064" t="s">
        <v>2837</v>
      </c>
      <c r="Q13" s="1064" t="s">
        <v>98</v>
      </c>
      <c r="R13" s="536"/>
    </row>
    <row r="14" spans="1:26" x14ac:dyDescent="0.4">
      <c r="C14" s="1065">
        <v>2016</v>
      </c>
      <c r="D14" s="1066">
        <v>22.058240000000001</v>
      </c>
      <c r="E14" s="1066">
        <v>3.93</v>
      </c>
      <c r="F14" s="1066">
        <v>157.9</v>
      </c>
      <c r="G14" s="1066">
        <v>28.11</v>
      </c>
      <c r="H14" s="1066">
        <v>36.357439999999997</v>
      </c>
      <c r="I14" s="1066">
        <v>6.47</v>
      </c>
      <c r="J14" s="1066">
        <v>43.550800000000002</v>
      </c>
      <c r="K14" s="1066">
        <v>7.75</v>
      </c>
      <c r="L14" s="1066">
        <v>259.86648000000002</v>
      </c>
      <c r="M14" s="1066">
        <v>46.26</v>
      </c>
      <c r="N14" s="1066">
        <v>301.86</v>
      </c>
      <c r="O14" s="1066">
        <v>53.74</v>
      </c>
      <c r="P14" s="1066">
        <v>561.73</v>
      </c>
      <c r="Q14" s="1067">
        <v>100</v>
      </c>
      <c r="R14" s="507"/>
      <c r="S14" s="507"/>
      <c r="T14" s="507"/>
      <c r="U14" s="507"/>
      <c r="V14" s="507"/>
      <c r="W14" s="507"/>
      <c r="X14" s="507"/>
      <c r="Y14" s="507"/>
      <c r="Z14" s="507"/>
    </row>
    <row r="15" spans="1:26" x14ac:dyDescent="0.4">
      <c r="C15" s="1065">
        <v>2017</v>
      </c>
      <c r="D15" s="1066">
        <v>29.767679999999999</v>
      </c>
      <c r="E15" s="1066">
        <v>5.25</v>
      </c>
      <c r="F15" s="1066">
        <v>150.76</v>
      </c>
      <c r="G15" s="1066">
        <v>26.61</v>
      </c>
      <c r="H15" s="1066">
        <v>52.141759999999998</v>
      </c>
      <c r="I15" s="1066">
        <v>9.1999999999999993</v>
      </c>
      <c r="J15" s="1066">
        <v>99.94408</v>
      </c>
      <c r="K15" s="1066">
        <v>17.64</v>
      </c>
      <c r="L15" s="1066">
        <v>332.61351999999999</v>
      </c>
      <c r="M15" s="1066">
        <v>58.7</v>
      </c>
      <c r="N15" s="1066">
        <v>234.04</v>
      </c>
      <c r="O15" s="1066">
        <v>41.3</v>
      </c>
      <c r="P15" s="1066">
        <v>566.65</v>
      </c>
      <c r="Q15" s="1067">
        <v>100</v>
      </c>
      <c r="R15" s="507"/>
      <c r="S15" s="507"/>
      <c r="T15" s="507"/>
      <c r="U15" s="507"/>
      <c r="V15" s="507"/>
      <c r="W15" s="507"/>
      <c r="X15" s="507"/>
      <c r="Y15" s="507"/>
      <c r="Z15" s="507"/>
    </row>
    <row r="16" spans="1:26" x14ac:dyDescent="0.4">
      <c r="C16" s="1065">
        <v>2018</v>
      </c>
      <c r="D16" s="1066">
        <v>35.391680000000001</v>
      </c>
      <c r="E16" s="1066">
        <v>6.048929224563742</v>
      </c>
      <c r="F16" s="1066">
        <v>152.22</v>
      </c>
      <c r="G16" s="1066">
        <v>26.016510280469671</v>
      </c>
      <c r="H16" s="1066">
        <v>48.173760000000001</v>
      </c>
      <c r="I16" s="1066">
        <v>8.2335640670666042</v>
      </c>
      <c r="J16" s="1066">
        <v>92.74672000000001</v>
      </c>
      <c r="K16" s="1066">
        <v>15.851701447640535</v>
      </c>
      <c r="L16" s="1066">
        <v>328.53215999999998</v>
      </c>
      <c r="M16" s="1066">
        <v>56.150705019740549</v>
      </c>
      <c r="N16" s="1066">
        <v>256.55784000000006</v>
      </c>
      <c r="O16" s="1066">
        <v>43.849294980259458</v>
      </c>
      <c r="P16" s="1066">
        <v>585.09</v>
      </c>
      <c r="Q16" s="1067">
        <v>100</v>
      </c>
      <c r="R16" s="507"/>
      <c r="S16" s="507"/>
      <c r="T16" s="507"/>
      <c r="U16" s="507"/>
      <c r="V16" s="507"/>
      <c r="W16" s="507"/>
      <c r="X16" s="507"/>
      <c r="Y16" s="507"/>
      <c r="Z16" s="507"/>
    </row>
    <row r="17" spans="1:26" x14ac:dyDescent="0.4">
      <c r="C17" s="1065">
        <v>2019</v>
      </c>
      <c r="D17" s="1066">
        <v>28.293279999999999</v>
      </c>
      <c r="E17" s="1066">
        <v>4.3546211503239807</v>
      </c>
      <c r="F17" s="1066">
        <v>150.47999999999999</v>
      </c>
      <c r="G17" s="1066">
        <v>23.16038970033706</v>
      </c>
      <c r="H17" s="1066">
        <v>41.890239999999999</v>
      </c>
      <c r="I17" s="1066">
        <v>6.4473304295630482</v>
      </c>
      <c r="J17" s="1066">
        <v>79.641919999999999</v>
      </c>
      <c r="K17" s="1066">
        <v>12.257694734735967</v>
      </c>
      <c r="L17" s="1066">
        <v>300.30543999999998</v>
      </c>
      <c r="M17" s="1066">
        <v>46.220036014960058</v>
      </c>
      <c r="N17" s="1066">
        <v>349.42456000000004</v>
      </c>
      <c r="O17" s="1066">
        <v>53.779963985039949</v>
      </c>
      <c r="P17" s="1066">
        <v>649.73</v>
      </c>
      <c r="Q17" s="1067">
        <v>100</v>
      </c>
      <c r="R17" s="507"/>
      <c r="S17" s="507"/>
      <c r="T17" s="507"/>
      <c r="U17" s="507"/>
      <c r="V17" s="507"/>
      <c r="W17" s="507"/>
      <c r="X17" s="507"/>
      <c r="Y17" s="507"/>
      <c r="Z17" s="507"/>
    </row>
    <row r="18" spans="1:26" x14ac:dyDescent="0.4">
      <c r="C18" s="1065">
        <v>2020</v>
      </c>
      <c r="D18" s="1066">
        <v>29.667359999999999</v>
      </c>
      <c r="E18" s="1066">
        <v>4.51</v>
      </c>
      <c r="F18" s="1066">
        <v>148.16999999999999</v>
      </c>
      <c r="G18" s="1066">
        <v>22.52</v>
      </c>
      <c r="H18" s="1066">
        <v>42.335760000000001</v>
      </c>
      <c r="I18" s="1066">
        <v>6.4268759582833637</v>
      </c>
      <c r="J18" s="1066">
        <v>81.946560000000005</v>
      </c>
      <c r="K18" s="1066">
        <v>12.45</v>
      </c>
      <c r="L18" s="1066">
        <v>302.11968000000002</v>
      </c>
      <c r="M18" s="1066">
        <v>45.91</v>
      </c>
      <c r="N18" s="1066">
        <v>355.9</v>
      </c>
      <c r="O18" s="1066">
        <v>54.09</v>
      </c>
      <c r="P18" s="1066">
        <v>658.73</v>
      </c>
      <c r="Q18" s="1067">
        <v>100</v>
      </c>
      <c r="R18" s="507"/>
      <c r="S18" s="507"/>
      <c r="T18" s="507"/>
      <c r="U18" s="507"/>
      <c r="V18" s="507"/>
      <c r="W18" s="507"/>
      <c r="X18" s="507"/>
      <c r="Y18" s="507"/>
      <c r="Z18" s="507"/>
    </row>
    <row r="19" spans="1:26" x14ac:dyDescent="0.4">
      <c r="C19" s="1067">
        <v>2021</v>
      </c>
      <c r="D19" s="1066">
        <v>33.049999999999997</v>
      </c>
      <c r="E19" s="1066">
        <v>4.96</v>
      </c>
      <c r="F19" s="1066">
        <v>148.12</v>
      </c>
      <c r="G19" s="1066">
        <v>22.24</v>
      </c>
      <c r="H19" s="1066">
        <v>44.24</v>
      </c>
      <c r="I19" s="1066">
        <v>6.64</v>
      </c>
      <c r="J19" s="1066">
        <v>84.43</v>
      </c>
      <c r="K19" s="1066">
        <v>12.68</v>
      </c>
      <c r="L19" s="1066">
        <v>309.83999999999997</v>
      </c>
      <c r="M19" s="1066">
        <v>46.52</v>
      </c>
      <c r="N19" s="1066">
        <v>356.23</v>
      </c>
      <c r="O19" s="1066">
        <v>53.48</v>
      </c>
      <c r="P19" s="1066">
        <v>666.07</v>
      </c>
      <c r="Q19" s="1067">
        <v>100</v>
      </c>
      <c r="S19" s="1068"/>
      <c r="T19" s="1068"/>
      <c r="U19" s="1068"/>
      <c r="V19" s="1068"/>
      <c r="W19" s="1068"/>
      <c r="X19" s="1068"/>
      <c r="Y19" s="1068"/>
      <c r="Z19" s="1068"/>
    </row>
    <row r="20" spans="1:26" ht="17.45" customHeight="1" x14ac:dyDescent="0.4">
      <c r="C20" s="1069">
        <v>2022</v>
      </c>
      <c r="D20" s="1070">
        <v>32.287840000000003</v>
      </c>
      <c r="E20" s="1070">
        <v>4.6975746730100534</v>
      </c>
      <c r="F20" s="450">
        <v>146.93</v>
      </c>
      <c r="G20" s="1070">
        <v>21.376922293512575</v>
      </c>
      <c r="H20" s="450">
        <v>129.44800000000001</v>
      </c>
      <c r="I20" s="1070">
        <v>18.833457000276432</v>
      </c>
      <c r="J20" s="450">
        <v>135.10216</v>
      </c>
      <c r="K20" s="1070">
        <v>19.656083686147849</v>
      </c>
      <c r="L20" s="1070">
        <v>443.76800000000003</v>
      </c>
      <c r="M20" s="1070">
        <v>64.564037652946908</v>
      </c>
      <c r="N20" s="1070">
        <v>243.56200000000001</v>
      </c>
      <c r="O20" s="1070">
        <v>35.435962347053085</v>
      </c>
      <c r="P20" s="1071">
        <v>687.33</v>
      </c>
      <c r="Q20" s="527">
        <v>100</v>
      </c>
      <c r="R20" s="507"/>
      <c r="S20" s="507"/>
      <c r="T20" s="507"/>
      <c r="U20" s="507"/>
      <c r="V20" s="507"/>
      <c r="W20" s="507"/>
      <c r="X20" s="507"/>
      <c r="Y20" s="507"/>
      <c r="Z20" s="507"/>
    </row>
    <row r="21" spans="1:26" x14ac:dyDescent="0.4">
      <c r="C21" s="2814" t="s">
        <v>2838</v>
      </c>
      <c r="D21" s="2814"/>
      <c r="E21" s="2814"/>
      <c r="F21" s="2814"/>
      <c r="G21" s="2814"/>
      <c r="H21" s="2814"/>
      <c r="I21" s="2814"/>
      <c r="J21" s="2814"/>
      <c r="K21" s="2814"/>
      <c r="L21" s="2814"/>
      <c r="M21" s="2814"/>
      <c r="N21" s="2814"/>
      <c r="O21" s="2814"/>
      <c r="P21" s="2814"/>
      <c r="Q21" s="2814"/>
      <c r="R21" s="507"/>
      <c r="S21" s="507"/>
      <c r="T21" s="507"/>
      <c r="U21" s="507"/>
      <c r="V21" s="507"/>
      <c r="W21" s="507"/>
      <c r="X21" s="507"/>
      <c r="Y21" s="507"/>
      <c r="Z21" s="507"/>
    </row>
    <row r="22" spans="1:26" x14ac:dyDescent="0.4">
      <c r="C22" s="2814" t="s">
        <v>2839</v>
      </c>
      <c r="D22" s="2814"/>
      <c r="E22" s="2814"/>
      <c r="F22" s="2814"/>
      <c r="G22" s="2814"/>
      <c r="H22" s="2814"/>
      <c r="I22" s="2814"/>
      <c r="J22" s="2814"/>
      <c r="K22" s="2814"/>
      <c r="L22" s="2814"/>
      <c r="M22" s="2814"/>
      <c r="N22" s="2814"/>
      <c r="O22" s="2814"/>
      <c r="P22" s="2814"/>
      <c r="Q22" s="2814"/>
      <c r="R22" s="507"/>
      <c r="S22" s="507"/>
      <c r="T22" s="507"/>
      <c r="U22" s="507"/>
      <c r="V22" s="507"/>
      <c r="W22" s="507"/>
      <c r="X22" s="507"/>
      <c r="Y22" s="507"/>
      <c r="Z22" s="507"/>
    </row>
    <row r="23" spans="1:26" ht="17.45" customHeight="1" x14ac:dyDescent="0.4">
      <c r="C23" s="545"/>
      <c r="D23" s="545"/>
      <c r="E23" s="545"/>
      <c r="F23" s="545"/>
      <c r="G23" s="545"/>
      <c r="H23" s="545"/>
      <c r="I23" s="545"/>
      <c r="J23" s="545"/>
      <c r="K23" s="545"/>
      <c r="L23" s="545"/>
      <c r="M23" s="545"/>
      <c r="N23" s="545"/>
      <c r="O23" s="545"/>
      <c r="P23" s="545"/>
      <c r="Q23" s="545"/>
    </row>
    <row r="24" spans="1:26" ht="19.5" x14ac:dyDescent="0.4">
      <c r="C24" s="266" t="s">
        <v>2840</v>
      </c>
    </row>
    <row r="26" spans="1:26" x14ac:dyDescent="0.4">
      <c r="I26" s="1048"/>
      <c r="J26" s="1048"/>
    </row>
    <row r="27" spans="1:26" x14ac:dyDescent="0.4">
      <c r="H27" s="1048"/>
      <c r="I27" s="1048"/>
      <c r="J27" s="1048"/>
    </row>
    <row r="28" spans="1:26" x14ac:dyDescent="0.4">
      <c r="B28" s="283"/>
      <c r="C28" s="283"/>
      <c r="D28" s="283"/>
      <c r="H28" s="1048"/>
      <c r="I28" s="1048"/>
      <c r="J28" s="1048"/>
    </row>
    <row r="29" spans="1:26" ht="12.75" customHeight="1" x14ac:dyDescent="0.4">
      <c r="A29" s="649"/>
      <c r="B29" s="232"/>
      <c r="C29" s="232"/>
      <c r="D29" s="232"/>
      <c r="H29" s="1048"/>
      <c r="I29" s="1048"/>
      <c r="J29" s="1048"/>
    </row>
    <row r="30" spans="1:26" ht="12.75" customHeight="1" x14ac:dyDescent="0.4">
      <c r="A30" s="649"/>
      <c r="B30" s="232"/>
      <c r="C30" s="232"/>
      <c r="D30" s="232"/>
      <c r="H30" s="1048"/>
      <c r="I30" s="1048"/>
      <c r="J30" s="1048"/>
    </row>
    <row r="31" spans="1:26" ht="12.75" customHeight="1" x14ac:dyDescent="0.4">
      <c r="A31" s="649"/>
      <c r="B31" s="232"/>
      <c r="C31" s="232"/>
      <c r="D31" s="232"/>
      <c r="H31" s="1048"/>
      <c r="I31" s="1048"/>
      <c r="J31" s="1048"/>
    </row>
    <row r="32" spans="1:26" ht="12.75" customHeight="1" x14ac:dyDescent="0.4">
      <c r="A32" s="649"/>
      <c r="B32" s="232"/>
      <c r="C32" s="232"/>
      <c r="D32" s="232"/>
      <c r="H32" s="1048"/>
      <c r="I32" s="1048"/>
      <c r="J32" s="1048"/>
    </row>
    <row r="33" spans="1:11" ht="12.75" customHeight="1" x14ac:dyDescent="0.4">
      <c r="A33" s="649"/>
      <c r="B33" s="232"/>
      <c r="C33" s="232"/>
      <c r="D33" s="232"/>
      <c r="H33" s="1048"/>
      <c r="I33" s="1048"/>
      <c r="J33" s="1048"/>
    </row>
    <row r="34" spans="1:11" ht="12.75" customHeight="1" x14ac:dyDescent="0.4">
      <c r="A34" s="649"/>
      <c r="B34" s="232"/>
      <c r="C34" s="232"/>
      <c r="D34" s="232"/>
      <c r="H34" s="1048"/>
      <c r="I34" s="1048"/>
      <c r="J34" s="1048"/>
    </row>
    <row r="35" spans="1:11" ht="12.75" customHeight="1" x14ac:dyDescent="0.4">
      <c r="A35" s="649"/>
      <c r="B35" s="232"/>
      <c r="C35" s="232"/>
      <c r="D35" s="232"/>
      <c r="H35" s="1048"/>
      <c r="I35" s="1048"/>
      <c r="J35" s="1048"/>
    </row>
    <row r="36" spans="1:11" ht="12.75" customHeight="1" x14ac:dyDescent="0.4">
      <c r="A36" s="649"/>
      <c r="B36" s="232"/>
      <c r="C36" s="232"/>
      <c r="D36" s="232"/>
      <c r="H36" s="1048"/>
      <c r="I36" s="1048"/>
      <c r="J36" s="1048"/>
    </row>
    <row r="37" spans="1:11" ht="12.75" customHeight="1" x14ac:dyDescent="0.4">
      <c r="A37" s="649"/>
      <c r="B37" s="232"/>
      <c r="C37" s="232"/>
      <c r="D37" s="232"/>
      <c r="H37" s="1048"/>
      <c r="I37" s="1048"/>
      <c r="J37" s="1048"/>
    </row>
    <row r="38" spans="1:11" ht="12.75" customHeight="1" x14ac:dyDescent="0.4">
      <c r="A38" s="649"/>
      <c r="B38" s="232"/>
      <c r="C38" s="232"/>
      <c r="D38" s="232"/>
      <c r="H38" s="1048"/>
      <c r="I38" s="1048"/>
      <c r="J38" s="1048"/>
    </row>
    <row r="39" spans="1:11" ht="12.75" customHeight="1" x14ac:dyDescent="0.4">
      <c r="A39" s="649"/>
      <c r="B39" s="232"/>
      <c r="C39" s="232"/>
      <c r="D39" s="232"/>
      <c r="H39" s="1048"/>
      <c r="I39" s="1048"/>
      <c r="J39" s="1048"/>
    </row>
    <row r="40" spans="1:11" x14ac:dyDescent="0.4">
      <c r="A40" s="649"/>
      <c r="B40" s="232"/>
      <c r="C40" s="232"/>
      <c r="D40" s="232"/>
      <c r="H40" s="1048"/>
      <c r="I40" s="1048"/>
      <c r="J40" s="1048"/>
    </row>
    <row r="41" spans="1:11" x14ac:dyDescent="0.4">
      <c r="A41" s="649"/>
      <c r="B41" s="232"/>
      <c r="C41" s="232"/>
      <c r="D41" s="232"/>
      <c r="H41" s="1048"/>
      <c r="I41" s="1048"/>
      <c r="J41" s="1048"/>
    </row>
    <row r="42" spans="1:11" x14ac:dyDescent="0.4">
      <c r="A42" s="649"/>
      <c r="B42" s="232"/>
      <c r="C42" s="232"/>
      <c r="D42" s="232"/>
      <c r="H42" s="1048"/>
      <c r="I42" s="1048"/>
      <c r="J42" s="1048"/>
    </row>
    <row r="43" spans="1:11" x14ac:dyDescent="0.4">
      <c r="A43" s="649"/>
      <c r="B43" s="232"/>
      <c r="C43" s="232"/>
      <c r="D43" s="232"/>
      <c r="H43" s="1048"/>
      <c r="I43" s="1048"/>
      <c r="J43" s="1048"/>
    </row>
    <row r="44" spans="1:11" x14ac:dyDescent="0.4">
      <c r="A44" s="649"/>
      <c r="B44" s="232"/>
      <c r="C44" s="232"/>
      <c r="D44" s="232"/>
      <c r="H44" s="1048"/>
      <c r="I44" s="1048"/>
      <c r="J44" s="1048"/>
    </row>
    <row r="45" spans="1:11" ht="39.6" customHeight="1" x14ac:dyDescent="0.4">
      <c r="A45" s="649"/>
      <c r="B45" s="232"/>
      <c r="C45" s="2815" t="s">
        <v>2841</v>
      </c>
      <c r="D45" s="2815"/>
      <c r="E45" s="2815"/>
      <c r="F45" s="2815"/>
      <c r="G45" s="2815"/>
      <c r="H45" s="2815"/>
      <c r="I45" s="2815"/>
      <c r="J45" s="2815"/>
      <c r="K45" s="2815"/>
    </row>
    <row r="46" spans="1:11" x14ac:dyDescent="0.4">
      <c r="A46" s="649"/>
      <c r="B46" s="232"/>
      <c r="C46" s="232"/>
      <c r="D46" s="232"/>
      <c r="H46" s="1048"/>
      <c r="I46" s="1048"/>
      <c r="J46" s="1048"/>
    </row>
    <row r="47" spans="1:11" x14ac:dyDescent="0.4">
      <c r="A47" s="1072"/>
      <c r="B47" s="1073"/>
      <c r="C47" s="1073"/>
      <c r="D47" s="1073"/>
      <c r="E47" s="1074"/>
      <c r="F47" s="1074"/>
      <c r="G47" s="215"/>
      <c r="H47" s="1074"/>
      <c r="I47" s="1048"/>
      <c r="J47" s="1048"/>
    </row>
    <row r="48" spans="1:11" ht="11.65" customHeight="1" x14ac:dyDescent="0.4">
      <c r="A48" s="1072"/>
      <c r="B48" s="1073"/>
      <c r="C48" s="1073"/>
      <c r="D48" s="1073"/>
      <c r="E48" s="1074"/>
      <c r="F48" s="1074"/>
      <c r="G48" s="215"/>
      <c r="H48" s="1074"/>
      <c r="I48" s="1048"/>
      <c r="J48" s="1048"/>
    </row>
    <row r="49" spans="1:11" ht="11.25" customHeight="1" x14ac:dyDescent="0.4">
      <c r="A49" s="1072"/>
      <c r="B49" s="1072"/>
      <c r="C49" s="1074"/>
      <c r="D49" s="1074"/>
      <c r="E49" s="1074"/>
      <c r="F49" s="1074"/>
      <c r="G49" s="215"/>
      <c r="H49" s="1074"/>
      <c r="I49" s="1074"/>
      <c r="J49" s="1074"/>
      <c r="K49" s="215"/>
    </row>
    <row r="50" spans="1:11" ht="225" x14ac:dyDescent="0.4">
      <c r="A50" s="123"/>
      <c r="B50" s="1075" t="s">
        <v>2842</v>
      </c>
      <c r="C50" s="1075" t="s">
        <v>2843</v>
      </c>
      <c r="D50" s="1075" t="s">
        <v>2844</v>
      </c>
      <c r="E50" s="1075" t="s">
        <v>2845</v>
      </c>
      <c r="F50" s="1075" t="s">
        <v>2846</v>
      </c>
      <c r="G50" s="215"/>
      <c r="H50" s="1074"/>
      <c r="I50" s="1074"/>
      <c r="J50" s="1074"/>
      <c r="K50" s="215"/>
    </row>
    <row r="51" spans="1:11" x14ac:dyDescent="0.4">
      <c r="A51" s="1076">
        <v>2016</v>
      </c>
      <c r="B51" s="1077">
        <f t="shared" ref="B51:B57" si="0">+E14</f>
        <v>3.93</v>
      </c>
      <c r="C51" s="1077">
        <f t="shared" ref="C51:C57" si="1">+G14</f>
        <v>28.11</v>
      </c>
      <c r="D51" s="1077">
        <f t="shared" ref="D51:D57" si="2">+I14</f>
        <v>6.47</v>
      </c>
      <c r="E51" s="1077">
        <f t="shared" ref="E51:E57" si="3">+K14</f>
        <v>7.75</v>
      </c>
      <c r="F51" s="1077">
        <f t="shared" ref="F51:F57" si="4">+O14</f>
        <v>53.74</v>
      </c>
      <c r="G51" s="215"/>
      <c r="H51" s="215"/>
      <c r="I51" s="215"/>
      <c r="J51" s="215"/>
      <c r="K51" s="215"/>
    </row>
    <row r="52" spans="1:11" x14ac:dyDescent="0.4">
      <c r="A52" s="1076">
        <v>2017</v>
      </c>
      <c r="B52" s="1077">
        <f t="shared" si="0"/>
        <v>5.25</v>
      </c>
      <c r="C52" s="1077">
        <f t="shared" si="1"/>
        <v>26.61</v>
      </c>
      <c r="D52" s="1077">
        <f t="shared" si="2"/>
        <v>9.1999999999999993</v>
      </c>
      <c r="E52" s="1077">
        <f t="shared" si="3"/>
        <v>17.64</v>
      </c>
      <c r="F52" s="1077">
        <f t="shared" si="4"/>
        <v>41.3</v>
      </c>
      <c r="G52" s="215"/>
      <c r="H52" s="1074"/>
      <c r="I52" s="1074"/>
      <c r="J52" s="1074"/>
      <c r="K52" s="215"/>
    </row>
    <row r="53" spans="1:11" x14ac:dyDescent="0.4">
      <c r="A53" s="1078">
        <v>2018</v>
      </c>
      <c r="B53" s="1077">
        <f t="shared" si="0"/>
        <v>6.048929224563742</v>
      </c>
      <c r="C53" s="1077">
        <f t="shared" si="1"/>
        <v>26.016510280469671</v>
      </c>
      <c r="D53" s="1077">
        <f t="shared" si="2"/>
        <v>8.2335640670666042</v>
      </c>
      <c r="E53" s="1077">
        <f t="shared" si="3"/>
        <v>15.851701447640535</v>
      </c>
      <c r="F53" s="1077">
        <f t="shared" si="4"/>
        <v>43.849294980259458</v>
      </c>
      <c r="G53" s="215"/>
      <c r="H53" s="1074"/>
      <c r="I53" s="1074"/>
      <c r="J53" s="1074"/>
      <c r="K53" s="215"/>
    </row>
    <row r="54" spans="1:11" x14ac:dyDescent="0.4">
      <c r="A54" s="1076">
        <v>2019</v>
      </c>
      <c r="B54" s="1077">
        <f t="shared" si="0"/>
        <v>4.3546211503239807</v>
      </c>
      <c r="C54" s="1077">
        <f t="shared" si="1"/>
        <v>23.16038970033706</v>
      </c>
      <c r="D54" s="1077">
        <f t="shared" si="2"/>
        <v>6.4473304295630482</v>
      </c>
      <c r="E54" s="1077">
        <f t="shared" si="3"/>
        <v>12.257694734735967</v>
      </c>
      <c r="F54" s="1077">
        <f t="shared" si="4"/>
        <v>53.779963985039949</v>
      </c>
      <c r="G54" s="215"/>
      <c r="H54" s="1074"/>
      <c r="I54" s="1074"/>
      <c r="J54" s="1074"/>
      <c r="K54" s="215"/>
    </row>
    <row r="55" spans="1:11" x14ac:dyDescent="0.4">
      <c r="A55" s="1076">
        <v>2020</v>
      </c>
      <c r="B55" s="1077">
        <f t="shared" si="0"/>
        <v>4.51</v>
      </c>
      <c r="C55" s="1077">
        <f t="shared" si="1"/>
        <v>22.52</v>
      </c>
      <c r="D55" s="1077">
        <f t="shared" si="2"/>
        <v>6.4268759582833637</v>
      </c>
      <c r="E55" s="1077">
        <f t="shared" si="3"/>
        <v>12.45</v>
      </c>
      <c r="F55" s="1077">
        <f t="shared" si="4"/>
        <v>54.09</v>
      </c>
      <c r="G55" s="215"/>
      <c r="H55" s="215"/>
      <c r="I55" s="1074"/>
      <c r="J55" s="1074"/>
      <c r="K55" s="215"/>
    </row>
    <row r="56" spans="1:11" x14ac:dyDescent="0.4">
      <c r="A56" s="1076">
        <v>2021</v>
      </c>
      <c r="B56" s="1077">
        <f t="shared" si="0"/>
        <v>4.96</v>
      </c>
      <c r="C56" s="1077">
        <f t="shared" si="1"/>
        <v>22.24</v>
      </c>
      <c r="D56" s="1077">
        <f t="shared" si="2"/>
        <v>6.64</v>
      </c>
      <c r="E56" s="1077">
        <f t="shared" si="3"/>
        <v>12.68</v>
      </c>
      <c r="F56" s="1077">
        <f t="shared" si="4"/>
        <v>53.48</v>
      </c>
      <c r="G56" s="215"/>
      <c r="H56" s="1074"/>
      <c r="I56" s="1074"/>
      <c r="J56" s="1074"/>
      <c r="K56" s="215"/>
    </row>
    <row r="57" spans="1:11" x14ac:dyDescent="0.4">
      <c r="A57" s="123">
        <v>2022</v>
      </c>
      <c r="B57" s="1077">
        <f t="shared" si="0"/>
        <v>4.6975746730100534</v>
      </c>
      <c r="C57" s="1077">
        <f t="shared" si="1"/>
        <v>21.376922293512575</v>
      </c>
      <c r="D57" s="1077">
        <f t="shared" si="2"/>
        <v>18.833457000276432</v>
      </c>
      <c r="E57" s="1077">
        <f t="shared" si="3"/>
        <v>19.656083686147849</v>
      </c>
      <c r="F57" s="1077">
        <f t="shared" si="4"/>
        <v>35.435962347053085</v>
      </c>
      <c r="G57" s="215"/>
      <c r="H57" s="1074"/>
      <c r="I57" s="1048"/>
      <c r="J57" s="1048"/>
    </row>
    <row r="58" spans="1:11" x14ac:dyDescent="0.4">
      <c r="A58" s="215"/>
      <c r="B58" s="215"/>
      <c r="C58" s="1074"/>
      <c r="D58" s="1074"/>
      <c r="E58" s="1074"/>
      <c r="F58" s="1074"/>
      <c r="G58" s="215"/>
      <c r="H58" s="1074"/>
      <c r="I58" s="1048"/>
      <c r="J58" s="1048"/>
    </row>
    <row r="59" spans="1:11" x14ac:dyDescent="0.4">
      <c r="A59" s="215"/>
      <c r="B59" s="215"/>
      <c r="C59" s="1074"/>
      <c r="D59" s="1074"/>
      <c r="E59" s="1074"/>
      <c r="F59" s="1074"/>
      <c r="G59" s="215"/>
      <c r="H59" s="1074"/>
      <c r="I59" s="1048"/>
      <c r="J59" s="1048"/>
    </row>
    <row r="60" spans="1:11" x14ac:dyDescent="0.4">
      <c r="A60" s="215"/>
      <c r="B60" s="215"/>
      <c r="C60" s="1074"/>
      <c r="D60" s="1074"/>
      <c r="E60" s="1074"/>
      <c r="F60" s="1074"/>
      <c r="G60" s="215"/>
      <c r="H60" s="1074"/>
      <c r="I60" s="1048"/>
      <c r="J60" s="1048"/>
    </row>
    <row r="61" spans="1:11" x14ac:dyDescent="0.4">
      <c r="A61" s="215"/>
      <c r="B61" s="215"/>
      <c r="C61" s="1074"/>
      <c r="D61" s="1074"/>
      <c r="E61" s="1074"/>
      <c r="F61" s="1074"/>
      <c r="G61" s="215"/>
      <c r="H61" s="1074"/>
      <c r="I61" s="1048"/>
      <c r="J61" s="1048"/>
    </row>
    <row r="62" spans="1:11" x14ac:dyDescent="0.4">
      <c r="A62" s="215"/>
      <c r="B62" s="215"/>
      <c r="C62" s="1074"/>
      <c r="D62" s="1074"/>
      <c r="E62" s="1074"/>
      <c r="F62" s="1074"/>
      <c r="G62" s="215"/>
      <c r="H62" s="1074"/>
      <c r="I62" s="1048"/>
      <c r="J62" s="1048"/>
    </row>
    <row r="63" spans="1:11" x14ac:dyDescent="0.4">
      <c r="A63" s="215"/>
      <c r="B63" s="215"/>
      <c r="C63" s="1074"/>
      <c r="D63" s="1074"/>
      <c r="E63" s="1074"/>
      <c r="F63" s="1074"/>
      <c r="G63" s="215"/>
      <c r="H63" s="1074"/>
      <c r="I63" s="1048"/>
      <c r="J63" s="1048"/>
    </row>
    <row r="64" spans="1:11" x14ac:dyDescent="0.4">
      <c r="A64" s="215"/>
      <c r="B64" s="215"/>
      <c r="C64" s="1074"/>
      <c r="D64" s="1074"/>
      <c r="E64" s="1074"/>
      <c r="F64" s="1074"/>
      <c r="G64" s="215"/>
      <c r="H64" s="1074"/>
      <c r="I64" s="1048"/>
      <c r="J64" s="1048"/>
    </row>
    <row r="65" spans="8:10" x14ac:dyDescent="0.4">
      <c r="H65" s="1048"/>
      <c r="I65" s="1048"/>
      <c r="J65" s="1048"/>
    </row>
  </sheetData>
  <mergeCells count="21">
    <mergeCell ref="A5:B5"/>
    <mergeCell ref="C5:R5"/>
    <mergeCell ref="C1:D1"/>
    <mergeCell ref="A3:B3"/>
    <mergeCell ref="C3:R3"/>
    <mergeCell ref="A4:B4"/>
    <mergeCell ref="C4:R4"/>
    <mergeCell ref="J12:K12"/>
    <mergeCell ref="C21:Q21"/>
    <mergeCell ref="C22:Q22"/>
    <mergeCell ref="C45:K45"/>
    <mergeCell ref="A6:B6"/>
    <mergeCell ref="C6:R6"/>
    <mergeCell ref="C11:C13"/>
    <mergeCell ref="D11:K11"/>
    <mergeCell ref="L11:M12"/>
    <mergeCell ref="N11:O12"/>
    <mergeCell ref="P11:Q12"/>
    <mergeCell ref="D12:E12"/>
    <mergeCell ref="F12:G12"/>
    <mergeCell ref="H12:I12"/>
  </mergeCells>
  <hyperlinks>
    <hyperlink ref="A1" location="'ODS 6.'!A1" display="REGRESAR" xr:uid="{AC259177-FC42-4ADA-B006-8B8200ABE573}"/>
    <hyperlink ref="C1" location="'Metadato 6.3.1'!A1" display="VER METADATO" xr:uid="{03F5FDEC-7ACE-4B37-8BD5-BE69B8CF5D49}"/>
  </hyperlinks>
  <pageMargins left="0.7" right="0.7" top="0.75" bottom="0.75" header="0.3" footer="0.3"/>
  <pageSetup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CF29-72E9-4C43-90EB-5ABEF5FAE1FB}">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10.5703125" style="243" bestFit="1" customWidth="1"/>
    <col min="4" max="4" width="85.7109375" style="243" customWidth="1"/>
    <col min="5" max="5" width="11.42578125" style="243"/>
    <col min="6" max="6" width="7.28515625" style="243" customWidth="1"/>
    <col min="7" max="10" width="11.42578125" style="243"/>
    <col min="11" max="11" width="22" style="243" customWidth="1"/>
    <col min="12" max="12" width="21.28515625" style="243" customWidth="1"/>
    <col min="13" max="13" width="11.42578125" style="243"/>
    <col min="14" max="14" width="19.5703125" style="243" customWidth="1"/>
    <col min="15" max="16384" width="11.42578125" style="243"/>
  </cols>
  <sheetData>
    <row r="1" spans="1:6" x14ac:dyDescent="0.25">
      <c r="B1" s="223" t="s">
        <v>39</v>
      </c>
    </row>
    <row r="2" spans="1:6" ht="19.5" thickBot="1" x14ac:dyDescent="0.3"/>
    <row r="3" spans="1:6" ht="23.25" customHeight="1" thickBot="1" x14ac:dyDescent="0.3">
      <c r="B3" s="2809" t="s">
        <v>75</v>
      </c>
      <c r="C3" s="2809"/>
      <c r="D3" s="2809"/>
      <c r="F3" s="1046" t="s">
        <v>265</v>
      </c>
    </row>
    <row r="4" spans="1:6" x14ac:dyDescent="0.25">
      <c r="A4" s="1079"/>
      <c r="B4" s="2445" t="s">
        <v>234</v>
      </c>
      <c r="C4" s="2445"/>
      <c r="D4" s="49" t="s">
        <v>2803</v>
      </c>
    </row>
    <row r="5" spans="1:6" ht="75" x14ac:dyDescent="0.25">
      <c r="B5" s="2445" t="s">
        <v>79</v>
      </c>
      <c r="C5" s="2445"/>
      <c r="D5" s="49" t="s">
        <v>2775</v>
      </c>
    </row>
    <row r="6" spans="1:6" x14ac:dyDescent="0.25">
      <c r="B6" s="2445" t="s">
        <v>80</v>
      </c>
      <c r="C6" s="2445"/>
      <c r="D6" s="50" t="s">
        <v>2776</v>
      </c>
    </row>
    <row r="7" spans="1:6" ht="30.6" customHeight="1" x14ac:dyDescent="0.25">
      <c r="B7" s="2446" t="s">
        <v>81</v>
      </c>
      <c r="C7" s="2446"/>
      <c r="D7" s="93" t="s">
        <v>2777</v>
      </c>
    </row>
    <row r="8" spans="1:6" x14ac:dyDescent="0.25">
      <c r="B8" s="2446" t="s">
        <v>82</v>
      </c>
      <c r="C8" s="2446"/>
      <c r="D8" s="1047" t="s">
        <v>2847</v>
      </c>
    </row>
    <row r="9" spans="1:6" x14ac:dyDescent="0.4">
      <c r="B9" s="115"/>
      <c r="C9" s="115"/>
      <c r="D9" s="115"/>
    </row>
    <row r="10" spans="1:6" ht="23.25" customHeight="1" x14ac:dyDescent="0.25">
      <c r="B10" s="2809" t="s">
        <v>85</v>
      </c>
      <c r="C10" s="2809"/>
      <c r="D10" s="2809"/>
    </row>
    <row r="11" spans="1:6" ht="115.9" customHeight="1" x14ac:dyDescent="0.25">
      <c r="B11" s="2487" t="s">
        <v>86</v>
      </c>
      <c r="C11" s="2456"/>
      <c r="D11" s="49" t="s">
        <v>2848</v>
      </c>
    </row>
    <row r="12" spans="1:6" ht="15" customHeight="1" x14ac:dyDescent="0.25">
      <c r="B12" s="2446" t="s">
        <v>88</v>
      </c>
      <c r="C12" s="2446"/>
      <c r="D12" s="184" t="s">
        <v>2849</v>
      </c>
    </row>
    <row r="13" spans="1:6" x14ac:dyDescent="0.25">
      <c r="B13" s="2445" t="s">
        <v>90</v>
      </c>
      <c r="C13" s="2445"/>
      <c r="D13" s="54" t="s">
        <v>2776</v>
      </c>
    </row>
    <row r="14" spans="1:6" x14ac:dyDescent="0.25">
      <c r="B14" s="2445" t="s">
        <v>91</v>
      </c>
      <c r="C14" s="2456"/>
      <c r="D14" s="54" t="s">
        <v>92</v>
      </c>
    </row>
    <row r="15" spans="1:6" ht="243.75" x14ac:dyDescent="0.25">
      <c r="B15" s="2445" t="s">
        <v>93</v>
      </c>
      <c r="C15" s="2445"/>
      <c r="D15" s="49" t="s">
        <v>2850</v>
      </c>
    </row>
    <row r="16" spans="1:6" ht="188.65" customHeight="1" x14ac:dyDescent="0.25">
      <c r="B16" s="2445" t="s">
        <v>95</v>
      </c>
      <c r="C16" s="2445"/>
      <c r="D16" s="49" t="s">
        <v>2851</v>
      </c>
    </row>
    <row r="17" spans="2:4" x14ac:dyDescent="0.25">
      <c r="B17" s="2445" t="s">
        <v>97</v>
      </c>
      <c r="C17" s="2445"/>
      <c r="D17" s="55" t="s">
        <v>387</v>
      </c>
    </row>
    <row r="18" spans="2:4" ht="56.25" x14ac:dyDescent="0.25">
      <c r="B18" s="2446" t="s">
        <v>99</v>
      </c>
      <c r="C18" s="2446"/>
      <c r="D18" s="49" t="s">
        <v>2852</v>
      </c>
    </row>
    <row r="19" spans="2:4" ht="56.25" x14ac:dyDescent="0.25">
      <c r="B19" s="2457" t="s">
        <v>100</v>
      </c>
      <c r="C19" s="2458"/>
      <c r="D19" s="55" t="s">
        <v>2853</v>
      </c>
    </row>
    <row r="20" spans="2:4" x14ac:dyDescent="0.25">
      <c r="B20" s="2445" t="s">
        <v>102</v>
      </c>
      <c r="C20" s="2445"/>
      <c r="D20" s="49" t="s">
        <v>140</v>
      </c>
    </row>
    <row r="21" spans="2:4" x14ac:dyDescent="0.25">
      <c r="B21" s="2451" t="s">
        <v>104</v>
      </c>
      <c r="C21" s="95" t="s">
        <v>105</v>
      </c>
      <c r="D21" s="49" t="s">
        <v>140</v>
      </c>
    </row>
    <row r="22" spans="2:4" ht="138" customHeight="1" x14ac:dyDescent="0.25">
      <c r="B22" s="2452"/>
      <c r="C22" s="96" t="s">
        <v>107</v>
      </c>
      <c r="D22" s="55" t="s">
        <v>2854</v>
      </c>
    </row>
    <row r="23" spans="2:4" x14ac:dyDescent="0.25">
      <c r="B23" s="2445" t="s">
        <v>109</v>
      </c>
      <c r="C23" s="2445"/>
      <c r="D23" s="49" t="s">
        <v>1345</v>
      </c>
    </row>
    <row r="24" spans="2:4" ht="300" x14ac:dyDescent="0.25">
      <c r="B24" s="2445" t="s">
        <v>111</v>
      </c>
      <c r="C24" s="2445"/>
      <c r="D24" s="50" t="s">
        <v>2855</v>
      </c>
    </row>
    <row r="25" spans="2:4" x14ac:dyDescent="0.25">
      <c r="B25" s="2445" t="s">
        <v>113</v>
      </c>
      <c r="C25" s="2445"/>
      <c r="D25" s="55" t="s">
        <v>220</v>
      </c>
    </row>
    <row r="26" spans="2:4" ht="150" x14ac:dyDescent="0.25">
      <c r="B26" s="2446" t="s">
        <v>115</v>
      </c>
      <c r="C26" s="2446"/>
      <c r="D26" s="50" t="s">
        <v>2856</v>
      </c>
    </row>
    <row r="27" spans="2:4" ht="150" x14ac:dyDescent="0.25">
      <c r="B27" s="2447" t="s">
        <v>117</v>
      </c>
      <c r="C27" s="2448"/>
      <c r="D27" s="49" t="s">
        <v>2857</v>
      </c>
    </row>
    <row r="28" spans="2:4" ht="409.5" x14ac:dyDescent="0.25">
      <c r="B28" s="97" t="s">
        <v>118</v>
      </c>
      <c r="C28" s="98"/>
      <c r="D28" s="49" t="s">
        <v>2858</v>
      </c>
    </row>
    <row r="29" spans="2:4" x14ac:dyDescent="0.25">
      <c r="B29" s="2449" t="s">
        <v>120</v>
      </c>
      <c r="C29" s="2450"/>
      <c r="D29" s="62"/>
    </row>
    <row r="30" spans="2:4" x14ac:dyDescent="0.25">
      <c r="B30" s="63"/>
      <c r="C30" s="63"/>
      <c r="D30" s="64"/>
    </row>
    <row r="31" spans="2:4" ht="23.25" customHeight="1" x14ac:dyDescent="0.25">
      <c r="B31" s="2809" t="s">
        <v>121</v>
      </c>
      <c r="C31" s="2809"/>
      <c r="D31" s="2809"/>
    </row>
    <row r="32" spans="2:4" x14ac:dyDescent="0.4">
      <c r="B32" s="2819" t="s">
        <v>122</v>
      </c>
      <c r="C32" s="2820"/>
      <c r="D32" s="826" t="s">
        <v>123</v>
      </c>
    </row>
    <row r="33" spans="2:4" x14ac:dyDescent="0.4">
      <c r="B33" s="2819" t="s">
        <v>124</v>
      </c>
      <c r="C33" s="2820"/>
      <c r="D33" s="826" t="s">
        <v>1790</v>
      </c>
    </row>
    <row r="34" spans="2:4" x14ac:dyDescent="0.4">
      <c r="B34" s="2819" t="s">
        <v>126</v>
      </c>
      <c r="C34" s="2820"/>
      <c r="D34" s="826" t="s">
        <v>127</v>
      </c>
    </row>
    <row r="35" spans="2:4" x14ac:dyDescent="0.4">
      <c r="B35" s="2819" t="s">
        <v>128</v>
      </c>
      <c r="C35" s="2820"/>
      <c r="D35" s="826" t="s">
        <v>2822</v>
      </c>
    </row>
    <row r="36" spans="2:4" x14ac:dyDescent="0.4">
      <c r="B36" s="2819" t="s">
        <v>130</v>
      </c>
      <c r="C36" s="2820"/>
      <c r="D36" s="826" t="s">
        <v>131</v>
      </c>
    </row>
    <row r="37" spans="2:4" x14ac:dyDescent="0.25">
      <c r="B37" s="2447" t="s">
        <v>122</v>
      </c>
      <c r="C37" s="2448"/>
      <c r="D37" s="50" t="s">
        <v>1480</v>
      </c>
    </row>
    <row r="38" spans="2:4" x14ac:dyDescent="0.25">
      <c r="B38" s="2447" t="s">
        <v>124</v>
      </c>
      <c r="C38" s="2448"/>
      <c r="D38" s="50" t="s">
        <v>2859</v>
      </c>
    </row>
    <row r="39" spans="2:4" x14ac:dyDescent="0.25">
      <c r="B39" s="2447" t="s">
        <v>126</v>
      </c>
      <c r="C39" s="2448"/>
      <c r="D39" s="50" t="s">
        <v>1482</v>
      </c>
    </row>
    <row r="40" spans="2:4" x14ac:dyDescent="0.25">
      <c r="B40" s="2447" t="s">
        <v>128</v>
      </c>
      <c r="C40" s="2448"/>
      <c r="D40" s="50" t="s">
        <v>2860</v>
      </c>
    </row>
    <row r="41" spans="2:4" x14ac:dyDescent="0.25">
      <c r="B41" s="2447" t="s">
        <v>130</v>
      </c>
      <c r="C41" s="2448"/>
      <c r="D41" s="50" t="s">
        <v>2861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5253A1ED-5605-4784-A173-3BB96A8B11E5}">
      <formula1>Tipo_operación</formula1>
    </dataValidation>
    <dataValidation type="list" allowBlank="1" showInputMessage="1" showErrorMessage="1" sqref="D14" xr:uid="{046DC9DF-BBAF-478D-B38C-DD8EBE6CD52A}">
      <formula1>Tipo_indicador</formula1>
    </dataValidation>
    <dataValidation type="list" allowBlank="1" showInputMessage="1" showErrorMessage="1" sqref="D7" xr:uid="{0F1B97B0-444E-407B-9B5B-F6944322F0B0}">
      <formula1>Nombre_indicador_ODS</formula1>
    </dataValidation>
    <dataValidation type="list" allowBlank="1" showInputMessage="1" showErrorMessage="1" sqref="D6" xr:uid="{CCD74EF6-35B1-4777-A8E0-19FDCE06F919}">
      <formula1>Numero_indicador</formula1>
    </dataValidation>
    <dataValidation type="list" allowBlank="1" showInputMessage="1" showErrorMessage="1" sqref="D5" xr:uid="{D6445C79-A115-4A20-AFF1-79CBFC0DEA18}">
      <formula1>Metas_ODS</formula1>
    </dataValidation>
    <dataValidation type="list" allowBlank="1" showInputMessage="1" showErrorMessage="1" sqref="D4" xr:uid="{F05478DD-927E-4D8E-9621-0BE2A6D0F57E}">
      <formula1>ODS</formula1>
    </dataValidation>
    <dataValidation allowBlank="1" showDropDown="1" showInputMessage="1" showErrorMessage="1" sqref="D13" xr:uid="{51471FB9-AF19-4AF5-9D4D-DF84E348DED5}"/>
  </dataValidations>
  <hyperlinks>
    <hyperlink ref="B1" location="'6.3.1'!A1" display="REGRESAR" xr:uid="{4E9F50DD-0A58-409B-B009-5CCB0A0A450E}"/>
    <hyperlink ref="D8" r:id="rId1" xr:uid="{2D204561-BF98-4349-86DF-E13082DB91E5}"/>
  </hyperlinks>
  <pageMargins left="0.7" right="0.7" top="0.75" bottom="0.75" header="0.3" footer="0.3"/>
  <pageSetup orientation="portrait" r:id="rId2"/>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24E-637E-4929-BEE9-9E8AFBC63A4D}">
  <dimension ref="A1:AE623"/>
  <sheetViews>
    <sheetView showGridLines="0" zoomScale="70" zoomScaleNormal="70" workbookViewId="0">
      <pane ySplit="1" topLeftCell="A2" activePane="bottomLeft" state="frozen"/>
      <selection pane="bottomLeft"/>
    </sheetView>
  </sheetViews>
  <sheetFormatPr baseColWidth="10" defaultColWidth="11.42578125" defaultRowHeight="18.75" x14ac:dyDescent="0.4"/>
  <cols>
    <col min="1" max="2" width="15.7109375" style="115" customWidth="1"/>
    <col min="3" max="3" width="13" style="115" customWidth="1"/>
    <col min="4" max="9" width="15.7109375" style="115" customWidth="1"/>
    <col min="10" max="10" width="16.28515625" style="115" customWidth="1"/>
    <col min="11" max="11" width="1.28515625" style="1048" customWidth="1"/>
    <col min="12" max="12" width="12.42578125" style="115" customWidth="1"/>
    <col min="13" max="13" width="11.42578125" style="115"/>
    <col min="14" max="14" width="13.7109375" style="115" customWidth="1"/>
    <col min="15" max="15" width="11.42578125" style="115"/>
    <col min="16" max="16" width="16" style="115" customWidth="1"/>
    <col min="17" max="17" width="0.7109375" style="115" customWidth="1"/>
    <col min="18" max="18" width="12.42578125" style="115" customWidth="1"/>
    <col min="19" max="19" width="9.28515625" style="115" customWidth="1"/>
    <col min="20" max="20" width="11.42578125" style="115"/>
    <col min="21" max="21" width="9.42578125" style="115" customWidth="1"/>
    <col min="22" max="22" width="11.42578125" style="115"/>
    <col min="23" max="23" width="9.7109375" style="115" customWidth="1"/>
    <col min="24" max="24" width="11.42578125" style="115"/>
    <col min="25" max="25" width="9" style="115" customWidth="1"/>
    <col min="26" max="26" width="1.28515625" style="115" customWidth="1"/>
    <col min="27" max="27" width="12.28515625" style="115" customWidth="1"/>
    <col min="28" max="28" width="9" style="115" customWidth="1"/>
    <col min="29" max="29" width="11.42578125" style="115"/>
    <col min="30" max="30" width="9.7109375" style="115" customWidth="1"/>
    <col min="31" max="31" width="11.42578125" style="115"/>
    <col min="32" max="32" width="9.28515625" style="115" customWidth="1"/>
    <col min="33" max="33" width="11.42578125" style="115"/>
    <col min="34" max="34" width="9" style="115" customWidth="1"/>
    <col min="35" max="35" width="0.7109375" style="115" customWidth="1"/>
    <col min="36" max="36" width="13.5703125" style="115" customWidth="1"/>
    <col min="37" max="37" width="9.28515625" style="115" customWidth="1"/>
    <col min="38" max="38" width="11.42578125" style="115"/>
    <col min="39" max="39" width="9" style="115" customWidth="1"/>
    <col min="40" max="40" width="11.42578125" style="115"/>
    <col min="41" max="41" width="9" style="115" customWidth="1"/>
    <col min="42" max="42" width="11" style="115" customWidth="1"/>
    <col min="43" max="43" width="9" style="115" bestFit="1" customWidth="1"/>
    <col min="44" max="44" width="0.7109375" style="115" customWidth="1"/>
    <col min="45" max="45" width="14.28515625" style="115" customWidth="1"/>
    <col min="46" max="46" width="9" style="115" customWidth="1"/>
    <col min="47" max="47" width="11.42578125" style="115"/>
    <col min="48" max="48" width="9" style="115" customWidth="1"/>
    <col min="49" max="49" width="11.42578125" style="115"/>
    <col min="50" max="50" width="9.28515625" style="115" customWidth="1"/>
    <col min="51" max="51" width="11.42578125" style="115"/>
    <col min="52" max="52" width="9.28515625" style="115" customWidth="1"/>
    <col min="53" max="53" width="0.7109375" style="115" customWidth="1"/>
    <col min="54" max="54" width="11.42578125" style="115"/>
    <col min="55" max="55" width="8.7109375" style="115" customWidth="1"/>
    <col min="56" max="56" width="11.42578125" style="115"/>
    <col min="57" max="57" width="8.7109375" style="115" customWidth="1"/>
    <col min="58" max="58" width="11.42578125" style="115"/>
    <col min="59" max="59" width="9" style="115" customWidth="1"/>
    <col min="60" max="60" width="11.42578125" style="115"/>
    <col min="61" max="61" width="9" style="115" customWidth="1"/>
    <col min="62" max="16384" width="11.42578125" style="115"/>
  </cols>
  <sheetData>
    <row r="1" spans="1:23" s="1032" customFormat="1" ht="19.5" x14ac:dyDescent="0.4">
      <c r="A1" s="15" t="s">
        <v>39</v>
      </c>
      <c r="B1" s="1080"/>
      <c r="C1" s="2421" t="s">
        <v>149</v>
      </c>
      <c r="D1" s="2421"/>
      <c r="E1" s="1080"/>
      <c r="F1" s="1080"/>
      <c r="G1" s="1080"/>
      <c r="H1" s="1080"/>
      <c r="I1" s="1080"/>
      <c r="J1" s="1080"/>
      <c r="K1" s="1061"/>
    </row>
    <row r="2" spans="1:23" s="1032" customFormat="1" ht="19.5" x14ac:dyDescent="0.4">
      <c r="K2" s="1061"/>
    </row>
    <row r="3" spans="1:23" s="1032" customFormat="1" ht="21" customHeight="1" x14ac:dyDescent="0.4">
      <c r="A3" s="2853" t="s">
        <v>41</v>
      </c>
      <c r="B3" s="2854"/>
      <c r="C3" s="2853" t="s">
        <v>2768</v>
      </c>
      <c r="D3" s="2857"/>
      <c r="E3" s="2857"/>
      <c r="F3" s="2857"/>
      <c r="G3" s="2857"/>
      <c r="H3" s="2857"/>
      <c r="I3" s="2857"/>
      <c r="J3" s="2857"/>
      <c r="K3" s="2857"/>
      <c r="L3" s="2857"/>
      <c r="M3" s="2857"/>
      <c r="N3" s="2854"/>
      <c r="O3" s="1081"/>
      <c r="P3" s="1081"/>
      <c r="Q3" s="1081"/>
      <c r="R3" s="1081"/>
      <c r="S3" s="1081"/>
      <c r="T3" s="1081"/>
      <c r="U3" s="1081"/>
      <c r="V3" s="1081"/>
      <c r="W3" s="1082"/>
    </row>
    <row r="4" spans="1:23" s="1032" customFormat="1" ht="39.6" customHeight="1" x14ac:dyDescent="0.4">
      <c r="A4" s="2853" t="s">
        <v>42</v>
      </c>
      <c r="B4" s="2854"/>
      <c r="C4" s="2853" t="s">
        <v>2775</v>
      </c>
      <c r="D4" s="2855"/>
      <c r="E4" s="2855"/>
      <c r="F4" s="2855"/>
      <c r="G4" s="2855"/>
      <c r="H4" s="2855"/>
      <c r="I4" s="2855"/>
      <c r="J4" s="2855"/>
      <c r="K4" s="2855"/>
      <c r="L4" s="2855"/>
      <c r="M4" s="2855"/>
      <c r="N4" s="2856"/>
      <c r="O4" s="1081"/>
      <c r="P4" s="1081"/>
      <c r="Q4" s="1081"/>
      <c r="R4" s="1081"/>
      <c r="S4" s="1081"/>
      <c r="T4" s="1081"/>
      <c r="U4" s="1081"/>
      <c r="V4" s="1081"/>
      <c r="W4" s="1083"/>
    </row>
    <row r="5" spans="1:23" s="1032" customFormat="1" ht="19.149999999999999" customHeight="1" x14ac:dyDescent="0.4">
      <c r="A5" s="2853" t="s">
        <v>43</v>
      </c>
      <c r="B5" s="2854"/>
      <c r="C5" s="2853" t="s">
        <v>2779</v>
      </c>
      <c r="D5" s="2855"/>
      <c r="E5" s="2855"/>
      <c r="F5" s="2855"/>
      <c r="G5" s="2855"/>
      <c r="H5" s="2855"/>
      <c r="I5" s="2855"/>
      <c r="J5" s="2855"/>
      <c r="K5" s="2855"/>
      <c r="L5" s="2855"/>
      <c r="M5" s="2855"/>
      <c r="N5" s="2856"/>
      <c r="O5" s="1081"/>
      <c r="P5" s="1081"/>
      <c r="Q5" s="1081"/>
      <c r="R5" s="1081"/>
      <c r="S5" s="1081"/>
      <c r="T5" s="1081"/>
      <c r="U5" s="1081"/>
      <c r="V5" s="1081"/>
      <c r="W5" s="1083"/>
    </row>
    <row r="6" spans="1:23" s="1032" customFormat="1" ht="21" customHeight="1" x14ac:dyDescent="0.4">
      <c r="A6" s="2853" t="s">
        <v>132</v>
      </c>
      <c r="B6" s="2854"/>
      <c r="C6" s="2853" t="s">
        <v>2862</v>
      </c>
      <c r="D6" s="2855"/>
      <c r="E6" s="2855"/>
      <c r="F6" s="2855"/>
      <c r="G6" s="2855"/>
      <c r="H6" s="2855"/>
      <c r="I6" s="2855"/>
      <c r="J6" s="2855"/>
      <c r="K6" s="2855"/>
      <c r="L6" s="2855"/>
      <c r="M6" s="2855"/>
      <c r="N6" s="2856"/>
      <c r="O6" s="1081"/>
      <c r="P6" s="1081"/>
      <c r="Q6" s="1081"/>
      <c r="R6" s="1081"/>
      <c r="S6" s="1081"/>
      <c r="T6" s="1081"/>
      <c r="U6" s="1081"/>
      <c r="V6" s="1081"/>
      <c r="W6" s="1083"/>
    </row>
    <row r="7" spans="1:23" s="1032" customFormat="1" ht="19.5" x14ac:dyDescent="0.4">
      <c r="A7" s="1084"/>
      <c r="B7" s="1084"/>
      <c r="K7" s="1061"/>
    </row>
    <row r="8" spans="1:23" s="1032" customFormat="1" ht="18.600000000000001" customHeight="1" x14ac:dyDescent="0.4">
      <c r="A8" s="1084"/>
      <c r="B8" s="1084"/>
      <c r="L8" s="1062" t="s">
        <v>2863</v>
      </c>
      <c r="M8" s="1062"/>
      <c r="N8" s="1062"/>
      <c r="O8" s="1062"/>
      <c r="P8" s="1062"/>
      <c r="Q8" s="1062"/>
    </row>
    <row r="9" spans="1:23" s="1032" customFormat="1" ht="52.15" customHeight="1" x14ac:dyDescent="0.4">
      <c r="A9" s="1084"/>
      <c r="B9" s="1084"/>
      <c r="C9" s="2673" t="s">
        <v>2864</v>
      </c>
      <c r="D9" s="2673"/>
      <c r="E9" s="2673"/>
      <c r="F9" s="2673"/>
      <c r="G9" s="2673"/>
    </row>
    <row r="10" spans="1:23" s="1032" customFormat="1" ht="19.149999999999999" customHeight="1" x14ac:dyDescent="0.4">
      <c r="A10" s="1084"/>
      <c r="B10" s="1084"/>
      <c r="C10" s="2806" t="s">
        <v>2865</v>
      </c>
      <c r="D10" s="2802">
        <v>2021</v>
      </c>
      <c r="E10" s="2802"/>
      <c r="F10" s="2802">
        <v>2022</v>
      </c>
      <c r="G10" s="2802"/>
      <c r="H10" s="2802">
        <v>2023</v>
      </c>
      <c r="I10" s="2802"/>
      <c r="J10" s="867"/>
      <c r="K10" s="867"/>
      <c r="L10" s="867"/>
    </row>
    <row r="11" spans="1:23" x14ac:dyDescent="0.4">
      <c r="A11" s="536"/>
      <c r="B11" s="536"/>
      <c r="C11" s="2808"/>
      <c r="D11" s="1055" t="s">
        <v>47</v>
      </c>
      <c r="E11" s="1055" t="s">
        <v>98</v>
      </c>
      <c r="F11" s="1055" t="s">
        <v>47</v>
      </c>
      <c r="G11" s="1055" t="s">
        <v>98</v>
      </c>
      <c r="H11" s="1055" t="s">
        <v>47</v>
      </c>
      <c r="I11" s="1055" t="s">
        <v>98</v>
      </c>
    </row>
    <row r="12" spans="1:23" x14ac:dyDescent="0.4">
      <c r="A12" s="536"/>
      <c r="B12" s="536"/>
      <c r="C12" s="1085" t="s">
        <v>154</v>
      </c>
      <c r="D12" s="1086">
        <v>66</v>
      </c>
      <c r="E12" s="1087">
        <f>+D12/D$12</f>
        <v>1</v>
      </c>
      <c r="F12" s="536">
        <v>49</v>
      </c>
      <c r="G12" s="1087">
        <f>+F12/F$12</f>
        <v>1</v>
      </c>
      <c r="H12" s="536">
        <v>149</v>
      </c>
      <c r="I12" s="1087">
        <f>+H12/H$12</f>
        <v>1</v>
      </c>
    </row>
    <row r="13" spans="1:23" ht="16.899999999999999" customHeight="1" x14ac:dyDescent="0.4">
      <c r="A13" s="536"/>
      <c r="B13" s="536"/>
      <c r="C13" s="545" t="s">
        <v>2866</v>
      </c>
      <c r="D13" s="141">
        <v>46</v>
      </c>
      <c r="E13" s="1087">
        <f t="shared" ref="E13:E14" si="0">+D13/D$12</f>
        <v>0.69696969696969702</v>
      </c>
      <c r="F13" s="232">
        <v>19</v>
      </c>
      <c r="G13" s="1087">
        <f t="shared" ref="G13:G14" si="1">+F13/F$12</f>
        <v>0.38775510204081631</v>
      </c>
      <c r="H13" s="232">
        <v>121</v>
      </c>
      <c r="I13" s="1087">
        <f t="shared" ref="I13:I14" si="2">+H13/H$12</f>
        <v>0.81208053691275173</v>
      </c>
    </row>
    <row r="14" spans="1:23" ht="17.45" customHeight="1" x14ac:dyDescent="0.4">
      <c r="A14" s="536"/>
      <c r="B14" s="536"/>
      <c r="C14" s="555" t="s">
        <v>2867</v>
      </c>
      <c r="D14" s="694">
        <v>20</v>
      </c>
      <c r="E14" s="1088">
        <f t="shared" si="0"/>
        <v>0.30303030303030304</v>
      </c>
      <c r="F14" s="824">
        <v>30</v>
      </c>
      <c r="G14" s="1088">
        <f t="shared" si="1"/>
        <v>0.61224489795918369</v>
      </c>
      <c r="H14" s="824">
        <v>28</v>
      </c>
      <c r="I14" s="1088">
        <f t="shared" si="2"/>
        <v>0.18791946308724833</v>
      </c>
    </row>
    <row r="15" spans="1:23" ht="21" customHeight="1" x14ac:dyDescent="0.4">
      <c r="A15" s="536"/>
      <c r="B15" s="536"/>
      <c r="C15" s="155" t="s">
        <v>2868</v>
      </c>
    </row>
    <row r="16" spans="1:23" x14ac:dyDescent="0.4">
      <c r="C16" s="115" t="s">
        <v>2869</v>
      </c>
      <c r="H16" s="1089"/>
      <c r="I16" s="1089"/>
    </row>
    <row r="17" spans="3:31" x14ac:dyDescent="0.4">
      <c r="C17" s="115" t="s">
        <v>2870</v>
      </c>
      <c r="H17" s="1089"/>
      <c r="I17" s="1089"/>
    </row>
    <row r="18" spans="3:31" x14ac:dyDescent="0.4">
      <c r="C18" s="115" t="s">
        <v>2871</v>
      </c>
      <c r="H18" s="1089"/>
      <c r="I18" s="1089"/>
    </row>
    <row r="19" spans="3:31" ht="12.75" customHeight="1" x14ac:dyDescent="0.4">
      <c r="H19" s="1089"/>
      <c r="I19" s="1089"/>
    </row>
    <row r="20" spans="3:31" x14ac:dyDescent="0.4">
      <c r="H20" s="1089"/>
      <c r="I20" s="1089"/>
    </row>
    <row r="21" spans="3:31" x14ac:dyDescent="0.4">
      <c r="H21" s="1089"/>
      <c r="I21" s="1089"/>
    </row>
    <row r="22" spans="3:31" x14ac:dyDescent="0.4">
      <c r="H22" s="1089"/>
      <c r="I22" s="1089"/>
    </row>
    <row r="23" spans="3:31" x14ac:dyDescent="0.4">
      <c r="H23" s="1089"/>
      <c r="I23" s="1089"/>
    </row>
    <row r="24" spans="3:31" x14ac:dyDescent="0.4">
      <c r="H24" s="1089"/>
      <c r="I24" s="1089"/>
      <c r="L24" s="115" t="s">
        <v>2872</v>
      </c>
    </row>
    <row r="25" spans="3:31" x14ac:dyDescent="0.4">
      <c r="H25" s="1089"/>
      <c r="I25" s="1089"/>
    </row>
    <row r="26" spans="3:31" x14ac:dyDescent="0.4">
      <c r="H26" s="1089"/>
      <c r="I26" s="1089"/>
    </row>
    <row r="27" spans="3:31" x14ac:dyDescent="0.4">
      <c r="H27" s="1089"/>
      <c r="I27" s="1089"/>
    </row>
    <row r="28" spans="3:31" x14ac:dyDescent="0.4">
      <c r="H28" s="1089"/>
      <c r="I28" s="1089"/>
    </row>
    <row r="29" spans="3:31" x14ac:dyDescent="0.4">
      <c r="H29" s="1089"/>
      <c r="I29" s="1089"/>
    </row>
    <row r="30" spans="3:31" x14ac:dyDescent="0.4">
      <c r="C30" s="2841" t="s">
        <v>2873</v>
      </c>
      <c r="D30" s="2841"/>
      <c r="E30" s="2841"/>
      <c r="F30" s="2841"/>
      <c r="G30" s="2841"/>
      <c r="H30" s="2841"/>
      <c r="I30" s="2841"/>
      <c r="J30" s="2841"/>
      <c r="K30" s="2841"/>
      <c r="L30" s="2841"/>
      <c r="M30" s="2841"/>
      <c r="N30" s="2841"/>
      <c r="O30" s="2841"/>
      <c r="P30" s="2841"/>
      <c r="Q30" s="2841"/>
      <c r="R30" s="2841"/>
      <c r="S30" s="2841"/>
      <c r="T30" s="2841"/>
      <c r="U30" s="2841"/>
      <c r="V30" s="2841"/>
      <c r="W30" s="2841"/>
      <c r="X30" s="2841"/>
      <c r="Y30" s="2841"/>
      <c r="Z30" s="2841"/>
      <c r="AA30" s="2841"/>
      <c r="AB30" s="2841"/>
      <c r="AC30" s="2841"/>
      <c r="AD30" s="2841"/>
      <c r="AE30" s="2841"/>
    </row>
    <row r="31" spans="3:31" x14ac:dyDescent="0.4">
      <c r="C31" s="1090"/>
      <c r="D31" s="2842" t="s">
        <v>2874</v>
      </c>
      <c r="E31" s="2842" t="s">
        <v>2875</v>
      </c>
      <c r="F31" s="2843" t="s">
        <v>2876</v>
      </c>
      <c r="G31" s="2843"/>
      <c r="H31" s="2843"/>
      <c r="I31" s="2843"/>
      <c r="J31" s="2843"/>
      <c r="K31" s="1091"/>
      <c r="L31" s="2843" t="s">
        <v>2877</v>
      </c>
      <c r="M31" s="2843"/>
      <c r="N31" s="2843"/>
      <c r="O31" s="2843"/>
      <c r="P31" s="2843"/>
      <c r="Q31" s="1090"/>
      <c r="R31" s="2843" t="s">
        <v>2878</v>
      </c>
      <c r="S31" s="2843"/>
      <c r="T31" s="1090"/>
      <c r="U31" s="2843" t="s">
        <v>2879</v>
      </c>
      <c r="V31" s="2843"/>
      <c r="W31" s="1090"/>
      <c r="X31" s="2843" t="s">
        <v>2880</v>
      </c>
      <c r="Y31" s="2843"/>
      <c r="Z31" s="1090"/>
      <c r="AA31" s="2843" t="s">
        <v>2881</v>
      </c>
      <c r="AB31" s="2843"/>
      <c r="AC31" s="1090"/>
      <c r="AD31" s="2843" t="s">
        <v>2882</v>
      </c>
      <c r="AE31" s="2843"/>
    </row>
    <row r="32" spans="3:31" ht="25.5" x14ac:dyDescent="0.4">
      <c r="C32" s="2844" t="s">
        <v>2883</v>
      </c>
      <c r="D32" s="2842"/>
      <c r="E32" s="2842"/>
      <c r="F32" s="1092" t="s">
        <v>2884</v>
      </c>
      <c r="G32" s="1092" t="s">
        <v>2885</v>
      </c>
      <c r="H32" s="2839" t="s">
        <v>327</v>
      </c>
      <c r="I32" s="2839" t="s">
        <v>750</v>
      </c>
      <c r="J32" s="2839" t="s">
        <v>2886</v>
      </c>
      <c r="K32" s="1093"/>
      <c r="L32" s="2839" t="s">
        <v>2887</v>
      </c>
      <c r="M32" s="2839" t="s">
        <v>2888</v>
      </c>
      <c r="N32" s="2839" t="s">
        <v>2889</v>
      </c>
      <c r="O32" s="2839" t="s">
        <v>2890</v>
      </c>
      <c r="P32" s="1092" t="s">
        <v>2891</v>
      </c>
      <c r="Q32" s="1094"/>
      <c r="R32" s="1092" t="s">
        <v>2892</v>
      </c>
      <c r="S32" s="2839" t="s">
        <v>2893</v>
      </c>
      <c r="T32" s="1094"/>
      <c r="U32" s="1092" t="s">
        <v>2894</v>
      </c>
      <c r="V32" s="2839" t="s">
        <v>2893</v>
      </c>
      <c r="W32" s="1093"/>
      <c r="X32" s="1092" t="s">
        <v>2880</v>
      </c>
      <c r="Y32" s="2839" t="s">
        <v>2893</v>
      </c>
      <c r="Z32" s="1093"/>
      <c r="AA32" s="1092" t="s">
        <v>2895</v>
      </c>
      <c r="AB32" s="2839" t="s">
        <v>2893</v>
      </c>
      <c r="AC32" s="1093"/>
      <c r="AD32" s="1092" t="s">
        <v>2896</v>
      </c>
      <c r="AE32" s="2839" t="s">
        <v>2893</v>
      </c>
    </row>
    <row r="33" spans="3:31" x14ac:dyDescent="0.4">
      <c r="C33" s="2845"/>
      <c r="D33" s="2840"/>
      <c r="E33" s="2840"/>
      <c r="F33" s="1095" t="s">
        <v>2897</v>
      </c>
      <c r="G33" s="1095" t="s">
        <v>2897</v>
      </c>
      <c r="H33" s="2840"/>
      <c r="I33" s="2840"/>
      <c r="J33" s="2840"/>
      <c r="K33" s="1096"/>
      <c r="L33" s="2840"/>
      <c r="M33" s="2840"/>
      <c r="N33" s="2840"/>
      <c r="O33" s="2840"/>
      <c r="P33" s="1097" t="s">
        <v>2898</v>
      </c>
      <c r="Q33" s="1097"/>
      <c r="R33" s="1098" t="s">
        <v>2899</v>
      </c>
      <c r="S33" s="2840"/>
      <c r="T33" s="1097"/>
      <c r="U33" s="1098" t="s">
        <v>2899</v>
      </c>
      <c r="V33" s="2840"/>
      <c r="W33" s="1096"/>
      <c r="X33" s="1098" t="s">
        <v>2899</v>
      </c>
      <c r="Y33" s="2840"/>
      <c r="Z33" s="1096"/>
      <c r="AA33" s="1098" t="s">
        <v>2899</v>
      </c>
      <c r="AB33" s="2840"/>
      <c r="AC33" s="1096"/>
      <c r="AD33" s="1098" t="s">
        <v>2899</v>
      </c>
      <c r="AE33" s="2840"/>
    </row>
    <row r="34" spans="3:31" x14ac:dyDescent="0.4">
      <c r="C34" s="2838" t="s">
        <v>2900</v>
      </c>
      <c r="D34" s="1099" t="s">
        <v>2901</v>
      </c>
      <c r="E34" s="1099" t="s">
        <v>2902</v>
      </c>
      <c r="F34" s="1100">
        <v>478577</v>
      </c>
      <c r="G34" s="1100">
        <v>1053258</v>
      </c>
      <c r="H34" s="1099" t="s">
        <v>533</v>
      </c>
      <c r="I34" s="1099" t="s">
        <v>821</v>
      </c>
      <c r="J34" s="1099" t="s">
        <v>821</v>
      </c>
      <c r="K34" s="1101"/>
      <c r="L34" s="1099" t="s">
        <v>2903</v>
      </c>
      <c r="M34" s="1099" t="s">
        <v>2903</v>
      </c>
      <c r="N34" s="1099" t="s">
        <v>2903</v>
      </c>
      <c r="O34" s="1099" t="s">
        <v>2903</v>
      </c>
      <c r="P34" s="1099" t="s">
        <v>2903</v>
      </c>
      <c r="Q34" s="1102"/>
      <c r="R34" s="1100" t="s">
        <v>2903</v>
      </c>
      <c r="S34" s="1103" t="s">
        <v>2903</v>
      </c>
      <c r="T34" s="1102"/>
      <c r="U34" s="1100" t="s">
        <v>2903</v>
      </c>
      <c r="V34" s="1103" t="s">
        <v>2903</v>
      </c>
      <c r="W34" s="1104"/>
      <c r="X34" s="1100" t="s">
        <v>2903</v>
      </c>
      <c r="Y34" s="1103" t="s">
        <v>2903</v>
      </c>
      <c r="Z34" s="1104"/>
      <c r="AA34" s="1100" t="s">
        <v>2903</v>
      </c>
      <c r="AB34" s="1103" t="s">
        <v>2903</v>
      </c>
      <c r="AC34" s="1104"/>
      <c r="AD34" s="1100" t="s">
        <v>2903</v>
      </c>
      <c r="AE34" s="1103" t="s">
        <v>2903</v>
      </c>
    </row>
    <row r="35" spans="3:31" x14ac:dyDescent="0.4">
      <c r="C35" s="2838"/>
      <c r="D35" s="1099" t="s">
        <v>2901</v>
      </c>
      <c r="E35" s="1099" t="s">
        <v>2904</v>
      </c>
      <c r="F35" s="1100">
        <v>475877</v>
      </c>
      <c r="G35" s="1100">
        <v>1051840</v>
      </c>
      <c r="H35" s="1099" t="s">
        <v>533</v>
      </c>
      <c r="I35" s="1099" t="s">
        <v>821</v>
      </c>
      <c r="J35" s="1099" t="s">
        <v>821</v>
      </c>
      <c r="K35" s="1101"/>
      <c r="L35" s="1099" t="s">
        <v>2903</v>
      </c>
      <c r="M35" s="1099" t="s">
        <v>2903</v>
      </c>
      <c r="N35" s="1099" t="s">
        <v>2903</v>
      </c>
      <c r="O35" s="1099" t="s">
        <v>2903</v>
      </c>
      <c r="P35" s="1099" t="s">
        <v>2903</v>
      </c>
      <c r="Q35" s="1102"/>
      <c r="R35" s="1100" t="s">
        <v>2903</v>
      </c>
      <c r="S35" s="1103" t="s">
        <v>2903</v>
      </c>
      <c r="T35" s="1102"/>
      <c r="U35" s="1100" t="s">
        <v>2903</v>
      </c>
      <c r="V35" s="1103" t="s">
        <v>2903</v>
      </c>
      <c r="W35" s="1104"/>
      <c r="X35" s="1100" t="s">
        <v>2903</v>
      </c>
      <c r="Y35" s="1103" t="s">
        <v>2903</v>
      </c>
      <c r="Z35" s="1104"/>
      <c r="AA35" s="1100" t="s">
        <v>2903</v>
      </c>
      <c r="AB35" s="1103" t="s">
        <v>2903</v>
      </c>
      <c r="AC35" s="1104"/>
      <c r="AD35" s="1100" t="s">
        <v>2903</v>
      </c>
      <c r="AE35" s="1103" t="s">
        <v>2903</v>
      </c>
    </row>
    <row r="36" spans="3:31" x14ac:dyDescent="0.4">
      <c r="C36" s="2838"/>
      <c r="D36" s="1099" t="s">
        <v>2905</v>
      </c>
      <c r="E36" s="1099" t="s">
        <v>2906</v>
      </c>
      <c r="F36" s="1100">
        <v>489634</v>
      </c>
      <c r="G36" s="1100">
        <v>1051066</v>
      </c>
      <c r="H36" s="1099" t="s">
        <v>533</v>
      </c>
      <c r="I36" s="1099" t="s">
        <v>818</v>
      </c>
      <c r="J36" s="1099" t="s">
        <v>2907</v>
      </c>
      <c r="K36" s="1101"/>
      <c r="L36" s="1099" t="s">
        <v>2903</v>
      </c>
      <c r="M36" s="1099" t="s">
        <v>2903</v>
      </c>
      <c r="N36" s="1099" t="s">
        <v>2903</v>
      </c>
      <c r="O36" s="1099" t="s">
        <v>2903</v>
      </c>
      <c r="P36" s="1099" t="s">
        <v>2903</v>
      </c>
      <c r="Q36" s="1102"/>
      <c r="R36" s="1100" t="s">
        <v>2903</v>
      </c>
      <c r="S36" s="1103" t="s">
        <v>2903</v>
      </c>
      <c r="T36" s="1102"/>
      <c r="U36" s="1100" t="s">
        <v>2903</v>
      </c>
      <c r="V36" s="1103" t="s">
        <v>2903</v>
      </c>
      <c r="W36" s="1104"/>
      <c r="X36" s="1100" t="s">
        <v>2903</v>
      </c>
      <c r="Y36" s="1103" t="s">
        <v>2903</v>
      </c>
      <c r="Z36" s="1104"/>
      <c r="AA36" s="1100" t="s">
        <v>2903</v>
      </c>
      <c r="AB36" s="1103" t="s">
        <v>2903</v>
      </c>
      <c r="AC36" s="1104"/>
      <c r="AD36" s="1100" t="s">
        <v>2903</v>
      </c>
      <c r="AE36" s="1103" t="s">
        <v>2903</v>
      </c>
    </row>
    <row r="37" spans="3:31" x14ac:dyDescent="0.4">
      <c r="C37" s="2838"/>
      <c r="D37" s="1099" t="s">
        <v>2905</v>
      </c>
      <c r="E37" s="1099" t="s">
        <v>2908</v>
      </c>
      <c r="F37" s="1100">
        <v>480470</v>
      </c>
      <c r="G37" s="1100">
        <v>1046523</v>
      </c>
      <c r="H37" s="1099" t="s">
        <v>533</v>
      </c>
      <c r="I37" s="1099" t="s">
        <v>818</v>
      </c>
      <c r="J37" s="1099" t="s">
        <v>2909</v>
      </c>
      <c r="K37" s="1101"/>
      <c r="L37" s="1099" t="s">
        <v>2903</v>
      </c>
      <c r="M37" s="1099" t="s">
        <v>2903</v>
      </c>
      <c r="N37" s="1099" t="s">
        <v>2903</v>
      </c>
      <c r="O37" s="1099" t="s">
        <v>2903</v>
      </c>
      <c r="P37" s="1099" t="s">
        <v>2903</v>
      </c>
      <c r="Q37" s="1102"/>
      <c r="R37" s="1100" t="s">
        <v>2903</v>
      </c>
      <c r="S37" s="1103" t="s">
        <v>2903</v>
      </c>
      <c r="T37" s="1102"/>
      <c r="U37" s="1100" t="s">
        <v>2903</v>
      </c>
      <c r="V37" s="1103" t="s">
        <v>2903</v>
      </c>
      <c r="W37" s="1104"/>
      <c r="X37" s="1100" t="s">
        <v>2903</v>
      </c>
      <c r="Y37" s="1103" t="s">
        <v>2903</v>
      </c>
      <c r="Z37" s="1104"/>
      <c r="AA37" s="1100" t="s">
        <v>2903</v>
      </c>
      <c r="AB37" s="1103" t="s">
        <v>2903</v>
      </c>
      <c r="AC37" s="1104"/>
      <c r="AD37" s="1100" t="s">
        <v>2903</v>
      </c>
      <c r="AE37" s="1103" t="s">
        <v>2903</v>
      </c>
    </row>
    <row r="38" spans="3:31" x14ac:dyDescent="0.4">
      <c r="C38" s="2835" t="s">
        <v>2910</v>
      </c>
      <c r="D38" s="1105" t="s">
        <v>2911</v>
      </c>
      <c r="E38" s="1105" t="s">
        <v>2912</v>
      </c>
      <c r="F38" s="1106">
        <v>430273</v>
      </c>
      <c r="G38" s="1106">
        <v>1074425</v>
      </c>
      <c r="H38" s="1105" t="s">
        <v>533</v>
      </c>
      <c r="I38" s="1105" t="s">
        <v>823</v>
      </c>
      <c r="J38" s="1105" t="s">
        <v>2913</v>
      </c>
      <c r="K38" s="1101"/>
      <c r="L38" s="1105" t="s">
        <v>2903</v>
      </c>
      <c r="M38" s="1105" t="s">
        <v>2903</v>
      </c>
      <c r="N38" s="1105" t="s">
        <v>2903</v>
      </c>
      <c r="O38" s="1105" t="s">
        <v>2903</v>
      </c>
      <c r="P38" s="1105" t="s">
        <v>2903</v>
      </c>
      <c r="Q38" s="1102"/>
      <c r="R38" s="1106" t="s">
        <v>2903</v>
      </c>
      <c r="S38" s="1107" t="s">
        <v>2903</v>
      </c>
      <c r="T38" s="1102"/>
      <c r="U38" s="1106" t="s">
        <v>2903</v>
      </c>
      <c r="V38" s="1107" t="s">
        <v>2903</v>
      </c>
      <c r="W38" s="1108"/>
      <c r="X38" s="1106" t="s">
        <v>2903</v>
      </c>
      <c r="Y38" s="1107" t="s">
        <v>2903</v>
      </c>
      <c r="Z38" s="1104"/>
      <c r="AA38" s="1106" t="s">
        <v>2903</v>
      </c>
      <c r="AB38" s="1107" t="s">
        <v>2903</v>
      </c>
      <c r="AC38" s="1104"/>
      <c r="AD38" s="1106" t="s">
        <v>2903</v>
      </c>
      <c r="AE38" s="1107" t="s">
        <v>2903</v>
      </c>
    </row>
    <row r="39" spans="3:31" x14ac:dyDescent="0.4">
      <c r="C39" s="2835"/>
      <c r="D39" s="1105" t="s">
        <v>2914</v>
      </c>
      <c r="E39" s="1105" t="s">
        <v>2915</v>
      </c>
      <c r="F39" s="1106">
        <v>431757</v>
      </c>
      <c r="G39" s="1106">
        <v>1064259</v>
      </c>
      <c r="H39" s="1105" t="s">
        <v>533</v>
      </c>
      <c r="I39" s="1105" t="s">
        <v>823</v>
      </c>
      <c r="J39" s="1105" t="s">
        <v>2916</v>
      </c>
      <c r="K39" s="1101"/>
      <c r="L39" s="1105" t="s">
        <v>2903</v>
      </c>
      <c r="M39" s="1105" t="s">
        <v>2903</v>
      </c>
      <c r="N39" s="1105" t="s">
        <v>2903</v>
      </c>
      <c r="O39" s="1105" t="s">
        <v>2903</v>
      </c>
      <c r="P39" s="1105" t="s">
        <v>2903</v>
      </c>
      <c r="Q39" s="1102"/>
      <c r="R39" s="1106" t="s">
        <v>2903</v>
      </c>
      <c r="S39" s="1107" t="s">
        <v>2903</v>
      </c>
      <c r="T39" s="1102"/>
      <c r="U39" s="1106" t="s">
        <v>2903</v>
      </c>
      <c r="V39" s="1107" t="s">
        <v>2903</v>
      </c>
      <c r="W39" s="1108"/>
      <c r="X39" s="1106" t="s">
        <v>2903</v>
      </c>
      <c r="Y39" s="1107" t="s">
        <v>2903</v>
      </c>
      <c r="Z39" s="1104"/>
      <c r="AA39" s="1106" t="s">
        <v>2903</v>
      </c>
      <c r="AB39" s="1107" t="s">
        <v>2903</v>
      </c>
      <c r="AC39" s="1104"/>
      <c r="AD39" s="1106" t="s">
        <v>2903</v>
      </c>
      <c r="AE39" s="1107" t="s">
        <v>2903</v>
      </c>
    </row>
    <row r="40" spans="3:31" x14ac:dyDescent="0.4">
      <c r="C40" s="2835"/>
      <c r="D40" s="1105" t="s">
        <v>2917</v>
      </c>
      <c r="E40" s="1105" t="s">
        <v>2918</v>
      </c>
      <c r="F40" s="1106">
        <v>442810</v>
      </c>
      <c r="G40" s="1106">
        <v>1064763</v>
      </c>
      <c r="H40" s="1105" t="s">
        <v>329</v>
      </c>
      <c r="I40" s="1105" t="s">
        <v>2919</v>
      </c>
      <c r="J40" s="1105" t="s">
        <v>2920</v>
      </c>
      <c r="K40" s="1101"/>
      <c r="L40" s="1105" t="s">
        <v>2903</v>
      </c>
      <c r="M40" s="1105" t="s">
        <v>2903</v>
      </c>
      <c r="N40" s="1105" t="s">
        <v>2903</v>
      </c>
      <c r="O40" s="1105" t="s">
        <v>2903</v>
      </c>
      <c r="P40" s="1105" t="s">
        <v>2903</v>
      </c>
      <c r="Q40" s="1102"/>
      <c r="R40" s="1106" t="s">
        <v>2903</v>
      </c>
      <c r="S40" s="1107" t="s">
        <v>2903</v>
      </c>
      <c r="T40" s="1102"/>
      <c r="U40" s="1106" t="s">
        <v>2903</v>
      </c>
      <c r="V40" s="1107" t="s">
        <v>2903</v>
      </c>
      <c r="W40" s="1108"/>
      <c r="X40" s="1106" t="s">
        <v>2903</v>
      </c>
      <c r="Y40" s="1107" t="s">
        <v>2903</v>
      </c>
      <c r="Z40" s="1104"/>
      <c r="AA40" s="1106" t="s">
        <v>2903</v>
      </c>
      <c r="AB40" s="1107" t="s">
        <v>2903</v>
      </c>
      <c r="AC40" s="1104"/>
      <c r="AD40" s="1106" t="s">
        <v>2903</v>
      </c>
      <c r="AE40" s="1107" t="s">
        <v>2903</v>
      </c>
    </row>
    <row r="41" spans="3:31" x14ac:dyDescent="0.4">
      <c r="C41" s="2835"/>
      <c r="D41" s="1105" t="s">
        <v>2921</v>
      </c>
      <c r="E41" s="1105" t="s">
        <v>2922</v>
      </c>
      <c r="F41" s="1106">
        <v>446879</v>
      </c>
      <c r="G41" s="1106">
        <v>1064096</v>
      </c>
      <c r="H41" s="1105" t="s">
        <v>533</v>
      </c>
      <c r="I41" s="1105" t="s">
        <v>754</v>
      </c>
      <c r="J41" s="1105" t="s">
        <v>2923</v>
      </c>
      <c r="K41" s="1101"/>
      <c r="L41" s="1105" t="s">
        <v>2903</v>
      </c>
      <c r="M41" s="1105" t="s">
        <v>2903</v>
      </c>
      <c r="N41" s="1105" t="s">
        <v>2903</v>
      </c>
      <c r="O41" s="1105" t="s">
        <v>2903</v>
      </c>
      <c r="P41" s="1105" t="s">
        <v>2903</v>
      </c>
      <c r="Q41" s="1102"/>
      <c r="R41" s="1106" t="s">
        <v>2903</v>
      </c>
      <c r="S41" s="1107" t="s">
        <v>2903</v>
      </c>
      <c r="T41" s="1102"/>
      <c r="U41" s="1106" t="s">
        <v>2903</v>
      </c>
      <c r="V41" s="1107" t="s">
        <v>2903</v>
      </c>
      <c r="W41" s="1108"/>
      <c r="X41" s="1106" t="s">
        <v>2903</v>
      </c>
      <c r="Y41" s="1107" t="s">
        <v>2903</v>
      </c>
      <c r="Z41" s="1104"/>
      <c r="AA41" s="1106" t="s">
        <v>2903</v>
      </c>
      <c r="AB41" s="1107" t="s">
        <v>2903</v>
      </c>
      <c r="AC41" s="1104"/>
      <c r="AD41" s="1106" t="s">
        <v>2903</v>
      </c>
      <c r="AE41" s="1107" t="s">
        <v>2903</v>
      </c>
    </row>
    <row r="42" spans="3:31" x14ac:dyDescent="0.4">
      <c r="C42" s="2835"/>
      <c r="D42" s="1105" t="s">
        <v>2921</v>
      </c>
      <c r="E42" s="1105" t="s">
        <v>2924</v>
      </c>
      <c r="F42" s="1106">
        <v>442563</v>
      </c>
      <c r="G42" s="1106">
        <v>1058628</v>
      </c>
      <c r="H42" s="1105" t="s">
        <v>533</v>
      </c>
      <c r="I42" s="1105" t="s">
        <v>821</v>
      </c>
      <c r="J42" s="1105" t="s">
        <v>821</v>
      </c>
      <c r="K42" s="1101"/>
      <c r="L42" s="1105" t="s">
        <v>2903</v>
      </c>
      <c r="M42" s="1105" t="s">
        <v>2903</v>
      </c>
      <c r="N42" s="1105" t="s">
        <v>2903</v>
      </c>
      <c r="O42" s="1105" t="s">
        <v>2903</v>
      </c>
      <c r="P42" s="1105" t="s">
        <v>2903</v>
      </c>
      <c r="Q42" s="1102"/>
      <c r="R42" s="1106" t="s">
        <v>2903</v>
      </c>
      <c r="S42" s="1107" t="s">
        <v>2903</v>
      </c>
      <c r="T42" s="1102"/>
      <c r="U42" s="1106" t="s">
        <v>2903</v>
      </c>
      <c r="V42" s="1107" t="s">
        <v>2903</v>
      </c>
      <c r="W42" s="1108"/>
      <c r="X42" s="1106" t="s">
        <v>2903</v>
      </c>
      <c r="Y42" s="1107" t="s">
        <v>2903</v>
      </c>
      <c r="Z42" s="1104"/>
      <c r="AA42" s="1106" t="s">
        <v>2903</v>
      </c>
      <c r="AB42" s="1107" t="s">
        <v>2903</v>
      </c>
      <c r="AC42" s="1104"/>
      <c r="AD42" s="1106" t="s">
        <v>2903</v>
      </c>
      <c r="AE42" s="1107" t="s">
        <v>2903</v>
      </c>
    </row>
    <row r="43" spans="3:31" x14ac:dyDescent="0.4">
      <c r="C43" s="2835"/>
      <c r="D43" s="1105" t="s">
        <v>2925</v>
      </c>
      <c r="E43" s="1105" t="s">
        <v>2926</v>
      </c>
      <c r="F43" s="1106">
        <v>441801</v>
      </c>
      <c r="G43" s="1106">
        <v>1058697</v>
      </c>
      <c r="H43" s="1105" t="s">
        <v>533</v>
      </c>
      <c r="I43" s="1105" t="s">
        <v>821</v>
      </c>
      <c r="J43" s="1105" t="s">
        <v>821</v>
      </c>
      <c r="K43" s="1101"/>
      <c r="L43" s="1105" t="s">
        <v>2903</v>
      </c>
      <c r="M43" s="1105" t="s">
        <v>2903</v>
      </c>
      <c r="N43" s="1105" t="s">
        <v>2903</v>
      </c>
      <c r="O43" s="1105" t="s">
        <v>2903</v>
      </c>
      <c r="P43" s="1105" t="s">
        <v>2903</v>
      </c>
      <c r="Q43" s="1102"/>
      <c r="R43" s="1106" t="s">
        <v>2903</v>
      </c>
      <c r="S43" s="1107" t="s">
        <v>2903</v>
      </c>
      <c r="T43" s="1102"/>
      <c r="U43" s="1106" t="s">
        <v>2903</v>
      </c>
      <c r="V43" s="1107" t="s">
        <v>2903</v>
      </c>
      <c r="W43" s="1108"/>
      <c r="X43" s="1106" t="s">
        <v>2903</v>
      </c>
      <c r="Y43" s="1107" t="s">
        <v>2903</v>
      </c>
      <c r="Z43" s="1104"/>
      <c r="AA43" s="1106" t="s">
        <v>2903</v>
      </c>
      <c r="AB43" s="1107" t="s">
        <v>2903</v>
      </c>
      <c r="AC43" s="1104"/>
      <c r="AD43" s="1106" t="s">
        <v>2903</v>
      </c>
      <c r="AE43" s="1107" t="s">
        <v>2903</v>
      </c>
    </row>
    <row r="44" spans="3:31" x14ac:dyDescent="0.4">
      <c r="C44" s="2835"/>
      <c r="D44" s="1105" t="s">
        <v>2921</v>
      </c>
      <c r="E44" s="1105" t="s">
        <v>2927</v>
      </c>
      <c r="F44" s="1106">
        <v>454785</v>
      </c>
      <c r="G44" s="1106">
        <v>1059635</v>
      </c>
      <c r="H44" s="1105" t="s">
        <v>328</v>
      </c>
      <c r="I44" s="1105" t="s">
        <v>754</v>
      </c>
      <c r="J44" s="1105" t="s">
        <v>2923</v>
      </c>
      <c r="K44" s="1101"/>
      <c r="L44" s="1105" t="s">
        <v>2903</v>
      </c>
      <c r="M44" s="1105" t="s">
        <v>2903</v>
      </c>
      <c r="N44" s="1105" t="s">
        <v>2903</v>
      </c>
      <c r="O44" s="1105" t="s">
        <v>2903</v>
      </c>
      <c r="P44" s="1105" t="s">
        <v>2903</v>
      </c>
      <c r="Q44" s="1102"/>
      <c r="R44" s="1106" t="s">
        <v>2903</v>
      </c>
      <c r="S44" s="1107" t="s">
        <v>2903</v>
      </c>
      <c r="T44" s="1102"/>
      <c r="U44" s="1106" t="s">
        <v>2903</v>
      </c>
      <c r="V44" s="1107" t="s">
        <v>2903</v>
      </c>
      <c r="W44" s="1108"/>
      <c r="X44" s="1106" t="s">
        <v>2903</v>
      </c>
      <c r="Y44" s="1107" t="s">
        <v>2903</v>
      </c>
      <c r="Z44" s="1104"/>
      <c r="AA44" s="1106" t="s">
        <v>2903</v>
      </c>
      <c r="AB44" s="1107" t="s">
        <v>2903</v>
      </c>
      <c r="AC44" s="1104"/>
      <c r="AD44" s="1106" t="s">
        <v>2903</v>
      </c>
      <c r="AE44" s="1107" t="s">
        <v>2903</v>
      </c>
    </row>
    <row r="45" spans="3:31" x14ac:dyDescent="0.4">
      <c r="C45" s="2835"/>
      <c r="D45" s="1105" t="s">
        <v>2928</v>
      </c>
      <c r="E45" s="1105" t="s">
        <v>2929</v>
      </c>
      <c r="F45" s="1106">
        <v>458078</v>
      </c>
      <c r="G45" s="1106">
        <v>1069926</v>
      </c>
      <c r="H45" s="1105" t="s">
        <v>328</v>
      </c>
      <c r="I45" s="1105" t="s">
        <v>754</v>
      </c>
      <c r="J45" s="1105" t="s">
        <v>2923</v>
      </c>
      <c r="K45" s="1101"/>
      <c r="L45" s="1105" t="s">
        <v>2903</v>
      </c>
      <c r="M45" s="1105" t="s">
        <v>2903</v>
      </c>
      <c r="N45" s="1105" t="s">
        <v>2903</v>
      </c>
      <c r="O45" s="1105" t="s">
        <v>2903</v>
      </c>
      <c r="P45" s="1105" t="s">
        <v>2903</v>
      </c>
      <c r="Q45" s="1102"/>
      <c r="R45" s="1106" t="s">
        <v>2903</v>
      </c>
      <c r="S45" s="1107" t="s">
        <v>2903</v>
      </c>
      <c r="T45" s="1102"/>
      <c r="U45" s="1106" t="s">
        <v>2903</v>
      </c>
      <c r="V45" s="1107" t="s">
        <v>2903</v>
      </c>
      <c r="W45" s="1108"/>
      <c r="X45" s="1106" t="s">
        <v>2903</v>
      </c>
      <c r="Y45" s="1107" t="s">
        <v>2903</v>
      </c>
      <c r="Z45" s="1104"/>
      <c r="AA45" s="1106" t="s">
        <v>2903</v>
      </c>
      <c r="AB45" s="1107" t="s">
        <v>2903</v>
      </c>
      <c r="AC45" s="1104"/>
      <c r="AD45" s="1106" t="s">
        <v>2903</v>
      </c>
      <c r="AE45" s="1107" t="s">
        <v>2903</v>
      </c>
    </row>
    <row r="46" spans="3:31" x14ac:dyDescent="0.4">
      <c r="C46" s="2852" t="s">
        <v>2930</v>
      </c>
      <c r="D46" s="1109" t="s">
        <v>2931</v>
      </c>
      <c r="E46" s="1109" t="s">
        <v>2932</v>
      </c>
      <c r="F46" s="1110">
        <v>505940</v>
      </c>
      <c r="G46" s="1110">
        <v>1104290</v>
      </c>
      <c r="H46" s="1109" t="s">
        <v>328</v>
      </c>
      <c r="I46" s="1109" t="s">
        <v>761</v>
      </c>
      <c r="J46" s="1109" t="s">
        <v>2933</v>
      </c>
      <c r="K46" s="1111"/>
      <c r="L46" s="1109">
        <v>5</v>
      </c>
      <c r="M46" s="1109">
        <v>3</v>
      </c>
      <c r="N46" s="1109">
        <v>2</v>
      </c>
      <c r="O46" s="1109">
        <v>60</v>
      </c>
      <c r="P46" s="1109">
        <v>0</v>
      </c>
      <c r="Q46" s="1112"/>
      <c r="R46" s="1110">
        <v>9.9</v>
      </c>
      <c r="S46" s="1113" t="s">
        <v>2903</v>
      </c>
      <c r="T46" s="1112"/>
      <c r="U46" s="1110">
        <v>90.7</v>
      </c>
      <c r="V46" s="1113" t="s">
        <v>2903</v>
      </c>
      <c r="W46" s="1108"/>
      <c r="X46" s="1110">
        <v>0.17</v>
      </c>
      <c r="Y46" s="1113" t="s">
        <v>2903</v>
      </c>
      <c r="Z46" s="1108"/>
      <c r="AA46" s="1110">
        <v>7.86</v>
      </c>
      <c r="AB46" s="1113" t="s">
        <v>2903</v>
      </c>
      <c r="AC46" s="1104"/>
      <c r="AD46" s="1110">
        <v>504</v>
      </c>
      <c r="AE46" s="1113" t="s">
        <v>2903</v>
      </c>
    </row>
    <row r="47" spans="3:31" x14ac:dyDescent="0.4">
      <c r="C47" s="2852"/>
      <c r="D47" s="1109" t="s">
        <v>2931</v>
      </c>
      <c r="E47" s="1109" t="s">
        <v>2934</v>
      </c>
      <c r="F47" s="1110">
        <v>499343</v>
      </c>
      <c r="G47" s="1110">
        <v>1103594</v>
      </c>
      <c r="H47" s="1109" t="s">
        <v>328</v>
      </c>
      <c r="I47" s="1109" t="s">
        <v>761</v>
      </c>
      <c r="J47" s="1109" t="s">
        <v>798</v>
      </c>
      <c r="K47" s="1111"/>
      <c r="L47" s="1109">
        <v>5</v>
      </c>
      <c r="M47" s="1109">
        <v>3</v>
      </c>
      <c r="N47" s="1109">
        <v>2</v>
      </c>
      <c r="O47" s="1109">
        <v>60</v>
      </c>
      <c r="P47" s="1109">
        <v>0</v>
      </c>
      <c r="Q47" s="1112"/>
      <c r="R47" s="1110">
        <v>6.8</v>
      </c>
      <c r="S47" s="1113" t="s">
        <v>2903</v>
      </c>
      <c r="T47" s="1112"/>
      <c r="U47" s="1110">
        <v>91.9</v>
      </c>
      <c r="V47" s="1113" t="s">
        <v>2903</v>
      </c>
      <c r="W47" s="1108"/>
      <c r="X47" s="1110">
        <v>0.16</v>
      </c>
      <c r="Y47" s="1113" t="s">
        <v>2903</v>
      </c>
      <c r="Z47" s="1108"/>
      <c r="AA47" s="1110">
        <v>7.86</v>
      </c>
      <c r="AB47" s="1113" t="s">
        <v>2903</v>
      </c>
      <c r="AC47" s="1104"/>
      <c r="AD47" s="1110">
        <v>36</v>
      </c>
      <c r="AE47" s="1113" t="s">
        <v>2903</v>
      </c>
    </row>
    <row r="48" spans="3:31" x14ac:dyDescent="0.4">
      <c r="C48" s="2852"/>
      <c r="D48" s="1109" t="s">
        <v>2931</v>
      </c>
      <c r="E48" s="1109" t="s">
        <v>2935</v>
      </c>
      <c r="F48" s="1110">
        <v>491495</v>
      </c>
      <c r="G48" s="1110">
        <v>1102221</v>
      </c>
      <c r="H48" s="1109" t="s">
        <v>328</v>
      </c>
      <c r="I48" s="1109" t="s">
        <v>763</v>
      </c>
      <c r="J48" s="1109" t="s">
        <v>2936</v>
      </c>
      <c r="K48" s="1111"/>
      <c r="L48" s="1109">
        <v>5</v>
      </c>
      <c r="M48" s="1109">
        <v>4</v>
      </c>
      <c r="N48" s="1109">
        <v>1</v>
      </c>
      <c r="O48" s="1109">
        <v>80</v>
      </c>
      <c r="P48" s="1109">
        <v>1</v>
      </c>
      <c r="Q48" s="1112"/>
      <c r="R48" s="1110">
        <v>5.5</v>
      </c>
      <c r="S48" s="1113" t="s">
        <v>2903</v>
      </c>
      <c r="T48" s="1112"/>
      <c r="U48" s="1110">
        <v>96</v>
      </c>
      <c r="V48" s="1113" t="s">
        <v>2903</v>
      </c>
      <c r="W48" s="1108"/>
      <c r="X48" s="1110">
        <v>0.22</v>
      </c>
      <c r="Y48" s="1113" t="s">
        <v>2903</v>
      </c>
      <c r="Z48" s="1108"/>
      <c r="AA48" s="1110">
        <v>7.99</v>
      </c>
      <c r="AB48" s="1113" t="s">
        <v>2903</v>
      </c>
      <c r="AC48" s="1104"/>
      <c r="AD48" s="1110">
        <v>56.1</v>
      </c>
      <c r="AE48" s="1113" t="s">
        <v>2903</v>
      </c>
    </row>
    <row r="49" spans="3:31" x14ac:dyDescent="0.4">
      <c r="C49" s="2852"/>
      <c r="D49" s="1109" t="s">
        <v>2931</v>
      </c>
      <c r="E49" s="1109" t="s">
        <v>2937</v>
      </c>
      <c r="F49" s="1110">
        <v>480338</v>
      </c>
      <c r="G49" s="1110">
        <v>1102283</v>
      </c>
      <c r="H49" s="1109" t="s">
        <v>331</v>
      </c>
      <c r="I49" s="1109" t="s">
        <v>800</v>
      </c>
      <c r="J49" s="1109" t="s">
        <v>2938</v>
      </c>
      <c r="K49" s="1111"/>
      <c r="L49" s="1109" t="s">
        <v>2903</v>
      </c>
      <c r="M49" s="1109" t="s">
        <v>2903</v>
      </c>
      <c r="N49" s="1109" t="s">
        <v>2903</v>
      </c>
      <c r="O49" s="1109" t="s">
        <v>2903</v>
      </c>
      <c r="P49" s="1109" t="s">
        <v>2903</v>
      </c>
      <c r="Q49" s="1112"/>
      <c r="R49" s="1110" t="s">
        <v>2903</v>
      </c>
      <c r="S49" s="1113" t="s">
        <v>2903</v>
      </c>
      <c r="T49" s="1112"/>
      <c r="U49" s="1110" t="s">
        <v>2903</v>
      </c>
      <c r="V49" s="1113" t="s">
        <v>2903</v>
      </c>
      <c r="W49" s="1108"/>
      <c r="X49" s="1110" t="s">
        <v>2903</v>
      </c>
      <c r="Y49" s="1113" t="s">
        <v>2903</v>
      </c>
      <c r="Z49" s="1108"/>
      <c r="AA49" s="1110" t="s">
        <v>2903</v>
      </c>
      <c r="AB49" s="1113" t="s">
        <v>2903</v>
      </c>
      <c r="AC49" s="1104"/>
      <c r="AD49" s="1110" t="s">
        <v>2903</v>
      </c>
      <c r="AE49" s="1113" t="s">
        <v>2903</v>
      </c>
    </row>
    <row r="50" spans="3:31" x14ac:dyDescent="0.4">
      <c r="C50" s="2852"/>
      <c r="D50" s="1109" t="s">
        <v>2931</v>
      </c>
      <c r="E50" s="1109" t="s">
        <v>2939</v>
      </c>
      <c r="F50" s="1110">
        <v>470780</v>
      </c>
      <c r="G50" s="1110">
        <v>1098167</v>
      </c>
      <c r="H50" s="1109" t="s">
        <v>331</v>
      </c>
      <c r="I50" s="1109" t="s">
        <v>799</v>
      </c>
      <c r="J50" s="1109" t="s">
        <v>2940</v>
      </c>
      <c r="K50" s="1111"/>
      <c r="L50" s="1109" t="s">
        <v>2903</v>
      </c>
      <c r="M50" s="1109" t="s">
        <v>2903</v>
      </c>
      <c r="N50" s="1109" t="s">
        <v>2903</v>
      </c>
      <c r="O50" s="1109" t="s">
        <v>2903</v>
      </c>
      <c r="P50" s="1109" t="s">
        <v>2903</v>
      </c>
      <c r="Q50" s="1112"/>
      <c r="R50" s="1110" t="s">
        <v>2903</v>
      </c>
      <c r="S50" s="1113" t="s">
        <v>2903</v>
      </c>
      <c r="T50" s="1112"/>
      <c r="U50" s="1110" t="s">
        <v>2903</v>
      </c>
      <c r="V50" s="1113" t="s">
        <v>2903</v>
      </c>
      <c r="W50" s="1108"/>
      <c r="X50" s="1110" t="s">
        <v>2903</v>
      </c>
      <c r="Y50" s="1113" t="s">
        <v>2903</v>
      </c>
      <c r="Z50" s="1108"/>
      <c r="AA50" s="1110" t="s">
        <v>2903</v>
      </c>
      <c r="AB50" s="1113" t="s">
        <v>2903</v>
      </c>
      <c r="AC50" s="1104"/>
      <c r="AD50" s="1110" t="s">
        <v>2903</v>
      </c>
      <c r="AE50" s="1113" t="s">
        <v>2903</v>
      </c>
    </row>
    <row r="51" spans="3:31" x14ac:dyDescent="0.4">
      <c r="C51" s="2852"/>
      <c r="D51" s="1109" t="s">
        <v>2941</v>
      </c>
      <c r="E51" s="1109" t="s">
        <v>2942</v>
      </c>
      <c r="F51" s="1110">
        <v>450165</v>
      </c>
      <c r="G51" s="1110">
        <v>1097109</v>
      </c>
      <c r="H51" s="1109" t="s">
        <v>329</v>
      </c>
      <c r="I51" s="1109" t="s">
        <v>329</v>
      </c>
      <c r="J51" s="1109" t="s">
        <v>2943</v>
      </c>
      <c r="K51" s="1111"/>
      <c r="L51" s="1109">
        <v>5</v>
      </c>
      <c r="M51" s="1109">
        <v>3</v>
      </c>
      <c r="N51" s="1109">
        <v>2</v>
      </c>
      <c r="O51" s="1109">
        <v>60</v>
      </c>
      <c r="P51" s="1109">
        <v>0</v>
      </c>
      <c r="Q51" s="1112"/>
      <c r="R51" s="1110">
        <v>11.9</v>
      </c>
      <c r="S51" s="1113" t="s">
        <v>2903</v>
      </c>
      <c r="T51" s="1112"/>
      <c r="U51" s="1110">
        <v>98.7</v>
      </c>
      <c r="V51" s="1113" t="s">
        <v>2903</v>
      </c>
      <c r="W51" s="1108"/>
      <c r="X51" s="1110">
        <v>0.15</v>
      </c>
      <c r="Y51" s="1113" t="s">
        <v>2903</v>
      </c>
      <c r="Z51" s="1108"/>
      <c r="AA51" s="1110">
        <v>8.1</v>
      </c>
      <c r="AB51" s="1113" t="s">
        <v>2903</v>
      </c>
      <c r="AC51" s="1104"/>
      <c r="AD51" s="1110">
        <v>343</v>
      </c>
      <c r="AE51" s="1113" t="s">
        <v>2903</v>
      </c>
    </row>
    <row r="52" spans="3:31" x14ac:dyDescent="0.4">
      <c r="C52" s="2852"/>
      <c r="D52" s="1109" t="s">
        <v>2944</v>
      </c>
      <c r="E52" s="1109" t="s">
        <v>2945</v>
      </c>
      <c r="F52" s="1110">
        <v>461417</v>
      </c>
      <c r="G52" s="1110">
        <v>1102524</v>
      </c>
      <c r="H52" s="1109" t="s">
        <v>329</v>
      </c>
      <c r="I52" s="1109" t="s">
        <v>774</v>
      </c>
      <c r="J52" s="1109" t="s">
        <v>2946</v>
      </c>
      <c r="K52" s="1111"/>
      <c r="L52" s="1109">
        <v>5</v>
      </c>
      <c r="M52" s="1109">
        <v>4</v>
      </c>
      <c r="N52" s="1109">
        <v>1</v>
      </c>
      <c r="O52" s="1109">
        <v>80</v>
      </c>
      <c r="P52" s="1109">
        <v>1</v>
      </c>
      <c r="Q52" s="1112"/>
      <c r="R52" s="1110">
        <v>5.8</v>
      </c>
      <c r="S52" s="1113" t="s">
        <v>2903</v>
      </c>
      <c r="T52" s="1112"/>
      <c r="U52" s="1110">
        <v>99</v>
      </c>
      <c r="V52" s="1113" t="s">
        <v>2903</v>
      </c>
      <c r="W52" s="1108"/>
      <c r="X52" s="1110">
        <v>0.15</v>
      </c>
      <c r="Y52" s="1113" t="s">
        <v>2903</v>
      </c>
      <c r="Z52" s="1108"/>
      <c r="AA52" s="1110">
        <v>7.97</v>
      </c>
      <c r="AB52" s="1113" t="s">
        <v>2903</v>
      </c>
      <c r="AC52" s="1104"/>
      <c r="AD52" s="1110">
        <v>125</v>
      </c>
      <c r="AE52" s="1113" t="s">
        <v>2903</v>
      </c>
    </row>
    <row r="53" spans="3:31" x14ac:dyDescent="0.4">
      <c r="C53" s="2852"/>
      <c r="D53" s="1109" t="s">
        <v>2941</v>
      </c>
      <c r="E53" s="1109" t="s">
        <v>2947</v>
      </c>
      <c r="F53" s="1110">
        <v>442305</v>
      </c>
      <c r="G53" s="1110">
        <v>1092780</v>
      </c>
      <c r="H53" s="1109" t="s">
        <v>329</v>
      </c>
      <c r="I53" s="1109" t="s">
        <v>778</v>
      </c>
      <c r="J53" s="1109" t="s">
        <v>778</v>
      </c>
      <c r="K53" s="1111"/>
      <c r="L53" s="1109">
        <v>5</v>
      </c>
      <c r="M53" s="1109">
        <v>3</v>
      </c>
      <c r="N53" s="1109">
        <v>2</v>
      </c>
      <c r="O53" s="1109">
        <v>60</v>
      </c>
      <c r="P53" s="1109">
        <v>0</v>
      </c>
      <c r="Q53" s="1112"/>
      <c r="R53" s="1110">
        <v>11.9</v>
      </c>
      <c r="S53" s="1113" t="s">
        <v>2903</v>
      </c>
      <c r="T53" s="1112"/>
      <c r="U53" s="1110">
        <v>98.1</v>
      </c>
      <c r="V53" s="1113" t="s">
        <v>2903</v>
      </c>
      <c r="W53" s="1108"/>
      <c r="X53" s="1110">
        <v>0.15</v>
      </c>
      <c r="Y53" s="1113" t="s">
        <v>2903</v>
      </c>
      <c r="Z53" s="1108"/>
      <c r="AA53" s="1110">
        <v>8.06</v>
      </c>
      <c r="AB53" s="1113" t="s">
        <v>2903</v>
      </c>
      <c r="AC53" s="1104"/>
      <c r="AD53" s="1110">
        <v>541</v>
      </c>
      <c r="AE53" s="1113" t="s">
        <v>2903</v>
      </c>
    </row>
    <row r="54" spans="3:31" x14ac:dyDescent="0.4">
      <c r="C54" s="2835" t="s">
        <v>775</v>
      </c>
      <c r="D54" s="1105" t="s">
        <v>2948</v>
      </c>
      <c r="E54" s="1105" t="s">
        <v>2949</v>
      </c>
      <c r="F54" s="1106">
        <v>494958</v>
      </c>
      <c r="G54" s="1106">
        <v>1049620</v>
      </c>
      <c r="H54" s="1105" t="s">
        <v>533</v>
      </c>
      <c r="I54" s="1105" t="s">
        <v>818</v>
      </c>
      <c r="J54" s="1105" t="s">
        <v>2909</v>
      </c>
      <c r="K54" s="1101"/>
      <c r="L54" s="1105" t="s">
        <v>2903</v>
      </c>
      <c r="M54" s="1105" t="s">
        <v>2903</v>
      </c>
      <c r="N54" s="1105" t="s">
        <v>2903</v>
      </c>
      <c r="O54" s="1105" t="s">
        <v>2903</v>
      </c>
      <c r="P54" s="1105" t="s">
        <v>2903</v>
      </c>
      <c r="Q54" s="1105"/>
      <c r="R54" s="1105" t="s">
        <v>2903</v>
      </c>
      <c r="S54" s="1107" t="s">
        <v>2903</v>
      </c>
      <c r="T54" s="1102"/>
      <c r="U54" s="1106" t="s">
        <v>2903</v>
      </c>
      <c r="V54" s="1107" t="s">
        <v>2903</v>
      </c>
      <c r="W54" s="1108"/>
      <c r="X54" s="1106" t="s">
        <v>2903</v>
      </c>
      <c r="Y54" s="1107" t="s">
        <v>2903</v>
      </c>
      <c r="Z54" s="1104"/>
      <c r="AA54" s="1106" t="s">
        <v>2903</v>
      </c>
      <c r="AB54" s="1107" t="s">
        <v>2903</v>
      </c>
      <c r="AC54" s="1104"/>
      <c r="AD54" s="1106" t="s">
        <v>2903</v>
      </c>
      <c r="AE54" s="1107" t="s">
        <v>2903</v>
      </c>
    </row>
    <row r="55" spans="3:31" x14ac:dyDescent="0.4">
      <c r="C55" s="2835"/>
      <c r="D55" s="1105" t="s">
        <v>2948</v>
      </c>
      <c r="E55" s="1105" t="s">
        <v>2950</v>
      </c>
      <c r="F55" s="1106">
        <v>487152</v>
      </c>
      <c r="G55" s="1106">
        <v>1042701</v>
      </c>
      <c r="H55" s="1105" t="s">
        <v>533</v>
      </c>
      <c r="I55" s="1105" t="s">
        <v>818</v>
      </c>
      <c r="J55" s="1105" t="s">
        <v>2909</v>
      </c>
      <c r="K55" s="1101"/>
      <c r="L55" s="1105" t="s">
        <v>2903</v>
      </c>
      <c r="M55" s="1105" t="s">
        <v>2903</v>
      </c>
      <c r="N55" s="1105" t="s">
        <v>2903</v>
      </c>
      <c r="O55" s="1105" t="s">
        <v>2903</v>
      </c>
      <c r="P55" s="1105" t="s">
        <v>2903</v>
      </c>
      <c r="Q55" s="1102"/>
      <c r="R55" s="1105" t="s">
        <v>2903</v>
      </c>
      <c r="S55" s="1107" t="s">
        <v>2903</v>
      </c>
      <c r="T55" s="1102"/>
      <c r="U55" s="1106" t="s">
        <v>2903</v>
      </c>
      <c r="V55" s="1107" t="s">
        <v>2903</v>
      </c>
      <c r="W55" s="1108"/>
      <c r="X55" s="1106" t="s">
        <v>2903</v>
      </c>
      <c r="Y55" s="1107" t="s">
        <v>2903</v>
      </c>
      <c r="Z55" s="1104"/>
      <c r="AA55" s="1106" t="s">
        <v>2903</v>
      </c>
      <c r="AB55" s="1107" t="s">
        <v>2903</v>
      </c>
      <c r="AC55" s="1104"/>
      <c r="AD55" s="1106" t="s">
        <v>2903</v>
      </c>
      <c r="AE55" s="1107" t="s">
        <v>2903</v>
      </c>
    </row>
    <row r="56" spans="3:31" x14ac:dyDescent="0.4">
      <c r="C56" s="2835"/>
      <c r="D56" s="1105" t="s">
        <v>2948</v>
      </c>
      <c r="E56" s="1105" t="s">
        <v>2951</v>
      </c>
      <c r="F56" s="1106">
        <v>487152</v>
      </c>
      <c r="G56" s="1106">
        <v>1042701</v>
      </c>
      <c r="H56" s="1105" t="s">
        <v>533</v>
      </c>
      <c r="I56" s="1105" t="s">
        <v>818</v>
      </c>
      <c r="J56" s="1105" t="s">
        <v>2909</v>
      </c>
      <c r="K56" s="1101"/>
      <c r="L56" s="1105" t="s">
        <v>2903</v>
      </c>
      <c r="M56" s="1105" t="s">
        <v>2903</v>
      </c>
      <c r="N56" s="1105" t="s">
        <v>2903</v>
      </c>
      <c r="O56" s="1105" t="s">
        <v>2903</v>
      </c>
      <c r="P56" s="1105" t="s">
        <v>2903</v>
      </c>
      <c r="Q56" s="1102"/>
      <c r="R56" s="1105" t="s">
        <v>2903</v>
      </c>
      <c r="S56" s="1107" t="s">
        <v>2903</v>
      </c>
      <c r="T56" s="1102"/>
      <c r="U56" s="1106" t="s">
        <v>2903</v>
      </c>
      <c r="V56" s="1107" t="s">
        <v>2903</v>
      </c>
      <c r="W56" s="1108"/>
      <c r="X56" s="1106" t="s">
        <v>2903</v>
      </c>
      <c r="Y56" s="1107" t="s">
        <v>2903</v>
      </c>
      <c r="Z56" s="1104"/>
      <c r="AA56" s="1106" t="s">
        <v>2903</v>
      </c>
      <c r="AB56" s="1107" t="s">
        <v>2903</v>
      </c>
      <c r="AC56" s="1104"/>
      <c r="AD56" s="1106" t="s">
        <v>2903</v>
      </c>
      <c r="AE56" s="1107" t="s">
        <v>2903</v>
      </c>
    </row>
    <row r="57" spans="3:31" x14ac:dyDescent="0.4">
      <c r="C57" s="2835"/>
      <c r="D57" s="1105" t="s">
        <v>2952</v>
      </c>
      <c r="E57" s="1105" t="s">
        <v>2953</v>
      </c>
      <c r="F57" s="1106">
        <v>493052</v>
      </c>
      <c r="G57" s="1106">
        <v>1038399</v>
      </c>
      <c r="H57" s="1105" t="s">
        <v>533</v>
      </c>
      <c r="I57" s="1105" t="s">
        <v>818</v>
      </c>
      <c r="J57" s="1105" t="s">
        <v>2909</v>
      </c>
      <c r="K57" s="1101"/>
      <c r="L57" s="1105" t="s">
        <v>2903</v>
      </c>
      <c r="M57" s="1105" t="s">
        <v>2903</v>
      </c>
      <c r="N57" s="1105" t="s">
        <v>2903</v>
      </c>
      <c r="O57" s="1105" t="s">
        <v>2903</v>
      </c>
      <c r="P57" s="1105" t="s">
        <v>2903</v>
      </c>
      <c r="Q57" s="1102"/>
      <c r="R57" s="1105" t="s">
        <v>2903</v>
      </c>
      <c r="S57" s="1107" t="s">
        <v>2903</v>
      </c>
      <c r="T57" s="1102"/>
      <c r="U57" s="1106" t="s">
        <v>2903</v>
      </c>
      <c r="V57" s="1107" t="s">
        <v>2903</v>
      </c>
      <c r="W57" s="1108"/>
      <c r="X57" s="1106" t="s">
        <v>2903</v>
      </c>
      <c r="Y57" s="1107" t="s">
        <v>2903</v>
      </c>
      <c r="Z57" s="1104"/>
      <c r="AA57" s="1106" t="s">
        <v>2903</v>
      </c>
      <c r="AB57" s="1107" t="s">
        <v>2903</v>
      </c>
      <c r="AC57" s="1104"/>
      <c r="AD57" s="1106" t="s">
        <v>2903</v>
      </c>
      <c r="AE57" s="1107" t="s">
        <v>2903</v>
      </c>
    </row>
    <row r="58" spans="3:31" x14ac:dyDescent="0.4">
      <c r="C58" s="2837" t="s">
        <v>2954</v>
      </c>
      <c r="D58" s="1114" t="s">
        <v>2955</v>
      </c>
      <c r="E58" s="1114" t="s">
        <v>2956</v>
      </c>
      <c r="F58" s="1115">
        <v>438645</v>
      </c>
      <c r="G58" s="1115">
        <v>1103798</v>
      </c>
      <c r="H58" s="1114" t="s">
        <v>329</v>
      </c>
      <c r="I58" s="1114" t="s">
        <v>773</v>
      </c>
      <c r="J58" s="1114" t="s">
        <v>773</v>
      </c>
      <c r="K58" s="1101"/>
      <c r="L58" s="1114" t="s">
        <v>2903</v>
      </c>
      <c r="M58" s="1114" t="s">
        <v>2903</v>
      </c>
      <c r="N58" s="1114" t="s">
        <v>2903</v>
      </c>
      <c r="O58" s="1114" t="s">
        <v>2903</v>
      </c>
      <c r="P58" s="1114" t="s">
        <v>2903</v>
      </c>
      <c r="Q58" s="1102"/>
      <c r="R58" s="1115" t="s">
        <v>2903</v>
      </c>
      <c r="S58" s="1116" t="s">
        <v>2903</v>
      </c>
      <c r="T58" s="1102"/>
      <c r="U58" s="1115" t="s">
        <v>2903</v>
      </c>
      <c r="V58" s="1116" t="s">
        <v>2903</v>
      </c>
      <c r="W58" s="1108"/>
      <c r="X58" s="1115" t="s">
        <v>2903</v>
      </c>
      <c r="Y58" s="1116" t="s">
        <v>2903</v>
      </c>
      <c r="Z58" s="1104"/>
      <c r="AA58" s="1115" t="s">
        <v>2903</v>
      </c>
      <c r="AB58" s="1116" t="s">
        <v>2903</v>
      </c>
      <c r="AC58" s="1104"/>
      <c r="AD58" s="1115" t="s">
        <v>2903</v>
      </c>
      <c r="AE58" s="1116" t="s">
        <v>2903</v>
      </c>
    </row>
    <row r="59" spans="3:31" x14ac:dyDescent="0.4">
      <c r="C59" s="2837"/>
      <c r="D59" s="1114" t="s">
        <v>2955</v>
      </c>
      <c r="E59" s="1114" t="s">
        <v>2957</v>
      </c>
      <c r="F59" s="1115">
        <v>433449</v>
      </c>
      <c r="G59" s="1115">
        <v>1101403</v>
      </c>
      <c r="H59" s="1114" t="s">
        <v>329</v>
      </c>
      <c r="I59" s="1114" t="s">
        <v>773</v>
      </c>
      <c r="J59" s="1114" t="s">
        <v>773</v>
      </c>
      <c r="K59" s="1101"/>
      <c r="L59" s="1114" t="s">
        <v>2903</v>
      </c>
      <c r="M59" s="1114" t="s">
        <v>2903</v>
      </c>
      <c r="N59" s="1114" t="s">
        <v>2903</v>
      </c>
      <c r="O59" s="1114" t="s">
        <v>2903</v>
      </c>
      <c r="P59" s="1114" t="s">
        <v>2903</v>
      </c>
      <c r="Q59" s="1102"/>
      <c r="R59" s="1115" t="s">
        <v>2903</v>
      </c>
      <c r="S59" s="1116" t="s">
        <v>2903</v>
      </c>
      <c r="T59" s="1102"/>
      <c r="U59" s="1115" t="s">
        <v>2903</v>
      </c>
      <c r="V59" s="1116" t="s">
        <v>2903</v>
      </c>
      <c r="W59" s="1108"/>
      <c r="X59" s="1115" t="s">
        <v>2903</v>
      </c>
      <c r="Y59" s="1116" t="s">
        <v>2903</v>
      </c>
      <c r="Z59" s="1104"/>
      <c r="AA59" s="1115" t="s">
        <v>2903</v>
      </c>
      <c r="AB59" s="1116" t="s">
        <v>2903</v>
      </c>
      <c r="AC59" s="1104"/>
      <c r="AD59" s="1115" t="s">
        <v>2903</v>
      </c>
      <c r="AE59" s="1116" t="s">
        <v>2903</v>
      </c>
    </row>
    <row r="60" spans="3:31" x14ac:dyDescent="0.4">
      <c r="C60" s="2837"/>
      <c r="D60" s="1114" t="s">
        <v>2955</v>
      </c>
      <c r="E60" s="1114" t="s">
        <v>2958</v>
      </c>
      <c r="F60" s="1115">
        <v>427002</v>
      </c>
      <c r="G60" s="1115">
        <v>1096916</v>
      </c>
      <c r="H60" s="1114" t="s">
        <v>329</v>
      </c>
      <c r="I60" s="1114" t="s">
        <v>773</v>
      </c>
      <c r="J60" s="1114" t="s">
        <v>773</v>
      </c>
      <c r="K60" s="1101"/>
      <c r="L60" s="1114" t="s">
        <v>2903</v>
      </c>
      <c r="M60" s="1114" t="s">
        <v>2903</v>
      </c>
      <c r="N60" s="1114" t="s">
        <v>2903</v>
      </c>
      <c r="O60" s="1114" t="s">
        <v>2903</v>
      </c>
      <c r="P60" s="1114" t="s">
        <v>2903</v>
      </c>
      <c r="Q60" s="1102"/>
      <c r="R60" s="1115" t="s">
        <v>2903</v>
      </c>
      <c r="S60" s="1116" t="s">
        <v>2903</v>
      </c>
      <c r="T60" s="1102"/>
      <c r="U60" s="1115" t="s">
        <v>2903</v>
      </c>
      <c r="V60" s="1116" t="s">
        <v>2903</v>
      </c>
      <c r="W60" s="1108"/>
      <c r="X60" s="1115" t="s">
        <v>2903</v>
      </c>
      <c r="Y60" s="1116" t="s">
        <v>2903</v>
      </c>
      <c r="Z60" s="1104"/>
      <c r="AA60" s="1115" t="s">
        <v>2903</v>
      </c>
      <c r="AB60" s="1116" t="s">
        <v>2903</v>
      </c>
      <c r="AC60" s="1104"/>
      <c r="AD60" s="1115" t="s">
        <v>2903</v>
      </c>
      <c r="AE60" s="1116" t="s">
        <v>2903</v>
      </c>
    </row>
    <row r="61" spans="3:31" x14ac:dyDescent="0.4">
      <c r="C61" s="2837"/>
      <c r="D61" s="1114" t="s">
        <v>2955</v>
      </c>
      <c r="E61" s="1114" t="s">
        <v>2959</v>
      </c>
      <c r="F61" s="1115">
        <v>426346</v>
      </c>
      <c r="G61" s="1115">
        <v>1096040</v>
      </c>
      <c r="H61" s="1114" t="s">
        <v>533</v>
      </c>
      <c r="I61" s="1114" t="s">
        <v>814</v>
      </c>
      <c r="J61" s="1114" t="s">
        <v>2960</v>
      </c>
      <c r="K61" s="1101"/>
      <c r="L61" s="1114" t="s">
        <v>2903</v>
      </c>
      <c r="M61" s="1114" t="s">
        <v>2903</v>
      </c>
      <c r="N61" s="1114" t="s">
        <v>2903</v>
      </c>
      <c r="O61" s="1114" t="s">
        <v>2903</v>
      </c>
      <c r="P61" s="1114" t="s">
        <v>2903</v>
      </c>
      <c r="Q61" s="1102"/>
      <c r="R61" s="1115" t="s">
        <v>2903</v>
      </c>
      <c r="S61" s="1116" t="s">
        <v>2903</v>
      </c>
      <c r="T61" s="1102"/>
      <c r="U61" s="1115" t="s">
        <v>2903</v>
      </c>
      <c r="V61" s="1116" t="s">
        <v>2903</v>
      </c>
      <c r="W61" s="1108"/>
      <c r="X61" s="1115" t="s">
        <v>2903</v>
      </c>
      <c r="Y61" s="1116" t="s">
        <v>2903</v>
      </c>
      <c r="Z61" s="1104"/>
      <c r="AA61" s="1115" t="s">
        <v>2903</v>
      </c>
      <c r="AB61" s="1116" t="s">
        <v>2903</v>
      </c>
      <c r="AC61" s="1104"/>
      <c r="AD61" s="1115" t="s">
        <v>2903</v>
      </c>
      <c r="AE61" s="1116" t="s">
        <v>2903</v>
      </c>
    </row>
    <row r="62" spans="3:31" x14ac:dyDescent="0.4">
      <c r="C62" s="2837"/>
      <c r="D62" s="1114" t="s">
        <v>2961</v>
      </c>
      <c r="E62" s="1114" t="s">
        <v>2962</v>
      </c>
      <c r="F62" s="1115">
        <v>442899</v>
      </c>
      <c r="G62" s="1115">
        <v>1097938</v>
      </c>
      <c r="H62" s="1114" t="s">
        <v>329</v>
      </c>
      <c r="I62" s="1114" t="s">
        <v>773</v>
      </c>
      <c r="J62" s="1114" t="s">
        <v>2954</v>
      </c>
      <c r="K62" s="1101"/>
      <c r="L62" s="1114" t="s">
        <v>2903</v>
      </c>
      <c r="M62" s="1114" t="s">
        <v>2903</v>
      </c>
      <c r="N62" s="1114" t="s">
        <v>2903</v>
      </c>
      <c r="O62" s="1114" t="s">
        <v>2903</v>
      </c>
      <c r="P62" s="1114" t="s">
        <v>2903</v>
      </c>
      <c r="Q62" s="1102"/>
      <c r="R62" s="1115" t="s">
        <v>2903</v>
      </c>
      <c r="S62" s="1116" t="s">
        <v>2903</v>
      </c>
      <c r="T62" s="1102"/>
      <c r="U62" s="1115" t="s">
        <v>2903</v>
      </c>
      <c r="V62" s="1116" t="s">
        <v>2903</v>
      </c>
      <c r="W62" s="1108"/>
      <c r="X62" s="1115" t="s">
        <v>2903</v>
      </c>
      <c r="Y62" s="1116" t="s">
        <v>2903</v>
      </c>
      <c r="Z62" s="1104"/>
      <c r="AA62" s="1115" t="s">
        <v>2903</v>
      </c>
      <c r="AB62" s="1116" t="s">
        <v>2903</v>
      </c>
      <c r="AC62" s="1104"/>
      <c r="AD62" s="1115" t="s">
        <v>2903</v>
      </c>
      <c r="AE62" s="1116" t="s">
        <v>2903</v>
      </c>
    </row>
    <row r="63" spans="3:31" x14ac:dyDescent="0.4">
      <c r="C63" s="2837"/>
      <c r="D63" s="1114" t="s">
        <v>2955</v>
      </c>
      <c r="E63" s="1114" t="s">
        <v>2963</v>
      </c>
      <c r="F63" s="1115">
        <v>424452</v>
      </c>
      <c r="G63" s="1115">
        <v>1095218</v>
      </c>
      <c r="H63" s="1114" t="s">
        <v>329</v>
      </c>
      <c r="I63" s="1114" t="s">
        <v>778</v>
      </c>
      <c r="J63" s="1114" t="s">
        <v>2964</v>
      </c>
      <c r="K63" s="1101"/>
      <c r="L63" s="1114" t="s">
        <v>2903</v>
      </c>
      <c r="M63" s="1114" t="s">
        <v>2903</v>
      </c>
      <c r="N63" s="1114" t="s">
        <v>2903</v>
      </c>
      <c r="O63" s="1114" t="s">
        <v>2903</v>
      </c>
      <c r="P63" s="1114" t="s">
        <v>2903</v>
      </c>
      <c r="Q63" s="1102"/>
      <c r="R63" s="1115" t="s">
        <v>2903</v>
      </c>
      <c r="S63" s="1116" t="s">
        <v>2903</v>
      </c>
      <c r="T63" s="1102"/>
      <c r="U63" s="1115" t="s">
        <v>2903</v>
      </c>
      <c r="V63" s="1116" t="s">
        <v>2903</v>
      </c>
      <c r="W63" s="1108"/>
      <c r="X63" s="1115" t="s">
        <v>2903</v>
      </c>
      <c r="Y63" s="1116" t="s">
        <v>2903</v>
      </c>
      <c r="Z63" s="1104"/>
      <c r="AA63" s="1115" t="s">
        <v>2903</v>
      </c>
      <c r="AB63" s="1116" t="s">
        <v>2903</v>
      </c>
      <c r="AC63" s="1104"/>
      <c r="AD63" s="1115" t="s">
        <v>2903</v>
      </c>
      <c r="AE63" s="1116" t="s">
        <v>2903</v>
      </c>
    </row>
    <row r="64" spans="3:31" x14ac:dyDescent="0.4">
      <c r="C64" s="2837"/>
      <c r="D64" s="1114" t="s">
        <v>2955</v>
      </c>
      <c r="E64" s="1114" t="s">
        <v>2965</v>
      </c>
      <c r="F64" s="1115">
        <v>424914</v>
      </c>
      <c r="G64" s="1115">
        <v>1093895</v>
      </c>
      <c r="H64" s="1114" t="s">
        <v>329</v>
      </c>
      <c r="I64" s="1114" t="s">
        <v>778</v>
      </c>
      <c r="J64" s="1114" t="s">
        <v>2964</v>
      </c>
      <c r="K64" s="1101"/>
      <c r="L64" s="1114" t="s">
        <v>2903</v>
      </c>
      <c r="M64" s="1114" t="s">
        <v>2903</v>
      </c>
      <c r="N64" s="1114" t="s">
        <v>2903</v>
      </c>
      <c r="O64" s="1114" t="s">
        <v>2903</v>
      </c>
      <c r="P64" s="1114" t="s">
        <v>2903</v>
      </c>
      <c r="Q64" s="1102"/>
      <c r="R64" s="1115" t="s">
        <v>2903</v>
      </c>
      <c r="S64" s="1116" t="s">
        <v>2903</v>
      </c>
      <c r="T64" s="1102"/>
      <c r="U64" s="1115" t="s">
        <v>2903</v>
      </c>
      <c r="V64" s="1116" t="s">
        <v>2903</v>
      </c>
      <c r="W64" s="1108"/>
      <c r="X64" s="1115" t="s">
        <v>2903</v>
      </c>
      <c r="Y64" s="1116" t="s">
        <v>2903</v>
      </c>
      <c r="Z64" s="1104"/>
      <c r="AA64" s="1115" t="s">
        <v>2903</v>
      </c>
      <c r="AB64" s="1116" t="s">
        <v>2903</v>
      </c>
      <c r="AC64" s="1104"/>
      <c r="AD64" s="1115" t="s">
        <v>2903</v>
      </c>
      <c r="AE64" s="1116" t="s">
        <v>2903</v>
      </c>
    </row>
    <row r="65" spans="3:31" x14ac:dyDescent="0.4">
      <c r="C65" s="2835" t="s">
        <v>2966</v>
      </c>
      <c r="D65" s="1105" t="s">
        <v>2967</v>
      </c>
      <c r="E65" s="1105" t="s">
        <v>2968</v>
      </c>
      <c r="F65" s="1106">
        <v>523586</v>
      </c>
      <c r="G65" s="1106">
        <v>1024342</v>
      </c>
      <c r="H65" s="1105" t="s">
        <v>328</v>
      </c>
      <c r="I65" s="1105" t="s">
        <v>769</v>
      </c>
      <c r="J65" s="1105" t="s">
        <v>2966</v>
      </c>
      <c r="K65" s="1101"/>
      <c r="L65" s="1105" t="s">
        <v>2903</v>
      </c>
      <c r="M65" s="1105" t="s">
        <v>2903</v>
      </c>
      <c r="N65" s="1105" t="s">
        <v>2903</v>
      </c>
      <c r="O65" s="1105" t="s">
        <v>2903</v>
      </c>
      <c r="P65" s="1105" t="s">
        <v>2903</v>
      </c>
      <c r="Q65" s="1102"/>
      <c r="R65" s="1106" t="s">
        <v>2903</v>
      </c>
      <c r="S65" s="1107" t="s">
        <v>2903</v>
      </c>
      <c r="T65" s="1102"/>
      <c r="U65" s="1106" t="s">
        <v>2903</v>
      </c>
      <c r="V65" s="1107" t="s">
        <v>2903</v>
      </c>
      <c r="W65" s="1108"/>
      <c r="X65" s="1106" t="s">
        <v>2903</v>
      </c>
      <c r="Y65" s="1107" t="s">
        <v>2903</v>
      </c>
      <c r="Z65" s="1104"/>
      <c r="AA65" s="1106" t="s">
        <v>2903</v>
      </c>
      <c r="AB65" s="1107" t="s">
        <v>2903</v>
      </c>
      <c r="AC65" s="1104"/>
      <c r="AD65" s="1106" t="s">
        <v>2903</v>
      </c>
      <c r="AE65" s="1107" t="s">
        <v>2903</v>
      </c>
    </row>
    <row r="66" spans="3:31" x14ac:dyDescent="0.4">
      <c r="C66" s="2835"/>
      <c r="D66" s="1105" t="s">
        <v>2969</v>
      </c>
      <c r="E66" s="1105" t="s">
        <v>2970</v>
      </c>
      <c r="F66" s="1106">
        <v>519598</v>
      </c>
      <c r="G66" s="1106">
        <v>1024524</v>
      </c>
      <c r="H66" s="1105" t="s">
        <v>328</v>
      </c>
      <c r="I66" s="1105" t="s">
        <v>769</v>
      </c>
      <c r="J66" s="1105" t="s">
        <v>2966</v>
      </c>
      <c r="K66" s="1101"/>
      <c r="L66" s="1105" t="s">
        <v>2903</v>
      </c>
      <c r="M66" s="1105" t="s">
        <v>2903</v>
      </c>
      <c r="N66" s="1105" t="s">
        <v>2903</v>
      </c>
      <c r="O66" s="1105" t="s">
        <v>2903</v>
      </c>
      <c r="P66" s="1105" t="s">
        <v>2903</v>
      </c>
      <c r="Q66" s="1102"/>
      <c r="R66" s="1106" t="s">
        <v>2903</v>
      </c>
      <c r="S66" s="1107" t="s">
        <v>2903</v>
      </c>
      <c r="T66" s="1102"/>
      <c r="U66" s="1106" t="s">
        <v>2903</v>
      </c>
      <c r="V66" s="1107" t="s">
        <v>2903</v>
      </c>
      <c r="W66" s="1108"/>
      <c r="X66" s="1106" t="s">
        <v>2903</v>
      </c>
      <c r="Y66" s="1107" t="s">
        <v>2903</v>
      </c>
      <c r="Z66" s="1104"/>
      <c r="AA66" s="1106" t="s">
        <v>2903</v>
      </c>
      <c r="AB66" s="1107" t="s">
        <v>2903</v>
      </c>
      <c r="AC66" s="1104"/>
      <c r="AD66" s="1106" t="s">
        <v>2903</v>
      </c>
      <c r="AE66" s="1107" t="s">
        <v>2903</v>
      </c>
    </row>
    <row r="67" spans="3:31" x14ac:dyDescent="0.4">
      <c r="C67" s="2835"/>
      <c r="D67" s="1105" t="s">
        <v>2969</v>
      </c>
      <c r="E67" s="1105" t="s">
        <v>2971</v>
      </c>
      <c r="F67" s="1106">
        <v>515570</v>
      </c>
      <c r="G67" s="1106">
        <v>1025242</v>
      </c>
      <c r="H67" s="1105" t="s">
        <v>533</v>
      </c>
      <c r="I67" s="1105" t="s">
        <v>817</v>
      </c>
      <c r="J67" s="1105" t="s">
        <v>2972</v>
      </c>
      <c r="K67" s="1101"/>
      <c r="L67" s="1105" t="s">
        <v>2903</v>
      </c>
      <c r="M67" s="1105" t="s">
        <v>2903</v>
      </c>
      <c r="N67" s="1105" t="s">
        <v>2903</v>
      </c>
      <c r="O67" s="1105" t="s">
        <v>2903</v>
      </c>
      <c r="P67" s="1105" t="s">
        <v>2903</v>
      </c>
      <c r="Q67" s="1102"/>
      <c r="R67" s="1106" t="s">
        <v>2903</v>
      </c>
      <c r="S67" s="1107" t="s">
        <v>2903</v>
      </c>
      <c r="T67" s="1102"/>
      <c r="U67" s="1106" t="s">
        <v>2903</v>
      </c>
      <c r="V67" s="1107" t="s">
        <v>2903</v>
      </c>
      <c r="W67" s="1108"/>
      <c r="X67" s="1106" t="s">
        <v>2903</v>
      </c>
      <c r="Y67" s="1107" t="s">
        <v>2903</v>
      </c>
      <c r="Z67" s="1104"/>
      <c r="AA67" s="1106" t="s">
        <v>2903</v>
      </c>
      <c r="AB67" s="1107" t="s">
        <v>2903</v>
      </c>
      <c r="AC67" s="1104"/>
      <c r="AD67" s="1106" t="s">
        <v>2903</v>
      </c>
      <c r="AE67" s="1107" t="s">
        <v>2903</v>
      </c>
    </row>
    <row r="68" spans="3:31" x14ac:dyDescent="0.4">
      <c r="C68" s="2838" t="s">
        <v>821</v>
      </c>
      <c r="D68" s="1099" t="s">
        <v>2973</v>
      </c>
      <c r="E68" s="1099" t="s">
        <v>2974</v>
      </c>
      <c r="F68" s="1100">
        <v>507465</v>
      </c>
      <c r="G68" s="1100">
        <v>1066603</v>
      </c>
      <c r="H68" s="1099" t="s">
        <v>328</v>
      </c>
      <c r="I68" s="1099" t="s">
        <v>767</v>
      </c>
      <c r="J68" s="1099" t="s">
        <v>2975</v>
      </c>
      <c r="K68" s="1101"/>
      <c r="L68" s="1099" t="s">
        <v>2903</v>
      </c>
      <c r="M68" s="1099" t="s">
        <v>2903</v>
      </c>
      <c r="N68" s="1099" t="s">
        <v>2903</v>
      </c>
      <c r="O68" s="1099" t="s">
        <v>2903</v>
      </c>
      <c r="P68" s="1099" t="s">
        <v>2903</v>
      </c>
      <c r="Q68" s="1102"/>
      <c r="R68" s="1100" t="s">
        <v>2903</v>
      </c>
      <c r="S68" s="1103" t="s">
        <v>2903</v>
      </c>
      <c r="T68" s="1102"/>
      <c r="U68" s="1100" t="s">
        <v>2903</v>
      </c>
      <c r="V68" s="1103" t="s">
        <v>2903</v>
      </c>
      <c r="W68" s="1108"/>
      <c r="X68" s="1100" t="s">
        <v>2903</v>
      </c>
      <c r="Y68" s="1103" t="s">
        <v>2903</v>
      </c>
      <c r="Z68" s="1104"/>
      <c r="AA68" s="1100" t="s">
        <v>2903</v>
      </c>
      <c r="AB68" s="1103" t="s">
        <v>2903</v>
      </c>
      <c r="AC68" s="1104"/>
      <c r="AD68" s="1100" t="s">
        <v>2903</v>
      </c>
      <c r="AE68" s="1103" t="s">
        <v>2903</v>
      </c>
    </row>
    <row r="69" spans="3:31" x14ac:dyDescent="0.4">
      <c r="C69" s="2838"/>
      <c r="D69" s="1099" t="s">
        <v>2973</v>
      </c>
      <c r="E69" s="1099" t="s">
        <v>2976</v>
      </c>
      <c r="F69" s="1100">
        <v>494664</v>
      </c>
      <c r="G69" s="1100">
        <v>1067818</v>
      </c>
      <c r="H69" s="1099" t="s">
        <v>328</v>
      </c>
      <c r="I69" s="1099" t="s">
        <v>755</v>
      </c>
      <c r="J69" s="1099" t="s">
        <v>2977</v>
      </c>
      <c r="K69" s="1101"/>
      <c r="L69" s="1099" t="s">
        <v>2903</v>
      </c>
      <c r="M69" s="1099" t="s">
        <v>2903</v>
      </c>
      <c r="N69" s="1099" t="s">
        <v>2903</v>
      </c>
      <c r="O69" s="1099" t="s">
        <v>2903</v>
      </c>
      <c r="P69" s="1099" t="s">
        <v>2903</v>
      </c>
      <c r="Q69" s="1102"/>
      <c r="R69" s="1100" t="s">
        <v>2903</v>
      </c>
      <c r="S69" s="1103" t="s">
        <v>2903</v>
      </c>
      <c r="T69" s="1102"/>
      <c r="U69" s="1100" t="s">
        <v>2903</v>
      </c>
      <c r="V69" s="1103" t="s">
        <v>2903</v>
      </c>
      <c r="W69" s="1108"/>
      <c r="X69" s="1100" t="s">
        <v>2903</v>
      </c>
      <c r="Y69" s="1103" t="s">
        <v>2903</v>
      </c>
      <c r="Z69" s="1104"/>
      <c r="AA69" s="1100" t="s">
        <v>2903</v>
      </c>
      <c r="AB69" s="1103" t="s">
        <v>2903</v>
      </c>
      <c r="AC69" s="1104"/>
      <c r="AD69" s="1100" t="s">
        <v>2903</v>
      </c>
      <c r="AE69" s="1103" t="s">
        <v>2903</v>
      </c>
    </row>
    <row r="70" spans="3:31" x14ac:dyDescent="0.4">
      <c r="C70" s="2838"/>
      <c r="D70" s="1099" t="s">
        <v>2973</v>
      </c>
      <c r="E70" s="1099" t="s">
        <v>2978</v>
      </c>
      <c r="F70" s="1100">
        <v>470906</v>
      </c>
      <c r="G70" s="1100">
        <v>1067483</v>
      </c>
      <c r="H70" s="1099" t="s">
        <v>328</v>
      </c>
      <c r="I70" s="1099" t="s">
        <v>762</v>
      </c>
      <c r="J70" s="1099" t="s">
        <v>2979</v>
      </c>
      <c r="K70" s="1101"/>
      <c r="L70" s="1099" t="s">
        <v>2903</v>
      </c>
      <c r="M70" s="1099" t="s">
        <v>2903</v>
      </c>
      <c r="N70" s="1099" t="s">
        <v>2903</v>
      </c>
      <c r="O70" s="1099" t="s">
        <v>2903</v>
      </c>
      <c r="P70" s="1099" t="s">
        <v>2903</v>
      </c>
      <c r="Q70" s="1102"/>
      <c r="R70" s="1100" t="s">
        <v>2903</v>
      </c>
      <c r="S70" s="1103" t="s">
        <v>2903</v>
      </c>
      <c r="T70" s="1102"/>
      <c r="U70" s="1100" t="s">
        <v>2903</v>
      </c>
      <c r="V70" s="1103" t="s">
        <v>2903</v>
      </c>
      <c r="W70" s="1108"/>
      <c r="X70" s="1100" t="s">
        <v>2903</v>
      </c>
      <c r="Y70" s="1103" t="s">
        <v>2903</v>
      </c>
      <c r="Z70" s="1104"/>
      <c r="AA70" s="1100" t="s">
        <v>2903</v>
      </c>
      <c r="AB70" s="1103" t="s">
        <v>2903</v>
      </c>
      <c r="AC70" s="1104"/>
      <c r="AD70" s="1100" t="s">
        <v>2903</v>
      </c>
      <c r="AE70" s="1103" t="s">
        <v>2903</v>
      </c>
    </row>
    <row r="71" spans="3:31" x14ac:dyDescent="0.4">
      <c r="C71" s="2838"/>
      <c r="D71" s="1099" t="s">
        <v>2980</v>
      </c>
      <c r="E71" s="1099" t="s">
        <v>2981</v>
      </c>
      <c r="F71" s="1100">
        <v>479275</v>
      </c>
      <c r="G71" s="1100">
        <v>1081225</v>
      </c>
      <c r="H71" s="1099" t="s">
        <v>328</v>
      </c>
      <c r="I71" s="1099" t="s">
        <v>762</v>
      </c>
      <c r="J71" s="1099" t="s">
        <v>2982</v>
      </c>
      <c r="K71" s="1101"/>
      <c r="L71" s="1099" t="s">
        <v>2903</v>
      </c>
      <c r="M71" s="1099" t="s">
        <v>2903</v>
      </c>
      <c r="N71" s="1099" t="s">
        <v>2903</v>
      </c>
      <c r="O71" s="1099" t="s">
        <v>2903</v>
      </c>
      <c r="P71" s="1099" t="s">
        <v>2903</v>
      </c>
      <c r="Q71" s="1102"/>
      <c r="R71" s="1100" t="s">
        <v>2903</v>
      </c>
      <c r="S71" s="1103" t="s">
        <v>2903</v>
      </c>
      <c r="T71" s="1102"/>
      <c r="U71" s="1100" t="s">
        <v>2903</v>
      </c>
      <c r="V71" s="1103" t="s">
        <v>2903</v>
      </c>
      <c r="W71" s="1108"/>
      <c r="X71" s="1100" t="s">
        <v>2903</v>
      </c>
      <c r="Y71" s="1103" t="s">
        <v>2903</v>
      </c>
      <c r="Z71" s="1104"/>
      <c r="AA71" s="1100" t="s">
        <v>2903</v>
      </c>
      <c r="AB71" s="1103" t="s">
        <v>2903</v>
      </c>
      <c r="AC71" s="1104"/>
      <c r="AD71" s="1100" t="s">
        <v>2903</v>
      </c>
      <c r="AE71" s="1103" t="s">
        <v>2903</v>
      </c>
    </row>
    <row r="72" spans="3:31" x14ac:dyDescent="0.4">
      <c r="C72" s="2838"/>
      <c r="D72" s="1099" t="s">
        <v>2980</v>
      </c>
      <c r="E72" s="1099" t="s">
        <v>2983</v>
      </c>
      <c r="F72" s="1100">
        <v>464126</v>
      </c>
      <c r="G72" s="1100">
        <v>1080033</v>
      </c>
      <c r="H72" s="1099" t="s">
        <v>328</v>
      </c>
      <c r="I72" s="1099" t="s">
        <v>762</v>
      </c>
      <c r="J72" s="1099" t="s">
        <v>2979</v>
      </c>
      <c r="K72" s="1101"/>
      <c r="L72" s="1099" t="s">
        <v>2903</v>
      </c>
      <c r="M72" s="1099" t="s">
        <v>2903</v>
      </c>
      <c r="N72" s="1099" t="s">
        <v>2903</v>
      </c>
      <c r="O72" s="1099" t="s">
        <v>2903</v>
      </c>
      <c r="P72" s="1099" t="s">
        <v>2903</v>
      </c>
      <c r="Q72" s="1102"/>
      <c r="R72" s="1100" t="s">
        <v>2903</v>
      </c>
      <c r="S72" s="1103" t="s">
        <v>2903</v>
      </c>
      <c r="T72" s="1102"/>
      <c r="U72" s="1100" t="s">
        <v>2903</v>
      </c>
      <c r="V72" s="1103" t="s">
        <v>2903</v>
      </c>
      <c r="W72" s="1108"/>
      <c r="X72" s="1100" t="s">
        <v>2903</v>
      </c>
      <c r="Y72" s="1103" t="s">
        <v>2903</v>
      </c>
      <c r="Z72" s="1104"/>
      <c r="AA72" s="1100" t="s">
        <v>2903</v>
      </c>
      <c r="AB72" s="1103" t="s">
        <v>2903</v>
      </c>
      <c r="AC72" s="1104"/>
      <c r="AD72" s="1100" t="s">
        <v>2903</v>
      </c>
      <c r="AE72" s="1103" t="s">
        <v>2903</v>
      </c>
    </row>
    <row r="73" spans="3:31" x14ac:dyDescent="0.4">
      <c r="C73" s="2833" t="s">
        <v>2984</v>
      </c>
      <c r="D73" s="1117" t="s">
        <v>2985</v>
      </c>
      <c r="E73" s="1117" t="s">
        <v>2986</v>
      </c>
      <c r="F73" s="1118">
        <v>521484</v>
      </c>
      <c r="G73" s="1118">
        <v>1056755</v>
      </c>
      <c r="H73" s="1117" t="s">
        <v>328</v>
      </c>
      <c r="I73" s="1117" t="s">
        <v>767</v>
      </c>
      <c r="J73" s="1117" t="s">
        <v>2987</v>
      </c>
      <c r="K73" s="1111"/>
      <c r="L73" s="1117">
        <v>5</v>
      </c>
      <c r="M73" s="1117">
        <v>4</v>
      </c>
      <c r="N73" s="1117">
        <v>1</v>
      </c>
      <c r="O73" s="1119">
        <v>80</v>
      </c>
      <c r="P73" s="1119">
        <v>1</v>
      </c>
      <c r="Q73" s="1112"/>
      <c r="R73" s="1118">
        <v>18.3</v>
      </c>
      <c r="S73" s="1120" t="s">
        <v>2903</v>
      </c>
      <c r="T73" s="1112"/>
      <c r="U73" s="1118">
        <v>96.8</v>
      </c>
      <c r="V73" s="1120" t="s">
        <v>2903</v>
      </c>
      <c r="W73" s="1108"/>
      <c r="X73" s="1118">
        <v>0.15</v>
      </c>
      <c r="Y73" s="1120" t="s">
        <v>2903</v>
      </c>
      <c r="Z73" s="1108"/>
      <c r="AA73" s="1118">
        <v>7.63</v>
      </c>
      <c r="AB73" s="1120" t="s">
        <v>2903</v>
      </c>
      <c r="AC73" s="1104"/>
      <c r="AD73" s="1118">
        <v>3.4</v>
      </c>
      <c r="AE73" s="1120" t="s">
        <v>2903</v>
      </c>
    </row>
    <row r="74" spans="3:31" x14ac:dyDescent="0.4">
      <c r="C74" s="2833"/>
      <c r="D74" s="1117" t="s">
        <v>2985</v>
      </c>
      <c r="E74" s="1117" t="s">
        <v>2988</v>
      </c>
      <c r="F74" s="1118">
        <v>520293</v>
      </c>
      <c r="G74" s="1118">
        <v>1055374</v>
      </c>
      <c r="H74" s="1117" t="s">
        <v>328</v>
      </c>
      <c r="I74" s="1117" t="s">
        <v>767</v>
      </c>
      <c r="J74" s="1117" t="s">
        <v>2987</v>
      </c>
      <c r="K74" s="1111"/>
      <c r="L74" s="1117">
        <v>5</v>
      </c>
      <c r="M74" s="1117">
        <v>4</v>
      </c>
      <c r="N74" s="1117">
        <v>1</v>
      </c>
      <c r="O74" s="1119">
        <v>80</v>
      </c>
      <c r="P74" s="1119">
        <v>1</v>
      </c>
      <c r="Q74" s="1112"/>
      <c r="R74" s="1118">
        <v>15.9</v>
      </c>
      <c r="S74" s="1120" t="s">
        <v>2903</v>
      </c>
      <c r="T74" s="1112"/>
      <c r="U74" s="1118">
        <v>97</v>
      </c>
      <c r="V74" s="1120" t="s">
        <v>2903</v>
      </c>
      <c r="W74" s="1108"/>
      <c r="X74" s="1118">
        <v>0.17</v>
      </c>
      <c r="Y74" s="1120" t="s">
        <v>2903</v>
      </c>
      <c r="Z74" s="1108"/>
      <c r="AA74" s="1118">
        <v>7.27</v>
      </c>
      <c r="AB74" s="1120" t="s">
        <v>2903</v>
      </c>
      <c r="AC74" s="1104"/>
      <c r="AD74" s="1118">
        <v>3.4</v>
      </c>
      <c r="AE74" s="1120" t="s">
        <v>2903</v>
      </c>
    </row>
    <row r="75" spans="3:31" x14ac:dyDescent="0.4">
      <c r="C75" s="2833"/>
      <c r="D75" s="1117" t="s">
        <v>2985</v>
      </c>
      <c r="E75" s="1117" t="s">
        <v>2989</v>
      </c>
      <c r="F75" s="1118">
        <v>504072</v>
      </c>
      <c r="G75" s="1118">
        <v>1043116</v>
      </c>
      <c r="H75" s="1117" t="s">
        <v>533</v>
      </c>
      <c r="I75" s="1117" t="s">
        <v>818</v>
      </c>
      <c r="J75" s="1117" t="s">
        <v>2984</v>
      </c>
      <c r="K75" s="1111"/>
      <c r="L75" s="1117">
        <v>5</v>
      </c>
      <c r="M75" s="1117">
        <v>4</v>
      </c>
      <c r="N75" s="1117">
        <v>1</v>
      </c>
      <c r="O75" s="1119">
        <v>80</v>
      </c>
      <c r="P75" s="1119">
        <v>1</v>
      </c>
      <c r="Q75" s="1112"/>
      <c r="R75" s="1118">
        <v>2</v>
      </c>
      <c r="S75" s="1120" t="s">
        <v>2903</v>
      </c>
      <c r="T75" s="1112"/>
      <c r="U75" s="1118">
        <v>96.4</v>
      </c>
      <c r="V75" s="1120" t="s">
        <v>2903</v>
      </c>
      <c r="W75" s="1108"/>
      <c r="X75" s="1118">
        <v>0.11</v>
      </c>
      <c r="Y75" s="1120" t="s">
        <v>2903</v>
      </c>
      <c r="Z75" s="1108"/>
      <c r="AA75" s="1118">
        <v>6.9</v>
      </c>
      <c r="AB75" s="1120" t="s">
        <v>2903</v>
      </c>
      <c r="AC75" s="1104"/>
      <c r="AD75" s="1118">
        <v>54.7</v>
      </c>
      <c r="AE75" s="1120" t="s">
        <v>2903</v>
      </c>
    </row>
    <row r="76" spans="3:31" x14ac:dyDescent="0.4">
      <c r="C76" s="2833"/>
      <c r="D76" s="1117" t="s">
        <v>2985</v>
      </c>
      <c r="E76" s="1117" t="s">
        <v>2990</v>
      </c>
      <c r="F76" s="1118">
        <v>495894</v>
      </c>
      <c r="G76" s="1118">
        <v>1037499</v>
      </c>
      <c r="H76" s="1117" t="s">
        <v>533</v>
      </c>
      <c r="I76" s="1117" t="s">
        <v>818</v>
      </c>
      <c r="J76" s="1117" t="s">
        <v>2984</v>
      </c>
      <c r="K76" s="1111"/>
      <c r="L76" s="1117">
        <v>5</v>
      </c>
      <c r="M76" s="1117">
        <v>4</v>
      </c>
      <c r="N76" s="1117">
        <v>1</v>
      </c>
      <c r="O76" s="1119">
        <v>80</v>
      </c>
      <c r="P76" s="1119">
        <v>1</v>
      </c>
      <c r="Q76" s="1112"/>
      <c r="R76" s="1118">
        <v>2</v>
      </c>
      <c r="S76" s="1120" t="s">
        <v>2903</v>
      </c>
      <c r="T76" s="1112"/>
      <c r="U76" s="1118">
        <v>94.3</v>
      </c>
      <c r="V76" s="1120" t="s">
        <v>2903</v>
      </c>
      <c r="W76" s="1108"/>
      <c r="X76" s="1118">
        <v>0.11</v>
      </c>
      <c r="Y76" s="1120" t="s">
        <v>2903</v>
      </c>
      <c r="Z76" s="1108"/>
      <c r="AA76" s="1118">
        <v>6.93</v>
      </c>
      <c r="AB76" s="1120" t="s">
        <v>2903</v>
      </c>
      <c r="AC76" s="1104"/>
      <c r="AD76" s="1118">
        <v>82</v>
      </c>
      <c r="AE76" s="1120" t="s">
        <v>2903</v>
      </c>
    </row>
    <row r="77" spans="3:31" x14ac:dyDescent="0.4">
      <c r="C77" s="2833"/>
      <c r="D77" s="1117" t="s">
        <v>2991</v>
      </c>
      <c r="E77" s="1117" t="s">
        <v>2992</v>
      </c>
      <c r="F77" s="1118">
        <v>526378</v>
      </c>
      <c r="G77" s="1118">
        <v>1049217</v>
      </c>
      <c r="H77" s="1117" t="s">
        <v>328</v>
      </c>
      <c r="I77" s="1117" t="s">
        <v>2993</v>
      </c>
      <c r="J77" s="1117" t="s">
        <v>2994</v>
      </c>
      <c r="K77" s="1111"/>
      <c r="L77" s="1117">
        <v>5</v>
      </c>
      <c r="M77" s="1117">
        <v>4</v>
      </c>
      <c r="N77" s="1117">
        <v>1</v>
      </c>
      <c r="O77" s="1119">
        <v>80</v>
      </c>
      <c r="P77" s="1119">
        <v>1</v>
      </c>
      <c r="Q77" s="1112"/>
      <c r="R77" s="1118">
        <v>16.2</v>
      </c>
      <c r="S77" s="1120" t="s">
        <v>2903</v>
      </c>
      <c r="T77" s="1112"/>
      <c r="U77" s="1118">
        <v>95</v>
      </c>
      <c r="V77" s="1120" t="s">
        <v>2903</v>
      </c>
      <c r="W77" s="1108"/>
      <c r="X77" s="1118">
        <v>7.0000000000000007E-2</v>
      </c>
      <c r="Y77" s="1120" t="s">
        <v>2903</v>
      </c>
      <c r="Z77" s="1108"/>
      <c r="AA77" s="1118">
        <v>7.55</v>
      </c>
      <c r="AB77" s="1120" t="s">
        <v>2903</v>
      </c>
      <c r="AC77" s="1104"/>
      <c r="AD77" s="1118">
        <v>20.86</v>
      </c>
      <c r="AE77" s="1120" t="s">
        <v>2903</v>
      </c>
    </row>
    <row r="78" spans="3:31" x14ac:dyDescent="0.4">
      <c r="C78" s="2833"/>
      <c r="D78" s="1121" t="s">
        <v>2985</v>
      </c>
      <c r="E78" s="1121" t="s">
        <v>2995</v>
      </c>
      <c r="F78" s="1122">
        <v>495005</v>
      </c>
      <c r="G78" s="1122">
        <v>1041790</v>
      </c>
      <c r="H78" s="1121" t="s">
        <v>533</v>
      </c>
      <c r="I78" s="1121" t="s">
        <v>818</v>
      </c>
      <c r="J78" s="1121" t="s">
        <v>2909</v>
      </c>
      <c r="K78" s="1101"/>
      <c r="L78" s="1121" t="s">
        <v>2903</v>
      </c>
      <c r="M78" s="1121" t="s">
        <v>2903</v>
      </c>
      <c r="N78" s="1121" t="s">
        <v>2903</v>
      </c>
      <c r="O78" s="1123" t="s">
        <v>2903</v>
      </c>
      <c r="P78" s="1123" t="s">
        <v>2903</v>
      </c>
      <c r="Q78" s="1102"/>
      <c r="R78" s="1122" t="s">
        <v>2903</v>
      </c>
      <c r="S78" s="1124" t="s">
        <v>2903</v>
      </c>
      <c r="T78" s="1102"/>
      <c r="U78" s="1122" t="s">
        <v>2903</v>
      </c>
      <c r="V78" s="1124" t="s">
        <v>2903</v>
      </c>
      <c r="W78" s="1104"/>
      <c r="X78" s="1122" t="s">
        <v>2903</v>
      </c>
      <c r="Y78" s="1124" t="s">
        <v>2903</v>
      </c>
      <c r="Z78" s="1104"/>
      <c r="AA78" s="1122" t="s">
        <v>2903</v>
      </c>
      <c r="AB78" s="1124" t="s">
        <v>2903</v>
      </c>
      <c r="AC78" s="1104"/>
      <c r="AD78" s="1122" t="s">
        <v>2903</v>
      </c>
      <c r="AE78" s="1124" t="s">
        <v>2903</v>
      </c>
    </row>
    <row r="79" spans="3:31" x14ac:dyDescent="0.4">
      <c r="C79" s="2832" t="s">
        <v>2996</v>
      </c>
      <c r="D79" s="1125" t="s">
        <v>2997</v>
      </c>
      <c r="E79" s="1126" t="s">
        <v>2998</v>
      </c>
      <c r="F79" s="1127">
        <v>506672</v>
      </c>
      <c r="G79" s="1127">
        <v>1092705</v>
      </c>
      <c r="H79" s="1125" t="s">
        <v>330</v>
      </c>
      <c r="I79" s="1126" t="s">
        <v>330</v>
      </c>
      <c r="J79" s="1126" t="s">
        <v>2999</v>
      </c>
      <c r="K79" s="1128"/>
      <c r="L79" s="1126" t="s">
        <v>2903</v>
      </c>
      <c r="M79" s="1126" t="s">
        <v>2903</v>
      </c>
      <c r="N79" s="1126" t="s">
        <v>2903</v>
      </c>
      <c r="O79" s="1129" t="s">
        <v>2903</v>
      </c>
      <c r="P79" s="1126" t="s">
        <v>2903</v>
      </c>
      <c r="Q79" s="1130"/>
      <c r="R79" s="1127" t="s">
        <v>2903</v>
      </c>
      <c r="S79" s="1131" t="s">
        <v>2903</v>
      </c>
      <c r="T79" s="1132"/>
      <c r="U79" s="1127" t="s">
        <v>2903</v>
      </c>
      <c r="V79" s="1131" t="s">
        <v>2903</v>
      </c>
      <c r="W79" s="1133"/>
      <c r="X79" s="1127" t="s">
        <v>2903</v>
      </c>
      <c r="Y79" s="1131" t="s">
        <v>2903</v>
      </c>
      <c r="Z79" s="1133"/>
      <c r="AA79" s="1127" t="s">
        <v>2903</v>
      </c>
      <c r="AB79" s="1131" t="s">
        <v>2903</v>
      </c>
      <c r="AC79" s="1133"/>
      <c r="AD79" s="1127" t="s">
        <v>2903</v>
      </c>
      <c r="AE79" s="1131" t="s">
        <v>2903</v>
      </c>
    </row>
    <row r="80" spans="3:31" x14ac:dyDescent="0.4">
      <c r="C80" s="2847"/>
      <c r="D80" s="1125" t="s">
        <v>3000</v>
      </c>
      <c r="E80" s="1126" t="s">
        <v>3001</v>
      </c>
      <c r="F80" s="1127">
        <v>499319</v>
      </c>
      <c r="G80" s="1127">
        <v>1087031</v>
      </c>
      <c r="H80" s="1125" t="s">
        <v>330</v>
      </c>
      <c r="I80" s="1126" t="s">
        <v>330</v>
      </c>
      <c r="J80" s="1126" t="s">
        <v>3002</v>
      </c>
      <c r="K80" s="1128"/>
      <c r="L80" s="1126" t="s">
        <v>2903</v>
      </c>
      <c r="M80" s="1126" t="s">
        <v>2903</v>
      </c>
      <c r="N80" s="1126" t="s">
        <v>2903</v>
      </c>
      <c r="O80" s="1129" t="s">
        <v>2903</v>
      </c>
      <c r="P80" s="1126" t="s">
        <v>2903</v>
      </c>
      <c r="Q80" s="1130"/>
      <c r="R80" s="1127" t="s">
        <v>2903</v>
      </c>
      <c r="S80" s="1131" t="s">
        <v>2903</v>
      </c>
      <c r="T80" s="1132"/>
      <c r="U80" s="1127" t="s">
        <v>2903</v>
      </c>
      <c r="V80" s="1131" t="s">
        <v>2903</v>
      </c>
      <c r="W80" s="1133"/>
      <c r="X80" s="1127" t="s">
        <v>2903</v>
      </c>
      <c r="Y80" s="1131" t="s">
        <v>2903</v>
      </c>
      <c r="Z80" s="1133"/>
      <c r="AA80" s="1127" t="s">
        <v>2903</v>
      </c>
      <c r="AB80" s="1131" t="s">
        <v>2903</v>
      </c>
      <c r="AC80" s="1133"/>
      <c r="AD80" s="1127" t="s">
        <v>2903</v>
      </c>
      <c r="AE80" s="1131" t="s">
        <v>2903</v>
      </c>
    </row>
    <row r="81" spans="3:31" x14ac:dyDescent="0.4">
      <c r="C81" s="2847"/>
      <c r="D81" s="1125" t="s">
        <v>3000</v>
      </c>
      <c r="E81" s="1126" t="s">
        <v>3003</v>
      </c>
      <c r="F81" s="1127">
        <v>505246</v>
      </c>
      <c r="G81" s="1127">
        <v>1087450</v>
      </c>
      <c r="H81" s="1125" t="s">
        <v>330</v>
      </c>
      <c r="I81" s="1126" t="s">
        <v>793</v>
      </c>
      <c r="J81" s="1126" t="s">
        <v>798</v>
      </c>
      <c r="K81" s="1134"/>
      <c r="L81" s="1126" t="s">
        <v>2903</v>
      </c>
      <c r="M81" s="1126" t="s">
        <v>2903</v>
      </c>
      <c r="N81" s="1126" t="s">
        <v>2903</v>
      </c>
      <c r="O81" s="1129" t="s">
        <v>2903</v>
      </c>
      <c r="P81" s="1126" t="s">
        <v>2903</v>
      </c>
      <c r="Q81" s="1130"/>
      <c r="R81" s="1127" t="s">
        <v>2903</v>
      </c>
      <c r="S81" s="1131" t="s">
        <v>2903</v>
      </c>
      <c r="T81" s="1132"/>
      <c r="U81" s="1127" t="s">
        <v>2903</v>
      </c>
      <c r="V81" s="1131" t="s">
        <v>2903</v>
      </c>
      <c r="W81" s="1133"/>
      <c r="X81" s="1127" t="s">
        <v>2903</v>
      </c>
      <c r="Y81" s="1131" t="s">
        <v>2903</v>
      </c>
      <c r="Z81" s="1133"/>
      <c r="AA81" s="1127" t="s">
        <v>2903</v>
      </c>
      <c r="AB81" s="1131" t="s">
        <v>2903</v>
      </c>
      <c r="AC81" s="1133"/>
      <c r="AD81" s="1127" t="s">
        <v>2903</v>
      </c>
      <c r="AE81" s="1131" t="s">
        <v>2903</v>
      </c>
    </row>
    <row r="82" spans="3:31" x14ac:dyDescent="0.4">
      <c r="C82" s="2847"/>
      <c r="D82" s="1125" t="s">
        <v>3004</v>
      </c>
      <c r="E82" s="1126" t="s">
        <v>3005</v>
      </c>
      <c r="F82" s="1127">
        <v>514164</v>
      </c>
      <c r="G82" s="1127">
        <v>1084516</v>
      </c>
      <c r="H82" s="1125" t="s">
        <v>330</v>
      </c>
      <c r="I82" s="1126" t="s">
        <v>330</v>
      </c>
      <c r="J82" s="1126" t="s">
        <v>3006</v>
      </c>
      <c r="K82" s="1134"/>
      <c r="L82" s="1126" t="s">
        <v>2903</v>
      </c>
      <c r="M82" s="1126" t="s">
        <v>2903</v>
      </c>
      <c r="N82" s="1126" t="s">
        <v>2903</v>
      </c>
      <c r="O82" s="1129" t="s">
        <v>2903</v>
      </c>
      <c r="P82" s="1126" t="s">
        <v>2903</v>
      </c>
      <c r="Q82" s="1130"/>
      <c r="R82" s="1127" t="s">
        <v>2903</v>
      </c>
      <c r="S82" s="1131" t="s">
        <v>2903</v>
      </c>
      <c r="T82" s="1132"/>
      <c r="U82" s="1127" t="s">
        <v>2903</v>
      </c>
      <c r="V82" s="1131" t="s">
        <v>2903</v>
      </c>
      <c r="W82" s="1133"/>
      <c r="X82" s="1127" t="s">
        <v>2903</v>
      </c>
      <c r="Y82" s="1131" t="s">
        <v>2903</v>
      </c>
      <c r="Z82" s="1133"/>
      <c r="AA82" s="1127" t="s">
        <v>2903</v>
      </c>
      <c r="AB82" s="1131" t="s">
        <v>2903</v>
      </c>
      <c r="AC82" s="1133"/>
      <c r="AD82" s="1127" t="s">
        <v>2903</v>
      </c>
      <c r="AE82" s="1131" t="s">
        <v>2903</v>
      </c>
    </row>
    <row r="83" spans="3:31" ht="25.5" x14ac:dyDescent="0.4">
      <c r="C83" s="2847"/>
      <c r="D83" s="1125" t="s">
        <v>3007</v>
      </c>
      <c r="E83" s="1126" t="s">
        <v>3008</v>
      </c>
      <c r="F83" s="1127">
        <v>516802</v>
      </c>
      <c r="G83" s="1127">
        <v>1082234</v>
      </c>
      <c r="H83" s="1125" t="s">
        <v>330</v>
      </c>
      <c r="I83" s="1126" t="s">
        <v>787</v>
      </c>
      <c r="J83" s="1126" t="s">
        <v>3009</v>
      </c>
      <c r="K83" s="1134"/>
      <c r="L83" s="1126" t="s">
        <v>2903</v>
      </c>
      <c r="M83" s="1126" t="s">
        <v>2903</v>
      </c>
      <c r="N83" s="1126" t="s">
        <v>2903</v>
      </c>
      <c r="O83" s="1129" t="s">
        <v>2903</v>
      </c>
      <c r="P83" s="1126" t="s">
        <v>2903</v>
      </c>
      <c r="Q83" s="1130"/>
      <c r="R83" s="1127" t="s">
        <v>2903</v>
      </c>
      <c r="S83" s="1131" t="s">
        <v>2903</v>
      </c>
      <c r="T83" s="1132"/>
      <c r="U83" s="1127" t="s">
        <v>2903</v>
      </c>
      <c r="V83" s="1131" t="s">
        <v>2903</v>
      </c>
      <c r="W83" s="1133"/>
      <c r="X83" s="1127" t="s">
        <v>2903</v>
      </c>
      <c r="Y83" s="1131" t="s">
        <v>2903</v>
      </c>
      <c r="Z83" s="1133"/>
      <c r="AA83" s="1127" t="s">
        <v>2903</v>
      </c>
      <c r="AB83" s="1131" t="s">
        <v>2903</v>
      </c>
      <c r="AC83" s="1133"/>
      <c r="AD83" s="1127" t="s">
        <v>2903</v>
      </c>
      <c r="AE83" s="1131" t="s">
        <v>2903</v>
      </c>
    </row>
    <row r="84" spans="3:31" x14ac:dyDescent="0.4">
      <c r="C84" s="2847"/>
      <c r="D84" s="1125" t="s">
        <v>3010</v>
      </c>
      <c r="E84" s="1126" t="s">
        <v>3011</v>
      </c>
      <c r="F84" s="1127">
        <v>534974.92869600002</v>
      </c>
      <c r="G84" s="1127">
        <v>1087583.00351</v>
      </c>
      <c r="H84" s="1125" t="s">
        <v>330</v>
      </c>
      <c r="I84" s="1126" t="s">
        <v>789</v>
      </c>
      <c r="J84" s="1126" t="s">
        <v>3012</v>
      </c>
      <c r="K84" s="1134"/>
      <c r="L84" s="1126" t="s">
        <v>2903</v>
      </c>
      <c r="M84" s="1126" t="s">
        <v>2903</v>
      </c>
      <c r="N84" s="1126" t="s">
        <v>2903</v>
      </c>
      <c r="O84" s="1129" t="s">
        <v>2903</v>
      </c>
      <c r="P84" s="1126" t="s">
        <v>2903</v>
      </c>
      <c r="Q84" s="1130"/>
      <c r="R84" s="1127" t="s">
        <v>2903</v>
      </c>
      <c r="S84" s="1131" t="s">
        <v>2903</v>
      </c>
      <c r="T84" s="1132"/>
      <c r="U84" s="1127" t="s">
        <v>2903</v>
      </c>
      <c r="V84" s="1131" t="s">
        <v>2903</v>
      </c>
      <c r="W84" s="1133"/>
      <c r="X84" s="1127" t="s">
        <v>2903</v>
      </c>
      <c r="Y84" s="1131" t="s">
        <v>2903</v>
      </c>
      <c r="Z84" s="1133"/>
      <c r="AA84" s="1127" t="s">
        <v>2903</v>
      </c>
      <c r="AB84" s="1131" t="s">
        <v>2903</v>
      </c>
      <c r="AC84" s="1133"/>
      <c r="AD84" s="1127" t="s">
        <v>2903</v>
      </c>
      <c r="AE84" s="1131" t="s">
        <v>2903</v>
      </c>
    </row>
    <row r="85" spans="3:31" x14ac:dyDescent="0.4">
      <c r="C85" s="2847"/>
      <c r="D85" s="1125" t="s">
        <v>3013</v>
      </c>
      <c r="E85" s="1126" t="s">
        <v>3014</v>
      </c>
      <c r="F85" s="1127">
        <v>538084.02751199994</v>
      </c>
      <c r="G85" s="1127">
        <v>1087094.59916</v>
      </c>
      <c r="H85" s="1125" t="s">
        <v>330</v>
      </c>
      <c r="I85" s="1126" t="s">
        <v>790</v>
      </c>
      <c r="J85" s="1126" t="s">
        <v>3015</v>
      </c>
      <c r="K85" s="1134"/>
      <c r="L85" s="1126" t="s">
        <v>2903</v>
      </c>
      <c r="M85" s="1126" t="s">
        <v>2903</v>
      </c>
      <c r="N85" s="1126" t="s">
        <v>2903</v>
      </c>
      <c r="O85" s="1129" t="s">
        <v>2903</v>
      </c>
      <c r="P85" s="1126" t="s">
        <v>2903</v>
      </c>
      <c r="Q85" s="1130"/>
      <c r="R85" s="1127" t="s">
        <v>2903</v>
      </c>
      <c r="S85" s="1131" t="s">
        <v>2903</v>
      </c>
      <c r="T85" s="1132"/>
      <c r="U85" s="1127" t="s">
        <v>2903</v>
      </c>
      <c r="V85" s="1131" t="s">
        <v>2903</v>
      </c>
      <c r="W85" s="1133"/>
      <c r="X85" s="1127" t="s">
        <v>2903</v>
      </c>
      <c r="Y85" s="1131" t="s">
        <v>2903</v>
      </c>
      <c r="Z85" s="1133"/>
      <c r="AA85" s="1127" t="s">
        <v>2903</v>
      </c>
      <c r="AB85" s="1131" t="s">
        <v>2903</v>
      </c>
      <c r="AC85" s="1133"/>
      <c r="AD85" s="1127" t="s">
        <v>2903</v>
      </c>
      <c r="AE85" s="1131" t="s">
        <v>2903</v>
      </c>
    </row>
    <row r="86" spans="3:31" x14ac:dyDescent="0.4">
      <c r="C86" s="2847"/>
      <c r="D86" s="1125" t="s">
        <v>3016</v>
      </c>
      <c r="E86" s="1126" t="s">
        <v>3017</v>
      </c>
      <c r="F86" s="1127">
        <v>539801</v>
      </c>
      <c r="G86" s="1127">
        <v>1091071</v>
      </c>
      <c r="H86" s="1125" t="s">
        <v>330</v>
      </c>
      <c r="I86" s="1126" t="s">
        <v>790</v>
      </c>
      <c r="J86" s="1126" t="s">
        <v>3015</v>
      </c>
      <c r="K86" s="1134"/>
      <c r="L86" s="1126" t="s">
        <v>2903</v>
      </c>
      <c r="M86" s="1126" t="s">
        <v>2903</v>
      </c>
      <c r="N86" s="1126" t="s">
        <v>2903</v>
      </c>
      <c r="O86" s="1129" t="s">
        <v>2903</v>
      </c>
      <c r="P86" s="1126" t="s">
        <v>2903</v>
      </c>
      <c r="Q86" s="1130"/>
      <c r="R86" s="1127" t="s">
        <v>2903</v>
      </c>
      <c r="S86" s="1131" t="s">
        <v>2903</v>
      </c>
      <c r="T86" s="1132"/>
      <c r="U86" s="1127" t="s">
        <v>2903</v>
      </c>
      <c r="V86" s="1131" t="s">
        <v>2903</v>
      </c>
      <c r="W86" s="1133"/>
      <c r="X86" s="1127" t="s">
        <v>2903</v>
      </c>
      <c r="Y86" s="1131" t="s">
        <v>2903</v>
      </c>
      <c r="Z86" s="1133"/>
      <c r="AA86" s="1127" t="s">
        <v>2903</v>
      </c>
      <c r="AB86" s="1131" t="s">
        <v>2903</v>
      </c>
      <c r="AC86" s="1133"/>
      <c r="AD86" s="1127" t="s">
        <v>2903</v>
      </c>
      <c r="AE86" s="1131" t="s">
        <v>2903</v>
      </c>
    </row>
    <row r="87" spans="3:31" ht="25.5" x14ac:dyDescent="0.4">
      <c r="C87" s="2847"/>
      <c r="D87" s="1125" t="s">
        <v>3018</v>
      </c>
      <c r="E87" s="1126" t="s">
        <v>3019</v>
      </c>
      <c r="F87" s="1127">
        <v>533672.54728499998</v>
      </c>
      <c r="G87" s="1127">
        <v>1096155.5043899999</v>
      </c>
      <c r="H87" s="1125" t="s">
        <v>330</v>
      </c>
      <c r="I87" s="1126" t="s">
        <v>790</v>
      </c>
      <c r="J87" s="1126" t="s">
        <v>790</v>
      </c>
      <c r="K87" s="1134"/>
      <c r="L87" s="1126" t="s">
        <v>2903</v>
      </c>
      <c r="M87" s="1126" t="s">
        <v>2903</v>
      </c>
      <c r="N87" s="1126" t="s">
        <v>2903</v>
      </c>
      <c r="O87" s="1129" t="s">
        <v>2903</v>
      </c>
      <c r="P87" s="1126" t="s">
        <v>2903</v>
      </c>
      <c r="Q87" s="1130"/>
      <c r="R87" s="1127" t="s">
        <v>2903</v>
      </c>
      <c r="S87" s="1131" t="s">
        <v>2903</v>
      </c>
      <c r="T87" s="1132"/>
      <c r="U87" s="1127" t="s">
        <v>2903</v>
      </c>
      <c r="V87" s="1131" t="s">
        <v>2903</v>
      </c>
      <c r="W87" s="1133"/>
      <c r="X87" s="1127" t="s">
        <v>2903</v>
      </c>
      <c r="Y87" s="1131" t="s">
        <v>2903</v>
      </c>
      <c r="Z87" s="1133"/>
      <c r="AA87" s="1127" t="s">
        <v>2903</v>
      </c>
      <c r="AB87" s="1131" t="s">
        <v>2903</v>
      </c>
      <c r="AC87" s="1133"/>
      <c r="AD87" s="1127" t="s">
        <v>2903</v>
      </c>
      <c r="AE87" s="1131" t="s">
        <v>2903</v>
      </c>
    </row>
    <row r="88" spans="3:31" x14ac:dyDescent="0.4">
      <c r="C88" s="2847"/>
      <c r="D88" s="1125" t="s">
        <v>3020</v>
      </c>
      <c r="E88" s="1126" t="s">
        <v>3021</v>
      </c>
      <c r="F88" s="1127">
        <v>515725</v>
      </c>
      <c r="G88" s="1127">
        <v>1088403</v>
      </c>
      <c r="H88" s="1125" t="s">
        <v>330</v>
      </c>
      <c r="I88" s="1126" t="s">
        <v>787</v>
      </c>
      <c r="J88" s="1126" t="s">
        <v>787</v>
      </c>
      <c r="K88" s="1134"/>
      <c r="L88" s="1126" t="s">
        <v>2903</v>
      </c>
      <c r="M88" s="1126" t="s">
        <v>2903</v>
      </c>
      <c r="N88" s="1126" t="s">
        <v>2903</v>
      </c>
      <c r="O88" s="1129" t="s">
        <v>2903</v>
      </c>
      <c r="P88" s="1126" t="s">
        <v>2903</v>
      </c>
      <c r="Q88" s="1130"/>
      <c r="R88" s="1127" t="s">
        <v>2903</v>
      </c>
      <c r="S88" s="1131" t="s">
        <v>2903</v>
      </c>
      <c r="T88" s="1132"/>
      <c r="U88" s="1127" t="s">
        <v>2903</v>
      </c>
      <c r="V88" s="1131" t="s">
        <v>2903</v>
      </c>
      <c r="W88" s="1133"/>
      <c r="X88" s="1127" t="s">
        <v>2903</v>
      </c>
      <c r="Y88" s="1131" t="s">
        <v>2903</v>
      </c>
      <c r="Z88" s="1133"/>
      <c r="AA88" s="1127" t="s">
        <v>2903</v>
      </c>
      <c r="AB88" s="1131" t="s">
        <v>2903</v>
      </c>
      <c r="AC88" s="1133"/>
      <c r="AD88" s="1127" t="s">
        <v>2903</v>
      </c>
      <c r="AE88" s="1131" t="s">
        <v>2903</v>
      </c>
    </row>
    <row r="89" spans="3:31" x14ac:dyDescent="0.4">
      <c r="C89" s="2847"/>
      <c r="D89" s="1125" t="s">
        <v>3022</v>
      </c>
      <c r="E89" s="1126" t="s">
        <v>3023</v>
      </c>
      <c r="F89" s="1127">
        <v>538321</v>
      </c>
      <c r="G89" s="1127">
        <v>1094946</v>
      </c>
      <c r="H89" s="1125" t="s">
        <v>330</v>
      </c>
      <c r="I89" s="1126" t="s">
        <v>790</v>
      </c>
      <c r="J89" s="1126" t="s">
        <v>790</v>
      </c>
      <c r="K89" s="1128"/>
      <c r="L89" s="1126" t="s">
        <v>2903</v>
      </c>
      <c r="M89" s="1126" t="s">
        <v>2903</v>
      </c>
      <c r="N89" s="1126" t="s">
        <v>2903</v>
      </c>
      <c r="O89" s="1129" t="s">
        <v>2903</v>
      </c>
      <c r="P89" s="1126" t="s">
        <v>2903</v>
      </c>
      <c r="Q89" s="1130"/>
      <c r="R89" s="1127" t="s">
        <v>2903</v>
      </c>
      <c r="S89" s="1131" t="s">
        <v>2903</v>
      </c>
      <c r="T89" s="1132"/>
      <c r="U89" s="1127" t="s">
        <v>2903</v>
      </c>
      <c r="V89" s="1131" t="s">
        <v>2903</v>
      </c>
      <c r="W89" s="1133"/>
      <c r="X89" s="1127" t="s">
        <v>2903</v>
      </c>
      <c r="Y89" s="1131" t="s">
        <v>2903</v>
      </c>
      <c r="Z89" s="1133"/>
      <c r="AA89" s="1127" t="s">
        <v>2903</v>
      </c>
      <c r="AB89" s="1131" t="s">
        <v>2903</v>
      </c>
      <c r="AC89" s="1133"/>
      <c r="AD89" s="1127" t="s">
        <v>2903</v>
      </c>
      <c r="AE89" s="1131" t="s">
        <v>2903</v>
      </c>
    </row>
    <row r="90" spans="3:31" x14ac:dyDescent="0.4">
      <c r="C90" s="2847"/>
      <c r="D90" s="1125" t="s">
        <v>3022</v>
      </c>
      <c r="E90" s="1126" t="s">
        <v>3024</v>
      </c>
      <c r="F90" s="1127">
        <v>551179</v>
      </c>
      <c r="G90" s="1127">
        <v>1117583</v>
      </c>
      <c r="H90" s="1126" t="s">
        <v>334</v>
      </c>
      <c r="I90" s="1126" t="s">
        <v>827</v>
      </c>
      <c r="J90" s="1126" t="s">
        <v>3025</v>
      </c>
      <c r="K90" s="1128"/>
      <c r="L90" s="1126" t="s">
        <v>2903</v>
      </c>
      <c r="M90" s="1126" t="s">
        <v>2903</v>
      </c>
      <c r="N90" s="1126" t="s">
        <v>2903</v>
      </c>
      <c r="O90" s="1129" t="s">
        <v>2903</v>
      </c>
      <c r="P90" s="1126" t="s">
        <v>2903</v>
      </c>
      <c r="Q90" s="1130"/>
      <c r="R90" s="1127" t="s">
        <v>2903</v>
      </c>
      <c r="S90" s="1131" t="s">
        <v>2903</v>
      </c>
      <c r="T90" s="1132"/>
      <c r="U90" s="1127" t="s">
        <v>2903</v>
      </c>
      <c r="V90" s="1131" t="s">
        <v>2903</v>
      </c>
      <c r="W90" s="1133"/>
      <c r="X90" s="1127" t="s">
        <v>2903</v>
      </c>
      <c r="Y90" s="1131" t="s">
        <v>2903</v>
      </c>
      <c r="Z90" s="1133"/>
      <c r="AA90" s="1127" t="s">
        <v>2903</v>
      </c>
      <c r="AB90" s="1131" t="s">
        <v>2903</v>
      </c>
      <c r="AC90" s="1133"/>
      <c r="AD90" s="1127" t="s">
        <v>2903</v>
      </c>
      <c r="AE90" s="1131" t="s">
        <v>2903</v>
      </c>
    </row>
    <row r="91" spans="3:31" x14ac:dyDescent="0.4">
      <c r="C91" s="2847"/>
      <c r="D91" s="1125" t="s">
        <v>3022</v>
      </c>
      <c r="E91" s="1126" t="s">
        <v>3026</v>
      </c>
      <c r="F91" s="1127">
        <v>555993</v>
      </c>
      <c r="G91" s="1127">
        <v>1125844</v>
      </c>
      <c r="H91" s="1126" t="s">
        <v>334</v>
      </c>
      <c r="I91" s="1125" t="s">
        <v>827</v>
      </c>
      <c r="J91" s="1126" t="s">
        <v>3025</v>
      </c>
      <c r="K91" s="1128"/>
      <c r="L91" s="1126" t="s">
        <v>2903</v>
      </c>
      <c r="M91" s="1126" t="s">
        <v>2903</v>
      </c>
      <c r="N91" s="1126" t="s">
        <v>2903</v>
      </c>
      <c r="O91" s="1129" t="s">
        <v>2903</v>
      </c>
      <c r="P91" s="1126" t="s">
        <v>2903</v>
      </c>
      <c r="Q91" s="1130"/>
      <c r="R91" s="1127" t="s">
        <v>2903</v>
      </c>
      <c r="S91" s="1131" t="s">
        <v>2903</v>
      </c>
      <c r="T91" s="1132"/>
      <c r="U91" s="1127" t="s">
        <v>2903</v>
      </c>
      <c r="V91" s="1131" t="s">
        <v>2903</v>
      </c>
      <c r="W91" s="1133"/>
      <c r="X91" s="1127" t="s">
        <v>2903</v>
      </c>
      <c r="Y91" s="1131" t="s">
        <v>2903</v>
      </c>
      <c r="Z91" s="1133"/>
      <c r="AA91" s="1127" t="s">
        <v>2903</v>
      </c>
      <c r="AB91" s="1131" t="s">
        <v>2903</v>
      </c>
      <c r="AC91" s="1133"/>
      <c r="AD91" s="1127" t="s">
        <v>2903</v>
      </c>
      <c r="AE91" s="1131" t="s">
        <v>2903</v>
      </c>
    </row>
    <row r="92" spans="3:31" x14ac:dyDescent="0.4">
      <c r="C92" s="2830" t="s">
        <v>3027</v>
      </c>
      <c r="D92" s="1135" t="s">
        <v>3028</v>
      </c>
      <c r="E92" s="1133" t="s">
        <v>3029</v>
      </c>
      <c r="F92" s="1136">
        <v>564448</v>
      </c>
      <c r="G92" s="1136">
        <v>1114320</v>
      </c>
      <c r="H92" s="1133" t="s">
        <v>334</v>
      </c>
      <c r="I92" s="1133" t="s">
        <v>829</v>
      </c>
      <c r="J92" s="1133" t="s">
        <v>3030</v>
      </c>
      <c r="K92" s="1137"/>
      <c r="L92" s="1138">
        <v>5</v>
      </c>
      <c r="M92" s="1138">
        <v>4</v>
      </c>
      <c r="N92" s="1138">
        <v>1</v>
      </c>
      <c r="O92" s="1139">
        <v>80</v>
      </c>
      <c r="P92" s="1138">
        <v>1</v>
      </c>
      <c r="Q92" s="1140"/>
      <c r="R92" s="1141">
        <v>8.6</v>
      </c>
      <c r="S92" s="1142" t="s">
        <v>2903</v>
      </c>
      <c r="T92" s="1138"/>
      <c r="U92" s="1143">
        <v>96</v>
      </c>
      <c r="V92" s="1142" t="s">
        <v>2903</v>
      </c>
      <c r="W92" s="1138"/>
      <c r="X92" s="1141">
        <v>0.12</v>
      </c>
      <c r="Y92" s="1142" t="s">
        <v>2903</v>
      </c>
      <c r="Z92" s="1138"/>
      <c r="AA92" s="1143">
        <v>7.43</v>
      </c>
      <c r="AB92" s="1142" t="s">
        <v>2903</v>
      </c>
      <c r="AC92" s="1138"/>
      <c r="AD92" s="1143">
        <v>6</v>
      </c>
      <c r="AE92" s="1142" t="s">
        <v>2903</v>
      </c>
    </row>
    <row r="93" spans="3:31" x14ac:dyDescent="0.4">
      <c r="C93" s="2846"/>
      <c r="D93" s="1135" t="s">
        <v>3031</v>
      </c>
      <c r="E93" s="1133" t="s">
        <v>3032</v>
      </c>
      <c r="F93" s="1136">
        <v>569791</v>
      </c>
      <c r="G93" s="1136">
        <v>1121546</v>
      </c>
      <c r="H93" s="1133" t="s">
        <v>334</v>
      </c>
      <c r="I93" s="1133" t="s">
        <v>827</v>
      </c>
      <c r="J93" s="1133" t="s">
        <v>3033</v>
      </c>
      <c r="K93" s="1137"/>
      <c r="L93" s="1138">
        <v>5</v>
      </c>
      <c r="M93" s="1138">
        <v>3</v>
      </c>
      <c r="N93" s="1138">
        <v>2</v>
      </c>
      <c r="O93" s="1139">
        <v>60</v>
      </c>
      <c r="P93" s="1138">
        <v>0</v>
      </c>
      <c r="Q93" s="1140"/>
      <c r="R93" s="1141">
        <v>8.3000000000000007</v>
      </c>
      <c r="S93" s="1142" t="s">
        <v>2903</v>
      </c>
      <c r="T93" s="1138"/>
      <c r="U93" s="1143">
        <v>57.7</v>
      </c>
      <c r="V93" s="1142" t="s">
        <v>2903</v>
      </c>
      <c r="W93" s="1138"/>
      <c r="X93" s="1141">
        <v>0.16</v>
      </c>
      <c r="Y93" s="1142" t="s">
        <v>2903</v>
      </c>
      <c r="Z93" s="1138"/>
      <c r="AA93" s="1143">
        <v>7.8</v>
      </c>
      <c r="AB93" s="1142" t="s">
        <v>2903</v>
      </c>
      <c r="AC93" s="1138"/>
      <c r="AD93" s="1143">
        <v>6</v>
      </c>
      <c r="AE93" s="1142" t="s">
        <v>2903</v>
      </c>
    </row>
    <row r="94" spans="3:31" x14ac:dyDescent="0.4">
      <c r="C94" s="2846"/>
      <c r="D94" s="1135" t="s">
        <v>3028</v>
      </c>
      <c r="E94" s="1133" t="s">
        <v>3034</v>
      </c>
      <c r="F94" s="1136">
        <v>569864</v>
      </c>
      <c r="G94" s="1136">
        <v>1121460</v>
      </c>
      <c r="H94" s="1133" t="s">
        <v>334</v>
      </c>
      <c r="I94" s="1133" t="s">
        <v>829</v>
      </c>
      <c r="J94" s="1133" t="s">
        <v>3030</v>
      </c>
      <c r="K94" s="1137"/>
      <c r="L94" s="1138">
        <v>5</v>
      </c>
      <c r="M94" s="1138">
        <v>4</v>
      </c>
      <c r="N94" s="1138">
        <v>1</v>
      </c>
      <c r="O94" s="1139">
        <v>80</v>
      </c>
      <c r="P94" s="1138">
        <v>1</v>
      </c>
      <c r="Q94" s="1140"/>
      <c r="R94" s="1141">
        <v>8.3000000000000007</v>
      </c>
      <c r="S94" s="1142" t="s">
        <v>2903</v>
      </c>
      <c r="T94" s="1138"/>
      <c r="U94" s="1143">
        <v>92.5</v>
      </c>
      <c r="V94" s="1142" t="s">
        <v>2903</v>
      </c>
      <c r="W94" s="1138"/>
      <c r="X94" s="1141">
        <v>0.11</v>
      </c>
      <c r="Y94" s="1142" t="s">
        <v>2903</v>
      </c>
      <c r="Z94" s="1138"/>
      <c r="AA94" s="1143">
        <v>7.56</v>
      </c>
      <c r="AB94" s="1142" t="s">
        <v>2903</v>
      </c>
      <c r="AC94" s="1138"/>
      <c r="AD94" s="1143">
        <v>15.3</v>
      </c>
      <c r="AE94" s="1142" t="s">
        <v>2903</v>
      </c>
    </row>
    <row r="95" spans="3:31" x14ac:dyDescent="0.4">
      <c r="C95" s="2834" t="s">
        <v>3035</v>
      </c>
      <c r="D95" s="1144" t="s">
        <v>3036</v>
      </c>
      <c r="E95" s="1145" t="s">
        <v>3037</v>
      </c>
      <c r="F95" s="1146">
        <v>591520.71426963026</v>
      </c>
      <c r="G95" s="1146">
        <v>1099004.6167526627</v>
      </c>
      <c r="H95" s="1145" t="s">
        <v>334</v>
      </c>
      <c r="I95" s="1145" t="s">
        <v>334</v>
      </c>
      <c r="J95" s="1145" t="s">
        <v>3038</v>
      </c>
      <c r="K95" s="1128"/>
      <c r="L95" s="1145" t="s">
        <v>2903</v>
      </c>
      <c r="M95" s="1145" t="s">
        <v>2903</v>
      </c>
      <c r="N95" s="1145" t="s">
        <v>2903</v>
      </c>
      <c r="O95" s="1147" t="s">
        <v>2903</v>
      </c>
      <c r="P95" s="1145" t="s">
        <v>2903</v>
      </c>
      <c r="Q95" s="1138"/>
      <c r="R95" s="1146" t="s">
        <v>2903</v>
      </c>
      <c r="S95" s="1148" t="s">
        <v>2903</v>
      </c>
      <c r="T95" s="1149"/>
      <c r="U95" s="1146" t="s">
        <v>2903</v>
      </c>
      <c r="V95" s="1148" t="s">
        <v>2903</v>
      </c>
      <c r="W95" s="1150"/>
      <c r="X95" s="1146" t="s">
        <v>2903</v>
      </c>
      <c r="Y95" s="1148" t="s">
        <v>2903</v>
      </c>
      <c r="Z95" s="1133"/>
      <c r="AA95" s="1146" t="s">
        <v>2903</v>
      </c>
      <c r="AB95" s="1148" t="s">
        <v>2903</v>
      </c>
      <c r="AC95" s="1133"/>
      <c r="AD95" s="1146" t="s">
        <v>2903</v>
      </c>
      <c r="AE95" s="1148" t="s">
        <v>2903</v>
      </c>
    </row>
    <row r="96" spans="3:31" x14ac:dyDescent="0.4">
      <c r="C96" s="2847"/>
      <c r="D96" s="1144" t="s">
        <v>3039</v>
      </c>
      <c r="E96" s="1145" t="s">
        <v>3040</v>
      </c>
      <c r="F96" s="1146">
        <v>595924.74767325248</v>
      </c>
      <c r="G96" s="1146">
        <v>1104968.4121655016</v>
      </c>
      <c r="H96" s="1145" t="s">
        <v>334</v>
      </c>
      <c r="I96" s="1145" t="s">
        <v>334</v>
      </c>
      <c r="J96" s="1145" t="s">
        <v>3038</v>
      </c>
      <c r="K96" s="1128"/>
      <c r="L96" s="1145" t="s">
        <v>2903</v>
      </c>
      <c r="M96" s="1145" t="s">
        <v>2903</v>
      </c>
      <c r="N96" s="1145" t="s">
        <v>2903</v>
      </c>
      <c r="O96" s="1147" t="s">
        <v>2903</v>
      </c>
      <c r="P96" s="1145" t="s">
        <v>2903</v>
      </c>
      <c r="Q96" s="1138"/>
      <c r="R96" s="1146" t="s">
        <v>2903</v>
      </c>
      <c r="S96" s="1148" t="s">
        <v>2903</v>
      </c>
      <c r="T96" s="1149"/>
      <c r="U96" s="1146" t="s">
        <v>2903</v>
      </c>
      <c r="V96" s="1148" t="s">
        <v>2903</v>
      </c>
      <c r="W96" s="1150"/>
      <c r="X96" s="1146" t="s">
        <v>2903</v>
      </c>
      <c r="Y96" s="1148" t="s">
        <v>2903</v>
      </c>
      <c r="Z96" s="1133"/>
      <c r="AA96" s="1146" t="s">
        <v>2903</v>
      </c>
      <c r="AB96" s="1148" t="s">
        <v>2903</v>
      </c>
      <c r="AC96" s="1133"/>
      <c r="AD96" s="1146" t="s">
        <v>2903</v>
      </c>
      <c r="AE96" s="1148" t="s">
        <v>2903</v>
      </c>
    </row>
    <row r="97" spans="3:31" x14ac:dyDescent="0.4">
      <c r="C97" s="2847"/>
      <c r="D97" s="1144" t="s">
        <v>3041</v>
      </c>
      <c r="E97" s="1145" t="s">
        <v>3042</v>
      </c>
      <c r="F97" s="1146">
        <v>602652.52525066072</v>
      </c>
      <c r="G97" s="1146">
        <v>1100493.3765315467</v>
      </c>
      <c r="H97" s="1145" t="s">
        <v>334</v>
      </c>
      <c r="I97" s="1145" t="s">
        <v>334</v>
      </c>
      <c r="J97" s="1145" t="s">
        <v>3043</v>
      </c>
      <c r="K97" s="1128"/>
      <c r="L97" s="1145" t="s">
        <v>2903</v>
      </c>
      <c r="M97" s="1145" t="s">
        <v>2903</v>
      </c>
      <c r="N97" s="1145" t="s">
        <v>2903</v>
      </c>
      <c r="O97" s="1147" t="s">
        <v>2903</v>
      </c>
      <c r="P97" s="1145" t="s">
        <v>2903</v>
      </c>
      <c r="Q97" s="1138"/>
      <c r="R97" s="1146" t="s">
        <v>2903</v>
      </c>
      <c r="S97" s="1148" t="s">
        <v>2903</v>
      </c>
      <c r="T97" s="1149"/>
      <c r="U97" s="1146" t="s">
        <v>2903</v>
      </c>
      <c r="V97" s="1148" t="s">
        <v>2903</v>
      </c>
      <c r="W97" s="1150"/>
      <c r="X97" s="1146" t="s">
        <v>2903</v>
      </c>
      <c r="Y97" s="1148" t="s">
        <v>2903</v>
      </c>
      <c r="Z97" s="1133"/>
      <c r="AA97" s="1146" t="s">
        <v>2903</v>
      </c>
      <c r="AB97" s="1148" t="s">
        <v>2903</v>
      </c>
      <c r="AC97" s="1133"/>
      <c r="AD97" s="1146" t="s">
        <v>2903</v>
      </c>
      <c r="AE97" s="1148" t="s">
        <v>2903</v>
      </c>
    </row>
    <row r="98" spans="3:31" x14ac:dyDescent="0.4">
      <c r="C98" s="2847"/>
      <c r="D98" s="1144" t="s">
        <v>3041</v>
      </c>
      <c r="E98" s="1145" t="s">
        <v>3044</v>
      </c>
      <c r="F98" s="1146">
        <v>604923.94574288733</v>
      </c>
      <c r="G98" s="1146">
        <v>1104152.7542006073</v>
      </c>
      <c r="H98" s="1145" t="s">
        <v>334</v>
      </c>
      <c r="I98" s="1145" t="s">
        <v>334</v>
      </c>
      <c r="J98" s="1145" t="s">
        <v>334</v>
      </c>
      <c r="K98" s="1128"/>
      <c r="L98" s="1145" t="s">
        <v>2903</v>
      </c>
      <c r="M98" s="1145" t="s">
        <v>2903</v>
      </c>
      <c r="N98" s="1145" t="s">
        <v>2903</v>
      </c>
      <c r="O98" s="1147" t="s">
        <v>2903</v>
      </c>
      <c r="P98" s="1145" t="s">
        <v>2903</v>
      </c>
      <c r="Q98" s="1138"/>
      <c r="R98" s="1146" t="s">
        <v>2903</v>
      </c>
      <c r="S98" s="1148" t="s">
        <v>2903</v>
      </c>
      <c r="T98" s="1149"/>
      <c r="U98" s="1146" t="s">
        <v>2903</v>
      </c>
      <c r="V98" s="1148" t="s">
        <v>2903</v>
      </c>
      <c r="W98" s="1150"/>
      <c r="X98" s="1146" t="s">
        <v>2903</v>
      </c>
      <c r="Y98" s="1148" t="s">
        <v>2903</v>
      </c>
      <c r="Z98" s="1133"/>
      <c r="AA98" s="1146" t="s">
        <v>2903</v>
      </c>
      <c r="AB98" s="1148" t="s">
        <v>2903</v>
      </c>
      <c r="AC98" s="1133"/>
      <c r="AD98" s="1146" t="s">
        <v>2903</v>
      </c>
      <c r="AE98" s="1148" t="s">
        <v>2903</v>
      </c>
    </row>
    <row r="99" spans="3:31" x14ac:dyDescent="0.4">
      <c r="C99" s="2830" t="s">
        <v>3045</v>
      </c>
      <c r="D99" s="1135" t="s">
        <v>3046</v>
      </c>
      <c r="E99" s="1133" t="s">
        <v>3047</v>
      </c>
      <c r="F99" s="1136">
        <v>606552</v>
      </c>
      <c r="G99" s="1136">
        <v>1095139</v>
      </c>
      <c r="H99" s="1133" t="s">
        <v>334</v>
      </c>
      <c r="I99" s="1133" t="s">
        <v>334</v>
      </c>
      <c r="J99" s="1133" t="s">
        <v>3043</v>
      </c>
      <c r="K99" s="1128"/>
      <c r="L99" s="1138" t="s">
        <v>2903</v>
      </c>
      <c r="M99" s="1138" t="s">
        <v>2903</v>
      </c>
      <c r="N99" s="1138" t="s">
        <v>2903</v>
      </c>
      <c r="O99" s="1139" t="s">
        <v>2903</v>
      </c>
      <c r="P99" s="1138" t="s">
        <v>2903</v>
      </c>
      <c r="Q99" s="1138"/>
      <c r="R99" s="1141" t="s">
        <v>2903</v>
      </c>
      <c r="S99" s="1142" t="s">
        <v>2903</v>
      </c>
      <c r="T99" s="1140"/>
      <c r="U99" s="1143" t="s">
        <v>2903</v>
      </c>
      <c r="V99" s="1142" t="s">
        <v>2903</v>
      </c>
      <c r="W99" s="1140"/>
      <c r="X99" s="1141" t="s">
        <v>2903</v>
      </c>
      <c r="Y99" s="1142" t="s">
        <v>2903</v>
      </c>
      <c r="Z99" s="1138"/>
      <c r="AA99" s="1143" t="s">
        <v>2903</v>
      </c>
      <c r="AB99" s="1142" t="s">
        <v>2903</v>
      </c>
      <c r="AC99" s="1138"/>
      <c r="AD99" s="1143" t="s">
        <v>2903</v>
      </c>
      <c r="AE99" s="1142" t="s">
        <v>2903</v>
      </c>
    </row>
    <row r="100" spans="3:31" x14ac:dyDescent="0.4">
      <c r="C100" s="2846"/>
      <c r="D100" s="1135" t="s">
        <v>3048</v>
      </c>
      <c r="E100" s="1133" t="s">
        <v>3049</v>
      </c>
      <c r="F100" s="1136">
        <v>608828</v>
      </c>
      <c r="G100" s="1136">
        <v>1092271</v>
      </c>
      <c r="H100" s="1133" t="s">
        <v>334</v>
      </c>
      <c r="I100" s="1133" t="s">
        <v>334</v>
      </c>
      <c r="J100" s="1133" t="s">
        <v>3043</v>
      </c>
      <c r="K100" s="1128"/>
      <c r="L100" s="1138" t="s">
        <v>2903</v>
      </c>
      <c r="M100" s="1138" t="s">
        <v>2903</v>
      </c>
      <c r="N100" s="1138" t="s">
        <v>2903</v>
      </c>
      <c r="O100" s="1139" t="s">
        <v>2903</v>
      </c>
      <c r="P100" s="1138" t="s">
        <v>2903</v>
      </c>
      <c r="Q100" s="1138"/>
      <c r="R100" s="1141" t="s">
        <v>2903</v>
      </c>
      <c r="S100" s="1142" t="s">
        <v>2903</v>
      </c>
      <c r="T100" s="1140"/>
      <c r="U100" s="1143" t="s">
        <v>2903</v>
      </c>
      <c r="V100" s="1142" t="s">
        <v>2903</v>
      </c>
      <c r="W100" s="1140"/>
      <c r="X100" s="1141" t="s">
        <v>2903</v>
      </c>
      <c r="Y100" s="1142" t="s">
        <v>2903</v>
      </c>
      <c r="Z100" s="1138"/>
      <c r="AA100" s="1143" t="s">
        <v>2903</v>
      </c>
      <c r="AB100" s="1142" t="s">
        <v>2903</v>
      </c>
      <c r="AC100" s="1138"/>
      <c r="AD100" s="1143" t="s">
        <v>2903</v>
      </c>
      <c r="AE100" s="1142" t="s">
        <v>2903</v>
      </c>
    </row>
    <row r="101" spans="3:31" x14ac:dyDescent="0.4">
      <c r="C101" s="2846"/>
      <c r="D101" s="1135" t="s">
        <v>3048</v>
      </c>
      <c r="E101" s="1133" t="s">
        <v>3050</v>
      </c>
      <c r="F101" s="1136">
        <v>611005</v>
      </c>
      <c r="G101" s="1136">
        <v>1094210</v>
      </c>
      <c r="H101" s="1133" t="s">
        <v>334</v>
      </c>
      <c r="I101" s="1133" t="s">
        <v>334</v>
      </c>
      <c r="J101" s="1133" t="s">
        <v>3043</v>
      </c>
      <c r="K101" s="1128"/>
      <c r="L101" s="1138" t="s">
        <v>2903</v>
      </c>
      <c r="M101" s="1138" t="s">
        <v>2903</v>
      </c>
      <c r="N101" s="1138" t="s">
        <v>2903</v>
      </c>
      <c r="O101" s="1139" t="s">
        <v>2903</v>
      </c>
      <c r="P101" s="1138" t="s">
        <v>2903</v>
      </c>
      <c r="Q101" s="1138"/>
      <c r="R101" s="1141" t="s">
        <v>2903</v>
      </c>
      <c r="S101" s="1142" t="s">
        <v>2903</v>
      </c>
      <c r="T101" s="1140"/>
      <c r="U101" s="1143" t="s">
        <v>2903</v>
      </c>
      <c r="V101" s="1142" t="s">
        <v>2903</v>
      </c>
      <c r="W101" s="1140"/>
      <c r="X101" s="1141" t="s">
        <v>2903</v>
      </c>
      <c r="Y101" s="1142" t="s">
        <v>2903</v>
      </c>
      <c r="Z101" s="1138"/>
      <c r="AA101" s="1143" t="s">
        <v>2903</v>
      </c>
      <c r="AB101" s="1142" t="s">
        <v>2903</v>
      </c>
      <c r="AC101" s="1138"/>
      <c r="AD101" s="1143" t="s">
        <v>2903</v>
      </c>
      <c r="AE101" s="1142" t="s">
        <v>2903</v>
      </c>
    </row>
    <row r="102" spans="3:31" x14ac:dyDescent="0.4">
      <c r="C102" s="2846"/>
      <c r="D102" s="1135" t="s">
        <v>3051</v>
      </c>
      <c r="E102" s="1133" t="s">
        <v>3052</v>
      </c>
      <c r="F102" s="1136">
        <v>615309.394813983</v>
      </c>
      <c r="G102" s="1136">
        <v>1089459.641124723</v>
      </c>
      <c r="H102" s="1133" t="s">
        <v>334</v>
      </c>
      <c r="I102" s="1133" t="s">
        <v>334</v>
      </c>
      <c r="J102" s="1133" t="s">
        <v>3043</v>
      </c>
      <c r="K102" s="1128"/>
      <c r="L102" s="1138" t="s">
        <v>2903</v>
      </c>
      <c r="M102" s="1138" t="s">
        <v>2903</v>
      </c>
      <c r="N102" s="1138" t="s">
        <v>2903</v>
      </c>
      <c r="O102" s="1139" t="s">
        <v>2903</v>
      </c>
      <c r="P102" s="1138" t="s">
        <v>2903</v>
      </c>
      <c r="Q102" s="1138"/>
      <c r="R102" s="1141" t="s">
        <v>2903</v>
      </c>
      <c r="S102" s="1142" t="s">
        <v>2903</v>
      </c>
      <c r="T102" s="1140"/>
      <c r="U102" s="1143" t="s">
        <v>2903</v>
      </c>
      <c r="V102" s="1142" t="s">
        <v>2903</v>
      </c>
      <c r="W102" s="1140"/>
      <c r="X102" s="1141" t="s">
        <v>2903</v>
      </c>
      <c r="Y102" s="1142" t="s">
        <v>2903</v>
      </c>
      <c r="Z102" s="1138"/>
      <c r="AA102" s="1143" t="s">
        <v>2903</v>
      </c>
      <c r="AB102" s="1142" t="s">
        <v>2903</v>
      </c>
      <c r="AC102" s="1138"/>
      <c r="AD102" s="1143" t="s">
        <v>2903</v>
      </c>
      <c r="AE102" s="1142" t="s">
        <v>2903</v>
      </c>
    </row>
    <row r="103" spans="3:31" x14ac:dyDescent="0.4">
      <c r="C103" s="2826" t="s">
        <v>829</v>
      </c>
      <c r="D103" s="1151" t="s">
        <v>3053</v>
      </c>
      <c r="E103" s="1152" t="s">
        <v>3054</v>
      </c>
      <c r="F103" s="1153">
        <v>584311</v>
      </c>
      <c r="G103" s="1153">
        <v>1119663</v>
      </c>
      <c r="H103" s="1152" t="s">
        <v>334</v>
      </c>
      <c r="I103" s="1152" t="s">
        <v>829</v>
      </c>
      <c r="J103" s="1152" t="s">
        <v>829</v>
      </c>
      <c r="K103" s="1154"/>
      <c r="L103" s="1152" t="s">
        <v>2903</v>
      </c>
      <c r="M103" s="1152" t="s">
        <v>2903</v>
      </c>
      <c r="N103" s="1152" t="s">
        <v>2903</v>
      </c>
      <c r="O103" s="1155" t="s">
        <v>2903</v>
      </c>
      <c r="P103" s="1152" t="s">
        <v>2903</v>
      </c>
      <c r="Q103" s="1138"/>
      <c r="R103" s="1153" t="s">
        <v>2903</v>
      </c>
      <c r="S103" s="1156" t="s">
        <v>2903</v>
      </c>
      <c r="T103" s="1154"/>
      <c r="U103" s="1153" t="s">
        <v>2903</v>
      </c>
      <c r="V103" s="1156" t="s">
        <v>2903</v>
      </c>
      <c r="W103" s="1150"/>
      <c r="X103" s="1153" t="s">
        <v>2903</v>
      </c>
      <c r="Y103" s="1156" t="s">
        <v>2903</v>
      </c>
      <c r="Z103" s="1133"/>
      <c r="AA103" s="1153" t="s">
        <v>2903</v>
      </c>
      <c r="AB103" s="1156" t="s">
        <v>2903</v>
      </c>
      <c r="AC103" s="1133"/>
      <c r="AD103" s="1153" t="s">
        <v>2903</v>
      </c>
      <c r="AE103" s="1156" t="s">
        <v>2903</v>
      </c>
    </row>
    <row r="104" spans="3:31" x14ac:dyDescent="0.4">
      <c r="C104" s="2847"/>
      <c r="D104" s="1151" t="s">
        <v>3053</v>
      </c>
      <c r="E104" s="1152" t="s">
        <v>3055</v>
      </c>
      <c r="F104" s="1153">
        <v>587660</v>
      </c>
      <c r="G104" s="1153">
        <v>1119040</v>
      </c>
      <c r="H104" s="1152" t="s">
        <v>334</v>
      </c>
      <c r="I104" s="1152" t="s">
        <v>829</v>
      </c>
      <c r="J104" s="1152" t="s">
        <v>829</v>
      </c>
      <c r="K104" s="1154"/>
      <c r="L104" s="1152" t="s">
        <v>2903</v>
      </c>
      <c r="M104" s="1152" t="s">
        <v>2903</v>
      </c>
      <c r="N104" s="1152" t="s">
        <v>2903</v>
      </c>
      <c r="O104" s="1155" t="s">
        <v>2903</v>
      </c>
      <c r="P104" s="1152" t="s">
        <v>2903</v>
      </c>
      <c r="Q104" s="1138"/>
      <c r="R104" s="1153" t="s">
        <v>2903</v>
      </c>
      <c r="S104" s="1156" t="s">
        <v>2903</v>
      </c>
      <c r="T104" s="1154"/>
      <c r="U104" s="1153" t="s">
        <v>2903</v>
      </c>
      <c r="V104" s="1156" t="s">
        <v>2903</v>
      </c>
      <c r="W104" s="1150"/>
      <c r="X104" s="1153" t="s">
        <v>2903</v>
      </c>
      <c r="Y104" s="1156" t="s">
        <v>2903</v>
      </c>
      <c r="Z104" s="1133"/>
      <c r="AA104" s="1153" t="s">
        <v>2903</v>
      </c>
      <c r="AB104" s="1156" t="s">
        <v>2903</v>
      </c>
      <c r="AC104" s="1133"/>
      <c r="AD104" s="1153" t="s">
        <v>2903</v>
      </c>
      <c r="AE104" s="1156" t="s">
        <v>2903</v>
      </c>
    </row>
    <row r="105" spans="3:31" x14ac:dyDescent="0.4">
      <c r="C105" s="2847"/>
      <c r="D105" s="1151" t="s">
        <v>3053</v>
      </c>
      <c r="E105" s="1152" t="s">
        <v>3056</v>
      </c>
      <c r="F105" s="1153">
        <v>579394</v>
      </c>
      <c r="G105" s="1153">
        <v>1114132</v>
      </c>
      <c r="H105" s="1152" t="s">
        <v>334</v>
      </c>
      <c r="I105" s="1152" t="s">
        <v>829</v>
      </c>
      <c r="J105" s="1152" t="s">
        <v>829</v>
      </c>
      <c r="K105" s="1154"/>
      <c r="L105" s="1152">
        <v>5</v>
      </c>
      <c r="M105" s="1152">
        <v>3</v>
      </c>
      <c r="N105" s="1152">
        <v>2</v>
      </c>
      <c r="O105" s="1155">
        <v>60</v>
      </c>
      <c r="P105" s="1152">
        <v>0</v>
      </c>
      <c r="Q105" s="1138"/>
      <c r="R105" s="1153">
        <v>15.7</v>
      </c>
      <c r="S105" s="1156" t="s">
        <v>2903</v>
      </c>
      <c r="T105" s="1154"/>
      <c r="U105" s="1153">
        <v>96.4</v>
      </c>
      <c r="V105" s="1156" t="s">
        <v>2903</v>
      </c>
      <c r="W105" s="1150"/>
      <c r="X105" s="1153">
        <v>0.11</v>
      </c>
      <c r="Y105" s="1156" t="s">
        <v>2903</v>
      </c>
      <c r="Z105" s="1133"/>
      <c r="AA105" s="1153">
        <v>7.41</v>
      </c>
      <c r="AB105" s="1156" t="s">
        <v>2903</v>
      </c>
      <c r="AC105" s="1133"/>
      <c r="AD105" s="1153">
        <v>221</v>
      </c>
      <c r="AE105" s="1156" t="s">
        <v>2903</v>
      </c>
    </row>
    <row r="106" spans="3:31" x14ac:dyDescent="0.4">
      <c r="C106" s="2847"/>
      <c r="D106" s="1151" t="s">
        <v>3057</v>
      </c>
      <c r="E106" s="1152" t="s">
        <v>3058</v>
      </c>
      <c r="F106" s="1153">
        <v>568897</v>
      </c>
      <c r="G106" s="1153">
        <v>1112449</v>
      </c>
      <c r="H106" s="1152" t="s">
        <v>334</v>
      </c>
      <c r="I106" s="1152" t="s">
        <v>829</v>
      </c>
      <c r="J106" s="1152" t="s">
        <v>3030</v>
      </c>
      <c r="K106" s="1154"/>
      <c r="L106" s="1152">
        <v>5</v>
      </c>
      <c r="M106" s="1152">
        <v>3</v>
      </c>
      <c r="N106" s="1152">
        <v>2</v>
      </c>
      <c r="O106" s="1155">
        <v>60</v>
      </c>
      <c r="P106" s="1152">
        <v>0</v>
      </c>
      <c r="Q106" s="1138"/>
      <c r="R106" s="1153">
        <v>11.8</v>
      </c>
      <c r="S106" s="1156" t="s">
        <v>2903</v>
      </c>
      <c r="T106" s="1154"/>
      <c r="U106" s="1153">
        <v>97.7</v>
      </c>
      <c r="V106" s="1156" t="s">
        <v>2903</v>
      </c>
      <c r="W106" s="1150"/>
      <c r="X106" s="1153">
        <v>0.18</v>
      </c>
      <c r="Y106" s="1156" t="s">
        <v>2903</v>
      </c>
      <c r="Z106" s="1133"/>
      <c r="AA106" s="1153">
        <v>7.54</v>
      </c>
      <c r="AB106" s="1156" t="s">
        <v>2903</v>
      </c>
      <c r="AC106" s="1133"/>
      <c r="AD106" s="1153">
        <v>33.1</v>
      </c>
      <c r="AE106" s="1156" t="s">
        <v>2903</v>
      </c>
    </row>
    <row r="107" spans="3:31" x14ac:dyDescent="0.4">
      <c r="C107" s="2847"/>
      <c r="D107" s="1151" t="s">
        <v>3059</v>
      </c>
      <c r="E107" s="1152" t="s">
        <v>3060</v>
      </c>
      <c r="F107" s="1153">
        <v>576526</v>
      </c>
      <c r="G107" s="1153">
        <v>1105216</v>
      </c>
      <c r="H107" s="1152" t="s">
        <v>334</v>
      </c>
      <c r="I107" s="1152" t="s">
        <v>829</v>
      </c>
      <c r="J107" s="1152" t="s">
        <v>829</v>
      </c>
      <c r="K107" s="1154"/>
      <c r="L107" s="1152">
        <v>5</v>
      </c>
      <c r="M107" s="1152">
        <v>3</v>
      </c>
      <c r="N107" s="1152">
        <v>2</v>
      </c>
      <c r="O107" s="1155">
        <v>60</v>
      </c>
      <c r="P107" s="1152">
        <v>0</v>
      </c>
      <c r="Q107" s="1138"/>
      <c r="R107" s="1153">
        <v>16</v>
      </c>
      <c r="S107" s="1156" t="s">
        <v>2903</v>
      </c>
      <c r="T107" s="1154"/>
      <c r="U107" s="1153">
        <v>102</v>
      </c>
      <c r="V107" s="1156" t="s">
        <v>2903</v>
      </c>
      <c r="W107" s="1150"/>
      <c r="X107" s="1153">
        <v>0.1</v>
      </c>
      <c r="Y107" s="1156" t="s">
        <v>2903</v>
      </c>
      <c r="Z107" s="1133"/>
      <c r="AA107" s="1153">
        <v>7.58</v>
      </c>
      <c r="AB107" s="1156" t="s">
        <v>2903</v>
      </c>
      <c r="AC107" s="1133"/>
      <c r="AD107" s="1153">
        <v>288</v>
      </c>
      <c r="AE107" s="1156" t="s">
        <v>2903</v>
      </c>
    </row>
    <row r="108" spans="3:31" x14ac:dyDescent="0.4">
      <c r="C108" s="2847"/>
      <c r="D108" s="1151" t="s">
        <v>3059</v>
      </c>
      <c r="E108" s="1152" t="s">
        <v>3061</v>
      </c>
      <c r="F108" s="1153">
        <v>572276</v>
      </c>
      <c r="G108" s="1153">
        <v>1101262</v>
      </c>
      <c r="H108" s="1152" t="s">
        <v>334</v>
      </c>
      <c r="I108" s="1152" t="s">
        <v>829</v>
      </c>
      <c r="J108" s="1152" t="s">
        <v>829</v>
      </c>
      <c r="K108" s="1154"/>
      <c r="L108" s="1152" t="s">
        <v>2903</v>
      </c>
      <c r="M108" s="1152" t="s">
        <v>2903</v>
      </c>
      <c r="N108" s="1152" t="s">
        <v>2903</v>
      </c>
      <c r="O108" s="1155" t="s">
        <v>2903</v>
      </c>
      <c r="P108" s="1152" t="s">
        <v>2903</v>
      </c>
      <c r="Q108" s="1138"/>
      <c r="R108" s="1153" t="s">
        <v>2903</v>
      </c>
      <c r="S108" s="1156" t="s">
        <v>2903</v>
      </c>
      <c r="T108" s="1154"/>
      <c r="U108" s="1153" t="s">
        <v>2903</v>
      </c>
      <c r="V108" s="1156" t="s">
        <v>2903</v>
      </c>
      <c r="W108" s="1150"/>
      <c r="X108" s="1153" t="s">
        <v>2903</v>
      </c>
      <c r="Y108" s="1156" t="s">
        <v>2903</v>
      </c>
      <c r="Z108" s="1150"/>
      <c r="AA108" s="1153" t="s">
        <v>2903</v>
      </c>
      <c r="AB108" s="1156" t="s">
        <v>2903</v>
      </c>
      <c r="AC108" s="1133"/>
      <c r="AD108" s="1153" t="s">
        <v>2903</v>
      </c>
      <c r="AE108" s="1156" t="s">
        <v>2903</v>
      </c>
    </row>
    <row r="109" spans="3:31" x14ac:dyDescent="0.4">
      <c r="C109" s="2847"/>
      <c r="D109" s="1151" t="s">
        <v>3059</v>
      </c>
      <c r="E109" s="1152" t="s">
        <v>3062</v>
      </c>
      <c r="F109" s="1153">
        <v>570379</v>
      </c>
      <c r="G109" s="1153">
        <v>1083192</v>
      </c>
      <c r="H109" s="1151" t="s">
        <v>330</v>
      </c>
      <c r="I109" s="1152" t="s">
        <v>790</v>
      </c>
      <c r="J109" s="1152" t="s">
        <v>3063</v>
      </c>
      <c r="K109" s="1154"/>
      <c r="L109" s="1152" t="s">
        <v>2903</v>
      </c>
      <c r="M109" s="1152" t="s">
        <v>2903</v>
      </c>
      <c r="N109" s="1152" t="s">
        <v>2903</v>
      </c>
      <c r="O109" s="1155" t="s">
        <v>2903</v>
      </c>
      <c r="P109" s="1152" t="s">
        <v>2903</v>
      </c>
      <c r="Q109" s="1138"/>
      <c r="R109" s="1153" t="s">
        <v>2903</v>
      </c>
      <c r="S109" s="1156" t="s">
        <v>2903</v>
      </c>
      <c r="T109" s="1154"/>
      <c r="U109" s="1153" t="s">
        <v>2903</v>
      </c>
      <c r="V109" s="1156" t="s">
        <v>2903</v>
      </c>
      <c r="W109" s="1150"/>
      <c r="X109" s="1153" t="s">
        <v>2903</v>
      </c>
      <c r="Y109" s="1156" t="s">
        <v>2903</v>
      </c>
      <c r="Z109" s="1150"/>
      <c r="AA109" s="1153" t="s">
        <v>2903</v>
      </c>
      <c r="AB109" s="1156" t="s">
        <v>2903</v>
      </c>
      <c r="AC109" s="1133"/>
      <c r="AD109" s="1153" t="s">
        <v>2903</v>
      </c>
      <c r="AE109" s="1156" t="s">
        <v>2903</v>
      </c>
    </row>
    <row r="110" spans="3:31" x14ac:dyDescent="0.4">
      <c r="C110" s="2847"/>
      <c r="D110" s="1151" t="s">
        <v>3059</v>
      </c>
      <c r="E110" s="1152" t="s">
        <v>3064</v>
      </c>
      <c r="F110" s="1153">
        <v>569987</v>
      </c>
      <c r="G110" s="1153">
        <v>1082807</v>
      </c>
      <c r="H110" s="1151" t="s">
        <v>330</v>
      </c>
      <c r="I110" s="1152" t="s">
        <v>790</v>
      </c>
      <c r="J110" s="1152" t="s">
        <v>3063</v>
      </c>
      <c r="K110" s="1154"/>
      <c r="L110" s="1152" t="s">
        <v>2903</v>
      </c>
      <c r="M110" s="1152" t="s">
        <v>2903</v>
      </c>
      <c r="N110" s="1152" t="s">
        <v>2903</v>
      </c>
      <c r="O110" s="1155" t="s">
        <v>2903</v>
      </c>
      <c r="P110" s="1152" t="s">
        <v>2903</v>
      </c>
      <c r="Q110" s="1138"/>
      <c r="R110" s="1153" t="s">
        <v>2903</v>
      </c>
      <c r="S110" s="1156" t="s">
        <v>2903</v>
      </c>
      <c r="T110" s="1154"/>
      <c r="U110" s="1153" t="s">
        <v>2903</v>
      </c>
      <c r="V110" s="1156" t="s">
        <v>2903</v>
      </c>
      <c r="W110" s="1150"/>
      <c r="X110" s="1153" t="s">
        <v>2903</v>
      </c>
      <c r="Y110" s="1156" t="s">
        <v>2903</v>
      </c>
      <c r="Z110" s="1150"/>
      <c r="AA110" s="1153" t="s">
        <v>2903</v>
      </c>
      <c r="AB110" s="1156" t="s">
        <v>2903</v>
      </c>
      <c r="AC110" s="1133"/>
      <c r="AD110" s="1153" t="s">
        <v>2903</v>
      </c>
      <c r="AE110" s="1156" t="s">
        <v>2903</v>
      </c>
    </row>
    <row r="111" spans="3:31" x14ac:dyDescent="0.4">
      <c r="C111" s="2830" t="s">
        <v>3065</v>
      </c>
      <c r="D111" s="1135" t="s">
        <v>3066</v>
      </c>
      <c r="E111" s="1133" t="s">
        <v>3067</v>
      </c>
      <c r="F111" s="1136">
        <v>553952.78625700006</v>
      </c>
      <c r="G111" s="1136">
        <v>1086598.7197799999</v>
      </c>
      <c r="H111" s="1135" t="s">
        <v>330</v>
      </c>
      <c r="I111" s="1133" t="s">
        <v>790</v>
      </c>
      <c r="J111" s="1133" t="s">
        <v>3068</v>
      </c>
      <c r="K111" s="1137"/>
      <c r="L111" s="1138" t="s">
        <v>2903</v>
      </c>
      <c r="M111" s="1138" t="s">
        <v>2903</v>
      </c>
      <c r="N111" s="1138" t="s">
        <v>2903</v>
      </c>
      <c r="O111" s="1139" t="s">
        <v>2903</v>
      </c>
      <c r="P111" s="1138" t="s">
        <v>2903</v>
      </c>
      <c r="Q111" s="1138"/>
      <c r="R111" s="1141" t="s">
        <v>2903</v>
      </c>
      <c r="S111" s="1142" t="s">
        <v>2903</v>
      </c>
      <c r="T111" s="1140"/>
      <c r="U111" s="1143" t="s">
        <v>2903</v>
      </c>
      <c r="V111" s="1142" t="s">
        <v>2903</v>
      </c>
      <c r="W111" s="1140"/>
      <c r="X111" s="1141" t="s">
        <v>2903</v>
      </c>
      <c r="Y111" s="1142" t="s">
        <v>2903</v>
      </c>
      <c r="Z111" s="1140"/>
      <c r="AA111" s="1143" t="s">
        <v>2903</v>
      </c>
      <c r="AB111" s="1142" t="s">
        <v>2903</v>
      </c>
      <c r="AC111" s="1138"/>
      <c r="AD111" s="1143" t="s">
        <v>2903</v>
      </c>
      <c r="AE111" s="1142" t="s">
        <v>2903</v>
      </c>
    </row>
    <row r="112" spans="3:31" x14ac:dyDescent="0.4">
      <c r="C112" s="2846"/>
      <c r="D112" s="1135" t="s">
        <v>3066</v>
      </c>
      <c r="E112" s="1133" t="s">
        <v>3069</v>
      </c>
      <c r="F112" s="1136">
        <v>549561.67938325589</v>
      </c>
      <c r="G112" s="1136">
        <v>1104203.6085808857</v>
      </c>
      <c r="H112" s="1135" t="s">
        <v>330</v>
      </c>
      <c r="I112" s="1133" t="s">
        <v>790</v>
      </c>
      <c r="J112" s="1133" t="s">
        <v>3070</v>
      </c>
      <c r="K112" s="1133"/>
      <c r="L112" s="1133">
        <v>5</v>
      </c>
      <c r="M112" s="1133">
        <v>3</v>
      </c>
      <c r="N112" s="1133">
        <v>2</v>
      </c>
      <c r="O112" s="1157">
        <v>60</v>
      </c>
      <c r="P112" s="1133">
        <v>0</v>
      </c>
      <c r="Q112" s="1138"/>
      <c r="R112" s="1136">
        <v>9.9</v>
      </c>
      <c r="S112" s="1158" t="s">
        <v>2903</v>
      </c>
      <c r="T112" s="1133"/>
      <c r="U112" s="1136">
        <v>97.7</v>
      </c>
      <c r="V112" s="1158" t="s">
        <v>2903</v>
      </c>
      <c r="W112" s="1133"/>
      <c r="X112" s="1136">
        <v>0.13</v>
      </c>
      <c r="Y112" s="1158" t="s">
        <v>2903</v>
      </c>
      <c r="Z112" s="1133"/>
      <c r="AA112" s="1136">
        <v>7.66</v>
      </c>
      <c r="AB112" s="1158" t="s">
        <v>2903</v>
      </c>
      <c r="AC112" s="1133"/>
      <c r="AD112" s="1136">
        <v>268</v>
      </c>
      <c r="AE112" s="1158" t="s">
        <v>2903</v>
      </c>
    </row>
    <row r="113" spans="3:31" x14ac:dyDescent="0.4">
      <c r="C113" s="2846"/>
      <c r="D113" s="1135" t="s">
        <v>3066</v>
      </c>
      <c r="E113" s="1133" t="s">
        <v>3071</v>
      </c>
      <c r="F113" s="1136"/>
      <c r="G113" s="1136"/>
      <c r="H113" s="1135" t="s">
        <v>330</v>
      </c>
      <c r="I113" s="1133" t="s">
        <v>790</v>
      </c>
      <c r="J113" s="1133" t="s">
        <v>3070</v>
      </c>
      <c r="K113" s="1133"/>
      <c r="L113" s="1133">
        <v>5</v>
      </c>
      <c r="M113" s="1133">
        <v>4</v>
      </c>
      <c r="N113" s="1133">
        <v>1</v>
      </c>
      <c r="O113" s="1157">
        <v>80</v>
      </c>
      <c r="P113" s="1133">
        <v>1</v>
      </c>
      <c r="Q113" s="1138"/>
      <c r="R113" s="1136">
        <v>6.5</v>
      </c>
      <c r="S113" s="1158" t="s">
        <v>2903</v>
      </c>
      <c r="T113" s="1133"/>
      <c r="U113" s="1136">
        <v>86.2</v>
      </c>
      <c r="V113" s="1158" t="s">
        <v>2903</v>
      </c>
      <c r="W113" s="1133"/>
      <c r="X113" s="1136">
        <v>0.17</v>
      </c>
      <c r="Y113" s="1158" t="s">
        <v>2903</v>
      </c>
      <c r="Z113" s="1133"/>
      <c r="AA113" s="1136">
        <v>6.97</v>
      </c>
      <c r="AB113" s="1158" t="s">
        <v>2903</v>
      </c>
      <c r="AC113" s="1133"/>
      <c r="AD113" s="1136">
        <v>6</v>
      </c>
      <c r="AE113" s="1158" t="s">
        <v>2903</v>
      </c>
    </row>
    <row r="114" spans="3:31" x14ac:dyDescent="0.4">
      <c r="C114" s="2846"/>
      <c r="D114" s="1135" t="s">
        <v>3066</v>
      </c>
      <c r="E114" s="1133" t="s">
        <v>3072</v>
      </c>
      <c r="F114" s="1136">
        <v>556395</v>
      </c>
      <c r="G114" s="1136">
        <v>1116515</v>
      </c>
      <c r="H114" s="1133" t="s">
        <v>334</v>
      </c>
      <c r="I114" s="1133" t="s">
        <v>827</v>
      </c>
      <c r="J114" s="1133" t="s">
        <v>3033</v>
      </c>
      <c r="K114" s="1128"/>
      <c r="L114" s="1138" t="s">
        <v>2903</v>
      </c>
      <c r="M114" s="1138" t="s">
        <v>2903</v>
      </c>
      <c r="N114" s="1138" t="s">
        <v>2903</v>
      </c>
      <c r="O114" s="1139" t="s">
        <v>2903</v>
      </c>
      <c r="P114" s="1138" t="s">
        <v>2903</v>
      </c>
      <c r="Q114" s="1138"/>
      <c r="R114" s="1141" t="s">
        <v>2903</v>
      </c>
      <c r="S114" s="1142" t="s">
        <v>2903</v>
      </c>
      <c r="T114" s="1138"/>
      <c r="U114" s="1143" t="s">
        <v>2903</v>
      </c>
      <c r="V114" s="1142" t="s">
        <v>2903</v>
      </c>
      <c r="W114" s="1138"/>
      <c r="X114" s="1141" t="s">
        <v>2903</v>
      </c>
      <c r="Y114" s="1142" t="s">
        <v>2903</v>
      </c>
      <c r="Z114" s="1138"/>
      <c r="AA114" s="1143" t="s">
        <v>2903</v>
      </c>
      <c r="AB114" s="1142" t="s">
        <v>2903</v>
      </c>
      <c r="AC114" s="1138"/>
      <c r="AD114" s="1143" t="s">
        <v>2903</v>
      </c>
      <c r="AE114" s="1142" t="s">
        <v>2903</v>
      </c>
    </row>
    <row r="115" spans="3:31" x14ac:dyDescent="0.4">
      <c r="C115" s="2846"/>
      <c r="D115" s="1135" t="s">
        <v>3066</v>
      </c>
      <c r="E115" s="1133" t="s">
        <v>3073</v>
      </c>
      <c r="F115" s="1136">
        <v>559157</v>
      </c>
      <c r="G115" s="1136">
        <v>1118911</v>
      </c>
      <c r="H115" s="1135" t="s">
        <v>334</v>
      </c>
      <c r="I115" s="1133" t="s">
        <v>827</v>
      </c>
      <c r="J115" s="1133" t="s">
        <v>3033</v>
      </c>
      <c r="K115" s="1133"/>
      <c r="L115" s="1133">
        <v>5</v>
      </c>
      <c r="M115" s="1133">
        <v>3</v>
      </c>
      <c r="N115" s="1133">
        <v>2</v>
      </c>
      <c r="O115" s="1157">
        <v>60</v>
      </c>
      <c r="P115" s="1133">
        <v>0</v>
      </c>
      <c r="Q115" s="1138"/>
      <c r="R115" s="1136">
        <v>9.1999999999999993</v>
      </c>
      <c r="S115" s="1158" t="s">
        <v>2903</v>
      </c>
      <c r="T115" s="1133"/>
      <c r="U115" s="1136">
        <v>93.6</v>
      </c>
      <c r="V115" s="1158" t="s">
        <v>2903</v>
      </c>
      <c r="W115" s="1133"/>
      <c r="X115" s="1136">
        <v>0.08</v>
      </c>
      <c r="Y115" s="1158" t="s">
        <v>2903</v>
      </c>
      <c r="Z115" s="1133"/>
      <c r="AA115" s="1136">
        <v>7.65</v>
      </c>
      <c r="AB115" s="1158" t="s">
        <v>2903</v>
      </c>
      <c r="AC115" s="1133"/>
      <c r="AD115" s="1136">
        <v>357</v>
      </c>
      <c r="AE115" s="1158" t="s">
        <v>2903</v>
      </c>
    </row>
    <row r="116" spans="3:31" x14ac:dyDescent="0.4">
      <c r="C116" s="2846"/>
      <c r="D116" s="1135" t="s">
        <v>3066</v>
      </c>
      <c r="E116" s="1133" t="s">
        <v>3074</v>
      </c>
      <c r="F116" s="1136">
        <v>573103</v>
      </c>
      <c r="G116" s="1136">
        <v>1128204</v>
      </c>
      <c r="H116" s="1133" t="s">
        <v>334</v>
      </c>
      <c r="I116" s="1133" t="s">
        <v>827</v>
      </c>
      <c r="J116" s="1133" t="s">
        <v>3033</v>
      </c>
      <c r="K116" s="1128"/>
      <c r="L116" s="1138" t="s">
        <v>2903</v>
      </c>
      <c r="M116" s="1138" t="s">
        <v>2903</v>
      </c>
      <c r="N116" s="1138" t="s">
        <v>2903</v>
      </c>
      <c r="O116" s="1139" t="s">
        <v>2903</v>
      </c>
      <c r="P116" s="1138" t="s">
        <v>2903</v>
      </c>
      <c r="Q116" s="1138"/>
      <c r="R116" s="1141" t="s">
        <v>2903</v>
      </c>
      <c r="S116" s="1142" t="s">
        <v>2903</v>
      </c>
      <c r="T116" s="1140"/>
      <c r="U116" s="1143" t="s">
        <v>2903</v>
      </c>
      <c r="V116" s="1142" t="s">
        <v>2903</v>
      </c>
      <c r="W116" s="1140"/>
      <c r="X116" s="1141" t="s">
        <v>2903</v>
      </c>
      <c r="Y116" s="1142" t="s">
        <v>2903</v>
      </c>
      <c r="Z116" s="1138"/>
      <c r="AA116" s="1143" t="s">
        <v>2903</v>
      </c>
      <c r="AB116" s="1142" t="s">
        <v>2903</v>
      </c>
      <c r="AC116" s="1138"/>
      <c r="AD116" s="1143" t="s">
        <v>2903</v>
      </c>
      <c r="AE116" s="1142" t="s">
        <v>2903</v>
      </c>
    </row>
    <row r="117" spans="3:31" x14ac:dyDescent="0.4">
      <c r="C117" s="2846"/>
      <c r="D117" s="1135" t="s">
        <v>3066</v>
      </c>
      <c r="E117" s="1133" t="s">
        <v>3075</v>
      </c>
      <c r="F117" s="1136">
        <v>573104</v>
      </c>
      <c r="G117" s="1136">
        <v>1128204</v>
      </c>
      <c r="H117" s="1133" t="s">
        <v>334</v>
      </c>
      <c r="I117" s="1133" t="s">
        <v>827</v>
      </c>
      <c r="J117" s="1133" t="s">
        <v>3033</v>
      </c>
      <c r="K117" s="1128"/>
      <c r="L117" s="1138" t="s">
        <v>2903</v>
      </c>
      <c r="M117" s="1138" t="s">
        <v>2903</v>
      </c>
      <c r="N117" s="1138" t="s">
        <v>2903</v>
      </c>
      <c r="O117" s="1139" t="s">
        <v>2903</v>
      </c>
      <c r="P117" s="1138" t="s">
        <v>2903</v>
      </c>
      <c r="Q117" s="1138"/>
      <c r="R117" s="1141" t="s">
        <v>2903</v>
      </c>
      <c r="S117" s="1142" t="s">
        <v>2903</v>
      </c>
      <c r="T117" s="1140"/>
      <c r="U117" s="1143" t="s">
        <v>2903</v>
      </c>
      <c r="V117" s="1142" t="s">
        <v>2903</v>
      </c>
      <c r="W117" s="1140"/>
      <c r="X117" s="1141" t="s">
        <v>2903</v>
      </c>
      <c r="Y117" s="1142" t="s">
        <v>2903</v>
      </c>
      <c r="Z117" s="1138"/>
      <c r="AA117" s="1143" t="s">
        <v>2903</v>
      </c>
      <c r="AB117" s="1142" t="s">
        <v>2903</v>
      </c>
      <c r="AC117" s="1138"/>
      <c r="AD117" s="1143" t="s">
        <v>2903</v>
      </c>
      <c r="AE117" s="1142" t="s">
        <v>2903</v>
      </c>
    </row>
    <row r="118" spans="3:31" x14ac:dyDescent="0.4">
      <c r="C118" s="2831" t="s">
        <v>3076</v>
      </c>
      <c r="D118" s="1159" t="s">
        <v>3077</v>
      </c>
      <c r="E118" s="1160" t="s">
        <v>3078</v>
      </c>
      <c r="F118" s="1161">
        <v>600426</v>
      </c>
      <c r="G118" s="1161">
        <v>1096343</v>
      </c>
      <c r="H118" s="1160" t="s">
        <v>334</v>
      </c>
      <c r="I118" s="1160" t="s">
        <v>334</v>
      </c>
      <c r="J118" s="1160" t="s">
        <v>3043</v>
      </c>
      <c r="K118" s="1128"/>
      <c r="L118" s="1160" t="s">
        <v>2903</v>
      </c>
      <c r="M118" s="1160" t="s">
        <v>2903</v>
      </c>
      <c r="N118" s="1160" t="s">
        <v>2903</v>
      </c>
      <c r="O118" s="1162" t="s">
        <v>2903</v>
      </c>
      <c r="P118" s="1160" t="s">
        <v>2903</v>
      </c>
      <c r="Q118" s="1138"/>
      <c r="R118" s="1161" t="s">
        <v>2903</v>
      </c>
      <c r="S118" s="1163" t="s">
        <v>2903</v>
      </c>
      <c r="T118" s="1164"/>
      <c r="U118" s="1161" t="s">
        <v>2903</v>
      </c>
      <c r="V118" s="1163" t="s">
        <v>2903</v>
      </c>
      <c r="W118" s="1150"/>
      <c r="X118" s="1161" t="s">
        <v>2903</v>
      </c>
      <c r="Y118" s="1163" t="s">
        <v>2903</v>
      </c>
      <c r="Z118" s="1133"/>
      <c r="AA118" s="1161" t="s">
        <v>2903</v>
      </c>
      <c r="AB118" s="1163" t="s">
        <v>2903</v>
      </c>
      <c r="AC118" s="1133"/>
      <c r="AD118" s="1161" t="s">
        <v>2903</v>
      </c>
      <c r="AE118" s="1163" t="s">
        <v>2903</v>
      </c>
    </row>
    <row r="119" spans="3:31" x14ac:dyDescent="0.4">
      <c r="C119" s="2847"/>
      <c r="D119" s="1159" t="s">
        <v>3077</v>
      </c>
      <c r="E119" s="1160" t="s">
        <v>3079</v>
      </c>
      <c r="F119" s="1161">
        <v>607647</v>
      </c>
      <c r="G119" s="1161">
        <v>1096504</v>
      </c>
      <c r="H119" s="1160" t="s">
        <v>334</v>
      </c>
      <c r="I119" s="1160" t="s">
        <v>334</v>
      </c>
      <c r="J119" s="1160" t="s">
        <v>3043</v>
      </c>
      <c r="K119" s="1128"/>
      <c r="L119" s="1160" t="s">
        <v>2903</v>
      </c>
      <c r="M119" s="1160" t="s">
        <v>2903</v>
      </c>
      <c r="N119" s="1160" t="s">
        <v>2903</v>
      </c>
      <c r="O119" s="1162" t="s">
        <v>2903</v>
      </c>
      <c r="P119" s="1160" t="s">
        <v>2903</v>
      </c>
      <c r="Q119" s="1138"/>
      <c r="R119" s="1161" t="s">
        <v>2903</v>
      </c>
      <c r="S119" s="1163" t="s">
        <v>2903</v>
      </c>
      <c r="T119" s="1164"/>
      <c r="U119" s="1161" t="s">
        <v>2903</v>
      </c>
      <c r="V119" s="1163" t="s">
        <v>2903</v>
      </c>
      <c r="W119" s="1150"/>
      <c r="X119" s="1161" t="s">
        <v>2903</v>
      </c>
      <c r="Y119" s="1163" t="s">
        <v>2903</v>
      </c>
      <c r="Z119" s="1133"/>
      <c r="AA119" s="1161" t="s">
        <v>2903</v>
      </c>
      <c r="AB119" s="1163" t="s">
        <v>2903</v>
      </c>
      <c r="AC119" s="1133"/>
      <c r="AD119" s="1161" t="s">
        <v>2903</v>
      </c>
      <c r="AE119" s="1163" t="s">
        <v>2903</v>
      </c>
    </row>
    <row r="120" spans="3:31" x14ac:dyDescent="0.4">
      <c r="C120" s="2830" t="s">
        <v>3080</v>
      </c>
      <c r="D120" s="1135" t="s">
        <v>3081</v>
      </c>
      <c r="E120" s="1133" t="s">
        <v>3082</v>
      </c>
      <c r="F120" s="1136">
        <v>592527.17399299995</v>
      </c>
      <c r="G120" s="1136">
        <v>1075888.68053</v>
      </c>
      <c r="H120" s="1135" t="s">
        <v>334</v>
      </c>
      <c r="I120" s="1133" t="s">
        <v>334</v>
      </c>
      <c r="J120" s="1133" t="s">
        <v>3083</v>
      </c>
      <c r="K120" s="1128"/>
      <c r="L120" s="1138" t="s">
        <v>2903</v>
      </c>
      <c r="M120" s="1138" t="s">
        <v>2903</v>
      </c>
      <c r="N120" s="1138" t="s">
        <v>2903</v>
      </c>
      <c r="O120" s="1139" t="s">
        <v>2903</v>
      </c>
      <c r="P120" s="1138" t="s">
        <v>2903</v>
      </c>
      <c r="Q120" s="1138"/>
      <c r="R120" s="1141" t="s">
        <v>2903</v>
      </c>
      <c r="S120" s="1142" t="s">
        <v>2903</v>
      </c>
      <c r="T120" s="1140"/>
      <c r="U120" s="1143" t="s">
        <v>2903</v>
      </c>
      <c r="V120" s="1142" t="s">
        <v>2903</v>
      </c>
      <c r="W120" s="1140"/>
      <c r="X120" s="1141" t="s">
        <v>2903</v>
      </c>
      <c r="Y120" s="1142" t="s">
        <v>2903</v>
      </c>
      <c r="Z120" s="1138"/>
      <c r="AA120" s="1143" t="s">
        <v>2903</v>
      </c>
      <c r="AB120" s="1142" t="s">
        <v>2903</v>
      </c>
      <c r="AC120" s="1138"/>
      <c r="AD120" s="1143" t="s">
        <v>2903</v>
      </c>
      <c r="AE120" s="1142" t="s">
        <v>2903</v>
      </c>
    </row>
    <row r="121" spans="3:31" x14ac:dyDescent="0.4">
      <c r="C121" s="2846"/>
      <c r="D121" s="1135" t="s">
        <v>3084</v>
      </c>
      <c r="E121" s="1133" t="s">
        <v>3085</v>
      </c>
      <c r="F121" s="1136">
        <v>597935.684289</v>
      </c>
      <c r="G121" s="1136">
        <v>1075672.9735900001</v>
      </c>
      <c r="H121" s="1135" t="s">
        <v>334</v>
      </c>
      <c r="I121" s="1133" t="s">
        <v>334</v>
      </c>
      <c r="J121" s="1133" t="s">
        <v>3083</v>
      </c>
      <c r="K121" s="1128"/>
      <c r="L121" s="1138" t="s">
        <v>2903</v>
      </c>
      <c r="M121" s="1138" t="s">
        <v>2903</v>
      </c>
      <c r="N121" s="1138" t="s">
        <v>2903</v>
      </c>
      <c r="O121" s="1139" t="s">
        <v>2903</v>
      </c>
      <c r="P121" s="1138" t="s">
        <v>2903</v>
      </c>
      <c r="Q121" s="1138"/>
      <c r="R121" s="1141" t="s">
        <v>2903</v>
      </c>
      <c r="S121" s="1142" t="s">
        <v>2903</v>
      </c>
      <c r="T121" s="1140"/>
      <c r="U121" s="1143" t="s">
        <v>2903</v>
      </c>
      <c r="V121" s="1142" t="s">
        <v>2903</v>
      </c>
      <c r="W121" s="1140"/>
      <c r="X121" s="1141" t="s">
        <v>2903</v>
      </c>
      <c r="Y121" s="1142" t="s">
        <v>2903</v>
      </c>
      <c r="Z121" s="1138"/>
      <c r="AA121" s="1143" t="s">
        <v>2903</v>
      </c>
      <c r="AB121" s="1142" t="s">
        <v>2903</v>
      </c>
      <c r="AC121" s="1138"/>
      <c r="AD121" s="1143" t="s">
        <v>2903</v>
      </c>
      <c r="AE121" s="1142" t="s">
        <v>2903</v>
      </c>
    </row>
    <row r="122" spans="3:31" x14ac:dyDescent="0.4">
      <c r="C122" s="2846"/>
      <c r="D122" s="1135" t="s">
        <v>3084</v>
      </c>
      <c r="E122" s="1133" t="s">
        <v>3086</v>
      </c>
      <c r="F122" s="1136">
        <v>615149.50571000006</v>
      </c>
      <c r="G122" s="1136">
        <v>1078051.2324600001</v>
      </c>
      <c r="H122" s="1135" t="s">
        <v>334</v>
      </c>
      <c r="I122" s="1133" t="s">
        <v>334</v>
      </c>
      <c r="J122" s="1133" t="s">
        <v>3083</v>
      </c>
      <c r="K122" s="1128"/>
      <c r="L122" s="1138" t="s">
        <v>2903</v>
      </c>
      <c r="M122" s="1138" t="s">
        <v>2903</v>
      </c>
      <c r="N122" s="1138" t="s">
        <v>2903</v>
      </c>
      <c r="O122" s="1139" t="s">
        <v>2903</v>
      </c>
      <c r="P122" s="1138" t="s">
        <v>2903</v>
      </c>
      <c r="Q122" s="1138"/>
      <c r="R122" s="1141" t="s">
        <v>2903</v>
      </c>
      <c r="S122" s="1142" t="s">
        <v>2903</v>
      </c>
      <c r="T122" s="1140"/>
      <c r="U122" s="1143" t="s">
        <v>2903</v>
      </c>
      <c r="V122" s="1142" t="s">
        <v>2903</v>
      </c>
      <c r="W122" s="1140"/>
      <c r="X122" s="1141" t="s">
        <v>2903</v>
      </c>
      <c r="Y122" s="1142" t="s">
        <v>2903</v>
      </c>
      <c r="Z122" s="1138"/>
      <c r="AA122" s="1143" t="s">
        <v>2903</v>
      </c>
      <c r="AB122" s="1142" t="s">
        <v>2903</v>
      </c>
      <c r="AC122" s="1138"/>
      <c r="AD122" s="1143" t="s">
        <v>2903</v>
      </c>
      <c r="AE122" s="1142" t="s">
        <v>2903</v>
      </c>
    </row>
    <row r="123" spans="3:31" x14ac:dyDescent="0.4">
      <c r="C123" s="2846"/>
      <c r="D123" s="1135" t="s">
        <v>3084</v>
      </c>
      <c r="E123" s="1133" t="s">
        <v>3087</v>
      </c>
      <c r="F123" s="1136">
        <v>619158</v>
      </c>
      <c r="G123" s="1136">
        <v>1082458</v>
      </c>
      <c r="H123" s="1135" t="s">
        <v>334</v>
      </c>
      <c r="I123" s="1133" t="s">
        <v>334</v>
      </c>
      <c r="J123" s="1133" t="s">
        <v>3083</v>
      </c>
      <c r="K123" s="1128"/>
      <c r="L123" s="1138" t="s">
        <v>2903</v>
      </c>
      <c r="M123" s="1138" t="s">
        <v>2903</v>
      </c>
      <c r="N123" s="1138" t="s">
        <v>2903</v>
      </c>
      <c r="O123" s="1139" t="s">
        <v>2903</v>
      </c>
      <c r="P123" s="1138" t="s">
        <v>2903</v>
      </c>
      <c r="Q123" s="1138"/>
      <c r="R123" s="1141" t="s">
        <v>2903</v>
      </c>
      <c r="S123" s="1142" t="s">
        <v>2903</v>
      </c>
      <c r="T123" s="1140"/>
      <c r="U123" s="1143" t="s">
        <v>2903</v>
      </c>
      <c r="V123" s="1142" t="s">
        <v>2903</v>
      </c>
      <c r="W123" s="1140"/>
      <c r="X123" s="1141" t="s">
        <v>2903</v>
      </c>
      <c r="Y123" s="1142" t="s">
        <v>2903</v>
      </c>
      <c r="Z123" s="1138"/>
      <c r="AA123" s="1143" t="s">
        <v>2903</v>
      </c>
      <c r="AB123" s="1142" t="s">
        <v>2903</v>
      </c>
      <c r="AC123" s="1138"/>
      <c r="AD123" s="1143" t="s">
        <v>2903</v>
      </c>
      <c r="AE123" s="1142" t="s">
        <v>2903</v>
      </c>
    </row>
    <row r="124" spans="3:31" x14ac:dyDescent="0.4">
      <c r="C124" s="2832" t="s">
        <v>3088</v>
      </c>
      <c r="D124" s="1125" t="s">
        <v>3089</v>
      </c>
      <c r="E124" s="1126" t="s">
        <v>3090</v>
      </c>
      <c r="F124" s="1127">
        <v>624974</v>
      </c>
      <c r="G124" s="1127">
        <v>1062379</v>
      </c>
      <c r="H124" s="1126" t="s">
        <v>334</v>
      </c>
      <c r="I124" s="1126" t="s">
        <v>828</v>
      </c>
      <c r="J124" s="1126" t="s">
        <v>3091</v>
      </c>
      <c r="K124" s="1128"/>
      <c r="L124" s="1126" t="s">
        <v>2903</v>
      </c>
      <c r="M124" s="1126" t="s">
        <v>2903</v>
      </c>
      <c r="N124" s="1126" t="s">
        <v>2903</v>
      </c>
      <c r="O124" s="1129" t="s">
        <v>2903</v>
      </c>
      <c r="P124" s="1126" t="s">
        <v>2903</v>
      </c>
      <c r="Q124" s="1138"/>
      <c r="R124" s="1127" t="s">
        <v>2903</v>
      </c>
      <c r="S124" s="1131" t="s">
        <v>2903</v>
      </c>
      <c r="T124" s="1132"/>
      <c r="U124" s="1127" t="s">
        <v>2903</v>
      </c>
      <c r="V124" s="1131" t="s">
        <v>2903</v>
      </c>
      <c r="W124" s="1150"/>
      <c r="X124" s="1127" t="s">
        <v>2903</v>
      </c>
      <c r="Y124" s="1131" t="s">
        <v>2903</v>
      </c>
      <c r="Z124" s="1133"/>
      <c r="AA124" s="1127" t="s">
        <v>2903</v>
      </c>
      <c r="AB124" s="1131" t="s">
        <v>2903</v>
      </c>
      <c r="AC124" s="1133"/>
      <c r="AD124" s="1127" t="s">
        <v>2903</v>
      </c>
      <c r="AE124" s="1131" t="s">
        <v>2903</v>
      </c>
    </row>
    <row r="125" spans="3:31" x14ac:dyDescent="0.4">
      <c r="C125" s="2847"/>
      <c r="D125" s="1125" t="s">
        <v>3089</v>
      </c>
      <c r="E125" s="1126" t="s">
        <v>3092</v>
      </c>
      <c r="F125" s="1127">
        <v>624971</v>
      </c>
      <c r="G125" s="1127">
        <v>1060351</v>
      </c>
      <c r="H125" s="1126" t="s">
        <v>334</v>
      </c>
      <c r="I125" s="1126" t="s">
        <v>828</v>
      </c>
      <c r="J125" s="1126" t="s">
        <v>3091</v>
      </c>
      <c r="K125" s="1128"/>
      <c r="L125" s="1126" t="s">
        <v>2903</v>
      </c>
      <c r="M125" s="1126" t="s">
        <v>2903</v>
      </c>
      <c r="N125" s="1126" t="s">
        <v>2903</v>
      </c>
      <c r="O125" s="1129" t="s">
        <v>2903</v>
      </c>
      <c r="P125" s="1126" t="s">
        <v>2903</v>
      </c>
      <c r="Q125" s="1138"/>
      <c r="R125" s="1127" t="s">
        <v>2903</v>
      </c>
      <c r="S125" s="1131" t="s">
        <v>2903</v>
      </c>
      <c r="T125" s="1132"/>
      <c r="U125" s="1127" t="s">
        <v>2903</v>
      </c>
      <c r="V125" s="1131" t="s">
        <v>2903</v>
      </c>
      <c r="W125" s="1150"/>
      <c r="X125" s="1127" t="s">
        <v>2903</v>
      </c>
      <c r="Y125" s="1131" t="s">
        <v>2903</v>
      </c>
      <c r="Z125" s="1133"/>
      <c r="AA125" s="1127" t="s">
        <v>2903</v>
      </c>
      <c r="AB125" s="1131" t="s">
        <v>2903</v>
      </c>
      <c r="AC125" s="1133"/>
      <c r="AD125" s="1127" t="s">
        <v>2903</v>
      </c>
      <c r="AE125" s="1131" t="s">
        <v>2903</v>
      </c>
    </row>
    <row r="126" spans="3:31" x14ac:dyDescent="0.4">
      <c r="C126" s="2847"/>
      <c r="D126" s="1125" t="s">
        <v>3089</v>
      </c>
      <c r="E126" s="1126" t="s">
        <v>3093</v>
      </c>
      <c r="F126" s="1127">
        <v>652226</v>
      </c>
      <c r="G126" s="1127">
        <v>1050612</v>
      </c>
      <c r="H126" s="1126" t="s">
        <v>334</v>
      </c>
      <c r="I126" s="1126" t="s">
        <v>828</v>
      </c>
      <c r="J126" s="1126" t="s">
        <v>3088</v>
      </c>
      <c r="K126" s="1128"/>
      <c r="L126" s="1126" t="s">
        <v>2903</v>
      </c>
      <c r="M126" s="1126" t="s">
        <v>2903</v>
      </c>
      <c r="N126" s="1126" t="s">
        <v>2903</v>
      </c>
      <c r="O126" s="1129" t="s">
        <v>2903</v>
      </c>
      <c r="P126" s="1126" t="s">
        <v>2903</v>
      </c>
      <c r="Q126" s="1138"/>
      <c r="R126" s="1127" t="s">
        <v>2903</v>
      </c>
      <c r="S126" s="1131" t="s">
        <v>2903</v>
      </c>
      <c r="T126" s="1132"/>
      <c r="U126" s="1127" t="s">
        <v>2903</v>
      </c>
      <c r="V126" s="1131" t="s">
        <v>2903</v>
      </c>
      <c r="W126" s="1150"/>
      <c r="X126" s="1127" t="s">
        <v>2903</v>
      </c>
      <c r="Y126" s="1131" t="s">
        <v>2903</v>
      </c>
      <c r="Z126" s="1133"/>
      <c r="AA126" s="1127" t="s">
        <v>2903</v>
      </c>
      <c r="AB126" s="1131" t="s">
        <v>2903</v>
      </c>
      <c r="AC126" s="1133"/>
      <c r="AD126" s="1127" t="s">
        <v>2903</v>
      </c>
      <c r="AE126" s="1131" t="s">
        <v>2903</v>
      </c>
    </row>
    <row r="127" spans="3:31" x14ac:dyDescent="0.4">
      <c r="C127" s="2830" t="s">
        <v>3094</v>
      </c>
      <c r="D127" s="1135" t="s">
        <v>3095</v>
      </c>
      <c r="E127" s="1133" t="s">
        <v>3096</v>
      </c>
      <c r="F127" s="1136">
        <v>521141.66</v>
      </c>
      <c r="G127" s="1136">
        <v>1132805.69</v>
      </c>
      <c r="H127" s="1133" t="s">
        <v>334</v>
      </c>
      <c r="I127" s="1133" t="s">
        <v>826</v>
      </c>
      <c r="J127" s="1133" t="s">
        <v>3097</v>
      </c>
      <c r="K127" s="1128"/>
      <c r="L127" s="1138" t="s">
        <v>2903</v>
      </c>
      <c r="M127" s="1138" t="s">
        <v>2903</v>
      </c>
      <c r="N127" s="1138" t="s">
        <v>2903</v>
      </c>
      <c r="O127" s="1139" t="s">
        <v>2903</v>
      </c>
      <c r="P127" s="1138" t="s">
        <v>2903</v>
      </c>
      <c r="Q127" s="1138"/>
      <c r="R127" s="1141" t="s">
        <v>2903</v>
      </c>
      <c r="S127" s="1142" t="s">
        <v>2903</v>
      </c>
      <c r="T127" s="1140"/>
      <c r="U127" s="1143" t="s">
        <v>2903</v>
      </c>
      <c r="V127" s="1142" t="s">
        <v>2903</v>
      </c>
      <c r="W127" s="1140"/>
      <c r="X127" s="1141" t="s">
        <v>2903</v>
      </c>
      <c r="Y127" s="1142" t="s">
        <v>2903</v>
      </c>
      <c r="Z127" s="1138"/>
      <c r="AA127" s="1143" t="s">
        <v>2903</v>
      </c>
      <c r="AB127" s="1142" t="s">
        <v>2903</v>
      </c>
      <c r="AC127" s="1138"/>
      <c r="AD127" s="1143" t="s">
        <v>2903</v>
      </c>
      <c r="AE127" s="1142" t="s">
        <v>2903</v>
      </c>
    </row>
    <row r="128" spans="3:31" x14ac:dyDescent="0.4">
      <c r="C128" s="2846"/>
      <c r="D128" s="1135" t="s">
        <v>3095</v>
      </c>
      <c r="E128" s="1133" t="s">
        <v>3098</v>
      </c>
      <c r="F128" s="1136">
        <v>521585.82</v>
      </c>
      <c r="G128" s="1136">
        <v>1129246.46</v>
      </c>
      <c r="H128" s="1133" t="s">
        <v>334</v>
      </c>
      <c r="I128" s="1133" t="s">
        <v>826</v>
      </c>
      <c r="J128" s="1133" t="s">
        <v>3097</v>
      </c>
      <c r="K128" s="1128"/>
      <c r="L128" s="1138" t="s">
        <v>2903</v>
      </c>
      <c r="M128" s="1138" t="s">
        <v>2903</v>
      </c>
      <c r="N128" s="1138" t="s">
        <v>2903</v>
      </c>
      <c r="O128" s="1139" t="s">
        <v>2903</v>
      </c>
      <c r="P128" s="1138" t="s">
        <v>2903</v>
      </c>
      <c r="Q128" s="1138"/>
      <c r="R128" s="1141" t="s">
        <v>2903</v>
      </c>
      <c r="S128" s="1142" t="s">
        <v>2903</v>
      </c>
      <c r="T128" s="1140"/>
      <c r="U128" s="1143" t="s">
        <v>2903</v>
      </c>
      <c r="V128" s="1142" t="s">
        <v>2903</v>
      </c>
      <c r="W128" s="1140"/>
      <c r="X128" s="1141" t="s">
        <v>2903</v>
      </c>
      <c r="Y128" s="1142" t="s">
        <v>2903</v>
      </c>
      <c r="Z128" s="1138"/>
      <c r="AA128" s="1143" t="s">
        <v>2903</v>
      </c>
      <c r="AB128" s="1142" t="s">
        <v>2903</v>
      </c>
      <c r="AC128" s="1138"/>
      <c r="AD128" s="1143" t="s">
        <v>2903</v>
      </c>
      <c r="AE128" s="1142" t="s">
        <v>2903</v>
      </c>
    </row>
    <row r="129" spans="3:31" x14ac:dyDescent="0.4">
      <c r="C129" s="2846"/>
      <c r="D129" s="1135" t="s">
        <v>3095</v>
      </c>
      <c r="E129" s="1133" t="s">
        <v>3099</v>
      </c>
      <c r="F129" s="1136">
        <v>523998</v>
      </c>
      <c r="G129" s="1136">
        <v>1137806</v>
      </c>
      <c r="H129" s="1133" t="s">
        <v>334</v>
      </c>
      <c r="I129" s="1133" t="s">
        <v>826</v>
      </c>
      <c r="J129" s="1133" t="s">
        <v>3100</v>
      </c>
      <c r="K129" s="1128"/>
      <c r="L129" s="1138" t="s">
        <v>2903</v>
      </c>
      <c r="M129" s="1138" t="s">
        <v>2903</v>
      </c>
      <c r="N129" s="1138" t="s">
        <v>2903</v>
      </c>
      <c r="O129" s="1139" t="s">
        <v>2903</v>
      </c>
      <c r="P129" s="1138" t="s">
        <v>2903</v>
      </c>
      <c r="Q129" s="1138"/>
      <c r="R129" s="1141" t="s">
        <v>2903</v>
      </c>
      <c r="S129" s="1142" t="s">
        <v>2903</v>
      </c>
      <c r="T129" s="1140"/>
      <c r="U129" s="1143" t="s">
        <v>2903</v>
      </c>
      <c r="V129" s="1142" t="s">
        <v>2903</v>
      </c>
      <c r="W129" s="1140"/>
      <c r="X129" s="1141" t="s">
        <v>2903</v>
      </c>
      <c r="Y129" s="1142" t="s">
        <v>2903</v>
      </c>
      <c r="Z129" s="1138"/>
      <c r="AA129" s="1143" t="s">
        <v>2903</v>
      </c>
      <c r="AB129" s="1142" t="s">
        <v>2903</v>
      </c>
      <c r="AC129" s="1138"/>
      <c r="AD129" s="1143" t="s">
        <v>2903</v>
      </c>
      <c r="AE129" s="1142" t="s">
        <v>2903</v>
      </c>
    </row>
    <row r="130" spans="3:31" x14ac:dyDescent="0.4">
      <c r="C130" s="2846"/>
      <c r="D130" s="1135" t="s">
        <v>3095</v>
      </c>
      <c r="E130" s="1133" t="s">
        <v>3101</v>
      </c>
      <c r="F130" s="1136">
        <v>534432.40908333356</v>
      </c>
      <c r="G130" s="1136">
        <v>1147242.2668981161</v>
      </c>
      <c r="H130" s="1133" t="s">
        <v>334</v>
      </c>
      <c r="I130" s="1133" t="s">
        <v>826</v>
      </c>
      <c r="J130" s="1133" t="s">
        <v>3102</v>
      </c>
      <c r="K130" s="1128"/>
      <c r="L130" s="1138" t="s">
        <v>2903</v>
      </c>
      <c r="M130" s="1138" t="s">
        <v>2903</v>
      </c>
      <c r="N130" s="1138" t="s">
        <v>2903</v>
      </c>
      <c r="O130" s="1139" t="s">
        <v>2903</v>
      </c>
      <c r="P130" s="1138" t="s">
        <v>2903</v>
      </c>
      <c r="Q130" s="1138"/>
      <c r="R130" s="1141" t="s">
        <v>2903</v>
      </c>
      <c r="S130" s="1142" t="s">
        <v>2903</v>
      </c>
      <c r="T130" s="1140"/>
      <c r="U130" s="1143" t="s">
        <v>2903</v>
      </c>
      <c r="V130" s="1142" t="s">
        <v>2903</v>
      </c>
      <c r="W130" s="1140"/>
      <c r="X130" s="1141" t="s">
        <v>2903</v>
      </c>
      <c r="Y130" s="1142" t="s">
        <v>2903</v>
      </c>
      <c r="Z130" s="1138"/>
      <c r="AA130" s="1143" t="s">
        <v>2903</v>
      </c>
      <c r="AB130" s="1142" t="s">
        <v>2903</v>
      </c>
      <c r="AC130" s="1138"/>
      <c r="AD130" s="1143" t="s">
        <v>2903</v>
      </c>
      <c r="AE130" s="1142" t="s">
        <v>2903</v>
      </c>
    </row>
    <row r="131" spans="3:31" x14ac:dyDescent="0.4">
      <c r="C131" s="2847"/>
      <c r="D131" s="1135" t="s">
        <v>3095</v>
      </c>
      <c r="E131" s="1133" t="s">
        <v>3103</v>
      </c>
      <c r="F131" s="1136">
        <v>536063</v>
      </c>
      <c r="G131" s="1136">
        <v>1149276</v>
      </c>
      <c r="H131" s="1133" t="s">
        <v>334</v>
      </c>
      <c r="I131" s="1133" t="s">
        <v>826</v>
      </c>
      <c r="J131" s="1133" t="s">
        <v>3102</v>
      </c>
      <c r="K131" s="1128"/>
      <c r="L131" s="1133" t="s">
        <v>2903</v>
      </c>
      <c r="M131" s="1133" t="s">
        <v>2903</v>
      </c>
      <c r="N131" s="1133" t="s">
        <v>2903</v>
      </c>
      <c r="O131" s="1133" t="s">
        <v>2903</v>
      </c>
      <c r="P131" s="1133" t="s">
        <v>2903</v>
      </c>
      <c r="Q131" s="1138"/>
      <c r="R131" s="1141" t="s">
        <v>2903</v>
      </c>
      <c r="S131" s="1165" t="s">
        <v>2903</v>
      </c>
      <c r="T131" s="1166"/>
      <c r="U131" s="1141" t="s">
        <v>2903</v>
      </c>
      <c r="V131" s="1165" t="s">
        <v>2903</v>
      </c>
      <c r="W131" s="1166"/>
      <c r="X131" s="1141" t="s">
        <v>2903</v>
      </c>
      <c r="Y131" s="1165" t="s">
        <v>2903</v>
      </c>
      <c r="Z131" s="1141"/>
      <c r="AA131" s="1141" t="s">
        <v>2903</v>
      </c>
      <c r="AB131" s="1165" t="s">
        <v>2903</v>
      </c>
      <c r="AC131" s="1141"/>
      <c r="AD131" s="1141" t="s">
        <v>2903</v>
      </c>
      <c r="AE131" s="1165" t="s">
        <v>2903</v>
      </c>
    </row>
    <row r="132" spans="3:31" x14ac:dyDescent="0.4">
      <c r="C132" s="2829" t="s">
        <v>3104</v>
      </c>
      <c r="D132" s="1167" t="s">
        <v>3105</v>
      </c>
      <c r="E132" s="1168" t="s">
        <v>3106</v>
      </c>
      <c r="F132" s="1169">
        <v>349842</v>
      </c>
      <c r="G132" s="1169">
        <v>1117119</v>
      </c>
      <c r="H132" s="1167" t="s">
        <v>332</v>
      </c>
      <c r="I132" s="1168" t="s">
        <v>804</v>
      </c>
      <c r="J132" s="1168" t="s">
        <v>3107</v>
      </c>
      <c r="K132" s="1111"/>
      <c r="L132" s="1168">
        <v>5</v>
      </c>
      <c r="M132" s="1168">
        <v>4</v>
      </c>
      <c r="N132" s="1168">
        <v>1</v>
      </c>
      <c r="O132" s="1170">
        <v>80</v>
      </c>
      <c r="P132" s="1168">
        <v>1</v>
      </c>
      <c r="Q132" s="1150"/>
      <c r="R132" s="1169">
        <v>7.2</v>
      </c>
      <c r="S132" s="1171" t="s">
        <v>2903</v>
      </c>
      <c r="T132" s="1149"/>
      <c r="U132" s="1169">
        <v>92.6</v>
      </c>
      <c r="V132" s="1171" t="s">
        <v>2903</v>
      </c>
      <c r="W132" s="1150"/>
      <c r="X132" s="1169">
        <v>0.12</v>
      </c>
      <c r="Y132" s="1171" t="s">
        <v>2903</v>
      </c>
      <c r="Z132" s="1150"/>
      <c r="AA132" s="1169">
        <v>7.83</v>
      </c>
      <c r="AB132" s="1171" t="s">
        <v>2903</v>
      </c>
      <c r="AC132" s="1133"/>
      <c r="AD132" s="1169">
        <v>3.4</v>
      </c>
      <c r="AE132" s="1171" t="s">
        <v>2903</v>
      </c>
    </row>
    <row r="133" spans="3:31" x14ac:dyDescent="0.4">
      <c r="C133" s="2847"/>
      <c r="D133" s="1167" t="s">
        <v>3105</v>
      </c>
      <c r="E133" s="1168" t="s">
        <v>3108</v>
      </c>
      <c r="F133" s="1169">
        <v>355309</v>
      </c>
      <c r="G133" s="1169">
        <v>1113777</v>
      </c>
      <c r="H133" s="1167" t="s">
        <v>332</v>
      </c>
      <c r="I133" s="1168" t="s">
        <v>804</v>
      </c>
      <c r="J133" s="1168" t="s">
        <v>3107</v>
      </c>
      <c r="K133" s="1111"/>
      <c r="L133" s="1168">
        <v>5</v>
      </c>
      <c r="M133" s="1168">
        <v>4</v>
      </c>
      <c r="N133" s="1168">
        <v>1</v>
      </c>
      <c r="O133" s="1170">
        <v>80</v>
      </c>
      <c r="P133" s="1168">
        <v>1</v>
      </c>
      <c r="Q133" s="1150"/>
      <c r="R133" s="1169">
        <v>7.2</v>
      </c>
      <c r="S133" s="1171" t="s">
        <v>2903</v>
      </c>
      <c r="T133" s="1149"/>
      <c r="U133" s="1169">
        <v>93.5</v>
      </c>
      <c r="V133" s="1171" t="s">
        <v>2903</v>
      </c>
      <c r="W133" s="1150"/>
      <c r="X133" s="1169">
        <v>0.15</v>
      </c>
      <c r="Y133" s="1171" t="s">
        <v>2903</v>
      </c>
      <c r="Z133" s="1150"/>
      <c r="AA133" s="1169">
        <v>7.96</v>
      </c>
      <c r="AB133" s="1171" t="s">
        <v>2903</v>
      </c>
      <c r="AC133" s="1133"/>
      <c r="AD133" s="1169">
        <v>3.4</v>
      </c>
      <c r="AE133" s="1171" t="s">
        <v>2903</v>
      </c>
    </row>
    <row r="134" spans="3:31" x14ac:dyDescent="0.4">
      <c r="C134" s="2847"/>
      <c r="D134" s="1167" t="s">
        <v>3105</v>
      </c>
      <c r="E134" s="1168" t="s">
        <v>3109</v>
      </c>
      <c r="F134" s="1169">
        <v>365172</v>
      </c>
      <c r="G134" s="1169">
        <v>1112633</v>
      </c>
      <c r="H134" s="1167" t="s">
        <v>332</v>
      </c>
      <c r="I134" s="1168" t="s">
        <v>804</v>
      </c>
      <c r="J134" s="1168" t="s">
        <v>804</v>
      </c>
      <c r="K134" s="1111"/>
      <c r="L134" s="1168" t="s">
        <v>2903</v>
      </c>
      <c r="M134" s="1168" t="s">
        <v>2903</v>
      </c>
      <c r="N134" s="1168" t="s">
        <v>2903</v>
      </c>
      <c r="O134" s="1170" t="s">
        <v>2903</v>
      </c>
      <c r="P134" s="1168" t="s">
        <v>2903</v>
      </c>
      <c r="Q134" s="1150"/>
      <c r="R134" s="1169" t="s">
        <v>2903</v>
      </c>
      <c r="S134" s="1171" t="s">
        <v>2903</v>
      </c>
      <c r="T134" s="1149"/>
      <c r="U134" s="1169" t="s">
        <v>2903</v>
      </c>
      <c r="V134" s="1171" t="s">
        <v>2903</v>
      </c>
      <c r="W134" s="1150"/>
      <c r="X134" s="1169" t="s">
        <v>2903</v>
      </c>
      <c r="Y134" s="1171" t="s">
        <v>2903</v>
      </c>
      <c r="Z134" s="1150"/>
      <c r="AA134" s="1169" t="s">
        <v>2903</v>
      </c>
      <c r="AB134" s="1171" t="s">
        <v>2903</v>
      </c>
      <c r="AC134" s="1133"/>
      <c r="AD134" s="1169" t="s">
        <v>2903</v>
      </c>
      <c r="AE134" s="1171" t="s">
        <v>2903</v>
      </c>
    </row>
    <row r="135" spans="3:31" x14ac:dyDescent="0.4">
      <c r="C135" s="2847"/>
      <c r="D135" s="1167" t="s">
        <v>3110</v>
      </c>
      <c r="E135" s="1168" t="s">
        <v>3111</v>
      </c>
      <c r="F135" s="1169">
        <v>317976</v>
      </c>
      <c r="G135" s="1169">
        <v>1102883</v>
      </c>
      <c r="H135" s="1167" t="s">
        <v>332</v>
      </c>
      <c r="I135" s="1168" t="s">
        <v>804</v>
      </c>
      <c r="J135" s="1168" t="s">
        <v>3112</v>
      </c>
      <c r="K135" s="1111"/>
      <c r="L135" s="1168">
        <v>5</v>
      </c>
      <c r="M135" s="1168">
        <v>4</v>
      </c>
      <c r="N135" s="1168">
        <v>1</v>
      </c>
      <c r="O135" s="1170">
        <v>80</v>
      </c>
      <c r="P135" s="1168">
        <v>1</v>
      </c>
      <c r="Q135" s="1150"/>
      <c r="R135" s="1169">
        <v>7.8</v>
      </c>
      <c r="S135" s="1171" t="s">
        <v>2903</v>
      </c>
      <c r="T135" s="1149"/>
      <c r="U135" s="1169">
        <v>89.2</v>
      </c>
      <c r="V135" s="1171" t="s">
        <v>2903</v>
      </c>
      <c r="W135" s="1150"/>
      <c r="X135" s="1169">
        <v>0.12</v>
      </c>
      <c r="Y135" s="1171" t="s">
        <v>2903</v>
      </c>
      <c r="Z135" s="1150"/>
      <c r="AA135" s="1169">
        <v>7.54</v>
      </c>
      <c r="AB135" s="1171" t="s">
        <v>2903</v>
      </c>
      <c r="AC135" s="1133"/>
      <c r="AD135" s="1169">
        <v>3.4</v>
      </c>
      <c r="AE135" s="1171" t="s">
        <v>2903</v>
      </c>
    </row>
    <row r="136" spans="3:31" x14ac:dyDescent="0.4">
      <c r="C136" s="2847"/>
      <c r="D136" s="1167" t="s">
        <v>3110</v>
      </c>
      <c r="E136" s="1172" t="s">
        <v>3113</v>
      </c>
      <c r="F136" s="1169">
        <v>331169</v>
      </c>
      <c r="G136" s="1169">
        <v>1109457</v>
      </c>
      <c r="H136" s="1167" t="s">
        <v>332</v>
      </c>
      <c r="I136" s="1168" t="s">
        <v>804</v>
      </c>
      <c r="J136" s="1168" t="s">
        <v>3112</v>
      </c>
      <c r="K136" s="1111"/>
      <c r="L136" s="1172" t="s">
        <v>2903</v>
      </c>
      <c r="M136" s="1168" t="s">
        <v>2903</v>
      </c>
      <c r="N136" s="1168" t="s">
        <v>2903</v>
      </c>
      <c r="O136" s="1173" t="s">
        <v>2903</v>
      </c>
      <c r="P136" s="1168" t="s">
        <v>2903</v>
      </c>
      <c r="Q136" s="1150"/>
      <c r="R136" s="1174" t="s">
        <v>2903</v>
      </c>
      <c r="S136" s="1171" t="s">
        <v>2903</v>
      </c>
      <c r="T136" s="1149"/>
      <c r="U136" s="1174" t="s">
        <v>2903</v>
      </c>
      <c r="V136" s="1171" t="s">
        <v>2903</v>
      </c>
      <c r="W136" s="1150"/>
      <c r="X136" s="1174" t="s">
        <v>2903</v>
      </c>
      <c r="Y136" s="1171" t="s">
        <v>2903</v>
      </c>
      <c r="Z136" s="1150"/>
      <c r="AA136" s="1174" t="s">
        <v>2903</v>
      </c>
      <c r="AB136" s="1171" t="s">
        <v>2903</v>
      </c>
      <c r="AC136" s="1133"/>
      <c r="AD136" s="1174" t="s">
        <v>2903</v>
      </c>
      <c r="AE136" s="1171" t="s">
        <v>2903</v>
      </c>
    </row>
    <row r="137" spans="3:31" x14ac:dyDescent="0.4">
      <c r="C137" s="2847"/>
      <c r="D137" s="1144" t="s">
        <v>3114</v>
      </c>
      <c r="E137" s="1145" t="s">
        <v>3115</v>
      </c>
      <c r="F137" s="1146">
        <v>367100</v>
      </c>
      <c r="G137" s="1146">
        <v>1077698</v>
      </c>
      <c r="H137" s="1144" t="s">
        <v>332</v>
      </c>
      <c r="I137" s="1145" t="s">
        <v>811</v>
      </c>
      <c r="J137" s="1145" t="s">
        <v>3116</v>
      </c>
      <c r="K137" s="1111"/>
      <c r="L137" s="1145" t="s">
        <v>2903</v>
      </c>
      <c r="M137" s="1145" t="s">
        <v>2903</v>
      </c>
      <c r="N137" s="1145" t="s">
        <v>2903</v>
      </c>
      <c r="O137" s="1147" t="s">
        <v>2903</v>
      </c>
      <c r="P137" s="1145" t="s">
        <v>2903</v>
      </c>
      <c r="Q137" s="1150"/>
      <c r="R137" s="1146" t="s">
        <v>2903</v>
      </c>
      <c r="S137" s="1148" t="s">
        <v>2903</v>
      </c>
      <c r="T137" s="1149"/>
      <c r="U137" s="1146" t="s">
        <v>2903</v>
      </c>
      <c r="V137" s="1148" t="s">
        <v>2903</v>
      </c>
      <c r="W137" s="1150"/>
      <c r="X137" s="1146" t="s">
        <v>2903</v>
      </c>
      <c r="Y137" s="1148" t="s">
        <v>2903</v>
      </c>
      <c r="Z137" s="1150"/>
      <c r="AA137" s="1146" t="s">
        <v>2903</v>
      </c>
      <c r="AB137" s="1148" t="s">
        <v>2903</v>
      </c>
      <c r="AC137" s="1133"/>
      <c r="AD137" s="1146" t="s">
        <v>2903</v>
      </c>
      <c r="AE137" s="1148" t="s">
        <v>2903</v>
      </c>
    </row>
    <row r="138" spans="3:31" x14ac:dyDescent="0.4">
      <c r="C138" s="2847"/>
      <c r="D138" s="1144" t="s">
        <v>3038</v>
      </c>
      <c r="E138" s="1145" t="s">
        <v>3117</v>
      </c>
      <c r="F138" s="1146">
        <v>369901</v>
      </c>
      <c r="G138" s="1146">
        <v>1088599</v>
      </c>
      <c r="H138" s="1144" t="s">
        <v>533</v>
      </c>
      <c r="I138" s="1144" t="s">
        <v>533</v>
      </c>
      <c r="J138" s="1145" t="s">
        <v>3118</v>
      </c>
      <c r="K138" s="1111"/>
      <c r="L138" s="1145" t="s">
        <v>2903</v>
      </c>
      <c r="M138" s="1145" t="s">
        <v>2903</v>
      </c>
      <c r="N138" s="1145" t="s">
        <v>2903</v>
      </c>
      <c r="O138" s="1147" t="s">
        <v>2903</v>
      </c>
      <c r="P138" s="1145" t="s">
        <v>2903</v>
      </c>
      <c r="Q138" s="1150"/>
      <c r="R138" s="1146" t="s">
        <v>2903</v>
      </c>
      <c r="S138" s="1148" t="s">
        <v>2903</v>
      </c>
      <c r="T138" s="1149"/>
      <c r="U138" s="1146" t="s">
        <v>2903</v>
      </c>
      <c r="V138" s="1148" t="s">
        <v>2903</v>
      </c>
      <c r="W138" s="1150"/>
      <c r="X138" s="1146" t="s">
        <v>2903</v>
      </c>
      <c r="Y138" s="1148" t="s">
        <v>2903</v>
      </c>
      <c r="Z138" s="1150"/>
      <c r="AA138" s="1146" t="s">
        <v>2903</v>
      </c>
      <c r="AB138" s="1148" t="s">
        <v>2903</v>
      </c>
      <c r="AC138" s="1133"/>
      <c r="AD138" s="1146" t="s">
        <v>2903</v>
      </c>
      <c r="AE138" s="1148" t="s">
        <v>2903</v>
      </c>
    </row>
    <row r="139" spans="3:31" x14ac:dyDescent="0.4">
      <c r="C139" s="2847"/>
      <c r="D139" s="1144" t="s">
        <v>3038</v>
      </c>
      <c r="E139" s="1145" t="s">
        <v>3119</v>
      </c>
      <c r="F139" s="1146">
        <v>369108</v>
      </c>
      <c r="G139" s="1146">
        <v>1075466</v>
      </c>
      <c r="H139" s="1144" t="s">
        <v>533</v>
      </c>
      <c r="I139" s="1144" t="s">
        <v>533</v>
      </c>
      <c r="J139" s="1145" t="s">
        <v>3120</v>
      </c>
      <c r="K139" s="1111"/>
      <c r="L139" s="1145" t="s">
        <v>2903</v>
      </c>
      <c r="M139" s="1145" t="s">
        <v>2903</v>
      </c>
      <c r="N139" s="1145" t="s">
        <v>2903</v>
      </c>
      <c r="O139" s="1147" t="s">
        <v>2903</v>
      </c>
      <c r="P139" s="1145" t="s">
        <v>2903</v>
      </c>
      <c r="Q139" s="1150"/>
      <c r="R139" s="1146" t="s">
        <v>2903</v>
      </c>
      <c r="S139" s="1148" t="s">
        <v>2903</v>
      </c>
      <c r="T139" s="1149"/>
      <c r="U139" s="1146" t="s">
        <v>2903</v>
      </c>
      <c r="V139" s="1148" t="s">
        <v>2903</v>
      </c>
      <c r="W139" s="1150"/>
      <c r="X139" s="1146" t="s">
        <v>2903</v>
      </c>
      <c r="Y139" s="1148" t="s">
        <v>2903</v>
      </c>
      <c r="Z139" s="1150"/>
      <c r="AA139" s="1146" t="s">
        <v>2903</v>
      </c>
      <c r="AB139" s="1148" t="s">
        <v>2903</v>
      </c>
      <c r="AC139" s="1133"/>
      <c r="AD139" s="1146" t="s">
        <v>2903</v>
      </c>
      <c r="AE139" s="1148" t="s">
        <v>2903</v>
      </c>
    </row>
    <row r="140" spans="3:31" x14ac:dyDescent="0.4">
      <c r="C140" s="2847"/>
      <c r="D140" s="1144" t="s">
        <v>3121</v>
      </c>
      <c r="E140" s="1145" t="s">
        <v>3122</v>
      </c>
      <c r="F140" s="1146">
        <v>377981</v>
      </c>
      <c r="G140" s="1146">
        <v>1077549</v>
      </c>
      <c r="H140" s="1144" t="s">
        <v>533</v>
      </c>
      <c r="I140" s="1144" t="s">
        <v>533</v>
      </c>
      <c r="J140" s="1145" t="s">
        <v>3120</v>
      </c>
      <c r="K140" s="1111"/>
      <c r="L140" s="1145" t="s">
        <v>2903</v>
      </c>
      <c r="M140" s="1145" t="s">
        <v>2903</v>
      </c>
      <c r="N140" s="1145" t="s">
        <v>2903</v>
      </c>
      <c r="O140" s="1147" t="s">
        <v>2903</v>
      </c>
      <c r="P140" s="1145" t="s">
        <v>2903</v>
      </c>
      <c r="Q140" s="1150"/>
      <c r="R140" s="1146" t="s">
        <v>2903</v>
      </c>
      <c r="S140" s="1148" t="s">
        <v>2903</v>
      </c>
      <c r="T140" s="1149"/>
      <c r="U140" s="1146" t="s">
        <v>2903</v>
      </c>
      <c r="V140" s="1148" t="s">
        <v>2903</v>
      </c>
      <c r="W140" s="1150"/>
      <c r="X140" s="1146" t="s">
        <v>2903</v>
      </c>
      <c r="Y140" s="1148" t="s">
        <v>2903</v>
      </c>
      <c r="Z140" s="1150"/>
      <c r="AA140" s="1146" t="s">
        <v>2903</v>
      </c>
      <c r="AB140" s="1148" t="s">
        <v>2903</v>
      </c>
      <c r="AC140" s="1133"/>
      <c r="AD140" s="1146" t="s">
        <v>2903</v>
      </c>
      <c r="AE140" s="1148" t="s">
        <v>2903</v>
      </c>
    </row>
    <row r="141" spans="3:31" x14ac:dyDescent="0.4">
      <c r="C141" s="2830" t="s">
        <v>3123</v>
      </c>
      <c r="D141" s="1135" t="s">
        <v>3124</v>
      </c>
      <c r="E141" s="1133" t="s">
        <v>3125</v>
      </c>
      <c r="F141" s="1136">
        <v>331594</v>
      </c>
      <c r="G141" s="1136">
        <v>1196861</v>
      </c>
      <c r="H141" s="1135" t="s">
        <v>332</v>
      </c>
      <c r="I141" s="1135" t="s">
        <v>803</v>
      </c>
      <c r="J141" s="1135" t="s">
        <v>803</v>
      </c>
      <c r="K141" s="1101"/>
      <c r="L141" s="1135">
        <v>5</v>
      </c>
      <c r="M141" s="1135">
        <v>4</v>
      </c>
      <c r="N141" s="1135">
        <v>1</v>
      </c>
      <c r="O141" s="1175">
        <v>80</v>
      </c>
      <c r="P141" s="1135">
        <v>1</v>
      </c>
      <c r="Q141" s="1135"/>
      <c r="R141" s="1176">
        <v>11.7</v>
      </c>
      <c r="S141" s="1177" t="s">
        <v>2903</v>
      </c>
      <c r="T141" s="1135"/>
      <c r="U141" s="1176">
        <v>105</v>
      </c>
      <c r="V141" s="1177" t="s">
        <v>2903</v>
      </c>
      <c r="W141" s="1135"/>
      <c r="X141" s="1176">
        <v>0.14000000000000001</v>
      </c>
      <c r="Y141" s="1177" t="s">
        <v>2903</v>
      </c>
      <c r="Z141" s="1135"/>
      <c r="AA141" s="1176">
        <v>7.11</v>
      </c>
      <c r="AB141" s="1177" t="s">
        <v>2903</v>
      </c>
      <c r="AC141" s="1135"/>
      <c r="AD141" s="1176">
        <v>3.4</v>
      </c>
      <c r="AE141" s="1177" t="s">
        <v>2903</v>
      </c>
    </row>
    <row r="142" spans="3:31" x14ac:dyDescent="0.4">
      <c r="C142" s="2846"/>
      <c r="D142" s="1135" t="s">
        <v>3126</v>
      </c>
      <c r="E142" s="1133" t="s">
        <v>3127</v>
      </c>
      <c r="F142" s="1136">
        <v>341394</v>
      </c>
      <c r="G142" s="1136">
        <v>1198407</v>
      </c>
      <c r="H142" s="1135" t="s">
        <v>332</v>
      </c>
      <c r="I142" s="1135" t="s">
        <v>803</v>
      </c>
      <c r="J142" s="1135" t="s">
        <v>803</v>
      </c>
      <c r="K142" s="1101"/>
      <c r="L142" s="1135">
        <v>5</v>
      </c>
      <c r="M142" s="1135">
        <v>4</v>
      </c>
      <c r="N142" s="1135">
        <v>1</v>
      </c>
      <c r="O142" s="1175">
        <v>80</v>
      </c>
      <c r="P142" s="1135">
        <v>1</v>
      </c>
      <c r="Q142" s="1135"/>
      <c r="R142" s="1176">
        <v>11.6</v>
      </c>
      <c r="S142" s="1177" t="s">
        <v>2903</v>
      </c>
      <c r="T142" s="1135"/>
      <c r="U142" s="1176">
        <v>95.2</v>
      </c>
      <c r="V142" s="1177" t="s">
        <v>2903</v>
      </c>
      <c r="W142" s="1135"/>
      <c r="X142" s="1176">
        <v>0.32</v>
      </c>
      <c r="Y142" s="1177" t="s">
        <v>2903</v>
      </c>
      <c r="Z142" s="1135"/>
      <c r="AA142" s="1176">
        <v>7.14</v>
      </c>
      <c r="AB142" s="1177" t="s">
        <v>2903</v>
      </c>
      <c r="AC142" s="1135"/>
      <c r="AD142" s="1176">
        <v>22.6</v>
      </c>
      <c r="AE142" s="1177" t="s">
        <v>2903</v>
      </c>
    </row>
    <row r="143" spans="3:31" x14ac:dyDescent="0.4">
      <c r="C143" s="2846"/>
      <c r="D143" s="1135" t="s">
        <v>3128</v>
      </c>
      <c r="E143" s="1133" t="s">
        <v>3129</v>
      </c>
      <c r="F143" s="1136">
        <v>329305</v>
      </c>
      <c r="G143" s="1136">
        <v>1176957</v>
      </c>
      <c r="H143" s="1135" t="s">
        <v>332</v>
      </c>
      <c r="I143" s="1135" t="s">
        <v>803</v>
      </c>
      <c r="J143" s="1135" t="s">
        <v>803</v>
      </c>
      <c r="K143" s="1101"/>
      <c r="L143" s="1135" t="s">
        <v>2903</v>
      </c>
      <c r="M143" s="1135" t="s">
        <v>2903</v>
      </c>
      <c r="N143" s="1135" t="s">
        <v>2903</v>
      </c>
      <c r="O143" s="1175" t="s">
        <v>2903</v>
      </c>
      <c r="P143" s="1135" t="s">
        <v>2903</v>
      </c>
      <c r="Q143" s="1135"/>
      <c r="R143" s="1176" t="s">
        <v>2903</v>
      </c>
      <c r="S143" s="1177" t="s">
        <v>2903</v>
      </c>
      <c r="T143" s="1135"/>
      <c r="U143" s="1176" t="s">
        <v>2903</v>
      </c>
      <c r="V143" s="1177" t="s">
        <v>2903</v>
      </c>
      <c r="W143" s="1135"/>
      <c r="X143" s="1176" t="s">
        <v>2903</v>
      </c>
      <c r="Y143" s="1177" t="s">
        <v>2903</v>
      </c>
      <c r="Z143" s="1135"/>
      <c r="AA143" s="1176" t="s">
        <v>2903</v>
      </c>
      <c r="AB143" s="1177" t="s">
        <v>2903</v>
      </c>
      <c r="AC143" s="1135"/>
      <c r="AD143" s="1176" t="s">
        <v>2903</v>
      </c>
      <c r="AE143" s="1177" t="s">
        <v>2903</v>
      </c>
    </row>
    <row r="144" spans="3:31" x14ac:dyDescent="0.4">
      <c r="C144" s="2846"/>
      <c r="D144" s="1135" t="s">
        <v>3130</v>
      </c>
      <c r="E144" s="1133" t="s">
        <v>3131</v>
      </c>
      <c r="F144" s="1136">
        <v>344627</v>
      </c>
      <c r="G144" s="1136">
        <v>1176883</v>
      </c>
      <c r="H144" s="1135" t="s">
        <v>332</v>
      </c>
      <c r="I144" s="1135" t="s">
        <v>803</v>
      </c>
      <c r="J144" s="1135" t="s">
        <v>803</v>
      </c>
      <c r="K144" s="1101"/>
      <c r="L144" s="1135">
        <v>5</v>
      </c>
      <c r="M144" s="1135">
        <v>4</v>
      </c>
      <c r="N144" s="1135">
        <v>1</v>
      </c>
      <c r="O144" s="1175">
        <v>80</v>
      </c>
      <c r="P144" s="1135">
        <v>1</v>
      </c>
      <c r="Q144" s="1135"/>
      <c r="R144" s="1176">
        <v>11.7</v>
      </c>
      <c r="S144" s="1177" t="s">
        <v>2903</v>
      </c>
      <c r="T144" s="1135"/>
      <c r="U144" s="1176">
        <v>96.3</v>
      </c>
      <c r="V144" s="1177" t="s">
        <v>2903</v>
      </c>
      <c r="W144" s="1135"/>
      <c r="X144" s="1176">
        <v>0.2</v>
      </c>
      <c r="Y144" s="1177" t="s">
        <v>2903</v>
      </c>
      <c r="Z144" s="1135"/>
      <c r="AA144" s="1176">
        <v>7.87</v>
      </c>
      <c r="AB144" s="1177" t="s">
        <v>2903</v>
      </c>
      <c r="AC144" s="1135"/>
      <c r="AD144" s="1176">
        <v>3.4</v>
      </c>
      <c r="AE144" s="1177" t="s">
        <v>2903</v>
      </c>
    </row>
    <row r="145" spans="3:31" x14ac:dyDescent="0.4">
      <c r="C145" s="2846"/>
      <c r="D145" s="1135" t="s">
        <v>3132</v>
      </c>
      <c r="E145" s="1133" t="s">
        <v>3133</v>
      </c>
      <c r="F145" s="1136">
        <v>328127</v>
      </c>
      <c r="G145" s="1136">
        <v>1160366</v>
      </c>
      <c r="H145" s="1135" t="s">
        <v>332</v>
      </c>
      <c r="I145" s="1135" t="s">
        <v>807</v>
      </c>
      <c r="J145" s="1135" t="s">
        <v>3134</v>
      </c>
      <c r="K145" s="1101"/>
      <c r="L145" s="1135">
        <v>5</v>
      </c>
      <c r="M145" s="1135">
        <v>4</v>
      </c>
      <c r="N145" s="1135">
        <v>1</v>
      </c>
      <c r="O145" s="1175">
        <v>80</v>
      </c>
      <c r="P145" s="1135">
        <v>1</v>
      </c>
      <c r="Q145" s="1135"/>
      <c r="R145" s="1176">
        <v>12.5</v>
      </c>
      <c r="S145" s="1177" t="s">
        <v>2903</v>
      </c>
      <c r="T145" s="1135"/>
      <c r="U145" s="1176">
        <v>93.2</v>
      </c>
      <c r="V145" s="1177" t="s">
        <v>2903</v>
      </c>
      <c r="W145" s="1135"/>
      <c r="X145" s="1176">
        <v>0.17</v>
      </c>
      <c r="Y145" s="1177" t="s">
        <v>2903</v>
      </c>
      <c r="Z145" s="1135"/>
      <c r="AA145" s="1176">
        <v>6.98</v>
      </c>
      <c r="AB145" s="1177" t="s">
        <v>2903</v>
      </c>
      <c r="AC145" s="1135"/>
      <c r="AD145" s="1176">
        <v>3.4</v>
      </c>
      <c r="AE145" s="1177" t="s">
        <v>2903</v>
      </c>
    </row>
    <row r="146" spans="3:31" x14ac:dyDescent="0.4">
      <c r="C146" s="2846"/>
      <c r="D146" s="1135" t="s">
        <v>3132</v>
      </c>
      <c r="E146" s="1133" t="s">
        <v>3135</v>
      </c>
      <c r="F146" s="1136">
        <v>331385</v>
      </c>
      <c r="G146" s="1136">
        <v>1154818</v>
      </c>
      <c r="H146" s="1135" t="s">
        <v>332</v>
      </c>
      <c r="I146" s="1135" t="s">
        <v>807</v>
      </c>
      <c r="J146" s="1135" t="s">
        <v>3134</v>
      </c>
      <c r="K146" s="1101"/>
      <c r="L146" s="1135" t="s">
        <v>2903</v>
      </c>
      <c r="M146" s="1135" t="s">
        <v>2903</v>
      </c>
      <c r="N146" s="1135" t="s">
        <v>2903</v>
      </c>
      <c r="O146" s="1175" t="s">
        <v>2903</v>
      </c>
      <c r="P146" s="1135" t="s">
        <v>2903</v>
      </c>
      <c r="Q146" s="1135"/>
      <c r="R146" s="1176" t="s">
        <v>2903</v>
      </c>
      <c r="S146" s="1177" t="s">
        <v>2903</v>
      </c>
      <c r="T146" s="1135"/>
      <c r="U146" s="1176" t="s">
        <v>2903</v>
      </c>
      <c r="V146" s="1177" t="s">
        <v>2903</v>
      </c>
      <c r="W146" s="1135"/>
      <c r="X146" s="1176" t="s">
        <v>2903</v>
      </c>
      <c r="Y146" s="1177" t="s">
        <v>2903</v>
      </c>
      <c r="Z146" s="1135"/>
      <c r="AA146" s="1176" t="s">
        <v>2903</v>
      </c>
      <c r="AB146" s="1177" t="s">
        <v>2903</v>
      </c>
      <c r="AC146" s="1135"/>
      <c r="AD146" s="1176" t="s">
        <v>2903</v>
      </c>
      <c r="AE146" s="1177" t="s">
        <v>2903</v>
      </c>
    </row>
    <row r="147" spans="3:31" x14ac:dyDescent="0.4">
      <c r="C147" s="2846"/>
      <c r="D147" s="1135" t="s">
        <v>3132</v>
      </c>
      <c r="E147" s="1133" t="s">
        <v>3136</v>
      </c>
      <c r="F147" s="1136">
        <v>346688</v>
      </c>
      <c r="G147" s="1136">
        <v>1148109</v>
      </c>
      <c r="H147" s="1135" t="s">
        <v>332</v>
      </c>
      <c r="I147" s="1133" t="s">
        <v>805</v>
      </c>
      <c r="J147" s="1133" t="s">
        <v>3137</v>
      </c>
      <c r="K147" s="1101"/>
      <c r="L147" s="1135">
        <v>5</v>
      </c>
      <c r="M147" s="1135">
        <v>4</v>
      </c>
      <c r="N147" s="1135">
        <v>1</v>
      </c>
      <c r="O147" s="1175">
        <v>80</v>
      </c>
      <c r="P147" s="1135">
        <v>1</v>
      </c>
      <c r="Q147" s="1135"/>
      <c r="R147" s="1176">
        <v>8.1999999999999993</v>
      </c>
      <c r="S147" s="1177" t="s">
        <v>2903</v>
      </c>
      <c r="T147" s="1135"/>
      <c r="U147" s="1176">
        <v>76.7</v>
      </c>
      <c r="V147" s="1177" t="s">
        <v>2903</v>
      </c>
      <c r="W147" s="1135"/>
      <c r="X147" s="1176">
        <v>0.13</v>
      </c>
      <c r="Y147" s="1177" t="s">
        <v>2903</v>
      </c>
      <c r="Z147" s="1135"/>
      <c r="AA147" s="1176">
        <v>7.02</v>
      </c>
      <c r="AB147" s="1177" t="s">
        <v>2903</v>
      </c>
      <c r="AC147" s="1135"/>
      <c r="AD147" s="1176">
        <v>16.399999999999999</v>
      </c>
      <c r="AE147" s="1177" t="s">
        <v>2903</v>
      </c>
    </row>
    <row r="148" spans="3:31" x14ac:dyDescent="0.4">
      <c r="C148" s="2846"/>
      <c r="D148" s="1135" t="s">
        <v>3138</v>
      </c>
      <c r="E148" s="1133" t="s">
        <v>3139</v>
      </c>
      <c r="F148" s="1136">
        <v>340111</v>
      </c>
      <c r="G148" s="1136">
        <v>1147032</v>
      </c>
      <c r="H148" s="1135" t="s">
        <v>332</v>
      </c>
      <c r="I148" s="1133" t="s">
        <v>805</v>
      </c>
      <c r="J148" s="1133" t="s">
        <v>3137</v>
      </c>
      <c r="K148" s="1101"/>
      <c r="L148" s="1135">
        <v>5</v>
      </c>
      <c r="M148" s="1135">
        <v>3</v>
      </c>
      <c r="N148" s="1135">
        <v>2</v>
      </c>
      <c r="O148" s="1175">
        <v>60</v>
      </c>
      <c r="P148" s="1135">
        <v>0</v>
      </c>
      <c r="Q148" s="1135"/>
      <c r="R148" s="1176">
        <v>8.8000000000000007</v>
      </c>
      <c r="S148" s="1177" t="s">
        <v>2903</v>
      </c>
      <c r="T148" s="1135"/>
      <c r="U148" s="1176">
        <v>68.8</v>
      </c>
      <c r="V148" s="1177" t="s">
        <v>2903</v>
      </c>
      <c r="W148" s="1135"/>
      <c r="X148" s="1176">
        <v>0.19</v>
      </c>
      <c r="Y148" s="1177" t="s">
        <v>2903</v>
      </c>
      <c r="Z148" s="1135"/>
      <c r="AA148" s="1176">
        <v>6.86</v>
      </c>
      <c r="AB148" s="1177" t="s">
        <v>2903</v>
      </c>
      <c r="AC148" s="1135"/>
      <c r="AD148" s="1176">
        <v>6</v>
      </c>
      <c r="AE148" s="1177" t="s">
        <v>2903</v>
      </c>
    </row>
    <row r="149" spans="3:31" x14ac:dyDescent="0.4">
      <c r="C149" s="2846"/>
      <c r="D149" s="1135" t="s">
        <v>3140</v>
      </c>
      <c r="E149" s="1133" t="s">
        <v>3141</v>
      </c>
      <c r="F149" s="1136">
        <v>325936</v>
      </c>
      <c r="G149" s="1136">
        <v>1135312</v>
      </c>
      <c r="H149" s="1135" t="s">
        <v>332</v>
      </c>
      <c r="I149" s="1133" t="s">
        <v>805</v>
      </c>
      <c r="J149" s="1133" t="s">
        <v>3142</v>
      </c>
      <c r="K149" s="1101"/>
      <c r="L149" s="1135">
        <v>5</v>
      </c>
      <c r="M149" s="1135">
        <v>4</v>
      </c>
      <c r="N149" s="1135">
        <v>1</v>
      </c>
      <c r="O149" s="1175">
        <v>80</v>
      </c>
      <c r="P149" s="1135">
        <v>1</v>
      </c>
      <c r="Q149" s="1135"/>
      <c r="R149" s="1176">
        <v>7.7</v>
      </c>
      <c r="S149" s="1177" t="s">
        <v>2903</v>
      </c>
      <c r="T149" s="1135"/>
      <c r="U149" s="1176">
        <v>90.9</v>
      </c>
      <c r="V149" s="1177" t="s">
        <v>2903</v>
      </c>
      <c r="W149" s="1135"/>
      <c r="X149" s="1176">
        <v>0.15</v>
      </c>
      <c r="Y149" s="1177" t="s">
        <v>2903</v>
      </c>
      <c r="Z149" s="1135"/>
      <c r="AA149" s="1176">
        <v>7.44</v>
      </c>
      <c r="AB149" s="1177" t="s">
        <v>2903</v>
      </c>
      <c r="AC149" s="1135"/>
      <c r="AD149" s="1176">
        <v>22.3</v>
      </c>
      <c r="AE149" s="1177" t="s">
        <v>2903</v>
      </c>
    </row>
    <row r="150" spans="3:31" x14ac:dyDescent="0.4">
      <c r="C150" s="2846"/>
      <c r="D150" s="1135" t="s">
        <v>3143</v>
      </c>
      <c r="E150" s="1133" t="s">
        <v>3144</v>
      </c>
      <c r="F150" s="1136">
        <v>328051</v>
      </c>
      <c r="G150" s="1136">
        <v>1144877</v>
      </c>
      <c r="H150" s="1135" t="s">
        <v>332</v>
      </c>
      <c r="I150" s="1133" t="s">
        <v>805</v>
      </c>
      <c r="J150" s="1133" t="s">
        <v>3142</v>
      </c>
      <c r="K150" s="1101"/>
      <c r="L150" s="1135">
        <v>5</v>
      </c>
      <c r="M150" s="1135">
        <v>3</v>
      </c>
      <c r="N150" s="1135">
        <v>2</v>
      </c>
      <c r="O150" s="1175">
        <v>60</v>
      </c>
      <c r="P150" s="1135">
        <v>0</v>
      </c>
      <c r="Q150" s="1135"/>
      <c r="R150" s="1176">
        <v>7.9</v>
      </c>
      <c r="S150" s="1177" t="s">
        <v>2903</v>
      </c>
      <c r="T150" s="1135"/>
      <c r="U150" s="1176">
        <v>40</v>
      </c>
      <c r="V150" s="1177" t="s">
        <v>2903</v>
      </c>
      <c r="W150" s="1135"/>
      <c r="X150" s="1176">
        <v>0.19</v>
      </c>
      <c r="Y150" s="1177" t="s">
        <v>2903</v>
      </c>
      <c r="Z150" s="1135"/>
      <c r="AA150" s="1176">
        <v>7.08</v>
      </c>
      <c r="AB150" s="1177" t="s">
        <v>2903</v>
      </c>
      <c r="AC150" s="1135"/>
      <c r="AD150" s="1176">
        <v>3.4</v>
      </c>
      <c r="AE150" s="1177" t="s">
        <v>2903</v>
      </c>
    </row>
    <row r="151" spans="3:31" x14ac:dyDescent="0.4">
      <c r="C151" s="2846"/>
      <c r="D151" s="1135" t="s">
        <v>3143</v>
      </c>
      <c r="E151" s="1133" t="s">
        <v>3145</v>
      </c>
      <c r="F151" s="1136">
        <v>318168</v>
      </c>
      <c r="G151" s="1136">
        <v>1140501</v>
      </c>
      <c r="H151" s="1135" t="s">
        <v>332</v>
      </c>
      <c r="I151" s="1133" t="s">
        <v>805</v>
      </c>
      <c r="J151" s="1133" t="s">
        <v>3142</v>
      </c>
      <c r="K151" s="1101"/>
      <c r="L151" s="1135">
        <v>5</v>
      </c>
      <c r="M151" s="1135">
        <v>3</v>
      </c>
      <c r="N151" s="1135">
        <v>2</v>
      </c>
      <c r="O151" s="1175">
        <v>60</v>
      </c>
      <c r="P151" s="1135">
        <v>0</v>
      </c>
      <c r="Q151" s="1135"/>
      <c r="R151" s="1176">
        <v>8.3000000000000007</v>
      </c>
      <c r="S151" s="1177" t="s">
        <v>2903</v>
      </c>
      <c r="T151" s="1135"/>
      <c r="U151" s="1176">
        <v>62.4</v>
      </c>
      <c r="V151" s="1177" t="s">
        <v>2903</v>
      </c>
      <c r="W151" s="1135"/>
      <c r="X151" s="1176">
        <v>0.22</v>
      </c>
      <c r="Y151" s="1177" t="s">
        <v>2903</v>
      </c>
      <c r="Z151" s="1135"/>
      <c r="AA151" s="1176">
        <v>7.02</v>
      </c>
      <c r="AB151" s="1177" t="s">
        <v>2903</v>
      </c>
      <c r="AC151" s="1135"/>
      <c r="AD151" s="1176">
        <v>18.399999999999999</v>
      </c>
      <c r="AE151" s="1177" t="s">
        <v>2903</v>
      </c>
    </row>
    <row r="152" spans="3:31" x14ac:dyDescent="0.4">
      <c r="C152" s="2822" t="s">
        <v>809</v>
      </c>
      <c r="D152" s="1178" t="s">
        <v>3146</v>
      </c>
      <c r="E152" s="1179" t="s">
        <v>3147</v>
      </c>
      <c r="F152" s="1180">
        <v>400869</v>
      </c>
      <c r="G152" s="1180">
        <v>1140316</v>
      </c>
      <c r="H152" s="1178" t="s">
        <v>332</v>
      </c>
      <c r="I152" s="1179" t="s">
        <v>809</v>
      </c>
      <c r="J152" s="1179" t="s">
        <v>2936</v>
      </c>
      <c r="K152" s="1101"/>
      <c r="L152" s="1179" t="s">
        <v>2903</v>
      </c>
      <c r="M152" s="1179" t="s">
        <v>2903</v>
      </c>
      <c r="N152" s="1179" t="s">
        <v>2903</v>
      </c>
      <c r="O152" s="1181" t="s">
        <v>2903</v>
      </c>
      <c r="P152" s="1179" t="s">
        <v>2903</v>
      </c>
      <c r="Q152" s="1133"/>
      <c r="R152" s="1180" t="s">
        <v>2903</v>
      </c>
      <c r="S152" s="1182" t="s">
        <v>2903</v>
      </c>
      <c r="T152" s="1183"/>
      <c r="U152" s="1180" t="s">
        <v>2903</v>
      </c>
      <c r="V152" s="1182" t="s">
        <v>2903</v>
      </c>
      <c r="W152" s="1133"/>
      <c r="X152" s="1180" t="s">
        <v>2903</v>
      </c>
      <c r="Y152" s="1182" t="s">
        <v>2903</v>
      </c>
      <c r="Z152" s="1133"/>
      <c r="AA152" s="1180" t="s">
        <v>2903</v>
      </c>
      <c r="AB152" s="1182" t="s">
        <v>2903</v>
      </c>
      <c r="AC152" s="1133"/>
      <c r="AD152" s="1180" t="s">
        <v>2903</v>
      </c>
      <c r="AE152" s="1182" t="s">
        <v>2903</v>
      </c>
    </row>
    <row r="153" spans="3:31" x14ac:dyDescent="0.4">
      <c r="C153" s="2847"/>
      <c r="D153" s="1178" t="s">
        <v>3148</v>
      </c>
      <c r="E153" s="1179" t="s">
        <v>3149</v>
      </c>
      <c r="F153" s="1180">
        <v>398848</v>
      </c>
      <c r="G153" s="1180">
        <v>1137201</v>
      </c>
      <c r="H153" s="1178" t="s">
        <v>332</v>
      </c>
      <c r="I153" s="1179" t="s">
        <v>809</v>
      </c>
      <c r="J153" s="1178" t="s">
        <v>3150</v>
      </c>
      <c r="K153" s="1101"/>
      <c r="L153" s="1179" t="s">
        <v>2903</v>
      </c>
      <c r="M153" s="1179" t="s">
        <v>2903</v>
      </c>
      <c r="N153" s="1179" t="s">
        <v>2903</v>
      </c>
      <c r="O153" s="1181" t="s">
        <v>2903</v>
      </c>
      <c r="P153" s="1179" t="s">
        <v>2903</v>
      </c>
      <c r="Q153" s="1133"/>
      <c r="R153" s="1180" t="s">
        <v>2903</v>
      </c>
      <c r="S153" s="1182" t="s">
        <v>2903</v>
      </c>
      <c r="T153" s="1183"/>
      <c r="U153" s="1180" t="s">
        <v>2903</v>
      </c>
      <c r="V153" s="1182" t="s">
        <v>2903</v>
      </c>
      <c r="W153" s="1133"/>
      <c r="X153" s="1180" t="s">
        <v>2903</v>
      </c>
      <c r="Y153" s="1182" t="s">
        <v>2903</v>
      </c>
      <c r="Z153" s="1133"/>
      <c r="AA153" s="1180" t="s">
        <v>2903</v>
      </c>
      <c r="AB153" s="1182" t="s">
        <v>2903</v>
      </c>
      <c r="AC153" s="1133"/>
      <c r="AD153" s="1180" t="s">
        <v>2903</v>
      </c>
      <c r="AE153" s="1182" t="s">
        <v>2903</v>
      </c>
    </row>
    <row r="154" spans="3:31" x14ac:dyDescent="0.4">
      <c r="C154" s="2847"/>
      <c r="D154" s="1178" t="s">
        <v>3148</v>
      </c>
      <c r="E154" s="1179" t="s">
        <v>3151</v>
      </c>
      <c r="F154" s="1180">
        <v>393838</v>
      </c>
      <c r="G154" s="1180">
        <v>1136986</v>
      </c>
      <c r="H154" s="1178" t="s">
        <v>332</v>
      </c>
      <c r="I154" s="1179" t="s">
        <v>809</v>
      </c>
      <c r="J154" s="1179" t="s">
        <v>3152</v>
      </c>
      <c r="K154" s="1101"/>
      <c r="L154" s="1179" t="s">
        <v>2903</v>
      </c>
      <c r="M154" s="1179" t="s">
        <v>2903</v>
      </c>
      <c r="N154" s="1179" t="s">
        <v>2903</v>
      </c>
      <c r="O154" s="1181" t="s">
        <v>2903</v>
      </c>
      <c r="P154" s="1179" t="s">
        <v>2903</v>
      </c>
      <c r="Q154" s="1133"/>
      <c r="R154" s="1180" t="s">
        <v>2903</v>
      </c>
      <c r="S154" s="1182" t="s">
        <v>2903</v>
      </c>
      <c r="T154" s="1183"/>
      <c r="U154" s="1180" t="s">
        <v>2903</v>
      </c>
      <c r="V154" s="1182" t="s">
        <v>2903</v>
      </c>
      <c r="W154" s="1133"/>
      <c r="X154" s="1180" t="s">
        <v>2903</v>
      </c>
      <c r="Y154" s="1182" t="s">
        <v>2903</v>
      </c>
      <c r="Z154" s="1133"/>
      <c r="AA154" s="1180" t="s">
        <v>2903</v>
      </c>
      <c r="AB154" s="1182" t="s">
        <v>2903</v>
      </c>
      <c r="AC154" s="1133"/>
      <c r="AD154" s="1180" t="s">
        <v>2903</v>
      </c>
      <c r="AE154" s="1182" t="s">
        <v>2903</v>
      </c>
    </row>
    <row r="155" spans="3:31" x14ac:dyDescent="0.4">
      <c r="C155" s="2847"/>
      <c r="D155" s="1178" t="s">
        <v>3148</v>
      </c>
      <c r="E155" s="1179" t="s">
        <v>3153</v>
      </c>
      <c r="F155" s="1180">
        <v>390196.46</v>
      </c>
      <c r="G155" s="1180">
        <v>1135715.47</v>
      </c>
      <c r="H155" s="1178" t="s">
        <v>332</v>
      </c>
      <c r="I155" s="1179" t="s">
        <v>809</v>
      </c>
      <c r="J155" s="1179" t="s">
        <v>3152</v>
      </c>
      <c r="K155" s="1101"/>
      <c r="L155" s="1179" t="s">
        <v>2903</v>
      </c>
      <c r="M155" s="1179" t="s">
        <v>2903</v>
      </c>
      <c r="N155" s="1179" t="s">
        <v>2903</v>
      </c>
      <c r="O155" s="1181" t="s">
        <v>2903</v>
      </c>
      <c r="P155" s="1179" t="s">
        <v>2903</v>
      </c>
      <c r="Q155" s="1133"/>
      <c r="R155" s="1180" t="s">
        <v>2903</v>
      </c>
      <c r="S155" s="1182" t="s">
        <v>2903</v>
      </c>
      <c r="T155" s="1183"/>
      <c r="U155" s="1180" t="s">
        <v>2903</v>
      </c>
      <c r="V155" s="1182" t="s">
        <v>2903</v>
      </c>
      <c r="W155" s="1133"/>
      <c r="X155" s="1180" t="s">
        <v>2903</v>
      </c>
      <c r="Y155" s="1182" t="s">
        <v>2903</v>
      </c>
      <c r="Z155" s="1133"/>
      <c r="AA155" s="1180" t="s">
        <v>2903</v>
      </c>
      <c r="AB155" s="1182" t="s">
        <v>2903</v>
      </c>
      <c r="AC155" s="1133"/>
      <c r="AD155" s="1180" t="s">
        <v>2903</v>
      </c>
      <c r="AE155" s="1182" t="s">
        <v>2903</v>
      </c>
    </row>
    <row r="156" spans="3:31" x14ac:dyDescent="0.4">
      <c r="C156" s="2847"/>
      <c r="D156" s="1178" t="s">
        <v>3148</v>
      </c>
      <c r="E156" s="1179" t="s">
        <v>3154</v>
      </c>
      <c r="F156" s="1180">
        <v>386965</v>
      </c>
      <c r="G156" s="1180">
        <v>1130793</v>
      </c>
      <c r="H156" s="1178" t="s">
        <v>332</v>
      </c>
      <c r="I156" s="1179" t="s">
        <v>809</v>
      </c>
      <c r="J156" s="1179" t="s">
        <v>3152</v>
      </c>
      <c r="K156" s="1101"/>
      <c r="L156" s="1179" t="s">
        <v>2903</v>
      </c>
      <c r="M156" s="1179" t="s">
        <v>2903</v>
      </c>
      <c r="N156" s="1179" t="s">
        <v>2903</v>
      </c>
      <c r="O156" s="1181" t="s">
        <v>2903</v>
      </c>
      <c r="P156" s="1179" t="s">
        <v>2903</v>
      </c>
      <c r="Q156" s="1133"/>
      <c r="R156" s="1180" t="s">
        <v>2903</v>
      </c>
      <c r="S156" s="1182" t="s">
        <v>2903</v>
      </c>
      <c r="T156" s="1183"/>
      <c r="U156" s="1180" t="s">
        <v>2903</v>
      </c>
      <c r="V156" s="1182" t="s">
        <v>2903</v>
      </c>
      <c r="W156" s="1133"/>
      <c r="X156" s="1180" t="s">
        <v>2903</v>
      </c>
      <c r="Y156" s="1182" t="s">
        <v>2903</v>
      </c>
      <c r="Z156" s="1133"/>
      <c r="AA156" s="1180" t="s">
        <v>2903</v>
      </c>
      <c r="AB156" s="1182" t="s">
        <v>2903</v>
      </c>
      <c r="AC156" s="1133"/>
      <c r="AD156" s="1180" t="s">
        <v>2903</v>
      </c>
      <c r="AE156" s="1182" t="s">
        <v>2903</v>
      </c>
    </row>
    <row r="157" spans="3:31" x14ac:dyDescent="0.4">
      <c r="C157" s="2847"/>
      <c r="D157" s="1178" t="s">
        <v>3148</v>
      </c>
      <c r="E157" s="1179" t="s">
        <v>3155</v>
      </c>
      <c r="F157" s="1180">
        <v>386110.34</v>
      </c>
      <c r="G157" s="1180">
        <v>1126878.02</v>
      </c>
      <c r="H157" s="1178" t="s">
        <v>332</v>
      </c>
      <c r="I157" s="1179" t="s">
        <v>809</v>
      </c>
      <c r="J157" s="1179" t="s">
        <v>3156</v>
      </c>
      <c r="K157" s="1101"/>
      <c r="L157" s="1179" t="s">
        <v>2903</v>
      </c>
      <c r="M157" s="1179" t="s">
        <v>2903</v>
      </c>
      <c r="N157" s="1179" t="s">
        <v>2903</v>
      </c>
      <c r="O157" s="1181" t="s">
        <v>2903</v>
      </c>
      <c r="P157" s="1179" t="s">
        <v>2903</v>
      </c>
      <c r="Q157" s="1133"/>
      <c r="R157" s="1180" t="s">
        <v>2903</v>
      </c>
      <c r="S157" s="1182" t="s">
        <v>2903</v>
      </c>
      <c r="T157" s="1183"/>
      <c r="U157" s="1180" t="s">
        <v>2903</v>
      </c>
      <c r="V157" s="1182" t="s">
        <v>2903</v>
      </c>
      <c r="W157" s="1133"/>
      <c r="X157" s="1180" t="s">
        <v>2903</v>
      </c>
      <c r="Y157" s="1182" t="s">
        <v>2903</v>
      </c>
      <c r="Z157" s="1133"/>
      <c r="AA157" s="1180" t="s">
        <v>2903</v>
      </c>
      <c r="AB157" s="1182" t="s">
        <v>2903</v>
      </c>
      <c r="AC157" s="1133"/>
      <c r="AD157" s="1180" t="s">
        <v>2903</v>
      </c>
      <c r="AE157" s="1182" t="s">
        <v>2903</v>
      </c>
    </row>
    <row r="158" spans="3:31" x14ac:dyDescent="0.4">
      <c r="C158" s="2847"/>
      <c r="D158" s="1178" t="s">
        <v>3148</v>
      </c>
      <c r="E158" s="1179" t="s">
        <v>3157</v>
      </c>
      <c r="F158" s="1180">
        <v>386127</v>
      </c>
      <c r="G158" s="1180">
        <v>1123543</v>
      </c>
      <c r="H158" s="1178" t="s">
        <v>533</v>
      </c>
      <c r="I158" s="1179" t="s">
        <v>533</v>
      </c>
      <c r="J158" s="1179" t="s">
        <v>3158</v>
      </c>
      <c r="K158" s="1101"/>
      <c r="L158" s="1179" t="s">
        <v>2903</v>
      </c>
      <c r="M158" s="1179" t="s">
        <v>2903</v>
      </c>
      <c r="N158" s="1179" t="s">
        <v>2903</v>
      </c>
      <c r="O158" s="1181" t="s">
        <v>2903</v>
      </c>
      <c r="P158" s="1179" t="s">
        <v>2903</v>
      </c>
      <c r="Q158" s="1133"/>
      <c r="R158" s="1180" t="s">
        <v>2903</v>
      </c>
      <c r="S158" s="1182" t="s">
        <v>2903</v>
      </c>
      <c r="T158" s="1183"/>
      <c r="U158" s="1180" t="s">
        <v>2903</v>
      </c>
      <c r="V158" s="1182" t="s">
        <v>2903</v>
      </c>
      <c r="W158" s="1133"/>
      <c r="X158" s="1180" t="s">
        <v>2903</v>
      </c>
      <c r="Y158" s="1182" t="s">
        <v>2903</v>
      </c>
      <c r="Z158" s="1133"/>
      <c r="AA158" s="1180" t="s">
        <v>2903</v>
      </c>
      <c r="AB158" s="1182" t="s">
        <v>2903</v>
      </c>
      <c r="AC158" s="1133"/>
      <c r="AD158" s="1180" t="s">
        <v>2903</v>
      </c>
      <c r="AE158" s="1182" t="s">
        <v>2903</v>
      </c>
    </row>
    <row r="159" spans="3:31" x14ac:dyDescent="0.4">
      <c r="C159" s="2824" t="s">
        <v>3159</v>
      </c>
      <c r="D159" s="1135" t="s">
        <v>3160</v>
      </c>
      <c r="E159" s="1133" t="s">
        <v>3161</v>
      </c>
      <c r="F159" s="1136">
        <v>435084</v>
      </c>
      <c r="G159" s="1136">
        <v>1119313</v>
      </c>
      <c r="H159" s="1135" t="s">
        <v>329</v>
      </c>
      <c r="I159" s="1133" t="s">
        <v>771</v>
      </c>
      <c r="J159" s="1135" t="s">
        <v>3162</v>
      </c>
      <c r="K159" s="1101"/>
      <c r="L159" s="1135" t="s">
        <v>2903</v>
      </c>
      <c r="M159" s="1135" t="s">
        <v>2903</v>
      </c>
      <c r="N159" s="1135" t="s">
        <v>2903</v>
      </c>
      <c r="O159" s="1175" t="s">
        <v>2903</v>
      </c>
      <c r="P159" s="1135" t="s">
        <v>2903</v>
      </c>
      <c r="Q159" s="1135"/>
      <c r="R159" s="1176" t="s">
        <v>2903</v>
      </c>
      <c r="S159" s="1177" t="s">
        <v>2903</v>
      </c>
      <c r="T159" s="1184"/>
      <c r="U159" s="1176" t="s">
        <v>2903</v>
      </c>
      <c r="V159" s="1177" t="s">
        <v>2903</v>
      </c>
      <c r="W159" s="1135"/>
      <c r="X159" s="1176" t="s">
        <v>2903</v>
      </c>
      <c r="Y159" s="1177" t="s">
        <v>2903</v>
      </c>
      <c r="Z159" s="1135"/>
      <c r="AA159" s="1176" t="s">
        <v>2903</v>
      </c>
      <c r="AB159" s="1177" t="s">
        <v>2903</v>
      </c>
      <c r="AC159" s="1135"/>
      <c r="AD159" s="1176" t="s">
        <v>2903</v>
      </c>
      <c r="AE159" s="1177" t="s">
        <v>2903</v>
      </c>
    </row>
    <row r="160" spans="3:31" x14ac:dyDescent="0.4">
      <c r="C160" s="2846"/>
      <c r="D160" s="1135" t="s">
        <v>3163</v>
      </c>
      <c r="E160" s="1133" t="s">
        <v>3164</v>
      </c>
      <c r="F160" s="1136">
        <v>431170</v>
      </c>
      <c r="G160" s="1136">
        <v>1116259</v>
      </c>
      <c r="H160" s="1135" t="s">
        <v>329</v>
      </c>
      <c r="I160" s="1133" t="s">
        <v>771</v>
      </c>
      <c r="J160" s="1135" t="s">
        <v>3162</v>
      </c>
      <c r="K160" s="1101"/>
      <c r="L160" s="1135" t="s">
        <v>2903</v>
      </c>
      <c r="M160" s="1135" t="s">
        <v>2903</v>
      </c>
      <c r="N160" s="1135" t="s">
        <v>2903</v>
      </c>
      <c r="O160" s="1175" t="s">
        <v>2903</v>
      </c>
      <c r="P160" s="1135" t="s">
        <v>2903</v>
      </c>
      <c r="Q160" s="1135"/>
      <c r="R160" s="1176" t="s">
        <v>2903</v>
      </c>
      <c r="S160" s="1177" t="s">
        <v>2903</v>
      </c>
      <c r="T160" s="1184"/>
      <c r="U160" s="1176" t="s">
        <v>2903</v>
      </c>
      <c r="V160" s="1177" t="s">
        <v>2903</v>
      </c>
      <c r="W160" s="1135"/>
      <c r="X160" s="1176" t="s">
        <v>2903</v>
      </c>
      <c r="Y160" s="1177" t="s">
        <v>2903</v>
      </c>
      <c r="Z160" s="1135"/>
      <c r="AA160" s="1176" t="s">
        <v>2903</v>
      </c>
      <c r="AB160" s="1177" t="s">
        <v>2903</v>
      </c>
      <c r="AC160" s="1135"/>
      <c r="AD160" s="1176" t="s">
        <v>2903</v>
      </c>
      <c r="AE160" s="1177" t="s">
        <v>2903</v>
      </c>
    </row>
    <row r="161" spans="3:31" x14ac:dyDescent="0.4">
      <c r="C161" s="2846"/>
      <c r="D161" s="1135" t="s">
        <v>3165</v>
      </c>
      <c r="E161" s="1133" t="s">
        <v>3166</v>
      </c>
      <c r="F161" s="1136">
        <v>429923</v>
      </c>
      <c r="G161" s="1136">
        <v>1114448</v>
      </c>
      <c r="H161" s="1135" t="s">
        <v>329</v>
      </c>
      <c r="I161" s="1133" t="s">
        <v>771</v>
      </c>
      <c r="J161" s="1133" t="s">
        <v>3167</v>
      </c>
      <c r="K161" s="1101"/>
      <c r="L161" s="1135" t="s">
        <v>2903</v>
      </c>
      <c r="M161" s="1135" t="s">
        <v>2903</v>
      </c>
      <c r="N161" s="1135" t="s">
        <v>2903</v>
      </c>
      <c r="O161" s="1175" t="s">
        <v>2903</v>
      </c>
      <c r="P161" s="1135" t="s">
        <v>2903</v>
      </c>
      <c r="Q161" s="1135"/>
      <c r="R161" s="1176" t="s">
        <v>2903</v>
      </c>
      <c r="S161" s="1177" t="s">
        <v>2903</v>
      </c>
      <c r="T161" s="1184"/>
      <c r="U161" s="1176" t="s">
        <v>2903</v>
      </c>
      <c r="V161" s="1177" t="s">
        <v>2903</v>
      </c>
      <c r="W161" s="1135"/>
      <c r="X161" s="1176" t="s">
        <v>2903</v>
      </c>
      <c r="Y161" s="1177" t="s">
        <v>2903</v>
      </c>
      <c r="Z161" s="1135"/>
      <c r="AA161" s="1176" t="s">
        <v>2903</v>
      </c>
      <c r="AB161" s="1177" t="s">
        <v>2903</v>
      </c>
      <c r="AC161" s="1135"/>
      <c r="AD161" s="1176" t="s">
        <v>2903</v>
      </c>
      <c r="AE161" s="1177" t="s">
        <v>2903</v>
      </c>
    </row>
    <row r="162" spans="3:31" x14ac:dyDescent="0.4">
      <c r="C162" s="2846"/>
      <c r="D162" s="1135" t="s">
        <v>3168</v>
      </c>
      <c r="E162" s="1133" t="s">
        <v>3169</v>
      </c>
      <c r="F162" s="1136">
        <v>459288</v>
      </c>
      <c r="G162" s="1136">
        <v>1123742</v>
      </c>
      <c r="H162" s="1135" t="s">
        <v>329</v>
      </c>
      <c r="I162" s="1133" t="s">
        <v>775</v>
      </c>
      <c r="J162" s="1133" t="s">
        <v>3170</v>
      </c>
      <c r="K162" s="1101"/>
      <c r="L162" s="1135" t="s">
        <v>2903</v>
      </c>
      <c r="M162" s="1135" t="s">
        <v>2903</v>
      </c>
      <c r="N162" s="1135" t="s">
        <v>2903</v>
      </c>
      <c r="O162" s="1175" t="s">
        <v>2903</v>
      </c>
      <c r="P162" s="1135" t="s">
        <v>2903</v>
      </c>
      <c r="Q162" s="1135"/>
      <c r="R162" s="1176" t="s">
        <v>2903</v>
      </c>
      <c r="S162" s="1177" t="s">
        <v>2903</v>
      </c>
      <c r="T162" s="1184"/>
      <c r="U162" s="1176" t="s">
        <v>2903</v>
      </c>
      <c r="V162" s="1177" t="s">
        <v>2903</v>
      </c>
      <c r="W162" s="1135"/>
      <c r="X162" s="1176" t="s">
        <v>2903</v>
      </c>
      <c r="Y162" s="1177" t="s">
        <v>2903</v>
      </c>
      <c r="Z162" s="1135"/>
      <c r="AA162" s="1176" t="s">
        <v>2903</v>
      </c>
      <c r="AB162" s="1177" t="s">
        <v>2903</v>
      </c>
      <c r="AC162" s="1135"/>
      <c r="AD162" s="1176" t="s">
        <v>2903</v>
      </c>
      <c r="AE162" s="1177" t="s">
        <v>2903</v>
      </c>
    </row>
    <row r="163" spans="3:31" x14ac:dyDescent="0.4">
      <c r="C163" s="2846"/>
      <c r="D163" s="1135" t="s">
        <v>3168</v>
      </c>
      <c r="E163" s="1133" t="s">
        <v>3171</v>
      </c>
      <c r="F163" s="1136">
        <v>441837</v>
      </c>
      <c r="G163" s="1136">
        <v>1113776</v>
      </c>
      <c r="H163" s="1135" t="s">
        <v>329</v>
      </c>
      <c r="I163" s="1133" t="s">
        <v>771</v>
      </c>
      <c r="J163" s="1133" t="s">
        <v>3172</v>
      </c>
      <c r="K163" s="1101"/>
      <c r="L163" s="1135" t="s">
        <v>2903</v>
      </c>
      <c r="M163" s="1135" t="s">
        <v>2903</v>
      </c>
      <c r="N163" s="1135" t="s">
        <v>2903</v>
      </c>
      <c r="O163" s="1175" t="s">
        <v>2903</v>
      </c>
      <c r="P163" s="1135" t="s">
        <v>2903</v>
      </c>
      <c r="Q163" s="1135"/>
      <c r="R163" s="1176" t="s">
        <v>2903</v>
      </c>
      <c r="S163" s="1177" t="s">
        <v>2903</v>
      </c>
      <c r="T163" s="1184"/>
      <c r="U163" s="1176" t="s">
        <v>2903</v>
      </c>
      <c r="V163" s="1177" t="s">
        <v>2903</v>
      </c>
      <c r="W163" s="1135"/>
      <c r="X163" s="1176" t="s">
        <v>2903</v>
      </c>
      <c r="Y163" s="1177" t="s">
        <v>2903</v>
      </c>
      <c r="Z163" s="1135"/>
      <c r="AA163" s="1176" t="s">
        <v>2903</v>
      </c>
      <c r="AB163" s="1177" t="s">
        <v>2903</v>
      </c>
      <c r="AC163" s="1135"/>
      <c r="AD163" s="1176" t="s">
        <v>2903</v>
      </c>
      <c r="AE163" s="1177" t="s">
        <v>2903</v>
      </c>
    </row>
    <row r="164" spans="3:31" x14ac:dyDescent="0.4">
      <c r="C164" s="2846"/>
      <c r="D164" s="1135" t="s">
        <v>3168</v>
      </c>
      <c r="E164" s="1133" t="s">
        <v>3173</v>
      </c>
      <c r="F164" s="1136">
        <v>430232</v>
      </c>
      <c r="G164" s="1136">
        <v>1107699</v>
      </c>
      <c r="H164" s="1135" t="s">
        <v>533</v>
      </c>
      <c r="I164" s="1133" t="s">
        <v>814</v>
      </c>
      <c r="J164" s="1133" t="s">
        <v>3174</v>
      </c>
      <c r="K164" s="1101"/>
      <c r="L164" s="1135" t="s">
        <v>2903</v>
      </c>
      <c r="M164" s="1135" t="s">
        <v>2903</v>
      </c>
      <c r="N164" s="1135" t="s">
        <v>2903</v>
      </c>
      <c r="O164" s="1175" t="s">
        <v>2903</v>
      </c>
      <c r="P164" s="1135" t="s">
        <v>2903</v>
      </c>
      <c r="Q164" s="1135"/>
      <c r="R164" s="1176" t="s">
        <v>2903</v>
      </c>
      <c r="S164" s="1177" t="s">
        <v>2903</v>
      </c>
      <c r="T164" s="1184"/>
      <c r="U164" s="1176" t="s">
        <v>2903</v>
      </c>
      <c r="V164" s="1177" t="s">
        <v>2903</v>
      </c>
      <c r="W164" s="1135"/>
      <c r="X164" s="1176" t="s">
        <v>2903</v>
      </c>
      <c r="Y164" s="1177" t="s">
        <v>2903</v>
      </c>
      <c r="Z164" s="1135"/>
      <c r="AA164" s="1176" t="s">
        <v>2903</v>
      </c>
      <c r="AB164" s="1177" t="s">
        <v>2903</v>
      </c>
      <c r="AC164" s="1135"/>
      <c r="AD164" s="1176" t="s">
        <v>2903</v>
      </c>
      <c r="AE164" s="1177" t="s">
        <v>2903</v>
      </c>
    </row>
    <row r="165" spans="3:31" x14ac:dyDescent="0.4">
      <c r="C165" s="2846"/>
      <c r="D165" s="1135" t="s">
        <v>3168</v>
      </c>
      <c r="E165" s="1133" t="s">
        <v>3175</v>
      </c>
      <c r="F165" s="1136">
        <v>423874</v>
      </c>
      <c r="G165" s="1136">
        <v>1105780</v>
      </c>
      <c r="H165" s="1135" t="s">
        <v>533</v>
      </c>
      <c r="I165" s="1133" t="s">
        <v>533</v>
      </c>
      <c r="J165" s="1133" t="s">
        <v>3159</v>
      </c>
      <c r="K165" s="1101"/>
      <c r="L165" s="1135" t="s">
        <v>2903</v>
      </c>
      <c r="M165" s="1135" t="s">
        <v>2903</v>
      </c>
      <c r="N165" s="1135" t="s">
        <v>2903</v>
      </c>
      <c r="O165" s="1175" t="s">
        <v>2903</v>
      </c>
      <c r="P165" s="1135" t="s">
        <v>2903</v>
      </c>
      <c r="Q165" s="1135"/>
      <c r="R165" s="1176" t="s">
        <v>2903</v>
      </c>
      <c r="S165" s="1177" t="s">
        <v>2903</v>
      </c>
      <c r="T165" s="1184"/>
      <c r="U165" s="1176" t="s">
        <v>2903</v>
      </c>
      <c r="V165" s="1177" t="s">
        <v>2903</v>
      </c>
      <c r="W165" s="1135"/>
      <c r="X165" s="1176" t="s">
        <v>2903</v>
      </c>
      <c r="Y165" s="1177" t="s">
        <v>2903</v>
      </c>
      <c r="Z165" s="1135"/>
      <c r="AA165" s="1176" t="s">
        <v>2903</v>
      </c>
      <c r="AB165" s="1177" t="s">
        <v>2903</v>
      </c>
      <c r="AC165" s="1135"/>
      <c r="AD165" s="1176" t="s">
        <v>2903</v>
      </c>
      <c r="AE165" s="1177" t="s">
        <v>2903</v>
      </c>
    </row>
    <row r="166" spans="3:31" x14ac:dyDescent="0.4">
      <c r="C166" s="2846"/>
      <c r="D166" s="1135" t="s">
        <v>3168</v>
      </c>
      <c r="E166" s="1133" t="s">
        <v>3176</v>
      </c>
      <c r="F166" s="1136">
        <v>422334</v>
      </c>
      <c r="G166" s="1136">
        <v>1104536</v>
      </c>
      <c r="H166" s="1135" t="s">
        <v>533</v>
      </c>
      <c r="I166" s="1135" t="s">
        <v>533</v>
      </c>
      <c r="J166" s="1133" t="s">
        <v>3159</v>
      </c>
      <c r="K166" s="1101"/>
      <c r="L166" s="1135" t="s">
        <v>2903</v>
      </c>
      <c r="M166" s="1135" t="s">
        <v>2903</v>
      </c>
      <c r="N166" s="1135" t="s">
        <v>2903</v>
      </c>
      <c r="O166" s="1175" t="s">
        <v>2903</v>
      </c>
      <c r="P166" s="1135" t="s">
        <v>2903</v>
      </c>
      <c r="Q166" s="1135"/>
      <c r="R166" s="1176" t="s">
        <v>2903</v>
      </c>
      <c r="S166" s="1177" t="s">
        <v>2903</v>
      </c>
      <c r="T166" s="1184"/>
      <c r="U166" s="1176" t="s">
        <v>2903</v>
      </c>
      <c r="V166" s="1177" t="s">
        <v>2903</v>
      </c>
      <c r="W166" s="1135"/>
      <c r="X166" s="1176" t="s">
        <v>2903</v>
      </c>
      <c r="Y166" s="1177" t="s">
        <v>2903</v>
      </c>
      <c r="Z166" s="1135"/>
      <c r="AA166" s="1176" t="s">
        <v>2903</v>
      </c>
      <c r="AB166" s="1177" t="s">
        <v>2903</v>
      </c>
      <c r="AC166" s="1135"/>
      <c r="AD166" s="1176" t="s">
        <v>2903</v>
      </c>
      <c r="AE166" s="1177" t="s">
        <v>2903</v>
      </c>
    </row>
    <row r="167" spans="3:31" x14ac:dyDescent="0.4">
      <c r="C167" s="2826" t="s">
        <v>3177</v>
      </c>
      <c r="D167" s="1151" t="s">
        <v>3143</v>
      </c>
      <c r="E167" s="1152" t="s">
        <v>3178</v>
      </c>
      <c r="F167" s="1153">
        <v>380767</v>
      </c>
      <c r="G167" s="1153">
        <v>1152545</v>
      </c>
      <c r="H167" s="1151" t="s">
        <v>332</v>
      </c>
      <c r="I167" s="1152" t="s">
        <v>808</v>
      </c>
      <c r="J167" s="1152" t="s">
        <v>808</v>
      </c>
      <c r="K167" s="1101"/>
      <c r="L167" s="1152" t="s">
        <v>2903</v>
      </c>
      <c r="M167" s="1152" t="s">
        <v>2903</v>
      </c>
      <c r="N167" s="1152" t="s">
        <v>2903</v>
      </c>
      <c r="O167" s="1155" t="s">
        <v>2903</v>
      </c>
      <c r="P167" s="1152" t="s">
        <v>2903</v>
      </c>
      <c r="Q167" s="1133"/>
      <c r="R167" s="1153" t="s">
        <v>2903</v>
      </c>
      <c r="S167" s="1156" t="s">
        <v>2903</v>
      </c>
      <c r="T167" s="1154"/>
      <c r="U167" s="1153" t="s">
        <v>2903</v>
      </c>
      <c r="V167" s="1156" t="s">
        <v>2903</v>
      </c>
      <c r="W167" s="1133"/>
      <c r="X167" s="1153" t="s">
        <v>2903</v>
      </c>
      <c r="Y167" s="1156" t="s">
        <v>2903</v>
      </c>
      <c r="Z167" s="1133"/>
      <c r="AA167" s="1153" t="s">
        <v>2903</v>
      </c>
      <c r="AB167" s="1156" t="s">
        <v>2903</v>
      </c>
      <c r="AC167" s="1133"/>
      <c r="AD167" s="1153" t="s">
        <v>2903</v>
      </c>
      <c r="AE167" s="1156" t="s">
        <v>2903</v>
      </c>
    </row>
    <row r="168" spans="3:31" ht="25.5" x14ac:dyDescent="0.4">
      <c r="C168" s="2847"/>
      <c r="D168" s="1151" t="s">
        <v>3179</v>
      </c>
      <c r="E168" s="1152" t="s">
        <v>3180</v>
      </c>
      <c r="F168" s="1153">
        <v>367338</v>
      </c>
      <c r="G168" s="1153">
        <v>1149747</v>
      </c>
      <c r="H168" s="1151" t="s">
        <v>332</v>
      </c>
      <c r="I168" s="1152" t="s">
        <v>806</v>
      </c>
      <c r="J168" s="1152" t="s">
        <v>806</v>
      </c>
      <c r="K168" s="1101"/>
      <c r="L168" s="1152" t="s">
        <v>2903</v>
      </c>
      <c r="M168" s="1152" t="s">
        <v>2903</v>
      </c>
      <c r="N168" s="1152" t="s">
        <v>2903</v>
      </c>
      <c r="O168" s="1155" t="s">
        <v>2903</v>
      </c>
      <c r="P168" s="1152" t="s">
        <v>2903</v>
      </c>
      <c r="Q168" s="1133"/>
      <c r="R168" s="1153" t="s">
        <v>2903</v>
      </c>
      <c r="S168" s="1156" t="s">
        <v>2903</v>
      </c>
      <c r="T168" s="1154"/>
      <c r="U168" s="1153" t="s">
        <v>2903</v>
      </c>
      <c r="V168" s="1156" t="s">
        <v>2903</v>
      </c>
      <c r="W168" s="1133"/>
      <c r="X168" s="1153" t="s">
        <v>2903</v>
      </c>
      <c r="Y168" s="1156" t="s">
        <v>2903</v>
      </c>
      <c r="Z168" s="1133"/>
      <c r="AA168" s="1153" t="s">
        <v>2903</v>
      </c>
      <c r="AB168" s="1156" t="s">
        <v>2903</v>
      </c>
      <c r="AC168" s="1133"/>
      <c r="AD168" s="1153" t="s">
        <v>2903</v>
      </c>
      <c r="AE168" s="1156" t="s">
        <v>2903</v>
      </c>
    </row>
    <row r="169" spans="3:31" x14ac:dyDescent="0.4">
      <c r="C169" s="2847"/>
      <c r="D169" s="1151" t="s">
        <v>3181</v>
      </c>
      <c r="E169" s="1152" t="s">
        <v>3182</v>
      </c>
      <c r="F169" s="1153">
        <v>368908.16</v>
      </c>
      <c r="G169" s="1153">
        <v>1146581.26</v>
      </c>
      <c r="H169" s="1151" t="s">
        <v>332</v>
      </c>
      <c r="I169" s="1152" t="s">
        <v>808</v>
      </c>
      <c r="J169" s="1152" t="s">
        <v>3177</v>
      </c>
      <c r="K169" s="1101"/>
      <c r="L169" s="1152" t="s">
        <v>2903</v>
      </c>
      <c r="M169" s="1152" t="s">
        <v>2903</v>
      </c>
      <c r="N169" s="1152" t="s">
        <v>2903</v>
      </c>
      <c r="O169" s="1155" t="s">
        <v>2903</v>
      </c>
      <c r="P169" s="1152" t="s">
        <v>2903</v>
      </c>
      <c r="Q169" s="1133"/>
      <c r="R169" s="1153" t="s">
        <v>2903</v>
      </c>
      <c r="S169" s="1156" t="s">
        <v>2903</v>
      </c>
      <c r="T169" s="1154"/>
      <c r="U169" s="1153" t="s">
        <v>2903</v>
      </c>
      <c r="V169" s="1156" t="s">
        <v>2903</v>
      </c>
      <c r="W169" s="1133"/>
      <c r="X169" s="1153" t="s">
        <v>2903</v>
      </c>
      <c r="Y169" s="1156" t="s">
        <v>2903</v>
      </c>
      <c r="Z169" s="1133"/>
      <c r="AA169" s="1153" t="s">
        <v>2903</v>
      </c>
      <c r="AB169" s="1156" t="s">
        <v>2903</v>
      </c>
      <c r="AC169" s="1133"/>
      <c r="AD169" s="1153" t="s">
        <v>2903</v>
      </c>
      <c r="AE169" s="1156" t="s">
        <v>2903</v>
      </c>
    </row>
    <row r="170" spans="3:31" x14ac:dyDescent="0.4">
      <c r="C170" s="2847"/>
      <c r="D170" s="1151" t="s">
        <v>3183</v>
      </c>
      <c r="E170" s="1152" t="s">
        <v>3184</v>
      </c>
      <c r="F170" s="1153">
        <v>393741</v>
      </c>
      <c r="G170" s="1153">
        <v>1159079</v>
      </c>
      <c r="H170" s="1151" t="s">
        <v>332</v>
      </c>
      <c r="I170" s="1152" t="s">
        <v>810</v>
      </c>
      <c r="J170" s="1152" t="s">
        <v>3185</v>
      </c>
      <c r="K170" s="1101"/>
      <c r="L170" s="1152" t="s">
        <v>2903</v>
      </c>
      <c r="M170" s="1152" t="s">
        <v>2903</v>
      </c>
      <c r="N170" s="1152" t="s">
        <v>2903</v>
      </c>
      <c r="O170" s="1155" t="s">
        <v>2903</v>
      </c>
      <c r="P170" s="1152" t="s">
        <v>2903</v>
      </c>
      <c r="Q170" s="1133"/>
      <c r="R170" s="1153" t="s">
        <v>2903</v>
      </c>
      <c r="S170" s="1156" t="s">
        <v>2903</v>
      </c>
      <c r="T170" s="1154"/>
      <c r="U170" s="1153" t="s">
        <v>2903</v>
      </c>
      <c r="V170" s="1156" t="s">
        <v>2903</v>
      </c>
      <c r="W170" s="1133"/>
      <c r="X170" s="1153" t="s">
        <v>2903</v>
      </c>
      <c r="Y170" s="1156" t="s">
        <v>2903</v>
      </c>
      <c r="Z170" s="1133"/>
      <c r="AA170" s="1153" t="s">
        <v>2903</v>
      </c>
      <c r="AB170" s="1156" t="s">
        <v>2903</v>
      </c>
      <c r="AC170" s="1133"/>
      <c r="AD170" s="1153" t="s">
        <v>2903</v>
      </c>
      <c r="AE170" s="1156" t="s">
        <v>2903</v>
      </c>
    </row>
    <row r="171" spans="3:31" x14ac:dyDescent="0.4">
      <c r="C171" s="2847"/>
      <c r="D171" s="1151" t="s">
        <v>3038</v>
      </c>
      <c r="E171" s="1152" t="s">
        <v>3186</v>
      </c>
      <c r="F171" s="1153">
        <v>367653</v>
      </c>
      <c r="G171" s="1153">
        <v>1181808</v>
      </c>
      <c r="H171" s="1151" t="s">
        <v>332</v>
      </c>
      <c r="I171" s="1152" t="s">
        <v>806</v>
      </c>
      <c r="J171" s="1152" t="s">
        <v>3187</v>
      </c>
      <c r="K171" s="1101"/>
      <c r="L171" s="1152" t="s">
        <v>2903</v>
      </c>
      <c r="M171" s="1152" t="s">
        <v>2903</v>
      </c>
      <c r="N171" s="1152" t="s">
        <v>2903</v>
      </c>
      <c r="O171" s="1155" t="s">
        <v>2903</v>
      </c>
      <c r="P171" s="1152" t="s">
        <v>2903</v>
      </c>
      <c r="Q171" s="1133"/>
      <c r="R171" s="1153" t="s">
        <v>2903</v>
      </c>
      <c r="S171" s="1156" t="s">
        <v>2903</v>
      </c>
      <c r="T171" s="1154"/>
      <c r="U171" s="1153" t="s">
        <v>2903</v>
      </c>
      <c r="V171" s="1156" t="s">
        <v>2903</v>
      </c>
      <c r="W171" s="1133"/>
      <c r="X171" s="1153" t="s">
        <v>2903</v>
      </c>
      <c r="Y171" s="1156" t="s">
        <v>2903</v>
      </c>
      <c r="Z171" s="1133"/>
      <c r="AA171" s="1153" t="s">
        <v>2903</v>
      </c>
      <c r="AB171" s="1156" t="s">
        <v>2903</v>
      </c>
      <c r="AC171" s="1133"/>
      <c r="AD171" s="1153" t="s">
        <v>2903</v>
      </c>
      <c r="AE171" s="1156" t="s">
        <v>2903</v>
      </c>
    </row>
    <row r="172" spans="3:31" x14ac:dyDescent="0.4">
      <c r="C172" s="2828" t="s">
        <v>3188</v>
      </c>
      <c r="D172" s="1144" t="s">
        <v>3189</v>
      </c>
      <c r="E172" s="1145" t="s">
        <v>3190</v>
      </c>
      <c r="F172" s="1146">
        <v>459889.66</v>
      </c>
      <c r="G172" s="1146">
        <v>1204407.21</v>
      </c>
      <c r="H172" s="1145" t="s">
        <v>329</v>
      </c>
      <c r="I172" s="1145" t="s">
        <v>779</v>
      </c>
      <c r="J172" s="1145" t="s">
        <v>3191</v>
      </c>
      <c r="K172" s="1101"/>
      <c r="L172" s="1145">
        <v>1</v>
      </c>
      <c r="M172" s="1145">
        <v>0</v>
      </c>
      <c r="N172" s="1145">
        <v>1</v>
      </c>
      <c r="O172" s="1145">
        <v>0</v>
      </c>
      <c r="P172" s="1145">
        <v>0</v>
      </c>
      <c r="Q172" s="1133"/>
      <c r="R172" s="1146" t="s">
        <v>2903</v>
      </c>
      <c r="S172" s="1148" t="s">
        <v>2903</v>
      </c>
      <c r="T172" s="1104"/>
      <c r="U172" s="1146" t="s">
        <v>2903</v>
      </c>
      <c r="V172" s="1148" t="s">
        <v>2903</v>
      </c>
      <c r="W172" s="1133"/>
      <c r="X172" s="1146" t="s">
        <v>2903</v>
      </c>
      <c r="Y172" s="1148" t="s">
        <v>2903</v>
      </c>
      <c r="Z172" s="1133"/>
      <c r="AA172" s="1146" t="s">
        <v>2903</v>
      </c>
      <c r="AB172" s="1185" t="s">
        <v>2903</v>
      </c>
      <c r="AC172" s="1133"/>
      <c r="AD172" s="1146" t="s">
        <v>2903</v>
      </c>
      <c r="AE172" s="1185" t="s">
        <v>2903</v>
      </c>
    </row>
    <row r="173" spans="3:31" x14ac:dyDescent="0.4">
      <c r="C173" s="2829"/>
      <c r="D173" s="1144" t="s">
        <v>3192</v>
      </c>
      <c r="E173" s="1145" t="s">
        <v>3193</v>
      </c>
      <c r="F173" s="1146">
        <v>439806.48</v>
      </c>
      <c r="G173" s="1146">
        <v>1181286.54</v>
      </c>
      <c r="H173" s="1145" t="s">
        <v>329</v>
      </c>
      <c r="I173" s="1145" t="s">
        <v>779</v>
      </c>
      <c r="J173" s="1145" t="s">
        <v>3188</v>
      </c>
      <c r="K173" s="1101"/>
      <c r="L173" s="1145" t="s">
        <v>2903</v>
      </c>
      <c r="M173" s="1145" t="s">
        <v>2903</v>
      </c>
      <c r="N173" s="1145" t="s">
        <v>2903</v>
      </c>
      <c r="O173" s="1145" t="s">
        <v>2903</v>
      </c>
      <c r="P173" s="1145" t="s">
        <v>2903</v>
      </c>
      <c r="Q173" s="1133"/>
      <c r="R173" s="1146" t="s">
        <v>2903</v>
      </c>
      <c r="S173" s="1148" t="s">
        <v>2903</v>
      </c>
      <c r="T173" s="1104"/>
      <c r="U173" s="1146" t="s">
        <v>2903</v>
      </c>
      <c r="V173" s="1148" t="s">
        <v>2903</v>
      </c>
      <c r="W173" s="1133"/>
      <c r="X173" s="1146" t="s">
        <v>2903</v>
      </c>
      <c r="Y173" s="1148" t="s">
        <v>2903</v>
      </c>
      <c r="Z173" s="1133"/>
      <c r="AA173" s="1146" t="s">
        <v>2903</v>
      </c>
      <c r="AB173" s="1185" t="s">
        <v>2903</v>
      </c>
      <c r="AC173" s="1133"/>
      <c r="AD173" s="1146" t="s">
        <v>2903</v>
      </c>
      <c r="AE173" s="1185" t="s">
        <v>2903</v>
      </c>
    </row>
    <row r="174" spans="3:31" x14ac:dyDescent="0.4">
      <c r="C174" s="2829"/>
      <c r="D174" s="1144" t="s">
        <v>3192</v>
      </c>
      <c r="E174" s="1145" t="s">
        <v>3194</v>
      </c>
      <c r="F174" s="1146">
        <v>440761</v>
      </c>
      <c r="G174" s="1146">
        <v>1196191</v>
      </c>
      <c r="H174" s="1145" t="s">
        <v>329</v>
      </c>
      <c r="I174" s="1145" t="s">
        <v>779</v>
      </c>
      <c r="J174" s="1145" t="s">
        <v>3188</v>
      </c>
      <c r="K174" s="1101"/>
      <c r="L174" s="1145" t="s">
        <v>2903</v>
      </c>
      <c r="M174" s="1145" t="s">
        <v>2903</v>
      </c>
      <c r="N174" s="1145" t="s">
        <v>2903</v>
      </c>
      <c r="O174" s="1145" t="s">
        <v>2903</v>
      </c>
      <c r="P174" s="1145" t="s">
        <v>2903</v>
      </c>
      <c r="Q174" s="1133"/>
      <c r="R174" s="1146" t="s">
        <v>2903</v>
      </c>
      <c r="S174" s="1148" t="s">
        <v>2903</v>
      </c>
      <c r="T174" s="1104"/>
      <c r="U174" s="1146" t="s">
        <v>2903</v>
      </c>
      <c r="V174" s="1148" t="s">
        <v>2903</v>
      </c>
      <c r="W174" s="1133"/>
      <c r="X174" s="1146" t="s">
        <v>2903</v>
      </c>
      <c r="Y174" s="1148" t="s">
        <v>2903</v>
      </c>
      <c r="Z174" s="1133"/>
      <c r="AA174" s="1146" t="s">
        <v>2903</v>
      </c>
      <c r="AB174" s="1185" t="s">
        <v>2903</v>
      </c>
      <c r="AC174" s="1133"/>
      <c r="AD174" s="1146" t="s">
        <v>2903</v>
      </c>
      <c r="AE174" s="1185" t="s">
        <v>2903</v>
      </c>
    </row>
    <row r="175" spans="3:31" x14ac:dyDescent="0.4">
      <c r="C175" s="2829"/>
      <c r="D175" s="1144" t="s">
        <v>3192</v>
      </c>
      <c r="E175" s="1145" t="s">
        <v>3195</v>
      </c>
      <c r="F175" s="1146">
        <v>447414.14</v>
      </c>
      <c r="G175" s="1146">
        <v>1208498.74</v>
      </c>
      <c r="H175" s="1145" t="s">
        <v>329</v>
      </c>
      <c r="I175" s="1145" t="s">
        <v>783</v>
      </c>
      <c r="J175" s="1145" t="s">
        <v>783</v>
      </c>
      <c r="K175" s="1101"/>
      <c r="L175" s="1145" t="s">
        <v>2903</v>
      </c>
      <c r="M175" s="1145" t="s">
        <v>2903</v>
      </c>
      <c r="N175" s="1145" t="s">
        <v>2903</v>
      </c>
      <c r="O175" s="1145" t="s">
        <v>2903</v>
      </c>
      <c r="P175" s="1145" t="s">
        <v>2903</v>
      </c>
      <c r="Q175" s="1133"/>
      <c r="R175" s="1146" t="s">
        <v>2903</v>
      </c>
      <c r="S175" s="1148" t="s">
        <v>2903</v>
      </c>
      <c r="T175" s="1104"/>
      <c r="U175" s="1146" t="s">
        <v>2903</v>
      </c>
      <c r="V175" s="1148" t="s">
        <v>2903</v>
      </c>
      <c r="W175" s="1133"/>
      <c r="X175" s="1146" t="s">
        <v>2903</v>
      </c>
      <c r="Y175" s="1148" t="s">
        <v>2903</v>
      </c>
      <c r="Z175" s="1133"/>
      <c r="AA175" s="1146" t="s">
        <v>2903</v>
      </c>
      <c r="AB175" s="1185" t="s">
        <v>2903</v>
      </c>
      <c r="AC175" s="1133"/>
      <c r="AD175" s="1146" t="s">
        <v>2903</v>
      </c>
      <c r="AE175" s="1185" t="s">
        <v>2903</v>
      </c>
    </row>
    <row r="176" spans="3:31" x14ac:dyDescent="0.4">
      <c r="C176" s="2829"/>
      <c r="D176" s="1144" t="s">
        <v>3196</v>
      </c>
      <c r="E176" s="1145" t="s">
        <v>3197</v>
      </c>
      <c r="F176" s="1146">
        <v>424939.39</v>
      </c>
      <c r="G176" s="1146">
        <v>1219769.72</v>
      </c>
      <c r="H176" s="1145" t="s">
        <v>329</v>
      </c>
      <c r="I176" s="1145" t="s">
        <v>783</v>
      </c>
      <c r="J176" s="1145" t="s">
        <v>783</v>
      </c>
      <c r="K176" s="1101"/>
      <c r="L176" s="1145" t="s">
        <v>2903</v>
      </c>
      <c r="M176" s="1145" t="s">
        <v>2903</v>
      </c>
      <c r="N176" s="1145" t="s">
        <v>2903</v>
      </c>
      <c r="O176" s="1145" t="s">
        <v>2903</v>
      </c>
      <c r="P176" s="1145" t="s">
        <v>2903</v>
      </c>
      <c r="Q176" s="1133"/>
      <c r="R176" s="1146" t="s">
        <v>2903</v>
      </c>
      <c r="S176" s="1148" t="s">
        <v>2903</v>
      </c>
      <c r="T176" s="1104"/>
      <c r="U176" s="1146" t="s">
        <v>2903</v>
      </c>
      <c r="V176" s="1148" t="s">
        <v>2903</v>
      </c>
      <c r="W176" s="1133"/>
      <c r="X176" s="1146" t="s">
        <v>2903</v>
      </c>
      <c r="Y176" s="1148" t="s">
        <v>2903</v>
      </c>
      <c r="Z176" s="1133"/>
      <c r="AA176" s="1146" t="s">
        <v>2903</v>
      </c>
      <c r="AB176" s="1185" t="s">
        <v>2903</v>
      </c>
      <c r="AC176" s="1133"/>
      <c r="AD176" s="1146" t="s">
        <v>2903</v>
      </c>
      <c r="AE176" s="1185" t="s">
        <v>2903</v>
      </c>
    </row>
    <row r="177" spans="3:31" x14ac:dyDescent="0.4">
      <c r="C177" s="2829"/>
      <c r="D177" s="1144" t="s">
        <v>3198</v>
      </c>
      <c r="E177" s="1145" t="s">
        <v>3199</v>
      </c>
      <c r="F177" s="1146">
        <v>437136</v>
      </c>
      <c r="G177" s="1146">
        <v>1219338</v>
      </c>
      <c r="H177" s="1145" t="s">
        <v>329</v>
      </c>
      <c r="I177" s="1145" t="s">
        <v>783</v>
      </c>
      <c r="J177" s="1145" t="s">
        <v>783</v>
      </c>
      <c r="K177" s="1101"/>
      <c r="L177" s="1145" t="s">
        <v>2903</v>
      </c>
      <c r="M177" s="1145" t="s">
        <v>2903</v>
      </c>
      <c r="N177" s="1145" t="s">
        <v>2903</v>
      </c>
      <c r="O177" s="1145" t="s">
        <v>2903</v>
      </c>
      <c r="P177" s="1145" t="s">
        <v>2903</v>
      </c>
      <c r="Q177" s="1133"/>
      <c r="R177" s="1146" t="s">
        <v>2903</v>
      </c>
      <c r="S177" s="1148" t="s">
        <v>2903</v>
      </c>
      <c r="T177" s="1104"/>
      <c r="U177" s="1146" t="s">
        <v>2903</v>
      </c>
      <c r="V177" s="1148" t="s">
        <v>2903</v>
      </c>
      <c r="W177" s="1133"/>
      <c r="X177" s="1146" t="s">
        <v>2903</v>
      </c>
      <c r="Y177" s="1148" t="s">
        <v>2903</v>
      </c>
      <c r="Z177" s="1133"/>
      <c r="AA177" s="1146" t="s">
        <v>2903</v>
      </c>
      <c r="AB177" s="1185" t="s">
        <v>2903</v>
      </c>
      <c r="AC177" s="1133"/>
      <c r="AD177" s="1146" t="s">
        <v>2903</v>
      </c>
      <c r="AE177" s="1185" t="s">
        <v>2903</v>
      </c>
    </row>
    <row r="178" spans="3:31" x14ac:dyDescent="0.4">
      <c r="C178" s="2830" t="s">
        <v>3200</v>
      </c>
      <c r="D178" s="1135" t="s">
        <v>3201</v>
      </c>
      <c r="E178" s="1133" t="s">
        <v>3202</v>
      </c>
      <c r="F178" s="1186">
        <v>396005</v>
      </c>
      <c r="G178" s="1187">
        <v>1182789</v>
      </c>
      <c r="H178" s="1188" t="s">
        <v>329</v>
      </c>
      <c r="I178" s="1188" t="s">
        <v>784</v>
      </c>
      <c r="J178" s="1188" t="s">
        <v>3203</v>
      </c>
      <c r="K178" s="1101"/>
      <c r="L178" s="1188">
        <v>5</v>
      </c>
      <c r="M178" s="1188">
        <v>5</v>
      </c>
      <c r="N178" s="1188">
        <v>0</v>
      </c>
      <c r="O178" s="1188">
        <v>100</v>
      </c>
      <c r="P178" s="1188">
        <v>1</v>
      </c>
      <c r="Q178" s="1188"/>
      <c r="R178" s="1187">
        <v>4.3</v>
      </c>
      <c r="S178" s="1189" t="s">
        <v>2903</v>
      </c>
      <c r="T178" s="1104"/>
      <c r="U178" s="1190">
        <v>94.2</v>
      </c>
      <c r="V178" s="1189" t="s">
        <v>2903</v>
      </c>
      <c r="W178" s="1188"/>
      <c r="X178" s="1187">
        <v>0.2</v>
      </c>
      <c r="Y178" s="1189" t="s">
        <v>2903</v>
      </c>
      <c r="Z178" s="1187"/>
      <c r="AA178" s="1187">
        <v>6.86</v>
      </c>
      <c r="AB178" s="1191" t="s">
        <v>2903</v>
      </c>
      <c r="AC178" s="1187"/>
      <c r="AD178" s="1187">
        <v>3.4</v>
      </c>
      <c r="AE178" s="1191" t="s">
        <v>2903</v>
      </c>
    </row>
    <row r="179" spans="3:31" x14ac:dyDescent="0.4">
      <c r="C179" s="2846"/>
      <c r="D179" s="1135" t="s">
        <v>3204</v>
      </c>
      <c r="E179" s="1133" t="s">
        <v>3205</v>
      </c>
      <c r="F179" s="1186">
        <v>396513</v>
      </c>
      <c r="G179" s="1186">
        <v>1185236</v>
      </c>
      <c r="H179" s="1188" t="s">
        <v>329</v>
      </c>
      <c r="I179" s="1188" t="s">
        <v>784</v>
      </c>
      <c r="J179" s="1188" t="s">
        <v>3203</v>
      </c>
      <c r="K179" s="1101"/>
      <c r="L179" s="1188">
        <v>5</v>
      </c>
      <c r="M179" s="1188">
        <v>5</v>
      </c>
      <c r="N179" s="1188">
        <v>0</v>
      </c>
      <c r="O179" s="1188">
        <v>100</v>
      </c>
      <c r="P179" s="1188">
        <v>1</v>
      </c>
      <c r="Q179" s="1188"/>
      <c r="R179" s="1187">
        <v>4.2</v>
      </c>
      <c r="S179" s="1189" t="s">
        <v>2903</v>
      </c>
      <c r="T179" s="1104"/>
      <c r="U179" s="1190">
        <v>95</v>
      </c>
      <c r="V179" s="1189" t="s">
        <v>2903</v>
      </c>
      <c r="W179" s="1188"/>
      <c r="X179" s="1187">
        <v>0.15</v>
      </c>
      <c r="Y179" s="1189" t="s">
        <v>2903</v>
      </c>
      <c r="Z179" s="1187"/>
      <c r="AA179" s="1187">
        <v>6.57</v>
      </c>
      <c r="AB179" s="1191" t="s">
        <v>2903</v>
      </c>
      <c r="AC179" s="1187"/>
      <c r="AD179" s="1187">
        <v>6.04</v>
      </c>
      <c r="AE179" s="1191" t="s">
        <v>2903</v>
      </c>
    </row>
    <row r="180" spans="3:31" x14ac:dyDescent="0.4">
      <c r="C180" s="2846"/>
      <c r="D180" s="1135" t="s">
        <v>3206</v>
      </c>
      <c r="E180" s="1133" t="s">
        <v>3207</v>
      </c>
      <c r="F180" s="1186">
        <v>406466</v>
      </c>
      <c r="G180" s="1186">
        <v>1195288</v>
      </c>
      <c r="H180" s="1188" t="s">
        <v>329</v>
      </c>
      <c r="I180" s="1188" t="s">
        <v>783</v>
      </c>
      <c r="J180" s="1188" t="s">
        <v>3208</v>
      </c>
      <c r="K180" s="1101"/>
      <c r="L180" s="1188">
        <v>5</v>
      </c>
      <c r="M180" s="1188">
        <v>5</v>
      </c>
      <c r="N180" s="1188">
        <v>0</v>
      </c>
      <c r="O180" s="1188">
        <v>100</v>
      </c>
      <c r="P180" s="1188">
        <v>1</v>
      </c>
      <c r="Q180" s="1188"/>
      <c r="R180" s="1187">
        <v>5.2</v>
      </c>
      <c r="S180" s="1189" t="s">
        <v>2903</v>
      </c>
      <c r="T180" s="1104"/>
      <c r="U180" s="1190">
        <v>74.900000000000006</v>
      </c>
      <c r="V180" s="1189" t="s">
        <v>2903</v>
      </c>
      <c r="W180" s="1188"/>
      <c r="X180" s="1187">
        <v>0.19</v>
      </c>
      <c r="Y180" s="1189" t="s">
        <v>2903</v>
      </c>
      <c r="Z180" s="1187"/>
      <c r="AA180" s="1187">
        <v>6.62</v>
      </c>
      <c r="AB180" s="1191" t="s">
        <v>2903</v>
      </c>
      <c r="AC180" s="1187"/>
      <c r="AD180" s="1187">
        <v>8.3000000000000007</v>
      </c>
      <c r="AE180" s="1191" t="s">
        <v>2903</v>
      </c>
    </row>
    <row r="181" spans="3:31" x14ac:dyDescent="0.4">
      <c r="C181" s="2846"/>
      <c r="D181" s="1135" t="s">
        <v>3209</v>
      </c>
      <c r="E181" s="1133" t="s">
        <v>3210</v>
      </c>
      <c r="F181" s="1186">
        <v>419081</v>
      </c>
      <c r="G181" s="1186">
        <v>1213800</v>
      </c>
      <c r="H181" s="1188" t="s">
        <v>329</v>
      </c>
      <c r="I181" s="1188" t="s">
        <v>783</v>
      </c>
      <c r="J181" s="1188" t="s">
        <v>3208</v>
      </c>
      <c r="K181" s="1101"/>
      <c r="L181" s="1188" t="s">
        <v>2903</v>
      </c>
      <c r="M181" s="1188" t="s">
        <v>2903</v>
      </c>
      <c r="N181" s="1188" t="s">
        <v>2903</v>
      </c>
      <c r="O181" s="1188" t="s">
        <v>2903</v>
      </c>
      <c r="P181" s="1188" t="s">
        <v>2903</v>
      </c>
      <c r="Q181" s="1188"/>
      <c r="R181" s="1187" t="s">
        <v>2903</v>
      </c>
      <c r="S181" s="1189" t="s">
        <v>2903</v>
      </c>
      <c r="T181" s="1104"/>
      <c r="U181" s="1190" t="s">
        <v>2903</v>
      </c>
      <c r="V181" s="1189" t="s">
        <v>2903</v>
      </c>
      <c r="W181" s="1188"/>
      <c r="X181" s="1187" t="s">
        <v>2903</v>
      </c>
      <c r="Y181" s="1189" t="s">
        <v>2903</v>
      </c>
      <c r="Z181" s="1187"/>
      <c r="AA181" s="1187" t="s">
        <v>2903</v>
      </c>
      <c r="AB181" s="1191" t="s">
        <v>2903</v>
      </c>
      <c r="AC181" s="1187"/>
      <c r="AD181" s="1187" t="s">
        <v>2903</v>
      </c>
      <c r="AE181" s="1191" t="s">
        <v>2903</v>
      </c>
    </row>
    <row r="182" spans="3:31" x14ac:dyDescent="0.4">
      <c r="C182" s="2846"/>
      <c r="D182" s="1135" t="s">
        <v>3211</v>
      </c>
      <c r="E182" s="1133" t="s">
        <v>3212</v>
      </c>
      <c r="F182" s="1186">
        <v>424116</v>
      </c>
      <c r="G182" s="1186">
        <v>1198841</v>
      </c>
      <c r="H182" s="1188" t="s">
        <v>329</v>
      </c>
      <c r="I182" s="1188" t="s">
        <v>783</v>
      </c>
      <c r="J182" s="1188" t="s">
        <v>3208</v>
      </c>
      <c r="K182" s="1101"/>
      <c r="L182" s="1188">
        <v>5</v>
      </c>
      <c r="M182" s="1188">
        <v>2</v>
      </c>
      <c r="N182" s="1188">
        <v>3</v>
      </c>
      <c r="O182" s="1188">
        <v>40</v>
      </c>
      <c r="P182" s="1188">
        <v>0</v>
      </c>
      <c r="Q182" s="1188"/>
      <c r="R182" s="1187">
        <v>6.5</v>
      </c>
      <c r="S182" s="1189" t="s">
        <v>2903</v>
      </c>
      <c r="T182" s="1104"/>
      <c r="U182" s="1190">
        <v>70.3</v>
      </c>
      <c r="V182" s="1189" t="s">
        <v>2903</v>
      </c>
      <c r="W182" s="1188"/>
      <c r="X182" s="1187">
        <v>0.3</v>
      </c>
      <c r="Y182" s="1189" t="s">
        <v>2903</v>
      </c>
      <c r="Z182" s="1187"/>
      <c r="AA182" s="1187">
        <v>6.95</v>
      </c>
      <c r="AB182" s="1191" t="s">
        <v>2903</v>
      </c>
      <c r="AC182" s="1187"/>
      <c r="AD182" s="1187">
        <v>78</v>
      </c>
      <c r="AE182" s="1191" t="s">
        <v>2903</v>
      </c>
    </row>
    <row r="183" spans="3:31" ht="25.5" x14ac:dyDescent="0.4">
      <c r="C183" s="2822" t="s">
        <v>779</v>
      </c>
      <c r="D183" s="1178" t="s">
        <v>3213</v>
      </c>
      <c r="E183" s="1179" t="s">
        <v>3214</v>
      </c>
      <c r="F183" s="1180">
        <v>445595</v>
      </c>
      <c r="G183" s="1180">
        <v>1150072</v>
      </c>
      <c r="H183" s="1179" t="s">
        <v>329</v>
      </c>
      <c r="I183" s="1179" t="s">
        <v>779</v>
      </c>
      <c r="J183" s="1179" t="s">
        <v>3215</v>
      </c>
      <c r="K183" s="1101"/>
      <c r="L183" s="1179">
        <v>1</v>
      </c>
      <c r="M183" s="1179">
        <v>1</v>
      </c>
      <c r="N183" s="1179">
        <v>0</v>
      </c>
      <c r="O183" s="1179">
        <v>100</v>
      </c>
      <c r="P183" s="1179">
        <v>1</v>
      </c>
      <c r="Q183" s="1133"/>
      <c r="R183" s="1180" t="s">
        <v>2903</v>
      </c>
      <c r="S183" s="1182" t="s">
        <v>2903</v>
      </c>
      <c r="T183" s="1104"/>
      <c r="U183" s="1180" t="s">
        <v>2903</v>
      </c>
      <c r="V183" s="1182" t="s">
        <v>2903</v>
      </c>
      <c r="W183" s="1133"/>
      <c r="X183" s="1180" t="s">
        <v>2903</v>
      </c>
      <c r="Y183" s="1182" t="s">
        <v>2903</v>
      </c>
      <c r="Z183" s="1136"/>
      <c r="AA183" s="1180" t="s">
        <v>2903</v>
      </c>
      <c r="AB183" s="1192" t="s">
        <v>2903</v>
      </c>
      <c r="AC183" s="1136"/>
      <c r="AD183" s="1180" t="s">
        <v>2903</v>
      </c>
      <c r="AE183" s="1192" t="s">
        <v>2903</v>
      </c>
    </row>
    <row r="184" spans="3:31" x14ac:dyDescent="0.4">
      <c r="C184" s="2847"/>
      <c r="D184" s="1178" t="s">
        <v>3216</v>
      </c>
      <c r="E184" s="1179" t="s">
        <v>3217</v>
      </c>
      <c r="F184" s="1180">
        <v>448391</v>
      </c>
      <c r="G184" s="1180">
        <v>1154099</v>
      </c>
      <c r="H184" s="1179" t="s">
        <v>329</v>
      </c>
      <c r="I184" s="1179" t="s">
        <v>779</v>
      </c>
      <c r="J184" s="1179" t="s">
        <v>3215</v>
      </c>
      <c r="K184" s="1101"/>
      <c r="L184" s="1179" t="s">
        <v>2903</v>
      </c>
      <c r="M184" s="1179" t="s">
        <v>2903</v>
      </c>
      <c r="N184" s="1179" t="s">
        <v>2903</v>
      </c>
      <c r="O184" s="1179" t="s">
        <v>2903</v>
      </c>
      <c r="P184" s="1179" t="s">
        <v>2903</v>
      </c>
      <c r="Q184" s="1133"/>
      <c r="R184" s="1180" t="s">
        <v>2903</v>
      </c>
      <c r="S184" s="1182" t="s">
        <v>2903</v>
      </c>
      <c r="T184" s="1104"/>
      <c r="U184" s="1180" t="s">
        <v>2903</v>
      </c>
      <c r="V184" s="1182" t="s">
        <v>2903</v>
      </c>
      <c r="W184" s="1133"/>
      <c r="X184" s="1180" t="s">
        <v>2903</v>
      </c>
      <c r="Y184" s="1182" t="s">
        <v>2903</v>
      </c>
      <c r="Z184" s="1136"/>
      <c r="AA184" s="1180" t="s">
        <v>2903</v>
      </c>
      <c r="AB184" s="1192" t="s">
        <v>2903</v>
      </c>
      <c r="AC184" s="1136"/>
      <c r="AD184" s="1180" t="s">
        <v>2903</v>
      </c>
      <c r="AE184" s="1192" t="s">
        <v>2903</v>
      </c>
    </row>
    <row r="185" spans="3:31" x14ac:dyDescent="0.4">
      <c r="C185" s="2847"/>
      <c r="D185" s="1178" t="s">
        <v>3216</v>
      </c>
      <c r="E185" s="1179" t="s">
        <v>3218</v>
      </c>
      <c r="F185" s="1180">
        <v>447360</v>
      </c>
      <c r="G185" s="1180">
        <v>1164091</v>
      </c>
      <c r="H185" s="1179" t="s">
        <v>329</v>
      </c>
      <c r="I185" s="1179" t="s">
        <v>779</v>
      </c>
      <c r="J185" s="1179" t="s">
        <v>3191</v>
      </c>
      <c r="K185" s="1101"/>
      <c r="L185" s="1179" t="s">
        <v>2903</v>
      </c>
      <c r="M185" s="1179" t="s">
        <v>2903</v>
      </c>
      <c r="N185" s="1179" t="s">
        <v>2903</v>
      </c>
      <c r="O185" s="1179" t="s">
        <v>2903</v>
      </c>
      <c r="P185" s="1179" t="s">
        <v>2903</v>
      </c>
      <c r="Q185" s="1133"/>
      <c r="R185" s="1180" t="s">
        <v>2903</v>
      </c>
      <c r="S185" s="1182" t="s">
        <v>2903</v>
      </c>
      <c r="T185" s="1104"/>
      <c r="U185" s="1180" t="s">
        <v>2903</v>
      </c>
      <c r="V185" s="1182" t="s">
        <v>2903</v>
      </c>
      <c r="W185" s="1133"/>
      <c r="X185" s="1180" t="s">
        <v>2903</v>
      </c>
      <c r="Y185" s="1182" t="s">
        <v>2903</v>
      </c>
      <c r="Z185" s="1136"/>
      <c r="AA185" s="1180" t="s">
        <v>2903</v>
      </c>
      <c r="AB185" s="1192" t="s">
        <v>2903</v>
      </c>
      <c r="AC185" s="1136"/>
      <c r="AD185" s="1180" t="s">
        <v>2903</v>
      </c>
      <c r="AE185" s="1192" t="s">
        <v>2903</v>
      </c>
    </row>
    <row r="186" spans="3:31" x14ac:dyDescent="0.4">
      <c r="C186" s="2847"/>
      <c r="D186" s="1178" t="s">
        <v>3216</v>
      </c>
      <c r="E186" s="1179" t="s">
        <v>3219</v>
      </c>
      <c r="F186" s="1180">
        <v>446170</v>
      </c>
      <c r="G186" s="1180">
        <v>1167233</v>
      </c>
      <c r="H186" s="1179" t="s">
        <v>329</v>
      </c>
      <c r="I186" s="1179" t="s">
        <v>779</v>
      </c>
      <c r="J186" s="1179" t="s">
        <v>3188</v>
      </c>
      <c r="K186" s="1101"/>
      <c r="L186" s="1179" t="s">
        <v>2903</v>
      </c>
      <c r="M186" s="1179" t="s">
        <v>2903</v>
      </c>
      <c r="N186" s="1179" t="s">
        <v>2903</v>
      </c>
      <c r="O186" s="1179" t="s">
        <v>2903</v>
      </c>
      <c r="P186" s="1179" t="s">
        <v>2903</v>
      </c>
      <c r="Q186" s="1133"/>
      <c r="R186" s="1180" t="s">
        <v>2903</v>
      </c>
      <c r="S186" s="1182" t="s">
        <v>2903</v>
      </c>
      <c r="T186" s="1104"/>
      <c r="U186" s="1180" t="s">
        <v>2903</v>
      </c>
      <c r="V186" s="1182" t="s">
        <v>2903</v>
      </c>
      <c r="W186" s="1133"/>
      <c r="X186" s="1180" t="s">
        <v>2903</v>
      </c>
      <c r="Y186" s="1182" t="s">
        <v>2903</v>
      </c>
      <c r="Z186" s="1136"/>
      <c r="AA186" s="1180" t="s">
        <v>2903</v>
      </c>
      <c r="AB186" s="1192" t="s">
        <v>2903</v>
      </c>
      <c r="AC186" s="1136"/>
      <c r="AD186" s="1180" t="s">
        <v>2903</v>
      </c>
      <c r="AE186" s="1192" t="s">
        <v>2903</v>
      </c>
    </row>
    <row r="187" spans="3:31" x14ac:dyDescent="0.4">
      <c r="C187" s="2847"/>
      <c r="D187" s="1178" t="s">
        <v>3216</v>
      </c>
      <c r="E187" s="1179" t="s">
        <v>3220</v>
      </c>
      <c r="F187" s="1180">
        <v>472597</v>
      </c>
      <c r="G187" s="1180">
        <v>1178771</v>
      </c>
      <c r="H187" s="1179" t="s">
        <v>329</v>
      </c>
      <c r="I187" s="1179" t="s">
        <v>779</v>
      </c>
      <c r="J187" s="1179" t="s">
        <v>3221</v>
      </c>
      <c r="K187" s="1101"/>
      <c r="L187" s="1179" t="s">
        <v>2903</v>
      </c>
      <c r="M187" s="1179" t="s">
        <v>2903</v>
      </c>
      <c r="N187" s="1179" t="s">
        <v>2903</v>
      </c>
      <c r="O187" s="1179" t="s">
        <v>2903</v>
      </c>
      <c r="P187" s="1179" t="s">
        <v>2903</v>
      </c>
      <c r="Q187" s="1133"/>
      <c r="R187" s="1180" t="s">
        <v>2903</v>
      </c>
      <c r="S187" s="1182" t="s">
        <v>2903</v>
      </c>
      <c r="T187" s="1104"/>
      <c r="U187" s="1180" t="s">
        <v>2903</v>
      </c>
      <c r="V187" s="1182" t="s">
        <v>2903</v>
      </c>
      <c r="W187" s="1133"/>
      <c r="X187" s="1180" t="s">
        <v>2903</v>
      </c>
      <c r="Y187" s="1182" t="s">
        <v>2903</v>
      </c>
      <c r="Z187" s="1136"/>
      <c r="AA187" s="1180" t="s">
        <v>2903</v>
      </c>
      <c r="AB187" s="1192" t="s">
        <v>2903</v>
      </c>
      <c r="AC187" s="1136"/>
      <c r="AD187" s="1180" t="s">
        <v>2903</v>
      </c>
      <c r="AE187" s="1192" t="s">
        <v>2903</v>
      </c>
    </row>
    <row r="188" spans="3:31" x14ac:dyDescent="0.4">
      <c r="C188" s="2847"/>
      <c r="D188" s="1178" t="s">
        <v>3216</v>
      </c>
      <c r="E188" s="1179" t="s">
        <v>3222</v>
      </c>
      <c r="F188" s="1180">
        <v>478588</v>
      </c>
      <c r="G188" s="1180">
        <v>1192460</v>
      </c>
      <c r="H188" s="1179" t="s">
        <v>329</v>
      </c>
      <c r="I188" s="1179" t="s">
        <v>779</v>
      </c>
      <c r="J188" s="1179" t="s">
        <v>3221</v>
      </c>
      <c r="K188" s="1101"/>
      <c r="L188" s="1179" t="s">
        <v>2903</v>
      </c>
      <c r="M188" s="1179" t="s">
        <v>2903</v>
      </c>
      <c r="N188" s="1179" t="s">
        <v>2903</v>
      </c>
      <c r="O188" s="1179" t="s">
        <v>2903</v>
      </c>
      <c r="P188" s="1179" t="s">
        <v>2903</v>
      </c>
      <c r="Q188" s="1133"/>
      <c r="R188" s="1180" t="s">
        <v>2903</v>
      </c>
      <c r="S188" s="1182" t="s">
        <v>2903</v>
      </c>
      <c r="T188" s="1104"/>
      <c r="U188" s="1180" t="s">
        <v>2903</v>
      </c>
      <c r="V188" s="1182" t="s">
        <v>2903</v>
      </c>
      <c r="W188" s="1133"/>
      <c r="X188" s="1180" t="s">
        <v>2903</v>
      </c>
      <c r="Y188" s="1182" t="s">
        <v>2903</v>
      </c>
      <c r="Z188" s="1136"/>
      <c r="AA188" s="1180" t="s">
        <v>2903</v>
      </c>
      <c r="AB188" s="1192" t="s">
        <v>2903</v>
      </c>
      <c r="AC188" s="1136"/>
      <c r="AD188" s="1180" t="s">
        <v>2903</v>
      </c>
      <c r="AE188" s="1192" t="s">
        <v>2903</v>
      </c>
    </row>
    <row r="189" spans="3:31" x14ac:dyDescent="0.4">
      <c r="C189" s="2824" t="s">
        <v>802</v>
      </c>
      <c r="D189" s="1135" t="s">
        <v>3223</v>
      </c>
      <c r="E189" s="1133" t="s">
        <v>3224</v>
      </c>
      <c r="F189" s="1186">
        <v>482052</v>
      </c>
      <c r="G189" s="1186">
        <v>1128601</v>
      </c>
      <c r="H189" s="1193" t="s">
        <v>331</v>
      </c>
      <c r="I189" s="1193" t="s">
        <v>331</v>
      </c>
      <c r="J189" s="1193" t="s">
        <v>3225</v>
      </c>
      <c r="K189" s="1101"/>
      <c r="L189" s="1193" t="s">
        <v>2903</v>
      </c>
      <c r="M189" s="1193" t="s">
        <v>2903</v>
      </c>
      <c r="N189" s="1193" t="s">
        <v>2903</v>
      </c>
      <c r="O189" s="1193" t="s">
        <v>2903</v>
      </c>
      <c r="P189" s="1193" t="s">
        <v>2903</v>
      </c>
      <c r="Q189" s="1193"/>
      <c r="R189" s="1186" t="s">
        <v>2903</v>
      </c>
      <c r="S189" s="1107" t="s">
        <v>2903</v>
      </c>
      <c r="T189" s="1104"/>
      <c r="U189" s="1190" t="s">
        <v>2903</v>
      </c>
      <c r="V189" s="1107" t="s">
        <v>2903</v>
      </c>
      <c r="W189" s="1193"/>
      <c r="X189" s="1186" t="s">
        <v>2903</v>
      </c>
      <c r="Y189" s="1107" t="s">
        <v>2903</v>
      </c>
      <c r="Z189" s="1186"/>
      <c r="AA189" s="1186" t="s">
        <v>2903</v>
      </c>
      <c r="AB189" s="1194" t="s">
        <v>2903</v>
      </c>
      <c r="AC189" s="1186"/>
      <c r="AD189" s="1186" t="s">
        <v>2903</v>
      </c>
      <c r="AE189" s="1194" t="s">
        <v>2903</v>
      </c>
    </row>
    <row r="190" spans="3:31" x14ac:dyDescent="0.4">
      <c r="C190" s="2846"/>
      <c r="D190" s="1135" t="s">
        <v>3226</v>
      </c>
      <c r="E190" s="1133" t="s">
        <v>3227</v>
      </c>
      <c r="F190" s="1186">
        <v>479928</v>
      </c>
      <c r="G190" s="1186">
        <v>1135348</v>
      </c>
      <c r="H190" s="1193" t="s">
        <v>331</v>
      </c>
      <c r="I190" s="1193" t="s">
        <v>331</v>
      </c>
      <c r="J190" s="1193" t="s">
        <v>3225</v>
      </c>
      <c r="K190" s="1101"/>
      <c r="L190" s="1193">
        <v>5</v>
      </c>
      <c r="M190" s="1193">
        <v>4</v>
      </c>
      <c r="N190" s="1193">
        <v>1</v>
      </c>
      <c r="O190" s="1193">
        <v>80</v>
      </c>
      <c r="P190" s="1193">
        <v>1</v>
      </c>
      <c r="Q190" s="1193"/>
      <c r="R190" s="1186">
        <v>16.600000000000001</v>
      </c>
      <c r="S190" s="1107" t="s">
        <v>2903</v>
      </c>
      <c r="T190" s="1104"/>
      <c r="U190" s="1190">
        <v>88.9</v>
      </c>
      <c r="V190" s="1107" t="s">
        <v>2903</v>
      </c>
      <c r="W190" s="1193"/>
      <c r="X190" s="1186">
        <v>0.01</v>
      </c>
      <c r="Y190" s="1107" t="s">
        <v>2903</v>
      </c>
      <c r="Z190" s="1186"/>
      <c r="AA190" s="1186">
        <v>7.73</v>
      </c>
      <c r="AB190" s="1194" t="s">
        <v>2903</v>
      </c>
      <c r="AC190" s="1186"/>
      <c r="AD190" s="1186">
        <v>6</v>
      </c>
      <c r="AE190" s="1194" t="s">
        <v>2903</v>
      </c>
    </row>
    <row r="191" spans="3:31" x14ac:dyDescent="0.4">
      <c r="C191" s="2846"/>
      <c r="D191" s="1135" t="s">
        <v>3228</v>
      </c>
      <c r="E191" s="1133" t="s">
        <v>3229</v>
      </c>
      <c r="F191" s="1186">
        <v>499537</v>
      </c>
      <c r="G191" s="1186">
        <v>1153320</v>
      </c>
      <c r="H191" s="1193" t="s">
        <v>331</v>
      </c>
      <c r="I191" s="1193" t="s">
        <v>802</v>
      </c>
      <c r="J191" s="1193" t="s">
        <v>3230</v>
      </c>
      <c r="K191" s="1101"/>
      <c r="L191" s="1193" t="s">
        <v>2903</v>
      </c>
      <c r="M191" s="1193" t="s">
        <v>2903</v>
      </c>
      <c r="N191" s="1193" t="s">
        <v>2903</v>
      </c>
      <c r="O191" s="1193" t="s">
        <v>2903</v>
      </c>
      <c r="P191" s="1193" t="s">
        <v>2903</v>
      </c>
      <c r="Q191" s="1193"/>
      <c r="R191" s="1193" t="s">
        <v>2903</v>
      </c>
      <c r="S191" s="1107" t="s">
        <v>2903</v>
      </c>
      <c r="T191" s="1193"/>
      <c r="U191" s="1186" t="s">
        <v>2903</v>
      </c>
      <c r="V191" s="1107" t="s">
        <v>2903</v>
      </c>
      <c r="W191" s="1193"/>
      <c r="X191" s="1186" t="s">
        <v>2903</v>
      </c>
      <c r="Y191" s="1107" t="s">
        <v>2903</v>
      </c>
      <c r="Z191" s="1193"/>
      <c r="AA191" s="1186" t="s">
        <v>2903</v>
      </c>
      <c r="AB191" s="1107" t="s">
        <v>2903</v>
      </c>
      <c r="AC191" s="1193"/>
      <c r="AD191" s="1186" t="s">
        <v>2903</v>
      </c>
      <c r="AE191" s="1107" t="s">
        <v>2903</v>
      </c>
    </row>
    <row r="192" spans="3:31" x14ac:dyDescent="0.4">
      <c r="C192" s="2846"/>
      <c r="D192" s="1135" t="s">
        <v>3231</v>
      </c>
      <c r="E192" s="1133" t="s">
        <v>3232</v>
      </c>
      <c r="F192" s="1186">
        <v>498841</v>
      </c>
      <c r="G192" s="1186">
        <v>1155364</v>
      </c>
      <c r="H192" s="1193" t="s">
        <v>331</v>
      </c>
      <c r="I192" s="1193" t="s">
        <v>802</v>
      </c>
      <c r="J192" s="1193" t="s">
        <v>3230</v>
      </c>
      <c r="K192" s="1101"/>
      <c r="L192" s="1193">
        <v>5</v>
      </c>
      <c r="M192" s="1193">
        <v>3</v>
      </c>
      <c r="N192" s="1193">
        <v>2</v>
      </c>
      <c r="O192" s="1193">
        <v>60</v>
      </c>
      <c r="P192" s="1193">
        <v>0</v>
      </c>
      <c r="Q192" s="1193"/>
      <c r="R192" s="1186">
        <v>14.5</v>
      </c>
      <c r="S192" s="1107" t="s">
        <v>2903</v>
      </c>
      <c r="T192" s="1104"/>
      <c r="U192" s="1190">
        <v>89.1</v>
      </c>
      <c r="V192" s="1107" t="s">
        <v>2903</v>
      </c>
      <c r="W192" s="1193"/>
      <c r="X192" s="1186">
        <v>0.01</v>
      </c>
      <c r="Y192" s="1107" t="s">
        <v>2903</v>
      </c>
      <c r="Z192" s="1186"/>
      <c r="AA192" s="1186">
        <v>7.04</v>
      </c>
      <c r="AB192" s="1194" t="s">
        <v>2903</v>
      </c>
      <c r="AC192" s="1186"/>
      <c r="AD192" s="1186">
        <v>155</v>
      </c>
      <c r="AE192" s="1194" t="s">
        <v>2903</v>
      </c>
    </row>
    <row r="193" spans="3:31" x14ac:dyDescent="0.4">
      <c r="C193" s="2846"/>
      <c r="D193" s="1135" t="s">
        <v>3231</v>
      </c>
      <c r="E193" s="1133" t="s">
        <v>3233</v>
      </c>
      <c r="F193" s="1186">
        <v>499819</v>
      </c>
      <c r="G193" s="1186">
        <v>1173656</v>
      </c>
      <c r="H193" s="1193" t="s">
        <v>331</v>
      </c>
      <c r="I193" s="1193" t="s">
        <v>802</v>
      </c>
      <c r="J193" s="1193" t="s">
        <v>3230</v>
      </c>
      <c r="K193" s="1101"/>
      <c r="L193" s="1193">
        <v>5</v>
      </c>
      <c r="M193" s="1193">
        <v>3</v>
      </c>
      <c r="N193" s="1193">
        <v>2</v>
      </c>
      <c r="O193" s="1193">
        <v>60</v>
      </c>
      <c r="P193" s="1193">
        <v>0</v>
      </c>
      <c r="Q193" s="1193"/>
      <c r="R193" s="1186">
        <v>13.8</v>
      </c>
      <c r="S193" s="1107" t="s">
        <v>2903</v>
      </c>
      <c r="T193" s="1104"/>
      <c r="U193" s="1190">
        <v>84.7</v>
      </c>
      <c r="V193" s="1107" t="s">
        <v>2903</v>
      </c>
      <c r="W193" s="1193"/>
      <c r="X193" s="1186">
        <v>0</v>
      </c>
      <c r="Y193" s="1107" t="s">
        <v>2903</v>
      </c>
      <c r="Z193" s="1186"/>
      <c r="AA193" s="1186">
        <v>7</v>
      </c>
      <c r="AB193" s="1194" t="s">
        <v>2903</v>
      </c>
      <c r="AC193" s="1186"/>
      <c r="AD193" s="1186">
        <v>395</v>
      </c>
      <c r="AE193" s="1194" t="s">
        <v>2903</v>
      </c>
    </row>
    <row r="194" spans="3:31" x14ac:dyDescent="0.4">
      <c r="C194" s="2846"/>
      <c r="D194" s="1135" t="s">
        <v>3234</v>
      </c>
      <c r="E194" s="1133" t="s">
        <v>3235</v>
      </c>
      <c r="F194" s="1187">
        <v>493786</v>
      </c>
      <c r="G194" s="1187">
        <v>1173389</v>
      </c>
      <c r="H194" s="1193" t="s">
        <v>331</v>
      </c>
      <c r="I194" s="1193" t="s">
        <v>802</v>
      </c>
      <c r="J194" s="1193" t="s">
        <v>3230</v>
      </c>
      <c r="K194" s="1101"/>
      <c r="L194" s="1193">
        <v>5</v>
      </c>
      <c r="M194" s="1193">
        <v>3</v>
      </c>
      <c r="N194" s="1193">
        <v>2</v>
      </c>
      <c r="O194" s="1193">
        <v>60</v>
      </c>
      <c r="P194" s="1193">
        <v>0</v>
      </c>
      <c r="Q194" s="1193"/>
      <c r="R194" s="1186">
        <v>15.2</v>
      </c>
      <c r="S194" s="1107" t="s">
        <v>2903</v>
      </c>
      <c r="T194" s="1104"/>
      <c r="U194" s="1190">
        <v>88.1</v>
      </c>
      <c r="V194" s="1107" t="s">
        <v>2903</v>
      </c>
      <c r="W194" s="1193"/>
      <c r="X194" s="1186">
        <v>0.01</v>
      </c>
      <c r="Y194" s="1107" t="s">
        <v>2903</v>
      </c>
      <c r="Z194" s="1186"/>
      <c r="AA194" s="1186">
        <v>6.63</v>
      </c>
      <c r="AB194" s="1194" t="s">
        <v>2903</v>
      </c>
      <c r="AC194" s="1186"/>
      <c r="AD194" s="1186">
        <v>78</v>
      </c>
      <c r="AE194" s="1194" t="s">
        <v>2903</v>
      </c>
    </row>
    <row r="195" spans="3:31" x14ac:dyDescent="0.4">
      <c r="C195" s="2826" t="s">
        <v>3236</v>
      </c>
      <c r="D195" s="1151" t="s">
        <v>3237</v>
      </c>
      <c r="E195" s="1152" t="s">
        <v>3238</v>
      </c>
      <c r="F195" s="1153">
        <v>482592.46</v>
      </c>
      <c r="G195" s="1153">
        <v>1175164.98</v>
      </c>
      <c r="H195" s="1152" t="s">
        <v>331</v>
      </c>
      <c r="I195" s="1152" t="s">
        <v>802</v>
      </c>
      <c r="J195" s="1152" t="s">
        <v>3236</v>
      </c>
      <c r="K195" s="1101"/>
      <c r="L195" s="1152">
        <v>1</v>
      </c>
      <c r="M195" s="1152">
        <v>1</v>
      </c>
      <c r="N195" s="1152">
        <v>0</v>
      </c>
      <c r="O195" s="1152">
        <v>100</v>
      </c>
      <c r="P195" s="1152">
        <v>1</v>
      </c>
      <c r="Q195" s="1133"/>
      <c r="R195" s="1153" t="s">
        <v>2903</v>
      </c>
      <c r="S195" s="1156" t="s">
        <v>2903</v>
      </c>
      <c r="T195" s="1104"/>
      <c r="U195" s="1153" t="s">
        <v>2903</v>
      </c>
      <c r="V195" s="1156" t="s">
        <v>2903</v>
      </c>
      <c r="W195" s="1133"/>
      <c r="X195" s="1153" t="s">
        <v>2903</v>
      </c>
      <c r="Y195" s="1156" t="s">
        <v>2903</v>
      </c>
      <c r="Z195" s="1136"/>
      <c r="AA195" s="1153" t="s">
        <v>2903</v>
      </c>
      <c r="AB195" s="1195" t="s">
        <v>2903</v>
      </c>
      <c r="AC195" s="1136"/>
      <c r="AD195" s="1153" t="s">
        <v>2903</v>
      </c>
      <c r="AE195" s="1195" t="s">
        <v>2903</v>
      </c>
    </row>
    <row r="196" spans="3:31" x14ac:dyDescent="0.4">
      <c r="C196" s="2847"/>
      <c r="D196" s="1151" t="s">
        <v>3237</v>
      </c>
      <c r="E196" s="1152" t="s">
        <v>3239</v>
      </c>
      <c r="F196" s="1153">
        <v>489977.64</v>
      </c>
      <c r="G196" s="1153">
        <v>1190025.98</v>
      </c>
      <c r="H196" s="1152" t="s">
        <v>331</v>
      </c>
      <c r="I196" s="1152" t="s">
        <v>802</v>
      </c>
      <c r="J196" s="1152" t="s">
        <v>3236</v>
      </c>
      <c r="K196" s="1101"/>
      <c r="L196" s="1152" t="s">
        <v>2903</v>
      </c>
      <c r="M196" s="1152" t="s">
        <v>2903</v>
      </c>
      <c r="N196" s="1152" t="s">
        <v>2903</v>
      </c>
      <c r="O196" s="1152" t="s">
        <v>2903</v>
      </c>
      <c r="P196" s="1152" t="s">
        <v>2903</v>
      </c>
      <c r="Q196" s="1133"/>
      <c r="R196" s="1153" t="s">
        <v>2903</v>
      </c>
      <c r="S196" s="1156" t="s">
        <v>2903</v>
      </c>
      <c r="T196" s="1104"/>
      <c r="U196" s="1153" t="s">
        <v>2903</v>
      </c>
      <c r="V196" s="1156" t="s">
        <v>2903</v>
      </c>
      <c r="W196" s="1133"/>
      <c r="X196" s="1153" t="s">
        <v>2903</v>
      </c>
      <c r="Y196" s="1156" t="s">
        <v>2903</v>
      </c>
      <c r="Z196" s="1136"/>
      <c r="AA196" s="1153" t="s">
        <v>2903</v>
      </c>
      <c r="AB196" s="1195" t="s">
        <v>2903</v>
      </c>
      <c r="AC196" s="1136"/>
      <c r="AD196" s="1153" t="s">
        <v>2903</v>
      </c>
      <c r="AE196" s="1195" t="s">
        <v>2903</v>
      </c>
    </row>
    <row r="197" spans="3:31" x14ac:dyDescent="0.4">
      <c r="C197" s="2827" t="s">
        <v>3063</v>
      </c>
      <c r="D197" s="1196" t="s">
        <v>3240</v>
      </c>
      <c r="E197" s="1197" t="s">
        <v>3241</v>
      </c>
      <c r="F197" s="1198">
        <v>505845</v>
      </c>
      <c r="G197" s="1198">
        <v>1121951</v>
      </c>
      <c r="H197" s="1197" t="s">
        <v>330</v>
      </c>
      <c r="I197" s="1197" t="s">
        <v>792</v>
      </c>
      <c r="J197" s="1197" t="s">
        <v>3185</v>
      </c>
      <c r="K197" s="1101"/>
      <c r="L197" s="1197" t="s">
        <v>2903</v>
      </c>
      <c r="M197" s="1197" t="s">
        <v>2903</v>
      </c>
      <c r="N197" s="1197" t="s">
        <v>2903</v>
      </c>
      <c r="O197" s="1197" t="s">
        <v>2903</v>
      </c>
      <c r="P197" s="1197" t="s">
        <v>2903</v>
      </c>
      <c r="Q197" s="1133"/>
      <c r="R197" s="1198" t="s">
        <v>2903</v>
      </c>
      <c r="S197" s="1199" t="s">
        <v>2903</v>
      </c>
      <c r="T197" s="1104"/>
      <c r="U197" s="1198" t="s">
        <v>2903</v>
      </c>
      <c r="V197" s="1199" t="s">
        <v>2903</v>
      </c>
      <c r="W197" s="1133"/>
      <c r="X197" s="1198" t="s">
        <v>2903</v>
      </c>
      <c r="Y197" s="1199" t="s">
        <v>2903</v>
      </c>
      <c r="Z197" s="1136"/>
      <c r="AA197" s="1198" t="s">
        <v>2903</v>
      </c>
      <c r="AB197" s="1200" t="s">
        <v>2903</v>
      </c>
      <c r="AC197" s="1136"/>
      <c r="AD197" s="1198" t="s">
        <v>2903</v>
      </c>
      <c r="AE197" s="1200" t="s">
        <v>2903</v>
      </c>
    </row>
    <row r="198" spans="3:31" x14ac:dyDescent="0.4">
      <c r="C198" s="2827"/>
      <c r="D198" s="1196" t="s">
        <v>3242</v>
      </c>
      <c r="E198" s="1197" t="s">
        <v>3243</v>
      </c>
      <c r="F198" s="1198">
        <v>521342</v>
      </c>
      <c r="G198" s="1198">
        <v>1123861</v>
      </c>
      <c r="H198" s="1197" t="s">
        <v>334</v>
      </c>
      <c r="I198" s="1197" t="s">
        <v>826</v>
      </c>
      <c r="J198" s="1197" t="s">
        <v>3097</v>
      </c>
      <c r="K198" s="1101"/>
      <c r="L198" s="1197" t="s">
        <v>2903</v>
      </c>
      <c r="M198" s="1197" t="s">
        <v>2903</v>
      </c>
      <c r="N198" s="1197" t="s">
        <v>2903</v>
      </c>
      <c r="O198" s="1197" t="s">
        <v>2903</v>
      </c>
      <c r="P198" s="1197" t="s">
        <v>2903</v>
      </c>
      <c r="Q198" s="1133"/>
      <c r="R198" s="1198" t="s">
        <v>2903</v>
      </c>
      <c r="S198" s="1199" t="s">
        <v>2903</v>
      </c>
      <c r="T198" s="1104"/>
      <c r="U198" s="1198" t="s">
        <v>2903</v>
      </c>
      <c r="V198" s="1199" t="s">
        <v>2903</v>
      </c>
      <c r="W198" s="1133"/>
      <c r="X198" s="1198" t="s">
        <v>2903</v>
      </c>
      <c r="Y198" s="1199" t="s">
        <v>2903</v>
      </c>
      <c r="Z198" s="1136"/>
      <c r="AA198" s="1198" t="s">
        <v>2903</v>
      </c>
      <c r="AB198" s="1200" t="s">
        <v>2903</v>
      </c>
      <c r="AC198" s="1136"/>
      <c r="AD198" s="1198" t="s">
        <v>2903</v>
      </c>
      <c r="AE198" s="1200" t="s">
        <v>2903</v>
      </c>
    </row>
    <row r="199" spans="3:31" x14ac:dyDescent="0.4">
      <c r="C199" s="2827"/>
      <c r="D199" s="1196" t="s">
        <v>3240</v>
      </c>
      <c r="E199" s="1197" t="s">
        <v>3244</v>
      </c>
      <c r="F199" s="1198">
        <v>501187</v>
      </c>
      <c r="G199" s="1198">
        <v>1156754</v>
      </c>
      <c r="H199" s="1197" t="s">
        <v>331</v>
      </c>
      <c r="I199" s="1197" t="s">
        <v>802</v>
      </c>
      <c r="J199" s="1197" t="s">
        <v>3230</v>
      </c>
      <c r="K199" s="1101"/>
      <c r="L199" s="1197" t="s">
        <v>2903</v>
      </c>
      <c r="M199" s="1197" t="s">
        <v>2903</v>
      </c>
      <c r="N199" s="1197" t="s">
        <v>2903</v>
      </c>
      <c r="O199" s="1197" t="s">
        <v>2903</v>
      </c>
      <c r="P199" s="1197" t="s">
        <v>2903</v>
      </c>
      <c r="Q199" s="1133"/>
      <c r="R199" s="1198" t="s">
        <v>2903</v>
      </c>
      <c r="S199" s="1199" t="s">
        <v>2903</v>
      </c>
      <c r="T199" s="1104"/>
      <c r="U199" s="1198" t="s">
        <v>2903</v>
      </c>
      <c r="V199" s="1199" t="s">
        <v>2903</v>
      </c>
      <c r="W199" s="1133"/>
      <c r="X199" s="1198" t="s">
        <v>2903</v>
      </c>
      <c r="Y199" s="1199" t="s">
        <v>2903</v>
      </c>
      <c r="Z199" s="1136"/>
      <c r="AA199" s="1198" t="s">
        <v>2903</v>
      </c>
      <c r="AB199" s="1200" t="s">
        <v>2903</v>
      </c>
      <c r="AC199" s="1136"/>
      <c r="AD199" s="1198" t="s">
        <v>2903</v>
      </c>
      <c r="AE199" s="1200" t="s">
        <v>2903</v>
      </c>
    </row>
    <row r="200" spans="3:31" x14ac:dyDescent="0.4">
      <c r="C200" s="2827"/>
      <c r="D200" s="1196" t="s">
        <v>3059</v>
      </c>
      <c r="E200" s="1197" t="s">
        <v>3245</v>
      </c>
      <c r="F200" s="1198">
        <v>515850</v>
      </c>
      <c r="G200" s="1198">
        <v>1145812</v>
      </c>
      <c r="H200" s="1197" t="s">
        <v>331</v>
      </c>
      <c r="I200" s="1197" t="s">
        <v>802</v>
      </c>
      <c r="J200" s="1197" t="s">
        <v>3246</v>
      </c>
      <c r="K200" s="1101"/>
      <c r="L200" s="1197" t="s">
        <v>2903</v>
      </c>
      <c r="M200" s="1197" t="s">
        <v>2903</v>
      </c>
      <c r="N200" s="1197" t="s">
        <v>2903</v>
      </c>
      <c r="O200" s="1197" t="s">
        <v>2903</v>
      </c>
      <c r="P200" s="1197" t="s">
        <v>2903</v>
      </c>
      <c r="Q200" s="1133"/>
      <c r="R200" s="1198" t="s">
        <v>2903</v>
      </c>
      <c r="S200" s="1199" t="s">
        <v>2903</v>
      </c>
      <c r="T200" s="1104"/>
      <c r="U200" s="1198" t="s">
        <v>2903</v>
      </c>
      <c r="V200" s="1199" t="s">
        <v>2903</v>
      </c>
      <c r="W200" s="1133"/>
      <c r="X200" s="1198" t="s">
        <v>2903</v>
      </c>
      <c r="Y200" s="1199" t="s">
        <v>2903</v>
      </c>
      <c r="Z200" s="1136"/>
      <c r="AA200" s="1198" t="s">
        <v>2903</v>
      </c>
      <c r="AB200" s="1200" t="s">
        <v>2903</v>
      </c>
      <c r="AC200" s="1136"/>
      <c r="AD200" s="1198" t="s">
        <v>2903</v>
      </c>
      <c r="AE200" s="1200" t="s">
        <v>2903</v>
      </c>
    </row>
    <row r="201" spans="3:31" x14ac:dyDescent="0.4">
      <c r="C201" s="2827"/>
      <c r="D201" s="1196" t="s">
        <v>3240</v>
      </c>
      <c r="E201" s="1197" t="s">
        <v>3247</v>
      </c>
      <c r="F201" s="1198">
        <v>511157</v>
      </c>
      <c r="G201" s="1198">
        <v>1147119</v>
      </c>
      <c r="H201" s="1197" t="s">
        <v>334</v>
      </c>
      <c r="I201" s="1197" t="s">
        <v>826</v>
      </c>
      <c r="J201" s="1197" t="s">
        <v>3248</v>
      </c>
      <c r="K201" s="1101"/>
      <c r="L201" s="1197" t="s">
        <v>2903</v>
      </c>
      <c r="M201" s="1197" t="s">
        <v>2903</v>
      </c>
      <c r="N201" s="1197" t="s">
        <v>2903</v>
      </c>
      <c r="O201" s="1197" t="s">
        <v>2903</v>
      </c>
      <c r="P201" s="1197" t="s">
        <v>2903</v>
      </c>
      <c r="Q201" s="1133"/>
      <c r="R201" s="1198" t="s">
        <v>2903</v>
      </c>
      <c r="S201" s="1199" t="s">
        <v>2903</v>
      </c>
      <c r="T201" s="1104"/>
      <c r="U201" s="1198" t="s">
        <v>2903</v>
      </c>
      <c r="V201" s="1199" t="s">
        <v>2903</v>
      </c>
      <c r="W201" s="1133"/>
      <c r="X201" s="1198" t="s">
        <v>2903</v>
      </c>
      <c r="Y201" s="1199" t="s">
        <v>2903</v>
      </c>
      <c r="Z201" s="1136"/>
      <c r="AA201" s="1198" t="s">
        <v>2903</v>
      </c>
      <c r="AB201" s="1200" t="s">
        <v>2903</v>
      </c>
      <c r="AC201" s="1136"/>
      <c r="AD201" s="1198" t="s">
        <v>2903</v>
      </c>
      <c r="AE201" s="1200" t="s">
        <v>2903</v>
      </c>
    </row>
    <row r="202" spans="3:31" x14ac:dyDescent="0.4">
      <c r="C202" s="2828" t="s">
        <v>3249</v>
      </c>
      <c r="D202" s="1144" t="s">
        <v>3250</v>
      </c>
      <c r="E202" s="1144" t="s">
        <v>3251</v>
      </c>
      <c r="F202" s="1201">
        <v>574425.84</v>
      </c>
      <c r="G202" s="1201">
        <v>973585.82</v>
      </c>
      <c r="H202" s="1145" t="s">
        <v>533</v>
      </c>
      <c r="I202" s="1145" t="s">
        <v>817</v>
      </c>
      <c r="J202" s="1145" t="s">
        <v>3252</v>
      </c>
      <c r="K202" s="1101"/>
      <c r="L202" s="1145">
        <v>1</v>
      </c>
      <c r="M202" s="1145">
        <v>1</v>
      </c>
      <c r="N202" s="1145">
        <v>0</v>
      </c>
      <c r="O202" s="1145">
        <v>100</v>
      </c>
      <c r="P202" s="1145">
        <v>1</v>
      </c>
      <c r="Q202" s="1133"/>
      <c r="R202" s="1146" t="s">
        <v>2903</v>
      </c>
      <c r="S202" s="1148" t="s">
        <v>2903</v>
      </c>
      <c r="T202" s="1104"/>
      <c r="U202" s="1146" t="s">
        <v>2903</v>
      </c>
      <c r="V202" s="1148" t="s">
        <v>2903</v>
      </c>
      <c r="W202" s="1133"/>
      <c r="X202" s="1146" t="s">
        <v>2903</v>
      </c>
      <c r="Y202" s="1148" t="s">
        <v>2903</v>
      </c>
      <c r="Z202" s="1133"/>
      <c r="AA202" s="1145" t="s">
        <v>2903</v>
      </c>
      <c r="AB202" s="1148" t="s">
        <v>2903</v>
      </c>
      <c r="AC202" s="1133"/>
      <c r="AD202" s="1146" t="s">
        <v>2903</v>
      </c>
      <c r="AE202" s="1148" t="s">
        <v>2903</v>
      </c>
    </row>
    <row r="203" spans="3:31" x14ac:dyDescent="0.4">
      <c r="C203" s="2829"/>
      <c r="D203" s="1144" t="s">
        <v>3250</v>
      </c>
      <c r="E203" s="1144" t="s">
        <v>3253</v>
      </c>
      <c r="F203" s="1201">
        <v>561638.5</v>
      </c>
      <c r="G203" s="1201">
        <v>978793.43</v>
      </c>
      <c r="H203" s="1145" t="s">
        <v>533</v>
      </c>
      <c r="I203" s="1145" t="s">
        <v>817</v>
      </c>
      <c r="J203" s="1145" t="s">
        <v>3252</v>
      </c>
      <c r="K203" s="1101"/>
      <c r="L203" s="1145">
        <v>1</v>
      </c>
      <c r="M203" s="1145">
        <v>1</v>
      </c>
      <c r="N203" s="1145">
        <v>0</v>
      </c>
      <c r="O203" s="1145">
        <v>100</v>
      </c>
      <c r="P203" s="1145">
        <v>1</v>
      </c>
      <c r="Q203" s="1133"/>
      <c r="R203" s="1146" t="s">
        <v>2903</v>
      </c>
      <c r="S203" s="1148" t="s">
        <v>2903</v>
      </c>
      <c r="T203" s="1104"/>
      <c r="U203" s="1146" t="s">
        <v>2903</v>
      </c>
      <c r="V203" s="1148" t="s">
        <v>2903</v>
      </c>
      <c r="W203" s="1133"/>
      <c r="X203" s="1146" t="s">
        <v>2903</v>
      </c>
      <c r="Y203" s="1148" t="s">
        <v>2903</v>
      </c>
      <c r="Z203" s="1133"/>
      <c r="AA203" s="1145" t="s">
        <v>2903</v>
      </c>
      <c r="AB203" s="1148" t="s">
        <v>2903</v>
      </c>
      <c r="AC203" s="1133"/>
      <c r="AD203" s="1146" t="s">
        <v>2903</v>
      </c>
      <c r="AE203" s="1148" t="s">
        <v>2903</v>
      </c>
    </row>
    <row r="204" spans="3:31" x14ac:dyDescent="0.4">
      <c r="C204" s="2829"/>
      <c r="D204" s="1144" t="s">
        <v>3254</v>
      </c>
      <c r="E204" s="1144" t="s">
        <v>3255</v>
      </c>
      <c r="F204" s="1201">
        <v>540780</v>
      </c>
      <c r="G204" s="1201">
        <v>963406</v>
      </c>
      <c r="H204" s="1145" t="s">
        <v>533</v>
      </c>
      <c r="I204" s="1145" t="s">
        <v>817</v>
      </c>
      <c r="J204" s="1145" t="s">
        <v>3252</v>
      </c>
      <c r="K204" s="1101"/>
      <c r="L204" s="1145">
        <v>1</v>
      </c>
      <c r="M204" s="1145">
        <v>1</v>
      </c>
      <c r="N204" s="1145">
        <v>0</v>
      </c>
      <c r="O204" s="1145">
        <v>100</v>
      </c>
      <c r="P204" s="1145">
        <v>1</v>
      </c>
      <c r="Q204" s="1133"/>
      <c r="R204" s="1146" t="s">
        <v>2903</v>
      </c>
      <c r="S204" s="1148" t="s">
        <v>2903</v>
      </c>
      <c r="T204" s="1104"/>
      <c r="U204" s="1146" t="s">
        <v>2903</v>
      </c>
      <c r="V204" s="1148" t="s">
        <v>2903</v>
      </c>
      <c r="W204" s="1133"/>
      <c r="X204" s="1146" t="s">
        <v>2903</v>
      </c>
      <c r="Y204" s="1148" t="s">
        <v>2903</v>
      </c>
      <c r="Z204" s="1133"/>
      <c r="AA204" s="1145" t="s">
        <v>2903</v>
      </c>
      <c r="AB204" s="1148" t="s">
        <v>2903</v>
      </c>
      <c r="AC204" s="1133"/>
      <c r="AD204" s="1146" t="s">
        <v>2903</v>
      </c>
      <c r="AE204" s="1148" t="s">
        <v>2903</v>
      </c>
    </row>
    <row r="205" spans="3:31" x14ac:dyDescent="0.4">
      <c r="C205" s="2829"/>
      <c r="D205" s="1144" t="s">
        <v>3256</v>
      </c>
      <c r="E205" s="1144" t="s">
        <v>3257</v>
      </c>
      <c r="F205" s="1201">
        <v>540031</v>
      </c>
      <c r="G205" s="1201">
        <v>963224</v>
      </c>
      <c r="H205" s="1145" t="s">
        <v>533</v>
      </c>
      <c r="I205" s="1145" t="s">
        <v>817</v>
      </c>
      <c r="J205" s="1145" t="s">
        <v>3252</v>
      </c>
      <c r="K205" s="1101"/>
      <c r="L205" s="1145">
        <v>1</v>
      </c>
      <c r="M205" s="1145">
        <v>1</v>
      </c>
      <c r="N205" s="1145">
        <v>0</v>
      </c>
      <c r="O205" s="1145">
        <v>100</v>
      </c>
      <c r="P205" s="1145">
        <v>1</v>
      </c>
      <c r="Q205" s="1133"/>
      <c r="R205" s="1146" t="s">
        <v>2903</v>
      </c>
      <c r="S205" s="1148" t="s">
        <v>2903</v>
      </c>
      <c r="T205" s="1104"/>
      <c r="U205" s="1146" t="s">
        <v>2903</v>
      </c>
      <c r="V205" s="1148" t="s">
        <v>2903</v>
      </c>
      <c r="W205" s="1133"/>
      <c r="X205" s="1146" t="s">
        <v>2903</v>
      </c>
      <c r="Y205" s="1148" t="s">
        <v>2903</v>
      </c>
      <c r="Z205" s="1133"/>
      <c r="AA205" s="1145" t="s">
        <v>2903</v>
      </c>
      <c r="AB205" s="1148" t="s">
        <v>2903</v>
      </c>
      <c r="AC205" s="1133"/>
      <c r="AD205" s="1146" t="s">
        <v>2903</v>
      </c>
      <c r="AE205" s="1148" t="s">
        <v>2903</v>
      </c>
    </row>
    <row r="206" spans="3:31" x14ac:dyDescent="0.4">
      <c r="C206" s="2829"/>
      <c r="D206" s="1144" t="s">
        <v>3258</v>
      </c>
      <c r="E206" s="1144" t="s">
        <v>3259</v>
      </c>
      <c r="F206" s="1201">
        <v>537199</v>
      </c>
      <c r="G206" s="1201">
        <v>960976</v>
      </c>
      <c r="H206" s="1145" t="s">
        <v>533</v>
      </c>
      <c r="I206" s="1145" t="s">
        <v>817</v>
      </c>
      <c r="J206" s="1145" t="s">
        <v>3252</v>
      </c>
      <c r="K206" s="1101"/>
      <c r="L206" s="1145">
        <v>1</v>
      </c>
      <c r="M206" s="1145">
        <v>1</v>
      </c>
      <c r="N206" s="1145">
        <v>0</v>
      </c>
      <c r="O206" s="1145">
        <v>100</v>
      </c>
      <c r="P206" s="1145">
        <v>1</v>
      </c>
      <c r="Q206" s="1133"/>
      <c r="R206" s="1146" t="s">
        <v>2903</v>
      </c>
      <c r="S206" s="1148" t="s">
        <v>2903</v>
      </c>
      <c r="T206" s="1104"/>
      <c r="U206" s="1146" t="s">
        <v>2903</v>
      </c>
      <c r="V206" s="1148" t="s">
        <v>2903</v>
      </c>
      <c r="W206" s="1133"/>
      <c r="X206" s="1146" t="s">
        <v>2903</v>
      </c>
      <c r="Y206" s="1148" t="s">
        <v>2903</v>
      </c>
      <c r="Z206" s="1133"/>
      <c r="AA206" s="1145" t="s">
        <v>2903</v>
      </c>
      <c r="AB206" s="1148" t="s">
        <v>2903</v>
      </c>
      <c r="AC206" s="1133"/>
      <c r="AD206" s="1146" t="s">
        <v>2903</v>
      </c>
      <c r="AE206" s="1148" t="s">
        <v>2903</v>
      </c>
    </row>
    <row r="207" spans="3:31" x14ac:dyDescent="0.4">
      <c r="C207" s="2829"/>
      <c r="D207" s="1144" t="s">
        <v>3260</v>
      </c>
      <c r="E207" s="1144" t="s">
        <v>3261</v>
      </c>
      <c r="F207" s="1201">
        <v>556454</v>
      </c>
      <c r="G207" s="1201">
        <v>952686</v>
      </c>
      <c r="H207" s="1145" t="s">
        <v>533</v>
      </c>
      <c r="I207" s="1145" t="s">
        <v>819</v>
      </c>
      <c r="J207" s="1145" t="s">
        <v>825</v>
      </c>
      <c r="K207" s="1101"/>
      <c r="L207" s="1145">
        <v>1</v>
      </c>
      <c r="M207" s="1145">
        <v>1</v>
      </c>
      <c r="N207" s="1145">
        <v>0</v>
      </c>
      <c r="O207" s="1145">
        <v>100</v>
      </c>
      <c r="P207" s="1145">
        <v>1</v>
      </c>
      <c r="Q207" s="1133"/>
      <c r="R207" s="1146" t="s">
        <v>2903</v>
      </c>
      <c r="S207" s="1148" t="s">
        <v>2903</v>
      </c>
      <c r="T207" s="1104"/>
      <c r="U207" s="1146" t="s">
        <v>2903</v>
      </c>
      <c r="V207" s="1148" t="s">
        <v>2903</v>
      </c>
      <c r="W207" s="1133"/>
      <c r="X207" s="1146" t="s">
        <v>2903</v>
      </c>
      <c r="Y207" s="1148" t="s">
        <v>2903</v>
      </c>
      <c r="Z207" s="1133"/>
      <c r="AA207" s="1145" t="s">
        <v>2903</v>
      </c>
      <c r="AB207" s="1148" t="s">
        <v>2903</v>
      </c>
      <c r="AC207" s="1133"/>
      <c r="AD207" s="1146" t="s">
        <v>2903</v>
      </c>
      <c r="AE207" s="1148" t="s">
        <v>2903</v>
      </c>
    </row>
    <row r="208" spans="3:31" x14ac:dyDescent="0.4">
      <c r="C208" s="2829"/>
      <c r="D208" s="1144" t="s">
        <v>3260</v>
      </c>
      <c r="E208" s="1144" t="s">
        <v>3262</v>
      </c>
      <c r="F208" s="1201">
        <v>557699</v>
      </c>
      <c r="G208" s="1201">
        <v>960827</v>
      </c>
      <c r="H208" s="1145" t="s">
        <v>533</v>
      </c>
      <c r="I208" s="1145" t="s">
        <v>819</v>
      </c>
      <c r="J208" s="1145" t="s">
        <v>825</v>
      </c>
      <c r="K208" s="1101"/>
      <c r="L208" s="1145">
        <v>1</v>
      </c>
      <c r="M208" s="1145">
        <v>1</v>
      </c>
      <c r="N208" s="1145">
        <v>0</v>
      </c>
      <c r="O208" s="1145">
        <v>100</v>
      </c>
      <c r="P208" s="1145">
        <v>1</v>
      </c>
      <c r="Q208" s="1133"/>
      <c r="R208" s="1146" t="s">
        <v>2903</v>
      </c>
      <c r="S208" s="1148" t="s">
        <v>2903</v>
      </c>
      <c r="T208" s="1104"/>
      <c r="U208" s="1146" t="s">
        <v>2903</v>
      </c>
      <c r="V208" s="1148" t="s">
        <v>2903</v>
      </c>
      <c r="W208" s="1133"/>
      <c r="X208" s="1146" t="s">
        <v>2903</v>
      </c>
      <c r="Y208" s="1148" t="s">
        <v>2903</v>
      </c>
      <c r="Z208" s="1133"/>
      <c r="AA208" s="1145" t="s">
        <v>2903</v>
      </c>
      <c r="AB208" s="1148" t="s">
        <v>2903</v>
      </c>
      <c r="AC208" s="1133"/>
      <c r="AD208" s="1146" t="s">
        <v>2903</v>
      </c>
      <c r="AE208" s="1148" t="s">
        <v>2903</v>
      </c>
    </row>
    <row r="209" spans="3:31" x14ac:dyDescent="0.4">
      <c r="C209" s="2829"/>
      <c r="D209" s="1144" t="s">
        <v>3263</v>
      </c>
      <c r="E209" s="1144" t="s">
        <v>3264</v>
      </c>
      <c r="F209" s="1201">
        <v>565955</v>
      </c>
      <c r="G209" s="1201">
        <v>942456</v>
      </c>
      <c r="H209" s="1145" t="s">
        <v>533</v>
      </c>
      <c r="I209" s="1145" t="s">
        <v>819</v>
      </c>
      <c r="J209" s="1145" t="s">
        <v>825</v>
      </c>
      <c r="K209" s="1101"/>
      <c r="L209" s="1145">
        <v>1</v>
      </c>
      <c r="M209" s="1145">
        <v>1</v>
      </c>
      <c r="N209" s="1145">
        <v>0</v>
      </c>
      <c r="O209" s="1145">
        <v>100</v>
      </c>
      <c r="P209" s="1145">
        <v>1</v>
      </c>
      <c r="Q209" s="1133"/>
      <c r="R209" s="1146" t="s">
        <v>2903</v>
      </c>
      <c r="S209" s="1148" t="s">
        <v>2903</v>
      </c>
      <c r="T209" s="1104"/>
      <c r="U209" s="1146" t="s">
        <v>2903</v>
      </c>
      <c r="V209" s="1148" t="s">
        <v>2903</v>
      </c>
      <c r="W209" s="1133"/>
      <c r="X209" s="1146" t="s">
        <v>2903</v>
      </c>
      <c r="Y209" s="1148" t="s">
        <v>2903</v>
      </c>
      <c r="Z209" s="1133"/>
      <c r="AA209" s="1145" t="s">
        <v>2903</v>
      </c>
      <c r="AB209" s="1148" t="s">
        <v>2903</v>
      </c>
      <c r="AC209" s="1133"/>
      <c r="AD209" s="1146" t="s">
        <v>2903</v>
      </c>
      <c r="AE209" s="1148" t="s">
        <v>2903</v>
      </c>
    </row>
    <row r="210" spans="3:31" x14ac:dyDescent="0.4">
      <c r="C210" s="2829"/>
      <c r="D210" s="1144" t="s">
        <v>3263</v>
      </c>
      <c r="E210" s="1144" t="s">
        <v>3265</v>
      </c>
      <c r="F210" s="1201">
        <v>573396</v>
      </c>
      <c r="G210" s="1201">
        <v>945256</v>
      </c>
      <c r="H210" s="1145" t="s">
        <v>533</v>
      </c>
      <c r="I210" s="1145" t="s">
        <v>819</v>
      </c>
      <c r="J210" s="1145" t="s">
        <v>825</v>
      </c>
      <c r="K210" s="1101"/>
      <c r="L210" s="1145">
        <v>1</v>
      </c>
      <c r="M210" s="1145">
        <v>1</v>
      </c>
      <c r="N210" s="1145">
        <v>0</v>
      </c>
      <c r="O210" s="1145">
        <v>100</v>
      </c>
      <c r="P210" s="1145">
        <v>1</v>
      </c>
      <c r="Q210" s="1133"/>
      <c r="R210" s="1146" t="s">
        <v>2903</v>
      </c>
      <c r="S210" s="1148" t="s">
        <v>2903</v>
      </c>
      <c r="T210" s="1104"/>
      <c r="U210" s="1146" t="s">
        <v>2903</v>
      </c>
      <c r="V210" s="1148" t="s">
        <v>2903</v>
      </c>
      <c r="W210" s="1133"/>
      <c r="X210" s="1146" t="s">
        <v>2903</v>
      </c>
      <c r="Y210" s="1148" t="s">
        <v>2903</v>
      </c>
      <c r="Z210" s="1133"/>
      <c r="AA210" s="1145" t="s">
        <v>2903</v>
      </c>
      <c r="AB210" s="1148" t="s">
        <v>2903</v>
      </c>
      <c r="AC210" s="1133"/>
      <c r="AD210" s="1146" t="s">
        <v>2903</v>
      </c>
      <c r="AE210" s="1148" t="s">
        <v>2903</v>
      </c>
    </row>
    <row r="211" spans="3:31" x14ac:dyDescent="0.4">
      <c r="C211" s="2829"/>
      <c r="D211" s="1144" t="s">
        <v>3266</v>
      </c>
      <c r="E211" s="1144" t="s">
        <v>3267</v>
      </c>
      <c r="F211" s="1201">
        <v>576535</v>
      </c>
      <c r="G211" s="1201">
        <v>943377</v>
      </c>
      <c r="H211" s="1145" t="s">
        <v>533</v>
      </c>
      <c r="I211" s="1145" t="s">
        <v>819</v>
      </c>
      <c r="J211" s="1145" t="s">
        <v>825</v>
      </c>
      <c r="K211" s="1101"/>
      <c r="L211" s="1145">
        <v>1</v>
      </c>
      <c r="M211" s="1145">
        <v>1</v>
      </c>
      <c r="N211" s="1145">
        <v>0</v>
      </c>
      <c r="O211" s="1145">
        <v>100</v>
      </c>
      <c r="P211" s="1145">
        <v>1</v>
      </c>
      <c r="Q211" s="1133"/>
      <c r="R211" s="1146" t="s">
        <v>2903</v>
      </c>
      <c r="S211" s="1148" t="s">
        <v>2903</v>
      </c>
      <c r="T211" s="1104"/>
      <c r="U211" s="1146" t="s">
        <v>2903</v>
      </c>
      <c r="V211" s="1148" t="s">
        <v>2903</v>
      </c>
      <c r="W211" s="1133"/>
      <c r="X211" s="1146" t="s">
        <v>2903</v>
      </c>
      <c r="Y211" s="1148" t="s">
        <v>2903</v>
      </c>
      <c r="Z211" s="1133"/>
      <c r="AA211" s="1145" t="s">
        <v>2903</v>
      </c>
      <c r="AB211" s="1148" t="s">
        <v>2903</v>
      </c>
      <c r="AC211" s="1133"/>
      <c r="AD211" s="1146" t="s">
        <v>2903</v>
      </c>
      <c r="AE211" s="1148" t="s">
        <v>2903</v>
      </c>
    </row>
    <row r="212" spans="3:31" ht="25.5" x14ac:dyDescent="0.4">
      <c r="C212" s="2830" t="s">
        <v>3268</v>
      </c>
      <c r="D212" s="1135" t="s">
        <v>3269</v>
      </c>
      <c r="E212" s="1193" t="s">
        <v>3270</v>
      </c>
      <c r="F212" s="1186">
        <v>584568</v>
      </c>
      <c r="G212" s="1186">
        <v>971733</v>
      </c>
      <c r="H212" s="1193" t="s">
        <v>533</v>
      </c>
      <c r="I212" s="1193" t="s">
        <v>817</v>
      </c>
      <c r="J212" s="1193" t="s">
        <v>3271</v>
      </c>
      <c r="K212" s="1101"/>
      <c r="L212" s="1193">
        <v>1</v>
      </c>
      <c r="M212" s="1193">
        <v>1</v>
      </c>
      <c r="N212" s="1193">
        <v>0</v>
      </c>
      <c r="O212" s="1193">
        <v>100</v>
      </c>
      <c r="P212" s="1193">
        <v>1</v>
      </c>
      <c r="Q212" s="1104"/>
      <c r="R212" s="1186" t="s">
        <v>2903</v>
      </c>
      <c r="S212" s="1194" t="s">
        <v>2903</v>
      </c>
      <c r="T212" s="1202"/>
      <c r="U212" s="1186" t="s">
        <v>2903</v>
      </c>
      <c r="V212" s="1194" t="s">
        <v>2903</v>
      </c>
      <c r="W212" s="1186"/>
      <c r="X212" s="1186" t="s">
        <v>2903</v>
      </c>
      <c r="Y212" s="1194" t="s">
        <v>2903</v>
      </c>
      <c r="Z212" s="1186"/>
      <c r="AA212" s="1186" t="s">
        <v>2903</v>
      </c>
      <c r="AB212" s="1194" t="s">
        <v>2903</v>
      </c>
      <c r="AC212" s="1186"/>
      <c r="AD212" s="1186" t="s">
        <v>2903</v>
      </c>
      <c r="AE212" s="1194" t="s">
        <v>2903</v>
      </c>
    </row>
    <row r="213" spans="3:31" ht="25.5" x14ac:dyDescent="0.4">
      <c r="C213" s="2830"/>
      <c r="D213" s="1135" t="s">
        <v>3269</v>
      </c>
      <c r="E213" s="1193" t="s">
        <v>3272</v>
      </c>
      <c r="F213" s="1186">
        <v>583399</v>
      </c>
      <c r="G213" s="1186">
        <v>970993</v>
      </c>
      <c r="H213" s="1193" t="s">
        <v>533</v>
      </c>
      <c r="I213" s="1193" t="s">
        <v>817</v>
      </c>
      <c r="J213" s="1193" t="s">
        <v>3271</v>
      </c>
      <c r="K213" s="1101"/>
      <c r="L213" s="1193">
        <v>1</v>
      </c>
      <c r="M213" s="1193">
        <v>1</v>
      </c>
      <c r="N213" s="1193">
        <v>0</v>
      </c>
      <c r="O213" s="1193">
        <v>100</v>
      </c>
      <c r="P213" s="1193">
        <v>1</v>
      </c>
      <c r="Q213" s="1104"/>
      <c r="R213" s="1186" t="s">
        <v>2903</v>
      </c>
      <c r="S213" s="1194" t="s">
        <v>2903</v>
      </c>
      <c r="T213" s="1202"/>
      <c r="U213" s="1186" t="s">
        <v>2903</v>
      </c>
      <c r="V213" s="1194" t="s">
        <v>2903</v>
      </c>
      <c r="W213" s="1186"/>
      <c r="X213" s="1186" t="s">
        <v>2903</v>
      </c>
      <c r="Y213" s="1194" t="s">
        <v>2903</v>
      </c>
      <c r="Z213" s="1186"/>
      <c r="AA213" s="1186" t="s">
        <v>2903</v>
      </c>
      <c r="AB213" s="1194" t="s">
        <v>2903</v>
      </c>
      <c r="AC213" s="1186"/>
      <c r="AD213" s="1186" t="s">
        <v>2903</v>
      </c>
      <c r="AE213" s="1194" t="s">
        <v>2903</v>
      </c>
    </row>
    <row r="214" spans="3:31" x14ac:dyDescent="0.4">
      <c r="C214" s="2830"/>
      <c r="D214" s="1135" t="s">
        <v>3273</v>
      </c>
      <c r="E214" s="1193" t="s">
        <v>3274</v>
      </c>
      <c r="F214" s="1193">
        <v>593881.96</v>
      </c>
      <c r="G214" s="1186">
        <v>958299.35</v>
      </c>
      <c r="H214" s="1193" t="s">
        <v>533</v>
      </c>
      <c r="I214" s="1193" t="s">
        <v>819</v>
      </c>
      <c r="J214" s="1193" t="s">
        <v>819</v>
      </c>
      <c r="K214" s="1101"/>
      <c r="L214" s="1193">
        <v>1</v>
      </c>
      <c r="M214" s="1193">
        <v>1</v>
      </c>
      <c r="N214" s="1193">
        <v>0</v>
      </c>
      <c r="O214" s="1193">
        <v>100</v>
      </c>
      <c r="P214" s="1193">
        <v>1</v>
      </c>
      <c r="Q214" s="1104"/>
      <c r="R214" s="1186" t="s">
        <v>2903</v>
      </c>
      <c r="S214" s="1194" t="s">
        <v>2903</v>
      </c>
      <c r="T214" s="1202"/>
      <c r="U214" s="1186" t="s">
        <v>2903</v>
      </c>
      <c r="V214" s="1194" t="s">
        <v>2903</v>
      </c>
      <c r="W214" s="1186"/>
      <c r="X214" s="1186" t="s">
        <v>2903</v>
      </c>
      <c r="Y214" s="1194" t="s">
        <v>2903</v>
      </c>
      <c r="Z214" s="1186"/>
      <c r="AA214" s="1186" t="s">
        <v>2903</v>
      </c>
      <c r="AB214" s="1194" t="s">
        <v>2903</v>
      </c>
      <c r="AC214" s="1186"/>
      <c r="AD214" s="1186" t="s">
        <v>2903</v>
      </c>
      <c r="AE214" s="1194" t="s">
        <v>2903</v>
      </c>
    </row>
    <row r="215" spans="3:31" x14ac:dyDescent="0.4">
      <c r="C215" s="2830"/>
      <c r="D215" s="1135" t="s">
        <v>3275</v>
      </c>
      <c r="E215" s="1193" t="s">
        <v>3276</v>
      </c>
      <c r="F215" s="1193">
        <v>602048.97</v>
      </c>
      <c r="G215" s="1186">
        <v>956133</v>
      </c>
      <c r="H215" s="1193" t="s">
        <v>533</v>
      </c>
      <c r="I215" s="1193" t="s">
        <v>819</v>
      </c>
      <c r="J215" s="1193" t="s">
        <v>819</v>
      </c>
      <c r="K215" s="1101"/>
      <c r="L215" s="1193">
        <v>1</v>
      </c>
      <c r="M215" s="1193">
        <v>1</v>
      </c>
      <c r="N215" s="1193">
        <v>0</v>
      </c>
      <c r="O215" s="1193">
        <v>100</v>
      </c>
      <c r="P215" s="1193">
        <v>1</v>
      </c>
      <c r="Q215" s="1104"/>
      <c r="R215" s="1186" t="s">
        <v>2903</v>
      </c>
      <c r="S215" s="1194" t="s">
        <v>2903</v>
      </c>
      <c r="T215" s="1202"/>
      <c r="U215" s="1186" t="s">
        <v>2903</v>
      </c>
      <c r="V215" s="1194" t="s">
        <v>2903</v>
      </c>
      <c r="W215" s="1186"/>
      <c r="X215" s="1186" t="s">
        <v>2903</v>
      </c>
      <c r="Y215" s="1194" t="s">
        <v>2903</v>
      </c>
      <c r="Z215" s="1186"/>
      <c r="AA215" s="1186" t="s">
        <v>2903</v>
      </c>
      <c r="AB215" s="1194" t="s">
        <v>2903</v>
      </c>
      <c r="AC215" s="1186"/>
      <c r="AD215" s="1186" t="s">
        <v>2903</v>
      </c>
      <c r="AE215" s="1194" t="s">
        <v>2903</v>
      </c>
    </row>
    <row r="216" spans="3:31" x14ac:dyDescent="0.4">
      <c r="C216" s="2830"/>
      <c r="D216" s="1135" t="s">
        <v>3277</v>
      </c>
      <c r="E216" s="1193" t="s">
        <v>3278</v>
      </c>
      <c r="F216" s="1193">
        <v>616296.19999999995</v>
      </c>
      <c r="G216" s="1186">
        <v>955585.48</v>
      </c>
      <c r="H216" s="1193" t="s">
        <v>533</v>
      </c>
      <c r="I216" s="1193" t="s">
        <v>822</v>
      </c>
      <c r="J216" s="1193" t="s">
        <v>3279</v>
      </c>
      <c r="K216" s="1101"/>
      <c r="L216" s="1193">
        <v>1</v>
      </c>
      <c r="M216" s="1193">
        <v>1</v>
      </c>
      <c r="N216" s="1193">
        <v>0</v>
      </c>
      <c r="O216" s="1193">
        <v>100</v>
      </c>
      <c r="P216" s="1193">
        <v>1</v>
      </c>
      <c r="Q216" s="1104"/>
      <c r="R216" s="1186" t="s">
        <v>2903</v>
      </c>
      <c r="S216" s="1194" t="s">
        <v>2903</v>
      </c>
      <c r="T216" s="1202"/>
      <c r="U216" s="1186" t="s">
        <v>2903</v>
      </c>
      <c r="V216" s="1194" t="s">
        <v>2903</v>
      </c>
      <c r="W216" s="1186"/>
      <c r="X216" s="1186" t="s">
        <v>2903</v>
      </c>
      <c r="Y216" s="1194" t="s">
        <v>2903</v>
      </c>
      <c r="Z216" s="1186"/>
      <c r="AA216" s="1186" t="s">
        <v>2903</v>
      </c>
      <c r="AB216" s="1194" t="s">
        <v>2903</v>
      </c>
      <c r="AC216" s="1186"/>
      <c r="AD216" s="1186" t="s">
        <v>2903</v>
      </c>
      <c r="AE216" s="1194" t="s">
        <v>2903</v>
      </c>
    </row>
    <row r="217" spans="3:31" x14ac:dyDescent="0.4">
      <c r="C217" s="2830"/>
      <c r="D217" s="1135" t="s">
        <v>3280</v>
      </c>
      <c r="E217" s="1193" t="s">
        <v>3281</v>
      </c>
      <c r="F217" s="1193">
        <v>620864.78</v>
      </c>
      <c r="G217" s="1186">
        <v>951524.78</v>
      </c>
      <c r="H217" s="1193" t="s">
        <v>533</v>
      </c>
      <c r="I217" s="1193" t="s">
        <v>822</v>
      </c>
      <c r="J217" s="1193" t="s">
        <v>3282</v>
      </c>
      <c r="K217" s="1101"/>
      <c r="L217" s="1193">
        <v>1</v>
      </c>
      <c r="M217" s="1193">
        <v>1</v>
      </c>
      <c r="N217" s="1193">
        <v>0</v>
      </c>
      <c r="O217" s="1193">
        <v>100</v>
      </c>
      <c r="P217" s="1193">
        <v>1</v>
      </c>
      <c r="Q217" s="1104"/>
      <c r="R217" s="1186" t="s">
        <v>2903</v>
      </c>
      <c r="S217" s="1194" t="s">
        <v>2903</v>
      </c>
      <c r="T217" s="1202"/>
      <c r="U217" s="1186" t="s">
        <v>2903</v>
      </c>
      <c r="V217" s="1194" t="s">
        <v>2903</v>
      </c>
      <c r="W217" s="1186"/>
      <c r="X217" s="1186" t="s">
        <v>2903</v>
      </c>
      <c r="Y217" s="1194" t="s">
        <v>2903</v>
      </c>
      <c r="Z217" s="1186"/>
      <c r="AA217" s="1186" t="s">
        <v>2903</v>
      </c>
      <c r="AB217" s="1194" t="s">
        <v>2903</v>
      </c>
      <c r="AC217" s="1186"/>
      <c r="AD217" s="1186" t="s">
        <v>2903</v>
      </c>
      <c r="AE217" s="1194" t="s">
        <v>2903</v>
      </c>
    </row>
    <row r="218" spans="3:31" x14ac:dyDescent="0.4">
      <c r="C218" s="2821" t="s">
        <v>3283</v>
      </c>
      <c r="D218" s="1178" t="s">
        <v>3284</v>
      </c>
      <c r="E218" s="1178" t="s">
        <v>3285</v>
      </c>
      <c r="F218" s="1203">
        <v>532996</v>
      </c>
      <c r="G218" s="1203">
        <v>1041620</v>
      </c>
      <c r="H218" s="1178" t="s">
        <v>328</v>
      </c>
      <c r="I218" s="1178" t="s">
        <v>769</v>
      </c>
      <c r="J218" s="1178" t="s">
        <v>3286</v>
      </c>
      <c r="K218" s="1111"/>
      <c r="L218" s="1178">
        <v>5</v>
      </c>
      <c r="M218" s="1178">
        <v>4</v>
      </c>
      <c r="N218" s="1178">
        <v>1</v>
      </c>
      <c r="O218" s="1178">
        <v>80</v>
      </c>
      <c r="P218" s="1178">
        <v>1</v>
      </c>
      <c r="Q218" s="1108"/>
      <c r="R218" s="1203">
        <v>14.8</v>
      </c>
      <c r="S218" s="1204" t="s">
        <v>2903</v>
      </c>
      <c r="T218" s="1108"/>
      <c r="U218" s="1203">
        <v>102</v>
      </c>
      <c r="V218" s="1204" t="s">
        <v>2903</v>
      </c>
      <c r="W218" s="1184"/>
      <c r="X218" s="1203">
        <v>0.17</v>
      </c>
      <c r="Y218" s="1204" t="s">
        <v>2903</v>
      </c>
      <c r="Z218" s="1184"/>
      <c r="AA218" s="1178">
        <v>7.25</v>
      </c>
      <c r="AB218" s="1204" t="s">
        <v>2903</v>
      </c>
      <c r="AC218" s="1184"/>
      <c r="AD218" s="1203">
        <v>6</v>
      </c>
      <c r="AE218" s="1204" t="s">
        <v>2903</v>
      </c>
    </row>
    <row r="219" spans="3:31" ht="25.5" x14ac:dyDescent="0.4">
      <c r="C219" s="2821"/>
      <c r="D219" s="1178" t="s">
        <v>3287</v>
      </c>
      <c r="E219" s="1178" t="s">
        <v>3288</v>
      </c>
      <c r="F219" s="1203">
        <v>530449</v>
      </c>
      <c r="G219" s="1203">
        <v>1034120</v>
      </c>
      <c r="H219" s="1178" t="s">
        <v>328</v>
      </c>
      <c r="I219" s="1178" t="s">
        <v>769</v>
      </c>
      <c r="J219" s="1178" t="s">
        <v>3289</v>
      </c>
      <c r="K219" s="1111"/>
      <c r="L219" s="1178">
        <v>5</v>
      </c>
      <c r="M219" s="1178">
        <v>3</v>
      </c>
      <c r="N219" s="1178">
        <v>2</v>
      </c>
      <c r="O219" s="1178">
        <v>60</v>
      </c>
      <c r="P219" s="1178">
        <v>0</v>
      </c>
      <c r="Q219" s="1108"/>
      <c r="R219" s="1203">
        <v>17.8</v>
      </c>
      <c r="S219" s="1204" t="s">
        <v>2903</v>
      </c>
      <c r="T219" s="1108"/>
      <c r="U219" s="1203">
        <v>95.1</v>
      </c>
      <c r="V219" s="1204" t="s">
        <v>2903</v>
      </c>
      <c r="W219" s="1184"/>
      <c r="X219" s="1203">
        <v>0.12</v>
      </c>
      <c r="Y219" s="1204" t="s">
        <v>2903</v>
      </c>
      <c r="Z219" s="1184"/>
      <c r="AA219" s="1178">
        <v>7.41</v>
      </c>
      <c r="AB219" s="1204" t="s">
        <v>2903</v>
      </c>
      <c r="AC219" s="1184"/>
      <c r="AD219" s="1203">
        <v>224</v>
      </c>
      <c r="AE219" s="1204" t="s">
        <v>2903</v>
      </c>
    </row>
    <row r="220" spans="3:31" ht="25.5" x14ac:dyDescent="0.4">
      <c r="C220" s="2821"/>
      <c r="D220" s="1178" t="s">
        <v>3290</v>
      </c>
      <c r="E220" s="1178" t="s">
        <v>3291</v>
      </c>
      <c r="F220" s="1203">
        <v>530356</v>
      </c>
      <c r="G220" s="1203">
        <v>1031640</v>
      </c>
      <c r="H220" s="1178" t="s">
        <v>328</v>
      </c>
      <c r="I220" s="1178" t="s">
        <v>769</v>
      </c>
      <c r="J220" s="1178" t="s">
        <v>3289</v>
      </c>
      <c r="K220" s="1111"/>
      <c r="L220" s="1178">
        <v>5</v>
      </c>
      <c r="M220" s="1178">
        <v>4</v>
      </c>
      <c r="N220" s="1178">
        <v>1</v>
      </c>
      <c r="O220" s="1178">
        <v>80</v>
      </c>
      <c r="P220" s="1178">
        <v>1</v>
      </c>
      <c r="Q220" s="1108"/>
      <c r="R220" s="1203">
        <v>13.3</v>
      </c>
      <c r="S220" s="1204" t="s">
        <v>2903</v>
      </c>
      <c r="T220" s="1108"/>
      <c r="U220" s="1203">
        <v>97.2</v>
      </c>
      <c r="V220" s="1204" t="s">
        <v>2903</v>
      </c>
      <c r="W220" s="1184"/>
      <c r="X220" s="1203">
        <v>0.04</v>
      </c>
      <c r="Y220" s="1204" t="s">
        <v>2903</v>
      </c>
      <c r="Z220" s="1184"/>
      <c r="AA220" s="1178">
        <v>6.89</v>
      </c>
      <c r="AB220" s="1204" t="s">
        <v>2903</v>
      </c>
      <c r="AC220" s="1184"/>
      <c r="AD220" s="1203">
        <v>8.1</v>
      </c>
      <c r="AE220" s="1204" t="s">
        <v>2903</v>
      </c>
    </row>
    <row r="221" spans="3:31" ht="25.5" x14ac:dyDescent="0.4">
      <c r="C221" s="2821"/>
      <c r="D221" s="1178" t="s">
        <v>3292</v>
      </c>
      <c r="E221" s="1178" t="s">
        <v>3293</v>
      </c>
      <c r="F221" s="1203">
        <v>540450</v>
      </c>
      <c r="G221" s="1203">
        <v>1024550</v>
      </c>
      <c r="H221" s="1178" t="s">
        <v>328</v>
      </c>
      <c r="I221" s="1178" t="s">
        <v>769</v>
      </c>
      <c r="J221" s="1178" t="s">
        <v>3289</v>
      </c>
      <c r="K221" s="1111"/>
      <c r="L221" s="1178">
        <v>5</v>
      </c>
      <c r="M221" s="1178">
        <v>5</v>
      </c>
      <c r="N221" s="1178">
        <v>0</v>
      </c>
      <c r="O221" s="1178">
        <v>100</v>
      </c>
      <c r="P221" s="1178">
        <v>1</v>
      </c>
      <c r="Q221" s="1108"/>
      <c r="R221" s="1203">
        <v>13.6</v>
      </c>
      <c r="S221" s="1204" t="s">
        <v>2903</v>
      </c>
      <c r="T221" s="1108"/>
      <c r="U221" s="1203">
        <v>97.3</v>
      </c>
      <c r="V221" s="1204" t="s">
        <v>2903</v>
      </c>
      <c r="W221" s="1184"/>
      <c r="X221" s="1203">
        <v>0.05</v>
      </c>
      <c r="Y221" s="1204" t="s">
        <v>2903</v>
      </c>
      <c r="Z221" s="1184"/>
      <c r="AA221" s="1178">
        <v>7.01</v>
      </c>
      <c r="AB221" s="1204" t="s">
        <v>2903</v>
      </c>
      <c r="AC221" s="1184"/>
      <c r="AD221" s="1203">
        <v>8.3000000000000007</v>
      </c>
      <c r="AE221" s="1204" t="s">
        <v>2903</v>
      </c>
    </row>
    <row r="222" spans="3:31" x14ac:dyDescent="0.4">
      <c r="C222" s="2821"/>
      <c r="D222" s="1178" t="s">
        <v>3294</v>
      </c>
      <c r="E222" s="1178" t="s">
        <v>3295</v>
      </c>
      <c r="F222" s="1203">
        <v>560402</v>
      </c>
      <c r="G222" s="1203">
        <v>1018153</v>
      </c>
      <c r="H222" s="1178" t="s">
        <v>533</v>
      </c>
      <c r="I222" s="1178" t="s">
        <v>815</v>
      </c>
      <c r="J222" s="1178" t="s">
        <v>3296</v>
      </c>
      <c r="K222" s="1111"/>
      <c r="L222" s="1205" t="s">
        <v>2903</v>
      </c>
      <c r="M222" s="1205" t="s">
        <v>2903</v>
      </c>
      <c r="N222" s="1205" t="s">
        <v>2903</v>
      </c>
      <c r="O222" s="1205" t="s">
        <v>2903</v>
      </c>
      <c r="P222" s="1205" t="s">
        <v>2903</v>
      </c>
      <c r="Q222" s="1108"/>
      <c r="R222" s="1203" t="s">
        <v>2903</v>
      </c>
      <c r="S222" s="1204" t="s">
        <v>2903</v>
      </c>
      <c r="T222" s="1108"/>
      <c r="U222" s="1203" t="s">
        <v>2903</v>
      </c>
      <c r="V222" s="1204" t="s">
        <v>2903</v>
      </c>
      <c r="W222" s="1184"/>
      <c r="X222" s="1203" t="s">
        <v>2903</v>
      </c>
      <c r="Y222" s="1204" t="s">
        <v>2903</v>
      </c>
      <c r="Z222" s="1184"/>
      <c r="AA222" s="1178" t="s">
        <v>2903</v>
      </c>
      <c r="AB222" s="1204" t="s">
        <v>2903</v>
      </c>
      <c r="AC222" s="1184"/>
      <c r="AD222" s="1203" t="s">
        <v>2903</v>
      </c>
      <c r="AE222" s="1204" t="s">
        <v>2903</v>
      </c>
    </row>
    <row r="223" spans="3:31" x14ac:dyDescent="0.4">
      <c r="C223" s="2821"/>
      <c r="D223" s="1178" t="s">
        <v>3297</v>
      </c>
      <c r="E223" s="1178" t="s">
        <v>3298</v>
      </c>
      <c r="F223" s="1203">
        <v>563052</v>
      </c>
      <c r="G223" s="1203">
        <v>1014805</v>
      </c>
      <c r="H223" s="1178" t="s">
        <v>533</v>
      </c>
      <c r="I223" s="1178" t="s">
        <v>815</v>
      </c>
      <c r="J223" s="1178" t="s">
        <v>3296</v>
      </c>
      <c r="K223" s="1111"/>
      <c r="L223" s="1178">
        <v>5</v>
      </c>
      <c r="M223" s="1178">
        <v>5</v>
      </c>
      <c r="N223" s="1178">
        <v>0</v>
      </c>
      <c r="O223" s="1178">
        <v>100</v>
      </c>
      <c r="P223" s="1178">
        <v>1</v>
      </c>
      <c r="Q223" s="1108"/>
      <c r="R223" s="1203">
        <v>14.4</v>
      </c>
      <c r="S223" s="1204" t="s">
        <v>2903</v>
      </c>
      <c r="T223" s="1108"/>
      <c r="U223" s="1203">
        <v>95.7</v>
      </c>
      <c r="V223" s="1204" t="s">
        <v>2903</v>
      </c>
      <c r="W223" s="1184"/>
      <c r="X223" s="1203">
        <v>0.13</v>
      </c>
      <c r="Y223" s="1204" t="s">
        <v>2903</v>
      </c>
      <c r="Z223" s="1184"/>
      <c r="AA223" s="1178">
        <v>7.02</v>
      </c>
      <c r="AB223" s="1204" t="s">
        <v>2903</v>
      </c>
      <c r="AC223" s="1184"/>
      <c r="AD223" s="1203">
        <v>3.4</v>
      </c>
      <c r="AE223" s="1204" t="s">
        <v>2903</v>
      </c>
    </row>
    <row r="224" spans="3:31" x14ac:dyDescent="0.4">
      <c r="C224" s="2821"/>
      <c r="D224" s="1178" t="s">
        <v>3299</v>
      </c>
      <c r="E224" s="1178" t="s">
        <v>3300</v>
      </c>
      <c r="F224" s="1203">
        <v>606327</v>
      </c>
      <c r="G224" s="1203">
        <v>984614</v>
      </c>
      <c r="H224" s="1178" t="s">
        <v>533</v>
      </c>
      <c r="I224" s="1178" t="s">
        <v>820</v>
      </c>
      <c r="J224" s="1178" t="s">
        <v>3301</v>
      </c>
      <c r="K224" s="1111"/>
      <c r="L224" s="1178">
        <v>5</v>
      </c>
      <c r="M224" s="1178">
        <v>3</v>
      </c>
      <c r="N224" s="1178">
        <v>2</v>
      </c>
      <c r="O224" s="1178">
        <v>60</v>
      </c>
      <c r="P224" s="1178">
        <v>0</v>
      </c>
      <c r="Q224" s="1108"/>
      <c r="R224" s="1203">
        <v>2</v>
      </c>
      <c r="S224" s="1204" t="s">
        <v>2903</v>
      </c>
      <c r="T224" s="1108"/>
      <c r="U224" s="1203">
        <v>96.5</v>
      </c>
      <c r="V224" s="1204" t="s">
        <v>2903</v>
      </c>
      <c r="W224" s="1184"/>
      <c r="X224" s="1203">
        <v>0.11</v>
      </c>
      <c r="Y224" s="1204" t="s">
        <v>2903</v>
      </c>
      <c r="Z224" s="1184"/>
      <c r="AA224" s="1178">
        <v>7.48</v>
      </c>
      <c r="AB224" s="1204" t="s">
        <v>2903</v>
      </c>
      <c r="AC224" s="1184"/>
      <c r="AD224" s="1203">
        <v>66.5</v>
      </c>
      <c r="AE224" s="1204" t="s">
        <v>2903</v>
      </c>
    </row>
    <row r="225" spans="3:31" x14ac:dyDescent="0.4">
      <c r="C225" s="2821"/>
      <c r="D225" s="1178" t="s">
        <v>3299</v>
      </c>
      <c r="E225" s="1178" t="s">
        <v>3302</v>
      </c>
      <c r="F225" s="1203">
        <v>589428</v>
      </c>
      <c r="G225" s="1203">
        <v>995105</v>
      </c>
      <c r="H225" s="1178" t="s">
        <v>533</v>
      </c>
      <c r="I225" s="1178" t="s">
        <v>820</v>
      </c>
      <c r="J225" s="1178" t="s">
        <v>3301</v>
      </c>
      <c r="K225" s="1111"/>
      <c r="L225" s="1178">
        <v>5</v>
      </c>
      <c r="M225" s="1178">
        <v>4</v>
      </c>
      <c r="N225" s="1178">
        <v>1</v>
      </c>
      <c r="O225" s="1178">
        <v>80</v>
      </c>
      <c r="P225" s="1178">
        <v>1</v>
      </c>
      <c r="Q225" s="1108"/>
      <c r="R225" s="1203">
        <v>22.2</v>
      </c>
      <c r="S225" s="1204" t="s">
        <v>2903</v>
      </c>
      <c r="T225" s="1108"/>
      <c r="U225" s="1203">
        <v>93.9</v>
      </c>
      <c r="V225" s="1204" t="s">
        <v>2903</v>
      </c>
      <c r="W225" s="1184"/>
      <c r="X225" s="1203">
        <v>0.11</v>
      </c>
      <c r="Y225" s="1204" t="s">
        <v>2903</v>
      </c>
      <c r="Z225" s="1184"/>
      <c r="AA225" s="1178">
        <v>7.05</v>
      </c>
      <c r="AB225" s="1204" t="s">
        <v>2903</v>
      </c>
      <c r="AC225" s="1184"/>
      <c r="AD225" s="1203">
        <v>317</v>
      </c>
      <c r="AE225" s="1204" t="s">
        <v>2903</v>
      </c>
    </row>
    <row r="230" spans="3:31" x14ac:dyDescent="0.4">
      <c r="C230" s="2841" t="s">
        <v>3303</v>
      </c>
      <c r="D230" s="2841"/>
      <c r="E230" s="2841"/>
      <c r="F230" s="2841"/>
      <c r="G230" s="2841"/>
      <c r="H230" s="2841"/>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41"/>
      <c r="AD230" s="2841"/>
      <c r="AE230" s="2841"/>
    </row>
    <row r="231" spans="3:31" x14ac:dyDescent="0.4">
      <c r="C231" s="1090"/>
      <c r="D231" s="2842" t="s">
        <v>2874</v>
      </c>
      <c r="E231" s="2842" t="s">
        <v>2875</v>
      </c>
      <c r="F231" s="2843" t="s">
        <v>2876</v>
      </c>
      <c r="G231" s="2843"/>
      <c r="H231" s="2843"/>
      <c r="I231" s="2843"/>
      <c r="J231" s="2843"/>
      <c r="K231" s="1091"/>
      <c r="L231" s="2843" t="s">
        <v>2877</v>
      </c>
      <c r="M231" s="2843"/>
      <c r="N231" s="2843"/>
      <c r="O231" s="2843"/>
      <c r="P231" s="2843"/>
      <c r="Q231" s="1090"/>
      <c r="R231" s="2843" t="s">
        <v>2878</v>
      </c>
      <c r="S231" s="2843"/>
      <c r="T231" s="1090"/>
      <c r="U231" s="2843" t="s">
        <v>2879</v>
      </c>
      <c r="V231" s="2843"/>
      <c r="W231" s="1090"/>
      <c r="X231" s="2843" t="s">
        <v>2880</v>
      </c>
      <c r="Y231" s="2843"/>
      <c r="Z231" s="1090"/>
      <c r="AA231" s="2843" t="s">
        <v>2881</v>
      </c>
      <c r="AB231" s="2843"/>
      <c r="AC231" s="1090"/>
      <c r="AD231" s="2843" t="s">
        <v>2882</v>
      </c>
      <c r="AE231" s="2843"/>
    </row>
    <row r="232" spans="3:31" ht="25.5" x14ac:dyDescent="0.4">
      <c r="C232" s="2844" t="s">
        <v>2883</v>
      </c>
      <c r="D232" s="2842"/>
      <c r="E232" s="2842"/>
      <c r="F232" s="1092" t="s">
        <v>2884</v>
      </c>
      <c r="G232" s="1092" t="s">
        <v>2885</v>
      </c>
      <c r="H232" s="2839" t="s">
        <v>327</v>
      </c>
      <c r="I232" s="2839" t="s">
        <v>750</v>
      </c>
      <c r="J232" s="2839" t="s">
        <v>2886</v>
      </c>
      <c r="K232" s="1093"/>
      <c r="L232" s="2839" t="s">
        <v>2887</v>
      </c>
      <c r="M232" s="2839" t="s">
        <v>2888</v>
      </c>
      <c r="N232" s="2839" t="s">
        <v>2889</v>
      </c>
      <c r="O232" s="2839" t="s">
        <v>2890</v>
      </c>
      <c r="P232" s="1092" t="s">
        <v>2891</v>
      </c>
      <c r="Q232" s="1094"/>
      <c r="R232" s="1092" t="s">
        <v>2892</v>
      </c>
      <c r="S232" s="2839" t="s">
        <v>2893</v>
      </c>
      <c r="T232" s="1094"/>
      <c r="U232" s="1092" t="s">
        <v>2894</v>
      </c>
      <c r="V232" s="2839" t="s">
        <v>2893</v>
      </c>
      <c r="W232" s="1093"/>
      <c r="X232" s="1092" t="s">
        <v>2880</v>
      </c>
      <c r="Y232" s="2839" t="s">
        <v>2893</v>
      </c>
      <c r="Z232" s="1093"/>
      <c r="AA232" s="1092" t="s">
        <v>2895</v>
      </c>
      <c r="AB232" s="2839" t="s">
        <v>2893</v>
      </c>
      <c r="AC232" s="1093"/>
      <c r="AD232" s="1092" t="s">
        <v>2896</v>
      </c>
      <c r="AE232" s="2839" t="s">
        <v>2893</v>
      </c>
    </row>
    <row r="233" spans="3:31" x14ac:dyDescent="0.4">
      <c r="C233" s="2845"/>
      <c r="D233" s="2840"/>
      <c r="E233" s="2840"/>
      <c r="F233" s="1095" t="s">
        <v>2897</v>
      </c>
      <c r="G233" s="1095" t="s">
        <v>2897</v>
      </c>
      <c r="H233" s="2840"/>
      <c r="I233" s="2840"/>
      <c r="J233" s="2840"/>
      <c r="K233" s="1096"/>
      <c r="L233" s="2840"/>
      <c r="M233" s="2840"/>
      <c r="N233" s="2840"/>
      <c r="O233" s="2840"/>
      <c r="P233" s="1097" t="s">
        <v>2898</v>
      </c>
      <c r="Q233" s="1097"/>
      <c r="R233" s="1098" t="s">
        <v>3304</v>
      </c>
      <c r="S233" s="2840"/>
      <c r="T233" s="1097"/>
      <c r="U233" s="1098" t="s">
        <v>3304</v>
      </c>
      <c r="V233" s="2840"/>
      <c r="W233" s="1096"/>
      <c r="X233" s="1098" t="s">
        <v>3304</v>
      </c>
      <c r="Y233" s="2840"/>
      <c r="Z233" s="1096"/>
      <c r="AA233" s="1098" t="s">
        <v>3304</v>
      </c>
      <c r="AB233" s="2840"/>
      <c r="AC233" s="1096"/>
      <c r="AD233" s="1098" t="s">
        <v>3304</v>
      </c>
      <c r="AE233" s="2840"/>
    </row>
    <row r="234" spans="3:31" x14ac:dyDescent="0.4">
      <c r="C234" s="2838" t="s">
        <v>2900</v>
      </c>
      <c r="D234" s="1099" t="s">
        <v>2901</v>
      </c>
      <c r="E234" s="1099" t="s">
        <v>2902</v>
      </c>
      <c r="F234" s="1100">
        <v>478577</v>
      </c>
      <c r="G234" s="1100">
        <v>1053258</v>
      </c>
      <c r="H234" s="1099" t="s">
        <v>533</v>
      </c>
      <c r="I234" s="1099" t="s">
        <v>821</v>
      </c>
      <c r="J234" s="1099" t="s">
        <v>821</v>
      </c>
      <c r="K234" s="1101"/>
      <c r="L234" s="1099" t="s">
        <v>2903</v>
      </c>
      <c r="M234" s="1099" t="s">
        <v>2903</v>
      </c>
      <c r="N234" s="1099" t="s">
        <v>2903</v>
      </c>
      <c r="O234" s="1099" t="s">
        <v>2903</v>
      </c>
      <c r="P234" s="1099" t="s">
        <v>2903</v>
      </c>
      <c r="Q234" s="1102"/>
      <c r="R234" s="1100" t="s">
        <v>2903</v>
      </c>
      <c r="S234" s="1103" t="s">
        <v>2903</v>
      </c>
      <c r="T234" s="1102"/>
      <c r="U234" s="1100" t="s">
        <v>2903</v>
      </c>
      <c r="V234" s="1103" t="s">
        <v>2903</v>
      </c>
      <c r="W234" s="1104"/>
      <c r="X234" s="1100" t="s">
        <v>2903</v>
      </c>
      <c r="Y234" s="1103" t="s">
        <v>2903</v>
      </c>
      <c r="Z234" s="1104"/>
      <c r="AA234" s="1100" t="s">
        <v>2903</v>
      </c>
      <c r="AB234" s="1103" t="s">
        <v>2903</v>
      </c>
      <c r="AC234" s="1104"/>
      <c r="AD234" s="1100" t="s">
        <v>2903</v>
      </c>
      <c r="AE234" s="1103" t="s">
        <v>2903</v>
      </c>
    </row>
    <row r="235" spans="3:31" x14ac:dyDescent="0.4">
      <c r="C235" s="2838"/>
      <c r="D235" s="1099" t="s">
        <v>2901</v>
      </c>
      <c r="E235" s="1099" t="s">
        <v>2904</v>
      </c>
      <c r="F235" s="1100">
        <v>475877</v>
      </c>
      <c r="G235" s="1100">
        <v>1051840</v>
      </c>
      <c r="H235" s="1099" t="s">
        <v>533</v>
      </c>
      <c r="I235" s="1099" t="s">
        <v>821</v>
      </c>
      <c r="J235" s="1099" t="s">
        <v>821</v>
      </c>
      <c r="K235" s="1101"/>
      <c r="L235" s="1099" t="s">
        <v>2903</v>
      </c>
      <c r="M235" s="1099" t="s">
        <v>2903</v>
      </c>
      <c r="N235" s="1099" t="s">
        <v>2903</v>
      </c>
      <c r="O235" s="1099" t="s">
        <v>2903</v>
      </c>
      <c r="P235" s="1099" t="s">
        <v>2903</v>
      </c>
      <c r="Q235" s="1102"/>
      <c r="R235" s="1100" t="s">
        <v>2903</v>
      </c>
      <c r="S235" s="1103" t="s">
        <v>2903</v>
      </c>
      <c r="T235" s="1102"/>
      <c r="U235" s="1100" t="s">
        <v>2903</v>
      </c>
      <c r="V235" s="1103" t="s">
        <v>2903</v>
      </c>
      <c r="W235" s="1104"/>
      <c r="X235" s="1100" t="s">
        <v>2903</v>
      </c>
      <c r="Y235" s="1103" t="s">
        <v>2903</v>
      </c>
      <c r="Z235" s="1104"/>
      <c r="AA235" s="1100" t="s">
        <v>2903</v>
      </c>
      <c r="AB235" s="1103" t="s">
        <v>2903</v>
      </c>
      <c r="AC235" s="1104"/>
      <c r="AD235" s="1100" t="s">
        <v>2903</v>
      </c>
      <c r="AE235" s="1103" t="s">
        <v>2903</v>
      </c>
    </row>
    <row r="236" spans="3:31" x14ac:dyDescent="0.4">
      <c r="C236" s="2838"/>
      <c r="D236" s="1099" t="s">
        <v>2905</v>
      </c>
      <c r="E236" s="1099" t="s">
        <v>2906</v>
      </c>
      <c r="F236" s="1100">
        <v>489634</v>
      </c>
      <c r="G236" s="1100">
        <v>1051066</v>
      </c>
      <c r="H236" s="1099" t="s">
        <v>533</v>
      </c>
      <c r="I236" s="1099" t="s">
        <v>818</v>
      </c>
      <c r="J236" s="1099" t="s">
        <v>2907</v>
      </c>
      <c r="K236" s="1101"/>
      <c r="L236" s="1099" t="s">
        <v>2903</v>
      </c>
      <c r="M236" s="1099" t="s">
        <v>2903</v>
      </c>
      <c r="N236" s="1099" t="s">
        <v>2903</v>
      </c>
      <c r="O236" s="1099" t="s">
        <v>2903</v>
      </c>
      <c r="P236" s="1099" t="s">
        <v>2903</v>
      </c>
      <c r="Q236" s="1102"/>
      <c r="R236" s="1100" t="s">
        <v>2903</v>
      </c>
      <c r="S236" s="1103" t="s">
        <v>2903</v>
      </c>
      <c r="T236" s="1102"/>
      <c r="U236" s="1100" t="s">
        <v>2903</v>
      </c>
      <c r="V236" s="1103" t="s">
        <v>2903</v>
      </c>
      <c r="W236" s="1104"/>
      <c r="X236" s="1100" t="s">
        <v>2903</v>
      </c>
      <c r="Y236" s="1103" t="s">
        <v>2903</v>
      </c>
      <c r="Z236" s="1104"/>
      <c r="AA236" s="1100" t="s">
        <v>2903</v>
      </c>
      <c r="AB236" s="1103" t="s">
        <v>2903</v>
      </c>
      <c r="AC236" s="1104"/>
      <c r="AD236" s="1100" t="s">
        <v>2903</v>
      </c>
      <c r="AE236" s="1103" t="s">
        <v>2903</v>
      </c>
    </row>
    <row r="237" spans="3:31" x14ac:dyDescent="0.4">
      <c r="C237" s="2838"/>
      <c r="D237" s="1099" t="s">
        <v>2905</v>
      </c>
      <c r="E237" s="1099" t="s">
        <v>2908</v>
      </c>
      <c r="F237" s="1100">
        <v>480470</v>
      </c>
      <c r="G237" s="1100">
        <v>1046523</v>
      </c>
      <c r="H237" s="1099" t="s">
        <v>533</v>
      </c>
      <c r="I237" s="1099" t="s">
        <v>818</v>
      </c>
      <c r="J237" s="1099" t="s">
        <v>2909</v>
      </c>
      <c r="K237" s="1101"/>
      <c r="L237" s="1099" t="s">
        <v>2903</v>
      </c>
      <c r="M237" s="1099" t="s">
        <v>2903</v>
      </c>
      <c r="N237" s="1099" t="s">
        <v>2903</v>
      </c>
      <c r="O237" s="1099" t="s">
        <v>2903</v>
      </c>
      <c r="P237" s="1099" t="s">
        <v>2903</v>
      </c>
      <c r="Q237" s="1102"/>
      <c r="R237" s="1100" t="s">
        <v>2903</v>
      </c>
      <c r="S237" s="1103" t="s">
        <v>2903</v>
      </c>
      <c r="T237" s="1102"/>
      <c r="U237" s="1100" t="s">
        <v>2903</v>
      </c>
      <c r="V237" s="1103" t="s">
        <v>2903</v>
      </c>
      <c r="W237" s="1104"/>
      <c r="X237" s="1100" t="s">
        <v>2903</v>
      </c>
      <c r="Y237" s="1103" t="s">
        <v>2903</v>
      </c>
      <c r="Z237" s="1104"/>
      <c r="AA237" s="1100" t="s">
        <v>2903</v>
      </c>
      <c r="AB237" s="1103" t="s">
        <v>2903</v>
      </c>
      <c r="AC237" s="1104"/>
      <c r="AD237" s="1100" t="s">
        <v>2903</v>
      </c>
      <c r="AE237" s="1103" t="s">
        <v>2903</v>
      </c>
    </row>
    <row r="238" spans="3:31" x14ac:dyDescent="0.4">
      <c r="C238" s="2835" t="s">
        <v>2910</v>
      </c>
      <c r="D238" s="1105" t="s">
        <v>2911</v>
      </c>
      <c r="E238" s="1105" t="s">
        <v>2912</v>
      </c>
      <c r="F238" s="1106">
        <v>430273</v>
      </c>
      <c r="G238" s="1106">
        <v>1074425</v>
      </c>
      <c r="H238" s="1105" t="s">
        <v>533</v>
      </c>
      <c r="I238" s="1105" t="s">
        <v>823</v>
      </c>
      <c r="J238" s="1105" t="s">
        <v>2913</v>
      </c>
      <c r="K238" s="1101"/>
      <c r="L238" s="1105" t="s">
        <v>2903</v>
      </c>
      <c r="M238" s="1105" t="s">
        <v>2903</v>
      </c>
      <c r="N238" s="1105" t="s">
        <v>2903</v>
      </c>
      <c r="O238" s="1105" t="s">
        <v>2903</v>
      </c>
      <c r="P238" s="1105" t="s">
        <v>2903</v>
      </c>
      <c r="Q238" s="1102"/>
      <c r="R238" s="1106" t="s">
        <v>2903</v>
      </c>
      <c r="S238" s="1107" t="s">
        <v>2903</v>
      </c>
      <c r="T238" s="1102"/>
      <c r="U238" s="1106" t="s">
        <v>2903</v>
      </c>
      <c r="V238" s="1107" t="s">
        <v>2903</v>
      </c>
      <c r="W238" s="1108"/>
      <c r="X238" s="1106" t="s">
        <v>2903</v>
      </c>
      <c r="Y238" s="1107" t="s">
        <v>2903</v>
      </c>
      <c r="Z238" s="1104"/>
      <c r="AA238" s="1106" t="s">
        <v>2903</v>
      </c>
      <c r="AB238" s="1107" t="s">
        <v>2903</v>
      </c>
      <c r="AC238" s="1104"/>
      <c r="AD238" s="1106" t="s">
        <v>2903</v>
      </c>
      <c r="AE238" s="1107" t="s">
        <v>2903</v>
      </c>
    </row>
    <row r="239" spans="3:31" x14ac:dyDescent="0.4">
      <c r="C239" s="2835"/>
      <c r="D239" s="1105" t="s">
        <v>2914</v>
      </c>
      <c r="E239" s="1105" t="s">
        <v>2915</v>
      </c>
      <c r="F239" s="1106">
        <v>431757</v>
      </c>
      <c r="G239" s="1106">
        <v>1064259</v>
      </c>
      <c r="H239" s="1105" t="s">
        <v>533</v>
      </c>
      <c r="I239" s="1105" t="s">
        <v>823</v>
      </c>
      <c r="J239" s="1105" t="s">
        <v>2916</v>
      </c>
      <c r="K239" s="1101"/>
      <c r="L239" s="1105" t="s">
        <v>2903</v>
      </c>
      <c r="M239" s="1105" t="s">
        <v>2903</v>
      </c>
      <c r="N239" s="1105" t="s">
        <v>2903</v>
      </c>
      <c r="O239" s="1105" t="s">
        <v>2903</v>
      </c>
      <c r="P239" s="1105" t="s">
        <v>2903</v>
      </c>
      <c r="Q239" s="1102"/>
      <c r="R239" s="1106" t="s">
        <v>2903</v>
      </c>
      <c r="S239" s="1107" t="s">
        <v>2903</v>
      </c>
      <c r="T239" s="1102"/>
      <c r="U239" s="1106" t="s">
        <v>2903</v>
      </c>
      <c r="V239" s="1107" t="s">
        <v>2903</v>
      </c>
      <c r="W239" s="1108"/>
      <c r="X239" s="1106" t="s">
        <v>2903</v>
      </c>
      <c r="Y239" s="1107" t="s">
        <v>2903</v>
      </c>
      <c r="Z239" s="1104"/>
      <c r="AA239" s="1106" t="s">
        <v>2903</v>
      </c>
      <c r="AB239" s="1107" t="s">
        <v>2903</v>
      </c>
      <c r="AC239" s="1104"/>
      <c r="AD239" s="1106" t="s">
        <v>2903</v>
      </c>
      <c r="AE239" s="1107" t="s">
        <v>2903</v>
      </c>
    </row>
    <row r="240" spans="3:31" x14ac:dyDescent="0.4">
      <c r="C240" s="2835"/>
      <c r="D240" s="1105" t="s">
        <v>2917</v>
      </c>
      <c r="E240" s="1105" t="s">
        <v>2918</v>
      </c>
      <c r="F240" s="1106">
        <v>442810</v>
      </c>
      <c r="G240" s="1106">
        <v>1064763</v>
      </c>
      <c r="H240" s="1105" t="s">
        <v>329</v>
      </c>
      <c r="I240" s="1105" t="s">
        <v>2919</v>
      </c>
      <c r="J240" s="1105" t="s">
        <v>2920</v>
      </c>
      <c r="K240" s="1101"/>
      <c r="L240" s="1105" t="s">
        <v>2903</v>
      </c>
      <c r="M240" s="1105" t="s">
        <v>2903</v>
      </c>
      <c r="N240" s="1105" t="s">
        <v>2903</v>
      </c>
      <c r="O240" s="1105" t="s">
        <v>2903</v>
      </c>
      <c r="P240" s="1105" t="s">
        <v>2903</v>
      </c>
      <c r="Q240" s="1102"/>
      <c r="R240" s="1106" t="s">
        <v>2903</v>
      </c>
      <c r="S240" s="1107" t="s">
        <v>2903</v>
      </c>
      <c r="T240" s="1102"/>
      <c r="U240" s="1106" t="s">
        <v>2903</v>
      </c>
      <c r="V240" s="1107" t="s">
        <v>2903</v>
      </c>
      <c r="W240" s="1108"/>
      <c r="X240" s="1106" t="s">
        <v>2903</v>
      </c>
      <c r="Y240" s="1107" t="s">
        <v>2903</v>
      </c>
      <c r="Z240" s="1104"/>
      <c r="AA240" s="1106" t="s">
        <v>2903</v>
      </c>
      <c r="AB240" s="1107" t="s">
        <v>2903</v>
      </c>
      <c r="AC240" s="1104"/>
      <c r="AD240" s="1106" t="s">
        <v>2903</v>
      </c>
      <c r="AE240" s="1107" t="s">
        <v>2903</v>
      </c>
    </row>
    <row r="241" spans="3:31" x14ac:dyDescent="0.4">
      <c r="C241" s="2835"/>
      <c r="D241" s="1105" t="s">
        <v>2921</v>
      </c>
      <c r="E241" s="1105" t="s">
        <v>2922</v>
      </c>
      <c r="F241" s="1106">
        <v>446879</v>
      </c>
      <c r="G241" s="1106">
        <v>1064096</v>
      </c>
      <c r="H241" s="1105" t="s">
        <v>533</v>
      </c>
      <c r="I241" s="1105" t="s">
        <v>754</v>
      </c>
      <c r="J241" s="1105" t="s">
        <v>2923</v>
      </c>
      <c r="K241" s="1101"/>
      <c r="L241" s="1105" t="s">
        <v>2903</v>
      </c>
      <c r="M241" s="1105" t="s">
        <v>2903</v>
      </c>
      <c r="N241" s="1105" t="s">
        <v>2903</v>
      </c>
      <c r="O241" s="1105" t="s">
        <v>2903</v>
      </c>
      <c r="P241" s="1105" t="s">
        <v>2903</v>
      </c>
      <c r="Q241" s="1102"/>
      <c r="R241" s="1106" t="s">
        <v>2903</v>
      </c>
      <c r="S241" s="1107" t="s">
        <v>2903</v>
      </c>
      <c r="T241" s="1102"/>
      <c r="U241" s="1106" t="s">
        <v>2903</v>
      </c>
      <c r="V241" s="1107" t="s">
        <v>2903</v>
      </c>
      <c r="W241" s="1108"/>
      <c r="X241" s="1106" t="s">
        <v>2903</v>
      </c>
      <c r="Y241" s="1107" t="s">
        <v>2903</v>
      </c>
      <c r="Z241" s="1104"/>
      <c r="AA241" s="1106" t="s">
        <v>2903</v>
      </c>
      <c r="AB241" s="1107" t="s">
        <v>2903</v>
      </c>
      <c r="AC241" s="1104"/>
      <c r="AD241" s="1106" t="s">
        <v>2903</v>
      </c>
      <c r="AE241" s="1107" t="s">
        <v>2903</v>
      </c>
    </row>
    <row r="242" spans="3:31" x14ac:dyDescent="0.4">
      <c r="C242" s="2835"/>
      <c r="D242" s="1105" t="s">
        <v>2921</v>
      </c>
      <c r="E242" s="1105" t="s">
        <v>2924</v>
      </c>
      <c r="F242" s="1106">
        <v>442563</v>
      </c>
      <c r="G242" s="1106">
        <v>1058628</v>
      </c>
      <c r="H242" s="1105" t="s">
        <v>533</v>
      </c>
      <c r="I242" s="1105" t="s">
        <v>821</v>
      </c>
      <c r="J242" s="1105" t="s">
        <v>821</v>
      </c>
      <c r="K242" s="1101"/>
      <c r="L242" s="1105" t="s">
        <v>2903</v>
      </c>
      <c r="M242" s="1105" t="s">
        <v>2903</v>
      </c>
      <c r="N242" s="1105" t="s">
        <v>2903</v>
      </c>
      <c r="O242" s="1105" t="s">
        <v>2903</v>
      </c>
      <c r="P242" s="1105" t="s">
        <v>2903</v>
      </c>
      <c r="Q242" s="1102"/>
      <c r="R242" s="1106" t="s">
        <v>2903</v>
      </c>
      <c r="S242" s="1107" t="s">
        <v>2903</v>
      </c>
      <c r="T242" s="1102"/>
      <c r="U242" s="1106" t="s">
        <v>2903</v>
      </c>
      <c r="V242" s="1107" t="s">
        <v>2903</v>
      </c>
      <c r="W242" s="1108"/>
      <c r="X242" s="1106" t="s">
        <v>2903</v>
      </c>
      <c r="Y242" s="1107" t="s">
        <v>2903</v>
      </c>
      <c r="Z242" s="1104"/>
      <c r="AA242" s="1106" t="s">
        <v>2903</v>
      </c>
      <c r="AB242" s="1107" t="s">
        <v>2903</v>
      </c>
      <c r="AC242" s="1104"/>
      <c r="AD242" s="1106" t="s">
        <v>2903</v>
      </c>
      <c r="AE242" s="1107" t="s">
        <v>2903</v>
      </c>
    </row>
    <row r="243" spans="3:31" x14ac:dyDescent="0.4">
      <c r="C243" s="2835"/>
      <c r="D243" s="1105" t="s">
        <v>2925</v>
      </c>
      <c r="E243" s="1105" t="s">
        <v>2926</v>
      </c>
      <c r="F243" s="1106">
        <v>441801</v>
      </c>
      <c r="G243" s="1106">
        <v>1058697</v>
      </c>
      <c r="H243" s="1105" t="s">
        <v>533</v>
      </c>
      <c r="I243" s="1105" t="s">
        <v>821</v>
      </c>
      <c r="J243" s="1105" t="s">
        <v>821</v>
      </c>
      <c r="K243" s="1101"/>
      <c r="L243" s="1105" t="s">
        <v>2903</v>
      </c>
      <c r="M243" s="1105" t="s">
        <v>2903</v>
      </c>
      <c r="N243" s="1105" t="s">
        <v>2903</v>
      </c>
      <c r="O243" s="1105" t="s">
        <v>2903</v>
      </c>
      <c r="P243" s="1105" t="s">
        <v>2903</v>
      </c>
      <c r="Q243" s="1102"/>
      <c r="R243" s="1106" t="s">
        <v>2903</v>
      </c>
      <c r="S243" s="1107" t="s">
        <v>2903</v>
      </c>
      <c r="T243" s="1102"/>
      <c r="U243" s="1106" t="s">
        <v>2903</v>
      </c>
      <c r="V243" s="1107" t="s">
        <v>2903</v>
      </c>
      <c r="W243" s="1108"/>
      <c r="X243" s="1106" t="s">
        <v>2903</v>
      </c>
      <c r="Y243" s="1107" t="s">
        <v>2903</v>
      </c>
      <c r="Z243" s="1104"/>
      <c r="AA243" s="1106" t="s">
        <v>2903</v>
      </c>
      <c r="AB243" s="1107" t="s">
        <v>2903</v>
      </c>
      <c r="AC243" s="1104"/>
      <c r="AD243" s="1106" t="s">
        <v>2903</v>
      </c>
      <c r="AE243" s="1107" t="s">
        <v>2903</v>
      </c>
    </row>
    <row r="244" spans="3:31" x14ac:dyDescent="0.4">
      <c r="C244" s="2835"/>
      <c r="D244" s="1105" t="s">
        <v>2921</v>
      </c>
      <c r="E244" s="1105" t="s">
        <v>2927</v>
      </c>
      <c r="F244" s="1106">
        <v>454785</v>
      </c>
      <c r="G244" s="1106">
        <v>1059635</v>
      </c>
      <c r="H244" s="1105" t="s">
        <v>328</v>
      </c>
      <c r="I244" s="1105" t="s">
        <v>754</v>
      </c>
      <c r="J244" s="1105" t="s">
        <v>2923</v>
      </c>
      <c r="K244" s="1101"/>
      <c r="L244" s="1105" t="s">
        <v>2903</v>
      </c>
      <c r="M244" s="1105" t="s">
        <v>2903</v>
      </c>
      <c r="N244" s="1105" t="s">
        <v>2903</v>
      </c>
      <c r="O244" s="1105" t="s">
        <v>2903</v>
      </c>
      <c r="P244" s="1105" t="s">
        <v>2903</v>
      </c>
      <c r="Q244" s="1102"/>
      <c r="R244" s="1106" t="s">
        <v>2903</v>
      </c>
      <c r="S244" s="1107" t="s">
        <v>2903</v>
      </c>
      <c r="T244" s="1102"/>
      <c r="U244" s="1106" t="s">
        <v>2903</v>
      </c>
      <c r="V244" s="1107" t="s">
        <v>2903</v>
      </c>
      <c r="W244" s="1108"/>
      <c r="X244" s="1106" t="s">
        <v>2903</v>
      </c>
      <c r="Y244" s="1107" t="s">
        <v>2903</v>
      </c>
      <c r="Z244" s="1104"/>
      <c r="AA244" s="1106" t="s">
        <v>2903</v>
      </c>
      <c r="AB244" s="1107" t="s">
        <v>2903</v>
      </c>
      <c r="AC244" s="1104"/>
      <c r="AD244" s="1106" t="s">
        <v>2903</v>
      </c>
      <c r="AE244" s="1107" t="s">
        <v>2903</v>
      </c>
    </row>
    <row r="245" spans="3:31" x14ac:dyDescent="0.4">
      <c r="C245" s="2835"/>
      <c r="D245" s="1105" t="s">
        <v>2928</v>
      </c>
      <c r="E245" s="1105" t="s">
        <v>2929</v>
      </c>
      <c r="F245" s="1106">
        <v>458078</v>
      </c>
      <c r="G245" s="1106">
        <v>1069926</v>
      </c>
      <c r="H245" s="1105" t="s">
        <v>328</v>
      </c>
      <c r="I245" s="1105" t="s">
        <v>754</v>
      </c>
      <c r="J245" s="1105" t="s">
        <v>2923</v>
      </c>
      <c r="K245" s="1101"/>
      <c r="L245" s="1105" t="s">
        <v>2903</v>
      </c>
      <c r="M245" s="1105" t="s">
        <v>2903</v>
      </c>
      <c r="N245" s="1105" t="s">
        <v>2903</v>
      </c>
      <c r="O245" s="1105" t="s">
        <v>2903</v>
      </c>
      <c r="P245" s="1105" t="s">
        <v>2903</v>
      </c>
      <c r="Q245" s="1102"/>
      <c r="R245" s="1106" t="s">
        <v>2903</v>
      </c>
      <c r="S245" s="1107" t="s">
        <v>2903</v>
      </c>
      <c r="T245" s="1102"/>
      <c r="U245" s="1106" t="s">
        <v>2903</v>
      </c>
      <c r="V245" s="1107" t="s">
        <v>2903</v>
      </c>
      <c r="W245" s="1108"/>
      <c r="X245" s="1106" t="s">
        <v>2903</v>
      </c>
      <c r="Y245" s="1107" t="s">
        <v>2903</v>
      </c>
      <c r="Z245" s="1104"/>
      <c r="AA245" s="1106" t="s">
        <v>2903</v>
      </c>
      <c r="AB245" s="1107" t="s">
        <v>2903</v>
      </c>
      <c r="AC245" s="1104"/>
      <c r="AD245" s="1106" t="s">
        <v>2903</v>
      </c>
      <c r="AE245" s="1107" t="s">
        <v>2903</v>
      </c>
    </row>
    <row r="246" spans="3:31" x14ac:dyDescent="0.4">
      <c r="C246" s="2852" t="s">
        <v>3305</v>
      </c>
      <c r="D246" s="1109" t="s">
        <v>2931</v>
      </c>
      <c r="E246" s="1109" t="s">
        <v>2932</v>
      </c>
      <c r="F246" s="1109">
        <v>505940</v>
      </c>
      <c r="G246" s="1109">
        <v>1104290</v>
      </c>
      <c r="H246" s="1109" t="s">
        <v>328</v>
      </c>
      <c r="I246" s="1109" t="s">
        <v>761</v>
      </c>
      <c r="J246" s="1109" t="s">
        <v>2933</v>
      </c>
      <c r="K246" s="1111"/>
      <c r="L246" s="1109">
        <v>5</v>
      </c>
      <c r="M246" s="1109">
        <v>4</v>
      </c>
      <c r="N246" s="1109">
        <v>1</v>
      </c>
      <c r="O246" s="1109">
        <v>80</v>
      </c>
      <c r="P246" s="1109">
        <v>1</v>
      </c>
      <c r="Q246" s="1112"/>
      <c r="R246" s="1110">
        <v>3.4</v>
      </c>
      <c r="S246" s="1113">
        <v>1</v>
      </c>
      <c r="T246" s="1112"/>
      <c r="U246" s="1110">
        <v>95</v>
      </c>
      <c r="V246" s="1110">
        <v>1</v>
      </c>
      <c r="W246" s="1108"/>
      <c r="X246" s="1110">
        <v>0.08</v>
      </c>
      <c r="Y246" s="1110">
        <v>1</v>
      </c>
      <c r="Z246" s="1108"/>
      <c r="AA246" s="1110">
        <v>7.9</v>
      </c>
      <c r="AB246" s="1110">
        <v>1</v>
      </c>
      <c r="AC246" s="1110"/>
      <c r="AD246" s="1110">
        <v>10.5</v>
      </c>
      <c r="AE246" s="1110">
        <v>1</v>
      </c>
    </row>
    <row r="247" spans="3:31" x14ac:dyDescent="0.4">
      <c r="C247" s="2852"/>
      <c r="D247" s="1109" t="s">
        <v>2931</v>
      </c>
      <c r="E247" s="1109" t="s">
        <v>2934</v>
      </c>
      <c r="F247" s="1109">
        <v>499343</v>
      </c>
      <c r="G247" s="1109">
        <v>1103594</v>
      </c>
      <c r="H247" s="1109" t="s">
        <v>328</v>
      </c>
      <c r="I247" s="1109" t="s">
        <v>761</v>
      </c>
      <c r="J247" s="1109" t="s">
        <v>798</v>
      </c>
      <c r="K247" s="1111"/>
      <c r="L247" s="1109">
        <v>5</v>
      </c>
      <c r="M247" s="1109">
        <v>4</v>
      </c>
      <c r="N247" s="1109">
        <v>1</v>
      </c>
      <c r="O247" s="1109">
        <v>80</v>
      </c>
      <c r="P247" s="1109">
        <v>1</v>
      </c>
      <c r="Q247" s="1112"/>
      <c r="R247" s="1110">
        <v>5.3</v>
      </c>
      <c r="S247" s="1113">
        <v>1</v>
      </c>
      <c r="T247" s="1112"/>
      <c r="U247" s="1110">
        <v>96</v>
      </c>
      <c r="V247" s="1110">
        <v>1</v>
      </c>
      <c r="W247" s="1108"/>
      <c r="X247" s="1110">
        <v>0.13</v>
      </c>
      <c r="Y247" s="1110">
        <v>1</v>
      </c>
      <c r="Z247" s="1108"/>
      <c r="AA247" s="1110">
        <v>8.1999999999999993</v>
      </c>
      <c r="AB247" s="1110">
        <v>1</v>
      </c>
      <c r="AC247" s="1110"/>
      <c r="AD247" s="1110">
        <v>3.4</v>
      </c>
      <c r="AE247" s="1110">
        <v>1</v>
      </c>
    </row>
    <row r="248" spans="3:31" x14ac:dyDescent="0.4">
      <c r="C248" s="2852"/>
      <c r="D248" s="1109" t="s">
        <v>2931</v>
      </c>
      <c r="E248" s="1109" t="s">
        <v>2935</v>
      </c>
      <c r="F248" s="1109">
        <v>491495</v>
      </c>
      <c r="G248" s="1109">
        <v>1102221</v>
      </c>
      <c r="H248" s="1109" t="s">
        <v>328</v>
      </c>
      <c r="I248" s="1109" t="s">
        <v>763</v>
      </c>
      <c r="J248" s="1109" t="s">
        <v>2936</v>
      </c>
      <c r="K248" s="1111"/>
      <c r="L248" s="1109">
        <v>5</v>
      </c>
      <c r="M248" s="1109">
        <v>3</v>
      </c>
      <c r="N248" s="1109">
        <v>2</v>
      </c>
      <c r="O248" s="1109">
        <v>60</v>
      </c>
      <c r="P248" s="1109">
        <v>0</v>
      </c>
      <c r="Q248" s="1112"/>
      <c r="R248" s="1110">
        <v>5.8</v>
      </c>
      <c r="S248" s="1113">
        <v>1</v>
      </c>
      <c r="T248" s="1112"/>
      <c r="U248" s="1110">
        <v>101</v>
      </c>
      <c r="V248" s="1110">
        <v>1</v>
      </c>
      <c r="W248" s="1108"/>
      <c r="X248" s="1110">
        <v>0.4</v>
      </c>
      <c r="Y248" s="1110">
        <v>1</v>
      </c>
      <c r="Z248" s="1108"/>
      <c r="AA248" s="1110">
        <v>8.6</v>
      </c>
      <c r="AB248" s="1110">
        <v>0</v>
      </c>
      <c r="AC248" s="1110"/>
      <c r="AD248" s="1110">
        <v>6</v>
      </c>
      <c r="AE248" s="1110">
        <v>1</v>
      </c>
    </row>
    <row r="249" spans="3:31" x14ac:dyDescent="0.4">
      <c r="C249" s="2852"/>
      <c r="D249" s="1109" t="s">
        <v>2931</v>
      </c>
      <c r="E249" s="1109" t="s">
        <v>2937</v>
      </c>
      <c r="F249" s="1109">
        <v>480338</v>
      </c>
      <c r="G249" s="1109">
        <v>1102283</v>
      </c>
      <c r="H249" s="1109" t="s">
        <v>331</v>
      </c>
      <c r="I249" s="1109" t="s">
        <v>800</v>
      </c>
      <c r="J249" s="1109" t="s">
        <v>2938</v>
      </c>
      <c r="K249" s="1111"/>
      <c r="L249" s="1109">
        <v>4</v>
      </c>
      <c r="M249" s="1109">
        <v>2</v>
      </c>
      <c r="N249" s="1109">
        <v>2</v>
      </c>
      <c r="O249" s="1109">
        <v>50</v>
      </c>
      <c r="P249" s="1109">
        <v>0</v>
      </c>
      <c r="Q249" s="1112"/>
      <c r="R249" s="1110">
        <v>24.2</v>
      </c>
      <c r="S249" s="1113">
        <v>0</v>
      </c>
      <c r="T249" s="1112"/>
      <c r="U249" s="1110">
        <v>90.9</v>
      </c>
      <c r="V249" s="1110">
        <v>1</v>
      </c>
      <c r="W249" s="1108"/>
      <c r="X249" s="1110">
        <v>11.11</v>
      </c>
      <c r="Y249" s="1110">
        <v>0</v>
      </c>
      <c r="Z249" s="1108"/>
      <c r="AA249" s="1110">
        <v>8</v>
      </c>
      <c r="AB249" s="1110">
        <v>1</v>
      </c>
      <c r="AC249" s="1110"/>
      <c r="AD249" s="1110">
        <v>55.8</v>
      </c>
      <c r="AE249" s="1110">
        <v>0</v>
      </c>
    </row>
    <row r="250" spans="3:31" x14ac:dyDescent="0.4">
      <c r="C250" s="2852"/>
      <c r="D250" s="1109" t="s">
        <v>2931</v>
      </c>
      <c r="E250" s="1109" t="s">
        <v>2939</v>
      </c>
      <c r="F250" s="1110">
        <v>470780</v>
      </c>
      <c r="G250" s="1110">
        <v>1098167</v>
      </c>
      <c r="H250" s="1109" t="s">
        <v>331</v>
      </c>
      <c r="I250" s="1109" t="s">
        <v>799</v>
      </c>
      <c r="J250" s="1109" t="s">
        <v>2940</v>
      </c>
      <c r="K250" s="1111"/>
      <c r="L250" s="1109" t="s">
        <v>2903</v>
      </c>
      <c r="M250" s="1109" t="s">
        <v>2903</v>
      </c>
      <c r="N250" s="1109" t="s">
        <v>2903</v>
      </c>
      <c r="O250" s="1109" t="s">
        <v>2903</v>
      </c>
      <c r="P250" s="1109" t="s">
        <v>2903</v>
      </c>
      <c r="Q250" s="1112"/>
      <c r="R250" s="1110" t="s">
        <v>2903</v>
      </c>
      <c r="S250" s="1113" t="s">
        <v>2903</v>
      </c>
      <c r="T250" s="1112"/>
      <c r="U250" s="1110" t="s">
        <v>2903</v>
      </c>
      <c r="V250" s="1110" t="s">
        <v>2903</v>
      </c>
      <c r="W250" s="1108"/>
      <c r="X250" s="1110" t="s">
        <v>2903</v>
      </c>
      <c r="Y250" s="1110" t="s">
        <v>2903</v>
      </c>
      <c r="Z250" s="1108"/>
      <c r="AA250" s="1110" t="s">
        <v>2903</v>
      </c>
      <c r="AB250" s="1110" t="s">
        <v>2903</v>
      </c>
      <c r="AC250" s="1110"/>
      <c r="AD250" s="1110" t="s">
        <v>2903</v>
      </c>
      <c r="AE250" s="1110" t="s">
        <v>2903</v>
      </c>
    </row>
    <row r="251" spans="3:31" x14ac:dyDescent="0.4">
      <c r="C251" s="2852"/>
      <c r="D251" s="1109" t="s">
        <v>2941</v>
      </c>
      <c r="E251" s="1109" t="s">
        <v>2942</v>
      </c>
      <c r="F251" s="1109">
        <v>450165</v>
      </c>
      <c r="G251" s="1109">
        <v>1097109</v>
      </c>
      <c r="H251" s="1109" t="s">
        <v>329</v>
      </c>
      <c r="I251" s="1109" t="s">
        <v>329</v>
      </c>
      <c r="J251" s="1109" t="s">
        <v>2943</v>
      </c>
      <c r="K251" s="1111"/>
      <c r="L251" s="1109">
        <v>5</v>
      </c>
      <c r="M251" s="1109">
        <v>3</v>
      </c>
      <c r="N251" s="1109">
        <v>2</v>
      </c>
      <c r="O251" s="1109">
        <v>60</v>
      </c>
      <c r="P251" s="1109">
        <v>0</v>
      </c>
      <c r="Q251" s="1112"/>
      <c r="R251" s="1110">
        <v>7.6</v>
      </c>
      <c r="S251" s="1113">
        <v>0</v>
      </c>
      <c r="T251" s="1112"/>
      <c r="U251" s="1110">
        <v>97.7</v>
      </c>
      <c r="V251" s="1110">
        <v>1</v>
      </c>
      <c r="W251" s="1108"/>
      <c r="X251" s="1110">
        <v>0.54</v>
      </c>
      <c r="Y251" s="1110">
        <v>1</v>
      </c>
      <c r="Z251" s="1108"/>
      <c r="AA251" s="1110">
        <v>8.1999999999999993</v>
      </c>
      <c r="AB251" s="1110">
        <v>1</v>
      </c>
      <c r="AC251" s="1110"/>
      <c r="AD251" s="1110">
        <v>11.7</v>
      </c>
      <c r="AE251" s="1110">
        <v>1</v>
      </c>
    </row>
    <row r="252" spans="3:31" x14ac:dyDescent="0.4">
      <c r="C252" s="2852"/>
      <c r="D252" s="1109" t="s">
        <v>2944</v>
      </c>
      <c r="E252" s="1109" t="s">
        <v>2945</v>
      </c>
      <c r="F252" s="1109">
        <v>461417</v>
      </c>
      <c r="G252" s="1109">
        <v>1102524</v>
      </c>
      <c r="H252" s="1109" t="s">
        <v>329</v>
      </c>
      <c r="I252" s="1109" t="s">
        <v>774</v>
      </c>
      <c r="J252" s="1109" t="s">
        <v>2946</v>
      </c>
      <c r="K252" s="1111"/>
      <c r="L252" s="1109">
        <v>5</v>
      </c>
      <c r="M252" s="1109">
        <v>3</v>
      </c>
      <c r="N252" s="1109">
        <v>2</v>
      </c>
      <c r="O252" s="1109">
        <v>60</v>
      </c>
      <c r="P252" s="1109">
        <v>0</v>
      </c>
      <c r="Q252" s="1112"/>
      <c r="R252" s="1110">
        <v>4.9000000000000004</v>
      </c>
      <c r="S252" s="1113">
        <v>1</v>
      </c>
      <c r="T252" s="1112"/>
      <c r="U252" s="1110">
        <v>119</v>
      </c>
      <c r="V252" s="1110">
        <v>1</v>
      </c>
      <c r="W252" s="1108"/>
      <c r="X252" s="1110">
        <v>0.1</v>
      </c>
      <c r="Y252" s="1110">
        <v>1</v>
      </c>
      <c r="Z252" s="1108"/>
      <c r="AA252" s="1110">
        <v>8.8000000000000007</v>
      </c>
      <c r="AB252" s="1110">
        <v>0</v>
      </c>
      <c r="AC252" s="1110"/>
      <c r="AD252" s="1110">
        <v>3.4</v>
      </c>
      <c r="AE252" s="1110">
        <v>1</v>
      </c>
    </row>
    <row r="253" spans="3:31" x14ac:dyDescent="0.4">
      <c r="C253" s="2852"/>
      <c r="D253" s="1109" t="s">
        <v>2941</v>
      </c>
      <c r="E253" s="1109" t="s">
        <v>2947</v>
      </c>
      <c r="F253" s="1109">
        <v>442305</v>
      </c>
      <c r="G253" s="1109">
        <v>1092780</v>
      </c>
      <c r="H253" s="1109" t="s">
        <v>329</v>
      </c>
      <c r="I253" s="1109" t="s">
        <v>778</v>
      </c>
      <c r="J253" s="1109" t="s">
        <v>778</v>
      </c>
      <c r="K253" s="1111"/>
      <c r="L253" s="1109">
        <v>5</v>
      </c>
      <c r="M253" s="1109">
        <v>3</v>
      </c>
      <c r="N253" s="1109">
        <v>2</v>
      </c>
      <c r="O253" s="1109">
        <v>60</v>
      </c>
      <c r="P253" s="1109">
        <v>0</v>
      </c>
      <c r="Q253" s="1112"/>
      <c r="R253" s="1110">
        <v>7.1</v>
      </c>
      <c r="S253" s="1113">
        <v>0</v>
      </c>
      <c r="T253" s="1112"/>
      <c r="U253" s="1110">
        <v>91.4</v>
      </c>
      <c r="V253" s="1110">
        <v>1</v>
      </c>
      <c r="W253" s="1108"/>
      <c r="X253" s="1110">
        <v>0.18</v>
      </c>
      <c r="Y253" s="1110">
        <v>1</v>
      </c>
      <c r="Z253" s="1108"/>
      <c r="AA253" s="1110">
        <v>8.4</v>
      </c>
      <c r="AB253" s="1110">
        <v>1</v>
      </c>
      <c r="AC253" s="1110"/>
      <c r="AD253" s="1110">
        <v>6</v>
      </c>
      <c r="AE253" s="1110">
        <v>1</v>
      </c>
    </row>
    <row r="254" spans="3:31" x14ac:dyDescent="0.4">
      <c r="C254" s="2835" t="s">
        <v>775</v>
      </c>
      <c r="D254" s="1105" t="s">
        <v>2948</v>
      </c>
      <c r="E254" s="1105" t="s">
        <v>2949</v>
      </c>
      <c r="F254" s="1106">
        <v>494958</v>
      </c>
      <c r="G254" s="1106">
        <v>1049620</v>
      </c>
      <c r="H254" s="1105" t="s">
        <v>533</v>
      </c>
      <c r="I254" s="1105" t="s">
        <v>818</v>
      </c>
      <c r="J254" s="1105" t="s">
        <v>2909</v>
      </c>
      <c r="K254" s="1101"/>
      <c r="L254" s="1105" t="s">
        <v>2903</v>
      </c>
      <c r="M254" s="1105" t="s">
        <v>2903</v>
      </c>
      <c r="N254" s="1105" t="s">
        <v>2903</v>
      </c>
      <c r="O254" s="1105" t="s">
        <v>2903</v>
      </c>
      <c r="P254" s="1105" t="s">
        <v>2903</v>
      </c>
      <c r="Q254" s="1105"/>
      <c r="R254" s="1105" t="s">
        <v>2903</v>
      </c>
      <c r="S254" s="1107" t="s">
        <v>2903</v>
      </c>
      <c r="T254" s="1102"/>
      <c r="U254" s="1106" t="s">
        <v>2903</v>
      </c>
      <c r="V254" s="1107" t="s">
        <v>2903</v>
      </c>
      <c r="W254" s="1108"/>
      <c r="X254" s="1106" t="s">
        <v>2903</v>
      </c>
      <c r="Y254" s="1107" t="s">
        <v>2903</v>
      </c>
      <c r="Z254" s="1104"/>
      <c r="AA254" s="1106" t="s">
        <v>2903</v>
      </c>
      <c r="AB254" s="1107" t="s">
        <v>2903</v>
      </c>
      <c r="AC254" s="1104"/>
      <c r="AD254" s="1106" t="s">
        <v>2903</v>
      </c>
      <c r="AE254" s="1107" t="s">
        <v>2903</v>
      </c>
    </row>
    <row r="255" spans="3:31" x14ac:dyDescent="0.4">
      <c r="C255" s="2835"/>
      <c r="D255" s="1105" t="s">
        <v>2948</v>
      </c>
      <c r="E255" s="1105" t="s">
        <v>2950</v>
      </c>
      <c r="F255" s="1106">
        <v>492323</v>
      </c>
      <c r="G255" s="1106">
        <v>1046307</v>
      </c>
      <c r="H255" s="1105" t="s">
        <v>533</v>
      </c>
      <c r="I255" s="1105" t="s">
        <v>818</v>
      </c>
      <c r="J255" s="1105" t="s">
        <v>2909</v>
      </c>
      <c r="K255" s="1101"/>
      <c r="L255" s="1105" t="s">
        <v>2903</v>
      </c>
      <c r="M255" s="1105" t="s">
        <v>2903</v>
      </c>
      <c r="N255" s="1105" t="s">
        <v>2903</v>
      </c>
      <c r="O255" s="1105" t="s">
        <v>2903</v>
      </c>
      <c r="P255" s="1105" t="s">
        <v>2903</v>
      </c>
      <c r="Q255" s="1102"/>
      <c r="R255" s="1105" t="s">
        <v>2903</v>
      </c>
      <c r="S255" s="1107" t="s">
        <v>2903</v>
      </c>
      <c r="T255" s="1102"/>
      <c r="U255" s="1106" t="s">
        <v>2903</v>
      </c>
      <c r="V255" s="1107" t="s">
        <v>2903</v>
      </c>
      <c r="W255" s="1108"/>
      <c r="X255" s="1106" t="s">
        <v>2903</v>
      </c>
      <c r="Y255" s="1107" t="s">
        <v>2903</v>
      </c>
      <c r="Z255" s="1104"/>
      <c r="AA255" s="1106" t="s">
        <v>2903</v>
      </c>
      <c r="AB255" s="1107" t="s">
        <v>2903</v>
      </c>
      <c r="AC255" s="1104"/>
      <c r="AD255" s="1106" t="s">
        <v>2903</v>
      </c>
      <c r="AE255" s="1107" t="s">
        <v>2903</v>
      </c>
    </row>
    <row r="256" spans="3:31" x14ac:dyDescent="0.4">
      <c r="C256" s="2835"/>
      <c r="D256" s="1105" t="s">
        <v>2948</v>
      </c>
      <c r="E256" s="1105" t="s">
        <v>2951</v>
      </c>
      <c r="F256" s="1106">
        <v>487152</v>
      </c>
      <c r="G256" s="1106">
        <v>1042701</v>
      </c>
      <c r="H256" s="1105" t="s">
        <v>533</v>
      </c>
      <c r="I256" s="1105" t="s">
        <v>818</v>
      </c>
      <c r="J256" s="1105" t="s">
        <v>2909</v>
      </c>
      <c r="K256" s="1101"/>
      <c r="L256" s="1105" t="s">
        <v>2903</v>
      </c>
      <c r="M256" s="1105" t="s">
        <v>2903</v>
      </c>
      <c r="N256" s="1105" t="s">
        <v>2903</v>
      </c>
      <c r="O256" s="1105" t="s">
        <v>2903</v>
      </c>
      <c r="P256" s="1105" t="s">
        <v>2903</v>
      </c>
      <c r="Q256" s="1102"/>
      <c r="R256" s="1105" t="s">
        <v>2903</v>
      </c>
      <c r="S256" s="1107" t="s">
        <v>2903</v>
      </c>
      <c r="T256" s="1102"/>
      <c r="U256" s="1106" t="s">
        <v>2903</v>
      </c>
      <c r="V256" s="1107" t="s">
        <v>2903</v>
      </c>
      <c r="W256" s="1108"/>
      <c r="X256" s="1106" t="s">
        <v>2903</v>
      </c>
      <c r="Y256" s="1107" t="s">
        <v>2903</v>
      </c>
      <c r="Z256" s="1104"/>
      <c r="AA256" s="1106" t="s">
        <v>2903</v>
      </c>
      <c r="AB256" s="1107" t="s">
        <v>2903</v>
      </c>
      <c r="AC256" s="1104"/>
      <c r="AD256" s="1106" t="s">
        <v>2903</v>
      </c>
      <c r="AE256" s="1107" t="s">
        <v>2903</v>
      </c>
    </row>
    <row r="257" spans="3:31" x14ac:dyDescent="0.4">
      <c r="C257" s="2835"/>
      <c r="D257" s="1105" t="s">
        <v>3306</v>
      </c>
      <c r="E257" s="1105" t="s">
        <v>2953</v>
      </c>
      <c r="F257" s="1106">
        <v>493052</v>
      </c>
      <c r="G257" s="1106">
        <v>1038399</v>
      </c>
      <c r="H257" s="1105" t="s">
        <v>533</v>
      </c>
      <c r="I257" s="1105" t="s">
        <v>818</v>
      </c>
      <c r="J257" s="1105" t="s">
        <v>2909</v>
      </c>
      <c r="K257" s="1101"/>
      <c r="L257" s="1105" t="s">
        <v>2903</v>
      </c>
      <c r="M257" s="1105" t="s">
        <v>2903</v>
      </c>
      <c r="N257" s="1105" t="s">
        <v>2903</v>
      </c>
      <c r="O257" s="1105" t="s">
        <v>2903</v>
      </c>
      <c r="P257" s="1105" t="s">
        <v>2903</v>
      </c>
      <c r="Q257" s="1102"/>
      <c r="R257" s="1105" t="s">
        <v>2903</v>
      </c>
      <c r="S257" s="1107" t="s">
        <v>2903</v>
      </c>
      <c r="T257" s="1102"/>
      <c r="U257" s="1106" t="s">
        <v>2903</v>
      </c>
      <c r="V257" s="1107" t="s">
        <v>2903</v>
      </c>
      <c r="W257" s="1108"/>
      <c r="X257" s="1106" t="s">
        <v>2903</v>
      </c>
      <c r="Y257" s="1107" t="s">
        <v>2903</v>
      </c>
      <c r="Z257" s="1104"/>
      <c r="AA257" s="1106" t="s">
        <v>2903</v>
      </c>
      <c r="AB257" s="1107" t="s">
        <v>2903</v>
      </c>
      <c r="AC257" s="1104"/>
      <c r="AD257" s="1106" t="s">
        <v>2903</v>
      </c>
      <c r="AE257" s="1107" t="s">
        <v>2903</v>
      </c>
    </row>
    <row r="258" spans="3:31" x14ac:dyDescent="0.4">
      <c r="C258" s="2837" t="s">
        <v>2954</v>
      </c>
      <c r="D258" s="1114" t="s">
        <v>2955</v>
      </c>
      <c r="E258" s="1114" t="s">
        <v>2956</v>
      </c>
      <c r="F258" s="1115">
        <v>438645</v>
      </c>
      <c r="G258" s="1115">
        <v>1103798</v>
      </c>
      <c r="H258" s="1114" t="s">
        <v>329</v>
      </c>
      <c r="I258" s="1114" t="s">
        <v>773</v>
      </c>
      <c r="J258" s="1114" t="s">
        <v>773</v>
      </c>
      <c r="K258" s="1101"/>
      <c r="L258" s="1114" t="s">
        <v>2903</v>
      </c>
      <c r="M258" s="1114" t="s">
        <v>2903</v>
      </c>
      <c r="N258" s="1114" t="s">
        <v>2903</v>
      </c>
      <c r="O258" s="1114" t="s">
        <v>2903</v>
      </c>
      <c r="P258" s="1114" t="s">
        <v>2903</v>
      </c>
      <c r="Q258" s="1102"/>
      <c r="R258" s="1115" t="s">
        <v>2903</v>
      </c>
      <c r="S258" s="1116" t="s">
        <v>2903</v>
      </c>
      <c r="T258" s="1102"/>
      <c r="U258" s="1115" t="s">
        <v>2903</v>
      </c>
      <c r="V258" s="1116" t="s">
        <v>2903</v>
      </c>
      <c r="W258" s="1108"/>
      <c r="X258" s="1115" t="s">
        <v>2903</v>
      </c>
      <c r="Y258" s="1116" t="s">
        <v>2903</v>
      </c>
      <c r="Z258" s="1104"/>
      <c r="AA258" s="1115" t="s">
        <v>2903</v>
      </c>
      <c r="AB258" s="1116" t="s">
        <v>2903</v>
      </c>
      <c r="AC258" s="1104"/>
      <c r="AD258" s="1115" t="s">
        <v>2903</v>
      </c>
      <c r="AE258" s="1116" t="s">
        <v>2903</v>
      </c>
    </row>
    <row r="259" spans="3:31" x14ac:dyDescent="0.4">
      <c r="C259" s="2837"/>
      <c r="D259" s="1114" t="s">
        <v>2955</v>
      </c>
      <c r="E259" s="1114" t="s">
        <v>2957</v>
      </c>
      <c r="F259" s="1115">
        <v>433449</v>
      </c>
      <c r="G259" s="1115">
        <v>1101403</v>
      </c>
      <c r="H259" s="1114" t="s">
        <v>329</v>
      </c>
      <c r="I259" s="1114" t="s">
        <v>773</v>
      </c>
      <c r="J259" s="1114" t="s">
        <v>773</v>
      </c>
      <c r="K259" s="1101"/>
      <c r="L259" s="1114" t="s">
        <v>2903</v>
      </c>
      <c r="M259" s="1114" t="s">
        <v>2903</v>
      </c>
      <c r="N259" s="1114" t="s">
        <v>2903</v>
      </c>
      <c r="O259" s="1114" t="s">
        <v>2903</v>
      </c>
      <c r="P259" s="1114" t="s">
        <v>2903</v>
      </c>
      <c r="Q259" s="1102"/>
      <c r="R259" s="1115" t="s">
        <v>2903</v>
      </c>
      <c r="S259" s="1116" t="s">
        <v>2903</v>
      </c>
      <c r="T259" s="1102"/>
      <c r="U259" s="1115" t="s">
        <v>2903</v>
      </c>
      <c r="V259" s="1116" t="s">
        <v>2903</v>
      </c>
      <c r="W259" s="1108"/>
      <c r="X259" s="1115" t="s">
        <v>2903</v>
      </c>
      <c r="Y259" s="1116" t="s">
        <v>2903</v>
      </c>
      <c r="Z259" s="1104"/>
      <c r="AA259" s="1115" t="s">
        <v>2903</v>
      </c>
      <c r="AB259" s="1116" t="s">
        <v>2903</v>
      </c>
      <c r="AC259" s="1104"/>
      <c r="AD259" s="1115" t="s">
        <v>2903</v>
      </c>
      <c r="AE259" s="1116" t="s">
        <v>2903</v>
      </c>
    </row>
    <row r="260" spans="3:31" x14ac:dyDescent="0.4">
      <c r="C260" s="2837"/>
      <c r="D260" s="1114" t="s">
        <v>2955</v>
      </c>
      <c r="E260" s="1114" t="s">
        <v>2958</v>
      </c>
      <c r="F260" s="1115">
        <v>427002</v>
      </c>
      <c r="G260" s="1115">
        <v>1096916</v>
      </c>
      <c r="H260" s="1114" t="s">
        <v>329</v>
      </c>
      <c r="I260" s="1114" t="s">
        <v>773</v>
      </c>
      <c r="J260" s="1114" t="s">
        <v>773</v>
      </c>
      <c r="K260" s="1101"/>
      <c r="L260" s="1114" t="s">
        <v>2903</v>
      </c>
      <c r="M260" s="1114" t="s">
        <v>2903</v>
      </c>
      <c r="N260" s="1114" t="s">
        <v>2903</v>
      </c>
      <c r="O260" s="1114" t="s">
        <v>2903</v>
      </c>
      <c r="P260" s="1114" t="s">
        <v>2903</v>
      </c>
      <c r="Q260" s="1102"/>
      <c r="R260" s="1115" t="s">
        <v>2903</v>
      </c>
      <c r="S260" s="1116" t="s">
        <v>2903</v>
      </c>
      <c r="T260" s="1102"/>
      <c r="U260" s="1115" t="s">
        <v>2903</v>
      </c>
      <c r="V260" s="1116" t="s">
        <v>2903</v>
      </c>
      <c r="W260" s="1108"/>
      <c r="X260" s="1115" t="s">
        <v>2903</v>
      </c>
      <c r="Y260" s="1116" t="s">
        <v>2903</v>
      </c>
      <c r="Z260" s="1104"/>
      <c r="AA260" s="1115" t="s">
        <v>2903</v>
      </c>
      <c r="AB260" s="1116" t="s">
        <v>2903</v>
      </c>
      <c r="AC260" s="1104"/>
      <c r="AD260" s="1115" t="s">
        <v>2903</v>
      </c>
      <c r="AE260" s="1116" t="s">
        <v>2903</v>
      </c>
    </row>
    <row r="261" spans="3:31" x14ac:dyDescent="0.4">
      <c r="C261" s="2837"/>
      <c r="D261" s="1114" t="s">
        <v>2955</v>
      </c>
      <c r="E261" s="1114" t="s">
        <v>2959</v>
      </c>
      <c r="F261" s="1115">
        <v>426346</v>
      </c>
      <c r="G261" s="1115">
        <v>1096040</v>
      </c>
      <c r="H261" s="1114" t="s">
        <v>533</v>
      </c>
      <c r="I261" s="1114" t="s">
        <v>814</v>
      </c>
      <c r="J261" s="1114" t="s">
        <v>2960</v>
      </c>
      <c r="K261" s="1101"/>
      <c r="L261" s="1114" t="s">
        <v>2903</v>
      </c>
      <c r="M261" s="1114" t="s">
        <v>2903</v>
      </c>
      <c r="N261" s="1114" t="s">
        <v>2903</v>
      </c>
      <c r="O261" s="1114" t="s">
        <v>2903</v>
      </c>
      <c r="P261" s="1114" t="s">
        <v>2903</v>
      </c>
      <c r="Q261" s="1102"/>
      <c r="R261" s="1115" t="s">
        <v>2903</v>
      </c>
      <c r="S261" s="1116" t="s">
        <v>2903</v>
      </c>
      <c r="T261" s="1102"/>
      <c r="U261" s="1115" t="s">
        <v>2903</v>
      </c>
      <c r="V261" s="1116" t="s">
        <v>2903</v>
      </c>
      <c r="W261" s="1108"/>
      <c r="X261" s="1115" t="s">
        <v>2903</v>
      </c>
      <c r="Y261" s="1116" t="s">
        <v>2903</v>
      </c>
      <c r="Z261" s="1104"/>
      <c r="AA261" s="1115" t="s">
        <v>2903</v>
      </c>
      <c r="AB261" s="1116" t="s">
        <v>2903</v>
      </c>
      <c r="AC261" s="1104"/>
      <c r="AD261" s="1115" t="s">
        <v>2903</v>
      </c>
      <c r="AE261" s="1116" t="s">
        <v>2903</v>
      </c>
    </row>
    <row r="262" spans="3:31" x14ac:dyDescent="0.4">
      <c r="C262" s="2837"/>
      <c r="D262" s="1114" t="s">
        <v>2961</v>
      </c>
      <c r="E262" s="1114" t="s">
        <v>2962</v>
      </c>
      <c r="F262" s="1115">
        <v>442899</v>
      </c>
      <c r="G262" s="1115">
        <v>1097938</v>
      </c>
      <c r="H262" s="1114" t="s">
        <v>329</v>
      </c>
      <c r="I262" s="1114" t="s">
        <v>773</v>
      </c>
      <c r="J262" s="1114" t="s">
        <v>2954</v>
      </c>
      <c r="K262" s="1101"/>
      <c r="L262" s="1114" t="s">
        <v>2903</v>
      </c>
      <c r="M262" s="1114" t="s">
        <v>2903</v>
      </c>
      <c r="N262" s="1114" t="s">
        <v>2903</v>
      </c>
      <c r="O262" s="1114" t="s">
        <v>2903</v>
      </c>
      <c r="P262" s="1114" t="s">
        <v>2903</v>
      </c>
      <c r="Q262" s="1102"/>
      <c r="R262" s="1115" t="s">
        <v>2903</v>
      </c>
      <c r="S262" s="1116" t="s">
        <v>2903</v>
      </c>
      <c r="T262" s="1102"/>
      <c r="U262" s="1115" t="s">
        <v>2903</v>
      </c>
      <c r="V262" s="1116" t="s">
        <v>2903</v>
      </c>
      <c r="W262" s="1108"/>
      <c r="X262" s="1115" t="s">
        <v>2903</v>
      </c>
      <c r="Y262" s="1116" t="s">
        <v>2903</v>
      </c>
      <c r="Z262" s="1104"/>
      <c r="AA262" s="1115" t="s">
        <v>2903</v>
      </c>
      <c r="AB262" s="1116" t="s">
        <v>2903</v>
      </c>
      <c r="AC262" s="1104"/>
      <c r="AD262" s="1115" t="s">
        <v>2903</v>
      </c>
      <c r="AE262" s="1116" t="s">
        <v>2903</v>
      </c>
    </row>
    <row r="263" spans="3:31" x14ac:dyDescent="0.4">
      <c r="C263" s="2837"/>
      <c r="D263" s="1114" t="s">
        <v>2955</v>
      </c>
      <c r="E263" s="1114" t="s">
        <v>2963</v>
      </c>
      <c r="F263" s="1115">
        <v>424452</v>
      </c>
      <c r="G263" s="1115">
        <v>1095218</v>
      </c>
      <c r="H263" s="1114" t="s">
        <v>329</v>
      </c>
      <c r="I263" s="1114" t="s">
        <v>778</v>
      </c>
      <c r="J263" s="1114" t="s">
        <v>2964</v>
      </c>
      <c r="K263" s="1101"/>
      <c r="L263" s="1114" t="s">
        <v>2903</v>
      </c>
      <c r="M263" s="1114" t="s">
        <v>2903</v>
      </c>
      <c r="N263" s="1114" t="s">
        <v>2903</v>
      </c>
      <c r="O263" s="1114" t="s">
        <v>2903</v>
      </c>
      <c r="P263" s="1114" t="s">
        <v>2903</v>
      </c>
      <c r="Q263" s="1102"/>
      <c r="R263" s="1115" t="s">
        <v>2903</v>
      </c>
      <c r="S263" s="1116" t="s">
        <v>2903</v>
      </c>
      <c r="T263" s="1102"/>
      <c r="U263" s="1115" t="s">
        <v>2903</v>
      </c>
      <c r="V263" s="1116" t="s">
        <v>2903</v>
      </c>
      <c r="W263" s="1108"/>
      <c r="X263" s="1115" t="s">
        <v>2903</v>
      </c>
      <c r="Y263" s="1116" t="s">
        <v>2903</v>
      </c>
      <c r="Z263" s="1104"/>
      <c r="AA263" s="1115" t="s">
        <v>2903</v>
      </c>
      <c r="AB263" s="1116" t="s">
        <v>2903</v>
      </c>
      <c r="AC263" s="1104"/>
      <c r="AD263" s="1115" t="s">
        <v>2903</v>
      </c>
      <c r="AE263" s="1116" t="s">
        <v>2903</v>
      </c>
    </row>
    <row r="264" spans="3:31" x14ac:dyDescent="0.4">
      <c r="C264" s="2837"/>
      <c r="D264" s="1114" t="s">
        <v>2955</v>
      </c>
      <c r="E264" s="1114" t="s">
        <v>2965</v>
      </c>
      <c r="F264" s="1115">
        <v>424914</v>
      </c>
      <c r="G264" s="1115">
        <v>1093895</v>
      </c>
      <c r="H264" s="1114" t="s">
        <v>329</v>
      </c>
      <c r="I264" s="1114" t="s">
        <v>778</v>
      </c>
      <c r="J264" s="1114" t="s">
        <v>2964</v>
      </c>
      <c r="K264" s="1101"/>
      <c r="L264" s="1114" t="s">
        <v>2903</v>
      </c>
      <c r="M264" s="1114" t="s">
        <v>2903</v>
      </c>
      <c r="N264" s="1114" t="s">
        <v>2903</v>
      </c>
      <c r="O264" s="1114" t="s">
        <v>2903</v>
      </c>
      <c r="P264" s="1114" t="s">
        <v>2903</v>
      </c>
      <c r="Q264" s="1102"/>
      <c r="R264" s="1115" t="s">
        <v>2903</v>
      </c>
      <c r="S264" s="1116" t="s">
        <v>2903</v>
      </c>
      <c r="T264" s="1102"/>
      <c r="U264" s="1115" t="s">
        <v>2903</v>
      </c>
      <c r="V264" s="1116" t="s">
        <v>2903</v>
      </c>
      <c r="W264" s="1108"/>
      <c r="X264" s="1115" t="s">
        <v>2903</v>
      </c>
      <c r="Y264" s="1116" t="s">
        <v>2903</v>
      </c>
      <c r="Z264" s="1104"/>
      <c r="AA264" s="1115" t="s">
        <v>2903</v>
      </c>
      <c r="AB264" s="1116" t="s">
        <v>2903</v>
      </c>
      <c r="AC264" s="1104"/>
      <c r="AD264" s="1115" t="s">
        <v>2903</v>
      </c>
      <c r="AE264" s="1116" t="s">
        <v>2903</v>
      </c>
    </row>
    <row r="265" spans="3:31" x14ac:dyDescent="0.4">
      <c r="C265" s="2835" t="s">
        <v>2966</v>
      </c>
      <c r="D265" s="1105" t="s">
        <v>2967</v>
      </c>
      <c r="E265" s="1105" t="s">
        <v>2968</v>
      </c>
      <c r="F265" s="1106">
        <v>523586</v>
      </c>
      <c r="G265" s="1106">
        <v>1024342</v>
      </c>
      <c r="H265" s="1105" t="s">
        <v>328</v>
      </c>
      <c r="I265" s="1105" t="s">
        <v>769</v>
      </c>
      <c r="J265" s="1105" t="s">
        <v>2966</v>
      </c>
      <c r="K265" s="1101"/>
      <c r="L265" s="1105" t="s">
        <v>2903</v>
      </c>
      <c r="M265" s="1105" t="s">
        <v>2903</v>
      </c>
      <c r="N265" s="1105" t="s">
        <v>2903</v>
      </c>
      <c r="O265" s="1105" t="s">
        <v>2903</v>
      </c>
      <c r="P265" s="1105" t="s">
        <v>2903</v>
      </c>
      <c r="Q265" s="1102"/>
      <c r="R265" s="1106" t="s">
        <v>2903</v>
      </c>
      <c r="S265" s="1107" t="s">
        <v>2903</v>
      </c>
      <c r="T265" s="1102"/>
      <c r="U265" s="1106" t="s">
        <v>2903</v>
      </c>
      <c r="V265" s="1107" t="s">
        <v>2903</v>
      </c>
      <c r="W265" s="1108"/>
      <c r="X265" s="1106" t="s">
        <v>2903</v>
      </c>
      <c r="Y265" s="1107" t="s">
        <v>2903</v>
      </c>
      <c r="Z265" s="1104"/>
      <c r="AA265" s="1106" t="s">
        <v>2903</v>
      </c>
      <c r="AB265" s="1107" t="s">
        <v>2903</v>
      </c>
      <c r="AC265" s="1104"/>
      <c r="AD265" s="1106" t="s">
        <v>2903</v>
      </c>
      <c r="AE265" s="1107" t="s">
        <v>2903</v>
      </c>
    </row>
    <row r="266" spans="3:31" x14ac:dyDescent="0.4">
      <c r="C266" s="2835"/>
      <c r="D266" s="1105" t="s">
        <v>2969</v>
      </c>
      <c r="E266" s="1105" t="s">
        <v>2970</v>
      </c>
      <c r="F266" s="1106">
        <v>519598</v>
      </c>
      <c r="G266" s="1106">
        <v>1024524</v>
      </c>
      <c r="H266" s="1105" t="s">
        <v>328</v>
      </c>
      <c r="I266" s="1105" t="s">
        <v>769</v>
      </c>
      <c r="J266" s="1105" t="s">
        <v>2966</v>
      </c>
      <c r="K266" s="1101"/>
      <c r="L266" s="1105" t="s">
        <v>2903</v>
      </c>
      <c r="M266" s="1105" t="s">
        <v>2903</v>
      </c>
      <c r="N266" s="1105" t="s">
        <v>2903</v>
      </c>
      <c r="O266" s="1105" t="s">
        <v>2903</v>
      </c>
      <c r="P266" s="1105" t="s">
        <v>2903</v>
      </c>
      <c r="Q266" s="1102"/>
      <c r="R266" s="1106" t="s">
        <v>2903</v>
      </c>
      <c r="S266" s="1107" t="s">
        <v>2903</v>
      </c>
      <c r="T266" s="1102"/>
      <c r="U266" s="1106" t="s">
        <v>2903</v>
      </c>
      <c r="V266" s="1107" t="s">
        <v>2903</v>
      </c>
      <c r="W266" s="1108"/>
      <c r="X266" s="1106" t="s">
        <v>2903</v>
      </c>
      <c r="Y266" s="1107" t="s">
        <v>2903</v>
      </c>
      <c r="Z266" s="1104"/>
      <c r="AA266" s="1106" t="s">
        <v>2903</v>
      </c>
      <c r="AB266" s="1107" t="s">
        <v>2903</v>
      </c>
      <c r="AC266" s="1104"/>
      <c r="AD266" s="1106" t="s">
        <v>2903</v>
      </c>
      <c r="AE266" s="1107" t="s">
        <v>2903</v>
      </c>
    </row>
    <row r="267" spans="3:31" x14ac:dyDescent="0.4">
      <c r="C267" s="2835"/>
      <c r="D267" s="1105" t="s">
        <v>2969</v>
      </c>
      <c r="E267" s="1105" t="s">
        <v>2971</v>
      </c>
      <c r="F267" s="1106">
        <v>515570</v>
      </c>
      <c r="G267" s="1106">
        <v>1025242</v>
      </c>
      <c r="H267" s="1105" t="s">
        <v>533</v>
      </c>
      <c r="I267" s="1105" t="s">
        <v>817</v>
      </c>
      <c r="J267" s="1105" t="s">
        <v>2972</v>
      </c>
      <c r="K267" s="1101"/>
      <c r="L267" s="1105" t="s">
        <v>2903</v>
      </c>
      <c r="M267" s="1105" t="s">
        <v>2903</v>
      </c>
      <c r="N267" s="1105" t="s">
        <v>2903</v>
      </c>
      <c r="O267" s="1105" t="s">
        <v>2903</v>
      </c>
      <c r="P267" s="1105" t="s">
        <v>2903</v>
      </c>
      <c r="Q267" s="1102"/>
      <c r="R267" s="1106" t="s">
        <v>2903</v>
      </c>
      <c r="S267" s="1107" t="s">
        <v>2903</v>
      </c>
      <c r="T267" s="1102"/>
      <c r="U267" s="1106" t="s">
        <v>2903</v>
      </c>
      <c r="V267" s="1107" t="s">
        <v>2903</v>
      </c>
      <c r="W267" s="1108"/>
      <c r="X267" s="1106" t="s">
        <v>2903</v>
      </c>
      <c r="Y267" s="1107" t="s">
        <v>2903</v>
      </c>
      <c r="Z267" s="1104"/>
      <c r="AA267" s="1106" t="s">
        <v>2903</v>
      </c>
      <c r="AB267" s="1107" t="s">
        <v>2903</v>
      </c>
      <c r="AC267" s="1104"/>
      <c r="AD267" s="1106" t="s">
        <v>2903</v>
      </c>
      <c r="AE267" s="1107" t="s">
        <v>2903</v>
      </c>
    </row>
    <row r="268" spans="3:31" x14ac:dyDescent="0.4">
      <c r="C268" s="2838" t="s">
        <v>821</v>
      </c>
      <c r="D268" s="1099" t="s">
        <v>2973</v>
      </c>
      <c r="E268" s="1099" t="s">
        <v>2974</v>
      </c>
      <c r="F268" s="1100">
        <v>507465</v>
      </c>
      <c r="G268" s="1100">
        <v>1066603</v>
      </c>
      <c r="H268" s="1099" t="s">
        <v>328</v>
      </c>
      <c r="I268" s="1099" t="s">
        <v>767</v>
      </c>
      <c r="J268" s="1099" t="s">
        <v>2975</v>
      </c>
      <c r="K268" s="1101"/>
      <c r="L268" s="1099" t="s">
        <v>2903</v>
      </c>
      <c r="M268" s="1099" t="s">
        <v>2903</v>
      </c>
      <c r="N268" s="1099" t="s">
        <v>2903</v>
      </c>
      <c r="O268" s="1099" t="s">
        <v>2903</v>
      </c>
      <c r="P268" s="1099" t="s">
        <v>2903</v>
      </c>
      <c r="Q268" s="1102"/>
      <c r="R268" s="1100" t="s">
        <v>2903</v>
      </c>
      <c r="S268" s="1103" t="s">
        <v>2903</v>
      </c>
      <c r="T268" s="1102"/>
      <c r="U268" s="1100" t="s">
        <v>2903</v>
      </c>
      <c r="V268" s="1103" t="s">
        <v>2903</v>
      </c>
      <c r="W268" s="1108"/>
      <c r="X268" s="1100" t="s">
        <v>2903</v>
      </c>
      <c r="Y268" s="1103" t="s">
        <v>2903</v>
      </c>
      <c r="Z268" s="1104"/>
      <c r="AA268" s="1100" t="s">
        <v>2903</v>
      </c>
      <c r="AB268" s="1103" t="s">
        <v>2903</v>
      </c>
      <c r="AC268" s="1104"/>
      <c r="AD268" s="1100" t="s">
        <v>2903</v>
      </c>
      <c r="AE268" s="1103" t="s">
        <v>2903</v>
      </c>
    </row>
    <row r="269" spans="3:31" x14ac:dyDescent="0.4">
      <c r="C269" s="2838"/>
      <c r="D269" s="1099" t="s">
        <v>2973</v>
      </c>
      <c r="E269" s="1099" t="s">
        <v>2976</v>
      </c>
      <c r="F269" s="1100">
        <v>494664</v>
      </c>
      <c r="G269" s="1100">
        <v>1067818</v>
      </c>
      <c r="H269" s="1099" t="s">
        <v>328</v>
      </c>
      <c r="I269" s="1099" t="s">
        <v>755</v>
      </c>
      <c r="J269" s="1099" t="s">
        <v>2977</v>
      </c>
      <c r="K269" s="1101"/>
      <c r="L269" s="1099" t="s">
        <v>2903</v>
      </c>
      <c r="M269" s="1099" t="s">
        <v>2903</v>
      </c>
      <c r="N269" s="1099" t="s">
        <v>2903</v>
      </c>
      <c r="O269" s="1099" t="s">
        <v>2903</v>
      </c>
      <c r="P269" s="1099" t="s">
        <v>2903</v>
      </c>
      <c r="Q269" s="1102"/>
      <c r="R269" s="1100" t="s">
        <v>2903</v>
      </c>
      <c r="S269" s="1103" t="s">
        <v>2903</v>
      </c>
      <c r="T269" s="1102"/>
      <c r="U269" s="1100" t="s">
        <v>2903</v>
      </c>
      <c r="V269" s="1103" t="s">
        <v>2903</v>
      </c>
      <c r="W269" s="1108"/>
      <c r="X269" s="1100" t="s">
        <v>2903</v>
      </c>
      <c r="Y269" s="1103" t="s">
        <v>2903</v>
      </c>
      <c r="Z269" s="1104"/>
      <c r="AA269" s="1100" t="s">
        <v>2903</v>
      </c>
      <c r="AB269" s="1103" t="s">
        <v>2903</v>
      </c>
      <c r="AC269" s="1104"/>
      <c r="AD269" s="1100" t="s">
        <v>2903</v>
      </c>
      <c r="AE269" s="1103" t="s">
        <v>2903</v>
      </c>
    </row>
    <row r="270" spans="3:31" x14ac:dyDescent="0.4">
      <c r="C270" s="2838"/>
      <c r="D270" s="1099" t="s">
        <v>2973</v>
      </c>
      <c r="E270" s="1099" t="s">
        <v>2978</v>
      </c>
      <c r="F270" s="1100">
        <v>470906</v>
      </c>
      <c r="G270" s="1100">
        <v>1067483</v>
      </c>
      <c r="H270" s="1099" t="s">
        <v>328</v>
      </c>
      <c r="I270" s="1099" t="s">
        <v>762</v>
      </c>
      <c r="J270" s="1099" t="s">
        <v>2979</v>
      </c>
      <c r="K270" s="1101"/>
      <c r="L270" s="1099" t="s">
        <v>2903</v>
      </c>
      <c r="M270" s="1099" t="s">
        <v>2903</v>
      </c>
      <c r="N270" s="1099" t="s">
        <v>2903</v>
      </c>
      <c r="O270" s="1099" t="s">
        <v>2903</v>
      </c>
      <c r="P270" s="1099" t="s">
        <v>2903</v>
      </c>
      <c r="Q270" s="1102"/>
      <c r="R270" s="1100" t="s">
        <v>2903</v>
      </c>
      <c r="S270" s="1103" t="s">
        <v>2903</v>
      </c>
      <c r="T270" s="1102"/>
      <c r="U270" s="1100" t="s">
        <v>2903</v>
      </c>
      <c r="V270" s="1103" t="s">
        <v>2903</v>
      </c>
      <c r="W270" s="1108"/>
      <c r="X270" s="1100" t="s">
        <v>2903</v>
      </c>
      <c r="Y270" s="1103" t="s">
        <v>2903</v>
      </c>
      <c r="Z270" s="1104"/>
      <c r="AA270" s="1100" t="s">
        <v>2903</v>
      </c>
      <c r="AB270" s="1103" t="s">
        <v>2903</v>
      </c>
      <c r="AC270" s="1104"/>
      <c r="AD270" s="1100" t="s">
        <v>2903</v>
      </c>
      <c r="AE270" s="1103" t="s">
        <v>2903</v>
      </c>
    </row>
    <row r="271" spans="3:31" x14ac:dyDescent="0.4">
      <c r="C271" s="2838"/>
      <c r="D271" s="1099" t="s">
        <v>2980</v>
      </c>
      <c r="E271" s="1099" t="s">
        <v>2981</v>
      </c>
      <c r="F271" s="1100">
        <v>479275</v>
      </c>
      <c r="G271" s="1100">
        <v>1081225</v>
      </c>
      <c r="H271" s="1099" t="s">
        <v>328</v>
      </c>
      <c r="I271" s="1099" t="s">
        <v>762</v>
      </c>
      <c r="J271" s="1099" t="s">
        <v>2982</v>
      </c>
      <c r="K271" s="1101"/>
      <c r="L271" s="1099" t="s">
        <v>2903</v>
      </c>
      <c r="M271" s="1099" t="s">
        <v>2903</v>
      </c>
      <c r="N271" s="1099" t="s">
        <v>2903</v>
      </c>
      <c r="O271" s="1099" t="s">
        <v>2903</v>
      </c>
      <c r="P271" s="1099" t="s">
        <v>2903</v>
      </c>
      <c r="Q271" s="1102"/>
      <c r="R271" s="1100" t="s">
        <v>2903</v>
      </c>
      <c r="S271" s="1103" t="s">
        <v>2903</v>
      </c>
      <c r="T271" s="1102"/>
      <c r="U271" s="1100" t="s">
        <v>2903</v>
      </c>
      <c r="V271" s="1103" t="s">
        <v>2903</v>
      </c>
      <c r="W271" s="1108"/>
      <c r="X271" s="1100" t="s">
        <v>2903</v>
      </c>
      <c r="Y271" s="1103" t="s">
        <v>2903</v>
      </c>
      <c r="Z271" s="1104"/>
      <c r="AA271" s="1100" t="s">
        <v>2903</v>
      </c>
      <c r="AB271" s="1103" t="s">
        <v>2903</v>
      </c>
      <c r="AC271" s="1104"/>
      <c r="AD271" s="1100" t="s">
        <v>2903</v>
      </c>
      <c r="AE271" s="1103" t="s">
        <v>2903</v>
      </c>
    </row>
    <row r="272" spans="3:31" x14ac:dyDescent="0.4">
      <c r="C272" s="2838"/>
      <c r="D272" s="1099" t="s">
        <v>2980</v>
      </c>
      <c r="E272" s="1099" t="s">
        <v>2983</v>
      </c>
      <c r="F272" s="1100">
        <v>464126</v>
      </c>
      <c r="G272" s="1100">
        <v>1080033</v>
      </c>
      <c r="H272" s="1099" t="s">
        <v>328</v>
      </c>
      <c r="I272" s="1099" t="s">
        <v>762</v>
      </c>
      <c r="J272" s="1099" t="s">
        <v>2979</v>
      </c>
      <c r="K272" s="1101"/>
      <c r="L272" s="1099" t="s">
        <v>2903</v>
      </c>
      <c r="M272" s="1099" t="s">
        <v>2903</v>
      </c>
      <c r="N272" s="1099" t="s">
        <v>2903</v>
      </c>
      <c r="O272" s="1099" t="s">
        <v>2903</v>
      </c>
      <c r="P272" s="1099" t="s">
        <v>2903</v>
      </c>
      <c r="Q272" s="1102"/>
      <c r="R272" s="1100" t="s">
        <v>2903</v>
      </c>
      <c r="S272" s="1103" t="s">
        <v>2903</v>
      </c>
      <c r="T272" s="1102"/>
      <c r="U272" s="1100" t="s">
        <v>2903</v>
      </c>
      <c r="V272" s="1103" t="s">
        <v>2903</v>
      </c>
      <c r="W272" s="1108"/>
      <c r="X272" s="1100" t="s">
        <v>2903</v>
      </c>
      <c r="Y272" s="1103" t="s">
        <v>2903</v>
      </c>
      <c r="Z272" s="1104"/>
      <c r="AA272" s="1100" t="s">
        <v>2903</v>
      </c>
      <c r="AB272" s="1103" t="s">
        <v>2903</v>
      </c>
      <c r="AC272" s="1104"/>
      <c r="AD272" s="1100" t="s">
        <v>2903</v>
      </c>
      <c r="AE272" s="1103" t="s">
        <v>2903</v>
      </c>
    </row>
    <row r="273" spans="3:31" x14ac:dyDescent="0.4">
      <c r="C273" s="2833" t="s">
        <v>2984</v>
      </c>
      <c r="D273" s="1121" t="s">
        <v>2985</v>
      </c>
      <c r="E273" s="1121" t="s">
        <v>2986</v>
      </c>
      <c r="F273" s="1122">
        <v>521484</v>
      </c>
      <c r="G273" s="1122">
        <v>1056755</v>
      </c>
      <c r="H273" s="1121" t="s">
        <v>328</v>
      </c>
      <c r="I273" s="1121" t="s">
        <v>767</v>
      </c>
      <c r="J273" s="1121" t="s">
        <v>2987</v>
      </c>
      <c r="K273" s="1111"/>
      <c r="L273" s="1121">
        <v>5</v>
      </c>
      <c r="M273" s="1121">
        <v>5</v>
      </c>
      <c r="N273" s="1121">
        <v>0</v>
      </c>
      <c r="O273" s="1123">
        <v>100</v>
      </c>
      <c r="P273" s="1123">
        <v>1</v>
      </c>
      <c r="Q273" s="1102"/>
      <c r="R273" s="1122">
        <v>2</v>
      </c>
      <c r="S273" s="1124">
        <v>1</v>
      </c>
      <c r="T273" s="1112"/>
      <c r="U273" s="1122">
        <v>96.8</v>
      </c>
      <c r="V273" s="1124">
        <v>1</v>
      </c>
      <c r="W273" s="1108"/>
      <c r="X273" s="1122">
        <v>0.08</v>
      </c>
      <c r="Y273" s="1124">
        <v>1</v>
      </c>
      <c r="Z273" s="1108"/>
      <c r="AA273" s="1122">
        <v>8.3000000000000007</v>
      </c>
      <c r="AB273" s="1122">
        <v>1</v>
      </c>
      <c r="AC273" s="1122"/>
      <c r="AD273" s="1122">
        <v>18.2</v>
      </c>
      <c r="AE273" s="1122">
        <v>1</v>
      </c>
    </row>
    <row r="274" spans="3:31" x14ac:dyDescent="0.4">
      <c r="C274" s="2833"/>
      <c r="D274" s="1121" t="s">
        <v>2985</v>
      </c>
      <c r="E274" s="1121" t="s">
        <v>2988</v>
      </c>
      <c r="F274" s="1122">
        <v>520293</v>
      </c>
      <c r="G274" s="1122">
        <v>1055374</v>
      </c>
      <c r="H274" s="1121" t="s">
        <v>328</v>
      </c>
      <c r="I274" s="1121" t="s">
        <v>767</v>
      </c>
      <c r="J274" s="1121" t="s">
        <v>2987</v>
      </c>
      <c r="K274" s="1111"/>
      <c r="L274" s="1121">
        <v>5</v>
      </c>
      <c r="M274" s="1121">
        <v>5</v>
      </c>
      <c r="N274" s="1121">
        <v>0</v>
      </c>
      <c r="O274" s="1123">
        <v>100</v>
      </c>
      <c r="P274" s="1123">
        <v>1</v>
      </c>
      <c r="Q274" s="1102"/>
      <c r="R274" s="1122">
        <v>2.6</v>
      </c>
      <c r="S274" s="1124">
        <v>1</v>
      </c>
      <c r="T274" s="1112"/>
      <c r="U274" s="1122">
        <v>97.4</v>
      </c>
      <c r="V274" s="1124">
        <v>1</v>
      </c>
      <c r="W274" s="1108"/>
      <c r="X274" s="1122">
        <v>0.19</v>
      </c>
      <c r="Y274" s="1124">
        <v>1</v>
      </c>
      <c r="Z274" s="1108"/>
      <c r="AA274" s="1122">
        <v>8.1999999999999993</v>
      </c>
      <c r="AB274" s="1122">
        <v>1</v>
      </c>
      <c r="AC274" s="1122"/>
      <c r="AD274" s="1122">
        <v>3.4</v>
      </c>
      <c r="AE274" s="1122">
        <v>1</v>
      </c>
    </row>
    <row r="275" spans="3:31" x14ac:dyDescent="0.4">
      <c r="C275" s="2833"/>
      <c r="D275" s="1121" t="s">
        <v>2985</v>
      </c>
      <c r="E275" s="1121" t="s">
        <v>2989</v>
      </c>
      <c r="F275" s="1122">
        <v>504072</v>
      </c>
      <c r="G275" s="1122">
        <v>1043116</v>
      </c>
      <c r="H275" s="1121" t="s">
        <v>533</v>
      </c>
      <c r="I275" s="1121" t="s">
        <v>818</v>
      </c>
      <c r="J275" s="1121" t="s">
        <v>2984</v>
      </c>
      <c r="K275" s="1111"/>
      <c r="L275" s="1121">
        <v>5</v>
      </c>
      <c r="M275" s="1121">
        <v>4</v>
      </c>
      <c r="N275" s="1121">
        <v>1</v>
      </c>
      <c r="O275" s="1123">
        <v>80</v>
      </c>
      <c r="P275" s="1123">
        <v>1</v>
      </c>
      <c r="Q275" s="1102"/>
      <c r="R275" s="1122">
        <v>3.2</v>
      </c>
      <c r="S275" s="1124">
        <v>1</v>
      </c>
      <c r="T275" s="1112"/>
      <c r="U275" s="1122">
        <v>101</v>
      </c>
      <c r="V275" s="1124">
        <v>1</v>
      </c>
      <c r="W275" s="1108"/>
      <c r="X275" s="1122">
        <v>7.0000000000000007E-2</v>
      </c>
      <c r="Y275" s="1124">
        <v>1</v>
      </c>
      <c r="Z275" s="1108"/>
      <c r="AA275" s="1122">
        <v>8.5</v>
      </c>
      <c r="AB275" s="1122">
        <v>1</v>
      </c>
      <c r="AC275" s="1122"/>
      <c r="AD275" s="1122">
        <v>3.4</v>
      </c>
      <c r="AE275" s="1122">
        <v>1</v>
      </c>
    </row>
    <row r="276" spans="3:31" x14ac:dyDescent="0.4">
      <c r="C276" s="2833"/>
      <c r="D276" s="1121" t="s">
        <v>2985</v>
      </c>
      <c r="E276" s="1121" t="s">
        <v>2990</v>
      </c>
      <c r="F276" s="1122">
        <v>495894</v>
      </c>
      <c r="G276" s="1122">
        <v>1037499</v>
      </c>
      <c r="H276" s="1121" t="s">
        <v>533</v>
      </c>
      <c r="I276" s="1121" t="s">
        <v>818</v>
      </c>
      <c r="J276" s="1121" t="s">
        <v>2984</v>
      </c>
      <c r="K276" s="1111"/>
      <c r="L276" s="1121">
        <v>5</v>
      </c>
      <c r="M276" s="1121">
        <v>3</v>
      </c>
      <c r="N276" s="1121">
        <v>2</v>
      </c>
      <c r="O276" s="1123">
        <v>60</v>
      </c>
      <c r="P276" s="1123">
        <v>0</v>
      </c>
      <c r="Q276" s="1102"/>
      <c r="R276" s="1122">
        <v>3.3</v>
      </c>
      <c r="S276" s="1124">
        <v>1</v>
      </c>
      <c r="T276" s="1112"/>
      <c r="U276" s="1122">
        <v>109</v>
      </c>
      <c r="V276" s="1124">
        <v>1</v>
      </c>
      <c r="W276" s="1108"/>
      <c r="X276" s="1122">
        <v>0.11</v>
      </c>
      <c r="Y276" s="1124">
        <v>1</v>
      </c>
      <c r="Z276" s="1108"/>
      <c r="AA276" s="1122">
        <v>8.6999999999999993</v>
      </c>
      <c r="AB276" s="1122">
        <v>0</v>
      </c>
      <c r="AC276" s="1122"/>
      <c r="AD276" s="1122">
        <v>3.4</v>
      </c>
      <c r="AE276" s="1122">
        <v>1</v>
      </c>
    </row>
    <row r="277" spans="3:31" x14ac:dyDescent="0.4">
      <c r="C277" s="2833"/>
      <c r="D277" s="1121" t="s">
        <v>2991</v>
      </c>
      <c r="E277" s="1121" t="s">
        <v>2992</v>
      </c>
      <c r="F277" s="1122">
        <v>526378</v>
      </c>
      <c r="G277" s="1122">
        <v>1049217</v>
      </c>
      <c r="H277" s="1121" t="s">
        <v>328</v>
      </c>
      <c r="I277" s="1121" t="s">
        <v>2993</v>
      </c>
      <c r="J277" s="1121" t="s">
        <v>2994</v>
      </c>
      <c r="K277" s="1111"/>
      <c r="L277" s="1121">
        <v>5</v>
      </c>
      <c r="M277" s="1121">
        <v>5</v>
      </c>
      <c r="N277" s="1121">
        <v>0</v>
      </c>
      <c r="O277" s="1123">
        <v>100</v>
      </c>
      <c r="P277" s="1123">
        <v>1</v>
      </c>
      <c r="Q277" s="1102"/>
      <c r="R277" s="1122">
        <v>2</v>
      </c>
      <c r="S277" s="1124">
        <v>1</v>
      </c>
      <c r="T277" s="1112"/>
      <c r="U277" s="1122">
        <v>104</v>
      </c>
      <c r="V277" s="1124">
        <v>1</v>
      </c>
      <c r="W277" s="1108"/>
      <c r="X277" s="1122">
        <v>0.1</v>
      </c>
      <c r="Y277" s="1124">
        <v>1</v>
      </c>
      <c r="Z277" s="1108"/>
      <c r="AA277" s="1122">
        <v>8.1</v>
      </c>
      <c r="AB277" s="1122">
        <v>1</v>
      </c>
      <c r="AC277" s="1122"/>
      <c r="AD277" s="1122">
        <v>3.4</v>
      </c>
      <c r="AE277" s="1122">
        <v>1</v>
      </c>
    </row>
    <row r="278" spans="3:31" x14ac:dyDescent="0.4">
      <c r="C278" s="2832" t="s">
        <v>2996</v>
      </c>
      <c r="D278" s="1125" t="s">
        <v>2997</v>
      </c>
      <c r="E278" s="1126" t="s">
        <v>2998</v>
      </c>
      <c r="F278" s="1127">
        <v>506671.89854899998</v>
      </c>
      <c r="G278" s="1127">
        <v>1092705.08678</v>
      </c>
      <c r="H278" s="1125" t="s">
        <v>330</v>
      </c>
      <c r="I278" s="1126" t="s">
        <v>330</v>
      </c>
      <c r="J278" s="1126" t="s">
        <v>2999</v>
      </c>
      <c r="K278" s="1101"/>
      <c r="L278" s="1126" t="s">
        <v>2903</v>
      </c>
      <c r="M278" s="1126" t="s">
        <v>2903</v>
      </c>
      <c r="N278" s="1126" t="s">
        <v>2903</v>
      </c>
      <c r="O278" s="1129" t="s">
        <v>2903</v>
      </c>
      <c r="P278" s="1126" t="s">
        <v>2903</v>
      </c>
      <c r="Q278" s="1102"/>
      <c r="R278" s="1127" t="s">
        <v>2903</v>
      </c>
      <c r="S278" s="1131" t="s">
        <v>2903</v>
      </c>
      <c r="T278" s="1132"/>
      <c r="U278" s="1127" t="s">
        <v>2903</v>
      </c>
      <c r="V278" s="1131" t="s">
        <v>2903</v>
      </c>
      <c r="W278" s="1133"/>
      <c r="X278" s="1127" t="s">
        <v>2903</v>
      </c>
      <c r="Y278" s="1131" t="s">
        <v>2903</v>
      </c>
      <c r="Z278" s="1133"/>
      <c r="AA278" s="1127" t="s">
        <v>2903</v>
      </c>
      <c r="AB278" s="1131" t="s">
        <v>2903</v>
      </c>
      <c r="AC278" s="1133"/>
      <c r="AD278" s="1127" t="s">
        <v>2903</v>
      </c>
      <c r="AE278" s="1131" t="s">
        <v>2903</v>
      </c>
    </row>
    <row r="279" spans="3:31" x14ac:dyDescent="0.4">
      <c r="C279" s="2848"/>
      <c r="D279" s="1125" t="s">
        <v>3000</v>
      </c>
      <c r="E279" s="1126" t="s">
        <v>3001</v>
      </c>
      <c r="F279" s="1127">
        <v>499318.84782000002</v>
      </c>
      <c r="G279" s="1127">
        <v>1087030.56436</v>
      </c>
      <c r="H279" s="1125" t="s">
        <v>330</v>
      </c>
      <c r="I279" s="1126" t="s">
        <v>330</v>
      </c>
      <c r="J279" s="1126" t="s">
        <v>3002</v>
      </c>
      <c r="K279" s="1101"/>
      <c r="L279" s="1126" t="s">
        <v>2903</v>
      </c>
      <c r="M279" s="1126" t="s">
        <v>2903</v>
      </c>
      <c r="N279" s="1126" t="s">
        <v>2903</v>
      </c>
      <c r="O279" s="1129" t="s">
        <v>2903</v>
      </c>
      <c r="P279" s="1126" t="s">
        <v>2903</v>
      </c>
      <c r="Q279" s="1102"/>
      <c r="R279" s="1127" t="s">
        <v>2903</v>
      </c>
      <c r="S279" s="1131" t="s">
        <v>2903</v>
      </c>
      <c r="T279" s="1132"/>
      <c r="U279" s="1127" t="s">
        <v>2903</v>
      </c>
      <c r="V279" s="1131" t="s">
        <v>2903</v>
      </c>
      <c r="W279" s="1133"/>
      <c r="X279" s="1127" t="s">
        <v>2903</v>
      </c>
      <c r="Y279" s="1131" t="s">
        <v>2903</v>
      </c>
      <c r="Z279" s="1133"/>
      <c r="AA279" s="1127" t="s">
        <v>2903</v>
      </c>
      <c r="AB279" s="1131" t="s">
        <v>2903</v>
      </c>
      <c r="AC279" s="1133"/>
      <c r="AD279" s="1127" t="s">
        <v>2903</v>
      </c>
      <c r="AE279" s="1131" t="s">
        <v>2903</v>
      </c>
    </row>
    <row r="280" spans="3:31" x14ac:dyDescent="0.4">
      <c r="C280" s="2848"/>
      <c r="D280" s="1125" t="s">
        <v>3000</v>
      </c>
      <c r="E280" s="1126" t="s">
        <v>3003</v>
      </c>
      <c r="F280" s="1127">
        <v>505246</v>
      </c>
      <c r="G280" s="1127">
        <v>1087450</v>
      </c>
      <c r="H280" s="1125" t="s">
        <v>330</v>
      </c>
      <c r="I280" s="1126" t="s">
        <v>793</v>
      </c>
      <c r="J280" s="1126" t="s">
        <v>798</v>
      </c>
      <c r="K280" s="1104"/>
      <c r="L280" s="1126" t="s">
        <v>2903</v>
      </c>
      <c r="M280" s="1126" t="s">
        <v>2903</v>
      </c>
      <c r="N280" s="1126" t="s">
        <v>2903</v>
      </c>
      <c r="O280" s="1129" t="s">
        <v>2903</v>
      </c>
      <c r="P280" s="1126" t="s">
        <v>2903</v>
      </c>
      <c r="Q280" s="1102"/>
      <c r="R280" s="1127" t="s">
        <v>2903</v>
      </c>
      <c r="S280" s="1131" t="s">
        <v>2903</v>
      </c>
      <c r="T280" s="1132"/>
      <c r="U280" s="1127" t="s">
        <v>2903</v>
      </c>
      <c r="V280" s="1131" t="s">
        <v>2903</v>
      </c>
      <c r="W280" s="1133"/>
      <c r="X280" s="1127" t="s">
        <v>2903</v>
      </c>
      <c r="Y280" s="1131" t="s">
        <v>2903</v>
      </c>
      <c r="Z280" s="1133"/>
      <c r="AA280" s="1127" t="s">
        <v>2903</v>
      </c>
      <c r="AB280" s="1131" t="s">
        <v>2903</v>
      </c>
      <c r="AC280" s="1133"/>
      <c r="AD280" s="1127" t="s">
        <v>2903</v>
      </c>
      <c r="AE280" s="1131" t="s">
        <v>2903</v>
      </c>
    </row>
    <row r="281" spans="3:31" x14ac:dyDescent="0.4">
      <c r="C281" s="2848"/>
      <c r="D281" s="1125" t="s">
        <v>3004</v>
      </c>
      <c r="E281" s="1126" t="s">
        <v>3005</v>
      </c>
      <c r="F281" s="1127">
        <v>514164.19604399998</v>
      </c>
      <c r="G281" s="1127">
        <v>1084516.13619</v>
      </c>
      <c r="H281" s="1125" t="s">
        <v>330</v>
      </c>
      <c r="I281" s="1126" t="s">
        <v>330</v>
      </c>
      <c r="J281" s="1126" t="s">
        <v>3006</v>
      </c>
      <c r="K281" s="1104"/>
      <c r="L281" s="1126" t="s">
        <v>2903</v>
      </c>
      <c r="M281" s="1126" t="s">
        <v>2903</v>
      </c>
      <c r="N281" s="1126" t="s">
        <v>2903</v>
      </c>
      <c r="O281" s="1129" t="s">
        <v>2903</v>
      </c>
      <c r="P281" s="1126" t="s">
        <v>2903</v>
      </c>
      <c r="Q281" s="1102"/>
      <c r="R281" s="1127" t="s">
        <v>2903</v>
      </c>
      <c r="S281" s="1131" t="s">
        <v>2903</v>
      </c>
      <c r="T281" s="1132"/>
      <c r="U281" s="1127" t="s">
        <v>2903</v>
      </c>
      <c r="V281" s="1131" t="s">
        <v>2903</v>
      </c>
      <c r="W281" s="1133"/>
      <c r="X281" s="1127" t="s">
        <v>2903</v>
      </c>
      <c r="Y281" s="1131" t="s">
        <v>2903</v>
      </c>
      <c r="Z281" s="1133"/>
      <c r="AA281" s="1127" t="s">
        <v>2903</v>
      </c>
      <c r="AB281" s="1131" t="s">
        <v>2903</v>
      </c>
      <c r="AC281" s="1133"/>
      <c r="AD281" s="1127" t="s">
        <v>2903</v>
      </c>
      <c r="AE281" s="1131" t="s">
        <v>2903</v>
      </c>
    </row>
    <row r="282" spans="3:31" ht="25.5" x14ac:dyDescent="0.4">
      <c r="C282" s="2848"/>
      <c r="D282" s="1125" t="s">
        <v>3007</v>
      </c>
      <c r="E282" s="1126" t="s">
        <v>3008</v>
      </c>
      <c r="F282" s="1127">
        <v>516802.37727400003</v>
      </c>
      <c r="G282" s="1127">
        <v>1082233.6014099999</v>
      </c>
      <c r="H282" s="1125" t="s">
        <v>330</v>
      </c>
      <c r="I282" s="1126" t="s">
        <v>787</v>
      </c>
      <c r="J282" s="1126" t="s">
        <v>3009</v>
      </c>
      <c r="K282" s="1104"/>
      <c r="L282" s="1126" t="s">
        <v>2903</v>
      </c>
      <c r="M282" s="1126" t="s">
        <v>2903</v>
      </c>
      <c r="N282" s="1126" t="s">
        <v>2903</v>
      </c>
      <c r="O282" s="1129" t="s">
        <v>2903</v>
      </c>
      <c r="P282" s="1126" t="s">
        <v>2903</v>
      </c>
      <c r="Q282" s="1102"/>
      <c r="R282" s="1127" t="s">
        <v>2903</v>
      </c>
      <c r="S282" s="1131" t="s">
        <v>2903</v>
      </c>
      <c r="T282" s="1132"/>
      <c r="U282" s="1127" t="s">
        <v>2903</v>
      </c>
      <c r="V282" s="1131" t="s">
        <v>2903</v>
      </c>
      <c r="W282" s="1133"/>
      <c r="X282" s="1127" t="s">
        <v>2903</v>
      </c>
      <c r="Y282" s="1131" t="s">
        <v>2903</v>
      </c>
      <c r="Z282" s="1133"/>
      <c r="AA282" s="1127" t="s">
        <v>2903</v>
      </c>
      <c r="AB282" s="1131" t="s">
        <v>2903</v>
      </c>
      <c r="AC282" s="1133"/>
      <c r="AD282" s="1127" t="s">
        <v>2903</v>
      </c>
      <c r="AE282" s="1131" t="s">
        <v>2903</v>
      </c>
    </row>
    <row r="283" spans="3:31" x14ac:dyDescent="0.4">
      <c r="C283" s="2848"/>
      <c r="D283" s="1125" t="s">
        <v>3010</v>
      </c>
      <c r="E283" s="1126" t="s">
        <v>3011</v>
      </c>
      <c r="F283" s="1127">
        <v>534974.92869600002</v>
      </c>
      <c r="G283" s="1127">
        <v>1087583.00351</v>
      </c>
      <c r="H283" s="1125" t="s">
        <v>330</v>
      </c>
      <c r="I283" s="1126" t="s">
        <v>789</v>
      </c>
      <c r="J283" s="1126" t="s">
        <v>3012</v>
      </c>
      <c r="K283" s="1104"/>
      <c r="L283" s="1126" t="s">
        <v>2903</v>
      </c>
      <c r="M283" s="1126" t="s">
        <v>2903</v>
      </c>
      <c r="N283" s="1126" t="s">
        <v>2903</v>
      </c>
      <c r="O283" s="1129" t="s">
        <v>2903</v>
      </c>
      <c r="P283" s="1126" t="s">
        <v>2903</v>
      </c>
      <c r="Q283" s="1102"/>
      <c r="R283" s="1127" t="s">
        <v>2903</v>
      </c>
      <c r="S283" s="1131" t="s">
        <v>2903</v>
      </c>
      <c r="T283" s="1132"/>
      <c r="U283" s="1127" t="s">
        <v>2903</v>
      </c>
      <c r="V283" s="1131" t="s">
        <v>2903</v>
      </c>
      <c r="W283" s="1133"/>
      <c r="X283" s="1127" t="s">
        <v>2903</v>
      </c>
      <c r="Y283" s="1131" t="s">
        <v>2903</v>
      </c>
      <c r="Z283" s="1133"/>
      <c r="AA283" s="1127" t="s">
        <v>2903</v>
      </c>
      <c r="AB283" s="1131" t="s">
        <v>2903</v>
      </c>
      <c r="AC283" s="1133"/>
      <c r="AD283" s="1127" t="s">
        <v>2903</v>
      </c>
      <c r="AE283" s="1131" t="s">
        <v>2903</v>
      </c>
    </row>
    <row r="284" spans="3:31" x14ac:dyDescent="0.4">
      <c r="C284" s="2848"/>
      <c r="D284" s="1125" t="s">
        <v>3013</v>
      </c>
      <c r="E284" s="1126" t="s">
        <v>3014</v>
      </c>
      <c r="F284" s="1127">
        <v>538084.02751199994</v>
      </c>
      <c r="G284" s="1127">
        <v>1087094.59916</v>
      </c>
      <c r="H284" s="1125" t="s">
        <v>330</v>
      </c>
      <c r="I284" s="1126" t="s">
        <v>790</v>
      </c>
      <c r="J284" s="1126" t="s">
        <v>3015</v>
      </c>
      <c r="K284" s="1104"/>
      <c r="L284" s="1126" t="s">
        <v>2903</v>
      </c>
      <c r="M284" s="1126" t="s">
        <v>2903</v>
      </c>
      <c r="N284" s="1126" t="s">
        <v>2903</v>
      </c>
      <c r="O284" s="1129" t="s">
        <v>2903</v>
      </c>
      <c r="P284" s="1126" t="s">
        <v>2903</v>
      </c>
      <c r="Q284" s="1102"/>
      <c r="R284" s="1127" t="s">
        <v>2903</v>
      </c>
      <c r="S284" s="1131" t="s">
        <v>2903</v>
      </c>
      <c r="T284" s="1132"/>
      <c r="U284" s="1127" t="s">
        <v>2903</v>
      </c>
      <c r="V284" s="1131" t="s">
        <v>2903</v>
      </c>
      <c r="W284" s="1133"/>
      <c r="X284" s="1127" t="s">
        <v>2903</v>
      </c>
      <c r="Y284" s="1131" t="s">
        <v>2903</v>
      </c>
      <c r="Z284" s="1133"/>
      <c r="AA284" s="1127" t="s">
        <v>2903</v>
      </c>
      <c r="AB284" s="1131" t="s">
        <v>2903</v>
      </c>
      <c r="AC284" s="1133"/>
      <c r="AD284" s="1127" t="s">
        <v>2903</v>
      </c>
      <c r="AE284" s="1131" t="s">
        <v>2903</v>
      </c>
    </row>
    <row r="285" spans="3:31" x14ac:dyDescent="0.4">
      <c r="C285" s="2848"/>
      <c r="D285" s="1125" t="s">
        <v>3016</v>
      </c>
      <c r="E285" s="1126" t="s">
        <v>3017</v>
      </c>
      <c r="F285" s="1127">
        <v>539801</v>
      </c>
      <c r="G285" s="1127">
        <v>1091071</v>
      </c>
      <c r="H285" s="1125" t="s">
        <v>330</v>
      </c>
      <c r="I285" s="1126" t="s">
        <v>790</v>
      </c>
      <c r="J285" s="1126" t="s">
        <v>3015</v>
      </c>
      <c r="K285" s="1104"/>
      <c r="L285" s="1126" t="s">
        <v>2903</v>
      </c>
      <c r="M285" s="1126" t="s">
        <v>2903</v>
      </c>
      <c r="N285" s="1126" t="s">
        <v>2903</v>
      </c>
      <c r="O285" s="1129" t="s">
        <v>2903</v>
      </c>
      <c r="P285" s="1126" t="s">
        <v>2903</v>
      </c>
      <c r="Q285" s="1102"/>
      <c r="R285" s="1127" t="s">
        <v>2903</v>
      </c>
      <c r="S285" s="1131" t="s">
        <v>2903</v>
      </c>
      <c r="T285" s="1132"/>
      <c r="U285" s="1127" t="s">
        <v>2903</v>
      </c>
      <c r="V285" s="1131" t="s">
        <v>2903</v>
      </c>
      <c r="W285" s="1133"/>
      <c r="X285" s="1127" t="s">
        <v>2903</v>
      </c>
      <c r="Y285" s="1131" t="s">
        <v>2903</v>
      </c>
      <c r="Z285" s="1133"/>
      <c r="AA285" s="1127" t="s">
        <v>2903</v>
      </c>
      <c r="AB285" s="1131" t="s">
        <v>2903</v>
      </c>
      <c r="AC285" s="1133"/>
      <c r="AD285" s="1127" t="s">
        <v>2903</v>
      </c>
      <c r="AE285" s="1131" t="s">
        <v>2903</v>
      </c>
    </row>
    <row r="286" spans="3:31" ht="25.5" x14ac:dyDescent="0.4">
      <c r="C286" s="2848"/>
      <c r="D286" s="1125" t="s">
        <v>3018</v>
      </c>
      <c r="E286" s="1126" t="s">
        <v>3019</v>
      </c>
      <c r="F286" s="1127">
        <v>533672.54728499998</v>
      </c>
      <c r="G286" s="1127">
        <v>1096155.5043899999</v>
      </c>
      <c r="H286" s="1125" t="s">
        <v>330</v>
      </c>
      <c r="I286" s="1126" t="s">
        <v>790</v>
      </c>
      <c r="J286" s="1126" t="s">
        <v>790</v>
      </c>
      <c r="K286" s="1104"/>
      <c r="L286" s="1126" t="s">
        <v>2903</v>
      </c>
      <c r="M286" s="1126" t="s">
        <v>2903</v>
      </c>
      <c r="N286" s="1126" t="s">
        <v>2903</v>
      </c>
      <c r="O286" s="1129" t="s">
        <v>2903</v>
      </c>
      <c r="P286" s="1126" t="s">
        <v>2903</v>
      </c>
      <c r="Q286" s="1102"/>
      <c r="R286" s="1127" t="s">
        <v>2903</v>
      </c>
      <c r="S286" s="1131" t="s">
        <v>2903</v>
      </c>
      <c r="T286" s="1132"/>
      <c r="U286" s="1127" t="s">
        <v>2903</v>
      </c>
      <c r="V286" s="1131" t="s">
        <v>2903</v>
      </c>
      <c r="W286" s="1133"/>
      <c r="X286" s="1127" t="s">
        <v>2903</v>
      </c>
      <c r="Y286" s="1131" t="s">
        <v>2903</v>
      </c>
      <c r="Z286" s="1133"/>
      <c r="AA286" s="1127" t="s">
        <v>2903</v>
      </c>
      <c r="AB286" s="1131" t="s">
        <v>2903</v>
      </c>
      <c r="AC286" s="1133"/>
      <c r="AD286" s="1127" t="s">
        <v>2903</v>
      </c>
      <c r="AE286" s="1131" t="s">
        <v>2903</v>
      </c>
    </row>
    <row r="287" spans="3:31" x14ac:dyDescent="0.4">
      <c r="C287" s="2848"/>
      <c r="D287" s="1125" t="s">
        <v>3020</v>
      </c>
      <c r="E287" s="1126" t="s">
        <v>3021</v>
      </c>
      <c r="F287" s="1127">
        <v>515725.17498800001</v>
      </c>
      <c r="G287" s="1127">
        <v>1088402.9497799999</v>
      </c>
      <c r="H287" s="1125" t="s">
        <v>330</v>
      </c>
      <c r="I287" s="1126" t="s">
        <v>787</v>
      </c>
      <c r="J287" s="1126" t="s">
        <v>787</v>
      </c>
      <c r="K287" s="1104"/>
      <c r="L287" s="1126" t="s">
        <v>2903</v>
      </c>
      <c r="M287" s="1126" t="s">
        <v>2903</v>
      </c>
      <c r="N287" s="1126" t="s">
        <v>2903</v>
      </c>
      <c r="O287" s="1129" t="s">
        <v>2903</v>
      </c>
      <c r="P287" s="1126" t="s">
        <v>2903</v>
      </c>
      <c r="Q287" s="1102"/>
      <c r="R287" s="1127" t="s">
        <v>2903</v>
      </c>
      <c r="S287" s="1131" t="s">
        <v>2903</v>
      </c>
      <c r="T287" s="1132"/>
      <c r="U287" s="1127" t="s">
        <v>2903</v>
      </c>
      <c r="V287" s="1131" t="s">
        <v>2903</v>
      </c>
      <c r="W287" s="1133"/>
      <c r="X287" s="1127" t="s">
        <v>2903</v>
      </c>
      <c r="Y287" s="1131" t="s">
        <v>2903</v>
      </c>
      <c r="Z287" s="1133"/>
      <c r="AA287" s="1127" t="s">
        <v>2903</v>
      </c>
      <c r="AB287" s="1131" t="s">
        <v>2903</v>
      </c>
      <c r="AC287" s="1133"/>
      <c r="AD287" s="1127" t="s">
        <v>2903</v>
      </c>
      <c r="AE287" s="1131" t="s">
        <v>2903</v>
      </c>
    </row>
    <row r="288" spans="3:31" x14ac:dyDescent="0.4">
      <c r="C288" s="2848"/>
      <c r="D288" s="1125" t="s">
        <v>3022</v>
      </c>
      <c r="E288" s="1126" t="s">
        <v>3023</v>
      </c>
      <c r="F288" s="1127">
        <v>538321</v>
      </c>
      <c r="G288" s="1127">
        <v>1094946</v>
      </c>
      <c r="H288" s="1125" t="s">
        <v>330</v>
      </c>
      <c r="I288" s="1126" t="s">
        <v>790</v>
      </c>
      <c r="J288" s="1126" t="s">
        <v>790</v>
      </c>
      <c r="K288" s="1101"/>
      <c r="L288" s="1126" t="s">
        <v>2903</v>
      </c>
      <c r="M288" s="1126" t="s">
        <v>2903</v>
      </c>
      <c r="N288" s="1126" t="s">
        <v>2903</v>
      </c>
      <c r="O288" s="1129" t="s">
        <v>2903</v>
      </c>
      <c r="P288" s="1126" t="s">
        <v>2903</v>
      </c>
      <c r="Q288" s="1102"/>
      <c r="R288" s="1127" t="s">
        <v>2903</v>
      </c>
      <c r="S288" s="1131" t="s">
        <v>2903</v>
      </c>
      <c r="T288" s="1132"/>
      <c r="U288" s="1127" t="s">
        <v>2903</v>
      </c>
      <c r="V288" s="1131" t="s">
        <v>2903</v>
      </c>
      <c r="W288" s="1133"/>
      <c r="X288" s="1127" t="s">
        <v>2903</v>
      </c>
      <c r="Y288" s="1131" t="s">
        <v>2903</v>
      </c>
      <c r="Z288" s="1133"/>
      <c r="AA288" s="1127" t="s">
        <v>2903</v>
      </c>
      <c r="AB288" s="1131" t="s">
        <v>2903</v>
      </c>
      <c r="AC288" s="1133"/>
      <c r="AD288" s="1127" t="s">
        <v>2903</v>
      </c>
      <c r="AE288" s="1131" t="s">
        <v>2903</v>
      </c>
    </row>
    <row r="289" spans="3:31" x14ac:dyDescent="0.4">
      <c r="C289" s="2848"/>
      <c r="D289" s="1125" t="s">
        <v>3022</v>
      </c>
      <c r="E289" s="1126" t="s">
        <v>3024</v>
      </c>
      <c r="F289" s="1127">
        <v>551179</v>
      </c>
      <c r="G289" s="1127">
        <v>1117583</v>
      </c>
      <c r="H289" s="1126" t="s">
        <v>334</v>
      </c>
      <c r="I289" s="1126" t="s">
        <v>827</v>
      </c>
      <c r="J289" s="1126" t="s">
        <v>3025</v>
      </c>
      <c r="K289" s="1101"/>
      <c r="L289" s="1126" t="s">
        <v>2903</v>
      </c>
      <c r="M289" s="1126" t="s">
        <v>2903</v>
      </c>
      <c r="N289" s="1126" t="s">
        <v>2903</v>
      </c>
      <c r="O289" s="1129" t="s">
        <v>2903</v>
      </c>
      <c r="P289" s="1126" t="s">
        <v>2903</v>
      </c>
      <c r="Q289" s="1102"/>
      <c r="R289" s="1127" t="s">
        <v>2903</v>
      </c>
      <c r="S289" s="1131" t="s">
        <v>2903</v>
      </c>
      <c r="T289" s="1132"/>
      <c r="U289" s="1127" t="s">
        <v>2903</v>
      </c>
      <c r="V289" s="1131" t="s">
        <v>2903</v>
      </c>
      <c r="W289" s="1133"/>
      <c r="X289" s="1127" t="s">
        <v>2903</v>
      </c>
      <c r="Y289" s="1131" t="s">
        <v>2903</v>
      </c>
      <c r="Z289" s="1133"/>
      <c r="AA289" s="1127" t="s">
        <v>2903</v>
      </c>
      <c r="AB289" s="1131" t="s">
        <v>2903</v>
      </c>
      <c r="AC289" s="1133"/>
      <c r="AD289" s="1127" t="s">
        <v>2903</v>
      </c>
      <c r="AE289" s="1131" t="s">
        <v>2903</v>
      </c>
    </row>
    <row r="290" spans="3:31" x14ac:dyDescent="0.4">
      <c r="C290" s="2848"/>
      <c r="D290" s="1125" t="s">
        <v>3022</v>
      </c>
      <c r="E290" s="1126" t="s">
        <v>3026</v>
      </c>
      <c r="F290" s="1127">
        <v>555993</v>
      </c>
      <c r="G290" s="1127">
        <v>1125844</v>
      </c>
      <c r="H290" s="1126" t="s">
        <v>334</v>
      </c>
      <c r="I290" s="1125" t="s">
        <v>827</v>
      </c>
      <c r="J290" s="1126" t="s">
        <v>3025</v>
      </c>
      <c r="K290" s="1101"/>
      <c r="L290" s="1126" t="s">
        <v>2903</v>
      </c>
      <c r="M290" s="1126" t="s">
        <v>2903</v>
      </c>
      <c r="N290" s="1126" t="s">
        <v>2903</v>
      </c>
      <c r="O290" s="1129" t="s">
        <v>2903</v>
      </c>
      <c r="P290" s="1126" t="s">
        <v>2903</v>
      </c>
      <c r="Q290" s="1102"/>
      <c r="R290" s="1127" t="s">
        <v>2903</v>
      </c>
      <c r="S290" s="1131" t="s">
        <v>2903</v>
      </c>
      <c r="T290" s="1132"/>
      <c r="U290" s="1127" t="s">
        <v>2903</v>
      </c>
      <c r="V290" s="1131" t="s">
        <v>2903</v>
      </c>
      <c r="W290" s="1133"/>
      <c r="X290" s="1127" t="s">
        <v>2903</v>
      </c>
      <c r="Y290" s="1131" t="s">
        <v>2903</v>
      </c>
      <c r="Z290" s="1133"/>
      <c r="AA290" s="1127" t="s">
        <v>2903</v>
      </c>
      <c r="AB290" s="1131" t="s">
        <v>2903</v>
      </c>
      <c r="AC290" s="1133"/>
      <c r="AD290" s="1127" t="s">
        <v>2903</v>
      </c>
      <c r="AE290" s="1131" t="s">
        <v>2903</v>
      </c>
    </row>
    <row r="291" spans="3:31" x14ac:dyDescent="0.4">
      <c r="C291" s="2851" t="s">
        <v>3027</v>
      </c>
      <c r="D291" s="1159" t="s">
        <v>3028</v>
      </c>
      <c r="E291" s="1160" t="s">
        <v>3029</v>
      </c>
      <c r="F291" s="1161">
        <v>564448</v>
      </c>
      <c r="G291" s="1161">
        <v>1114320</v>
      </c>
      <c r="H291" s="1161" t="s">
        <v>334</v>
      </c>
      <c r="I291" s="1161" t="s">
        <v>829</v>
      </c>
      <c r="J291" s="1161" t="s">
        <v>3030</v>
      </c>
      <c r="K291" s="1111"/>
      <c r="L291" s="1161">
        <v>4</v>
      </c>
      <c r="M291" s="1161">
        <v>3</v>
      </c>
      <c r="N291" s="1161">
        <v>1</v>
      </c>
      <c r="O291" s="1161">
        <v>75</v>
      </c>
      <c r="P291" s="1161">
        <v>0</v>
      </c>
      <c r="Q291" s="1206"/>
      <c r="R291" s="1161">
        <v>17.5</v>
      </c>
      <c r="S291" s="1163">
        <v>0</v>
      </c>
      <c r="T291" s="1206"/>
      <c r="U291" s="1161">
        <v>88.4</v>
      </c>
      <c r="V291" s="1163">
        <v>1</v>
      </c>
      <c r="W291" s="1206"/>
      <c r="X291" s="1161">
        <v>0.1</v>
      </c>
      <c r="Y291" s="1163">
        <v>1</v>
      </c>
      <c r="Z291" s="1206"/>
      <c r="AA291" s="1161">
        <v>8.5</v>
      </c>
      <c r="AB291" s="1163">
        <v>1</v>
      </c>
      <c r="AC291" s="1206"/>
      <c r="AD291" s="1161">
        <v>3.4</v>
      </c>
      <c r="AE291" s="1163">
        <v>1</v>
      </c>
    </row>
    <row r="292" spans="3:31" x14ac:dyDescent="0.4">
      <c r="C292" s="2851"/>
      <c r="D292" s="1159" t="s">
        <v>3031</v>
      </c>
      <c r="E292" s="1160" t="s">
        <v>3032</v>
      </c>
      <c r="F292" s="1161">
        <v>569791</v>
      </c>
      <c r="G292" s="1161">
        <v>1121546</v>
      </c>
      <c r="H292" s="1161" t="s">
        <v>334</v>
      </c>
      <c r="I292" s="1161" t="s">
        <v>827</v>
      </c>
      <c r="J292" s="1161" t="s">
        <v>3033</v>
      </c>
      <c r="K292" s="1111"/>
      <c r="L292" s="1161">
        <v>5</v>
      </c>
      <c r="M292" s="1161">
        <v>3</v>
      </c>
      <c r="N292" s="1161">
        <v>2</v>
      </c>
      <c r="O292" s="1161">
        <v>60</v>
      </c>
      <c r="P292" s="1161">
        <v>0</v>
      </c>
      <c r="Q292" s="1206"/>
      <c r="R292" s="1161">
        <v>8</v>
      </c>
      <c r="S292" s="1163">
        <v>0</v>
      </c>
      <c r="T292" s="1206"/>
      <c r="U292" s="1161">
        <v>47.5</v>
      </c>
      <c r="V292" s="1163">
        <v>0</v>
      </c>
      <c r="W292" s="1206"/>
      <c r="X292" s="1161">
        <v>0.22</v>
      </c>
      <c r="Y292" s="1163">
        <v>1</v>
      </c>
      <c r="Z292" s="1206"/>
      <c r="AA292" s="1161">
        <v>7.4</v>
      </c>
      <c r="AB292" s="1163">
        <v>1</v>
      </c>
      <c r="AC292" s="1206"/>
      <c r="AD292" s="1161">
        <v>6</v>
      </c>
      <c r="AE292" s="1163">
        <v>1</v>
      </c>
    </row>
    <row r="293" spans="3:31" x14ac:dyDescent="0.4">
      <c r="C293" s="2851"/>
      <c r="D293" s="1159" t="s">
        <v>3028</v>
      </c>
      <c r="E293" s="1160" t="s">
        <v>3034</v>
      </c>
      <c r="F293" s="1161">
        <v>569864</v>
      </c>
      <c r="G293" s="1161">
        <v>1121460</v>
      </c>
      <c r="H293" s="1161" t="s">
        <v>334</v>
      </c>
      <c r="I293" s="1161" t="s">
        <v>829</v>
      </c>
      <c r="J293" s="1161" t="s">
        <v>3030</v>
      </c>
      <c r="K293" s="1111"/>
      <c r="L293" s="1161">
        <v>5</v>
      </c>
      <c r="M293" s="1161">
        <v>4</v>
      </c>
      <c r="N293" s="1161">
        <v>1</v>
      </c>
      <c r="O293" s="1161">
        <v>80</v>
      </c>
      <c r="P293" s="1161">
        <v>1</v>
      </c>
      <c r="Q293" s="1206"/>
      <c r="R293" s="1161">
        <v>10.4</v>
      </c>
      <c r="S293" s="1163">
        <v>0</v>
      </c>
      <c r="T293" s="1206"/>
      <c r="U293" s="1161">
        <v>77.599999999999994</v>
      </c>
      <c r="V293" s="1163">
        <v>1</v>
      </c>
      <c r="W293" s="1206"/>
      <c r="X293" s="1161">
        <v>0.16</v>
      </c>
      <c r="Y293" s="1163">
        <v>1</v>
      </c>
      <c r="Z293" s="1206"/>
      <c r="AA293" s="1161">
        <v>8</v>
      </c>
      <c r="AB293" s="1163">
        <v>1</v>
      </c>
      <c r="AC293" s="1206"/>
      <c r="AD293" s="1161">
        <v>43.5</v>
      </c>
      <c r="AE293" s="1163">
        <v>0</v>
      </c>
    </row>
    <row r="294" spans="3:31" x14ac:dyDescent="0.4">
      <c r="C294" s="2834" t="s">
        <v>3035</v>
      </c>
      <c r="D294" s="1144" t="s">
        <v>3036</v>
      </c>
      <c r="E294" s="1145" t="s">
        <v>3037</v>
      </c>
      <c r="F294" s="1146">
        <v>591520.71426963026</v>
      </c>
      <c r="G294" s="1146">
        <v>1099004.6167526627</v>
      </c>
      <c r="H294" s="1145" t="s">
        <v>334</v>
      </c>
      <c r="I294" s="1145" t="s">
        <v>334</v>
      </c>
      <c r="J294" s="1145" t="s">
        <v>3038</v>
      </c>
      <c r="K294" s="1101"/>
      <c r="L294" s="1145" t="s">
        <v>2903</v>
      </c>
      <c r="M294" s="1145" t="s">
        <v>2903</v>
      </c>
      <c r="N294" s="1145" t="s">
        <v>2903</v>
      </c>
      <c r="O294" s="1147" t="s">
        <v>2903</v>
      </c>
      <c r="P294" s="1145" t="s">
        <v>2903</v>
      </c>
      <c r="Q294" s="1207"/>
      <c r="R294" s="1146" t="s">
        <v>2903</v>
      </c>
      <c r="S294" s="1148" t="s">
        <v>2903</v>
      </c>
      <c r="T294" s="1149"/>
      <c r="U294" s="1146" t="s">
        <v>2903</v>
      </c>
      <c r="V294" s="1148" t="s">
        <v>2903</v>
      </c>
      <c r="W294" s="1150"/>
      <c r="X294" s="1146" t="s">
        <v>2903</v>
      </c>
      <c r="Y294" s="1148" t="s">
        <v>2903</v>
      </c>
      <c r="Z294" s="1133"/>
      <c r="AA294" s="1146" t="s">
        <v>2903</v>
      </c>
      <c r="AB294" s="1148" t="s">
        <v>2903</v>
      </c>
      <c r="AC294" s="1133"/>
      <c r="AD294" s="1146" t="s">
        <v>2903</v>
      </c>
      <c r="AE294" s="1148" t="s">
        <v>2903</v>
      </c>
    </row>
    <row r="295" spans="3:31" x14ac:dyDescent="0.4">
      <c r="C295" s="2848"/>
      <c r="D295" s="1144" t="s">
        <v>3039</v>
      </c>
      <c r="E295" s="1145" t="s">
        <v>3040</v>
      </c>
      <c r="F295" s="1146">
        <v>595924.74767325248</v>
      </c>
      <c r="G295" s="1146">
        <v>1104968.4121655016</v>
      </c>
      <c r="H295" s="1145" t="s">
        <v>334</v>
      </c>
      <c r="I295" s="1145" t="s">
        <v>334</v>
      </c>
      <c r="J295" s="1145" t="s">
        <v>3038</v>
      </c>
      <c r="K295" s="1101"/>
      <c r="L295" s="1145" t="s">
        <v>2903</v>
      </c>
      <c r="M295" s="1145" t="s">
        <v>2903</v>
      </c>
      <c r="N295" s="1145" t="s">
        <v>2903</v>
      </c>
      <c r="O295" s="1147" t="s">
        <v>2903</v>
      </c>
      <c r="P295" s="1145" t="s">
        <v>2903</v>
      </c>
      <c r="Q295" s="1207"/>
      <c r="R295" s="1146" t="s">
        <v>2903</v>
      </c>
      <c r="S295" s="1148" t="s">
        <v>2903</v>
      </c>
      <c r="T295" s="1149"/>
      <c r="U295" s="1146" t="s">
        <v>2903</v>
      </c>
      <c r="V295" s="1148" t="s">
        <v>2903</v>
      </c>
      <c r="W295" s="1150"/>
      <c r="X295" s="1146" t="s">
        <v>2903</v>
      </c>
      <c r="Y295" s="1148" t="s">
        <v>2903</v>
      </c>
      <c r="Z295" s="1133"/>
      <c r="AA295" s="1146" t="s">
        <v>2903</v>
      </c>
      <c r="AB295" s="1148" t="s">
        <v>2903</v>
      </c>
      <c r="AC295" s="1133"/>
      <c r="AD295" s="1146" t="s">
        <v>2903</v>
      </c>
      <c r="AE295" s="1148" t="s">
        <v>2903</v>
      </c>
    </row>
    <row r="296" spans="3:31" x14ac:dyDescent="0.4">
      <c r="C296" s="2848"/>
      <c r="D296" s="1144" t="s">
        <v>3041</v>
      </c>
      <c r="E296" s="1145" t="s">
        <v>3042</v>
      </c>
      <c r="F296" s="1146">
        <v>602652.52525066072</v>
      </c>
      <c r="G296" s="1146">
        <v>1100493.3765315467</v>
      </c>
      <c r="H296" s="1145" t="s">
        <v>334</v>
      </c>
      <c r="I296" s="1145" t="s">
        <v>334</v>
      </c>
      <c r="J296" s="1145" t="s">
        <v>3043</v>
      </c>
      <c r="K296" s="1101"/>
      <c r="L296" s="1145" t="s">
        <v>2903</v>
      </c>
      <c r="M296" s="1145" t="s">
        <v>2903</v>
      </c>
      <c r="N296" s="1145" t="s">
        <v>2903</v>
      </c>
      <c r="O296" s="1147" t="s">
        <v>2903</v>
      </c>
      <c r="P296" s="1145" t="s">
        <v>2903</v>
      </c>
      <c r="Q296" s="1207"/>
      <c r="R296" s="1146" t="s">
        <v>2903</v>
      </c>
      <c r="S296" s="1148" t="s">
        <v>2903</v>
      </c>
      <c r="T296" s="1149"/>
      <c r="U296" s="1146" t="s">
        <v>2903</v>
      </c>
      <c r="V296" s="1148" t="s">
        <v>2903</v>
      </c>
      <c r="W296" s="1150"/>
      <c r="X296" s="1146" t="s">
        <v>2903</v>
      </c>
      <c r="Y296" s="1148" t="s">
        <v>2903</v>
      </c>
      <c r="Z296" s="1133"/>
      <c r="AA296" s="1146" t="s">
        <v>2903</v>
      </c>
      <c r="AB296" s="1148" t="s">
        <v>2903</v>
      </c>
      <c r="AC296" s="1133"/>
      <c r="AD296" s="1146" t="s">
        <v>2903</v>
      </c>
      <c r="AE296" s="1148" t="s">
        <v>2903</v>
      </c>
    </row>
    <row r="297" spans="3:31" x14ac:dyDescent="0.4">
      <c r="C297" s="2848"/>
      <c r="D297" s="1144" t="s">
        <v>3041</v>
      </c>
      <c r="E297" s="1145" t="s">
        <v>3044</v>
      </c>
      <c r="F297" s="1146">
        <v>604923.94574288733</v>
      </c>
      <c r="G297" s="1146">
        <v>1104152.7542006073</v>
      </c>
      <c r="H297" s="1145" t="s">
        <v>334</v>
      </c>
      <c r="I297" s="1145" t="s">
        <v>334</v>
      </c>
      <c r="J297" s="1145" t="s">
        <v>334</v>
      </c>
      <c r="K297" s="1101"/>
      <c r="L297" s="1145" t="s">
        <v>2903</v>
      </c>
      <c r="M297" s="1145" t="s">
        <v>2903</v>
      </c>
      <c r="N297" s="1145" t="s">
        <v>2903</v>
      </c>
      <c r="O297" s="1147" t="s">
        <v>2903</v>
      </c>
      <c r="P297" s="1145" t="s">
        <v>2903</v>
      </c>
      <c r="Q297" s="1207"/>
      <c r="R297" s="1146" t="s">
        <v>2903</v>
      </c>
      <c r="S297" s="1148" t="s">
        <v>2903</v>
      </c>
      <c r="T297" s="1149"/>
      <c r="U297" s="1146" t="s">
        <v>2903</v>
      </c>
      <c r="V297" s="1148" t="s">
        <v>2903</v>
      </c>
      <c r="W297" s="1150"/>
      <c r="X297" s="1146" t="s">
        <v>2903</v>
      </c>
      <c r="Y297" s="1148" t="s">
        <v>2903</v>
      </c>
      <c r="Z297" s="1133"/>
      <c r="AA297" s="1146" t="s">
        <v>2903</v>
      </c>
      <c r="AB297" s="1148" t="s">
        <v>2903</v>
      </c>
      <c r="AC297" s="1133"/>
      <c r="AD297" s="1146" t="s">
        <v>2903</v>
      </c>
      <c r="AE297" s="1148" t="s">
        <v>2903</v>
      </c>
    </row>
    <row r="298" spans="3:31" x14ac:dyDescent="0.4">
      <c r="C298" s="2830" t="s">
        <v>3045</v>
      </c>
      <c r="D298" s="1135" t="s">
        <v>3046</v>
      </c>
      <c r="E298" s="1133" t="s">
        <v>3047</v>
      </c>
      <c r="F298" s="1136">
        <v>606552.14130791917</v>
      </c>
      <c r="G298" s="1136">
        <v>1095138.5711386923</v>
      </c>
      <c r="H298" s="1133" t="s">
        <v>334</v>
      </c>
      <c r="I298" s="1133" t="s">
        <v>334</v>
      </c>
      <c r="J298" s="1133" t="s">
        <v>3043</v>
      </c>
      <c r="K298" s="1101"/>
      <c r="L298" s="1207" t="s">
        <v>2903</v>
      </c>
      <c r="M298" s="1207" t="s">
        <v>2903</v>
      </c>
      <c r="N298" s="1207" t="s">
        <v>2903</v>
      </c>
      <c r="O298" s="1208" t="s">
        <v>2903</v>
      </c>
      <c r="P298" s="1207" t="s">
        <v>2903</v>
      </c>
      <c r="Q298" s="1207"/>
      <c r="R298" s="1209" t="s">
        <v>2903</v>
      </c>
      <c r="S298" s="1210" t="s">
        <v>2903</v>
      </c>
      <c r="T298" s="1206"/>
      <c r="U298" s="1211" t="s">
        <v>2903</v>
      </c>
      <c r="V298" s="1210" t="s">
        <v>2903</v>
      </c>
      <c r="W298" s="1206"/>
      <c r="X298" s="1209" t="s">
        <v>2903</v>
      </c>
      <c r="Y298" s="1210" t="s">
        <v>2903</v>
      </c>
      <c r="Z298" s="1207"/>
      <c r="AA298" s="1211" t="s">
        <v>2903</v>
      </c>
      <c r="AB298" s="1210" t="s">
        <v>2903</v>
      </c>
      <c r="AC298" s="1207"/>
      <c r="AD298" s="1211" t="s">
        <v>2903</v>
      </c>
      <c r="AE298" s="1210" t="s">
        <v>2903</v>
      </c>
    </row>
    <row r="299" spans="3:31" x14ac:dyDescent="0.4">
      <c r="C299" s="2850"/>
      <c r="D299" s="1135" t="s">
        <v>3048</v>
      </c>
      <c r="E299" s="1133" t="s">
        <v>3049</v>
      </c>
      <c r="F299" s="1136">
        <v>608827.68570771674</v>
      </c>
      <c r="G299" s="1136">
        <v>1092270.7315434166</v>
      </c>
      <c r="H299" s="1133" t="s">
        <v>334</v>
      </c>
      <c r="I299" s="1133" t="s">
        <v>334</v>
      </c>
      <c r="J299" s="1133" t="s">
        <v>3043</v>
      </c>
      <c r="K299" s="1101"/>
      <c r="L299" s="1207" t="s">
        <v>2903</v>
      </c>
      <c r="M299" s="1207" t="s">
        <v>2903</v>
      </c>
      <c r="N299" s="1207" t="s">
        <v>2903</v>
      </c>
      <c r="O299" s="1208" t="s">
        <v>2903</v>
      </c>
      <c r="P299" s="1207" t="s">
        <v>2903</v>
      </c>
      <c r="Q299" s="1207"/>
      <c r="R299" s="1209" t="s">
        <v>2903</v>
      </c>
      <c r="S299" s="1210" t="s">
        <v>2903</v>
      </c>
      <c r="T299" s="1206"/>
      <c r="U299" s="1211" t="s">
        <v>2903</v>
      </c>
      <c r="V299" s="1210" t="s">
        <v>2903</v>
      </c>
      <c r="W299" s="1206"/>
      <c r="X299" s="1209" t="s">
        <v>2903</v>
      </c>
      <c r="Y299" s="1210" t="s">
        <v>2903</v>
      </c>
      <c r="Z299" s="1207"/>
      <c r="AA299" s="1211" t="s">
        <v>2903</v>
      </c>
      <c r="AB299" s="1210" t="s">
        <v>2903</v>
      </c>
      <c r="AC299" s="1207"/>
      <c r="AD299" s="1211" t="s">
        <v>2903</v>
      </c>
      <c r="AE299" s="1210" t="s">
        <v>2903</v>
      </c>
    </row>
    <row r="300" spans="3:31" x14ac:dyDescent="0.4">
      <c r="C300" s="2850"/>
      <c r="D300" s="1135" t="s">
        <v>3048</v>
      </c>
      <c r="E300" s="1133" t="s">
        <v>3050</v>
      </c>
      <c r="F300" s="1136">
        <v>611005.1219393136</v>
      </c>
      <c r="G300" s="1136">
        <v>1094210.1141867936</v>
      </c>
      <c r="H300" s="1133" t="s">
        <v>334</v>
      </c>
      <c r="I300" s="1133" t="s">
        <v>334</v>
      </c>
      <c r="J300" s="1133" t="s">
        <v>3043</v>
      </c>
      <c r="K300" s="1101"/>
      <c r="L300" s="1207" t="s">
        <v>2903</v>
      </c>
      <c r="M300" s="1207" t="s">
        <v>2903</v>
      </c>
      <c r="N300" s="1207" t="s">
        <v>2903</v>
      </c>
      <c r="O300" s="1208" t="s">
        <v>2903</v>
      </c>
      <c r="P300" s="1207" t="s">
        <v>2903</v>
      </c>
      <c r="Q300" s="1207"/>
      <c r="R300" s="1209" t="s">
        <v>2903</v>
      </c>
      <c r="S300" s="1210" t="s">
        <v>2903</v>
      </c>
      <c r="T300" s="1206"/>
      <c r="U300" s="1211" t="s">
        <v>2903</v>
      </c>
      <c r="V300" s="1210" t="s">
        <v>2903</v>
      </c>
      <c r="W300" s="1206"/>
      <c r="X300" s="1209" t="s">
        <v>2903</v>
      </c>
      <c r="Y300" s="1210" t="s">
        <v>2903</v>
      </c>
      <c r="Z300" s="1207"/>
      <c r="AA300" s="1211" t="s">
        <v>2903</v>
      </c>
      <c r="AB300" s="1210" t="s">
        <v>2903</v>
      </c>
      <c r="AC300" s="1207"/>
      <c r="AD300" s="1211" t="s">
        <v>2903</v>
      </c>
      <c r="AE300" s="1210" t="s">
        <v>2903</v>
      </c>
    </row>
    <row r="301" spans="3:31" x14ac:dyDescent="0.4">
      <c r="C301" s="2850"/>
      <c r="D301" s="1135" t="s">
        <v>3051</v>
      </c>
      <c r="E301" s="1133" t="s">
        <v>3052</v>
      </c>
      <c r="F301" s="1136">
        <v>615309.394813983</v>
      </c>
      <c r="G301" s="1136">
        <v>1089459.641124723</v>
      </c>
      <c r="H301" s="1133" t="s">
        <v>334</v>
      </c>
      <c r="I301" s="1133" t="s">
        <v>334</v>
      </c>
      <c r="J301" s="1133" t="s">
        <v>3043</v>
      </c>
      <c r="K301" s="1101"/>
      <c r="L301" s="1207" t="s">
        <v>2903</v>
      </c>
      <c r="M301" s="1207" t="s">
        <v>2903</v>
      </c>
      <c r="N301" s="1207" t="s">
        <v>2903</v>
      </c>
      <c r="O301" s="1208" t="s">
        <v>2903</v>
      </c>
      <c r="P301" s="1207" t="s">
        <v>2903</v>
      </c>
      <c r="Q301" s="1207"/>
      <c r="R301" s="1209" t="s">
        <v>2903</v>
      </c>
      <c r="S301" s="1210" t="s">
        <v>2903</v>
      </c>
      <c r="T301" s="1206"/>
      <c r="U301" s="1211" t="s">
        <v>2903</v>
      </c>
      <c r="V301" s="1210" t="s">
        <v>2903</v>
      </c>
      <c r="W301" s="1206"/>
      <c r="X301" s="1209" t="s">
        <v>2903</v>
      </c>
      <c r="Y301" s="1210" t="s">
        <v>2903</v>
      </c>
      <c r="Z301" s="1207"/>
      <c r="AA301" s="1211" t="s">
        <v>2903</v>
      </c>
      <c r="AB301" s="1210" t="s">
        <v>2903</v>
      </c>
      <c r="AC301" s="1207"/>
      <c r="AD301" s="1211" t="s">
        <v>2903</v>
      </c>
      <c r="AE301" s="1210" t="s">
        <v>2903</v>
      </c>
    </row>
    <row r="302" spans="3:31" x14ac:dyDescent="0.4">
      <c r="C302" s="2826" t="s">
        <v>829</v>
      </c>
      <c r="D302" s="1151" t="s">
        <v>3053</v>
      </c>
      <c r="E302" s="1152" t="s">
        <v>3054</v>
      </c>
      <c r="F302" s="1153">
        <v>584311</v>
      </c>
      <c r="G302" s="1153">
        <v>1119663</v>
      </c>
      <c r="H302" s="1152" t="s">
        <v>334</v>
      </c>
      <c r="I302" s="1152" t="s">
        <v>829</v>
      </c>
      <c r="J302" s="1152" t="s">
        <v>829</v>
      </c>
      <c r="K302" s="1154"/>
      <c r="L302" s="1152" t="s">
        <v>2903</v>
      </c>
      <c r="M302" s="1152" t="s">
        <v>2903</v>
      </c>
      <c r="N302" s="1152" t="s">
        <v>2903</v>
      </c>
      <c r="O302" s="1155" t="s">
        <v>2903</v>
      </c>
      <c r="P302" s="1152" t="s">
        <v>2903</v>
      </c>
      <c r="Q302" s="1207"/>
      <c r="R302" s="1153" t="s">
        <v>2903</v>
      </c>
      <c r="S302" s="1156" t="s">
        <v>2903</v>
      </c>
      <c r="T302" s="1154"/>
      <c r="U302" s="1153" t="s">
        <v>2903</v>
      </c>
      <c r="V302" s="1156" t="s">
        <v>2903</v>
      </c>
      <c r="W302" s="1150"/>
      <c r="X302" s="1153" t="s">
        <v>2903</v>
      </c>
      <c r="Y302" s="1156" t="s">
        <v>2903</v>
      </c>
      <c r="Z302" s="1133"/>
      <c r="AA302" s="1153" t="s">
        <v>2903</v>
      </c>
      <c r="AB302" s="1156" t="s">
        <v>2903</v>
      </c>
      <c r="AC302" s="1133"/>
      <c r="AD302" s="1153" t="s">
        <v>2903</v>
      </c>
      <c r="AE302" s="1156" t="s">
        <v>2903</v>
      </c>
    </row>
    <row r="303" spans="3:31" x14ac:dyDescent="0.4">
      <c r="C303" s="2848"/>
      <c r="D303" s="1151" t="s">
        <v>3053</v>
      </c>
      <c r="E303" s="1152" t="s">
        <v>3055</v>
      </c>
      <c r="F303" s="1153">
        <v>587660</v>
      </c>
      <c r="G303" s="1153">
        <v>1119040</v>
      </c>
      <c r="H303" s="1152" t="s">
        <v>334</v>
      </c>
      <c r="I303" s="1152" t="s">
        <v>829</v>
      </c>
      <c r="J303" s="1152" t="s">
        <v>829</v>
      </c>
      <c r="K303" s="1154"/>
      <c r="L303" s="1152" t="s">
        <v>2903</v>
      </c>
      <c r="M303" s="1152" t="s">
        <v>2903</v>
      </c>
      <c r="N303" s="1152" t="s">
        <v>2903</v>
      </c>
      <c r="O303" s="1155" t="s">
        <v>2903</v>
      </c>
      <c r="P303" s="1152" t="s">
        <v>2903</v>
      </c>
      <c r="Q303" s="1207"/>
      <c r="R303" s="1153" t="s">
        <v>2903</v>
      </c>
      <c r="S303" s="1156" t="s">
        <v>2903</v>
      </c>
      <c r="T303" s="1154"/>
      <c r="U303" s="1153" t="s">
        <v>2903</v>
      </c>
      <c r="V303" s="1156" t="s">
        <v>2903</v>
      </c>
      <c r="W303" s="1150"/>
      <c r="X303" s="1153" t="s">
        <v>2903</v>
      </c>
      <c r="Y303" s="1156" t="s">
        <v>2903</v>
      </c>
      <c r="Z303" s="1133"/>
      <c r="AA303" s="1153" t="s">
        <v>2903</v>
      </c>
      <c r="AB303" s="1156" t="s">
        <v>2903</v>
      </c>
      <c r="AC303" s="1133"/>
      <c r="AD303" s="1153" t="s">
        <v>2903</v>
      </c>
      <c r="AE303" s="1156" t="s">
        <v>2903</v>
      </c>
    </row>
    <row r="304" spans="3:31" x14ac:dyDescent="0.4">
      <c r="C304" s="2848"/>
      <c r="D304" s="1151" t="s">
        <v>3053</v>
      </c>
      <c r="E304" s="1152" t="s">
        <v>3056</v>
      </c>
      <c r="F304" s="1153">
        <v>579394</v>
      </c>
      <c r="G304" s="1153">
        <v>1114132</v>
      </c>
      <c r="H304" s="1153" t="s">
        <v>334</v>
      </c>
      <c r="I304" s="1153" t="s">
        <v>829</v>
      </c>
      <c r="J304" s="1153" t="s">
        <v>829</v>
      </c>
      <c r="K304" s="1154"/>
      <c r="L304" s="1152">
        <v>4</v>
      </c>
      <c r="M304" s="1152">
        <v>2</v>
      </c>
      <c r="N304" s="1152">
        <v>2</v>
      </c>
      <c r="O304" s="1152">
        <v>50</v>
      </c>
      <c r="P304" s="1152">
        <v>0</v>
      </c>
      <c r="Q304" s="1206"/>
      <c r="R304" s="1153">
        <v>16</v>
      </c>
      <c r="S304" s="1156">
        <v>0</v>
      </c>
      <c r="T304" s="1154"/>
      <c r="U304" s="1153">
        <v>47.5</v>
      </c>
      <c r="V304" s="1156">
        <v>0</v>
      </c>
      <c r="W304" s="1150"/>
      <c r="X304" s="1153">
        <v>0</v>
      </c>
      <c r="Y304" s="1156">
        <v>1</v>
      </c>
      <c r="Z304" s="1150"/>
      <c r="AA304" s="1153">
        <v>7.4</v>
      </c>
      <c r="AB304" s="1156">
        <v>1</v>
      </c>
      <c r="AC304" s="1150"/>
      <c r="AD304" s="1153">
        <v>3.4</v>
      </c>
      <c r="AE304" s="1156">
        <v>1</v>
      </c>
    </row>
    <row r="305" spans="3:31" x14ac:dyDescent="0.4">
      <c r="C305" s="2848"/>
      <c r="D305" s="1151" t="s">
        <v>3057</v>
      </c>
      <c r="E305" s="1152" t="s">
        <v>3058</v>
      </c>
      <c r="F305" s="1153">
        <v>568897</v>
      </c>
      <c r="G305" s="1153">
        <v>1112449</v>
      </c>
      <c r="H305" s="1153" t="s">
        <v>334</v>
      </c>
      <c r="I305" s="1153" t="s">
        <v>829</v>
      </c>
      <c r="J305" s="1153" t="s">
        <v>3030</v>
      </c>
      <c r="K305" s="1154"/>
      <c r="L305" s="1152">
        <v>5</v>
      </c>
      <c r="M305" s="1152">
        <v>3</v>
      </c>
      <c r="N305" s="1152">
        <v>2</v>
      </c>
      <c r="O305" s="1152">
        <v>60</v>
      </c>
      <c r="P305" s="1152">
        <v>0</v>
      </c>
      <c r="Q305" s="1206"/>
      <c r="R305" s="1153">
        <v>17.399999999999999</v>
      </c>
      <c r="S305" s="1156">
        <v>0</v>
      </c>
      <c r="T305" s="1154"/>
      <c r="U305" s="1153">
        <v>90.7</v>
      </c>
      <c r="V305" s="1156">
        <v>1</v>
      </c>
      <c r="W305" s="1150"/>
      <c r="X305" s="1153">
        <v>0.09</v>
      </c>
      <c r="Y305" s="1156">
        <v>1</v>
      </c>
      <c r="Z305" s="1150"/>
      <c r="AA305" s="1153">
        <v>8.4</v>
      </c>
      <c r="AB305" s="1156">
        <v>1</v>
      </c>
      <c r="AC305" s="1150"/>
      <c r="AD305" s="1153">
        <v>6</v>
      </c>
      <c r="AE305" s="1156">
        <v>1</v>
      </c>
    </row>
    <row r="306" spans="3:31" x14ac:dyDescent="0.4">
      <c r="C306" s="2848"/>
      <c r="D306" s="1151" t="s">
        <v>3059</v>
      </c>
      <c r="E306" s="1152" t="s">
        <v>3060</v>
      </c>
      <c r="F306" s="1153">
        <v>576526</v>
      </c>
      <c r="G306" s="1153">
        <v>1105216</v>
      </c>
      <c r="H306" s="1153" t="s">
        <v>334</v>
      </c>
      <c r="I306" s="1153" t="s">
        <v>829</v>
      </c>
      <c r="J306" s="1153" t="s">
        <v>829</v>
      </c>
      <c r="K306" s="1154"/>
      <c r="L306" s="1152">
        <v>5</v>
      </c>
      <c r="M306" s="1152">
        <v>3</v>
      </c>
      <c r="N306" s="1152">
        <v>2</v>
      </c>
      <c r="O306" s="1152">
        <v>60</v>
      </c>
      <c r="P306" s="1152">
        <v>0</v>
      </c>
      <c r="Q306" s="1206"/>
      <c r="R306" s="1153">
        <v>16.2</v>
      </c>
      <c r="S306" s="1156">
        <v>0</v>
      </c>
      <c r="T306" s="1154"/>
      <c r="U306" s="1153">
        <v>77.599999999999994</v>
      </c>
      <c r="V306" s="1156">
        <v>1</v>
      </c>
      <c r="W306" s="1150"/>
      <c r="X306" s="1153">
        <v>0</v>
      </c>
      <c r="Y306" s="1156">
        <v>1</v>
      </c>
      <c r="Z306" s="1150"/>
      <c r="AA306" s="1153">
        <v>8</v>
      </c>
      <c r="AB306" s="1156">
        <v>1</v>
      </c>
      <c r="AC306" s="1150"/>
      <c r="AD306" s="1153">
        <v>3.4</v>
      </c>
      <c r="AE306" s="1156">
        <v>1</v>
      </c>
    </row>
    <row r="307" spans="3:31" x14ac:dyDescent="0.4">
      <c r="C307" s="2848"/>
      <c r="D307" s="1151" t="s">
        <v>3059</v>
      </c>
      <c r="E307" s="1152" t="s">
        <v>3061</v>
      </c>
      <c r="F307" s="1153">
        <v>572276</v>
      </c>
      <c r="G307" s="1153">
        <v>1101262</v>
      </c>
      <c r="H307" s="1152" t="s">
        <v>334</v>
      </c>
      <c r="I307" s="1152" t="s">
        <v>829</v>
      </c>
      <c r="J307" s="1152" t="s">
        <v>829</v>
      </c>
      <c r="K307" s="1154"/>
      <c r="L307" s="1152" t="s">
        <v>2903</v>
      </c>
      <c r="M307" s="1152" t="s">
        <v>2903</v>
      </c>
      <c r="N307" s="1152" t="s">
        <v>2903</v>
      </c>
      <c r="O307" s="1155" t="s">
        <v>2903</v>
      </c>
      <c r="P307" s="1152" t="s">
        <v>2903</v>
      </c>
      <c r="Q307" s="1207"/>
      <c r="R307" s="1153" t="s">
        <v>2903</v>
      </c>
      <c r="S307" s="1156" t="s">
        <v>2903</v>
      </c>
      <c r="T307" s="1154"/>
      <c r="U307" s="1153" t="s">
        <v>2903</v>
      </c>
      <c r="V307" s="1156" t="s">
        <v>2903</v>
      </c>
      <c r="W307" s="1150"/>
      <c r="X307" s="1153" t="s">
        <v>2903</v>
      </c>
      <c r="Y307" s="1156" t="s">
        <v>2903</v>
      </c>
      <c r="Z307" s="1150"/>
      <c r="AA307" s="1153" t="s">
        <v>2903</v>
      </c>
      <c r="AB307" s="1156" t="s">
        <v>2903</v>
      </c>
      <c r="AC307" s="1133"/>
      <c r="AD307" s="1153" t="s">
        <v>2903</v>
      </c>
      <c r="AE307" s="1156" t="s">
        <v>2903</v>
      </c>
    </row>
    <row r="308" spans="3:31" x14ac:dyDescent="0.4">
      <c r="C308" s="2848"/>
      <c r="D308" s="1151" t="s">
        <v>3059</v>
      </c>
      <c r="E308" s="1152" t="s">
        <v>3062</v>
      </c>
      <c r="F308" s="1153">
        <v>570379</v>
      </c>
      <c r="G308" s="1153">
        <v>1083192</v>
      </c>
      <c r="H308" s="1151" t="s">
        <v>330</v>
      </c>
      <c r="I308" s="1152" t="s">
        <v>790</v>
      </c>
      <c r="J308" s="1152" t="s">
        <v>3063</v>
      </c>
      <c r="K308" s="1154"/>
      <c r="L308" s="1152" t="s">
        <v>2903</v>
      </c>
      <c r="M308" s="1152" t="s">
        <v>2903</v>
      </c>
      <c r="N308" s="1152" t="s">
        <v>2903</v>
      </c>
      <c r="O308" s="1155" t="s">
        <v>2903</v>
      </c>
      <c r="P308" s="1152" t="s">
        <v>2903</v>
      </c>
      <c r="Q308" s="1207"/>
      <c r="R308" s="1153" t="s">
        <v>2903</v>
      </c>
      <c r="S308" s="1156" t="s">
        <v>2903</v>
      </c>
      <c r="T308" s="1154"/>
      <c r="U308" s="1153" t="s">
        <v>2903</v>
      </c>
      <c r="V308" s="1156" t="s">
        <v>2903</v>
      </c>
      <c r="W308" s="1150"/>
      <c r="X308" s="1153" t="s">
        <v>2903</v>
      </c>
      <c r="Y308" s="1156" t="s">
        <v>2903</v>
      </c>
      <c r="Z308" s="1150"/>
      <c r="AA308" s="1153" t="s">
        <v>2903</v>
      </c>
      <c r="AB308" s="1156" t="s">
        <v>2903</v>
      </c>
      <c r="AC308" s="1133"/>
      <c r="AD308" s="1153" t="s">
        <v>2903</v>
      </c>
      <c r="AE308" s="1156" t="s">
        <v>2903</v>
      </c>
    </row>
    <row r="309" spans="3:31" x14ac:dyDescent="0.4">
      <c r="C309" s="2848"/>
      <c r="D309" s="1151" t="s">
        <v>3059</v>
      </c>
      <c r="E309" s="1152" t="s">
        <v>3064</v>
      </c>
      <c r="F309" s="1153">
        <v>569987</v>
      </c>
      <c r="G309" s="1153">
        <v>1082807</v>
      </c>
      <c r="H309" s="1151" t="s">
        <v>330</v>
      </c>
      <c r="I309" s="1152" t="s">
        <v>790</v>
      </c>
      <c r="J309" s="1152" t="s">
        <v>3063</v>
      </c>
      <c r="K309" s="1154"/>
      <c r="L309" s="1152" t="s">
        <v>2903</v>
      </c>
      <c r="M309" s="1152" t="s">
        <v>2903</v>
      </c>
      <c r="N309" s="1152" t="s">
        <v>2903</v>
      </c>
      <c r="O309" s="1155" t="s">
        <v>2903</v>
      </c>
      <c r="P309" s="1152" t="s">
        <v>2903</v>
      </c>
      <c r="Q309" s="1207"/>
      <c r="R309" s="1153" t="s">
        <v>2903</v>
      </c>
      <c r="S309" s="1156" t="s">
        <v>2903</v>
      </c>
      <c r="T309" s="1154"/>
      <c r="U309" s="1153" t="s">
        <v>2903</v>
      </c>
      <c r="V309" s="1156" t="s">
        <v>2903</v>
      </c>
      <c r="W309" s="1150"/>
      <c r="X309" s="1153" t="s">
        <v>2903</v>
      </c>
      <c r="Y309" s="1156" t="s">
        <v>2903</v>
      </c>
      <c r="Z309" s="1150"/>
      <c r="AA309" s="1153" t="s">
        <v>2903</v>
      </c>
      <c r="AB309" s="1156" t="s">
        <v>2903</v>
      </c>
      <c r="AC309" s="1133"/>
      <c r="AD309" s="1153" t="s">
        <v>2903</v>
      </c>
      <c r="AE309" s="1156" t="s">
        <v>2903</v>
      </c>
    </row>
    <row r="310" spans="3:31" x14ac:dyDescent="0.4">
      <c r="C310" s="2849" t="s">
        <v>3065</v>
      </c>
      <c r="D310" s="1135" t="s">
        <v>3066</v>
      </c>
      <c r="E310" s="1133" t="s">
        <v>3067</v>
      </c>
      <c r="F310" s="1136">
        <v>553952.78625700006</v>
      </c>
      <c r="G310" s="1136">
        <v>1086598.7197799999</v>
      </c>
      <c r="H310" s="1135" t="s">
        <v>330</v>
      </c>
      <c r="I310" s="1133" t="s">
        <v>790</v>
      </c>
      <c r="J310" s="1133" t="s">
        <v>3068</v>
      </c>
      <c r="K310" s="1111"/>
      <c r="L310" s="1207" t="s">
        <v>2903</v>
      </c>
      <c r="M310" s="1207" t="s">
        <v>2903</v>
      </c>
      <c r="N310" s="1207" t="s">
        <v>2903</v>
      </c>
      <c r="O310" s="1208" t="s">
        <v>2903</v>
      </c>
      <c r="P310" s="1207" t="s">
        <v>2903</v>
      </c>
      <c r="Q310" s="1207"/>
      <c r="R310" s="1209" t="s">
        <v>2903</v>
      </c>
      <c r="S310" s="1210" t="s">
        <v>2903</v>
      </c>
      <c r="T310" s="1206"/>
      <c r="U310" s="1211" t="s">
        <v>2903</v>
      </c>
      <c r="V310" s="1210" t="s">
        <v>2903</v>
      </c>
      <c r="W310" s="1206"/>
      <c r="X310" s="1209" t="s">
        <v>2903</v>
      </c>
      <c r="Y310" s="1210" t="s">
        <v>2903</v>
      </c>
      <c r="Z310" s="1206"/>
      <c r="AA310" s="1211" t="s">
        <v>2903</v>
      </c>
      <c r="AB310" s="1210" t="s">
        <v>2903</v>
      </c>
      <c r="AC310" s="1207"/>
      <c r="AD310" s="1211" t="s">
        <v>2903</v>
      </c>
      <c r="AE310" s="1210" t="s">
        <v>2903</v>
      </c>
    </row>
    <row r="311" spans="3:31" x14ac:dyDescent="0.4">
      <c r="C311" s="2849"/>
      <c r="D311" s="1135" t="s">
        <v>3066</v>
      </c>
      <c r="E311" s="1133" t="s">
        <v>3069</v>
      </c>
      <c r="F311" s="1136">
        <v>549561.67938325589</v>
      </c>
      <c r="G311" s="1136">
        <v>1104203.6085808857</v>
      </c>
      <c r="H311" s="1136" t="s">
        <v>330</v>
      </c>
      <c r="I311" s="1136" t="s">
        <v>790</v>
      </c>
      <c r="J311" s="1136" t="s">
        <v>3070</v>
      </c>
      <c r="K311" s="1111"/>
      <c r="L311" s="1207">
        <v>4</v>
      </c>
      <c r="M311" s="1207">
        <v>3</v>
      </c>
      <c r="N311" s="1207">
        <v>1</v>
      </c>
      <c r="O311" s="1207">
        <v>75</v>
      </c>
      <c r="P311" s="1207">
        <v>0</v>
      </c>
      <c r="Q311" s="1206"/>
      <c r="R311" s="1209">
        <v>9.1</v>
      </c>
      <c r="S311" s="1210">
        <v>0</v>
      </c>
      <c r="T311" s="1206"/>
      <c r="U311" s="1211">
        <v>88.4</v>
      </c>
      <c r="V311" s="1210">
        <v>1</v>
      </c>
      <c r="W311" s="1206"/>
      <c r="X311" s="1209">
        <v>0.19</v>
      </c>
      <c r="Y311" s="1210">
        <v>1</v>
      </c>
      <c r="Z311" s="1206"/>
      <c r="AA311" s="1211">
        <v>8.5</v>
      </c>
      <c r="AB311" s="1210">
        <v>1</v>
      </c>
      <c r="AC311" s="1133"/>
      <c r="AD311" s="1211">
        <v>3.4</v>
      </c>
      <c r="AE311" s="1210">
        <v>1</v>
      </c>
    </row>
    <row r="312" spans="3:31" x14ac:dyDescent="0.4">
      <c r="C312" s="2849"/>
      <c r="D312" s="1135" t="s">
        <v>3307</v>
      </c>
      <c r="E312" s="1133" t="s">
        <v>3071</v>
      </c>
      <c r="F312" s="1136">
        <v>561423.24358003505</v>
      </c>
      <c r="G312" s="1136">
        <v>1122417.3554679255</v>
      </c>
      <c r="H312" s="1136" t="s">
        <v>334</v>
      </c>
      <c r="I312" s="1136" t="s">
        <v>827</v>
      </c>
      <c r="J312" s="1136" t="s">
        <v>827</v>
      </c>
      <c r="K312" s="1184"/>
      <c r="L312" s="1207">
        <v>5</v>
      </c>
      <c r="M312" s="1207">
        <v>3</v>
      </c>
      <c r="N312" s="1207">
        <v>2</v>
      </c>
      <c r="O312" s="1207">
        <v>60</v>
      </c>
      <c r="P312" s="1207">
        <v>0</v>
      </c>
      <c r="Q312" s="1184"/>
      <c r="R312" s="1209">
        <v>15.4</v>
      </c>
      <c r="S312" s="1210">
        <v>0</v>
      </c>
      <c r="T312" s="1184"/>
      <c r="U312" s="1211">
        <v>86.2</v>
      </c>
      <c r="V312" s="1210">
        <v>1</v>
      </c>
      <c r="W312" s="1184"/>
      <c r="X312" s="1209">
        <v>0.1</v>
      </c>
      <c r="Y312" s="1210">
        <v>1</v>
      </c>
      <c r="Z312" s="1184"/>
      <c r="AA312" s="1211">
        <v>8.5</v>
      </c>
      <c r="AB312" s="1210">
        <v>1</v>
      </c>
      <c r="AC312" s="1184"/>
      <c r="AD312" s="1211">
        <v>11.4</v>
      </c>
      <c r="AE312" s="1210">
        <v>1</v>
      </c>
    </row>
    <row r="313" spans="3:31" x14ac:dyDescent="0.4">
      <c r="C313" s="2849"/>
      <c r="D313" s="1135" t="s">
        <v>3066</v>
      </c>
      <c r="E313" s="1133" t="s">
        <v>3072</v>
      </c>
      <c r="F313" s="1136">
        <v>556395</v>
      </c>
      <c r="G313" s="1136">
        <v>1116515</v>
      </c>
      <c r="H313" s="1133" t="s">
        <v>334</v>
      </c>
      <c r="I313" s="1133" t="s">
        <v>827</v>
      </c>
      <c r="J313" s="1133" t="s">
        <v>3033</v>
      </c>
      <c r="K313" s="1111"/>
      <c r="L313" s="1207" t="s">
        <v>2903</v>
      </c>
      <c r="M313" s="1207" t="s">
        <v>2903</v>
      </c>
      <c r="N313" s="1207" t="s">
        <v>2903</v>
      </c>
      <c r="O313" s="1208" t="s">
        <v>2903</v>
      </c>
      <c r="P313" s="1207" t="s">
        <v>2903</v>
      </c>
      <c r="Q313" s="1206"/>
      <c r="R313" s="1209" t="s">
        <v>2903</v>
      </c>
      <c r="S313" s="1210" t="s">
        <v>2903</v>
      </c>
      <c r="T313" s="1206"/>
      <c r="U313" s="1211" t="s">
        <v>2903</v>
      </c>
      <c r="V313" s="1210" t="s">
        <v>2903</v>
      </c>
      <c r="W313" s="1206"/>
      <c r="X313" s="1209" t="s">
        <v>2903</v>
      </c>
      <c r="Y313" s="1210" t="s">
        <v>2903</v>
      </c>
      <c r="Z313" s="1206"/>
      <c r="AA313" s="1211" t="s">
        <v>2903</v>
      </c>
      <c r="AB313" s="1210" t="s">
        <v>2903</v>
      </c>
      <c r="AC313" s="1133"/>
      <c r="AD313" s="1211" t="s">
        <v>2903</v>
      </c>
      <c r="AE313" s="1210" t="s">
        <v>2903</v>
      </c>
    </row>
    <row r="314" spans="3:31" x14ac:dyDescent="0.4">
      <c r="C314" s="2849"/>
      <c r="D314" s="1135" t="s">
        <v>3066</v>
      </c>
      <c r="E314" s="1133" t="s">
        <v>3073</v>
      </c>
      <c r="F314" s="1136">
        <v>559157</v>
      </c>
      <c r="G314" s="1136">
        <v>1118911</v>
      </c>
      <c r="H314" s="1136" t="s">
        <v>334</v>
      </c>
      <c r="I314" s="1136" t="s">
        <v>827</v>
      </c>
      <c r="J314" s="1136" t="s">
        <v>3033</v>
      </c>
      <c r="K314" s="1111"/>
      <c r="L314" s="1207">
        <v>4</v>
      </c>
      <c r="M314" s="1207">
        <v>3</v>
      </c>
      <c r="N314" s="1207">
        <v>1</v>
      </c>
      <c r="O314" s="1207">
        <v>75</v>
      </c>
      <c r="P314" s="1207">
        <v>0</v>
      </c>
      <c r="Q314" s="1206"/>
      <c r="R314" s="1209">
        <v>9.4</v>
      </c>
      <c r="S314" s="1210">
        <v>0</v>
      </c>
      <c r="T314" s="1206"/>
      <c r="U314" s="1211">
        <v>90.7</v>
      </c>
      <c r="V314" s="1210">
        <v>1</v>
      </c>
      <c r="W314" s="1206"/>
      <c r="X314" s="1209">
        <v>0.21</v>
      </c>
      <c r="Y314" s="1210">
        <v>1</v>
      </c>
      <c r="Z314" s="1206"/>
      <c r="AA314" s="1211">
        <v>8.4</v>
      </c>
      <c r="AB314" s="1210">
        <v>1</v>
      </c>
      <c r="AC314" s="1133"/>
      <c r="AD314" s="1211">
        <v>153</v>
      </c>
      <c r="AE314" s="1210">
        <v>0</v>
      </c>
    </row>
    <row r="315" spans="3:31" x14ac:dyDescent="0.4">
      <c r="C315" s="2849"/>
      <c r="D315" s="1135" t="s">
        <v>3066</v>
      </c>
      <c r="E315" s="1133" t="s">
        <v>3074</v>
      </c>
      <c r="F315" s="1136">
        <v>573103</v>
      </c>
      <c r="G315" s="1136">
        <v>1128204</v>
      </c>
      <c r="H315" s="1133" t="s">
        <v>334</v>
      </c>
      <c r="I315" s="1133" t="s">
        <v>827</v>
      </c>
      <c r="J315" s="1133" t="s">
        <v>3033</v>
      </c>
      <c r="K315" s="1101"/>
      <c r="L315" s="1207" t="s">
        <v>2903</v>
      </c>
      <c r="M315" s="1207" t="s">
        <v>2903</v>
      </c>
      <c r="N315" s="1207" t="s">
        <v>2903</v>
      </c>
      <c r="O315" s="1208" t="s">
        <v>2903</v>
      </c>
      <c r="P315" s="1207" t="s">
        <v>2903</v>
      </c>
      <c r="Q315" s="1207"/>
      <c r="R315" s="1209" t="s">
        <v>2903</v>
      </c>
      <c r="S315" s="1210" t="s">
        <v>2903</v>
      </c>
      <c r="T315" s="1206"/>
      <c r="U315" s="1211" t="s">
        <v>2903</v>
      </c>
      <c r="V315" s="1210" t="s">
        <v>2903</v>
      </c>
      <c r="W315" s="1206"/>
      <c r="X315" s="1209" t="s">
        <v>2903</v>
      </c>
      <c r="Y315" s="1210" t="s">
        <v>2903</v>
      </c>
      <c r="Z315" s="1207"/>
      <c r="AA315" s="1211" t="s">
        <v>2903</v>
      </c>
      <c r="AB315" s="1210" t="s">
        <v>2903</v>
      </c>
      <c r="AC315" s="1133"/>
      <c r="AD315" s="1211" t="s">
        <v>2903</v>
      </c>
      <c r="AE315" s="1210" t="s">
        <v>2903</v>
      </c>
    </row>
    <row r="316" spans="3:31" x14ac:dyDescent="0.4">
      <c r="C316" s="2849"/>
      <c r="D316" s="1135" t="s">
        <v>3066</v>
      </c>
      <c r="E316" s="1133" t="s">
        <v>3075</v>
      </c>
      <c r="F316" s="1136">
        <v>573104</v>
      </c>
      <c r="G316" s="1136">
        <v>1128204</v>
      </c>
      <c r="H316" s="1133" t="s">
        <v>334</v>
      </c>
      <c r="I316" s="1133" t="s">
        <v>827</v>
      </c>
      <c r="J316" s="1133" t="s">
        <v>3033</v>
      </c>
      <c r="K316" s="1101"/>
      <c r="L316" s="1207" t="s">
        <v>2903</v>
      </c>
      <c r="M316" s="1207" t="s">
        <v>2903</v>
      </c>
      <c r="N316" s="1207" t="s">
        <v>2903</v>
      </c>
      <c r="O316" s="1208" t="s">
        <v>2903</v>
      </c>
      <c r="P316" s="1207" t="s">
        <v>2903</v>
      </c>
      <c r="Q316" s="1207"/>
      <c r="R316" s="1209" t="s">
        <v>2903</v>
      </c>
      <c r="S316" s="1210" t="s">
        <v>2903</v>
      </c>
      <c r="T316" s="1206"/>
      <c r="U316" s="1211" t="s">
        <v>2903</v>
      </c>
      <c r="V316" s="1210" t="s">
        <v>2903</v>
      </c>
      <c r="W316" s="1206"/>
      <c r="X316" s="1209" t="s">
        <v>2903</v>
      </c>
      <c r="Y316" s="1210" t="s">
        <v>2903</v>
      </c>
      <c r="Z316" s="1207"/>
      <c r="AA316" s="1211" t="s">
        <v>2903</v>
      </c>
      <c r="AB316" s="1210" t="s">
        <v>2903</v>
      </c>
      <c r="AC316" s="1207"/>
      <c r="AD316" s="1211" t="s">
        <v>2903</v>
      </c>
      <c r="AE316" s="1210" t="s">
        <v>2903</v>
      </c>
    </row>
    <row r="317" spans="3:31" x14ac:dyDescent="0.4">
      <c r="C317" s="2831" t="s">
        <v>3076</v>
      </c>
      <c r="D317" s="1159" t="s">
        <v>3077</v>
      </c>
      <c r="E317" s="1160" t="s">
        <v>3078</v>
      </c>
      <c r="F317" s="1161">
        <v>600425.51656381693</v>
      </c>
      <c r="G317" s="1161">
        <v>1096342.995986542</v>
      </c>
      <c r="H317" s="1160" t="s">
        <v>334</v>
      </c>
      <c r="I317" s="1160" t="s">
        <v>334</v>
      </c>
      <c r="J317" s="1160" t="s">
        <v>3043</v>
      </c>
      <c r="K317" s="1101"/>
      <c r="L317" s="1160" t="s">
        <v>2903</v>
      </c>
      <c r="M317" s="1160" t="s">
        <v>2903</v>
      </c>
      <c r="N317" s="1160" t="s">
        <v>2903</v>
      </c>
      <c r="O317" s="1162" t="s">
        <v>2903</v>
      </c>
      <c r="P317" s="1160" t="s">
        <v>2903</v>
      </c>
      <c r="Q317" s="1207"/>
      <c r="R317" s="1161" t="s">
        <v>2903</v>
      </c>
      <c r="S317" s="1163" t="s">
        <v>2903</v>
      </c>
      <c r="T317" s="1164"/>
      <c r="U317" s="1161" t="s">
        <v>2903</v>
      </c>
      <c r="V317" s="1163" t="s">
        <v>2903</v>
      </c>
      <c r="W317" s="1150"/>
      <c r="X317" s="1161" t="s">
        <v>2903</v>
      </c>
      <c r="Y317" s="1163" t="s">
        <v>2903</v>
      </c>
      <c r="Z317" s="1133"/>
      <c r="AA317" s="1161" t="s">
        <v>2903</v>
      </c>
      <c r="AB317" s="1163" t="s">
        <v>2903</v>
      </c>
      <c r="AC317" s="1133"/>
      <c r="AD317" s="1161" t="s">
        <v>2903</v>
      </c>
      <c r="AE317" s="1163" t="s">
        <v>2903</v>
      </c>
    </row>
    <row r="318" spans="3:31" x14ac:dyDescent="0.4">
      <c r="C318" s="2848"/>
      <c r="D318" s="1159" t="s">
        <v>3077</v>
      </c>
      <c r="E318" s="1160" t="s">
        <v>3079</v>
      </c>
      <c r="F318" s="1161">
        <v>607646.82591882814</v>
      </c>
      <c r="G318" s="1161">
        <v>1096504.2731407266</v>
      </c>
      <c r="H318" s="1160" t="s">
        <v>334</v>
      </c>
      <c r="I318" s="1160" t="s">
        <v>334</v>
      </c>
      <c r="J318" s="1160" t="s">
        <v>3043</v>
      </c>
      <c r="K318" s="1101"/>
      <c r="L318" s="1160" t="s">
        <v>2903</v>
      </c>
      <c r="M318" s="1160" t="s">
        <v>2903</v>
      </c>
      <c r="N318" s="1160" t="s">
        <v>2903</v>
      </c>
      <c r="O318" s="1162" t="s">
        <v>2903</v>
      </c>
      <c r="P318" s="1160" t="s">
        <v>2903</v>
      </c>
      <c r="Q318" s="1207"/>
      <c r="R318" s="1161" t="s">
        <v>2903</v>
      </c>
      <c r="S318" s="1163" t="s">
        <v>2903</v>
      </c>
      <c r="T318" s="1164"/>
      <c r="U318" s="1161" t="s">
        <v>2903</v>
      </c>
      <c r="V318" s="1163" t="s">
        <v>2903</v>
      </c>
      <c r="W318" s="1150"/>
      <c r="X318" s="1161" t="s">
        <v>2903</v>
      </c>
      <c r="Y318" s="1163" t="s">
        <v>2903</v>
      </c>
      <c r="Z318" s="1133"/>
      <c r="AA318" s="1161" t="s">
        <v>2903</v>
      </c>
      <c r="AB318" s="1163" t="s">
        <v>2903</v>
      </c>
      <c r="AC318" s="1133"/>
      <c r="AD318" s="1161" t="s">
        <v>2903</v>
      </c>
      <c r="AE318" s="1163" t="s">
        <v>2903</v>
      </c>
    </row>
    <row r="319" spans="3:31" x14ac:dyDescent="0.4">
      <c r="C319" s="2830" t="s">
        <v>3308</v>
      </c>
      <c r="D319" s="1135" t="s">
        <v>3081</v>
      </c>
      <c r="E319" s="1133" t="s">
        <v>3082</v>
      </c>
      <c r="F319" s="1136">
        <v>592527.17399299995</v>
      </c>
      <c r="G319" s="1136">
        <v>1075888.68053</v>
      </c>
      <c r="H319" s="1135" t="s">
        <v>334</v>
      </c>
      <c r="I319" s="1133" t="s">
        <v>334</v>
      </c>
      <c r="J319" s="1133" t="s">
        <v>3083</v>
      </c>
      <c r="K319" s="1101"/>
      <c r="L319" s="1207" t="s">
        <v>2903</v>
      </c>
      <c r="M319" s="1207" t="s">
        <v>2903</v>
      </c>
      <c r="N319" s="1207" t="s">
        <v>2903</v>
      </c>
      <c r="O319" s="1208" t="s">
        <v>2903</v>
      </c>
      <c r="P319" s="1207" t="s">
        <v>2903</v>
      </c>
      <c r="Q319" s="1207"/>
      <c r="R319" s="1209" t="s">
        <v>2903</v>
      </c>
      <c r="S319" s="1210" t="s">
        <v>2903</v>
      </c>
      <c r="T319" s="1206"/>
      <c r="U319" s="1211" t="s">
        <v>2903</v>
      </c>
      <c r="V319" s="1210" t="s">
        <v>2903</v>
      </c>
      <c r="W319" s="1206"/>
      <c r="X319" s="1209" t="s">
        <v>2903</v>
      </c>
      <c r="Y319" s="1210" t="s">
        <v>2903</v>
      </c>
      <c r="Z319" s="1207"/>
      <c r="AA319" s="1211" t="s">
        <v>2903</v>
      </c>
      <c r="AB319" s="1210" t="s">
        <v>2903</v>
      </c>
      <c r="AC319" s="1207"/>
      <c r="AD319" s="1211" t="s">
        <v>2903</v>
      </c>
      <c r="AE319" s="1210" t="s">
        <v>2903</v>
      </c>
    </row>
    <row r="320" spans="3:31" x14ac:dyDescent="0.4">
      <c r="C320" s="2850"/>
      <c r="D320" s="1135" t="s">
        <v>3084</v>
      </c>
      <c r="E320" s="1133" t="s">
        <v>3085</v>
      </c>
      <c r="F320" s="1136">
        <v>597935.684289</v>
      </c>
      <c r="G320" s="1136">
        <v>1075672.9735900001</v>
      </c>
      <c r="H320" s="1135" t="s">
        <v>334</v>
      </c>
      <c r="I320" s="1133" t="s">
        <v>334</v>
      </c>
      <c r="J320" s="1133" t="s">
        <v>3083</v>
      </c>
      <c r="K320" s="1101"/>
      <c r="L320" s="1207" t="s">
        <v>2903</v>
      </c>
      <c r="M320" s="1207" t="s">
        <v>2903</v>
      </c>
      <c r="N320" s="1207" t="s">
        <v>2903</v>
      </c>
      <c r="O320" s="1208" t="s">
        <v>2903</v>
      </c>
      <c r="P320" s="1207" t="s">
        <v>2903</v>
      </c>
      <c r="Q320" s="1207"/>
      <c r="R320" s="1209" t="s">
        <v>2903</v>
      </c>
      <c r="S320" s="1210" t="s">
        <v>2903</v>
      </c>
      <c r="T320" s="1206"/>
      <c r="U320" s="1211" t="s">
        <v>2903</v>
      </c>
      <c r="V320" s="1210" t="s">
        <v>2903</v>
      </c>
      <c r="W320" s="1206"/>
      <c r="X320" s="1209" t="s">
        <v>2903</v>
      </c>
      <c r="Y320" s="1210" t="s">
        <v>2903</v>
      </c>
      <c r="Z320" s="1207"/>
      <c r="AA320" s="1211" t="s">
        <v>2903</v>
      </c>
      <c r="AB320" s="1210" t="s">
        <v>2903</v>
      </c>
      <c r="AC320" s="1207"/>
      <c r="AD320" s="1211" t="s">
        <v>2903</v>
      </c>
      <c r="AE320" s="1210" t="s">
        <v>2903</v>
      </c>
    </row>
    <row r="321" spans="3:31" x14ac:dyDescent="0.4">
      <c r="C321" s="2850"/>
      <c r="D321" s="1135" t="s">
        <v>3084</v>
      </c>
      <c r="E321" s="1133" t="s">
        <v>3086</v>
      </c>
      <c r="F321" s="1136">
        <v>615149.50571000006</v>
      </c>
      <c r="G321" s="1136">
        <v>1078051.2324600001</v>
      </c>
      <c r="H321" s="1135" t="s">
        <v>334</v>
      </c>
      <c r="I321" s="1133" t="s">
        <v>334</v>
      </c>
      <c r="J321" s="1133" t="s">
        <v>3083</v>
      </c>
      <c r="K321" s="1101"/>
      <c r="L321" s="1207" t="s">
        <v>2903</v>
      </c>
      <c r="M321" s="1207" t="s">
        <v>2903</v>
      </c>
      <c r="N321" s="1207" t="s">
        <v>2903</v>
      </c>
      <c r="O321" s="1208" t="s">
        <v>2903</v>
      </c>
      <c r="P321" s="1207" t="s">
        <v>2903</v>
      </c>
      <c r="Q321" s="1207"/>
      <c r="R321" s="1209" t="s">
        <v>2903</v>
      </c>
      <c r="S321" s="1210" t="s">
        <v>2903</v>
      </c>
      <c r="T321" s="1206"/>
      <c r="U321" s="1211" t="s">
        <v>2903</v>
      </c>
      <c r="V321" s="1210" t="s">
        <v>2903</v>
      </c>
      <c r="W321" s="1206"/>
      <c r="X321" s="1209" t="s">
        <v>2903</v>
      </c>
      <c r="Y321" s="1210" t="s">
        <v>2903</v>
      </c>
      <c r="Z321" s="1207"/>
      <c r="AA321" s="1211" t="s">
        <v>2903</v>
      </c>
      <c r="AB321" s="1210" t="s">
        <v>2903</v>
      </c>
      <c r="AC321" s="1207"/>
      <c r="AD321" s="1211" t="s">
        <v>2903</v>
      </c>
      <c r="AE321" s="1210" t="s">
        <v>2903</v>
      </c>
    </row>
    <row r="322" spans="3:31" x14ac:dyDescent="0.4">
      <c r="C322" s="2850"/>
      <c r="D322" s="1135" t="s">
        <v>3084</v>
      </c>
      <c r="E322" s="1133" t="s">
        <v>3087</v>
      </c>
      <c r="F322" s="1136">
        <v>619158.21645099996</v>
      </c>
      <c r="G322" s="1136">
        <v>1082458.2407500001</v>
      </c>
      <c r="H322" s="1135" t="s">
        <v>334</v>
      </c>
      <c r="I322" s="1133" t="s">
        <v>334</v>
      </c>
      <c r="J322" s="1133" t="s">
        <v>3083</v>
      </c>
      <c r="K322" s="1101"/>
      <c r="L322" s="1207" t="s">
        <v>2903</v>
      </c>
      <c r="M322" s="1207" t="s">
        <v>2903</v>
      </c>
      <c r="N322" s="1207" t="s">
        <v>2903</v>
      </c>
      <c r="O322" s="1208" t="s">
        <v>2903</v>
      </c>
      <c r="P322" s="1207" t="s">
        <v>2903</v>
      </c>
      <c r="Q322" s="1207"/>
      <c r="R322" s="1209" t="s">
        <v>2903</v>
      </c>
      <c r="S322" s="1210" t="s">
        <v>2903</v>
      </c>
      <c r="T322" s="1206"/>
      <c r="U322" s="1211" t="s">
        <v>2903</v>
      </c>
      <c r="V322" s="1210" t="s">
        <v>2903</v>
      </c>
      <c r="W322" s="1206"/>
      <c r="X322" s="1209" t="s">
        <v>2903</v>
      </c>
      <c r="Y322" s="1210" t="s">
        <v>2903</v>
      </c>
      <c r="Z322" s="1207"/>
      <c r="AA322" s="1211" t="s">
        <v>2903</v>
      </c>
      <c r="AB322" s="1210" t="s">
        <v>2903</v>
      </c>
      <c r="AC322" s="1207"/>
      <c r="AD322" s="1211" t="s">
        <v>2903</v>
      </c>
      <c r="AE322" s="1210" t="s">
        <v>2903</v>
      </c>
    </row>
    <row r="323" spans="3:31" x14ac:dyDescent="0.4">
      <c r="C323" s="2832" t="s">
        <v>3088</v>
      </c>
      <c r="D323" s="1125" t="s">
        <v>3089</v>
      </c>
      <c r="E323" s="1126" t="s">
        <v>3090</v>
      </c>
      <c r="F323" s="1127">
        <v>624974.12809500005</v>
      </c>
      <c r="G323" s="1127">
        <v>1062379.17001</v>
      </c>
      <c r="H323" s="1126" t="s">
        <v>334</v>
      </c>
      <c r="I323" s="1126" t="s">
        <v>828</v>
      </c>
      <c r="J323" s="1126" t="s">
        <v>3091</v>
      </c>
      <c r="K323" s="1101"/>
      <c r="L323" s="1126" t="s">
        <v>2903</v>
      </c>
      <c r="M323" s="1126" t="s">
        <v>2903</v>
      </c>
      <c r="N323" s="1126" t="s">
        <v>2903</v>
      </c>
      <c r="O323" s="1129" t="s">
        <v>2903</v>
      </c>
      <c r="P323" s="1126" t="s">
        <v>2903</v>
      </c>
      <c r="Q323" s="1207"/>
      <c r="R323" s="1127" t="s">
        <v>2903</v>
      </c>
      <c r="S323" s="1131" t="s">
        <v>2903</v>
      </c>
      <c r="T323" s="1132"/>
      <c r="U323" s="1127" t="s">
        <v>2903</v>
      </c>
      <c r="V323" s="1131" t="s">
        <v>2903</v>
      </c>
      <c r="W323" s="1150"/>
      <c r="X323" s="1127" t="s">
        <v>2903</v>
      </c>
      <c r="Y323" s="1131" t="s">
        <v>2903</v>
      </c>
      <c r="Z323" s="1133"/>
      <c r="AA323" s="1127" t="s">
        <v>2903</v>
      </c>
      <c r="AB323" s="1131" t="s">
        <v>2903</v>
      </c>
      <c r="AC323" s="1133"/>
      <c r="AD323" s="1127" t="s">
        <v>2903</v>
      </c>
      <c r="AE323" s="1131" t="s">
        <v>2903</v>
      </c>
    </row>
    <row r="324" spans="3:31" x14ac:dyDescent="0.4">
      <c r="C324" s="2848"/>
      <c r="D324" s="1125" t="s">
        <v>3089</v>
      </c>
      <c r="E324" s="1126" t="s">
        <v>3092</v>
      </c>
      <c r="F324" s="1127">
        <v>624971.39812400006</v>
      </c>
      <c r="G324" s="1127">
        <v>1060351.15711</v>
      </c>
      <c r="H324" s="1126" t="s">
        <v>334</v>
      </c>
      <c r="I324" s="1126" t="s">
        <v>828</v>
      </c>
      <c r="J324" s="1126" t="s">
        <v>3091</v>
      </c>
      <c r="K324" s="1101"/>
      <c r="L324" s="1126" t="s">
        <v>2903</v>
      </c>
      <c r="M324" s="1126" t="s">
        <v>2903</v>
      </c>
      <c r="N324" s="1126" t="s">
        <v>2903</v>
      </c>
      <c r="O324" s="1129" t="s">
        <v>2903</v>
      </c>
      <c r="P324" s="1126" t="s">
        <v>2903</v>
      </c>
      <c r="Q324" s="1207"/>
      <c r="R324" s="1127" t="s">
        <v>2903</v>
      </c>
      <c r="S324" s="1131" t="s">
        <v>2903</v>
      </c>
      <c r="T324" s="1132"/>
      <c r="U324" s="1127" t="s">
        <v>2903</v>
      </c>
      <c r="V324" s="1131" t="s">
        <v>2903</v>
      </c>
      <c r="W324" s="1150"/>
      <c r="X324" s="1127" t="s">
        <v>2903</v>
      </c>
      <c r="Y324" s="1131" t="s">
        <v>2903</v>
      </c>
      <c r="Z324" s="1133"/>
      <c r="AA324" s="1127" t="s">
        <v>2903</v>
      </c>
      <c r="AB324" s="1131" t="s">
        <v>2903</v>
      </c>
      <c r="AC324" s="1133"/>
      <c r="AD324" s="1127" t="s">
        <v>2903</v>
      </c>
      <c r="AE324" s="1131" t="s">
        <v>2903</v>
      </c>
    </row>
    <row r="325" spans="3:31" x14ac:dyDescent="0.4">
      <c r="C325" s="2848"/>
      <c r="D325" s="1125" t="s">
        <v>3089</v>
      </c>
      <c r="E325" s="1126" t="s">
        <v>3093</v>
      </c>
      <c r="F325" s="1127">
        <v>652225.83105200005</v>
      </c>
      <c r="G325" s="1127">
        <v>1050611.6472499999</v>
      </c>
      <c r="H325" s="1126" t="s">
        <v>334</v>
      </c>
      <c r="I325" s="1126" t="s">
        <v>828</v>
      </c>
      <c r="J325" s="1126" t="s">
        <v>3088</v>
      </c>
      <c r="K325" s="1101"/>
      <c r="L325" s="1126" t="s">
        <v>2903</v>
      </c>
      <c r="M325" s="1126" t="s">
        <v>2903</v>
      </c>
      <c r="N325" s="1126" t="s">
        <v>2903</v>
      </c>
      <c r="O325" s="1129" t="s">
        <v>2903</v>
      </c>
      <c r="P325" s="1126" t="s">
        <v>2903</v>
      </c>
      <c r="Q325" s="1207"/>
      <c r="R325" s="1127" t="s">
        <v>2903</v>
      </c>
      <c r="S325" s="1131" t="s">
        <v>2903</v>
      </c>
      <c r="T325" s="1132"/>
      <c r="U325" s="1127" t="s">
        <v>2903</v>
      </c>
      <c r="V325" s="1131" t="s">
        <v>2903</v>
      </c>
      <c r="W325" s="1150"/>
      <c r="X325" s="1127" t="s">
        <v>2903</v>
      </c>
      <c r="Y325" s="1131" t="s">
        <v>2903</v>
      </c>
      <c r="Z325" s="1133"/>
      <c r="AA325" s="1127" t="s">
        <v>2903</v>
      </c>
      <c r="AB325" s="1131" t="s">
        <v>2903</v>
      </c>
      <c r="AC325" s="1133"/>
      <c r="AD325" s="1127" t="s">
        <v>2903</v>
      </c>
      <c r="AE325" s="1131" t="s">
        <v>2903</v>
      </c>
    </row>
    <row r="326" spans="3:31" x14ac:dyDescent="0.4">
      <c r="C326" s="2830" t="s">
        <v>3094</v>
      </c>
      <c r="D326" s="1135" t="s">
        <v>3095</v>
      </c>
      <c r="E326" s="1133" t="s">
        <v>3096</v>
      </c>
      <c r="F326" s="1136">
        <v>520825.42225943832</v>
      </c>
      <c r="G326" s="1136">
        <v>1130420.8807922739</v>
      </c>
      <c r="H326" s="1133" t="s">
        <v>334</v>
      </c>
      <c r="I326" s="1133" t="s">
        <v>826</v>
      </c>
      <c r="J326" s="1133" t="s">
        <v>3097</v>
      </c>
      <c r="K326" s="1101"/>
      <c r="L326" s="1207" t="s">
        <v>2903</v>
      </c>
      <c r="M326" s="1207" t="s">
        <v>2903</v>
      </c>
      <c r="N326" s="1207" t="s">
        <v>2903</v>
      </c>
      <c r="O326" s="1208" t="s">
        <v>2903</v>
      </c>
      <c r="P326" s="1207" t="s">
        <v>2903</v>
      </c>
      <c r="Q326" s="1207"/>
      <c r="R326" s="1209" t="s">
        <v>2903</v>
      </c>
      <c r="S326" s="1210" t="s">
        <v>2903</v>
      </c>
      <c r="T326" s="1206"/>
      <c r="U326" s="1211" t="s">
        <v>2903</v>
      </c>
      <c r="V326" s="1210" t="s">
        <v>2903</v>
      </c>
      <c r="W326" s="1206"/>
      <c r="X326" s="1209" t="s">
        <v>2903</v>
      </c>
      <c r="Y326" s="1210" t="s">
        <v>2903</v>
      </c>
      <c r="Z326" s="1207"/>
      <c r="AA326" s="1211" t="s">
        <v>2903</v>
      </c>
      <c r="AB326" s="1210" t="s">
        <v>2903</v>
      </c>
      <c r="AC326" s="1207"/>
      <c r="AD326" s="1211" t="s">
        <v>2903</v>
      </c>
      <c r="AE326" s="1210" t="s">
        <v>2903</v>
      </c>
    </row>
    <row r="327" spans="3:31" x14ac:dyDescent="0.4">
      <c r="C327" s="2850"/>
      <c r="D327" s="1135" t="s">
        <v>3095</v>
      </c>
      <c r="E327" s="1133" t="s">
        <v>3098</v>
      </c>
      <c r="F327" s="1136">
        <v>521255.62175536982</v>
      </c>
      <c r="G327" s="1136">
        <v>1128763.54850037</v>
      </c>
      <c r="H327" s="1133" t="s">
        <v>334</v>
      </c>
      <c r="I327" s="1133" t="s">
        <v>826</v>
      </c>
      <c r="J327" s="1133" t="s">
        <v>3097</v>
      </c>
      <c r="K327" s="1101"/>
      <c r="L327" s="1207" t="s">
        <v>2903</v>
      </c>
      <c r="M327" s="1207" t="s">
        <v>2903</v>
      </c>
      <c r="N327" s="1207" t="s">
        <v>2903</v>
      </c>
      <c r="O327" s="1208" t="s">
        <v>2903</v>
      </c>
      <c r="P327" s="1207" t="s">
        <v>2903</v>
      </c>
      <c r="Q327" s="1207"/>
      <c r="R327" s="1209" t="s">
        <v>2903</v>
      </c>
      <c r="S327" s="1210" t="s">
        <v>2903</v>
      </c>
      <c r="T327" s="1206"/>
      <c r="U327" s="1211" t="s">
        <v>2903</v>
      </c>
      <c r="V327" s="1210" t="s">
        <v>2903</v>
      </c>
      <c r="W327" s="1206"/>
      <c r="X327" s="1209" t="s">
        <v>2903</v>
      </c>
      <c r="Y327" s="1210" t="s">
        <v>2903</v>
      </c>
      <c r="Z327" s="1207"/>
      <c r="AA327" s="1211" t="s">
        <v>2903</v>
      </c>
      <c r="AB327" s="1210" t="s">
        <v>2903</v>
      </c>
      <c r="AC327" s="1207"/>
      <c r="AD327" s="1211" t="s">
        <v>2903</v>
      </c>
      <c r="AE327" s="1210" t="s">
        <v>2903</v>
      </c>
    </row>
    <row r="328" spans="3:31" x14ac:dyDescent="0.4">
      <c r="C328" s="2850"/>
      <c r="D328" s="1135" t="s">
        <v>3095</v>
      </c>
      <c r="E328" s="1133" t="s">
        <v>3099</v>
      </c>
      <c r="F328" s="1136">
        <v>523998.05564395263</v>
      </c>
      <c r="G328" s="1136">
        <v>1137805.9637596633</v>
      </c>
      <c r="H328" s="1133" t="s">
        <v>334</v>
      </c>
      <c r="I328" s="1133" t="s">
        <v>826</v>
      </c>
      <c r="J328" s="1133" t="s">
        <v>3100</v>
      </c>
      <c r="K328" s="1101"/>
      <c r="L328" s="1207" t="s">
        <v>2903</v>
      </c>
      <c r="M328" s="1207" t="s">
        <v>2903</v>
      </c>
      <c r="N328" s="1207" t="s">
        <v>2903</v>
      </c>
      <c r="O328" s="1208" t="s">
        <v>2903</v>
      </c>
      <c r="P328" s="1207" t="s">
        <v>2903</v>
      </c>
      <c r="Q328" s="1207"/>
      <c r="R328" s="1209" t="s">
        <v>2903</v>
      </c>
      <c r="S328" s="1210" t="s">
        <v>2903</v>
      </c>
      <c r="T328" s="1206"/>
      <c r="U328" s="1211" t="s">
        <v>2903</v>
      </c>
      <c r="V328" s="1210" t="s">
        <v>2903</v>
      </c>
      <c r="W328" s="1206"/>
      <c r="X328" s="1209" t="s">
        <v>2903</v>
      </c>
      <c r="Y328" s="1210" t="s">
        <v>2903</v>
      </c>
      <c r="Z328" s="1207"/>
      <c r="AA328" s="1211" t="s">
        <v>2903</v>
      </c>
      <c r="AB328" s="1210" t="s">
        <v>2903</v>
      </c>
      <c r="AC328" s="1207"/>
      <c r="AD328" s="1211" t="s">
        <v>2903</v>
      </c>
      <c r="AE328" s="1210" t="s">
        <v>2903</v>
      </c>
    </row>
    <row r="329" spans="3:31" x14ac:dyDescent="0.4">
      <c r="C329" s="2850"/>
      <c r="D329" s="1135" t="s">
        <v>3095</v>
      </c>
      <c r="E329" s="1133" t="s">
        <v>3101</v>
      </c>
      <c r="F329" s="1136">
        <v>534432.40908333356</v>
      </c>
      <c r="G329" s="1136">
        <v>1147242.2668981161</v>
      </c>
      <c r="H329" s="1133" t="s">
        <v>334</v>
      </c>
      <c r="I329" s="1133" t="s">
        <v>826</v>
      </c>
      <c r="J329" s="1133" t="s">
        <v>3102</v>
      </c>
      <c r="K329" s="1101"/>
      <c r="L329" s="1207" t="s">
        <v>2903</v>
      </c>
      <c r="M329" s="1207" t="s">
        <v>2903</v>
      </c>
      <c r="N329" s="1207" t="s">
        <v>2903</v>
      </c>
      <c r="O329" s="1208" t="s">
        <v>2903</v>
      </c>
      <c r="P329" s="1207" t="s">
        <v>2903</v>
      </c>
      <c r="Q329" s="1207"/>
      <c r="R329" s="1209" t="s">
        <v>2903</v>
      </c>
      <c r="S329" s="1210" t="s">
        <v>2903</v>
      </c>
      <c r="T329" s="1206"/>
      <c r="U329" s="1211" t="s">
        <v>2903</v>
      </c>
      <c r="V329" s="1210" t="s">
        <v>2903</v>
      </c>
      <c r="W329" s="1206"/>
      <c r="X329" s="1209" t="s">
        <v>2903</v>
      </c>
      <c r="Y329" s="1210" t="s">
        <v>2903</v>
      </c>
      <c r="Z329" s="1207"/>
      <c r="AA329" s="1211" t="s">
        <v>2903</v>
      </c>
      <c r="AB329" s="1210" t="s">
        <v>2903</v>
      </c>
      <c r="AC329" s="1207"/>
      <c r="AD329" s="1211" t="s">
        <v>2903</v>
      </c>
      <c r="AE329" s="1210" t="s">
        <v>2903</v>
      </c>
    </row>
    <row r="330" spans="3:31" x14ac:dyDescent="0.4">
      <c r="C330" s="2848"/>
      <c r="D330" s="1135" t="s">
        <v>3095</v>
      </c>
      <c r="E330" s="1133" t="s">
        <v>3103</v>
      </c>
      <c r="F330" s="1136">
        <v>536063.47043958877</v>
      </c>
      <c r="G330" s="1136">
        <v>1149276.4199238133</v>
      </c>
      <c r="H330" s="1133" t="s">
        <v>334</v>
      </c>
      <c r="I330" s="1133" t="s">
        <v>826</v>
      </c>
      <c r="J330" s="1133" t="s">
        <v>3102</v>
      </c>
      <c r="K330" s="1101"/>
      <c r="L330" s="1207" t="s">
        <v>2903</v>
      </c>
      <c r="M330" s="1207" t="s">
        <v>2903</v>
      </c>
      <c r="N330" s="1207" t="s">
        <v>2903</v>
      </c>
      <c r="O330" s="1133" t="s">
        <v>2903</v>
      </c>
      <c r="P330" s="1133" t="s">
        <v>2903</v>
      </c>
      <c r="Q330" s="1207"/>
      <c r="R330" s="1209" t="s">
        <v>2903</v>
      </c>
      <c r="S330" s="1212" t="s">
        <v>2903</v>
      </c>
      <c r="T330" s="1213"/>
      <c r="U330" s="1209" t="s">
        <v>2903</v>
      </c>
      <c r="V330" s="1212" t="s">
        <v>2903</v>
      </c>
      <c r="W330" s="1213"/>
      <c r="X330" s="1209" t="s">
        <v>2903</v>
      </c>
      <c r="Y330" s="1212" t="s">
        <v>2903</v>
      </c>
      <c r="Z330" s="1209"/>
      <c r="AA330" s="1209" t="s">
        <v>2903</v>
      </c>
      <c r="AB330" s="1212" t="s">
        <v>2903</v>
      </c>
      <c r="AC330" s="1209"/>
      <c r="AD330" s="1209" t="s">
        <v>2903</v>
      </c>
      <c r="AE330" s="1212" t="s">
        <v>2903</v>
      </c>
    </row>
    <row r="331" spans="3:31" x14ac:dyDescent="0.4">
      <c r="C331" s="2829" t="s">
        <v>3104</v>
      </c>
      <c r="D331" s="1144" t="s">
        <v>3105</v>
      </c>
      <c r="E331" s="1145" t="s">
        <v>3106</v>
      </c>
      <c r="F331" s="1145">
        <v>349842</v>
      </c>
      <c r="G331" s="1145">
        <v>1117119</v>
      </c>
      <c r="H331" s="1145" t="s">
        <v>332</v>
      </c>
      <c r="I331" s="1145" t="s">
        <v>804</v>
      </c>
      <c r="J331" s="1145" t="s">
        <v>3107</v>
      </c>
      <c r="K331" s="1111"/>
      <c r="L331" s="1145">
        <v>4</v>
      </c>
      <c r="M331" s="1145">
        <v>3</v>
      </c>
      <c r="N331" s="1145">
        <v>1</v>
      </c>
      <c r="O331" s="1145">
        <v>75</v>
      </c>
      <c r="P331" s="1145">
        <v>0</v>
      </c>
      <c r="Q331" s="1150"/>
      <c r="R331" s="1145">
        <v>5</v>
      </c>
      <c r="S331" s="1148">
        <v>1</v>
      </c>
      <c r="T331" s="1149"/>
      <c r="U331" s="1146">
        <v>62</v>
      </c>
      <c r="V331" s="1148">
        <v>0</v>
      </c>
      <c r="W331" s="1150"/>
      <c r="X331" s="1146">
        <v>0.12</v>
      </c>
      <c r="Y331" s="1148">
        <v>1</v>
      </c>
      <c r="Z331" s="1150"/>
      <c r="AA331" s="1146">
        <v>8</v>
      </c>
      <c r="AB331" s="1148">
        <v>1</v>
      </c>
      <c r="AC331" s="1209"/>
      <c r="AD331" s="1146">
        <v>3.4</v>
      </c>
      <c r="AE331" s="1148">
        <v>1</v>
      </c>
    </row>
    <row r="332" spans="3:31" x14ac:dyDescent="0.4">
      <c r="C332" s="2847"/>
      <c r="D332" s="1144" t="s">
        <v>3105</v>
      </c>
      <c r="E332" s="1145" t="s">
        <v>3108</v>
      </c>
      <c r="F332" s="1145">
        <v>355309</v>
      </c>
      <c r="G332" s="1145">
        <v>1113777</v>
      </c>
      <c r="H332" s="1145" t="s">
        <v>332</v>
      </c>
      <c r="I332" s="1145" t="s">
        <v>804</v>
      </c>
      <c r="J332" s="1145" t="s">
        <v>3107</v>
      </c>
      <c r="K332" s="1111"/>
      <c r="L332" s="1145">
        <v>5</v>
      </c>
      <c r="M332" s="1145">
        <v>4</v>
      </c>
      <c r="N332" s="1145">
        <v>1</v>
      </c>
      <c r="O332" s="1145">
        <v>80</v>
      </c>
      <c r="P332" s="1145">
        <v>1</v>
      </c>
      <c r="Q332" s="1150"/>
      <c r="R332" s="1145">
        <v>4.8</v>
      </c>
      <c r="S332" s="1148">
        <v>1</v>
      </c>
      <c r="T332" s="1149"/>
      <c r="U332" s="1146">
        <v>54</v>
      </c>
      <c r="V332" s="1148">
        <v>0</v>
      </c>
      <c r="W332" s="1150"/>
      <c r="X332" s="1146">
        <v>0.15</v>
      </c>
      <c r="Y332" s="1148">
        <v>1</v>
      </c>
      <c r="Z332" s="1150"/>
      <c r="AA332" s="1146">
        <v>7.9</v>
      </c>
      <c r="AB332" s="1148">
        <v>1</v>
      </c>
      <c r="AC332" s="1209"/>
      <c r="AD332" s="1146">
        <v>3.4</v>
      </c>
      <c r="AE332" s="1148">
        <v>1</v>
      </c>
    </row>
    <row r="333" spans="3:31" x14ac:dyDescent="0.4">
      <c r="C333" s="2847"/>
      <c r="D333" s="1144" t="s">
        <v>3105</v>
      </c>
      <c r="E333" s="1145" t="s">
        <v>3109</v>
      </c>
      <c r="F333" s="1145">
        <v>365172</v>
      </c>
      <c r="G333" s="1145">
        <v>1112633</v>
      </c>
      <c r="H333" s="1145" t="s">
        <v>332</v>
      </c>
      <c r="I333" s="1145" t="s">
        <v>804</v>
      </c>
      <c r="J333" s="1145" t="s">
        <v>804</v>
      </c>
      <c r="K333" s="1111"/>
      <c r="L333" s="1145" t="s">
        <v>2903</v>
      </c>
      <c r="M333" s="1145" t="s">
        <v>2903</v>
      </c>
      <c r="N333" s="1145" t="s">
        <v>2903</v>
      </c>
      <c r="O333" s="1145" t="s">
        <v>2903</v>
      </c>
      <c r="P333" s="1145" t="s">
        <v>2903</v>
      </c>
      <c r="Q333" s="1150"/>
      <c r="R333" s="1145" t="s">
        <v>2903</v>
      </c>
      <c r="S333" s="1148" t="s">
        <v>2903</v>
      </c>
      <c r="T333" s="1149"/>
      <c r="U333" s="1146" t="s">
        <v>2903</v>
      </c>
      <c r="V333" s="1148" t="s">
        <v>2903</v>
      </c>
      <c r="W333" s="1150"/>
      <c r="X333" s="1146" t="s">
        <v>2903</v>
      </c>
      <c r="Y333" s="1148" t="s">
        <v>2903</v>
      </c>
      <c r="Z333" s="1150"/>
      <c r="AA333" s="1146" t="s">
        <v>2903</v>
      </c>
      <c r="AB333" s="1148" t="s">
        <v>2903</v>
      </c>
      <c r="AC333" s="1133"/>
      <c r="AD333" s="1146" t="s">
        <v>2903</v>
      </c>
      <c r="AE333" s="1148" t="s">
        <v>2903</v>
      </c>
    </row>
    <row r="334" spans="3:31" x14ac:dyDescent="0.4">
      <c r="C334" s="2847"/>
      <c r="D334" s="1144" t="s">
        <v>3110</v>
      </c>
      <c r="E334" s="1145" t="s">
        <v>3111</v>
      </c>
      <c r="F334" s="1145">
        <v>317976</v>
      </c>
      <c r="G334" s="1145">
        <v>1102883</v>
      </c>
      <c r="H334" s="1145" t="s">
        <v>332</v>
      </c>
      <c r="I334" s="1145" t="s">
        <v>804</v>
      </c>
      <c r="J334" s="1145" t="s">
        <v>3112</v>
      </c>
      <c r="K334" s="1111"/>
      <c r="L334" s="1145">
        <v>4</v>
      </c>
      <c r="M334" s="1145">
        <v>3</v>
      </c>
      <c r="N334" s="1145">
        <v>1</v>
      </c>
      <c r="O334" s="1145">
        <v>75</v>
      </c>
      <c r="P334" s="1145">
        <v>0</v>
      </c>
      <c r="Q334" s="1150"/>
      <c r="R334" s="1145">
        <v>7</v>
      </c>
      <c r="S334" s="1148">
        <v>0</v>
      </c>
      <c r="T334" s="1149"/>
      <c r="U334" s="1146">
        <v>93.6</v>
      </c>
      <c r="V334" s="1148">
        <v>1</v>
      </c>
      <c r="W334" s="1150"/>
      <c r="X334" s="1146">
        <v>0.11</v>
      </c>
      <c r="Y334" s="1148">
        <v>1</v>
      </c>
      <c r="Z334" s="1150"/>
      <c r="AA334" s="1146">
        <v>8.3000000000000007</v>
      </c>
      <c r="AB334" s="1148">
        <v>1</v>
      </c>
      <c r="AC334" s="1133"/>
      <c r="AD334" s="1146">
        <v>6</v>
      </c>
      <c r="AE334" s="1148">
        <v>1</v>
      </c>
    </row>
    <row r="335" spans="3:31" x14ac:dyDescent="0.4">
      <c r="C335" s="2847"/>
      <c r="D335" s="1144" t="s">
        <v>3110</v>
      </c>
      <c r="E335" s="1145" t="s">
        <v>3113</v>
      </c>
      <c r="F335" s="1145">
        <v>331169</v>
      </c>
      <c r="G335" s="1145">
        <v>1109457</v>
      </c>
      <c r="H335" s="1145" t="s">
        <v>332</v>
      </c>
      <c r="I335" s="1145" t="s">
        <v>804</v>
      </c>
      <c r="J335" s="1145" t="s">
        <v>3112</v>
      </c>
      <c r="K335" s="1111"/>
      <c r="L335" s="1145">
        <v>5</v>
      </c>
      <c r="M335" s="1145">
        <v>5</v>
      </c>
      <c r="N335" s="1145">
        <v>0</v>
      </c>
      <c r="O335" s="1145">
        <v>100</v>
      </c>
      <c r="P335" s="1145">
        <v>1</v>
      </c>
      <c r="Q335" s="1150"/>
      <c r="R335" s="1145">
        <v>5.8</v>
      </c>
      <c r="S335" s="1148">
        <v>1</v>
      </c>
      <c r="T335" s="1149"/>
      <c r="U335" s="1146">
        <v>72.400000000000006</v>
      </c>
      <c r="V335" s="1148">
        <v>1</v>
      </c>
      <c r="W335" s="1150"/>
      <c r="X335" s="1146">
        <v>0.09</v>
      </c>
      <c r="Y335" s="1148">
        <v>1</v>
      </c>
      <c r="Z335" s="1150"/>
      <c r="AA335" s="1146">
        <v>7.6</v>
      </c>
      <c r="AB335" s="1148">
        <v>1</v>
      </c>
      <c r="AC335" s="1133"/>
      <c r="AD335" s="1146">
        <v>3.4</v>
      </c>
      <c r="AE335" s="1148">
        <v>1</v>
      </c>
    </row>
    <row r="336" spans="3:31" x14ac:dyDescent="0.4">
      <c r="C336" s="2847"/>
      <c r="D336" s="1144" t="s">
        <v>3114</v>
      </c>
      <c r="E336" s="1145" t="s">
        <v>3115</v>
      </c>
      <c r="F336" s="1145">
        <v>367100</v>
      </c>
      <c r="G336" s="1145">
        <v>1077698</v>
      </c>
      <c r="H336" s="1145" t="s">
        <v>332</v>
      </c>
      <c r="I336" s="1145" t="s">
        <v>811</v>
      </c>
      <c r="J336" s="1145" t="s">
        <v>3116</v>
      </c>
      <c r="K336" s="1111"/>
      <c r="L336" s="1145" t="s">
        <v>2903</v>
      </c>
      <c r="M336" s="1145" t="s">
        <v>2903</v>
      </c>
      <c r="N336" s="1145" t="s">
        <v>2903</v>
      </c>
      <c r="O336" s="1145" t="s">
        <v>2903</v>
      </c>
      <c r="P336" s="1145" t="s">
        <v>2903</v>
      </c>
      <c r="Q336" s="1150"/>
      <c r="R336" s="1145" t="s">
        <v>2903</v>
      </c>
      <c r="S336" s="1148" t="s">
        <v>2903</v>
      </c>
      <c r="T336" s="1149"/>
      <c r="U336" s="1146" t="s">
        <v>2903</v>
      </c>
      <c r="V336" s="1148" t="s">
        <v>2903</v>
      </c>
      <c r="W336" s="1150"/>
      <c r="X336" s="1146" t="s">
        <v>2903</v>
      </c>
      <c r="Y336" s="1148" t="s">
        <v>2903</v>
      </c>
      <c r="Z336" s="1150"/>
      <c r="AA336" s="1146" t="s">
        <v>2903</v>
      </c>
      <c r="AB336" s="1148" t="s">
        <v>2903</v>
      </c>
      <c r="AC336" s="1133"/>
      <c r="AD336" s="1146" t="s">
        <v>2903</v>
      </c>
      <c r="AE336" s="1148" t="s">
        <v>2903</v>
      </c>
    </row>
    <row r="337" spans="3:31" x14ac:dyDescent="0.4">
      <c r="C337" s="2847"/>
      <c r="D337" s="1144" t="s">
        <v>3038</v>
      </c>
      <c r="E337" s="1145" t="s">
        <v>3117</v>
      </c>
      <c r="F337" s="1145">
        <v>369901</v>
      </c>
      <c r="G337" s="1145">
        <v>1088599</v>
      </c>
      <c r="H337" s="1145" t="s">
        <v>533</v>
      </c>
      <c r="I337" s="1145" t="s">
        <v>533</v>
      </c>
      <c r="J337" s="1145" t="s">
        <v>3118</v>
      </c>
      <c r="K337" s="1111"/>
      <c r="L337" s="1145" t="s">
        <v>2903</v>
      </c>
      <c r="M337" s="1145" t="s">
        <v>2903</v>
      </c>
      <c r="N337" s="1145" t="s">
        <v>2903</v>
      </c>
      <c r="O337" s="1145" t="s">
        <v>2903</v>
      </c>
      <c r="P337" s="1145" t="s">
        <v>2903</v>
      </c>
      <c r="Q337" s="1150"/>
      <c r="R337" s="1145" t="s">
        <v>2903</v>
      </c>
      <c r="S337" s="1148" t="s">
        <v>2903</v>
      </c>
      <c r="T337" s="1149"/>
      <c r="U337" s="1146" t="s">
        <v>2903</v>
      </c>
      <c r="V337" s="1148" t="s">
        <v>2903</v>
      </c>
      <c r="W337" s="1150"/>
      <c r="X337" s="1146" t="s">
        <v>2903</v>
      </c>
      <c r="Y337" s="1148" t="s">
        <v>2903</v>
      </c>
      <c r="Z337" s="1150"/>
      <c r="AA337" s="1146" t="s">
        <v>2903</v>
      </c>
      <c r="AB337" s="1148" t="s">
        <v>2903</v>
      </c>
      <c r="AC337" s="1133"/>
      <c r="AD337" s="1146" t="s">
        <v>2903</v>
      </c>
      <c r="AE337" s="1148" t="s">
        <v>2903</v>
      </c>
    </row>
    <row r="338" spans="3:31" x14ac:dyDescent="0.4">
      <c r="C338" s="2847"/>
      <c r="D338" s="1144" t="s">
        <v>3038</v>
      </c>
      <c r="E338" s="1145" t="s">
        <v>3119</v>
      </c>
      <c r="F338" s="1145">
        <v>369108</v>
      </c>
      <c r="G338" s="1145">
        <v>1075466</v>
      </c>
      <c r="H338" s="1145" t="s">
        <v>533</v>
      </c>
      <c r="I338" s="1145" t="s">
        <v>533</v>
      </c>
      <c r="J338" s="1145" t="s">
        <v>3120</v>
      </c>
      <c r="K338" s="1111"/>
      <c r="L338" s="1145" t="s">
        <v>2903</v>
      </c>
      <c r="M338" s="1145" t="s">
        <v>2903</v>
      </c>
      <c r="N338" s="1145" t="s">
        <v>2903</v>
      </c>
      <c r="O338" s="1145" t="s">
        <v>2903</v>
      </c>
      <c r="P338" s="1145" t="s">
        <v>2903</v>
      </c>
      <c r="Q338" s="1150"/>
      <c r="R338" s="1145" t="s">
        <v>2903</v>
      </c>
      <c r="S338" s="1148" t="s">
        <v>2903</v>
      </c>
      <c r="T338" s="1149"/>
      <c r="U338" s="1146" t="s">
        <v>2903</v>
      </c>
      <c r="V338" s="1148" t="s">
        <v>2903</v>
      </c>
      <c r="W338" s="1150"/>
      <c r="X338" s="1146" t="s">
        <v>2903</v>
      </c>
      <c r="Y338" s="1148" t="s">
        <v>2903</v>
      </c>
      <c r="Z338" s="1150"/>
      <c r="AA338" s="1146" t="s">
        <v>2903</v>
      </c>
      <c r="AB338" s="1148" t="s">
        <v>2903</v>
      </c>
      <c r="AC338" s="1133"/>
      <c r="AD338" s="1146" t="s">
        <v>2903</v>
      </c>
      <c r="AE338" s="1148" t="s">
        <v>2903</v>
      </c>
    </row>
    <row r="339" spans="3:31" x14ac:dyDescent="0.4">
      <c r="C339" s="2847"/>
      <c r="D339" s="1144" t="s">
        <v>3121</v>
      </c>
      <c r="E339" s="1145" t="s">
        <v>3122</v>
      </c>
      <c r="F339" s="1145">
        <v>377981</v>
      </c>
      <c r="G339" s="1145">
        <v>1077549</v>
      </c>
      <c r="H339" s="1145" t="s">
        <v>533</v>
      </c>
      <c r="I339" s="1145" t="s">
        <v>533</v>
      </c>
      <c r="J339" s="1145" t="s">
        <v>3120</v>
      </c>
      <c r="K339" s="1111"/>
      <c r="L339" s="1145" t="s">
        <v>2903</v>
      </c>
      <c r="M339" s="1145" t="s">
        <v>2903</v>
      </c>
      <c r="N339" s="1145" t="s">
        <v>2903</v>
      </c>
      <c r="O339" s="1145" t="s">
        <v>2903</v>
      </c>
      <c r="P339" s="1145" t="s">
        <v>2903</v>
      </c>
      <c r="Q339" s="1150"/>
      <c r="R339" s="1145" t="s">
        <v>2903</v>
      </c>
      <c r="S339" s="1148" t="s">
        <v>2903</v>
      </c>
      <c r="T339" s="1149"/>
      <c r="U339" s="1146" t="s">
        <v>2903</v>
      </c>
      <c r="V339" s="1148" t="s">
        <v>2903</v>
      </c>
      <c r="W339" s="1150"/>
      <c r="X339" s="1146" t="s">
        <v>2903</v>
      </c>
      <c r="Y339" s="1148" t="s">
        <v>2903</v>
      </c>
      <c r="Z339" s="1150"/>
      <c r="AA339" s="1146" t="s">
        <v>2903</v>
      </c>
      <c r="AB339" s="1148" t="s">
        <v>2903</v>
      </c>
      <c r="AC339" s="1133"/>
      <c r="AD339" s="1146" t="s">
        <v>2903</v>
      </c>
      <c r="AE339" s="1148" t="s">
        <v>2903</v>
      </c>
    </row>
    <row r="340" spans="3:31" x14ac:dyDescent="0.4">
      <c r="C340" s="2830" t="s">
        <v>3123</v>
      </c>
      <c r="D340" s="1135" t="s">
        <v>3124</v>
      </c>
      <c r="E340" s="1133" t="s">
        <v>3125</v>
      </c>
      <c r="F340" s="1133">
        <v>331594</v>
      </c>
      <c r="G340" s="1133">
        <v>1196861</v>
      </c>
      <c r="H340" s="1133" t="s">
        <v>332</v>
      </c>
      <c r="I340" s="1133" t="s">
        <v>803</v>
      </c>
      <c r="J340" s="1133" t="s">
        <v>803</v>
      </c>
      <c r="K340" s="1111"/>
      <c r="L340" s="1135">
        <v>4</v>
      </c>
      <c r="M340" s="1135">
        <v>3</v>
      </c>
      <c r="N340" s="1135">
        <v>1</v>
      </c>
      <c r="O340" s="1135">
        <v>75</v>
      </c>
      <c r="P340" s="1135">
        <v>0</v>
      </c>
      <c r="Q340" s="1184"/>
      <c r="R340" s="1135">
        <v>14.1</v>
      </c>
      <c r="S340" s="1177">
        <v>0</v>
      </c>
      <c r="T340" s="1184"/>
      <c r="U340" s="1176">
        <v>87</v>
      </c>
      <c r="V340" s="1177">
        <v>1</v>
      </c>
      <c r="W340" s="1184"/>
      <c r="X340" s="1176">
        <v>0.1</v>
      </c>
      <c r="Y340" s="1177">
        <v>1</v>
      </c>
      <c r="Z340" s="1184"/>
      <c r="AA340" s="1176">
        <v>7.8</v>
      </c>
      <c r="AB340" s="1177">
        <v>1</v>
      </c>
      <c r="AC340" s="1184"/>
      <c r="AD340" s="1176">
        <v>3.4</v>
      </c>
      <c r="AE340" s="1177">
        <v>1</v>
      </c>
    </row>
    <row r="341" spans="3:31" x14ac:dyDescent="0.4">
      <c r="C341" s="2846"/>
      <c r="D341" s="1135" t="s">
        <v>3126</v>
      </c>
      <c r="E341" s="1133" t="s">
        <v>3127</v>
      </c>
      <c r="F341" s="1133">
        <v>341394</v>
      </c>
      <c r="G341" s="1133">
        <v>1198407</v>
      </c>
      <c r="H341" s="1133" t="s">
        <v>332</v>
      </c>
      <c r="I341" s="1133" t="s">
        <v>803</v>
      </c>
      <c r="J341" s="1133" t="s">
        <v>803</v>
      </c>
      <c r="K341" s="1111"/>
      <c r="L341" s="1135">
        <v>5</v>
      </c>
      <c r="M341" s="1135">
        <v>4</v>
      </c>
      <c r="N341" s="1135">
        <v>1</v>
      </c>
      <c r="O341" s="1135">
        <v>80</v>
      </c>
      <c r="P341" s="1135">
        <v>1</v>
      </c>
      <c r="Q341" s="1184"/>
      <c r="R341" s="1135">
        <v>16</v>
      </c>
      <c r="S341" s="1177">
        <v>0</v>
      </c>
      <c r="T341" s="1184"/>
      <c r="U341" s="1176">
        <v>88.7</v>
      </c>
      <c r="V341" s="1177">
        <v>1</v>
      </c>
      <c r="W341" s="1184"/>
      <c r="X341" s="1176">
        <v>0.1</v>
      </c>
      <c r="Y341" s="1177">
        <v>1</v>
      </c>
      <c r="Z341" s="1184"/>
      <c r="AA341" s="1176">
        <v>8.1999999999999993</v>
      </c>
      <c r="AB341" s="1177">
        <v>1</v>
      </c>
      <c r="AC341" s="1184"/>
      <c r="AD341" s="1176">
        <v>11.8</v>
      </c>
      <c r="AE341" s="1177">
        <v>1</v>
      </c>
    </row>
    <row r="342" spans="3:31" x14ac:dyDescent="0.4">
      <c r="C342" s="2846"/>
      <c r="D342" s="1135" t="s">
        <v>3128</v>
      </c>
      <c r="E342" s="1133" t="s">
        <v>3129</v>
      </c>
      <c r="F342" s="1133">
        <v>329305</v>
      </c>
      <c r="G342" s="1133">
        <v>1176957</v>
      </c>
      <c r="H342" s="1133" t="s">
        <v>332</v>
      </c>
      <c r="I342" s="1133" t="s">
        <v>803</v>
      </c>
      <c r="J342" s="1133" t="s">
        <v>803</v>
      </c>
      <c r="K342" s="1111"/>
      <c r="L342" s="1135">
        <v>5</v>
      </c>
      <c r="M342" s="1135">
        <v>4</v>
      </c>
      <c r="N342" s="1135">
        <v>1</v>
      </c>
      <c r="O342" s="1135">
        <v>80</v>
      </c>
      <c r="P342" s="1135">
        <v>1</v>
      </c>
      <c r="Q342" s="1184"/>
      <c r="R342" s="1135">
        <v>16.5</v>
      </c>
      <c r="S342" s="1177">
        <v>0</v>
      </c>
      <c r="T342" s="1184"/>
      <c r="U342" s="1176">
        <v>71.7</v>
      </c>
      <c r="V342" s="1177">
        <v>1</v>
      </c>
      <c r="W342" s="1184"/>
      <c r="X342" s="1176">
        <v>0</v>
      </c>
      <c r="Y342" s="1177">
        <v>1</v>
      </c>
      <c r="Z342" s="1184"/>
      <c r="AA342" s="1176">
        <v>7.3</v>
      </c>
      <c r="AB342" s="1177">
        <v>1</v>
      </c>
      <c r="AC342" s="1184"/>
      <c r="AD342" s="1176">
        <v>6</v>
      </c>
      <c r="AE342" s="1177">
        <v>1</v>
      </c>
    </row>
    <row r="343" spans="3:31" x14ac:dyDescent="0.4">
      <c r="C343" s="2846"/>
      <c r="D343" s="1135" t="s">
        <v>3130</v>
      </c>
      <c r="E343" s="1133" t="s">
        <v>3131</v>
      </c>
      <c r="F343" s="1133">
        <v>344627</v>
      </c>
      <c r="G343" s="1133">
        <v>1176883</v>
      </c>
      <c r="H343" s="1133" t="s">
        <v>332</v>
      </c>
      <c r="I343" s="1133" t="s">
        <v>803</v>
      </c>
      <c r="J343" s="1133" t="s">
        <v>803</v>
      </c>
      <c r="K343" s="1111"/>
      <c r="L343" s="1135">
        <v>4</v>
      </c>
      <c r="M343" s="1135">
        <v>3</v>
      </c>
      <c r="N343" s="1135">
        <v>1</v>
      </c>
      <c r="O343" s="1135">
        <v>75</v>
      </c>
      <c r="P343" s="1135">
        <v>0</v>
      </c>
      <c r="Q343" s="1184"/>
      <c r="R343" s="1135">
        <v>15.5</v>
      </c>
      <c r="S343" s="1177">
        <v>0</v>
      </c>
      <c r="T343" s="1184"/>
      <c r="U343" s="1176">
        <v>84.1</v>
      </c>
      <c r="V343" s="1177">
        <v>1</v>
      </c>
      <c r="W343" s="1184"/>
      <c r="X343" s="1176">
        <v>0.14000000000000001</v>
      </c>
      <c r="Y343" s="1177">
        <v>1</v>
      </c>
      <c r="Z343" s="1184"/>
      <c r="AA343" s="1176">
        <v>7.6</v>
      </c>
      <c r="AB343" s="1177">
        <v>1</v>
      </c>
      <c r="AC343" s="1184"/>
      <c r="AD343" s="1176">
        <v>24.7</v>
      </c>
      <c r="AE343" s="1177">
        <v>1</v>
      </c>
    </row>
    <row r="344" spans="3:31" x14ac:dyDescent="0.4">
      <c r="C344" s="2846"/>
      <c r="D344" s="1135" t="s">
        <v>3132</v>
      </c>
      <c r="E344" s="1133" t="s">
        <v>3133</v>
      </c>
      <c r="F344" s="1133">
        <v>328127</v>
      </c>
      <c r="G344" s="1133">
        <v>1160366</v>
      </c>
      <c r="H344" s="1133" t="s">
        <v>332</v>
      </c>
      <c r="I344" s="1133" t="s">
        <v>807</v>
      </c>
      <c r="J344" s="1133" t="s">
        <v>3134</v>
      </c>
      <c r="K344" s="1111"/>
      <c r="L344" s="1135">
        <v>5</v>
      </c>
      <c r="M344" s="1135">
        <v>5</v>
      </c>
      <c r="N344" s="1135">
        <v>0</v>
      </c>
      <c r="O344" s="1135">
        <v>100</v>
      </c>
      <c r="P344" s="1135">
        <v>1</v>
      </c>
      <c r="Q344" s="1184"/>
      <c r="R344" s="1135">
        <v>4</v>
      </c>
      <c r="S344" s="1177">
        <v>1</v>
      </c>
      <c r="T344" s="1184"/>
      <c r="U344" s="1176">
        <v>76.400000000000006</v>
      </c>
      <c r="V344" s="1177">
        <v>1</v>
      </c>
      <c r="W344" s="1184"/>
      <c r="X344" s="1176">
        <v>0.15</v>
      </c>
      <c r="Y344" s="1177">
        <v>1</v>
      </c>
      <c r="Z344" s="1184"/>
      <c r="AA344" s="1176">
        <v>7.5</v>
      </c>
      <c r="AB344" s="1177">
        <v>1</v>
      </c>
      <c r="AC344" s="1184"/>
      <c r="AD344" s="1176">
        <v>7.7</v>
      </c>
      <c r="AE344" s="1177">
        <v>1</v>
      </c>
    </row>
    <row r="345" spans="3:31" x14ac:dyDescent="0.4">
      <c r="C345" s="2846"/>
      <c r="D345" s="1135" t="s">
        <v>3132</v>
      </c>
      <c r="E345" s="1133" t="s">
        <v>3135</v>
      </c>
      <c r="F345" s="1133">
        <v>331385</v>
      </c>
      <c r="G345" s="1133">
        <v>1154818</v>
      </c>
      <c r="H345" s="1133" t="s">
        <v>332</v>
      </c>
      <c r="I345" s="1133" t="s">
        <v>807</v>
      </c>
      <c r="J345" s="1133" t="s">
        <v>3134</v>
      </c>
      <c r="K345" s="1111"/>
      <c r="L345" s="1135" t="s">
        <v>2903</v>
      </c>
      <c r="M345" s="1135" t="s">
        <v>2903</v>
      </c>
      <c r="N345" s="1135" t="s">
        <v>2903</v>
      </c>
      <c r="O345" s="1135" t="s">
        <v>2903</v>
      </c>
      <c r="P345" s="1135" t="s">
        <v>2903</v>
      </c>
      <c r="Q345" s="1184"/>
      <c r="R345" s="1135" t="s">
        <v>2903</v>
      </c>
      <c r="S345" s="1177" t="s">
        <v>2903</v>
      </c>
      <c r="T345" s="1184"/>
      <c r="U345" s="1176" t="s">
        <v>2903</v>
      </c>
      <c r="V345" s="1177" t="s">
        <v>2903</v>
      </c>
      <c r="W345" s="1184"/>
      <c r="X345" s="1176" t="s">
        <v>2903</v>
      </c>
      <c r="Y345" s="1177" t="s">
        <v>2903</v>
      </c>
      <c r="Z345" s="1184"/>
      <c r="AA345" s="1176" t="s">
        <v>2903</v>
      </c>
      <c r="AB345" s="1177" t="s">
        <v>2903</v>
      </c>
      <c r="AC345" s="1135"/>
      <c r="AD345" s="1176" t="s">
        <v>2903</v>
      </c>
      <c r="AE345" s="1177" t="s">
        <v>2903</v>
      </c>
    </row>
    <row r="346" spans="3:31" x14ac:dyDescent="0.4">
      <c r="C346" s="2846"/>
      <c r="D346" s="1135" t="s">
        <v>3132</v>
      </c>
      <c r="E346" s="1133" t="s">
        <v>3136</v>
      </c>
      <c r="F346" s="1133">
        <v>346688</v>
      </c>
      <c r="G346" s="1133">
        <v>1148109</v>
      </c>
      <c r="H346" s="1133" t="s">
        <v>332</v>
      </c>
      <c r="I346" s="1133" t="s">
        <v>805</v>
      </c>
      <c r="J346" s="1133" t="s">
        <v>3137</v>
      </c>
      <c r="K346" s="1111"/>
      <c r="L346" s="1135">
        <v>4</v>
      </c>
      <c r="M346" s="1135">
        <v>3</v>
      </c>
      <c r="N346" s="1135">
        <v>1</v>
      </c>
      <c r="O346" s="1135">
        <v>75</v>
      </c>
      <c r="P346" s="1135">
        <v>0</v>
      </c>
      <c r="Q346" s="1184"/>
      <c r="R346" s="1135">
        <v>4.3</v>
      </c>
      <c r="S346" s="1177">
        <v>1</v>
      </c>
      <c r="T346" s="1184"/>
      <c r="U346" s="1176">
        <v>63.6</v>
      </c>
      <c r="V346" s="1177">
        <v>0</v>
      </c>
      <c r="W346" s="1184"/>
      <c r="X346" s="1176">
        <v>0.15</v>
      </c>
      <c r="Y346" s="1177">
        <v>1</v>
      </c>
      <c r="Z346" s="1184"/>
      <c r="AA346" s="1176">
        <v>7.4</v>
      </c>
      <c r="AB346" s="1177">
        <v>1</v>
      </c>
      <c r="AC346" s="1184"/>
      <c r="AD346" s="1176">
        <v>214</v>
      </c>
      <c r="AE346" s="1177">
        <v>0</v>
      </c>
    </row>
    <row r="347" spans="3:31" x14ac:dyDescent="0.4">
      <c r="C347" s="2846"/>
      <c r="D347" s="1135" t="s">
        <v>3138</v>
      </c>
      <c r="E347" s="1133" t="s">
        <v>3139</v>
      </c>
      <c r="F347" s="1133">
        <v>340111</v>
      </c>
      <c r="G347" s="1133">
        <v>1147032</v>
      </c>
      <c r="H347" s="1133" t="s">
        <v>332</v>
      </c>
      <c r="I347" s="1133" t="s">
        <v>805</v>
      </c>
      <c r="J347" s="1133" t="s">
        <v>3137</v>
      </c>
      <c r="K347" s="1111"/>
      <c r="L347" s="1135">
        <v>5</v>
      </c>
      <c r="M347" s="1135">
        <v>3</v>
      </c>
      <c r="N347" s="1135">
        <v>2</v>
      </c>
      <c r="O347" s="1135">
        <v>60</v>
      </c>
      <c r="P347" s="1135">
        <v>0</v>
      </c>
      <c r="Q347" s="1184"/>
      <c r="R347" s="1135">
        <v>24.1</v>
      </c>
      <c r="S347" s="1177">
        <v>0</v>
      </c>
      <c r="T347" s="1184"/>
      <c r="U347" s="1176">
        <v>35.700000000000003</v>
      </c>
      <c r="V347" s="1177">
        <v>0</v>
      </c>
      <c r="W347" s="1184"/>
      <c r="X347" s="1176">
        <v>0.19</v>
      </c>
      <c r="Y347" s="1177">
        <v>1</v>
      </c>
      <c r="Z347" s="1184"/>
      <c r="AA347" s="1176">
        <v>7.7</v>
      </c>
      <c r="AB347" s="1177">
        <v>1</v>
      </c>
      <c r="AC347" s="1184"/>
      <c r="AD347" s="1176">
        <v>2552</v>
      </c>
      <c r="AE347" s="1177">
        <v>0</v>
      </c>
    </row>
    <row r="348" spans="3:31" x14ac:dyDescent="0.4">
      <c r="C348" s="2846"/>
      <c r="D348" s="1135" t="s">
        <v>3140</v>
      </c>
      <c r="E348" s="1133" t="s">
        <v>3141</v>
      </c>
      <c r="F348" s="1133">
        <v>325936</v>
      </c>
      <c r="G348" s="1133">
        <v>1135312</v>
      </c>
      <c r="H348" s="1133" t="s">
        <v>332</v>
      </c>
      <c r="I348" s="1133" t="s">
        <v>805</v>
      </c>
      <c r="J348" s="1133" t="s">
        <v>3142</v>
      </c>
      <c r="K348" s="1111"/>
      <c r="L348" s="1135" t="s">
        <v>2903</v>
      </c>
      <c r="M348" s="1135" t="s">
        <v>2903</v>
      </c>
      <c r="N348" s="1135" t="s">
        <v>2903</v>
      </c>
      <c r="O348" s="1135" t="s">
        <v>2903</v>
      </c>
      <c r="P348" s="1135" t="s">
        <v>2903</v>
      </c>
      <c r="Q348" s="1184"/>
      <c r="R348" s="1135" t="s">
        <v>2903</v>
      </c>
      <c r="S348" s="1177">
        <v>0</v>
      </c>
      <c r="T348" s="1184"/>
      <c r="U348" s="1176" t="s">
        <v>2903</v>
      </c>
      <c r="V348" s="1177">
        <v>0</v>
      </c>
      <c r="W348" s="1184"/>
      <c r="X348" s="1176" t="s">
        <v>2903</v>
      </c>
      <c r="Y348" s="1177">
        <v>0</v>
      </c>
      <c r="Z348" s="1184"/>
      <c r="AA348" s="1176" t="s">
        <v>2903</v>
      </c>
      <c r="AB348" s="1177">
        <v>0</v>
      </c>
      <c r="AC348" s="1184"/>
      <c r="AD348" s="1176" t="s">
        <v>2903</v>
      </c>
      <c r="AE348" s="1177">
        <v>0</v>
      </c>
    </row>
    <row r="349" spans="3:31" x14ac:dyDescent="0.4">
      <c r="C349" s="2846"/>
      <c r="D349" s="1135" t="s">
        <v>3143</v>
      </c>
      <c r="E349" s="1133" t="s">
        <v>3144</v>
      </c>
      <c r="F349" s="1133">
        <v>328051</v>
      </c>
      <c r="G349" s="1133">
        <v>1144877</v>
      </c>
      <c r="H349" s="1133" t="s">
        <v>332</v>
      </c>
      <c r="I349" s="1133" t="s">
        <v>805</v>
      </c>
      <c r="J349" s="1133" t="s">
        <v>3142</v>
      </c>
      <c r="K349" s="1111"/>
      <c r="L349" s="1135">
        <v>5</v>
      </c>
      <c r="M349" s="1135">
        <v>4</v>
      </c>
      <c r="N349" s="1135">
        <v>1</v>
      </c>
      <c r="O349" s="1135">
        <v>80</v>
      </c>
      <c r="P349" s="1135">
        <v>1</v>
      </c>
      <c r="Q349" s="1184"/>
      <c r="R349" s="1135">
        <v>9.6</v>
      </c>
      <c r="S349" s="1177">
        <v>0</v>
      </c>
      <c r="T349" s="1184"/>
      <c r="U349" s="1176">
        <v>72</v>
      </c>
      <c r="V349" s="1177">
        <v>1</v>
      </c>
      <c r="W349" s="1184"/>
      <c r="X349" s="1176">
        <v>0.19</v>
      </c>
      <c r="Y349" s="1177">
        <v>1</v>
      </c>
      <c r="Z349" s="1184"/>
      <c r="AA349" s="1176">
        <v>8.1</v>
      </c>
      <c r="AB349" s="1177">
        <v>1</v>
      </c>
      <c r="AC349" s="1184"/>
      <c r="AD349" s="1176">
        <v>12.9</v>
      </c>
      <c r="AE349" s="1177">
        <v>1</v>
      </c>
    </row>
    <row r="350" spans="3:31" x14ac:dyDescent="0.4">
      <c r="C350" s="2846"/>
      <c r="D350" s="1135" t="s">
        <v>3143</v>
      </c>
      <c r="E350" s="1133" t="s">
        <v>3145</v>
      </c>
      <c r="F350" s="1133">
        <v>318168</v>
      </c>
      <c r="G350" s="1133">
        <v>1140501</v>
      </c>
      <c r="H350" s="1133" t="s">
        <v>332</v>
      </c>
      <c r="I350" s="1133" t="s">
        <v>805</v>
      </c>
      <c r="J350" s="1133" t="s">
        <v>3142</v>
      </c>
      <c r="K350" s="1111"/>
      <c r="L350" s="1135">
        <v>5</v>
      </c>
      <c r="M350" s="1135">
        <v>4</v>
      </c>
      <c r="N350" s="1135">
        <v>1</v>
      </c>
      <c r="O350" s="1135">
        <v>80</v>
      </c>
      <c r="P350" s="1135">
        <v>1</v>
      </c>
      <c r="Q350" s="1184"/>
      <c r="R350" s="1135">
        <v>12</v>
      </c>
      <c r="S350" s="1177">
        <v>0</v>
      </c>
      <c r="T350" s="1184"/>
      <c r="U350" s="1176">
        <v>82.7</v>
      </c>
      <c r="V350" s="1177">
        <v>1</v>
      </c>
      <c r="W350" s="1184"/>
      <c r="X350" s="1176">
        <v>0.11</v>
      </c>
      <c r="Y350" s="1177">
        <v>1</v>
      </c>
      <c r="Z350" s="1184"/>
      <c r="AA350" s="1176">
        <v>8.3000000000000007</v>
      </c>
      <c r="AB350" s="1177">
        <v>1</v>
      </c>
      <c r="AC350" s="1184"/>
      <c r="AD350" s="1176">
        <v>20</v>
      </c>
      <c r="AE350" s="1177">
        <v>1</v>
      </c>
    </row>
    <row r="351" spans="3:31" x14ac:dyDescent="0.4">
      <c r="C351" s="2822" t="s">
        <v>809</v>
      </c>
      <c r="D351" s="1178" t="s">
        <v>3146</v>
      </c>
      <c r="E351" s="1179" t="s">
        <v>3147</v>
      </c>
      <c r="F351" s="1180">
        <v>400868.82</v>
      </c>
      <c r="G351" s="1180">
        <v>1140315.75</v>
      </c>
      <c r="H351" s="1178" t="s">
        <v>332</v>
      </c>
      <c r="I351" s="1179" t="s">
        <v>809</v>
      </c>
      <c r="J351" s="1179" t="s">
        <v>2936</v>
      </c>
      <c r="K351" s="1101"/>
      <c r="L351" s="1179" t="s">
        <v>2903</v>
      </c>
      <c r="M351" s="1179" t="s">
        <v>2903</v>
      </c>
      <c r="N351" s="1179" t="s">
        <v>2903</v>
      </c>
      <c r="O351" s="1181" t="s">
        <v>2903</v>
      </c>
      <c r="P351" s="1179" t="s">
        <v>2903</v>
      </c>
      <c r="Q351" s="1133"/>
      <c r="R351" s="1180" t="s">
        <v>2903</v>
      </c>
      <c r="S351" s="1182" t="s">
        <v>2903</v>
      </c>
      <c r="T351" s="1183"/>
      <c r="U351" s="1180" t="s">
        <v>2903</v>
      </c>
      <c r="V351" s="1182" t="s">
        <v>2903</v>
      </c>
      <c r="W351" s="1133"/>
      <c r="X351" s="1180" t="s">
        <v>2903</v>
      </c>
      <c r="Y351" s="1182" t="s">
        <v>2903</v>
      </c>
      <c r="Z351" s="1133"/>
      <c r="AA351" s="1180" t="s">
        <v>2903</v>
      </c>
      <c r="AB351" s="1182" t="s">
        <v>2903</v>
      </c>
      <c r="AC351" s="1133"/>
      <c r="AD351" s="1180" t="s">
        <v>2903</v>
      </c>
      <c r="AE351" s="1182" t="s">
        <v>2903</v>
      </c>
    </row>
    <row r="352" spans="3:31" x14ac:dyDescent="0.4">
      <c r="C352" s="2847"/>
      <c r="D352" s="1178" t="s">
        <v>3148</v>
      </c>
      <c r="E352" s="1179" t="s">
        <v>3149</v>
      </c>
      <c r="F352" s="1180">
        <v>398847.55</v>
      </c>
      <c r="G352" s="1180">
        <v>1137200.72</v>
      </c>
      <c r="H352" s="1178" t="s">
        <v>332</v>
      </c>
      <c r="I352" s="1179" t="s">
        <v>809</v>
      </c>
      <c r="J352" s="1178" t="s">
        <v>3150</v>
      </c>
      <c r="K352" s="1101"/>
      <c r="L352" s="1179" t="s">
        <v>2903</v>
      </c>
      <c r="M352" s="1179" t="s">
        <v>2903</v>
      </c>
      <c r="N352" s="1179" t="s">
        <v>2903</v>
      </c>
      <c r="O352" s="1181" t="s">
        <v>2903</v>
      </c>
      <c r="P352" s="1179" t="s">
        <v>2903</v>
      </c>
      <c r="Q352" s="1133"/>
      <c r="R352" s="1180" t="s">
        <v>2903</v>
      </c>
      <c r="S352" s="1182" t="s">
        <v>2903</v>
      </c>
      <c r="T352" s="1183"/>
      <c r="U352" s="1180" t="s">
        <v>2903</v>
      </c>
      <c r="V352" s="1182" t="s">
        <v>2903</v>
      </c>
      <c r="W352" s="1133"/>
      <c r="X352" s="1180" t="s">
        <v>2903</v>
      </c>
      <c r="Y352" s="1182" t="s">
        <v>2903</v>
      </c>
      <c r="Z352" s="1133"/>
      <c r="AA352" s="1180" t="s">
        <v>2903</v>
      </c>
      <c r="AB352" s="1182" t="s">
        <v>2903</v>
      </c>
      <c r="AC352" s="1133"/>
      <c r="AD352" s="1180" t="s">
        <v>2903</v>
      </c>
      <c r="AE352" s="1182" t="s">
        <v>2903</v>
      </c>
    </row>
    <row r="353" spans="3:31" x14ac:dyDescent="0.4">
      <c r="C353" s="2847"/>
      <c r="D353" s="1178" t="s">
        <v>3148</v>
      </c>
      <c r="E353" s="1179" t="s">
        <v>3151</v>
      </c>
      <c r="F353" s="1180">
        <v>393838.02</v>
      </c>
      <c r="G353" s="1180">
        <v>1136985.83</v>
      </c>
      <c r="H353" s="1178" t="s">
        <v>332</v>
      </c>
      <c r="I353" s="1179" t="s">
        <v>809</v>
      </c>
      <c r="J353" s="1179" t="s">
        <v>3152</v>
      </c>
      <c r="K353" s="1101"/>
      <c r="L353" s="1179" t="s">
        <v>2903</v>
      </c>
      <c r="M353" s="1179" t="s">
        <v>2903</v>
      </c>
      <c r="N353" s="1179" t="s">
        <v>2903</v>
      </c>
      <c r="O353" s="1181" t="s">
        <v>2903</v>
      </c>
      <c r="P353" s="1179" t="s">
        <v>2903</v>
      </c>
      <c r="Q353" s="1133"/>
      <c r="R353" s="1180" t="s">
        <v>2903</v>
      </c>
      <c r="S353" s="1182" t="s">
        <v>2903</v>
      </c>
      <c r="T353" s="1183"/>
      <c r="U353" s="1180" t="s">
        <v>2903</v>
      </c>
      <c r="V353" s="1182" t="s">
        <v>2903</v>
      </c>
      <c r="W353" s="1133"/>
      <c r="X353" s="1180" t="s">
        <v>2903</v>
      </c>
      <c r="Y353" s="1182" t="s">
        <v>2903</v>
      </c>
      <c r="Z353" s="1133"/>
      <c r="AA353" s="1180" t="s">
        <v>2903</v>
      </c>
      <c r="AB353" s="1182" t="s">
        <v>2903</v>
      </c>
      <c r="AC353" s="1133"/>
      <c r="AD353" s="1180" t="s">
        <v>2903</v>
      </c>
      <c r="AE353" s="1182" t="s">
        <v>2903</v>
      </c>
    </row>
    <row r="354" spans="3:31" x14ac:dyDescent="0.4">
      <c r="C354" s="2847"/>
      <c r="D354" s="1178" t="s">
        <v>3148</v>
      </c>
      <c r="E354" s="1179" t="s">
        <v>3153</v>
      </c>
      <c r="F354" s="1180">
        <v>390196.46</v>
      </c>
      <c r="G354" s="1180">
        <v>1135715.47</v>
      </c>
      <c r="H354" s="1178" t="s">
        <v>332</v>
      </c>
      <c r="I354" s="1179" t="s">
        <v>809</v>
      </c>
      <c r="J354" s="1179" t="s">
        <v>3152</v>
      </c>
      <c r="K354" s="1101"/>
      <c r="L354" s="1179" t="s">
        <v>2903</v>
      </c>
      <c r="M354" s="1179" t="s">
        <v>2903</v>
      </c>
      <c r="N354" s="1179" t="s">
        <v>2903</v>
      </c>
      <c r="O354" s="1181" t="s">
        <v>2903</v>
      </c>
      <c r="P354" s="1179" t="s">
        <v>2903</v>
      </c>
      <c r="Q354" s="1133"/>
      <c r="R354" s="1180" t="s">
        <v>2903</v>
      </c>
      <c r="S354" s="1182" t="s">
        <v>2903</v>
      </c>
      <c r="T354" s="1183"/>
      <c r="U354" s="1180" t="s">
        <v>2903</v>
      </c>
      <c r="V354" s="1182" t="s">
        <v>2903</v>
      </c>
      <c r="W354" s="1133"/>
      <c r="X354" s="1180" t="s">
        <v>2903</v>
      </c>
      <c r="Y354" s="1182" t="s">
        <v>2903</v>
      </c>
      <c r="Z354" s="1133"/>
      <c r="AA354" s="1180" t="s">
        <v>2903</v>
      </c>
      <c r="AB354" s="1182" t="s">
        <v>2903</v>
      </c>
      <c r="AC354" s="1133"/>
      <c r="AD354" s="1180" t="s">
        <v>2903</v>
      </c>
      <c r="AE354" s="1182" t="s">
        <v>2903</v>
      </c>
    </row>
    <row r="355" spans="3:31" x14ac:dyDescent="0.4">
      <c r="C355" s="2847"/>
      <c r="D355" s="1178" t="s">
        <v>3148</v>
      </c>
      <c r="E355" s="1179" t="s">
        <v>3154</v>
      </c>
      <c r="F355" s="1180">
        <v>386965.28</v>
      </c>
      <c r="G355" s="1180">
        <v>1130793.43</v>
      </c>
      <c r="H355" s="1178" t="s">
        <v>332</v>
      </c>
      <c r="I355" s="1179" t="s">
        <v>809</v>
      </c>
      <c r="J355" s="1179" t="s">
        <v>3152</v>
      </c>
      <c r="K355" s="1101"/>
      <c r="L355" s="1179" t="s">
        <v>2903</v>
      </c>
      <c r="M355" s="1179" t="s">
        <v>2903</v>
      </c>
      <c r="N355" s="1179" t="s">
        <v>2903</v>
      </c>
      <c r="O355" s="1181" t="s">
        <v>2903</v>
      </c>
      <c r="P355" s="1179" t="s">
        <v>2903</v>
      </c>
      <c r="Q355" s="1133"/>
      <c r="R355" s="1180" t="s">
        <v>2903</v>
      </c>
      <c r="S355" s="1182" t="s">
        <v>2903</v>
      </c>
      <c r="T355" s="1183"/>
      <c r="U355" s="1180" t="s">
        <v>2903</v>
      </c>
      <c r="V355" s="1182" t="s">
        <v>2903</v>
      </c>
      <c r="W355" s="1133"/>
      <c r="X355" s="1180" t="s">
        <v>2903</v>
      </c>
      <c r="Y355" s="1182" t="s">
        <v>2903</v>
      </c>
      <c r="Z355" s="1133"/>
      <c r="AA355" s="1180" t="s">
        <v>2903</v>
      </c>
      <c r="AB355" s="1182" t="s">
        <v>2903</v>
      </c>
      <c r="AC355" s="1133"/>
      <c r="AD355" s="1180" t="s">
        <v>2903</v>
      </c>
      <c r="AE355" s="1182" t="s">
        <v>2903</v>
      </c>
    </row>
    <row r="356" spans="3:31" x14ac:dyDescent="0.4">
      <c r="C356" s="2847"/>
      <c r="D356" s="1178" t="s">
        <v>3148</v>
      </c>
      <c r="E356" s="1179" t="s">
        <v>3155</v>
      </c>
      <c r="F356" s="1180">
        <v>386110.34</v>
      </c>
      <c r="G356" s="1180">
        <v>1126878.02</v>
      </c>
      <c r="H356" s="1178" t="s">
        <v>332</v>
      </c>
      <c r="I356" s="1179" t="s">
        <v>809</v>
      </c>
      <c r="J356" s="1179" t="s">
        <v>3156</v>
      </c>
      <c r="K356" s="1101"/>
      <c r="L356" s="1179" t="s">
        <v>2903</v>
      </c>
      <c r="M356" s="1179" t="s">
        <v>2903</v>
      </c>
      <c r="N356" s="1179" t="s">
        <v>2903</v>
      </c>
      <c r="O356" s="1181" t="s">
        <v>2903</v>
      </c>
      <c r="P356" s="1179" t="s">
        <v>2903</v>
      </c>
      <c r="Q356" s="1133"/>
      <c r="R356" s="1180" t="s">
        <v>2903</v>
      </c>
      <c r="S356" s="1182" t="s">
        <v>2903</v>
      </c>
      <c r="T356" s="1183"/>
      <c r="U356" s="1180" t="s">
        <v>2903</v>
      </c>
      <c r="V356" s="1182" t="s">
        <v>2903</v>
      </c>
      <c r="W356" s="1133"/>
      <c r="X356" s="1180" t="s">
        <v>2903</v>
      </c>
      <c r="Y356" s="1182" t="s">
        <v>2903</v>
      </c>
      <c r="Z356" s="1133"/>
      <c r="AA356" s="1180" t="s">
        <v>2903</v>
      </c>
      <c r="AB356" s="1182" t="s">
        <v>2903</v>
      </c>
      <c r="AC356" s="1133"/>
      <c r="AD356" s="1180" t="s">
        <v>2903</v>
      </c>
      <c r="AE356" s="1182" t="s">
        <v>2903</v>
      </c>
    </row>
    <row r="357" spans="3:31" x14ac:dyDescent="0.4">
      <c r="C357" s="2847"/>
      <c r="D357" s="1178" t="s">
        <v>3148</v>
      </c>
      <c r="E357" s="1179" t="s">
        <v>3157</v>
      </c>
      <c r="F357" s="1180">
        <v>386127.09</v>
      </c>
      <c r="G357" s="1180">
        <v>1123542.79</v>
      </c>
      <c r="H357" s="1178" t="s">
        <v>533</v>
      </c>
      <c r="I357" s="1179" t="s">
        <v>533</v>
      </c>
      <c r="J357" s="1179" t="s">
        <v>3158</v>
      </c>
      <c r="K357" s="1101"/>
      <c r="L357" s="1179" t="s">
        <v>2903</v>
      </c>
      <c r="M357" s="1179" t="s">
        <v>2903</v>
      </c>
      <c r="N357" s="1179" t="s">
        <v>2903</v>
      </c>
      <c r="O357" s="1181" t="s">
        <v>2903</v>
      </c>
      <c r="P357" s="1179" t="s">
        <v>2903</v>
      </c>
      <c r="Q357" s="1133"/>
      <c r="R357" s="1180" t="s">
        <v>2903</v>
      </c>
      <c r="S357" s="1182" t="s">
        <v>2903</v>
      </c>
      <c r="T357" s="1183"/>
      <c r="U357" s="1180" t="s">
        <v>2903</v>
      </c>
      <c r="V357" s="1182" t="s">
        <v>2903</v>
      </c>
      <c r="W357" s="1133"/>
      <c r="X357" s="1180" t="s">
        <v>2903</v>
      </c>
      <c r="Y357" s="1182" t="s">
        <v>2903</v>
      </c>
      <c r="Z357" s="1133"/>
      <c r="AA357" s="1180" t="s">
        <v>2903</v>
      </c>
      <c r="AB357" s="1182" t="s">
        <v>2903</v>
      </c>
      <c r="AC357" s="1133"/>
      <c r="AD357" s="1180" t="s">
        <v>2903</v>
      </c>
      <c r="AE357" s="1182" t="s">
        <v>2903</v>
      </c>
    </row>
    <row r="358" spans="3:31" x14ac:dyDescent="0.4">
      <c r="C358" s="2824" t="s">
        <v>3159</v>
      </c>
      <c r="D358" s="1135" t="s">
        <v>3160</v>
      </c>
      <c r="E358" s="1133" t="s">
        <v>3161</v>
      </c>
      <c r="F358" s="1136">
        <v>435084</v>
      </c>
      <c r="G358" s="1136">
        <v>1119313</v>
      </c>
      <c r="H358" s="1135" t="s">
        <v>329</v>
      </c>
      <c r="I358" s="1133" t="s">
        <v>771</v>
      </c>
      <c r="J358" s="1135" t="s">
        <v>3162</v>
      </c>
      <c r="K358" s="1101"/>
      <c r="L358" s="1135" t="s">
        <v>2903</v>
      </c>
      <c r="M358" s="1135" t="s">
        <v>2903</v>
      </c>
      <c r="N358" s="1135" t="s">
        <v>2903</v>
      </c>
      <c r="O358" s="1175" t="s">
        <v>2903</v>
      </c>
      <c r="P358" s="1135" t="s">
        <v>2903</v>
      </c>
      <c r="Q358" s="1135"/>
      <c r="R358" s="1176" t="s">
        <v>2903</v>
      </c>
      <c r="S358" s="1177" t="s">
        <v>2903</v>
      </c>
      <c r="T358" s="1184"/>
      <c r="U358" s="1176" t="s">
        <v>2903</v>
      </c>
      <c r="V358" s="1177" t="s">
        <v>2903</v>
      </c>
      <c r="W358" s="1135"/>
      <c r="X358" s="1176" t="s">
        <v>2903</v>
      </c>
      <c r="Y358" s="1177" t="s">
        <v>2903</v>
      </c>
      <c r="Z358" s="1135"/>
      <c r="AA358" s="1176" t="s">
        <v>2903</v>
      </c>
      <c r="AB358" s="1177" t="s">
        <v>2903</v>
      </c>
      <c r="AC358" s="1135"/>
      <c r="AD358" s="1176" t="s">
        <v>2903</v>
      </c>
      <c r="AE358" s="1177" t="s">
        <v>2903</v>
      </c>
    </row>
    <row r="359" spans="3:31" x14ac:dyDescent="0.4">
      <c r="C359" s="2846"/>
      <c r="D359" s="1135" t="s">
        <v>3163</v>
      </c>
      <c r="E359" s="1133" t="s">
        <v>3164</v>
      </c>
      <c r="F359" s="1136">
        <v>431170</v>
      </c>
      <c r="G359" s="1136">
        <v>1116259</v>
      </c>
      <c r="H359" s="1135" t="s">
        <v>329</v>
      </c>
      <c r="I359" s="1133" t="s">
        <v>771</v>
      </c>
      <c r="J359" s="1135" t="s">
        <v>3162</v>
      </c>
      <c r="K359" s="1101"/>
      <c r="L359" s="1135" t="s">
        <v>2903</v>
      </c>
      <c r="M359" s="1135" t="s">
        <v>2903</v>
      </c>
      <c r="N359" s="1135" t="s">
        <v>2903</v>
      </c>
      <c r="O359" s="1175" t="s">
        <v>2903</v>
      </c>
      <c r="P359" s="1135" t="s">
        <v>2903</v>
      </c>
      <c r="Q359" s="1135"/>
      <c r="R359" s="1176" t="s">
        <v>2903</v>
      </c>
      <c r="S359" s="1177" t="s">
        <v>2903</v>
      </c>
      <c r="T359" s="1184"/>
      <c r="U359" s="1176" t="s">
        <v>2903</v>
      </c>
      <c r="V359" s="1177" t="s">
        <v>2903</v>
      </c>
      <c r="W359" s="1135"/>
      <c r="X359" s="1176" t="s">
        <v>2903</v>
      </c>
      <c r="Y359" s="1177" t="s">
        <v>2903</v>
      </c>
      <c r="Z359" s="1135"/>
      <c r="AA359" s="1176" t="s">
        <v>2903</v>
      </c>
      <c r="AB359" s="1177" t="s">
        <v>2903</v>
      </c>
      <c r="AC359" s="1135"/>
      <c r="AD359" s="1176" t="s">
        <v>2903</v>
      </c>
      <c r="AE359" s="1177" t="s">
        <v>2903</v>
      </c>
    </row>
    <row r="360" spans="3:31" x14ac:dyDescent="0.4">
      <c r="C360" s="2846"/>
      <c r="D360" s="1135" t="s">
        <v>3165</v>
      </c>
      <c r="E360" s="1133" t="s">
        <v>3166</v>
      </c>
      <c r="F360" s="1136">
        <v>429923</v>
      </c>
      <c r="G360" s="1136">
        <v>1114448</v>
      </c>
      <c r="H360" s="1135" t="s">
        <v>329</v>
      </c>
      <c r="I360" s="1133" t="s">
        <v>771</v>
      </c>
      <c r="J360" s="1133" t="s">
        <v>3167</v>
      </c>
      <c r="K360" s="1101"/>
      <c r="L360" s="1135" t="s">
        <v>2903</v>
      </c>
      <c r="M360" s="1135" t="s">
        <v>2903</v>
      </c>
      <c r="N360" s="1135" t="s">
        <v>2903</v>
      </c>
      <c r="O360" s="1175" t="s">
        <v>2903</v>
      </c>
      <c r="P360" s="1135" t="s">
        <v>2903</v>
      </c>
      <c r="Q360" s="1135"/>
      <c r="R360" s="1176" t="s">
        <v>2903</v>
      </c>
      <c r="S360" s="1177" t="s">
        <v>2903</v>
      </c>
      <c r="T360" s="1184"/>
      <c r="U360" s="1176" t="s">
        <v>2903</v>
      </c>
      <c r="V360" s="1177" t="s">
        <v>2903</v>
      </c>
      <c r="W360" s="1135"/>
      <c r="X360" s="1176" t="s">
        <v>2903</v>
      </c>
      <c r="Y360" s="1177" t="s">
        <v>2903</v>
      </c>
      <c r="Z360" s="1135"/>
      <c r="AA360" s="1176" t="s">
        <v>2903</v>
      </c>
      <c r="AB360" s="1177" t="s">
        <v>2903</v>
      </c>
      <c r="AC360" s="1135"/>
      <c r="AD360" s="1176" t="s">
        <v>2903</v>
      </c>
      <c r="AE360" s="1177" t="s">
        <v>2903</v>
      </c>
    </row>
    <row r="361" spans="3:31" x14ac:dyDescent="0.4">
      <c r="C361" s="2846"/>
      <c r="D361" s="1135" t="s">
        <v>3168</v>
      </c>
      <c r="E361" s="1133" t="s">
        <v>3169</v>
      </c>
      <c r="F361" s="1136">
        <v>459288</v>
      </c>
      <c r="G361" s="1136">
        <v>1123742</v>
      </c>
      <c r="H361" s="1135" t="s">
        <v>329</v>
      </c>
      <c r="I361" s="1133" t="s">
        <v>775</v>
      </c>
      <c r="J361" s="1133" t="s">
        <v>3170</v>
      </c>
      <c r="K361" s="1101"/>
      <c r="L361" s="1135" t="s">
        <v>2903</v>
      </c>
      <c r="M361" s="1135" t="s">
        <v>2903</v>
      </c>
      <c r="N361" s="1135" t="s">
        <v>2903</v>
      </c>
      <c r="O361" s="1175" t="s">
        <v>2903</v>
      </c>
      <c r="P361" s="1135" t="s">
        <v>2903</v>
      </c>
      <c r="Q361" s="1135"/>
      <c r="R361" s="1176" t="s">
        <v>2903</v>
      </c>
      <c r="S361" s="1177" t="s">
        <v>2903</v>
      </c>
      <c r="T361" s="1184"/>
      <c r="U361" s="1176" t="s">
        <v>2903</v>
      </c>
      <c r="V361" s="1177" t="s">
        <v>2903</v>
      </c>
      <c r="W361" s="1135"/>
      <c r="X361" s="1176" t="s">
        <v>2903</v>
      </c>
      <c r="Y361" s="1177" t="s">
        <v>2903</v>
      </c>
      <c r="Z361" s="1135"/>
      <c r="AA361" s="1176" t="s">
        <v>2903</v>
      </c>
      <c r="AB361" s="1177" t="s">
        <v>2903</v>
      </c>
      <c r="AC361" s="1135"/>
      <c r="AD361" s="1176" t="s">
        <v>2903</v>
      </c>
      <c r="AE361" s="1177" t="s">
        <v>2903</v>
      </c>
    </row>
    <row r="362" spans="3:31" x14ac:dyDescent="0.4">
      <c r="C362" s="2846"/>
      <c r="D362" s="1135" t="s">
        <v>3168</v>
      </c>
      <c r="E362" s="1133" t="s">
        <v>3171</v>
      </c>
      <c r="F362" s="1136">
        <v>441837</v>
      </c>
      <c r="G362" s="1136">
        <v>1113776</v>
      </c>
      <c r="H362" s="1135" t="s">
        <v>329</v>
      </c>
      <c r="I362" s="1133" t="s">
        <v>771</v>
      </c>
      <c r="J362" s="1133" t="s">
        <v>3172</v>
      </c>
      <c r="K362" s="1101"/>
      <c r="L362" s="1135" t="s">
        <v>2903</v>
      </c>
      <c r="M362" s="1135" t="s">
        <v>2903</v>
      </c>
      <c r="N362" s="1135" t="s">
        <v>2903</v>
      </c>
      <c r="O362" s="1175" t="s">
        <v>2903</v>
      </c>
      <c r="P362" s="1135" t="s">
        <v>2903</v>
      </c>
      <c r="Q362" s="1135"/>
      <c r="R362" s="1176" t="s">
        <v>2903</v>
      </c>
      <c r="S362" s="1177" t="s">
        <v>2903</v>
      </c>
      <c r="T362" s="1184"/>
      <c r="U362" s="1176" t="s">
        <v>2903</v>
      </c>
      <c r="V362" s="1177" t="s">
        <v>2903</v>
      </c>
      <c r="W362" s="1135"/>
      <c r="X362" s="1176" t="s">
        <v>2903</v>
      </c>
      <c r="Y362" s="1177" t="s">
        <v>2903</v>
      </c>
      <c r="Z362" s="1135"/>
      <c r="AA362" s="1176" t="s">
        <v>2903</v>
      </c>
      <c r="AB362" s="1177" t="s">
        <v>2903</v>
      </c>
      <c r="AC362" s="1135"/>
      <c r="AD362" s="1176" t="s">
        <v>2903</v>
      </c>
      <c r="AE362" s="1177" t="s">
        <v>2903</v>
      </c>
    </row>
    <row r="363" spans="3:31" x14ac:dyDescent="0.4">
      <c r="C363" s="2846"/>
      <c r="D363" s="1135" t="s">
        <v>3168</v>
      </c>
      <c r="E363" s="1133" t="s">
        <v>3173</v>
      </c>
      <c r="F363" s="1136">
        <v>430232</v>
      </c>
      <c r="G363" s="1136">
        <v>1107699</v>
      </c>
      <c r="H363" s="1135" t="s">
        <v>533</v>
      </c>
      <c r="I363" s="1133" t="s">
        <v>814</v>
      </c>
      <c r="J363" s="1133" t="s">
        <v>3174</v>
      </c>
      <c r="K363" s="1101"/>
      <c r="L363" s="1135" t="s">
        <v>2903</v>
      </c>
      <c r="M363" s="1135" t="s">
        <v>2903</v>
      </c>
      <c r="N363" s="1135" t="s">
        <v>2903</v>
      </c>
      <c r="O363" s="1175" t="s">
        <v>2903</v>
      </c>
      <c r="P363" s="1135" t="s">
        <v>2903</v>
      </c>
      <c r="Q363" s="1135"/>
      <c r="R363" s="1176" t="s">
        <v>2903</v>
      </c>
      <c r="S363" s="1177" t="s">
        <v>2903</v>
      </c>
      <c r="T363" s="1184"/>
      <c r="U363" s="1176" t="s">
        <v>2903</v>
      </c>
      <c r="V363" s="1177" t="s">
        <v>2903</v>
      </c>
      <c r="W363" s="1135"/>
      <c r="X363" s="1176" t="s">
        <v>2903</v>
      </c>
      <c r="Y363" s="1177" t="s">
        <v>2903</v>
      </c>
      <c r="Z363" s="1135"/>
      <c r="AA363" s="1176" t="s">
        <v>2903</v>
      </c>
      <c r="AB363" s="1177" t="s">
        <v>2903</v>
      </c>
      <c r="AC363" s="1135"/>
      <c r="AD363" s="1176" t="s">
        <v>2903</v>
      </c>
      <c r="AE363" s="1177" t="s">
        <v>2903</v>
      </c>
    </row>
    <row r="364" spans="3:31" x14ac:dyDescent="0.4">
      <c r="C364" s="2846"/>
      <c r="D364" s="1135" t="s">
        <v>3168</v>
      </c>
      <c r="E364" s="1133" t="s">
        <v>3175</v>
      </c>
      <c r="F364" s="1136">
        <v>423874</v>
      </c>
      <c r="G364" s="1136">
        <v>1105780</v>
      </c>
      <c r="H364" s="1135" t="s">
        <v>533</v>
      </c>
      <c r="I364" s="1133" t="s">
        <v>533</v>
      </c>
      <c r="J364" s="1133" t="s">
        <v>3159</v>
      </c>
      <c r="K364" s="1101"/>
      <c r="L364" s="1135" t="s">
        <v>2903</v>
      </c>
      <c r="M364" s="1135" t="s">
        <v>2903</v>
      </c>
      <c r="N364" s="1135" t="s">
        <v>2903</v>
      </c>
      <c r="O364" s="1175" t="s">
        <v>2903</v>
      </c>
      <c r="P364" s="1135" t="s">
        <v>2903</v>
      </c>
      <c r="Q364" s="1135"/>
      <c r="R364" s="1176" t="s">
        <v>2903</v>
      </c>
      <c r="S364" s="1177" t="s">
        <v>2903</v>
      </c>
      <c r="T364" s="1184"/>
      <c r="U364" s="1176" t="s">
        <v>2903</v>
      </c>
      <c r="V364" s="1177" t="s">
        <v>2903</v>
      </c>
      <c r="W364" s="1135"/>
      <c r="X364" s="1176" t="s">
        <v>2903</v>
      </c>
      <c r="Y364" s="1177" t="s">
        <v>2903</v>
      </c>
      <c r="Z364" s="1135"/>
      <c r="AA364" s="1176" t="s">
        <v>2903</v>
      </c>
      <c r="AB364" s="1177" t="s">
        <v>2903</v>
      </c>
      <c r="AC364" s="1135"/>
      <c r="AD364" s="1176" t="s">
        <v>2903</v>
      </c>
      <c r="AE364" s="1177" t="s">
        <v>2903</v>
      </c>
    </row>
    <row r="365" spans="3:31" x14ac:dyDescent="0.4">
      <c r="C365" s="2846"/>
      <c r="D365" s="1135" t="s">
        <v>3168</v>
      </c>
      <c r="E365" s="1133" t="s">
        <v>3176</v>
      </c>
      <c r="F365" s="1136">
        <v>422334</v>
      </c>
      <c r="G365" s="1136">
        <v>1104536</v>
      </c>
      <c r="H365" s="1135" t="s">
        <v>533</v>
      </c>
      <c r="I365" s="1135" t="s">
        <v>533</v>
      </c>
      <c r="J365" s="1133" t="s">
        <v>3159</v>
      </c>
      <c r="K365" s="1101"/>
      <c r="L365" s="1135" t="s">
        <v>2903</v>
      </c>
      <c r="M365" s="1135" t="s">
        <v>2903</v>
      </c>
      <c r="N365" s="1135" t="s">
        <v>2903</v>
      </c>
      <c r="O365" s="1175" t="s">
        <v>2903</v>
      </c>
      <c r="P365" s="1135" t="s">
        <v>2903</v>
      </c>
      <c r="Q365" s="1135"/>
      <c r="R365" s="1176" t="s">
        <v>2903</v>
      </c>
      <c r="S365" s="1177" t="s">
        <v>2903</v>
      </c>
      <c r="T365" s="1184"/>
      <c r="U365" s="1176" t="s">
        <v>2903</v>
      </c>
      <c r="V365" s="1177" t="s">
        <v>2903</v>
      </c>
      <c r="W365" s="1135"/>
      <c r="X365" s="1176" t="s">
        <v>2903</v>
      </c>
      <c r="Y365" s="1177" t="s">
        <v>2903</v>
      </c>
      <c r="Z365" s="1135"/>
      <c r="AA365" s="1176" t="s">
        <v>2903</v>
      </c>
      <c r="AB365" s="1177" t="s">
        <v>2903</v>
      </c>
      <c r="AC365" s="1135"/>
      <c r="AD365" s="1176" t="s">
        <v>2903</v>
      </c>
      <c r="AE365" s="1177" t="s">
        <v>2903</v>
      </c>
    </row>
    <row r="366" spans="3:31" x14ac:dyDescent="0.4">
      <c r="C366" s="2826" t="s">
        <v>3177</v>
      </c>
      <c r="D366" s="1151" t="s">
        <v>3143</v>
      </c>
      <c r="E366" s="1152" t="s">
        <v>3178</v>
      </c>
      <c r="F366" s="1153">
        <v>380766.86</v>
      </c>
      <c r="G366" s="1153">
        <v>1152545.4099999999</v>
      </c>
      <c r="H366" s="1151" t="s">
        <v>332</v>
      </c>
      <c r="I366" s="1152" t="s">
        <v>808</v>
      </c>
      <c r="J366" s="1152" t="s">
        <v>808</v>
      </c>
      <c r="K366" s="1101"/>
      <c r="L366" s="1152" t="s">
        <v>2903</v>
      </c>
      <c r="M366" s="1152" t="s">
        <v>2903</v>
      </c>
      <c r="N366" s="1152" t="s">
        <v>2903</v>
      </c>
      <c r="O366" s="1155" t="s">
        <v>2903</v>
      </c>
      <c r="P366" s="1152" t="s">
        <v>2903</v>
      </c>
      <c r="Q366" s="1133"/>
      <c r="R366" s="1153" t="s">
        <v>2903</v>
      </c>
      <c r="S366" s="1156" t="s">
        <v>2903</v>
      </c>
      <c r="T366" s="1154"/>
      <c r="U366" s="1153" t="s">
        <v>2903</v>
      </c>
      <c r="V366" s="1156" t="s">
        <v>2903</v>
      </c>
      <c r="W366" s="1133"/>
      <c r="X366" s="1153" t="s">
        <v>2903</v>
      </c>
      <c r="Y366" s="1156" t="s">
        <v>2903</v>
      </c>
      <c r="Z366" s="1133"/>
      <c r="AA366" s="1153" t="s">
        <v>2903</v>
      </c>
      <c r="AB366" s="1156" t="s">
        <v>2903</v>
      </c>
      <c r="AC366" s="1133"/>
      <c r="AD366" s="1153" t="s">
        <v>2903</v>
      </c>
      <c r="AE366" s="1156" t="s">
        <v>2903</v>
      </c>
    </row>
    <row r="367" spans="3:31" ht="25.5" x14ac:dyDescent="0.4">
      <c r="C367" s="2847"/>
      <c r="D367" s="1151" t="s">
        <v>3179</v>
      </c>
      <c r="E367" s="1152" t="s">
        <v>3180</v>
      </c>
      <c r="F367" s="1153">
        <v>367338.22</v>
      </c>
      <c r="G367" s="1153">
        <v>1149747.29</v>
      </c>
      <c r="H367" s="1151" t="s">
        <v>332</v>
      </c>
      <c r="I367" s="1152" t="s">
        <v>806</v>
      </c>
      <c r="J367" s="1152" t="s">
        <v>806</v>
      </c>
      <c r="K367" s="1101"/>
      <c r="L367" s="1152" t="s">
        <v>2903</v>
      </c>
      <c r="M367" s="1152" t="s">
        <v>2903</v>
      </c>
      <c r="N367" s="1152" t="s">
        <v>2903</v>
      </c>
      <c r="O367" s="1155" t="s">
        <v>2903</v>
      </c>
      <c r="P367" s="1152" t="s">
        <v>2903</v>
      </c>
      <c r="Q367" s="1133"/>
      <c r="R367" s="1153" t="s">
        <v>2903</v>
      </c>
      <c r="S367" s="1156" t="s">
        <v>2903</v>
      </c>
      <c r="T367" s="1154"/>
      <c r="U367" s="1153" t="s">
        <v>2903</v>
      </c>
      <c r="V367" s="1156" t="s">
        <v>2903</v>
      </c>
      <c r="W367" s="1133"/>
      <c r="X367" s="1153" t="s">
        <v>2903</v>
      </c>
      <c r="Y367" s="1156" t="s">
        <v>2903</v>
      </c>
      <c r="Z367" s="1133"/>
      <c r="AA367" s="1153" t="s">
        <v>2903</v>
      </c>
      <c r="AB367" s="1156" t="s">
        <v>2903</v>
      </c>
      <c r="AC367" s="1133"/>
      <c r="AD367" s="1153" t="s">
        <v>2903</v>
      </c>
      <c r="AE367" s="1156" t="s">
        <v>2903</v>
      </c>
    </row>
    <row r="368" spans="3:31" x14ac:dyDescent="0.4">
      <c r="C368" s="2847"/>
      <c r="D368" s="1151" t="s">
        <v>3181</v>
      </c>
      <c r="E368" s="1152" t="s">
        <v>3182</v>
      </c>
      <c r="F368" s="1153">
        <v>368908.16</v>
      </c>
      <c r="G368" s="1153">
        <v>1146581.26</v>
      </c>
      <c r="H368" s="1151" t="s">
        <v>332</v>
      </c>
      <c r="I368" s="1152" t="s">
        <v>808</v>
      </c>
      <c r="J368" s="1152" t="s">
        <v>3177</v>
      </c>
      <c r="K368" s="1101"/>
      <c r="L368" s="1152" t="s">
        <v>2903</v>
      </c>
      <c r="M368" s="1152" t="s">
        <v>2903</v>
      </c>
      <c r="N368" s="1152" t="s">
        <v>2903</v>
      </c>
      <c r="O368" s="1155" t="s">
        <v>2903</v>
      </c>
      <c r="P368" s="1152" t="s">
        <v>2903</v>
      </c>
      <c r="Q368" s="1133"/>
      <c r="R368" s="1153" t="s">
        <v>2903</v>
      </c>
      <c r="S368" s="1156" t="s">
        <v>2903</v>
      </c>
      <c r="T368" s="1154"/>
      <c r="U368" s="1153" t="s">
        <v>2903</v>
      </c>
      <c r="V368" s="1156" t="s">
        <v>2903</v>
      </c>
      <c r="W368" s="1133"/>
      <c r="X368" s="1153" t="s">
        <v>2903</v>
      </c>
      <c r="Y368" s="1156" t="s">
        <v>2903</v>
      </c>
      <c r="Z368" s="1133"/>
      <c r="AA368" s="1153" t="s">
        <v>2903</v>
      </c>
      <c r="AB368" s="1156" t="s">
        <v>2903</v>
      </c>
      <c r="AC368" s="1133"/>
      <c r="AD368" s="1153" t="s">
        <v>2903</v>
      </c>
      <c r="AE368" s="1156" t="s">
        <v>2903</v>
      </c>
    </row>
    <row r="369" spans="3:31" x14ac:dyDescent="0.4">
      <c r="C369" s="2847"/>
      <c r="D369" s="1151" t="s">
        <v>3183</v>
      </c>
      <c r="E369" s="1152" t="s">
        <v>3184</v>
      </c>
      <c r="F369" s="1153">
        <v>393740.93</v>
      </c>
      <c r="G369" s="1153">
        <v>1159078.99</v>
      </c>
      <c r="H369" s="1151" t="s">
        <v>332</v>
      </c>
      <c r="I369" s="1152" t="s">
        <v>810</v>
      </c>
      <c r="J369" s="1152" t="s">
        <v>3185</v>
      </c>
      <c r="K369" s="1101"/>
      <c r="L369" s="1152" t="s">
        <v>2903</v>
      </c>
      <c r="M369" s="1152" t="s">
        <v>2903</v>
      </c>
      <c r="N369" s="1152" t="s">
        <v>2903</v>
      </c>
      <c r="O369" s="1155" t="s">
        <v>2903</v>
      </c>
      <c r="P369" s="1152" t="s">
        <v>2903</v>
      </c>
      <c r="Q369" s="1133"/>
      <c r="R369" s="1153" t="s">
        <v>2903</v>
      </c>
      <c r="S369" s="1156" t="s">
        <v>2903</v>
      </c>
      <c r="T369" s="1154"/>
      <c r="U369" s="1153" t="s">
        <v>2903</v>
      </c>
      <c r="V369" s="1156" t="s">
        <v>2903</v>
      </c>
      <c r="W369" s="1133"/>
      <c r="X369" s="1153" t="s">
        <v>2903</v>
      </c>
      <c r="Y369" s="1156" t="s">
        <v>2903</v>
      </c>
      <c r="Z369" s="1133"/>
      <c r="AA369" s="1153" t="s">
        <v>2903</v>
      </c>
      <c r="AB369" s="1156" t="s">
        <v>2903</v>
      </c>
      <c r="AC369" s="1133"/>
      <c r="AD369" s="1153" t="s">
        <v>2903</v>
      </c>
      <c r="AE369" s="1156" t="s">
        <v>2903</v>
      </c>
    </row>
    <row r="370" spans="3:31" x14ac:dyDescent="0.4">
      <c r="C370" s="2847"/>
      <c r="D370" s="1151" t="s">
        <v>3038</v>
      </c>
      <c r="E370" s="1152" t="s">
        <v>3186</v>
      </c>
      <c r="F370" s="1153">
        <v>367653.27</v>
      </c>
      <c r="G370" s="1153">
        <v>1181807.9099999999</v>
      </c>
      <c r="H370" s="1151" t="s">
        <v>332</v>
      </c>
      <c r="I370" s="1152" t="s">
        <v>806</v>
      </c>
      <c r="J370" s="1152" t="s">
        <v>3187</v>
      </c>
      <c r="K370" s="1101"/>
      <c r="L370" s="1152" t="s">
        <v>2903</v>
      </c>
      <c r="M370" s="1152" t="s">
        <v>2903</v>
      </c>
      <c r="N370" s="1152" t="s">
        <v>2903</v>
      </c>
      <c r="O370" s="1155" t="s">
        <v>2903</v>
      </c>
      <c r="P370" s="1152" t="s">
        <v>2903</v>
      </c>
      <c r="Q370" s="1133"/>
      <c r="R370" s="1153" t="s">
        <v>2903</v>
      </c>
      <c r="S370" s="1156" t="s">
        <v>2903</v>
      </c>
      <c r="T370" s="1154"/>
      <c r="U370" s="1153" t="s">
        <v>2903</v>
      </c>
      <c r="V370" s="1156" t="s">
        <v>2903</v>
      </c>
      <c r="W370" s="1133"/>
      <c r="X370" s="1153" t="s">
        <v>2903</v>
      </c>
      <c r="Y370" s="1156" t="s">
        <v>2903</v>
      </c>
      <c r="Z370" s="1133"/>
      <c r="AA370" s="1153" t="s">
        <v>2903</v>
      </c>
      <c r="AB370" s="1156" t="s">
        <v>2903</v>
      </c>
      <c r="AC370" s="1133"/>
      <c r="AD370" s="1153" t="s">
        <v>2903</v>
      </c>
      <c r="AE370" s="1156" t="s">
        <v>2903</v>
      </c>
    </row>
    <row r="371" spans="3:31" x14ac:dyDescent="0.4">
      <c r="C371" s="2828" t="s">
        <v>3188</v>
      </c>
      <c r="D371" s="1144" t="s">
        <v>3189</v>
      </c>
      <c r="E371" s="1145" t="s">
        <v>3190</v>
      </c>
      <c r="F371" s="1146">
        <v>459889</v>
      </c>
      <c r="G371" s="1146">
        <v>1204407</v>
      </c>
      <c r="H371" s="1145" t="s">
        <v>329</v>
      </c>
      <c r="I371" s="1145" t="s">
        <v>779</v>
      </c>
      <c r="J371" s="1145" t="s">
        <v>3191</v>
      </c>
      <c r="K371" s="1101"/>
      <c r="L371" s="1145" t="s">
        <v>2903</v>
      </c>
      <c r="M371" s="1145" t="s">
        <v>2903</v>
      </c>
      <c r="N371" s="1145" t="s">
        <v>2903</v>
      </c>
      <c r="O371" s="1145" t="s">
        <v>2903</v>
      </c>
      <c r="P371" s="1145" t="s">
        <v>2903</v>
      </c>
      <c r="Q371" s="1133"/>
      <c r="R371" s="1146" t="s">
        <v>2903</v>
      </c>
      <c r="S371" s="1148" t="s">
        <v>2903</v>
      </c>
      <c r="T371" s="1104"/>
      <c r="U371" s="1146" t="s">
        <v>2903</v>
      </c>
      <c r="V371" s="1148" t="s">
        <v>2903</v>
      </c>
      <c r="W371" s="1133"/>
      <c r="X371" s="1146" t="s">
        <v>2903</v>
      </c>
      <c r="Y371" s="1148" t="s">
        <v>2903</v>
      </c>
      <c r="Z371" s="1133"/>
      <c r="AA371" s="1146" t="s">
        <v>2903</v>
      </c>
      <c r="AB371" s="1185" t="s">
        <v>2903</v>
      </c>
      <c r="AC371" s="1133"/>
      <c r="AD371" s="1146" t="s">
        <v>2903</v>
      </c>
      <c r="AE371" s="1185" t="s">
        <v>2903</v>
      </c>
    </row>
    <row r="372" spans="3:31" x14ac:dyDescent="0.4">
      <c r="C372" s="2829"/>
      <c r="D372" s="1144" t="s">
        <v>3192</v>
      </c>
      <c r="E372" s="1145" t="s">
        <v>3193</v>
      </c>
      <c r="F372" s="1146">
        <v>439806</v>
      </c>
      <c r="G372" s="1146">
        <v>1181286</v>
      </c>
      <c r="H372" s="1145" t="s">
        <v>329</v>
      </c>
      <c r="I372" s="1145" t="s">
        <v>779</v>
      </c>
      <c r="J372" s="1145" t="s">
        <v>3188</v>
      </c>
      <c r="K372" s="1101"/>
      <c r="L372" s="1145" t="s">
        <v>2903</v>
      </c>
      <c r="M372" s="1145" t="s">
        <v>2903</v>
      </c>
      <c r="N372" s="1145" t="s">
        <v>2903</v>
      </c>
      <c r="O372" s="1145" t="s">
        <v>2903</v>
      </c>
      <c r="P372" s="1145" t="s">
        <v>2903</v>
      </c>
      <c r="Q372" s="1133"/>
      <c r="R372" s="1146" t="s">
        <v>2903</v>
      </c>
      <c r="S372" s="1148" t="s">
        <v>2903</v>
      </c>
      <c r="T372" s="1104"/>
      <c r="U372" s="1146" t="s">
        <v>2903</v>
      </c>
      <c r="V372" s="1148" t="s">
        <v>2903</v>
      </c>
      <c r="W372" s="1133"/>
      <c r="X372" s="1146" t="s">
        <v>2903</v>
      </c>
      <c r="Y372" s="1148" t="s">
        <v>2903</v>
      </c>
      <c r="Z372" s="1133"/>
      <c r="AA372" s="1146" t="s">
        <v>2903</v>
      </c>
      <c r="AB372" s="1185" t="s">
        <v>2903</v>
      </c>
      <c r="AC372" s="1133"/>
      <c r="AD372" s="1146" t="s">
        <v>2903</v>
      </c>
      <c r="AE372" s="1185" t="s">
        <v>2903</v>
      </c>
    </row>
    <row r="373" spans="3:31" x14ac:dyDescent="0.4">
      <c r="C373" s="2829"/>
      <c r="D373" s="1144" t="s">
        <v>3192</v>
      </c>
      <c r="E373" s="1145" t="s">
        <v>3194</v>
      </c>
      <c r="F373" s="1146">
        <v>440761</v>
      </c>
      <c r="G373" s="1146">
        <v>1196191</v>
      </c>
      <c r="H373" s="1145" t="s">
        <v>329</v>
      </c>
      <c r="I373" s="1145" t="s">
        <v>779</v>
      </c>
      <c r="J373" s="1145" t="s">
        <v>3188</v>
      </c>
      <c r="K373" s="1101"/>
      <c r="L373" s="1145" t="s">
        <v>2903</v>
      </c>
      <c r="M373" s="1145" t="s">
        <v>2903</v>
      </c>
      <c r="N373" s="1145" t="s">
        <v>2903</v>
      </c>
      <c r="O373" s="1145" t="s">
        <v>2903</v>
      </c>
      <c r="P373" s="1145" t="s">
        <v>2903</v>
      </c>
      <c r="Q373" s="1133"/>
      <c r="R373" s="1146" t="s">
        <v>2903</v>
      </c>
      <c r="S373" s="1148" t="s">
        <v>2903</v>
      </c>
      <c r="T373" s="1104"/>
      <c r="U373" s="1146" t="s">
        <v>2903</v>
      </c>
      <c r="V373" s="1148" t="s">
        <v>2903</v>
      </c>
      <c r="W373" s="1133"/>
      <c r="X373" s="1146" t="s">
        <v>2903</v>
      </c>
      <c r="Y373" s="1148" t="s">
        <v>2903</v>
      </c>
      <c r="Z373" s="1133"/>
      <c r="AA373" s="1146" t="s">
        <v>2903</v>
      </c>
      <c r="AB373" s="1185" t="s">
        <v>2903</v>
      </c>
      <c r="AC373" s="1133"/>
      <c r="AD373" s="1146" t="s">
        <v>2903</v>
      </c>
      <c r="AE373" s="1185" t="s">
        <v>2903</v>
      </c>
    </row>
    <row r="374" spans="3:31" x14ac:dyDescent="0.4">
      <c r="C374" s="2829"/>
      <c r="D374" s="1144" t="s">
        <v>3192</v>
      </c>
      <c r="E374" s="1145" t="s">
        <v>3195</v>
      </c>
      <c r="F374" s="1146">
        <v>447414</v>
      </c>
      <c r="G374" s="1146">
        <v>1208498</v>
      </c>
      <c r="H374" s="1145" t="s">
        <v>329</v>
      </c>
      <c r="I374" s="1145" t="s">
        <v>783</v>
      </c>
      <c r="J374" s="1145" t="s">
        <v>783</v>
      </c>
      <c r="K374" s="1101"/>
      <c r="L374" s="1145" t="s">
        <v>2903</v>
      </c>
      <c r="M374" s="1145" t="s">
        <v>2903</v>
      </c>
      <c r="N374" s="1145" t="s">
        <v>2903</v>
      </c>
      <c r="O374" s="1145" t="s">
        <v>2903</v>
      </c>
      <c r="P374" s="1145" t="s">
        <v>2903</v>
      </c>
      <c r="Q374" s="1133"/>
      <c r="R374" s="1146" t="s">
        <v>2903</v>
      </c>
      <c r="S374" s="1148" t="s">
        <v>2903</v>
      </c>
      <c r="T374" s="1104"/>
      <c r="U374" s="1146" t="s">
        <v>2903</v>
      </c>
      <c r="V374" s="1148" t="s">
        <v>2903</v>
      </c>
      <c r="W374" s="1133"/>
      <c r="X374" s="1146" t="s">
        <v>2903</v>
      </c>
      <c r="Y374" s="1148" t="s">
        <v>2903</v>
      </c>
      <c r="Z374" s="1133"/>
      <c r="AA374" s="1146" t="s">
        <v>2903</v>
      </c>
      <c r="AB374" s="1185" t="s">
        <v>2903</v>
      </c>
      <c r="AC374" s="1133"/>
      <c r="AD374" s="1146" t="s">
        <v>2903</v>
      </c>
      <c r="AE374" s="1185" t="s">
        <v>2903</v>
      </c>
    </row>
    <row r="375" spans="3:31" x14ac:dyDescent="0.4">
      <c r="C375" s="2829"/>
      <c r="D375" s="1144" t="s">
        <v>3196</v>
      </c>
      <c r="E375" s="1145" t="s">
        <v>3197</v>
      </c>
      <c r="F375" s="1146">
        <v>424939</v>
      </c>
      <c r="G375" s="1146">
        <v>1219769</v>
      </c>
      <c r="H375" s="1145" t="s">
        <v>329</v>
      </c>
      <c r="I375" s="1145" t="s">
        <v>783</v>
      </c>
      <c r="J375" s="1145" t="s">
        <v>783</v>
      </c>
      <c r="K375" s="1101"/>
      <c r="L375" s="1145" t="s">
        <v>2903</v>
      </c>
      <c r="M375" s="1145" t="s">
        <v>2903</v>
      </c>
      <c r="N375" s="1145" t="s">
        <v>2903</v>
      </c>
      <c r="O375" s="1145" t="s">
        <v>2903</v>
      </c>
      <c r="P375" s="1145" t="s">
        <v>2903</v>
      </c>
      <c r="Q375" s="1133"/>
      <c r="R375" s="1146" t="s">
        <v>2903</v>
      </c>
      <c r="S375" s="1148" t="s">
        <v>2903</v>
      </c>
      <c r="T375" s="1104"/>
      <c r="U375" s="1146" t="s">
        <v>2903</v>
      </c>
      <c r="V375" s="1148" t="s">
        <v>2903</v>
      </c>
      <c r="W375" s="1133"/>
      <c r="X375" s="1146" t="s">
        <v>2903</v>
      </c>
      <c r="Y375" s="1148" t="s">
        <v>2903</v>
      </c>
      <c r="Z375" s="1133"/>
      <c r="AA375" s="1146" t="s">
        <v>2903</v>
      </c>
      <c r="AB375" s="1185" t="s">
        <v>2903</v>
      </c>
      <c r="AC375" s="1133"/>
      <c r="AD375" s="1146" t="s">
        <v>2903</v>
      </c>
      <c r="AE375" s="1185" t="s">
        <v>2903</v>
      </c>
    </row>
    <row r="376" spans="3:31" x14ac:dyDescent="0.4">
      <c r="C376" s="2829"/>
      <c r="D376" s="1144" t="s">
        <v>3198</v>
      </c>
      <c r="E376" s="1145" t="s">
        <v>3199</v>
      </c>
      <c r="F376" s="1146">
        <v>437136</v>
      </c>
      <c r="G376" s="1146">
        <v>1219338</v>
      </c>
      <c r="H376" s="1145" t="s">
        <v>329</v>
      </c>
      <c r="I376" s="1145" t="s">
        <v>783</v>
      </c>
      <c r="J376" s="1145" t="s">
        <v>783</v>
      </c>
      <c r="K376" s="1101"/>
      <c r="L376" s="1145" t="s">
        <v>2903</v>
      </c>
      <c r="M376" s="1145" t="s">
        <v>2903</v>
      </c>
      <c r="N376" s="1145" t="s">
        <v>2903</v>
      </c>
      <c r="O376" s="1145" t="s">
        <v>2903</v>
      </c>
      <c r="P376" s="1145" t="s">
        <v>2903</v>
      </c>
      <c r="Q376" s="1133"/>
      <c r="R376" s="1146" t="s">
        <v>2903</v>
      </c>
      <c r="S376" s="1148" t="s">
        <v>2903</v>
      </c>
      <c r="T376" s="1104"/>
      <c r="U376" s="1146" t="s">
        <v>2903</v>
      </c>
      <c r="V376" s="1148" t="s">
        <v>2903</v>
      </c>
      <c r="W376" s="1133"/>
      <c r="X376" s="1146" t="s">
        <v>2903</v>
      </c>
      <c r="Y376" s="1148" t="s">
        <v>2903</v>
      </c>
      <c r="Z376" s="1133"/>
      <c r="AA376" s="1146" t="s">
        <v>2903</v>
      </c>
      <c r="AB376" s="1185" t="s">
        <v>2903</v>
      </c>
      <c r="AC376" s="1133"/>
      <c r="AD376" s="1146" t="s">
        <v>2903</v>
      </c>
      <c r="AE376" s="1185" t="s">
        <v>2903</v>
      </c>
    </row>
    <row r="377" spans="3:31" x14ac:dyDescent="0.4">
      <c r="C377" s="2830" t="s">
        <v>3200</v>
      </c>
      <c r="D377" s="1135" t="s">
        <v>3201</v>
      </c>
      <c r="E377" s="1133" t="s">
        <v>3202</v>
      </c>
      <c r="F377" s="1133">
        <v>396005</v>
      </c>
      <c r="G377" s="1133">
        <v>1182789</v>
      </c>
      <c r="H377" s="1133" t="s">
        <v>329</v>
      </c>
      <c r="I377" s="1133" t="s">
        <v>784</v>
      </c>
      <c r="J377" s="1133" t="s">
        <v>3203</v>
      </c>
      <c r="K377" s="1111"/>
      <c r="L377" s="1214">
        <v>4</v>
      </c>
      <c r="M377" s="1214">
        <v>3</v>
      </c>
      <c r="N377" s="1214">
        <v>1</v>
      </c>
      <c r="O377" s="1214">
        <v>75</v>
      </c>
      <c r="P377" s="1214">
        <v>0</v>
      </c>
      <c r="Q377" s="1215"/>
      <c r="R377" s="1216">
        <v>24.4</v>
      </c>
      <c r="S377" s="1217">
        <v>0</v>
      </c>
      <c r="T377" s="1108"/>
      <c r="U377" s="1190">
        <v>72.8</v>
      </c>
      <c r="V377" s="1217">
        <v>1</v>
      </c>
      <c r="W377" s="1215"/>
      <c r="X377" s="1216">
        <v>7.0000000000000007E-2</v>
      </c>
      <c r="Y377" s="1217">
        <v>1</v>
      </c>
      <c r="Z377" s="1218"/>
      <c r="AA377" s="1216">
        <v>7.9</v>
      </c>
      <c r="AB377" s="1219">
        <v>1</v>
      </c>
      <c r="AC377" s="1218"/>
      <c r="AD377" s="1216">
        <v>3.4</v>
      </c>
      <c r="AE377" s="1219">
        <v>1</v>
      </c>
    </row>
    <row r="378" spans="3:31" x14ac:dyDescent="0.4">
      <c r="C378" s="2846"/>
      <c r="D378" s="1135" t="s">
        <v>3204</v>
      </c>
      <c r="E378" s="1133" t="s">
        <v>3205</v>
      </c>
      <c r="F378" s="1133">
        <v>396513</v>
      </c>
      <c r="G378" s="1133">
        <v>1185236</v>
      </c>
      <c r="H378" s="1133" t="s">
        <v>329</v>
      </c>
      <c r="I378" s="1133" t="s">
        <v>784</v>
      </c>
      <c r="J378" s="1133" t="s">
        <v>3203</v>
      </c>
      <c r="K378" s="1111"/>
      <c r="L378" s="1214">
        <v>5</v>
      </c>
      <c r="M378" s="1214">
        <v>3</v>
      </c>
      <c r="N378" s="1214">
        <v>2</v>
      </c>
      <c r="O378" s="1214">
        <v>60</v>
      </c>
      <c r="P378" s="1214">
        <v>0</v>
      </c>
      <c r="Q378" s="1215"/>
      <c r="R378" s="1216">
        <v>22.6</v>
      </c>
      <c r="S378" s="1217">
        <v>0</v>
      </c>
      <c r="T378" s="1108"/>
      <c r="U378" s="1190">
        <v>75.099999999999994</v>
      </c>
      <c r="V378" s="1217">
        <v>1</v>
      </c>
      <c r="W378" s="1215"/>
      <c r="X378" s="1216">
        <v>0.09</v>
      </c>
      <c r="Y378" s="1217">
        <v>1</v>
      </c>
      <c r="Z378" s="1218"/>
      <c r="AA378" s="1216">
        <v>5.8</v>
      </c>
      <c r="AB378" s="1219">
        <v>0</v>
      </c>
      <c r="AC378" s="1218"/>
      <c r="AD378" s="1216">
        <v>13.6</v>
      </c>
      <c r="AE378" s="1219">
        <v>1</v>
      </c>
    </row>
    <row r="379" spans="3:31" x14ac:dyDescent="0.4">
      <c r="C379" s="2846"/>
      <c r="D379" s="1135" t="s">
        <v>3206</v>
      </c>
      <c r="E379" s="1133" t="s">
        <v>3207</v>
      </c>
      <c r="F379" s="1133">
        <v>406466</v>
      </c>
      <c r="G379" s="1133">
        <v>1195288</v>
      </c>
      <c r="H379" s="1133" t="s">
        <v>329</v>
      </c>
      <c r="I379" s="1133" t="s">
        <v>783</v>
      </c>
      <c r="J379" s="1133" t="s">
        <v>3208</v>
      </c>
      <c r="K379" s="1111"/>
      <c r="L379" s="1214">
        <v>5</v>
      </c>
      <c r="M379" s="1214">
        <v>3</v>
      </c>
      <c r="N379" s="1214">
        <v>2</v>
      </c>
      <c r="O379" s="1214">
        <v>60</v>
      </c>
      <c r="P379" s="1214">
        <v>0</v>
      </c>
      <c r="Q379" s="1215"/>
      <c r="R379" s="1216">
        <v>28.5</v>
      </c>
      <c r="S379" s="1217">
        <v>0</v>
      </c>
      <c r="T379" s="1108"/>
      <c r="U379" s="1190">
        <v>57.7</v>
      </c>
      <c r="V379" s="1217">
        <v>0</v>
      </c>
      <c r="W379" s="1215"/>
      <c r="X379" s="1216">
        <v>0.18</v>
      </c>
      <c r="Y379" s="1217">
        <v>1</v>
      </c>
      <c r="Z379" s="1218"/>
      <c r="AA379" s="1216">
        <v>7</v>
      </c>
      <c r="AB379" s="1219">
        <v>1</v>
      </c>
      <c r="AC379" s="1218"/>
      <c r="AD379" s="1216">
        <v>11</v>
      </c>
      <c r="AE379" s="1219">
        <v>1</v>
      </c>
    </row>
    <row r="380" spans="3:31" x14ac:dyDescent="0.4">
      <c r="C380" s="2846"/>
      <c r="D380" s="1135" t="s">
        <v>3209</v>
      </c>
      <c r="E380" s="1133" t="s">
        <v>3210</v>
      </c>
      <c r="F380" s="1133">
        <v>419081</v>
      </c>
      <c r="G380" s="1133">
        <v>1213800</v>
      </c>
      <c r="H380" s="1133" t="s">
        <v>329</v>
      </c>
      <c r="I380" s="1133" t="s">
        <v>783</v>
      </c>
      <c r="J380" s="1133" t="s">
        <v>3208</v>
      </c>
      <c r="K380" s="1111"/>
      <c r="L380" s="1214" t="s">
        <v>2903</v>
      </c>
      <c r="M380" s="1214" t="s">
        <v>2903</v>
      </c>
      <c r="N380" s="1214" t="s">
        <v>2903</v>
      </c>
      <c r="O380" s="1214" t="s">
        <v>2903</v>
      </c>
      <c r="P380" s="1214" t="s">
        <v>2903</v>
      </c>
      <c r="Q380" s="1215"/>
      <c r="R380" s="1216" t="s">
        <v>2903</v>
      </c>
      <c r="S380" s="1217" t="s">
        <v>2903</v>
      </c>
      <c r="T380" s="1108"/>
      <c r="U380" s="1190" t="s">
        <v>2903</v>
      </c>
      <c r="V380" s="1217" t="s">
        <v>2903</v>
      </c>
      <c r="W380" s="1215"/>
      <c r="X380" s="1216" t="s">
        <v>2903</v>
      </c>
      <c r="Y380" s="1217" t="s">
        <v>2903</v>
      </c>
      <c r="Z380" s="1218"/>
      <c r="AA380" s="1216" t="s">
        <v>2903</v>
      </c>
      <c r="AB380" s="1219" t="s">
        <v>2903</v>
      </c>
      <c r="AC380" s="1218"/>
      <c r="AD380" s="1216" t="s">
        <v>2903</v>
      </c>
      <c r="AE380" s="1219" t="s">
        <v>2903</v>
      </c>
    </row>
    <row r="381" spans="3:31" x14ac:dyDescent="0.4">
      <c r="C381" s="2846"/>
      <c r="D381" s="1135" t="s">
        <v>3211</v>
      </c>
      <c r="E381" s="1133" t="s">
        <v>3212</v>
      </c>
      <c r="F381" s="1133">
        <v>424116</v>
      </c>
      <c r="G381" s="1133">
        <v>1198841</v>
      </c>
      <c r="H381" s="1133" t="s">
        <v>329</v>
      </c>
      <c r="I381" s="1133" t="s">
        <v>783</v>
      </c>
      <c r="J381" s="1133" t="s">
        <v>3208</v>
      </c>
      <c r="K381" s="1111"/>
      <c r="L381" s="1214">
        <v>4</v>
      </c>
      <c r="M381" s="1214">
        <v>1</v>
      </c>
      <c r="N381" s="1214">
        <v>3</v>
      </c>
      <c r="O381" s="1214">
        <v>25</v>
      </c>
      <c r="P381" s="1214">
        <v>0</v>
      </c>
      <c r="Q381" s="1215"/>
      <c r="R381" s="1216">
        <v>24.1</v>
      </c>
      <c r="S381" s="1217">
        <v>0</v>
      </c>
      <c r="T381" s="1108"/>
      <c r="U381" s="1190">
        <v>59.8</v>
      </c>
      <c r="V381" s="1217">
        <v>0</v>
      </c>
      <c r="W381" s="1215"/>
      <c r="X381" s="1216">
        <v>6.95</v>
      </c>
      <c r="Y381" s="1217">
        <v>0</v>
      </c>
      <c r="Z381" s="1218"/>
      <c r="AA381" s="1216">
        <v>7.1</v>
      </c>
      <c r="AB381" s="1219">
        <v>1</v>
      </c>
      <c r="AC381" s="1218"/>
      <c r="AD381" s="1216">
        <v>6</v>
      </c>
      <c r="AE381" s="1219">
        <v>1</v>
      </c>
    </row>
    <row r="382" spans="3:31" ht="25.5" x14ac:dyDescent="0.4">
      <c r="C382" s="2822" t="s">
        <v>779</v>
      </c>
      <c r="D382" s="1178" t="s">
        <v>3213</v>
      </c>
      <c r="E382" s="1179" t="s">
        <v>3214</v>
      </c>
      <c r="F382" s="1180">
        <v>445595</v>
      </c>
      <c r="G382" s="1180">
        <v>1150072</v>
      </c>
      <c r="H382" s="1179" t="s">
        <v>329</v>
      </c>
      <c r="I382" s="1179" t="s">
        <v>779</v>
      </c>
      <c r="J382" s="1179" t="s">
        <v>3215</v>
      </c>
      <c r="K382" s="1101"/>
      <c r="L382" s="1179" t="s">
        <v>2903</v>
      </c>
      <c r="M382" s="1179" t="s">
        <v>2903</v>
      </c>
      <c r="N382" s="1179" t="s">
        <v>2903</v>
      </c>
      <c r="O382" s="1179" t="s">
        <v>2903</v>
      </c>
      <c r="P382" s="1179" t="s">
        <v>2903</v>
      </c>
      <c r="Q382" s="1133"/>
      <c r="R382" s="1180" t="s">
        <v>2903</v>
      </c>
      <c r="S382" s="1182" t="s">
        <v>2903</v>
      </c>
      <c r="T382" s="1104"/>
      <c r="U382" s="1180" t="s">
        <v>2903</v>
      </c>
      <c r="V382" s="1182" t="s">
        <v>2903</v>
      </c>
      <c r="W382" s="1133"/>
      <c r="X382" s="1180" t="s">
        <v>2903</v>
      </c>
      <c r="Y382" s="1182" t="s">
        <v>2903</v>
      </c>
      <c r="Z382" s="1136"/>
      <c r="AA382" s="1180" t="s">
        <v>2903</v>
      </c>
      <c r="AB382" s="1192" t="s">
        <v>2903</v>
      </c>
      <c r="AC382" s="1136"/>
      <c r="AD382" s="1180" t="s">
        <v>2903</v>
      </c>
      <c r="AE382" s="1192" t="s">
        <v>2903</v>
      </c>
    </row>
    <row r="383" spans="3:31" x14ac:dyDescent="0.4">
      <c r="C383" s="2847"/>
      <c r="D383" s="1178" t="s">
        <v>3216</v>
      </c>
      <c r="E383" s="1179" t="s">
        <v>3217</v>
      </c>
      <c r="F383" s="1180">
        <v>448391</v>
      </c>
      <c r="G383" s="1180">
        <v>1154099</v>
      </c>
      <c r="H383" s="1179" t="s">
        <v>329</v>
      </c>
      <c r="I383" s="1179" t="s">
        <v>779</v>
      </c>
      <c r="J383" s="1179" t="s">
        <v>3215</v>
      </c>
      <c r="K383" s="1101"/>
      <c r="L383" s="1179" t="s">
        <v>2903</v>
      </c>
      <c r="M383" s="1179" t="s">
        <v>2903</v>
      </c>
      <c r="N383" s="1179" t="s">
        <v>2903</v>
      </c>
      <c r="O383" s="1179" t="s">
        <v>2903</v>
      </c>
      <c r="P383" s="1179" t="s">
        <v>2903</v>
      </c>
      <c r="Q383" s="1133"/>
      <c r="R383" s="1180" t="s">
        <v>2903</v>
      </c>
      <c r="S383" s="1182" t="s">
        <v>2903</v>
      </c>
      <c r="T383" s="1104"/>
      <c r="U383" s="1180" t="s">
        <v>2903</v>
      </c>
      <c r="V383" s="1182" t="s">
        <v>2903</v>
      </c>
      <c r="W383" s="1133"/>
      <c r="X383" s="1180" t="s">
        <v>2903</v>
      </c>
      <c r="Y383" s="1182" t="s">
        <v>2903</v>
      </c>
      <c r="Z383" s="1136"/>
      <c r="AA383" s="1180" t="s">
        <v>2903</v>
      </c>
      <c r="AB383" s="1192" t="s">
        <v>2903</v>
      </c>
      <c r="AC383" s="1136"/>
      <c r="AD383" s="1180" t="s">
        <v>2903</v>
      </c>
      <c r="AE383" s="1192" t="s">
        <v>2903</v>
      </c>
    </row>
    <row r="384" spans="3:31" x14ac:dyDescent="0.4">
      <c r="C384" s="2847"/>
      <c r="D384" s="1178" t="s">
        <v>3216</v>
      </c>
      <c r="E384" s="1179" t="s">
        <v>3218</v>
      </c>
      <c r="F384" s="1180">
        <v>447360</v>
      </c>
      <c r="G384" s="1180">
        <v>1164091</v>
      </c>
      <c r="H384" s="1179" t="s">
        <v>329</v>
      </c>
      <c r="I384" s="1179" t="s">
        <v>779</v>
      </c>
      <c r="J384" s="1179" t="s">
        <v>3191</v>
      </c>
      <c r="K384" s="1101"/>
      <c r="L384" s="1179" t="s">
        <v>2903</v>
      </c>
      <c r="M384" s="1179" t="s">
        <v>2903</v>
      </c>
      <c r="N384" s="1179" t="s">
        <v>2903</v>
      </c>
      <c r="O384" s="1179" t="s">
        <v>2903</v>
      </c>
      <c r="P384" s="1179" t="s">
        <v>2903</v>
      </c>
      <c r="Q384" s="1133"/>
      <c r="R384" s="1180" t="s">
        <v>2903</v>
      </c>
      <c r="S384" s="1182" t="s">
        <v>2903</v>
      </c>
      <c r="T384" s="1104"/>
      <c r="U384" s="1180" t="s">
        <v>2903</v>
      </c>
      <c r="V384" s="1182" t="s">
        <v>2903</v>
      </c>
      <c r="W384" s="1133"/>
      <c r="X384" s="1180" t="s">
        <v>2903</v>
      </c>
      <c r="Y384" s="1182" t="s">
        <v>2903</v>
      </c>
      <c r="Z384" s="1136"/>
      <c r="AA384" s="1180" t="s">
        <v>2903</v>
      </c>
      <c r="AB384" s="1192" t="s">
        <v>2903</v>
      </c>
      <c r="AC384" s="1136"/>
      <c r="AD384" s="1180" t="s">
        <v>2903</v>
      </c>
      <c r="AE384" s="1192" t="s">
        <v>2903</v>
      </c>
    </row>
    <row r="385" spans="3:31" x14ac:dyDescent="0.4">
      <c r="C385" s="2847"/>
      <c r="D385" s="1178" t="s">
        <v>3216</v>
      </c>
      <c r="E385" s="1179" t="s">
        <v>3219</v>
      </c>
      <c r="F385" s="1180">
        <v>446170</v>
      </c>
      <c r="G385" s="1180">
        <v>1167233</v>
      </c>
      <c r="H385" s="1179" t="s">
        <v>329</v>
      </c>
      <c r="I385" s="1179" t="s">
        <v>779</v>
      </c>
      <c r="J385" s="1179" t="s">
        <v>3188</v>
      </c>
      <c r="K385" s="1101"/>
      <c r="L385" s="1179" t="s">
        <v>2903</v>
      </c>
      <c r="M385" s="1179" t="s">
        <v>2903</v>
      </c>
      <c r="N385" s="1179" t="s">
        <v>2903</v>
      </c>
      <c r="O385" s="1179" t="s">
        <v>2903</v>
      </c>
      <c r="P385" s="1179" t="s">
        <v>2903</v>
      </c>
      <c r="Q385" s="1133"/>
      <c r="R385" s="1180" t="s">
        <v>2903</v>
      </c>
      <c r="S385" s="1182" t="s">
        <v>2903</v>
      </c>
      <c r="T385" s="1104"/>
      <c r="U385" s="1180" t="s">
        <v>2903</v>
      </c>
      <c r="V385" s="1182" t="s">
        <v>2903</v>
      </c>
      <c r="W385" s="1133"/>
      <c r="X385" s="1180" t="s">
        <v>2903</v>
      </c>
      <c r="Y385" s="1182" t="s">
        <v>2903</v>
      </c>
      <c r="Z385" s="1136"/>
      <c r="AA385" s="1180" t="s">
        <v>2903</v>
      </c>
      <c r="AB385" s="1192" t="s">
        <v>2903</v>
      </c>
      <c r="AC385" s="1136"/>
      <c r="AD385" s="1180" t="s">
        <v>2903</v>
      </c>
      <c r="AE385" s="1192" t="s">
        <v>2903</v>
      </c>
    </row>
    <row r="386" spans="3:31" x14ac:dyDescent="0.4">
      <c r="C386" s="2847"/>
      <c r="D386" s="1178" t="s">
        <v>3216</v>
      </c>
      <c r="E386" s="1179" t="s">
        <v>3220</v>
      </c>
      <c r="F386" s="1180">
        <v>472597</v>
      </c>
      <c r="G386" s="1180">
        <v>1178771</v>
      </c>
      <c r="H386" s="1179" t="s">
        <v>329</v>
      </c>
      <c r="I386" s="1179" t="s">
        <v>779</v>
      </c>
      <c r="J386" s="1179" t="s">
        <v>3221</v>
      </c>
      <c r="K386" s="1101"/>
      <c r="L386" s="1179" t="s">
        <v>2903</v>
      </c>
      <c r="M386" s="1179" t="s">
        <v>2903</v>
      </c>
      <c r="N386" s="1179" t="s">
        <v>2903</v>
      </c>
      <c r="O386" s="1179" t="s">
        <v>2903</v>
      </c>
      <c r="P386" s="1179" t="s">
        <v>2903</v>
      </c>
      <c r="Q386" s="1133"/>
      <c r="R386" s="1180" t="s">
        <v>2903</v>
      </c>
      <c r="S386" s="1182" t="s">
        <v>2903</v>
      </c>
      <c r="T386" s="1104"/>
      <c r="U386" s="1180" t="s">
        <v>2903</v>
      </c>
      <c r="V386" s="1182" t="s">
        <v>2903</v>
      </c>
      <c r="W386" s="1133"/>
      <c r="X386" s="1180" t="s">
        <v>2903</v>
      </c>
      <c r="Y386" s="1182" t="s">
        <v>2903</v>
      </c>
      <c r="Z386" s="1136"/>
      <c r="AA386" s="1180" t="s">
        <v>2903</v>
      </c>
      <c r="AB386" s="1192" t="s">
        <v>2903</v>
      </c>
      <c r="AC386" s="1136"/>
      <c r="AD386" s="1180" t="s">
        <v>2903</v>
      </c>
      <c r="AE386" s="1192" t="s">
        <v>2903</v>
      </c>
    </row>
    <row r="387" spans="3:31" x14ac:dyDescent="0.4">
      <c r="C387" s="2847"/>
      <c r="D387" s="1178" t="s">
        <v>3216</v>
      </c>
      <c r="E387" s="1179" t="s">
        <v>3222</v>
      </c>
      <c r="F387" s="1180">
        <v>478588</v>
      </c>
      <c r="G387" s="1180">
        <v>1192460</v>
      </c>
      <c r="H387" s="1179" t="s">
        <v>329</v>
      </c>
      <c r="I387" s="1179" t="s">
        <v>779</v>
      </c>
      <c r="J387" s="1179" t="s">
        <v>3221</v>
      </c>
      <c r="K387" s="1101"/>
      <c r="L387" s="1179" t="s">
        <v>2903</v>
      </c>
      <c r="M387" s="1179" t="s">
        <v>2903</v>
      </c>
      <c r="N387" s="1179" t="s">
        <v>2903</v>
      </c>
      <c r="O387" s="1179" t="s">
        <v>2903</v>
      </c>
      <c r="P387" s="1179" t="s">
        <v>2903</v>
      </c>
      <c r="Q387" s="1133"/>
      <c r="R387" s="1180" t="s">
        <v>2903</v>
      </c>
      <c r="S387" s="1182" t="s">
        <v>2903</v>
      </c>
      <c r="T387" s="1104"/>
      <c r="U387" s="1180" t="s">
        <v>2903</v>
      </c>
      <c r="V387" s="1182" t="s">
        <v>2903</v>
      </c>
      <c r="W387" s="1133"/>
      <c r="X387" s="1180" t="s">
        <v>2903</v>
      </c>
      <c r="Y387" s="1182" t="s">
        <v>2903</v>
      </c>
      <c r="Z387" s="1136"/>
      <c r="AA387" s="1180" t="s">
        <v>2903</v>
      </c>
      <c r="AB387" s="1192" t="s">
        <v>2903</v>
      </c>
      <c r="AC387" s="1136"/>
      <c r="AD387" s="1180" t="s">
        <v>2903</v>
      </c>
      <c r="AE387" s="1192" t="s">
        <v>2903</v>
      </c>
    </row>
    <row r="388" spans="3:31" x14ac:dyDescent="0.4">
      <c r="C388" s="2824" t="s">
        <v>802</v>
      </c>
      <c r="D388" s="1135" t="s">
        <v>3223</v>
      </c>
      <c r="E388" s="1133" t="s">
        <v>3224</v>
      </c>
      <c r="F388" s="1186">
        <v>482052</v>
      </c>
      <c r="G388" s="1186">
        <v>1128601</v>
      </c>
      <c r="H388" s="1193" t="s">
        <v>331</v>
      </c>
      <c r="I388" s="1193" t="s">
        <v>331</v>
      </c>
      <c r="J388" s="1193" t="s">
        <v>3225</v>
      </c>
      <c r="K388" s="1101"/>
      <c r="L388" s="1193" t="s">
        <v>2903</v>
      </c>
      <c r="M388" s="1193" t="s">
        <v>2903</v>
      </c>
      <c r="N388" s="1193" t="s">
        <v>2903</v>
      </c>
      <c r="O388" s="1193" t="s">
        <v>2903</v>
      </c>
      <c r="P388" s="1193" t="s">
        <v>2903</v>
      </c>
      <c r="Q388" s="1193"/>
      <c r="R388" s="1186" t="s">
        <v>2903</v>
      </c>
      <c r="S388" s="1107" t="s">
        <v>2903</v>
      </c>
      <c r="T388" s="1104"/>
      <c r="U388" s="1190" t="s">
        <v>2903</v>
      </c>
      <c r="V388" s="1107" t="s">
        <v>2903</v>
      </c>
      <c r="W388" s="1193"/>
      <c r="X388" s="1186" t="s">
        <v>2903</v>
      </c>
      <c r="Y388" s="1107" t="s">
        <v>2903</v>
      </c>
      <c r="Z388" s="1186"/>
      <c r="AA388" s="1186" t="s">
        <v>2903</v>
      </c>
      <c r="AB388" s="1194" t="s">
        <v>2903</v>
      </c>
      <c r="AC388" s="1186"/>
      <c r="AD388" s="1186" t="s">
        <v>2903</v>
      </c>
      <c r="AE388" s="1194" t="s">
        <v>2903</v>
      </c>
    </row>
    <row r="389" spans="3:31" x14ac:dyDescent="0.4">
      <c r="C389" s="2846"/>
      <c r="D389" s="1135" t="s">
        <v>3226</v>
      </c>
      <c r="E389" s="1133" t="s">
        <v>3227</v>
      </c>
      <c r="F389" s="1133">
        <v>479928</v>
      </c>
      <c r="G389" s="1133">
        <v>1135348</v>
      </c>
      <c r="H389" s="1133" t="s">
        <v>331</v>
      </c>
      <c r="I389" s="1133" t="s">
        <v>331</v>
      </c>
      <c r="J389" s="1133" t="s">
        <v>3225</v>
      </c>
      <c r="K389" s="1111"/>
      <c r="L389" s="1193">
        <v>4</v>
      </c>
      <c r="M389" s="1193">
        <v>3</v>
      </c>
      <c r="N389" s="1193">
        <v>1</v>
      </c>
      <c r="O389" s="1193">
        <v>75</v>
      </c>
      <c r="P389" s="1193">
        <v>0</v>
      </c>
      <c r="Q389" s="1220"/>
      <c r="R389" s="1186">
        <v>32.6</v>
      </c>
      <c r="S389" s="1107">
        <v>0</v>
      </c>
      <c r="T389" s="1108"/>
      <c r="U389" s="1190">
        <v>76.3</v>
      </c>
      <c r="V389" s="1107">
        <v>0</v>
      </c>
      <c r="W389" s="1220"/>
      <c r="X389" s="1186">
        <v>0.27</v>
      </c>
      <c r="Y389" s="1107">
        <v>0</v>
      </c>
      <c r="Z389" s="1202"/>
      <c r="AA389" s="1186">
        <v>7.7</v>
      </c>
      <c r="AB389" s="1194">
        <v>0</v>
      </c>
      <c r="AC389" s="1202"/>
      <c r="AD389" s="1186">
        <v>3.4</v>
      </c>
      <c r="AE389" s="1194">
        <v>1</v>
      </c>
    </row>
    <row r="390" spans="3:31" x14ac:dyDescent="0.4">
      <c r="C390" s="2846"/>
      <c r="D390" s="1135" t="s">
        <v>3228</v>
      </c>
      <c r="E390" s="1133" t="s">
        <v>3229</v>
      </c>
      <c r="F390" s="1133">
        <v>499537</v>
      </c>
      <c r="G390" s="1133">
        <v>1153320</v>
      </c>
      <c r="H390" s="1133" t="s">
        <v>331</v>
      </c>
      <c r="I390" s="1133" t="s">
        <v>802</v>
      </c>
      <c r="J390" s="1133" t="s">
        <v>3230</v>
      </c>
      <c r="K390" s="1111"/>
      <c r="L390" s="1193" t="s">
        <v>2903</v>
      </c>
      <c r="M390" s="1193" t="s">
        <v>2903</v>
      </c>
      <c r="N390" s="1193" t="s">
        <v>2903</v>
      </c>
      <c r="O390" s="1193" t="s">
        <v>2903</v>
      </c>
      <c r="P390" s="1193" t="s">
        <v>2903</v>
      </c>
      <c r="Q390" s="1220"/>
      <c r="R390" s="1186" t="s">
        <v>2903</v>
      </c>
      <c r="S390" s="1107" t="s">
        <v>2903</v>
      </c>
      <c r="T390" s="1220"/>
      <c r="U390" s="1190" t="s">
        <v>2903</v>
      </c>
      <c r="V390" s="1107" t="s">
        <v>2903</v>
      </c>
      <c r="W390" s="1220"/>
      <c r="X390" s="1186" t="s">
        <v>2903</v>
      </c>
      <c r="Y390" s="1107" t="s">
        <v>2903</v>
      </c>
      <c r="Z390" s="1220"/>
      <c r="AA390" s="1186" t="s">
        <v>2903</v>
      </c>
      <c r="AB390" s="1194" t="s">
        <v>2903</v>
      </c>
      <c r="AC390" s="1220"/>
      <c r="AD390" s="1186" t="s">
        <v>2903</v>
      </c>
      <c r="AE390" s="1194" t="s">
        <v>2903</v>
      </c>
    </row>
    <row r="391" spans="3:31" x14ac:dyDescent="0.4">
      <c r="C391" s="2846"/>
      <c r="D391" s="1135" t="s">
        <v>3231</v>
      </c>
      <c r="E391" s="1133" t="s">
        <v>3232</v>
      </c>
      <c r="F391" s="1133">
        <v>498841</v>
      </c>
      <c r="G391" s="1133">
        <v>1155364</v>
      </c>
      <c r="H391" s="1133" t="s">
        <v>331</v>
      </c>
      <c r="I391" s="1133" t="s">
        <v>802</v>
      </c>
      <c r="J391" s="1133" t="s">
        <v>3230</v>
      </c>
      <c r="K391" s="1111"/>
      <c r="L391" s="1193">
        <v>4</v>
      </c>
      <c r="M391" s="1193">
        <v>3</v>
      </c>
      <c r="N391" s="1193">
        <v>1</v>
      </c>
      <c r="O391" s="1193">
        <v>75</v>
      </c>
      <c r="P391" s="1193">
        <v>0</v>
      </c>
      <c r="Q391" s="1220"/>
      <c r="R391" s="1186">
        <v>18.399999999999999</v>
      </c>
      <c r="S391" s="1107">
        <v>0</v>
      </c>
      <c r="T391" s="1108"/>
      <c r="U391" s="1190">
        <v>90.7</v>
      </c>
      <c r="V391" s="1107">
        <v>0</v>
      </c>
      <c r="W391" s="1220"/>
      <c r="X391" s="1186">
        <v>0.1</v>
      </c>
      <c r="Y391" s="1107">
        <v>0</v>
      </c>
      <c r="Z391" s="1202"/>
      <c r="AA391" s="1186">
        <v>8.4</v>
      </c>
      <c r="AB391" s="1194">
        <v>0</v>
      </c>
      <c r="AC391" s="1202"/>
      <c r="AD391" s="1186">
        <v>3.4</v>
      </c>
      <c r="AE391" s="1194">
        <v>0</v>
      </c>
    </row>
    <row r="392" spans="3:31" x14ac:dyDescent="0.4">
      <c r="C392" s="2846"/>
      <c r="D392" s="1135" t="s">
        <v>3231</v>
      </c>
      <c r="E392" s="1133" t="s">
        <v>3233</v>
      </c>
      <c r="F392" s="1133">
        <v>499819</v>
      </c>
      <c r="G392" s="1133">
        <v>1173656</v>
      </c>
      <c r="H392" s="1133" t="s">
        <v>331</v>
      </c>
      <c r="I392" s="1133" t="s">
        <v>802</v>
      </c>
      <c r="J392" s="1133" t="s">
        <v>3230</v>
      </c>
      <c r="K392" s="1111"/>
      <c r="L392" s="1193">
        <v>5</v>
      </c>
      <c r="M392" s="1193">
        <v>2</v>
      </c>
      <c r="N392" s="1193">
        <v>3</v>
      </c>
      <c r="O392" s="1193">
        <v>40</v>
      </c>
      <c r="P392" s="1193">
        <v>0</v>
      </c>
      <c r="Q392" s="1220"/>
      <c r="R392" s="1186">
        <v>11.8</v>
      </c>
      <c r="S392" s="1107">
        <v>0</v>
      </c>
      <c r="T392" s="1108"/>
      <c r="U392" s="1190">
        <v>69.8</v>
      </c>
      <c r="V392" s="1107">
        <v>0</v>
      </c>
      <c r="W392" s="1220"/>
      <c r="X392" s="1186">
        <v>0.09</v>
      </c>
      <c r="Y392" s="1107">
        <v>0</v>
      </c>
      <c r="Z392" s="1202"/>
      <c r="AA392" s="1186">
        <v>7.4</v>
      </c>
      <c r="AB392" s="1194">
        <v>0</v>
      </c>
      <c r="AC392" s="1202"/>
      <c r="AD392" s="1186">
        <v>23.2</v>
      </c>
      <c r="AE392" s="1194">
        <v>0</v>
      </c>
    </row>
    <row r="393" spans="3:31" x14ac:dyDescent="0.4">
      <c r="C393" s="2846"/>
      <c r="D393" s="1135" t="s">
        <v>3234</v>
      </c>
      <c r="E393" s="1133" t="s">
        <v>3235</v>
      </c>
      <c r="F393" s="1133">
        <v>493786</v>
      </c>
      <c r="G393" s="1133">
        <v>1173389</v>
      </c>
      <c r="H393" s="1133" t="s">
        <v>331</v>
      </c>
      <c r="I393" s="1133" t="s">
        <v>802</v>
      </c>
      <c r="J393" s="1133" t="s">
        <v>3230</v>
      </c>
      <c r="K393" s="1111"/>
      <c r="L393" s="1193">
        <v>5</v>
      </c>
      <c r="M393" s="1193">
        <v>1</v>
      </c>
      <c r="N393" s="1193">
        <v>4</v>
      </c>
      <c r="O393" s="1193">
        <v>20</v>
      </c>
      <c r="P393" s="1193">
        <v>0</v>
      </c>
      <c r="Q393" s="1220"/>
      <c r="R393" s="1186">
        <v>16.100000000000001</v>
      </c>
      <c r="S393" s="1107">
        <v>0</v>
      </c>
      <c r="T393" s="1108"/>
      <c r="U393" s="1190">
        <v>62.3</v>
      </c>
      <c r="V393" s="1107">
        <v>0</v>
      </c>
      <c r="W393" s="1220"/>
      <c r="X393" s="1186">
        <v>7.0000000000000007E-2</v>
      </c>
      <c r="Y393" s="1107">
        <v>0</v>
      </c>
      <c r="Z393" s="1202"/>
      <c r="AA393" s="1186">
        <v>4.4000000000000004</v>
      </c>
      <c r="AB393" s="1194">
        <v>0</v>
      </c>
      <c r="AC393" s="1202"/>
      <c r="AD393" s="1186">
        <v>17.5</v>
      </c>
      <c r="AE393" s="1194">
        <v>0</v>
      </c>
    </row>
    <row r="394" spans="3:31" x14ac:dyDescent="0.4">
      <c r="C394" s="2826" t="s">
        <v>3236</v>
      </c>
      <c r="D394" s="1151" t="s">
        <v>3237</v>
      </c>
      <c r="E394" s="1152" t="s">
        <v>3238</v>
      </c>
      <c r="F394" s="1153">
        <v>482592</v>
      </c>
      <c r="G394" s="1153">
        <v>1175164</v>
      </c>
      <c r="H394" s="1152" t="s">
        <v>331</v>
      </c>
      <c r="I394" s="1152" t="s">
        <v>802</v>
      </c>
      <c r="J394" s="1152" t="s">
        <v>3236</v>
      </c>
      <c r="K394" s="1101"/>
      <c r="L394" s="1152" t="s">
        <v>2903</v>
      </c>
      <c r="M394" s="1152" t="s">
        <v>2903</v>
      </c>
      <c r="N394" s="1152" t="s">
        <v>2903</v>
      </c>
      <c r="O394" s="1152" t="s">
        <v>2903</v>
      </c>
      <c r="P394" s="1152" t="s">
        <v>2903</v>
      </c>
      <c r="Q394" s="1133"/>
      <c r="R394" s="1153" t="s">
        <v>2903</v>
      </c>
      <c r="S394" s="1156" t="s">
        <v>2903</v>
      </c>
      <c r="T394" s="1104"/>
      <c r="U394" s="1153" t="s">
        <v>2903</v>
      </c>
      <c r="V394" s="1156" t="s">
        <v>2903</v>
      </c>
      <c r="W394" s="1133"/>
      <c r="X394" s="1153" t="s">
        <v>2903</v>
      </c>
      <c r="Y394" s="1156" t="s">
        <v>2903</v>
      </c>
      <c r="Z394" s="1136"/>
      <c r="AA394" s="1153" t="s">
        <v>2903</v>
      </c>
      <c r="AB394" s="1195" t="s">
        <v>2903</v>
      </c>
      <c r="AC394" s="1136"/>
      <c r="AD394" s="1153" t="s">
        <v>2903</v>
      </c>
      <c r="AE394" s="1195" t="s">
        <v>2903</v>
      </c>
    </row>
    <row r="395" spans="3:31" x14ac:dyDescent="0.4">
      <c r="C395" s="2847"/>
      <c r="D395" s="1151" t="s">
        <v>3237</v>
      </c>
      <c r="E395" s="1152" t="s">
        <v>3239</v>
      </c>
      <c r="F395" s="1153">
        <v>489977</v>
      </c>
      <c r="G395" s="1153">
        <v>1190025</v>
      </c>
      <c r="H395" s="1152" t="s">
        <v>331</v>
      </c>
      <c r="I395" s="1152" t="s">
        <v>802</v>
      </c>
      <c r="J395" s="1152" t="s">
        <v>3236</v>
      </c>
      <c r="K395" s="1101"/>
      <c r="L395" s="1152" t="s">
        <v>2903</v>
      </c>
      <c r="M395" s="1152" t="s">
        <v>2903</v>
      </c>
      <c r="N395" s="1152" t="s">
        <v>2903</v>
      </c>
      <c r="O395" s="1152" t="s">
        <v>2903</v>
      </c>
      <c r="P395" s="1152" t="s">
        <v>2903</v>
      </c>
      <c r="Q395" s="1133"/>
      <c r="R395" s="1153" t="s">
        <v>2903</v>
      </c>
      <c r="S395" s="1156" t="s">
        <v>2903</v>
      </c>
      <c r="T395" s="1104"/>
      <c r="U395" s="1153" t="s">
        <v>2903</v>
      </c>
      <c r="V395" s="1156" t="s">
        <v>2903</v>
      </c>
      <c r="W395" s="1133"/>
      <c r="X395" s="1153" t="s">
        <v>2903</v>
      </c>
      <c r="Y395" s="1156" t="s">
        <v>2903</v>
      </c>
      <c r="Z395" s="1136"/>
      <c r="AA395" s="1153" t="s">
        <v>2903</v>
      </c>
      <c r="AB395" s="1195" t="s">
        <v>2903</v>
      </c>
      <c r="AC395" s="1136"/>
      <c r="AD395" s="1153" t="s">
        <v>2903</v>
      </c>
      <c r="AE395" s="1195" t="s">
        <v>2903</v>
      </c>
    </row>
    <row r="396" spans="3:31" x14ac:dyDescent="0.4">
      <c r="C396" s="2827" t="s">
        <v>3063</v>
      </c>
      <c r="D396" s="1196" t="s">
        <v>3240</v>
      </c>
      <c r="E396" s="1197" t="s">
        <v>3241</v>
      </c>
      <c r="F396" s="1198">
        <v>505845</v>
      </c>
      <c r="G396" s="1198">
        <v>1121951</v>
      </c>
      <c r="H396" s="1197" t="s">
        <v>330</v>
      </c>
      <c r="I396" s="1197" t="s">
        <v>792</v>
      </c>
      <c r="J396" s="1197" t="s">
        <v>3185</v>
      </c>
      <c r="K396" s="1101"/>
      <c r="L396" s="1197" t="s">
        <v>2903</v>
      </c>
      <c r="M396" s="1197" t="s">
        <v>2903</v>
      </c>
      <c r="N396" s="1197" t="s">
        <v>2903</v>
      </c>
      <c r="O396" s="1197" t="s">
        <v>2903</v>
      </c>
      <c r="P396" s="1197" t="s">
        <v>2903</v>
      </c>
      <c r="Q396" s="1133"/>
      <c r="R396" s="1198" t="s">
        <v>2903</v>
      </c>
      <c r="S396" s="1199" t="s">
        <v>2903</v>
      </c>
      <c r="T396" s="1104"/>
      <c r="U396" s="1198" t="s">
        <v>2903</v>
      </c>
      <c r="V396" s="1199" t="s">
        <v>2903</v>
      </c>
      <c r="W396" s="1133"/>
      <c r="X396" s="1198" t="s">
        <v>2903</v>
      </c>
      <c r="Y396" s="1199" t="s">
        <v>2903</v>
      </c>
      <c r="Z396" s="1136"/>
      <c r="AA396" s="1198" t="s">
        <v>2903</v>
      </c>
      <c r="AB396" s="1200" t="s">
        <v>2903</v>
      </c>
      <c r="AC396" s="1136"/>
      <c r="AD396" s="1198" t="s">
        <v>2903</v>
      </c>
      <c r="AE396" s="1200" t="s">
        <v>2903</v>
      </c>
    </row>
    <row r="397" spans="3:31" x14ac:dyDescent="0.4">
      <c r="C397" s="2827"/>
      <c r="D397" s="1196" t="s">
        <v>3242</v>
      </c>
      <c r="E397" s="1197" t="s">
        <v>3243</v>
      </c>
      <c r="F397" s="1198">
        <v>521342</v>
      </c>
      <c r="G397" s="1198">
        <v>1123861</v>
      </c>
      <c r="H397" s="1197" t="s">
        <v>334</v>
      </c>
      <c r="I397" s="1197" t="s">
        <v>826</v>
      </c>
      <c r="J397" s="1197" t="s">
        <v>3097</v>
      </c>
      <c r="K397" s="1101"/>
      <c r="L397" s="1197" t="s">
        <v>2903</v>
      </c>
      <c r="M397" s="1197" t="s">
        <v>2903</v>
      </c>
      <c r="N397" s="1197" t="s">
        <v>2903</v>
      </c>
      <c r="O397" s="1197" t="s">
        <v>2903</v>
      </c>
      <c r="P397" s="1197" t="s">
        <v>2903</v>
      </c>
      <c r="Q397" s="1133"/>
      <c r="R397" s="1198" t="s">
        <v>2903</v>
      </c>
      <c r="S397" s="1199" t="s">
        <v>2903</v>
      </c>
      <c r="T397" s="1104"/>
      <c r="U397" s="1198" t="s">
        <v>2903</v>
      </c>
      <c r="V397" s="1199" t="s">
        <v>2903</v>
      </c>
      <c r="W397" s="1133"/>
      <c r="X397" s="1198" t="s">
        <v>2903</v>
      </c>
      <c r="Y397" s="1199" t="s">
        <v>2903</v>
      </c>
      <c r="Z397" s="1136"/>
      <c r="AA397" s="1198" t="s">
        <v>2903</v>
      </c>
      <c r="AB397" s="1200" t="s">
        <v>2903</v>
      </c>
      <c r="AC397" s="1136"/>
      <c r="AD397" s="1198" t="s">
        <v>2903</v>
      </c>
      <c r="AE397" s="1200" t="s">
        <v>2903</v>
      </c>
    </row>
    <row r="398" spans="3:31" x14ac:dyDescent="0.4">
      <c r="C398" s="2827"/>
      <c r="D398" s="1196" t="s">
        <v>3240</v>
      </c>
      <c r="E398" s="1197" t="s">
        <v>3244</v>
      </c>
      <c r="F398" s="1198">
        <v>501187</v>
      </c>
      <c r="G398" s="1198">
        <v>1156754</v>
      </c>
      <c r="H398" s="1197" t="s">
        <v>331</v>
      </c>
      <c r="I398" s="1197" t="s">
        <v>802</v>
      </c>
      <c r="J398" s="1197" t="s">
        <v>3230</v>
      </c>
      <c r="K398" s="1101"/>
      <c r="L398" s="1197" t="s">
        <v>2903</v>
      </c>
      <c r="M398" s="1197" t="s">
        <v>2903</v>
      </c>
      <c r="N398" s="1197" t="s">
        <v>2903</v>
      </c>
      <c r="O398" s="1197" t="s">
        <v>2903</v>
      </c>
      <c r="P398" s="1197" t="s">
        <v>2903</v>
      </c>
      <c r="Q398" s="1133"/>
      <c r="R398" s="1198" t="s">
        <v>2903</v>
      </c>
      <c r="S398" s="1199" t="s">
        <v>2903</v>
      </c>
      <c r="T398" s="1104"/>
      <c r="U398" s="1198" t="s">
        <v>2903</v>
      </c>
      <c r="V398" s="1199" t="s">
        <v>2903</v>
      </c>
      <c r="W398" s="1133"/>
      <c r="X398" s="1198" t="s">
        <v>2903</v>
      </c>
      <c r="Y398" s="1199" t="s">
        <v>2903</v>
      </c>
      <c r="Z398" s="1136"/>
      <c r="AA398" s="1198" t="s">
        <v>2903</v>
      </c>
      <c r="AB398" s="1200" t="s">
        <v>2903</v>
      </c>
      <c r="AC398" s="1136"/>
      <c r="AD398" s="1198" t="s">
        <v>2903</v>
      </c>
      <c r="AE398" s="1200" t="s">
        <v>2903</v>
      </c>
    </row>
    <row r="399" spans="3:31" x14ac:dyDescent="0.4">
      <c r="C399" s="2827"/>
      <c r="D399" s="1196" t="s">
        <v>3059</v>
      </c>
      <c r="E399" s="1197" t="s">
        <v>3245</v>
      </c>
      <c r="F399" s="1198">
        <v>515850</v>
      </c>
      <c r="G399" s="1198">
        <v>1145812</v>
      </c>
      <c r="H399" s="1197" t="s">
        <v>331</v>
      </c>
      <c r="I399" s="1197" t="s">
        <v>802</v>
      </c>
      <c r="J399" s="1197" t="s">
        <v>3246</v>
      </c>
      <c r="K399" s="1101"/>
      <c r="L399" s="1197" t="s">
        <v>2903</v>
      </c>
      <c r="M399" s="1197" t="s">
        <v>2903</v>
      </c>
      <c r="N399" s="1197" t="s">
        <v>2903</v>
      </c>
      <c r="O399" s="1197" t="s">
        <v>2903</v>
      </c>
      <c r="P399" s="1197" t="s">
        <v>2903</v>
      </c>
      <c r="Q399" s="1133"/>
      <c r="R399" s="1198" t="s">
        <v>2903</v>
      </c>
      <c r="S399" s="1199" t="s">
        <v>2903</v>
      </c>
      <c r="T399" s="1104"/>
      <c r="U399" s="1198" t="s">
        <v>2903</v>
      </c>
      <c r="V399" s="1199" t="s">
        <v>2903</v>
      </c>
      <c r="W399" s="1133"/>
      <c r="X399" s="1198" t="s">
        <v>2903</v>
      </c>
      <c r="Y399" s="1199" t="s">
        <v>2903</v>
      </c>
      <c r="Z399" s="1136"/>
      <c r="AA399" s="1198" t="s">
        <v>2903</v>
      </c>
      <c r="AB399" s="1200" t="s">
        <v>2903</v>
      </c>
      <c r="AC399" s="1136"/>
      <c r="AD399" s="1198" t="s">
        <v>2903</v>
      </c>
      <c r="AE399" s="1200" t="s">
        <v>2903</v>
      </c>
    </row>
    <row r="400" spans="3:31" x14ac:dyDescent="0.4">
      <c r="C400" s="2827"/>
      <c r="D400" s="1196" t="s">
        <v>3240</v>
      </c>
      <c r="E400" s="1197" t="s">
        <v>3247</v>
      </c>
      <c r="F400" s="1198">
        <v>511157</v>
      </c>
      <c r="G400" s="1198">
        <v>1147119</v>
      </c>
      <c r="H400" s="1197" t="s">
        <v>334</v>
      </c>
      <c r="I400" s="1197" t="s">
        <v>826</v>
      </c>
      <c r="J400" s="1197" t="s">
        <v>3248</v>
      </c>
      <c r="K400" s="1101"/>
      <c r="L400" s="1197" t="s">
        <v>2903</v>
      </c>
      <c r="M400" s="1197" t="s">
        <v>2903</v>
      </c>
      <c r="N400" s="1197" t="s">
        <v>2903</v>
      </c>
      <c r="O400" s="1197" t="s">
        <v>2903</v>
      </c>
      <c r="P400" s="1197" t="s">
        <v>2903</v>
      </c>
      <c r="Q400" s="1133"/>
      <c r="R400" s="1198" t="s">
        <v>2903</v>
      </c>
      <c r="S400" s="1199" t="s">
        <v>2903</v>
      </c>
      <c r="T400" s="1104"/>
      <c r="U400" s="1198" t="s">
        <v>2903</v>
      </c>
      <c r="V400" s="1199" t="s">
        <v>2903</v>
      </c>
      <c r="W400" s="1133"/>
      <c r="X400" s="1198" t="s">
        <v>2903</v>
      </c>
      <c r="Y400" s="1199" t="s">
        <v>2903</v>
      </c>
      <c r="Z400" s="1136"/>
      <c r="AA400" s="1198" t="s">
        <v>2903</v>
      </c>
      <c r="AB400" s="1200" t="s">
        <v>2903</v>
      </c>
      <c r="AC400" s="1136"/>
      <c r="AD400" s="1198" t="s">
        <v>2903</v>
      </c>
      <c r="AE400" s="1200" t="s">
        <v>2903</v>
      </c>
    </row>
    <row r="401" spans="3:31" x14ac:dyDescent="0.4">
      <c r="C401" s="2828" t="s">
        <v>3249</v>
      </c>
      <c r="D401" s="1144" t="s">
        <v>3250</v>
      </c>
      <c r="E401" s="1144" t="s">
        <v>3251</v>
      </c>
      <c r="F401" s="1201">
        <v>574425.84</v>
      </c>
      <c r="G401" s="1201">
        <v>973585.82</v>
      </c>
      <c r="H401" s="1145" t="s">
        <v>533</v>
      </c>
      <c r="I401" s="1145" t="s">
        <v>817</v>
      </c>
      <c r="J401" s="1145" t="s">
        <v>3252</v>
      </c>
      <c r="K401" s="1101"/>
      <c r="L401" s="1145" t="s">
        <v>2903</v>
      </c>
      <c r="M401" s="1145" t="s">
        <v>2903</v>
      </c>
      <c r="N401" s="1145" t="s">
        <v>2903</v>
      </c>
      <c r="O401" s="1145" t="s">
        <v>2903</v>
      </c>
      <c r="P401" s="1145" t="s">
        <v>2903</v>
      </c>
      <c r="Q401" s="1133"/>
      <c r="R401" s="1146" t="s">
        <v>2903</v>
      </c>
      <c r="S401" s="1148" t="s">
        <v>2903</v>
      </c>
      <c r="T401" s="1104"/>
      <c r="U401" s="1146" t="s">
        <v>2903</v>
      </c>
      <c r="V401" s="1148" t="s">
        <v>2903</v>
      </c>
      <c r="W401" s="1133"/>
      <c r="X401" s="1146" t="s">
        <v>2903</v>
      </c>
      <c r="Y401" s="1148" t="s">
        <v>2903</v>
      </c>
      <c r="Z401" s="1133"/>
      <c r="AA401" s="1145" t="s">
        <v>2903</v>
      </c>
      <c r="AB401" s="1148" t="s">
        <v>2903</v>
      </c>
      <c r="AC401" s="1133"/>
      <c r="AD401" s="1146" t="s">
        <v>2903</v>
      </c>
      <c r="AE401" s="1148" t="s">
        <v>2903</v>
      </c>
    </row>
    <row r="402" spans="3:31" x14ac:dyDescent="0.4">
      <c r="C402" s="2829"/>
      <c r="D402" s="1144" t="s">
        <v>3250</v>
      </c>
      <c r="E402" s="1144" t="s">
        <v>3253</v>
      </c>
      <c r="F402" s="1201">
        <v>561638.5</v>
      </c>
      <c r="G402" s="1201">
        <v>978793.43</v>
      </c>
      <c r="H402" s="1145" t="s">
        <v>533</v>
      </c>
      <c r="I402" s="1145" t="s">
        <v>817</v>
      </c>
      <c r="J402" s="1145" t="s">
        <v>3252</v>
      </c>
      <c r="K402" s="1101"/>
      <c r="L402" s="1145" t="s">
        <v>2903</v>
      </c>
      <c r="M402" s="1145" t="s">
        <v>2903</v>
      </c>
      <c r="N402" s="1145" t="s">
        <v>2903</v>
      </c>
      <c r="O402" s="1145" t="s">
        <v>2903</v>
      </c>
      <c r="P402" s="1145" t="s">
        <v>2903</v>
      </c>
      <c r="Q402" s="1133"/>
      <c r="R402" s="1146" t="s">
        <v>2903</v>
      </c>
      <c r="S402" s="1148" t="s">
        <v>2903</v>
      </c>
      <c r="T402" s="1104"/>
      <c r="U402" s="1146" t="s">
        <v>2903</v>
      </c>
      <c r="V402" s="1148" t="s">
        <v>2903</v>
      </c>
      <c r="W402" s="1133"/>
      <c r="X402" s="1146" t="s">
        <v>2903</v>
      </c>
      <c r="Y402" s="1148" t="s">
        <v>2903</v>
      </c>
      <c r="Z402" s="1133"/>
      <c r="AA402" s="1145" t="s">
        <v>2903</v>
      </c>
      <c r="AB402" s="1148" t="s">
        <v>2903</v>
      </c>
      <c r="AC402" s="1133"/>
      <c r="AD402" s="1146" t="s">
        <v>2903</v>
      </c>
      <c r="AE402" s="1148" t="s">
        <v>2903</v>
      </c>
    </row>
    <row r="403" spans="3:31" x14ac:dyDescent="0.4">
      <c r="C403" s="2829"/>
      <c r="D403" s="1144" t="s">
        <v>3254</v>
      </c>
      <c r="E403" s="1144" t="s">
        <v>3255</v>
      </c>
      <c r="F403" s="1201">
        <v>540780</v>
      </c>
      <c r="G403" s="1201">
        <v>963406</v>
      </c>
      <c r="H403" s="1145" t="s">
        <v>533</v>
      </c>
      <c r="I403" s="1145" t="s">
        <v>817</v>
      </c>
      <c r="J403" s="1145" t="s">
        <v>3252</v>
      </c>
      <c r="K403" s="1101"/>
      <c r="L403" s="1145" t="s">
        <v>2903</v>
      </c>
      <c r="M403" s="1145" t="s">
        <v>2903</v>
      </c>
      <c r="N403" s="1145" t="s">
        <v>2903</v>
      </c>
      <c r="O403" s="1145" t="s">
        <v>2903</v>
      </c>
      <c r="P403" s="1145" t="s">
        <v>2903</v>
      </c>
      <c r="Q403" s="1133"/>
      <c r="R403" s="1146" t="s">
        <v>2903</v>
      </c>
      <c r="S403" s="1148" t="s">
        <v>2903</v>
      </c>
      <c r="T403" s="1104"/>
      <c r="U403" s="1146" t="s">
        <v>2903</v>
      </c>
      <c r="V403" s="1148" t="s">
        <v>2903</v>
      </c>
      <c r="W403" s="1133"/>
      <c r="X403" s="1146" t="s">
        <v>2903</v>
      </c>
      <c r="Y403" s="1148" t="s">
        <v>2903</v>
      </c>
      <c r="Z403" s="1133"/>
      <c r="AA403" s="1145" t="s">
        <v>2903</v>
      </c>
      <c r="AB403" s="1148" t="s">
        <v>2903</v>
      </c>
      <c r="AC403" s="1133"/>
      <c r="AD403" s="1146" t="s">
        <v>2903</v>
      </c>
      <c r="AE403" s="1148" t="s">
        <v>2903</v>
      </c>
    </row>
    <row r="404" spans="3:31" x14ac:dyDescent="0.4">
      <c r="C404" s="2829"/>
      <c r="D404" s="1144" t="s">
        <v>3256</v>
      </c>
      <c r="E404" s="1144" t="s">
        <v>3257</v>
      </c>
      <c r="F404" s="1201">
        <v>540031</v>
      </c>
      <c r="G404" s="1201">
        <v>963224</v>
      </c>
      <c r="H404" s="1145" t="s">
        <v>533</v>
      </c>
      <c r="I404" s="1145" t="s">
        <v>817</v>
      </c>
      <c r="J404" s="1145" t="s">
        <v>3252</v>
      </c>
      <c r="K404" s="1101"/>
      <c r="L404" s="1145" t="s">
        <v>2903</v>
      </c>
      <c r="M404" s="1145" t="s">
        <v>2903</v>
      </c>
      <c r="N404" s="1145" t="s">
        <v>2903</v>
      </c>
      <c r="O404" s="1145" t="s">
        <v>2903</v>
      </c>
      <c r="P404" s="1145" t="s">
        <v>2903</v>
      </c>
      <c r="Q404" s="1133"/>
      <c r="R404" s="1146" t="s">
        <v>2903</v>
      </c>
      <c r="S404" s="1148" t="s">
        <v>2903</v>
      </c>
      <c r="T404" s="1104"/>
      <c r="U404" s="1146" t="s">
        <v>2903</v>
      </c>
      <c r="V404" s="1148" t="s">
        <v>2903</v>
      </c>
      <c r="W404" s="1133"/>
      <c r="X404" s="1146" t="s">
        <v>2903</v>
      </c>
      <c r="Y404" s="1148" t="s">
        <v>2903</v>
      </c>
      <c r="Z404" s="1133"/>
      <c r="AA404" s="1145" t="s">
        <v>2903</v>
      </c>
      <c r="AB404" s="1148" t="s">
        <v>2903</v>
      </c>
      <c r="AC404" s="1133"/>
      <c r="AD404" s="1146" t="s">
        <v>2903</v>
      </c>
      <c r="AE404" s="1148" t="s">
        <v>2903</v>
      </c>
    </row>
    <row r="405" spans="3:31" x14ac:dyDescent="0.4">
      <c r="C405" s="2829"/>
      <c r="D405" s="1144" t="s">
        <v>3258</v>
      </c>
      <c r="E405" s="1144" t="s">
        <v>3259</v>
      </c>
      <c r="F405" s="1201">
        <v>537199</v>
      </c>
      <c r="G405" s="1201">
        <v>960976</v>
      </c>
      <c r="H405" s="1145" t="s">
        <v>533</v>
      </c>
      <c r="I405" s="1145" t="s">
        <v>817</v>
      </c>
      <c r="J405" s="1145" t="s">
        <v>3252</v>
      </c>
      <c r="K405" s="1101"/>
      <c r="L405" s="1145" t="s">
        <v>2903</v>
      </c>
      <c r="M405" s="1145" t="s">
        <v>2903</v>
      </c>
      <c r="N405" s="1145" t="s">
        <v>2903</v>
      </c>
      <c r="O405" s="1145" t="s">
        <v>2903</v>
      </c>
      <c r="P405" s="1145" t="s">
        <v>2903</v>
      </c>
      <c r="Q405" s="1133"/>
      <c r="R405" s="1146" t="s">
        <v>2903</v>
      </c>
      <c r="S405" s="1148" t="s">
        <v>2903</v>
      </c>
      <c r="T405" s="1104"/>
      <c r="U405" s="1146" t="s">
        <v>2903</v>
      </c>
      <c r="V405" s="1148" t="s">
        <v>2903</v>
      </c>
      <c r="W405" s="1133"/>
      <c r="X405" s="1146" t="s">
        <v>2903</v>
      </c>
      <c r="Y405" s="1148" t="s">
        <v>2903</v>
      </c>
      <c r="Z405" s="1133"/>
      <c r="AA405" s="1145" t="s">
        <v>2903</v>
      </c>
      <c r="AB405" s="1148" t="s">
        <v>2903</v>
      </c>
      <c r="AC405" s="1133"/>
      <c r="AD405" s="1146" t="s">
        <v>2903</v>
      </c>
      <c r="AE405" s="1148" t="s">
        <v>2903</v>
      </c>
    </row>
    <row r="406" spans="3:31" x14ac:dyDescent="0.4">
      <c r="C406" s="2829"/>
      <c r="D406" s="1144" t="s">
        <v>3260</v>
      </c>
      <c r="E406" s="1144" t="s">
        <v>3261</v>
      </c>
      <c r="F406" s="1201">
        <v>556454</v>
      </c>
      <c r="G406" s="1201">
        <v>952686</v>
      </c>
      <c r="H406" s="1145" t="s">
        <v>533</v>
      </c>
      <c r="I406" s="1145" t="s">
        <v>819</v>
      </c>
      <c r="J406" s="1145" t="s">
        <v>825</v>
      </c>
      <c r="K406" s="1101"/>
      <c r="L406" s="1145" t="s">
        <v>2903</v>
      </c>
      <c r="M406" s="1145" t="s">
        <v>2903</v>
      </c>
      <c r="N406" s="1145" t="s">
        <v>2903</v>
      </c>
      <c r="O406" s="1145" t="s">
        <v>2903</v>
      </c>
      <c r="P406" s="1145" t="s">
        <v>2903</v>
      </c>
      <c r="Q406" s="1133"/>
      <c r="R406" s="1146" t="s">
        <v>2903</v>
      </c>
      <c r="S406" s="1148" t="s">
        <v>2903</v>
      </c>
      <c r="T406" s="1104"/>
      <c r="U406" s="1146" t="s">
        <v>2903</v>
      </c>
      <c r="V406" s="1148" t="s">
        <v>2903</v>
      </c>
      <c r="W406" s="1133"/>
      <c r="X406" s="1146" t="s">
        <v>2903</v>
      </c>
      <c r="Y406" s="1148" t="s">
        <v>2903</v>
      </c>
      <c r="Z406" s="1133"/>
      <c r="AA406" s="1145" t="s">
        <v>2903</v>
      </c>
      <c r="AB406" s="1148" t="s">
        <v>2903</v>
      </c>
      <c r="AC406" s="1133"/>
      <c r="AD406" s="1146" t="s">
        <v>2903</v>
      </c>
      <c r="AE406" s="1148" t="s">
        <v>2903</v>
      </c>
    </row>
    <row r="407" spans="3:31" x14ac:dyDescent="0.4">
      <c r="C407" s="2829"/>
      <c r="D407" s="1144" t="s">
        <v>3260</v>
      </c>
      <c r="E407" s="1144" t="s">
        <v>3262</v>
      </c>
      <c r="F407" s="1201">
        <v>557699</v>
      </c>
      <c r="G407" s="1201">
        <v>960827</v>
      </c>
      <c r="H407" s="1145" t="s">
        <v>533</v>
      </c>
      <c r="I407" s="1145" t="s">
        <v>819</v>
      </c>
      <c r="J407" s="1145" t="s">
        <v>825</v>
      </c>
      <c r="K407" s="1101"/>
      <c r="L407" s="1145" t="s">
        <v>2903</v>
      </c>
      <c r="M407" s="1145" t="s">
        <v>2903</v>
      </c>
      <c r="N407" s="1145" t="s">
        <v>2903</v>
      </c>
      <c r="O407" s="1145" t="s">
        <v>2903</v>
      </c>
      <c r="P407" s="1145" t="s">
        <v>2903</v>
      </c>
      <c r="Q407" s="1133"/>
      <c r="R407" s="1146" t="s">
        <v>2903</v>
      </c>
      <c r="S407" s="1148" t="s">
        <v>2903</v>
      </c>
      <c r="T407" s="1104"/>
      <c r="U407" s="1146" t="s">
        <v>2903</v>
      </c>
      <c r="V407" s="1148" t="s">
        <v>2903</v>
      </c>
      <c r="W407" s="1133"/>
      <c r="X407" s="1146" t="s">
        <v>2903</v>
      </c>
      <c r="Y407" s="1148" t="s">
        <v>2903</v>
      </c>
      <c r="Z407" s="1133"/>
      <c r="AA407" s="1145" t="s">
        <v>2903</v>
      </c>
      <c r="AB407" s="1148" t="s">
        <v>2903</v>
      </c>
      <c r="AC407" s="1133"/>
      <c r="AD407" s="1146" t="s">
        <v>2903</v>
      </c>
      <c r="AE407" s="1148" t="s">
        <v>2903</v>
      </c>
    </row>
    <row r="408" spans="3:31" x14ac:dyDescent="0.4">
      <c r="C408" s="2829"/>
      <c r="D408" s="1144" t="s">
        <v>3263</v>
      </c>
      <c r="E408" s="1144" t="s">
        <v>3264</v>
      </c>
      <c r="F408" s="1201">
        <v>565955</v>
      </c>
      <c r="G408" s="1201">
        <v>942456</v>
      </c>
      <c r="H408" s="1145" t="s">
        <v>533</v>
      </c>
      <c r="I408" s="1145" t="s">
        <v>819</v>
      </c>
      <c r="J408" s="1145" t="s">
        <v>825</v>
      </c>
      <c r="K408" s="1101"/>
      <c r="L408" s="1145" t="s">
        <v>2903</v>
      </c>
      <c r="M408" s="1145" t="s">
        <v>2903</v>
      </c>
      <c r="N408" s="1145" t="s">
        <v>2903</v>
      </c>
      <c r="O408" s="1145" t="s">
        <v>2903</v>
      </c>
      <c r="P408" s="1145" t="s">
        <v>2903</v>
      </c>
      <c r="Q408" s="1133"/>
      <c r="R408" s="1146" t="s">
        <v>2903</v>
      </c>
      <c r="S408" s="1148" t="s">
        <v>2903</v>
      </c>
      <c r="T408" s="1104"/>
      <c r="U408" s="1146" t="s">
        <v>2903</v>
      </c>
      <c r="V408" s="1148" t="s">
        <v>2903</v>
      </c>
      <c r="W408" s="1133"/>
      <c r="X408" s="1146" t="s">
        <v>2903</v>
      </c>
      <c r="Y408" s="1148" t="s">
        <v>2903</v>
      </c>
      <c r="Z408" s="1133"/>
      <c r="AA408" s="1145" t="s">
        <v>2903</v>
      </c>
      <c r="AB408" s="1148" t="s">
        <v>2903</v>
      </c>
      <c r="AC408" s="1133"/>
      <c r="AD408" s="1146" t="s">
        <v>2903</v>
      </c>
      <c r="AE408" s="1148" t="s">
        <v>2903</v>
      </c>
    </row>
    <row r="409" spans="3:31" x14ac:dyDescent="0.4">
      <c r="C409" s="2829"/>
      <c r="D409" s="1144" t="s">
        <v>3263</v>
      </c>
      <c r="E409" s="1144" t="s">
        <v>3265</v>
      </c>
      <c r="F409" s="1201">
        <v>573396</v>
      </c>
      <c r="G409" s="1201">
        <v>945256</v>
      </c>
      <c r="H409" s="1145" t="s">
        <v>533</v>
      </c>
      <c r="I409" s="1145" t="s">
        <v>819</v>
      </c>
      <c r="J409" s="1145" t="s">
        <v>825</v>
      </c>
      <c r="K409" s="1101"/>
      <c r="L409" s="1145" t="s">
        <v>2903</v>
      </c>
      <c r="M409" s="1145" t="s">
        <v>2903</v>
      </c>
      <c r="N409" s="1145" t="s">
        <v>2903</v>
      </c>
      <c r="O409" s="1145" t="s">
        <v>2903</v>
      </c>
      <c r="P409" s="1145" t="s">
        <v>2903</v>
      </c>
      <c r="Q409" s="1133"/>
      <c r="R409" s="1146" t="s">
        <v>2903</v>
      </c>
      <c r="S409" s="1148" t="s">
        <v>2903</v>
      </c>
      <c r="T409" s="1104"/>
      <c r="U409" s="1146" t="s">
        <v>2903</v>
      </c>
      <c r="V409" s="1148" t="s">
        <v>2903</v>
      </c>
      <c r="W409" s="1133"/>
      <c r="X409" s="1146" t="s">
        <v>2903</v>
      </c>
      <c r="Y409" s="1148" t="s">
        <v>2903</v>
      </c>
      <c r="Z409" s="1133"/>
      <c r="AA409" s="1145" t="s">
        <v>2903</v>
      </c>
      <c r="AB409" s="1148" t="s">
        <v>2903</v>
      </c>
      <c r="AC409" s="1133"/>
      <c r="AD409" s="1146" t="s">
        <v>2903</v>
      </c>
      <c r="AE409" s="1148" t="s">
        <v>2903</v>
      </c>
    </row>
    <row r="410" spans="3:31" x14ac:dyDescent="0.4">
      <c r="C410" s="2829"/>
      <c r="D410" s="1144" t="s">
        <v>3266</v>
      </c>
      <c r="E410" s="1144" t="s">
        <v>3267</v>
      </c>
      <c r="F410" s="1201">
        <v>576535</v>
      </c>
      <c r="G410" s="1201">
        <v>943377</v>
      </c>
      <c r="H410" s="1145" t="s">
        <v>533</v>
      </c>
      <c r="I410" s="1145" t="s">
        <v>819</v>
      </c>
      <c r="J410" s="1145" t="s">
        <v>825</v>
      </c>
      <c r="K410" s="1101"/>
      <c r="L410" s="1145" t="s">
        <v>2903</v>
      </c>
      <c r="M410" s="1145" t="s">
        <v>2903</v>
      </c>
      <c r="N410" s="1145" t="s">
        <v>2903</v>
      </c>
      <c r="O410" s="1145" t="s">
        <v>2903</v>
      </c>
      <c r="P410" s="1145" t="s">
        <v>2903</v>
      </c>
      <c r="Q410" s="1133"/>
      <c r="R410" s="1146" t="s">
        <v>2903</v>
      </c>
      <c r="S410" s="1148" t="s">
        <v>2903</v>
      </c>
      <c r="T410" s="1104"/>
      <c r="U410" s="1146" t="s">
        <v>2903</v>
      </c>
      <c r="V410" s="1148" t="s">
        <v>2903</v>
      </c>
      <c r="W410" s="1133"/>
      <c r="X410" s="1146" t="s">
        <v>2903</v>
      </c>
      <c r="Y410" s="1148" t="s">
        <v>2903</v>
      </c>
      <c r="Z410" s="1133"/>
      <c r="AA410" s="1145" t="s">
        <v>2903</v>
      </c>
      <c r="AB410" s="1148" t="s">
        <v>2903</v>
      </c>
      <c r="AC410" s="1133"/>
      <c r="AD410" s="1146" t="s">
        <v>2903</v>
      </c>
      <c r="AE410" s="1148" t="s">
        <v>2903</v>
      </c>
    </row>
    <row r="411" spans="3:31" ht="25.5" x14ac:dyDescent="0.4">
      <c r="C411" s="2830" t="s">
        <v>3268</v>
      </c>
      <c r="D411" s="1135" t="s">
        <v>3269</v>
      </c>
      <c r="E411" s="1193" t="s">
        <v>3270</v>
      </c>
      <c r="F411" s="1193">
        <v>584568</v>
      </c>
      <c r="G411" s="1186">
        <v>971733</v>
      </c>
      <c r="H411" s="1193" t="s">
        <v>533</v>
      </c>
      <c r="I411" s="1193" t="s">
        <v>817</v>
      </c>
      <c r="J411" s="1193" t="s">
        <v>3271</v>
      </c>
      <c r="K411" s="1101"/>
      <c r="L411" s="1193" t="s">
        <v>2903</v>
      </c>
      <c r="M411" s="1193" t="s">
        <v>2903</v>
      </c>
      <c r="N411" s="1193" t="s">
        <v>2903</v>
      </c>
      <c r="O411" s="1193" t="s">
        <v>2903</v>
      </c>
      <c r="P411" s="1193" t="s">
        <v>2903</v>
      </c>
      <c r="Q411" s="1104"/>
      <c r="R411" s="1186" t="s">
        <v>2903</v>
      </c>
      <c r="S411" s="1194" t="s">
        <v>2903</v>
      </c>
      <c r="T411" s="1202"/>
      <c r="U411" s="1186" t="s">
        <v>2903</v>
      </c>
      <c r="V411" s="1221" t="s">
        <v>2903</v>
      </c>
      <c r="W411" s="1186"/>
      <c r="X411" s="1186" t="s">
        <v>2903</v>
      </c>
      <c r="Y411" s="1194" t="s">
        <v>2903</v>
      </c>
      <c r="Z411" s="1186"/>
      <c r="AA411" s="1186" t="s">
        <v>2903</v>
      </c>
      <c r="AB411" s="1194" t="s">
        <v>2903</v>
      </c>
      <c r="AC411" s="1186"/>
      <c r="AD411" s="1186" t="s">
        <v>2903</v>
      </c>
      <c r="AE411" s="1194" t="s">
        <v>2903</v>
      </c>
    </row>
    <row r="412" spans="3:31" ht="25.5" x14ac:dyDescent="0.4">
      <c r="C412" s="2830"/>
      <c r="D412" s="1135" t="s">
        <v>3269</v>
      </c>
      <c r="E412" s="1193" t="s">
        <v>3272</v>
      </c>
      <c r="F412" s="1193">
        <v>583399</v>
      </c>
      <c r="G412" s="1186">
        <v>970993</v>
      </c>
      <c r="H412" s="1193" t="s">
        <v>533</v>
      </c>
      <c r="I412" s="1193" t="s">
        <v>817</v>
      </c>
      <c r="J412" s="1193" t="s">
        <v>3271</v>
      </c>
      <c r="K412" s="1101"/>
      <c r="L412" s="1193" t="s">
        <v>2903</v>
      </c>
      <c r="M412" s="1193" t="s">
        <v>2903</v>
      </c>
      <c r="N412" s="1193" t="s">
        <v>2903</v>
      </c>
      <c r="O412" s="1193" t="s">
        <v>2903</v>
      </c>
      <c r="P412" s="1193" t="s">
        <v>2903</v>
      </c>
      <c r="Q412" s="1104"/>
      <c r="R412" s="1186" t="s">
        <v>2903</v>
      </c>
      <c r="S412" s="1194" t="s">
        <v>2903</v>
      </c>
      <c r="T412" s="1202"/>
      <c r="U412" s="1186" t="s">
        <v>2903</v>
      </c>
      <c r="V412" s="1221" t="s">
        <v>2903</v>
      </c>
      <c r="W412" s="1186"/>
      <c r="X412" s="1186" t="s">
        <v>2903</v>
      </c>
      <c r="Y412" s="1194" t="s">
        <v>2903</v>
      </c>
      <c r="Z412" s="1186"/>
      <c r="AA412" s="1186" t="s">
        <v>2903</v>
      </c>
      <c r="AB412" s="1194" t="s">
        <v>2903</v>
      </c>
      <c r="AC412" s="1186"/>
      <c r="AD412" s="1186" t="s">
        <v>2903</v>
      </c>
      <c r="AE412" s="1194" t="s">
        <v>2903</v>
      </c>
    </row>
    <row r="413" spans="3:31" x14ac:dyDescent="0.4">
      <c r="C413" s="2830"/>
      <c r="D413" s="1135" t="s">
        <v>3273</v>
      </c>
      <c r="E413" s="1193" t="s">
        <v>3274</v>
      </c>
      <c r="F413" s="1193">
        <v>593881.96</v>
      </c>
      <c r="G413" s="1186">
        <v>958299.35</v>
      </c>
      <c r="H413" s="1193" t="s">
        <v>533</v>
      </c>
      <c r="I413" s="1193" t="s">
        <v>819</v>
      </c>
      <c r="J413" s="1193" t="s">
        <v>819</v>
      </c>
      <c r="K413" s="1101"/>
      <c r="L413" s="1193" t="s">
        <v>2903</v>
      </c>
      <c r="M413" s="1193" t="s">
        <v>2903</v>
      </c>
      <c r="N413" s="1193" t="s">
        <v>2903</v>
      </c>
      <c r="O413" s="1193" t="s">
        <v>2903</v>
      </c>
      <c r="P413" s="1193" t="s">
        <v>2903</v>
      </c>
      <c r="Q413" s="1104"/>
      <c r="R413" s="1186" t="s">
        <v>2903</v>
      </c>
      <c r="S413" s="1194" t="s">
        <v>2903</v>
      </c>
      <c r="T413" s="1202"/>
      <c r="U413" s="1186" t="s">
        <v>2903</v>
      </c>
      <c r="V413" s="1221" t="s">
        <v>2903</v>
      </c>
      <c r="W413" s="1186"/>
      <c r="X413" s="1186" t="s">
        <v>2903</v>
      </c>
      <c r="Y413" s="1194" t="s">
        <v>2903</v>
      </c>
      <c r="Z413" s="1186"/>
      <c r="AA413" s="1186" t="s">
        <v>2903</v>
      </c>
      <c r="AB413" s="1194" t="s">
        <v>2903</v>
      </c>
      <c r="AC413" s="1186"/>
      <c r="AD413" s="1186" t="s">
        <v>2903</v>
      </c>
      <c r="AE413" s="1194" t="s">
        <v>2903</v>
      </c>
    </row>
    <row r="414" spans="3:31" x14ac:dyDescent="0.4">
      <c r="C414" s="2830"/>
      <c r="D414" s="1135" t="s">
        <v>3275</v>
      </c>
      <c r="E414" s="1193" t="s">
        <v>3276</v>
      </c>
      <c r="F414" s="1193">
        <v>602048.97</v>
      </c>
      <c r="G414" s="1186">
        <v>956133</v>
      </c>
      <c r="H414" s="1193" t="s">
        <v>533</v>
      </c>
      <c r="I414" s="1193" t="s">
        <v>819</v>
      </c>
      <c r="J414" s="1193" t="s">
        <v>819</v>
      </c>
      <c r="K414" s="1101"/>
      <c r="L414" s="1193" t="s">
        <v>2903</v>
      </c>
      <c r="M414" s="1193" t="s">
        <v>2903</v>
      </c>
      <c r="N414" s="1193" t="s">
        <v>2903</v>
      </c>
      <c r="O414" s="1193" t="s">
        <v>2903</v>
      </c>
      <c r="P414" s="1193" t="s">
        <v>2903</v>
      </c>
      <c r="Q414" s="1104"/>
      <c r="R414" s="1186" t="s">
        <v>2903</v>
      </c>
      <c r="S414" s="1194" t="s">
        <v>2903</v>
      </c>
      <c r="T414" s="1202"/>
      <c r="U414" s="1186" t="s">
        <v>2903</v>
      </c>
      <c r="V414" s="1221" t="s">
        <v>2903</v>
      </c>
      <c r="W414" s="1186"/>
      <c r="X414" s="1186" t="s">
        <v>2903</v>
      </c>
      <c r="Y414" s="1194" t="s">
        <v>2903</v>
      </c>
      <c r="Z414" s="1186"/>
      <c r="AA414" s="1186" t="s">
        <v>2903</v>
      </c>
      <c r="AB414" s="1194" t="s">
        <v>2903</v>
      </c>
      <c r="AC414" s="1186"/>
      <c r="AD414" s="1186" t="s">
        <v>2903</v>
      </c>
      <c r="AE414" s="1194" t="s">
        <v>2903</v>
      </c>
    </row>
    <row r="415" spans="3:31" x14ac:dyDescent="0.4">
      <c r="C415" s="2830"/>
      <c r="D415" s="1135" t="s">
        <v>3277</v>
      </c>
      <c r="E415" s="1193" t="s">
        <v>3278</v>
      </c>
      <c r="F415" s="1193">
        <v>616296.19999999995</v>
      </c>
      <c r="G415" s="1186">
        <v>955585.48</v>
      </c>
      <c r="H415" s="1193" t="s">
        <v>533</v>
      </c>
      <c r="I415" s="1193" t="s">
        <v>822</v>
      </c>
      <c r="J415" s="1193" t="s">
        <v>3279</v>
      </c>
      <c r="K415" s="1101"/>
      <c r="L415" s="1193" t="s">
        <v>2903</v>
      </c>
      <c r="M415" s="1193" t="s">
        <v>2903</v>
      </c>
      <c r="N415" s="1193" t="s">
        <v>2903</v>
      </c>
      <c r="O415" s="1193" t="s">
        <v>2903</v>
      </c>
      <c r="P415" s="1193" t="s">
        <v>2903</v>
      </c>
      <c r="Q415" s="1104"/>
      <c r="R415" s="1186" t="s">
        <v>2903</v>
      </c>
      <c r="S415" s="1194" t="s">
        <v>2903</v>
      </c>
      <c r="T415" s="1202"/>
      <c r="U415" s="1186" t="s">
        <v>2903</v>
      </c>
      <c r="V415" s="1221" t="s">
        <v>2903</v>
      </c>
      <c r="W415" s="1186"/>
      <c r="X415" s="1186" t="s">
        <v>2903</v>
      </c>
      <c r="Y415" s="1194" t="s">
        <v>2903</v>
      </c>
      <c r="Z415" s="1186"/>
      <c r="AA415" s="1186" t="s">
        <v>2903</v>
      </c>
      <c r="AB415" s="1194" t="s">
        <v>2903</v>
      </c>
      <c r="AC415" s="1186"/>
      <c r="AD415" s="1186" t="s">
        <v>2903</v>
      </c>
      <c r="AE415" s="1194" t="s">
        <v>2903</v>
      </c>
    </row>
    <row r="416" spans="3:31" x14ac:dyDescent="0.4">
      <c r="C416" s="2830"/>
      <c r="D416" s="1135" t="s">
        <v>3280</v>
      </c>
      <c r="E416" s="1193" t="s">
        <v>3281</v>
      </c>
      <c r="F416" s="1193">
        <v>620864.78</v>
      </c>
      <c r="G416" s="1186">
        <v>951524.78</v>
      </c>
      <c r="H416" s="1193" t="s">
        <v>533</v>
      </c>
      <c r="I416" s="1193" t="s">
        <v>822</v>
      </c>
      <c r="J416" s="1193" t="s">
        <v>3282</v>
      </c>
      <c r="K416" s="1101"/>
      <c r="L416" s="1193" t="s">
        <v>2903</v>
      </c>
      <c r="M416" s="1193" t="s">
        <v>2903</v>
      </c>
      <c r="N416" s="1193" t="s">
        <v>2903</v>
      </c>
      <c r="O416" s="1193" t="s">
        <v>2903</v>
      </c>
      <c r="P416" s="1193" t="s">
        <v>2903</v>
      </c>
      <c r="Q416" s="1104"/>
      <c r="R416" s="1186" t="s">
        <v>2903</v>
      </c>
      <c r="S416" s="1194" t="s">
        <v>2903</v>
      </c>
      <c r="T416" s="1202"/>
      <c r="U416" s="1186" t="s">
        <v>2903</v>
      </c>
      <c r="V416" s="1221" t="s">
        <v>2903</v>
      </c>
      <c r="W416" s="1186"/>
      <c r="X416" s="1186" t="s">
        <v>2903</v>
      </c>
      <c r="Y416" s="1194" t="s">
        <v>2903</v>
      </c>
      <c r="Z416" s="1186"/>
      <c r="AA416" s="1186" t="s">
        <v>2903</v>
      </c>
      <c r="AB416" s="1194" t="s">
        <v>2903</v>
      </c>
      <c r="AC416" s="1186"/>
      <c r="AD416" s="1186" t="s">
        <v>2903</v>
      </c>
      <c r="AE416" s="1194" t="s">
        <v>2903</v>
      </c>
    </row>
    <row r="417" spans="3:31" x14ac:dyDescent="0.4">
      <c r="C417" s="2821" t="s">
        <v>3283</v>
      </c>
      <c r="D417" s="1178" t="s">
        <v>3284</v>
      </c>
      <c r="E417" s="1178" t="s">
        <v>3285</v>
      </c>
      <c r="F417" s="1178">
        <v>532996</v>
      </c>
      <c r="G417" s="1178">
        <v>1041620</v>
      </c>
      <c r="H417" s="1178" t="s">
        <v>328</v>
      </c>
      <c r="I417" s="1178" t="s">
        <v>769</v>
      </c>
      <c r="J417" s="1178" t="s">
        <v>3286</v>
      </c>
      <c r="K417" s="1111"/>
      <c r="L417" s="1178">
        <v>4</v>
      </c>
      <c r="M417" s="1178">
        <v>3</v>
      </c>
      <c r="N417" s="1178">
        <v>1</v>
      </c>
      <c r="O417" s="1178">
        <v>75</v>
      </c>
      <c r="P417" s="1178">
        <v>0</v>
      </c>
      <c r="Q417" s="1108"/>
      <c r="R417" s="1203">
        <v>2.2999999999999998</v>
      </c>
      <c r="S417" s="1204">
        <v>0</v>
      </c>
      <c r="T417" s="1108"/>
      <c r="U417" s="1203">
        <v>94</v>
      </c>
      <c r="V417" s="1204">
        <v>1</v>
      </c>
      <c r="W417" s="1184"/>
      <c r="X417" s="1203">
        <v>0.12</v>
      </c>
      <c r="Y417" s="1204">
        <v>1</v>
      </c>
      <c r="Z417" s="1184"/>
      <c r="AA417" s="1178">
        <v>8.4</v>
      </c>
      <c r="AB417" s="1204">
        <v>1</v>
      </c>
      <c r="AC417" s="1184"/>
      <c r="AD417" s="1203">
        <v>7.5</v>
      </c>
      <c r="AE417" s="1204">
        <v>1</v>
      </c>
    </row>
    <row r="418" spans="3:31" ht="25.5" x14ac:dyDescent="0.4">
      <c r="C418" s="2821"/>
      <c r="D418" s="1178" t="s">
        <v>3287</v>
      </c>
      <c r="E418" s="1178" t="s">
        <v>3288</v>
      </c>
      <c r="F418" s="1178">
        <v>530449</v>
      </c>
      <c r="G418" s="1178">
        <v>1034120</v>
      </c>
      <c r="H418" s="1178" t="s">
        <v>328</v>
      </c>
      <c r="I418" s="1178" t="s">
        <v>769</v>
      </c>
      <c r="J418" s="1178" t="s">
        <v>3289</v>
      </c>
      <c r="K418" s="1111"/>
      <c r="L418" s="1178">
        <v>5</v>
      </c>
      <c r="M418" s="1178">
        <v>4</v>
      </c>
      <c r="N418" s="1178">
        <v>1</v>
      </c>
      <c r="O418" s="1178">
        <v>80</v>
      </c>
      <c r="P418" s="1178">
        <v>1</v>
      </c>
      <c r="Q418" s="1108"/>
      <c r="R418" s="1203">
        <v>2</v>
      </c>
      <c r="S418" s="1204">
        <v>0</v>
      </c>
      <c r="T418" s="1108"/>
      <c r="U418" s="1203">
        <v>95.3</v>
      </c>
      <c r="V418" s="1204">
        <v>1</v>
      </c>
      <c r="W418" s="1184"/>
      <c r="X418" s="1203">
        <v>0.1</v>
      </c>
      <c r="Y418" s="1204">
        <v>1</v>
      </c>
      <c r="Z418" s="1184"/>
      <c r="AA418" s="1178">
        <v>8.5</v>
      </c>
      <c r="AB418" s="1204">
        <v>1</v>
      </c>
      <c r="AC418" s="1184"/>
      <c r="AD418" s="1203">
        <v>3.4</v>
      </c>
      <c r="AE418" s="1204">
        <v>1</v>
      </c>
    </row>
    <row r="419" spans="3:31" ht="25.5" x14ac:dyDescent="0.4">
      <c r="C419" s="2821"/>
      <c r="D419" s="1178" t="s">
        <v>3290</v>
      </c>
      <c r="E419" s="1178" t="s">
        <v>3291</v>
      </c>
      <c r="F419" s="1178">
        <v>530356</v>
      </c>
      <c r="G419" s="1178">
        <v>1031640</v>
      </c>
      <c r="H419" s="1178" t="s">
        <v>328</v>
      </c>
      <c r="I419" s="1178" t="s">
        <v>769</v>
      </c>
      <c r="J419" s="1178" t="s">
        <v>3289</v>
      </c>
      <c r="K419" s="1111"/>
      <c r="L419" s="1178">
        <v>5</v>
      </c>
      <c r="M419" s="1178">
        <v>1</v>
      </c>
      <c r="N419" s="1178">
        <v>4</v>
      </c>
      <c r="O419" s="1178">
        <v>20</v>
      </c>
      <c r="P419" s="1178">
        <v>0</v>
      </c>
      <c r="Q419" s="1108"/>
      <c r="R419" s="1203">
        <v>3</v>
      </c>
      <c r="S419" s="1204">
        <v>0</v>
      </c>
      <c r="T419" s="1108"/>
      <c r="U419" s="1203">
        <v>125</v>
      </c>
      <c r="V419" s="1204">
        <v>0</v>
      </c>
      <c r="W419" s="1184"/>
      <c r="X419" s="1203">
        <v>0.12</v>
      </c>
      <c r="Y419" s="1204">
        <v>1</v>
      </c>
      <c r="Z419" s="1184"/>
      <c r="AA419" s="1178">
        <v>9.4</v>
      </c>
      <c r="AB419" s="1204">
        <v>0</v>
      </c>
      <c r="AC419" s="1184"/>
      <c r="AD419" s="1203">
        <v>29.5</v>
      </c>
      <c r="AE419" s="1204">
        <v>0</v>
      </c>
    </row>
    <row r="420" spans="3:31" ht="25.5" x14ac:dyDescent="0.4">
      <c r="C420" s="2821"/>
      <c r="D420" s="1178" t="s">
        <v>3292</v>
      </c>
      <c r="E420" s="1178" t="s">
        <v>3293</v>
      </c>
      <c r="F420" s="1178">
        <v>540450</v>
      </c>
      <c r="G420" s="1178">
        <v>1024550</v>
      </c>
      <c r="H420" s="1178" t="s">
        <v>328</v>
      </c>
      <c r="I420" s="1178" t="s">
        <v>769</v>
      </c>
      <c r="J420" s="1178" t="s">
        <v>3289</v>
      </c>
      <c r="K420" s="1111"/>
      <c r="L420" s="1178">
        <v>5</v>
      </c>
      <c r="M420" s="1178">
        <v>5</v>
      </c>
      <c r="N420" s="1178">
        <v>0</v>
      </c>
      <c r="O420" s="1178">
        <v>100</v>
      </c>
      <c r="P420" s="1178">
        <v>1</v>
      </c>
      <c r="Q420" s="1108"/>
      <c r="R420" s="1203">
        <v>13.6</v>
      </c>
      <c r="S420" s="1204">
        <v>1</v>
      </c>
      <c r="T420" s="1108"/>
      <c r="U420" s="1203">
        <v>97.3</v>
      </c>
      <c r="V420" s="1204">
        <v>1</v>
      </c>
      <c r="W420" s="1184"/>
      <c r="X420" s="1203">
        <v>0.05</v>
      </c>
      <c r="Y420" s="1204">
        <v>1</v>
      </c>
      <c r="Z420" s="1184"/>
      <c r="AA420" s="1178">
        <v>6.89</v>
      </c>
      <c r="AB420" s="1204">
        <v>1</v>
      </c>
      <c r="AC420" s="1184"/>
      <c r="AD420" s="1203">
        <v>8.3000000000000007</v>
      </c>
      <c r="AE420" s="1204">
        <v>1</v>
      </c>
    </row>
    <row r="421" spans="3:31" x14ac:dyDescent="0.4">
      <c r="C421" s="2821"/>
      <c r="D421" s="1178" t="s">
        <v>3294</v>
      </c>
      <c r="E421" s="1178" t="s">
        <v>3295</v>
      </c>
      <c r="F421" s="1178">
        <v>560402</v>
      </c>
      <c r="G421" s="1178">
        <v>1018153</v>
      </c>
      <c r="H421" s="1178" t="s">
        <v>533</v>
      </c>
      <c r="I421" s="1178" t="s">
        <v>815</v>
      </c>
      <c r="J421" s="1178" t="s">
        <v>3296</v>
      </c>
      <c r="K421" s="1111"/>
      <c r="L421" s="1178" t="s">
        <v>2903</v>
      </c>
      <c r="M421" s="1178" t="s">
        <v>2903</v>
      </c>
      <c r="N421" s="1178" t="s">
        <v>2903</v>
      </c>
      <c r="O421" s="1178" t="s">
        <v>2903</v>
      </c>
      <c r="P421" s="1178" t="s">
        <v>2903</v>
      </c>
      <c r="Q421" s="1108"/>
      <c r="R421" s="1203" t="s">
        <v>2903</v>
      </c>
      <c r="S421" s="1204" t="s">
        <v>2903</v>
      </c>
      <c r="T421" s="1108"/>
      <c r="U421" s="1203" t="s">
        <v>2903</v>
      </c>
      <c r="V421" s="1204" t="s">
        <v>2903</v>
      </c>
      <c r="W421" s="1184"/>
      <c r="X421" s="1203" t="s">
        <v>2903</v>
      </c>
      <c r="Y421" s="1204" t="s">
        <v>2903</v>
      </c>
      <c r="Z421" s="1184"/>
      <c r="AA421" s="1178" t="s">
        <v>2903</v>
      </c>
      <c r="AB421" s="1204" t="s">
        <v>2903</v>
      </c>
      <c r="AC421" s="1184"/>
      <c r="AD421" s="1203" t="s">
        <v>2903</v>
      </c>
      <c r="AE421" s="1204" t="s">
        <v>2903</v>
      </c>
    </row>
    <row r="422" spans="3:31" x14ac:dyDescent="0.4">
      <c r="C422" s="2821"/>
      <c r="D422" s="1178" t="s">
        <v>3297</v>
      </c>
      <c r="E422" s="1178" t="s">
        <v>3298</v>
      </c>
      <c r="F422" s="1178">
        <v>563052</v>
      </c>
      <c r="G422" s="1178">
        <v>1014805</v>
      </c>
      <c r="H422" s="1178" t="s">
        <v>533</v>
      </c>
      <c r="I422" s="1178" t="s">
        <v>815</v>
      </c>
      <c r="J422" s="1178" t="s">
        <v>3296</v>
      </c>
      <c r="K422" s="1111"/>
      <c r="L422" s="1178">
        <v>4</v>
      </c>
      <c r="M422" s="1178">
        <v>4</v>
      </c>
      <c r="N422" s="1178">
        <v>0</v>
      </c>
      <c r="O422" s="1178">
        <v>100</v>
      </c>
      <c r="P422" s="1178">
        <v>1</v>
      </c>
      <c r="Q422" s="1108"/>
      <c r="R422" s="1203">
        <v>2</v>
      </c>
      <c r="S422" s="1204">
        <v>1</v>
      </c>
      <c r="T422" s="1108"/>
      <c r="U422" s="1203">
        <v>100</v>
      </c>
      <c r="V422" s="1204">
        <v>1</v>
      </c>
      <c r="W422" s="1184"/>
      <c r="X422" s="1203">
        <v>0.11</v>
      </c>
      <c r="Y422" s="1204">
        <v>1</v>
      </c>
      <c r="Z422" s="1184"/>
      <c r="AA422" s="1178">
        <v>7.8</v>
      </c>
      <c r="AB422" s="1204">
        <v>1</v>
      </c>
      <c r="AC422" s="1184"/>
      <c r="AD422" s="1203">
        <v>3.4</v>
      </c>
      <c r="AE422" s="1204">
        <v>1</v>
      </c>
    </row>
    <row r="423" spans="3:31" x14ac:dyDescent="0.4">
      <c r="C423" s="2821"/>
      <c r="D423" s="1178" t="s">
        <v>3299</v>
      </c>
      <c r="E423" s="1178" t="s">
        <v>3300</v>
      </c>
      <c r="F423" s="1178">
        <v>606327</v>
      </c>
      <c r="G423" s="1178">
        <v>984614</v>
      </c>
      <c r="H423" s="1178" t="s">
        <v>533</v>
      </c>
      <c r="I423" s="1178" t="s">
        <v>820</v>
      </c>
      <c r="J423" s="1178" t="s">
        <v>3301</v>
      </c>
      <c r="K423" s="1111"/>
      <c r="L423" s="1178">
        <v>5</v>
      </c>
      <c r="M423" s="1178">
        <v>4</v>
      </c>
      <c r="N423" s="1178">
        <v>1</v>
      </c>
      <c r="O423" s="1178">
        <v>80</v>
      </c>
      <c r="P423" s="1178">
        <v>1</v>
      </c>
      <c r="Q423" s="1108"/>
      <c r="R423" s="1203">
        <v>2.2999999999999998</v>
      </c>
      <c r="S423" s="1204">
        <v>0</v>
      </c>
      <c r="T423" s="1108"/>
      <c r="U423" s="1203">
        <v>102</v>
      </c>
      <c r="V423" s="1204">
        <v>1</v>
      </c>
      <c r="W423" s="1184"/>
      <c r="X423" s="1203">
        <v>0.11</v>
      </c>
      <c r="Y423" s="1204">
        <v>1</v>
      </c>
      <c r="Z423" s="1184"/>
      <c r="AA423" s="1178">
        <v>8.4</v>
      </c>
      <c r="AB423" s="1204">
        <v>1</v>
      </c>
      <c r="AC423" s="1184"/>
      <c r="AD423" s="1203">
        <v>3.4</v>
      </c>
      <c r="AE423" s="1204">
        <v>1</v>
      </c>
    </row>
    <row r="424" spans="3:31" x14ac:dyDescent="0.4">
      <c r="C424" s="2821"/>
      <c r="D424" s="1178" t="s">
        <v>3299</v>
      </c>
      <c r="E424" s="1178" t="s">
        <v>3302</v>
      </c>
      <c r="F424" s="1178">
        <v>589428</v>
      </c>
      <c r="G424" s="1178">
        <v>995105</v>
      </c>
      <c r="H424" s="1178" t="s">
        <v>533</v>
      </c>
      <c r="I424" s="1178" t="s">
        <v>820</v>
      </c>
      <c r="J424" s="1178" t="s">
        <v>3301</v>
      </c>
      <c r="K424" s="1111"/>
      <c r="L424" s="1178">
        <v>5</v>
      </c>
      <c r="M424" s="1178">
        <v>4</v>
      </c>
      <c r="N424" s="1178">
        <v>1</v>
      </c>
      <c r="O424" s="1178">
        <v>80</v>
      </c>
      <c r="P424" s="1178">
        <v>1</v>
      </c>
      <c r="Q424" s="1108"/>
      <c r="R424" s="1203">
        <v>3.7</v>
      </c>
      <c r="S424" s="1204">
        <v>1</v>
      </c>
      <c r="T424" s="1108"/>
      <c r="U424" s="1203">
        <v>100</v>
      </c>
      <c r="V424" s="1204">
        <v>1</v>
      </c>
      <c r="W424" s="1184"/>
      <c r="X424" s="1203">
        <v>0.08</v>
      </c>
      <c r="Y424" s="1204">
        <v>1</v>
      </c>
      <c r="Z424" s="1184"/>
      <c r="AA424" s="1178">
        <v>8.4</v>
      </c>
      <c r="AB424" s="1204">
        <v>1</v>
      </c>
      <c r="AC424" s="1184"/>
      <c r="AD424" s="1203">
        <v>6.27</v>
      </c>
      <c r="AE424" s="1204">
        <v>1</v>
      </c>
    </row>
    <row r="428" spans="3:31" x14ac:dyDescent="0.4">
      <c r="C428" s="2841" t="s">
        <v>3309</v>
      </c>
      <c r="D428" s="2841"/>
      <c r="E428" s="2841"/>
      <c r="F428" s="2841"/>
      <c r="G428" s="2841"/>
      <c r="H428" s="2841"/>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41"/>
      <c r="AD428" s="2841"/>
      <c r="AE428" s="2841"/>
    </row>
    <row r="429" spans="3:31" x14ac:dyDescent="0.4">
      <c r="C429" s="1090"/>
      <c r="D429" s="2842" t="s">
        <v>2874</v>
      </c>
      <c r="E429" s="2842" t="s">
        <v>2875</v>
      </c>
      <c r="F429" s="2843" t="s">
        <v>2876</v>
      </c>
      <c r="G429" s="2843"/>
      <c r="H429" s="2843"/>
      <c r="I429" s="2843"/>
      <c r="J429" s="2843"/>
      <c r="K429" s="1091"/>
      <c r="L429" s="2843" t="s">
        <v>2877</v>
      </c>
      <c r="M429" s="2843"/>
      <c r="N429" s="2843"/>
      <c r="O429" s="2843"/>
      <c r="P429" s="2843"/>
      <c r="Q429" s="1090"/>
      <c r="R429" s="2843" t="s">
        <v>2878</v>
      </c>
      <c r="S429" s="2843"/>
      <c r="T429" s="1090"/>
      <c r="U429" s="2843" t="s">
        <v>2879</v>
      </c>
      <c r="V429" s="2843"/>
      <c r="W429" s="1090"/>
      <c r="X429" s="2843" t="s">
        <v>2880</v>
      </c>
      <c r="Y429" s="2843"/>
      <c r="Z429" s="1090"/>
      <c r="AA429" s="2843" t="s">
        <v>2881</v>
      </c>
      <c r="AB429" s="2843"/>
      <c r="AC429" s="1090"/>
      <c r="AD429" s="2843" t="s">
        <v>2882</v>
      </c>
      <c r="AE429" s="2843"/>
    </row>
    <row r="430" spans="3:31" ht="25.5" x14ac:dyDescent="0.4">
      <c r="C430" s="2844" t="s">
        <v>2883</v>
      </c>
      <c r="D430" s="2842"/>
      <c r="E430" s="2842"/>
      <c r="F430" s="1092" t="s">
        <v>2884</v>
      </c>
      <c r="G430" s="1092" t="s">
        <v>2885</v>
      </c>
      <c r="H430" s="2839" t="s">
        <v>327</v>
      </c>
      <c r="I430" s="2839" t="s">
        <v>750</v>
      </c>
      <c r="J430" s="2839" t="s">
        <v>2886</v>
      </c>
      <c r="K430" s="1093"/>
      <c r="L430" s="2839" t="s">
        <v>2887</v>
      </c>
      <c r="M430" s="2839" t="s">
        <v>2888</v>
      </c>
      <c r="N430" s="2839" t="s">
        <v>2889</v>
      </c>
      <c r="O430" s="2839" t="s">
        <v>2890</v>
      </c>
      <c r="P430" s="1092" t="s">
        <v>2891</v>
      </c>
      <c r="Q430" s="1094"/>
      <c r="R430" s="1092" t="s">
        <v>2892</v>
      </c>
      <c r="S430" s="2839" t="s">
        <v>2893</v>
      </c>
      <c r="T430" s="1094"/>
      <c r="U430" s="1092" t="s">
        <v>2894</v>
      </c>
      <c r="V430" s="2839" t="s">
        <v>2893</v>
      </c>
      <c r="W430" s="1093"/>
      <c r="X430" s="1092" t="s">
        <v>2880</v>
      </c>
      <c r="Y430" s="2839" t="s">
        <v>2893</v>
      </c>
      <c r="Z430" s="1093"/>
      <c r="AA430" s="1092" t="s">
        <v>2895</v>
      </c>
      <c r="AB430" s="2839" t="s">
        <v>2893</v>
      </c>
      <c r="AC430" s="1093"/>
      <c r="AD430" s="1092" t="s">
        <v>2896</v>
      </c>
      <c r="AE430" s="2839" t="s">
        <v>2893</v>
      </c>
    </row>
    <row r="431" spans="3:31" x14ac:dyDescent="0.4">
      <c r="C431" s="2845"/>
      <c r="D431" s="2840"/>
      <c r="E431" s="2840"/>
      <c r="F431" s="1095" t="s">
        <v>2897</v>
      </c>
      <c r="G431" s="1095" t="s">
        <v>2897</v>
      </c>
      <c r="H431" s="2840"/>
      <c r="I431" s="2840"/>
      <c r="J431" s="2840"/>
      <c r="K431" s="1096"/>
      <c r="L431" s="2840"/>
      <c r="M431" s="2840"/>
      <c r="N431" s="2840"/>
      <c r="O431" s="2840"/>
      <c r="P431" s="1097" t="s">
        <v>2898</v>
      </c>
      <c r="Q431" s="1097"/>
      <c r="R431" s="1098" t="s">
        <v>3310</v>
      </c>
      <c r="S431" s="2840"/>
      <c r="T431" s="1097"/>
      <c r="U431" s="1098" t="s">
        <v>3310</v>
      </c>
      <c r="V431" s="2840"/>
      <c r="W431" s="1096"/>
      <c r="X431" s="1098" t="s">
        <v>3310</v>
      </c>
      <c r="Y431" s="2840"/>
      <c r="Z431" s="1096"/>
      <c r="AA431" s="1098" t="s">
        <v>3310</v>
      </c>
      <c r="AB431" s="2840"/>
      <c r="AC431" s="1096"/>
      <c r="AD431" s="1098" t="s">
        <v>3310</v>
      </c>
      <c r="AE431" s="2840"/>
    </row>
    <row r="432" spans="3:31" x14ac:dyDescent="0.4">
      <c r="C432" s="2838" t="s">
        <v>2900</v>
      </c>
      <c r="D432" s="1099" t="s">
        <v>2901</v>
      </c>
      <c r="E432" s="1099" t="s">
        <v>2902</v>
      </c>
      <c r="F432" s="1100">
        <v>478577</v>
      </c>
      <c r="G432" s="1100">
        <v>1053258</v>
      </c>
      <c r="H432" s="1099" t="s">
        <v>533</v>
      </c>
      <c r="I432" s="1099" t="s">
        <v>821</v>
      </c>
      <c r="J432" s="1099" t="s">
        <v>821</v>
      </c>
      <c r="K432" s="1101"/>
      <c r="L432" s="1099">
        <v>5</v>
      </c>
      <c r="M432" s="1099">
        <v>4</v>
      </c>
      <c r="N432" s="1099">
        <v>1</v>
      </c>
      <c r="O432" s="1099">
        <v>80</v>
      </c>
      <c r="P432" s="1099">
        <v>1</v>
      </c>
      <c r="Q432" s="1102"/>
      <c r="R432" s="1100">
        <v>3.2</v>
      </c>
      <c r="S432" s="1103">
        <v>1</v>
      </c>
      <c r="T432" s="1102"/>
      <c r="U432" s="1100">
        <v>80.5</v>
      </c>
      <c r="V432" s="1103">
        <v>1</v>
      </c>
      <c r="W432" s="1104"/>
      <c r="X432" s="1100">
        <v>0.5</v>
      </c>
      <c r="Y432" s="1103">
        <v>1</v>
      </c>
      <c r="Z432" s="1104"/>
      <c r="AA432" s="1100">
        <v>7.57</v>
      </c>
      <c r="AB432" s="1103">
        <v>1</v>
      </c>
      <c r="AC432" s="1104"/>
      <c r="AD432" s="1100">
        <v>242</v>
      </c>
      <c r="AE432" s="1103">
        <v>0</v>
      </c>
    </row>
    <row r="433" spans="3:31" x14ac:dyDescent="0.4">
      <c r="C433" s="2838"/>
      <c r="D433" s="1099" t="s">
        <v>2901</v>
      </c>
      <c r="E433" s="1099" t="s">
        <v>2904</v>
      </c>
      <c r="F433" s="1100">
        <v>475877</v>
      </c>
      <c r="G433" s="1100">
        <v>1051840</v>
      </c>
      <c r="H433" s="1099" t="s">
        <v>533</v>
      </c>
      <c r="I433" s="1099" t="s">
        <v>821</v>
      </c>
      <c r="J433" s="1099" t="s">
        <v>821</v>
      </c>
      <c r="K433" s="1101"/>
      <c r="L433" s="1099">
        <v>5</v>
      </c>
      <c r="M433" s="1099">
        <v>4</v>
      </c>
      <c r="N433" s="1099">
        <v>1</v>
      </c>
      <c r="O433" s="1099">
        <v>80</v>
      </c>
      <c r="P433" s="1099">
        <v>1</v>
      </c>
      <c r="Q433" s="1102"/>
      <c r="R433" s="1100">
        <v>8</v>
      </c>
      <c r="S433" s="1103">
        <v>0</v>
      </c>
      <c r="T433" s="1102"/>
      <c r="U433" s="1100">
        <v>101.74</v>
      </c>
      <c r="V433" s="1103">
        <v>1</v>
      </c>
      <c r="W433" s="1104"/>
      <c r="X433" s="1100">
        <v>0.5</v>
      </c>
      <c r="Y433" s="1103">
        <v>1</v>
      </c>
      <c r="Z433" s="1104"/>
      <c r="AA433" s="1100">
        <v>7.61</v>
      </c>
      <c r="AB433" s="1103">
        <v>1</v>
      </c>
      <c r="AC433" s="1104"/>
      <c r="AD433" s="1100">
        <v>7</v>
      </c>
      <c r="AE433" s="1103">
        <v>1</v>
      </c>
    </row>
    <row r="434" spans="3:31" x14ac:dyDescent="0.4">
      <c r="C434" s="2838"/>
      <c r="D434" s="1099" t="s">
        <v>2905</v>
      </c>
      <c r="E434" s="1099" t="s">
        <v>2906</v>
      </c>
      <c r="F434" s="1100">
        <v>489634</v>
      </c>
      <c r="G434" s="1100">
        <v>1051066</v>
      </c>
      <c r="H434" s="1099" t="s">
        <v>533</v>
      </c>
      <c r="I434" s="1099" t="s">
        <v>818</v>
      </c>
      <c r="J434" s="1099" t="s">
        <v>2907</v>
      </c>
      <c r="K434" s="1101"/>
      <c r="L434" s="1099">
        <v>5</v>
      </c>
      <c r="M434" s="1099">
        <v>5</v>
      </c>
      <c r="N434" s="1099">
        <v>0</v>
      </c>
      <c r="O434" s="1099">
        <v>100</v>
      </c>
      <c r="P434" s="1099">
        <v>1</v>
      </c>
      <c r="Q434" s="1102"/>
      <c r="R434" s="1100">
        <v>3</v>
      </c>
      <c r="S434" s="1103">
        <v>1</v>
      </c>
      <c r="T434" s="1102"/>
      <c r="U434" s="1100">
        <v>106.17</v>
      </c>
      <c r="V434" s="1103">
        <v>1</v>
      </c>
      <c r="W434" s="1104"/>
      <c r="X434" s="1100">
        <v>0.5</v>
      </c>
      <c r="Y434" s="1103">
        <v>1</v>
      </c>
      <c r="Z434" s="1104"/>
      <c r="AA434" s="1100">
        <v>7.97</v>
      </c>
      <c r="AB434" s="1103">
        <v>1</v>
      </c>
      <c r="AC434" s="1104"/>
      <c r="AD434" s="1100">
        <v>5.4</v>
      </c>
      <c r="AE434" s="1103">
        <v>1</v>
      </c>
    </row>
    <row r="435" spans="3:31" x14ac:dyDescent="0.4">
      <c r="C435" s="2838"/>
      <c r="D435" s="1099" t="s">
        <v>2905</v>
      </c>
      <c r="E435" s="1099" t="s">
        <v>2908</v>
      </c>
      <c r="F435" s="1100">
        <v>480470</v>
      </c>
      <c r="G435" s="1100">
        <v>1046523</v>
      </c>
      <c r="H435" s="1099" t="s">
        <v>533</v>
      </c>
      <c r="I435" s="1099" t="s">
        <v>818</v>
      </c>
      <c r="J435" s="1099" t="s">
        <v>2909</v>
      </c>
      <c r="K435" s="1101"/>
      <c r="L435" s="1099">
        <v>5</v>
      </c>
      <c r="M435" s="1099">
        <v>4</v>
      </c>
      <c r="N435" s="1099">
        <v>1</v>
      </c>
      <c r="O435" s="1099">
        <v>80</v>
      </c>
      <c r="P435" s="1099">
        <v>1</v>
      </c>
      <c r="Q435" s="1102"/>
      <c r="R435" s="1100">
        <v>3</v>
      </c>
      <c r="S435" s="1103">
        <v>1</v>
      </c>
      <c r="T435" s="1102"/>
      <c r="U435" s="1100">
        <v>102.02</v>
      </c>
      <c r="V435" s="1103">
        <v>1</v>
      </c>
      <c r="W435" s="1104"/>
      <c r="X435" s="1100">
        <v>0.5</v>
      </c>
      <c r="Y435" s="1103">
        <v>1</v>
      </c>
      <c r="Z435" s="1104"/>
      <c r="AA435" s="1100">
        <v>7.83</v>
      </c>
      <c r="AB435" s="1103">
        <v>1</v>
      </c>
      <c r="AC435" s="1104"/>
      <c r="AD435" s="1100">
        <v>28</v>
      </c>
      <c r="AE435" s="1103">
        <v>0</v>
      </c>
    </row>
    <row r="436" spans="3:31" x14ac:dyDescent="0.4">
      <c r="C436" s="2835" t="s">
        <v>2910</v>
      </c>
      <c r="D436" s="1105" t="s">
        <v>2911</v>
      </c>
      <c r="E436" s="1105" t="s">
        <v>2912</v>
      </c>
      <c r="F436" s="1106">
        <v>430273</v>
      </c>
      <c r="G436" s="1106">
        <v>1074425</v>
      </c>
      <c r="H436" s="1105" t="s">
        <v>533</v>
      </c>
      <c r="I436" s="1105" t="s">
        <v>823</v>
      </c>
      <c r="J436" s="1105" t="s">
        <v>2913</v>
      </c>
      <c r="K436" s="1101"/>
      <c r="L436" s="1105">
        <v>5</v>
      </c>
      <c r="M436" s="1105">
        <v>4</v>
      </c>
      <c r="N436" s="1105">
        <v>1</v>
      </c>
      <c r="O436" s="1105">
        <v>80</v>
      </c>
      <c r="P436" s="1105">
        <v>1</v>
      </c>
      <c r="Q436" s="1102"/>
      <c r="R436" s="1106">
        <v>8</v>
      </c>
      <c r="S436" s="1107">
        <v>0</v>
      </c>
      <c r="T436" s="1102"/>
      <c r="U436" s="1106">
        <v>95.61</v>
      </c>
      <c r="V436" s="1107">
        <v>1</v>
      </c>
      <c r="W436" s="1108"/>
      <c r="X436" s="1106">
        <v>0.5</v>
      </c>
      <c r="Y436" s="1107">
        <v>1</v>
      </c>
      <c r="Z436" s="1104"/>
      <c r="AA436" s="1106">
        <v>7.86</v>
      </c>
      <c r="AB436" s="1107">
        <v>1</v>
      </c>
      <c r="AC436" s="1104"/>
      <c r="AD436" s="1106">
        <v>3</v>
      </c>
      <c r="AE436" s="1107">
        <v>1</v>
      </c>
    </row>
    <row r="437" spans="3:31" x14ac:dyDescent="0.4">
      <c r="C437" s="2835"/>
      <c r="D437" s="1105" t="s">
        <v>2914</v>
      </c>
      <c r="E437" s="1105" t="s">
        <v>2915</v>
      </c>
      <c r="F437" s="1106">
        <v>431757</v>
      </c>
      <c r="G437" s="1106">
        <v>1064259</v>
      </c>
      <c r="H437" s="1105" t="s">
        <v>533</v>
      </c>
      <c r="I437" s="1105" t="s">
        <v>823</v>
      </c>
      <c r="J437" s="1105" t="s">
        <v>2916</v>
      </c>
      <c r="K437" s="1101"/>
      <c r="L437" s="1105">
        <v>5</v>
      </c>
      <c r="M437" s="1105">
        <v>5</v>
      </c>
      <c r="N437" s="1105">
        <v>0</v>
      </c>
      <c r="O437" s="1105">
        <v>100</v>
      </c>
      <c r="P437" s="1105">
        <v>1</v>
      </c>
      <c r="Q437" s="1102"/>
      <c r="R437" s="1106">
        <v>3.3</v>
      </c>
      <c r="S437" s="1107">
        <v>1</v>
      </c>
      <c r="T437" s="1102"/>
      <c r="U437" s="1106">
        <v>92.63</v>
      </c>
      <c r="V437" s="1107">
        <v>1</v>
      </c>
      <c r="W437" s="1108"/>
      <c r="X437" s="1106">
        <v>0.5</v>
      </c>
      <c r="Y437" s="1107">
        <v>1</v>
      </c>
      <c r="Z437" s="1104"/>
      <c r="AA437" s="1106">
        <v>7.55</v>
      </c>
      <c r="AB437" s="1107">
        <v>1</v>
      </c>
      <c r="AC437" s="1104"/>
      <c r="AD437" s="1106">
        <v>3</v>
      </c>
      <c r="AE437" s="1107">
        <v>1</v>
      </c>
    </row>
    <row r="438" spans="3:31" x14ac:dyDescent="0.4">
      <c r="C438" s="2835"/>
      <c r="D438" s="1105" t="s">
        <v>2917</v>
      </c>
      <c r="E438" s="1105" t="s">
        <v>2918</v>
      </c>
      <c r="F438" s="1106">
        <v>442810</v>
      </c>
      <c r="G438" s="1106">
        <v>1064763</v>
      </c>
      <c r="H438" s="1105" t="s">
        <v>329</v>
      </c>
      <c r="I438" s="1105" t="s">
        <v>2919</v>
      </c>
      <c r="J438" s="1105" t="s">
        <v>2920</v>
      </c>
      <c r="K438" s="1101"/>
      <c r="L438" s="1105">
        <v>5</v>
      </c>
      <c r="M438" s="1105">
        <v>5</v>
      </c>
      <c r="N438" s="1105">
        <v>0</v>
      </c>
      <c r="O438" s="1105">
        <v>100</v>
      </c>
      <c r="P438" s="1105">
        <v>1</v>
      </c>
      <c r="Q438" s="1102"/>
      <c r="R438" s="1106">
        <v>6</v>
      </c>
      <c r="S438" s="1107">
        <v>1</v>
      </c>
      <c r="T438" s="1102"/>
      <c r="U438" s="1106">
        <v>96.33</v>
      </c>
      <c r="V438" s="1107">
        <v>1</v>
      </c>
      <c r="W438" s="1108"/>
      <c r="X438" s="1106">
        <v>0.5</v>
      </c>
      <c r="Y438" s="1107">
        <v>1</v>
      </c>
      <c r="Z438" s="1104"/>
      <c r="AA438" s="1106">
        <v>7.79</v>
      </c>
      <c r="AB438" s="1107">
        <v>1</v>
      </c>
      <c r="AC438" s="1104"/>
      <c r="AD438" s="1106">
        <v>3</v>
      </c>
      <c r="AE438" s="1107">
        <v>1</v>
      </c>
    </row>
    <row r="439" spans="3:31" x14ac:dyDescent="0.4">
      <c r="C439" s="2835"/>
      <c r="D439" s="1105" t="s">
        <v>2921</v>
      </c>
      <c r="E439" s="1105" t="s">
        <v>2922</v>
      </c>
      <c r="F439" s="1106">
        <v>446879</v>
      </c>
      <c r="G439" s="1106">
        <v>1064096</v>
      </c>
      <c r="H439" s="1105" t="s">
        <v>533</v>
      </c>
      <c r="I439" s="1105" t="s">
        <v>754</v>
      </c>
      <c r="J439" s="1105" t="s">
        <v>2923</v>
      </c>
      <c r="K439" s="1101"/>
      <c r="L439" s="1105">
        <v>0</v>
      </c>
      <c r="M439" s="1105">
        <v>0</v>
      </c>
      <c r="N439" s="1105">
        <v>0</v>
      </c>
      <c r="O439" s="1105" t="s">
        <v>2903</v>
      </c>
      <c r="P439" s="1105" t="s">
        <v>2903</v>
      </c>
      <c r="Q439" s="1102"/>
      <c r="R439" s="1106" t="s">
        <v>2903</v>
      </c>
      <c r="S439" s="1107" t="s">
        <v>2903</v>
      </c>
      <c r="T439" s="1102"/>
      <c r="U439" s="1106" t="s">
        <v>2903</v>
      </c>
      <c r="V439" s="1107" t="s">
        <v>2903</v>
      </c>
      <c r="W439" s="1108"/>
      <c r="X439" s="1106" t="s">
        <v>2903</v>
      </c>
      <c r="Y439" s="1107" t="s">
        <v>2903</v>
      </c>
      <c r="Z439" s="1104"/>
      <c r="AA439" s="1106" t="s">
        <v>2903</v>
      </c>
      <c r="AB439" s="1107" t="s">
        <v>2903</v>
      </c>
      <c r="AC439" s="1104"/>
      <c r="AD439" s="1106" t="s">
        <v>2903</v>
      </c>
      <c r="AE439" s="1107" t="s">
        <v>2903</v>
      </c>
    </row>
    <row r="440" spans="3:31" x14ac:dyDescent="0.4">
      <c r="C440" s="2835"/>
      <c r="D440" s="1105" t="s">
        <v>2921</v>
      </c>
      <c r="E440" s="1105" t="s">
        <v>2924</v>
      </c>
      <c r="F440" s="1106">
        <v>442563</v>
      </c>
      <c r="G440" s="1106">
        <v>1058628</v>
      </c>
      <c r="H440" s="1105" t="s">
        <v>533</v>
      </c>
      <c r="I440" s="1105" t="s">
        <v>821</v>
      </c>
      <c r="J440" s="1105" t="s">
        <v>821</v>
      </c>
      <c r="K440" s="1101"/>
      <c r="L440" s="1105">
        <v>5</v>
      </c>
      <c r="M440" s="1105">
        <v>4</v>
      </c>
      <c r="N440" s="1105">
        <v>1</v>
      </c>
      <c r="O440" s="1105">
        <v>80</v>
      </c>
      <c r="P440" s="1105">
        <v>1</v>
      </c>
      <c r="Q440" s="1102"/>
      <c r="R440" s="1106">
        <v>8</v>
      </c>
      <c r="S440" s="1107">
        <v>0</v>
      </c>
      <c r="T440" s="1102"/>
      <c r="U440" s="1106">
        <v>101.01</v>
      </c>
      <c r="V440" s="1107">
        <v>1</v>
      </c>
      <c r="W440" s="1108"/>
      <c r="X440" s="1106">
        <v>0.5</v>
      </c>
      <c r="Y440" s="1107">
        <v>1</v>
      </c>
      <c r="Z440" s="1104"/>
      <c r="AA440" s="1106">
        <v>7.91</v>
      </c>
      <c r="AB440" s="1107">
        <v>1</v>
      </c>
      <c r="AC440" s="1104"/>
      <c r="AD440" s="1106">
        <v>8</v>
      </c>
      <c r="AE440" s="1107">
        <v>1</v>
      </c>
    </row>
    <row r="441" spans="3:31" x14ac:dyDescent="0.4">
      <c r="C441" s="2835"/>
      <c r="D441" s="1105" t="s">
        <v>2925</v>
      </c>
      <c r="E441" s="1105" t="s">
        <v>2926</v>
      </c>
      <c r="F441" s="1106">
        <v>441801</v>
      </c>
      <c r="G441" s="1106">
        <v>1058697</v>
      </c>
      <c r="H441" s="1105" t="s">
        <v>533</v>
      </c>
      <c r="I441" s="1105" t="s">
        <v>821</v>
      </c>
      <c r="J441" s="1105" t="s">
        <v>821</v>
      </c>
      <c r="K441" s="1101"/>
      <c r="L441" s="1105">
        <v>5</v>
      </c>
      <c r="M441" s="1105">
        <v>5</v>
      </c>
      <c r="N441" s="1105">
        <v>0</v>
      </c>
      <c r="O441" s="1105">
        <v>100</v>
      </c>
      <c r="P441" s="1105">
        <v>1</v>
      </c>
      <c r="Q441" s="1102"/>
      <c r="R441" s="1106">
        <v>5.8</v>
      </c>
      <c r="S441" s="1107">
        <v>1</v>
      </c>
      <c r="T441" s="1102"/>
      <c r="U441" s="1106">
        <v>97.06</v>
      </c>
      <c r="V441" s="1107">
        <v>1</v>
      </c>
      <c r="W441" s="1108"/>
      <c r="X441" s="1106">
        <v>0.5</v>
      </c>
      <c r="Y441" s="1107">
        <v>1</v>
      </c>
      <c r="Z441" s="1104"/>
      <c r="AA441" s="1106">
        <v>7.76</v>
      </c>
      <c r="AB441" s="1107">
        <v>1</v>
      </c>
      <c r="AC441" s="1104"/>
      <c r="AD441" s="1106">
        <v>10</v>
      </c>
      <c r="AE441" s="1107">
        <v>1</v>
      </c>
    </row>
    <row r="442" spans="3:31" x14ac:dyDescent="0.4">
      <c r="C442" s="2835"/>
      <c r="D442" s="1105" t="s">
        <v>2921</v>
      </c>
      <c r="E442" s="1105" t="s">
        <v>2927</v>
      </c>
      <c r="F442" s="1106">
        <v>454785</v>
      </c>
      <c r="G442" s="1106">
        <v>1059635</v>
      </c>
      <c r="H442" s="1105" t="s">
        <v>328</v>
      </c>
      <c r="I442" s="1105" t="s">
        <v>754</v>
      </c>
      <c r="J442" s="1105" t="s">
        <v>2923</v>
      </c>
      <c r="K442" s="1101"/>
      <c r="L442" s="1105">
        <v>0</v>
      </c>
      <c r="M442" s="1105">
        <v>0</v>
      </c>
      <c r="N442" s="1105">
        <v>0</v>
      </c>
      <c r="O442" s="1105" t="s">
        <v>2903</v>
      </c>
      <c r="P442" s="1105" t="s">
        <v>2903</v>
      </c>
      <c r="Q442" s="1102"/>
      <c r="R442" s="1106" t="s">
        <v>2903</v>
      </c>
      <c r="S442" s="1107" t="s">
        <v>2903</v>
      </c>
      <c r="T442" s="1102"/>
      <c r="U442" s="1106" t="s">
        <v>2903</v>
      </c>
      <c r="V442" s="1107" t="s">
        <v>2903</v>
      </c>
      <c r="W442" s="1108"/>
      <c r="X442" s="1106" t="s">
        <v>2903</v>
      </c>
      <c r="Y442" s="1107" t="s">
        <v>2903</v>
      </c>
      <c r="Z442" s="1104"/>
      <c r="AA442" s="1106" t="s">
        <v>2903</v>
      </c>
      <c r="AB442" s="1107" t="s">
        <v>2903</v>
      </c>
      <c r="AC442" s="1104"/>
      <c r="AD442" s="1106" t="s">
        <v>2903</v>
      </c>
      <c r="AE442" s="1107" t="s">
        <v>2903</v>
      </c>
    </row>
    <row r="443" spans="3:31" x14ac:dyDescent="0.4">
      <c r="C443" s="2835"/>
      <c r="D443" s="1105" t="s">
        <v>2928</v>
      </c>
      <c r="E443" s="1105" t="s">
        <v>2929</v>
      </c>
      <c r="F443" s="1106">
        <v>458078</v>
      </c>
      <c r="G443" s="1106">
        <v>1069926</v>
      </c>
      <c r="H443" s="1105" t="s">
        <v>328</v>
      </c>
      <c r="I443" s="1105" t="s">
        <v>754</v>
      </c>
      <c r="J443" s="1105" t="s">
        <v>2923</v>
      </c>
      <c r="K443" s="1101"/>
      <c r="L443" s="1105">
        <v>5</v>
      </c>
      <c r="M443" s="1105">
        <v>5</v>
      </c>
      <c r="N443" s="1105">
        <v>0</v>
      </c>
      <c r="O443" s="1105">
        <v>100</v>
      </c>
      <c r="P443" s="1105">
        <v>1</v>
      </c>
      <c r="Q443" s="1102"/>
      <c r="R443" s="1106">
        <v>3.7</v>
      </c>
      <c r="S443" s="1107">
        <v>1</v>
      </c>
      <c r="T443" s="1102"/>
      <c r="U443" s="1106">
        <v>96.05</v>
      </c>
      <c r="V443" s="1107">
        <v>1</v>
      </c>
      <c r="W443" s="1108"/>
      <c r="X443" s="1106">
        <v>0.5</v>
      </c>
      <c r="Y443" s="1107">
        <v>1</v>
      </c>
      <c r="Z443" s="1104"/>
      <c r="AA443" s="1106">
        <v>8.0399999999999991</v>
      </c>
      <c r="AB443" s="1107">
        <v>1</v>
      </c>
      <c r="AC443" s="1104"/>
      <c r="AD443" s="1106">
        <v>6</v>
      </c>
      <c r="AE443" s="1107">
        <v>1</v>
      </c>
    </row>
    <row r="444" spans="3:31" x14ac:dyDescent="0.4">
      <c r="C444" s="2836" t="s">
        <v>2913</v>
      </c>
      <c r="D444" s="1109" t="s">
        <v>2931</v>
      </c>
      <c r="E444" s="1109" t="s">
        <v>2932</v>
      </c>
      <c r="F444" s="1110">
        <v>505940</v>
      </c>
      <c r="G444" s="1110">
        <v>1104290</v>
      </c>
      <c r="H444" s="1109" t="s">
        <v>328</v>
      </c>
      <c r="I444" s="1109" t="s">
        <v>761</v>
      </c>
      <c r="J444" s="1109" t="s">
        <v>2933</v>
      </c>
      <c r="K444" s="1111"/>
      <c r="L444" s="1109">
        <v>5</v>
      </c>
      <c r="M444" s="1109">
        <v>3</v>
      </c>
      <c r="N444" s="1109">
        <v>2</v>
      </c>
      <c r="O444" s="1109">
        <v>60</v>
      </c>
      <c r="P444" s="1109">
        <v>0</v>
      </c>
      <c r="Q444" s="1112"/>
      <c r="R444" s="1110">
        <v>10</v>
      </c>
      <c r="S444" s="1113">
        <v>0</v>
      </c>
      <c r="T444" s="1112"/>
      <c r="U444" s="1110">
        <v>66.099999999999994</v>
      </c>
      <c r="V444" s="1113">
        <v>0</v>
      </c>
      <c r="W444" s="1108"/>
      <c r="X444" s="1110">
        <v>0.22633333333333333</v>
      </c>
      <c r="Y444" s="1113">
        <v>1</v>
      </c>
      <c r="Z444" s="1108"/>
      <c r="AA444" s="1110">
        <v>8.06</v>
      </c>
      <c r="AB444" s="1113">
        <v>1</v>
      </c>
      <c r="AC444" s="1104"/>
      <c r="AD444" s="1110">
        <v>16.8</v>
      </c>
      <c r="AE444" s="1113">
        <v>1</v>
      </c>
    </row>
    <row r="445" spans="3:31" x14ac:dyDescent="0.4">
      <c r="C445" s="2836"/>
      <c r="D445" s="1109" t="s">
        <v>2931</v>
      </c>
      <c r="E445" s="1109" t="s">
        <v>2934</v>
      </c>
      <c r="F445" s="1110">
        <v>499343</v>
      </c>
      <c r="G445" s="1110">
        <v>1103594</v>
      </c>
      <c r="H445" s="1109" t="s">
        <v>328</v>
      </c>
      <c r="I445" s="1109" t="s">
        <v>761</v>
      </c>
      <c r="J445" s="1109" t="s">
        <v>798</v>
      </c>
      <c r="K445" s="1111"/>
      <c r="L445" s="1109">
        <v>5</v>
      </c>
      <c r="M445" s="1109">
        <v>3</v>
      </c>
      <c r="N445" s="1109">
        <v>2</v>
      </c>
      <c r="O445" s="1109">
        <v>60</v>
      </c>
      <c r="P445" s="1109">
        <v>0</v>
      </c>
      <c r="Q445" s="1112"/>
      <c r="R445" s="1110">
        <v>9.4</v>
      </c>
      <c r="S445" s="1113">
        <v>0</v>
      </c>
      <c r="T445" s="1112"/>
      <c r="U445" s="1110">
        <v>66.099999999999994</v>
      </c>
      <c r="V445" s="1113">
        <v>0</v>
      </c>
      <c r="W445" s="1108"/>
      <c r="X445" s="1110">
        <v>0.18200000000000002</v>
      </c>
      <c r="Y445" s="1113">
        <v>1</v>
      </c>
      <c r="Z445" s="1108"/>
      <c r="AA445" s="1110">
        <v>8.2200000000000006</v>
      </c>
      <c r="AB445" s="1113">
        <v>1</v>
      </c>
      <c r="AC445" s="1104"/>
      <c r="AD445" s="1110">
        <v>12.5</v>
      </c>
      <c r="AE445" s="1113">
        <v>1</v>
      </c>
    </row>
    <row r="446" spans="3:31" x14ac:dyDescent="0.4">
      <c r="C446" s="2836"/>
      <c r="D446" s="1109" t="s">
        <v>2931</v>
      </c>
      <c r="E446" s="1109" t="s">
        <v>2935</v>
      </c>
      <c r="F446" s="1110">
        <v>491495</v>
      </c>
      <c r="G446" s="1110">
        <v>1102221</v>
      </c>
      <c r="H446" s="1109" t="s">
        <v>328</v>
      </c>
      <c r="I446" s="1109" t="s">
        <v>763</v>
      </c>
      <c r="J446" s="1109" t="s">
        <v>2936</v>
      </c>
      <c r="K446" s="1111"/>
      <c r="L446" s="1109">
        <v>5</v>
      </c>
      <c r="M446" s="1109">
        <v>2</v>
      </c>
      <c r="N446" s="1109">
        <v>3</v>
      </c>
      <c r="O446" s="1109">
        <v>40</v>
      </c>
      <c r="P446" s="1109">
        <v>0</v>
      </c>
      <c r="Q446" s="1112"/>
      <c r="R446" s="1110">
        <v>11.2</v>
      </c>
      <c r="S446" s="1113">
        <v>0</v>
      </c>
      <c r="T446" s="1112"/>
      <c r="U446" s="1110">
        <v>66.3</v>
      </c>
      <c r="V446" s="1113">
        <v>0</v>
      </c>
      <c r="W446" s="1108"/>
      <c r="X446" s="1110">
        <v>0.61755555555555564</v>
      </c>
      <c r="Y446" s="1113">
        <v>1</v>
      </c>
      <c r="Z446" s="1108"/>
      <c r="AA446" s="1110">
        <v>8.52</v>
      </c>
      <c r="AB446" s="1113">
        <v>0</v>
      </c>
      <c r="AC446" s="1104"/>
      <c r="AD446" s="1110">
        <v>3.4</v>
      </c>
      <c r="AE446" s="1113">
        <v>1</v>
      </c>
    </row>
    <row r="447" spans="3:31" x14ac:dyDescent="0.4">
      <c r="C447" s="2836"/>
      <c r="D447" s="1109" t="s">
        <v>2931</v>
      </c>
      <c r="E447" s="1109" t="s">
        <v>2937</v>
      </c>
      <c r="F447" s="1110">
        <v>480338</v>
      </c>
      <c r="G447" s="1110">
        <v>1102283</v>
      </c>
      <c r="H447" s="1109" t="s">
        <v>331</v>
      </c>
      <c r="I447" s="1109" t="s">
        <v>800</v>
      </c>
      <c r="J447" s="1109" t="s">
        <v>2938</v>
      </c>
      <c r="K447" s="1111"/>
      <c r="L447" s="1109">
        <v>5</v>
      </c>
      <c r="M447" s="1109">
        <v>2</v>
      </c>
      <c r="N447" s="1109">
        <v>3</v>
      </c>
      <c r="O447" s="1109">
        <v>40</v>
      </c>
      <c r="P447" s="1109">
        <v>0</v>
      </c>
      <c r="Q447" s="1112"/>
      <c r="R447" s="1110">
        <v>10.3</v>
      </c>
      <c r="S447" s="1113">
        <v>0</v>
      </c>
      <c r="T447" s="1112"/>
      <c r="U447" s="1110">
        <v>66.2</v>
      </c>
      <c r="V447" s="1113">
        <v>0</v>
      </c>
      <c r="W447" s="1108"/>
      <c r="X447" s="1110">
        <v>5.8193333333333337</v>
      </c>
      <c r="Y447" s="1113">
        <v>0</v>
      </c>
      <c r="Z447" s="1108"/>
      <c r="AA447" s="1110">
        <v>8.1300000000000008</v>
      </c>
      <c r="AB447" s="1113">
        <v>1</v>
      </c>
      <c r="AC447" s="1104"/>
      <c r="AD447" s="1110">
        <v>11</v>
      </c>
      <c r="AE447" s="1113">
        <v>1</v>
      </c>
    </row>
    <row r="448" spans="3:31" x14ac:dyDescent="0.4">
      <c r="C448" s="2836"/>
      <c r="D448" s="1109" t="s">
        <v>2931</v>
      </c>
      <c r="E448" s="1109" t="s">
        <v>2939</v>
      </c>
      <c r="F448" s="1110">
        <v>470780</v>
      </c>
      <c r="G448" s="1110">
        <v>1098167</v>
      </c>
      <c r="H448" s="1109" t="s">
        <v>331</v>
      </c>
      <c r="I448" s="1109" t="s">
        <v>799</v>
      </c>
      <c r="J448" s="1109" t="s">
        <v>2940</v>
      </c>
      <c r="K448" s="1111"/>
      <c r="L448" s="1109">
        <v>0</v>
      </c>
      <c r="M448" s="1109">
        <v>0</v>
      </c>
      <c r="N448" s="1109">
        <v>0</v>
      </c>
      <c r="O448" s="1109" t="s">
        <v>2903</v>
      </c>
      <c r="P448" s="1109" t="s">
        <v>2903</v>
      </c>
      <c r="Q448" s="1112"/>
      <c r="R448" s="1110" t="s">
        <v>2903</v>
      </c>
      <c r="S448" s="1113" t="s">
        <v>2903</v>
      </c>
      <c r="T448" s="1112"/>
      <c r="U448" s="1110" t="s">
        <v>2903</v>
      </c>
      <c r="V448" s="1113" t="s">
        <v>2903</v>
      </c>
      <c r="W448" s="1108"/>
      <c r="X448" s="1110" t="s">
        <v>2903</v>
      </c>
      <c r="Y448" s="1113" t="s">
        <v>2903</v>
      </c>
      <c r="Z448" s="1108"/>
      <c r="AA448" s="1110" t="s">
        <v>2903</v>
      </c>
      <c r="AB448" s="1113" t="s">
        <v>2903</v>
      </c>
      <c r="AC448" s="1104"/>
      <c r="AD448" s="1110" t="s">
        <v>2903</v>
      </c>
      <c r="AE448" s="1113" t="s">
        <v>2903</v>
      </c>
    </row>
    <row r="449" spans="3:31" x14ac:dyDescent="0.4">
      <c r="C449" s="2836"/>
      <c r="D449" s="1109" t="s">
        <v>2941</v>
      </c>
      <c r="E449" s="1109" t="s">
        <v>2942</v>
      </c>
      <c r="F449" s="1110">
        <v>450165</v>
      </c>
      <c r="G449" s="1110">
        <v>1097109</v>
      </c>
      <c r="H449" s="1109" t="s">
        <v>329</v>
      </c>
      <c r="I449" s="1109" t="s">
        <v>329</v>
      </c>
      <c r="J449" s="1109" t="s">
        <v>2943</v>
      </c>
      <c r="K449" s="1111"/>
      <c r="L449" s="1109">
        <v>5</v>
      </c>
      <c r="M449" s="1109">
        <v>3</v>
      </c>
      <c r="N449" s="1109">
        <v>2</v>
      </c>
      <c r="O449" s="1109">
        <v>60</v>
      </c>
      <c r="P449" s="1109">
        <v>0</v>
      </c>
      <c r="Q449" s="1112"/>
      <c r="R449" s="1110">
        <v>8.9</v>
      </c>
      <c r="S449" s="1113">
        <v>0</v>
      </c>
      <c r="T449" s="1112"/>
      <c r="U449" s="1110">
        <v>66.3</v>
      </c>
      <c r="V449" s="1113">
        <v>0</v>
      </c>
      <c r="W449" s="1108"/>
      <c r="X449" s="1110">
        <v>0.78</v>
      </c>
      <c r="Y449" s="1113">
        <v>1</v>
      </c>
      <c r="Z449" s="1108"/>
      <c r="AA449" s="1110">
        <v>8.36</v>
      </c>
      <c r="AB449" s="1113">
        <v>1</v>
      </c>
      <c r="AC449" s="1104"/>
      <c r="AD449" s="1110">
        <v>22.6</v>
      </c>
      <c r="AE449" s="1113">
        <v>1</v>
      </c>
    </row>
    <row r="450" spans="3:31" x14ac:dyDescent="0.4">
      <c r="C450" s="2836"/>
      <c r="D450" s="1109" t="s">
        <v>2944</v>
      </c>
      <c r="E450" s="1109" t="s">
        <v>2945</v>
      </c>
      <c r="F450" s="1110">
        <v>461417</v>
      </c>
      <c r="G450" s="1110">
        <v>1102524</v>
      </c>
      <c r="H450" s="1109" t="s">
        <v>329</v>
      </c>
      <c r="I450" s="1109" t="s">
        <v>774</v>
      </c>
      <c r="J450" s="1109" t="s">
        <v>2946</v>
      </c>
      <c r="K450" s="1111"/>
      <c r="L450" s="1109">
        <v>5</v>
      </c>
      <c r="M450" s="1109">
        <v>2</v>
      </c>
      <c r="N450" s="1109">
        <v>3</v>
      </c>
      <c r="O450" s="1109">
        <v>40</v>
      </c>
      <c r="P450" s="1109">
        <v>0</v>
      </c>
      <c r="Q450" s="1112"/>
      <c r="R450" s="1110">
        <v>11.2</v>
      </c>
      <c r="S450" s="1113">
        <v>0</v>
      </c>
      <c r="T450" s="1112"/>
      <c r="U450" s="1110">
        <v>66</v>
      </c>
      <c r="V450" s="1113">
        <v>0</v>
      </c>
      <c r="W450" s="1108"/>
      <c r="X450" s="1110">
        <v>0.18</v>
      </c>
      <c r="Y450" s="1113">
        <v>1</v>
      </c>
      <c r="Z450" s="1108"/>
      <c r="AA450" s="1110">
        <v>8.84</v>
      </c>
      <c r="AB450" s="1113">
        <v>0</v>
      </c>
      <c r="AC450" s="1104"/>
      <c r="AD450" s="1110">
        <v>12.4</v>
      </c>
      <c r="AE450" s="1113">
        <v>1</v>
      </c>
    </row>
    <row r="451" spans="3:31" x14ac:dyDescent="0.4">
      <c r="C451" s="2836"/>
      <c r="D451" s="1109" t="s">
        <v>2941</v>
      </c>
      <c r="E451" s="1109" t="s">
        <v>2947</v>
      </c>
      <c r="F451" s="1110">
        <v>442305</v>
      </c>
      <c r="G451" s="1110">
        <v>1092780</v>
      </c>
      <c r="H451" s="1109" t="s">
        <v>329</v>
      </c>
      <c r="I451" s="1109" t="s">
        <v>778</v>
      </c>
      <c r="J451" s="1109" t="s">
        <v>778</v>
      </c>
      <c r="K451" s="1111"/>
      <c r="L451" s="1222" t="s">
        <v>2903</v>
      </c>
      <c r="M451" s="1222" t="s">
        <v>2903</v>
      </c>
      <c r="N451" s="1222" t="s">
        <v>2903</v>
      </c>
      <c r="O451" s="1222" t="s">
        <v>2903</v>
      </c>
      <c r="P451" s="1109" t="s">
        <v>2903</v>
      </c>
      <c r="Q451" s="1112"/>
      <c r="R451" s="1223" t="s">
        <v>2903</v>
      </c>
      <c r="S451" s="1113" t="s">
        <v>2903</v>
      </c>
      <c r="T451" s="1112"/>
      <c r="U451" s="1224">
        <v>89.4</v>
      </c>
      <c r="V451" s="1113" t="s">
        <v>2903</v>
      </c>
      <c r="W451" s="1108"/>
      <c r="X451" s="1224">
        <v>0.22</v>
      </c>
      <c r="Y451" s="1113" t="s">
        <v>2903</v>
      </c>
      <c r="Z451" s="1108"/>
      <c r="AA451" s="1224">
        <v>8.4499999999999993</v>
      </c>
      <c r="AB451" s="1113" t="s">
        <v>2903</v>
      </c>
      <c r="AC451" s="1104"/>
      <c r="AD451" s="1224">
        <v>8</v>
      </c>
      <c r="AE451" s="1113" t="s">
        <v>2903</v>
      </c>
    </row>
    <row r="452" spans="3:31" x14ac:dyDescent="0.4">
      <c r="C452" s="2835" t="s">
        <v>775</v>
      </c>
      <c r="D452" s="1105" t="s">
        <v>2948</v>
      </c>
      <c r="E452" s="1105" t="s">
        <v>2949</v>
      </c>
      <c r="F452" s="1106">
        <v>494958</v>
      </c>
      <c r="G452" s="1106">
        <v>1049620</v>
      </c>
      <c r="H452" s="1105" t="s">
        <v>533</v>
      </c>
      <c r="I452" s="1105" t="s">
        <v>818</v>
      </c>
      <c r="J452" s="1105" t="s">
        <v>2909</v>
      </c>
      <c r="K452" s="1101"/>
      <c r="L452" s="1105">
        <v>5</v>
      </c>
      <c r="M452" s="1105">
        <v>4</v>
      </c>
      <c r="N452" s="1105">
        <v>1</v>
      </c>
      <c r="O452" s="1105">
        <v>80</v>
      </c>
      <c r="P452" s="1105">
        <v>1</v>
      </c>
      <c r="Q452" s="1105"/>
      <c r="R452" s="1105">
        <v>1.69</v>
      </c>
      <c r="S452" s="1107">
        <v>1</v>
      </c>
      <c r="T452" s="1102"/>
      <c r="U452" s="1106">
        <v>100.2</v>
      </c>
      <c r="V452" s="1107">
        <v>1</v>
      </c>
      <c r="W452" s="1108"/>
      <c r="X452" s="1106">
        <v>0.03</v>
      </c>
      <c r="Y452" s="1107">
        <v>1</v>
      </c>
      <c r="Z452" s="1104"/>
      <c r="AA452" s="1106">
        <v>8.1</v>
      </c>
      <c r="AB452" s="1107">
        <v>1</v>
      </c>
      <c r="AC452" s="1104"/>
      <c r="AD452" s="1106">
        <v>479</v>
      </c>
      <c r="AE452" s="1107">
        <v>0</v>
      </c>
    </row>
    <row r="453" spans="3:31" x14ac:dyDescent="0.4">
      <c r="C453" s="2835"/>
      <c r="D453" s="1105" t="s">
        <v>2948</v>
      </c>
      <c r="E453" s="1105" t="s">
        <v>2950</v>
      </c>
      <c r="F453" s="1106">
        <v>487152</v>
      </c>
      <c r="G453" s="1106">
        <v>1042701</v>
      </c>
      <c r="H453" s="1105" t="s">
        <v>533</v>
      </c>
      <c r="I453" s="1105" t="s">
        <v>818</v>
      </c>
      <c r="J453" s="1105" t="s">
        <v>2909</v>
      </c>
      <c r="K453" s="1101"/>
      <c r="L453" s="1105">
        <v>0</v>
      </c>
      <c r="M453" s="1105">
        <v>0</v>
      </c>
      <c r="N453" s="1105">
        <v>0</v>
      </c>
      <c r="O453" s="1105" t="s">
        <v>2903</v>
      </c>
      <c r="P453" s="1105" t="s">
        <v>2903</v>
      </c>
      <c r="Q453" s="1102"/>
      <c r="R453" s="1105" t="s">
        <v>2903</v>
      </c>
      <c r="S453" s="1107" t="s">
        <v>2903</v>
      </c>
      <c r="T453" s="1102"/>
      <c r="U453" s="1106" t="s">
        <v>2903</v>
      </c>
      <c r="V453" s="1107" t="s">
        <v>2903</v>
      </c>
      <c r="W453" s="1108"/>
      <c r="X453" s="1106" t="s">
        <v>2903</v>
      </c>
      <c r="Y453" s="1107" t="s">
        <v>2903</v>
      </c>
      <c r="Z453" s="1104"/>
      <c r="AA453" s="1106" t="s">
        <v>2903</v>
      </c>
      <c r="AB453" s="1107" t="s">
        <v>2903</v>
      </c>
      <c r="AC453" s="1104"/>
      <c r="AD453" s="1106" t="s">
        <v>2903</v>
      </c>
      <c r="AE453" s="1107" t="s">
        <v>2903</v>
      </c>
    </row>
    <row r="454" spans="3:31" x14ac:dyDescent="0.4">
      <c r="C454" s="2835"/>
      <c r="D454" s="1105" t="s">
        <v>2948</v>
      </c>
      <c r="E454" s="1105" t="s">
        <v>2951</v>
      </c>
      <c r="F454" s="1106">
        <v>487152</v>
      </c>
      <c r="G454" s="1106">
        <v>1042701</v>
      </c>
      <c r="H454" s="1105" t="s">
        <v>533</v>
      </c>
      <c r="I454" s="1105" t="s">
        <v>818</v>
      </c>
      <c r="J454" s="1105" t="s">
        <v>2909</v>
      </c>
      <c r="K454" s="1101"/>
      <c r="L454" s="1105">
        <v>5</v>
      </c>
      <c r="M454" s="1105">
        <v>4</v>
      </c>
      <c r="N454" s="1105">
        <v>1</v>
      </c>
      <c r="O454" s="1105">
        <v>80</v>
      </c>
      <c r="P454" s="1105">
        <v>1</v>
      </c>
      <c r="Q454" s="1102"/>
      <c r="R454" s="1105">
        <v>2.36</v>
      </c>
      <c r="S454" s="1107">
        <v>1</v>
      </c>
      <c r="T454" s="1102"/>
      <c r="U454" s="1106">
        <v>96.7</v>
      </c>
      <c r="V454" s="1107">
        <v>1</v>
      </c>
      <c r="W454" s="1108"/>
      <c r="X454" s="1106">
        <v>0.03</v>
      </c>
      <c r="Y454" s="1107">
        <v>1</v>
      </c>
      <c r="Z454" s="1104"/>
      <c r="AA454" s="1106">
        <v>7.95</v>
      </c>
      <c r="AB454" s="1107">
        <v>1</v>
      </c>
      <c r="AC454" s="1104"/>
      <c r="AD454" s="1106">
        <v>217</v>
      </c>
      <c r="AE454" s="1107">
        <v>0</v>
      </c>
    </row>
    <row r="455" spans="3:31" x14ac:dyDescent="0.4">
      <c r="C455" s="2835"/>
      <c r="D455" s="1105" t="s">
        <v>3306</v>
      </c>
      <c r="E455" s="1105" t="s">
        <v>2953</v>
      </c>
      <c r="F455" s="1106">
        <v>493052</v>
      </c>
      <c r="G455" s="1106">
        <v>1038399</v>
      </c>
      <c r="H455" s="1105" t="s">
        <v>533</v>
      </c>
      <c r="I455" s="1105" t="s">
        <v>818</v>
      </c>
      <c r="J455" s="1105" t="s">
        <v>2909</v>
      </c>
      <c r="K455" s="1101"/>
      <c r="L455" s="1105">
        <v>0</v>
      </c>
      <c r="M455" s="1105">
        <v>0</v>
      </c>
      <c r="N455" s="1105">
        <v>0</v>
      </c>
      <c r="O455" s="1105" t="s">
        <v>2903</v>
      </c>
      <c r="P455" s="1105" t="s">
        <v>2903</v>
      </c>
      <c r="Q455" s="1102"/>
      <c r="R455" s="1105" t="s">
        <v>2903</v>
      </c>
      <c r="S455" s="1107" t="s">
        <v>2903</v>
      </c>
      <c r="T455" s="1102"/>
      <c r="U455" s="1106" t="s">
        <v>2903</v>
      </c>
      <c r="V455" s="1107" t="s">
        <v>2903</v>
      </c>
      <c r="W455" s="1108"/>
      <c r="X455" s="1106" t="s">
        <v>2903</v>
      </c>
      <c r="Y455" s="1107" t="s">
        <v>2903</v>
      </c>
      <c r="Z455" s="1104"/>
      <c r="AA455" s="1106" t="s">
        <v>2903</v>
      </c>
      <c r="AB455" s="1107" t="s">
        <v>2903</v>
      </c>
      <c r="AC455" s="1104"/>
      <c r="AD455" s="1106" t="s">
        <v>2903</v>
      </c>
      <c r="AE455" s="1107" t="s">
        <v>2903</v>
      </c>
    </row>
    <row r="456" spans="3:31" x14ac:dyDescent="0.4">
      <c r="C456" s="2837" t="s">
        <v>2954</v>
      </c>
      <c r="D456" s="1114" t="s">
        <v>2955</v>
      </c>
      <c r="E456" s="1114" t="s">
        <v>2956</v>
      </c>
      <c r="F456" s="1115">
        <v>438645</v>
      </c>
      <c r="G456" s="1115">
        <v>1103798</v>
      </c>
      <c r="H456" s="1114" t="s">
        <v>329</v>
      </c>
      <c r="I456" s="1114" t="s">
        <v>773</v>
      </c>
      <c r="J456" s="1114" t="s">
        <v>773</v>
      </c>
      <c r="K456" s="1101"/>
      <c r="L456" s="1114">
        <v>5</v>
      </c>
      <c r="M456" s="1114">
        <v>5</v>
      </c>
      <c r="N456" s="1114">
        <v>0</v>
      </c>
      <c r="O456" s="1114">
        <v>100</v>
      </c>
      <c r="P456" s="1114">
        <v>1</v>
      </c>
      <c r="Q456" s="1102"/>
      <c r="R456" s="1115">
        <v>1.5229999999999999</v>
      </c>
      <c r="S456" s="1116">
        <v>1</v>
      </c>
      <c r="T456" s="1102"/>
      <c r="U456" s="1115">
        <v>105</v>
      </c>
      <c r="V456" s="1116">
        <v>1</v>
      </c>
      <c r="W456" s="1108"/>
      <c r="X456" s="1115">
        <v>0.03</v>
      </c>
      <c r="Y456" s="1116">
        <v>1</v>
      </c>
      <c r="Z456" s="1104"/>
      <c r="AA456" s="1115">
        <v>7.22</v>
      </c>
      <c r="AB456" s="1116">
        <v>1</v>
      </c>
      <c r="AC456" s="1104"/>
      <c r="AD456" s="1115">
        <v>5.5</v>
      </c>
      <c r="AE456" s="1116">
        <v>1</v>
      </c>
    </row>
    <row r="457" spans="3:31" x14ac:dyDescent="0.4">
      <c r="C457" s="2837"/>
      <c r="D457" s="1114" t="s">
        <v>2955</v>
      </c>
      <c r="E457" s="1114" t="s">
        <v>2957</v>
      </c>
      <c r="F457" s="1115">
        <v>433449</v>
      </c>
      <c r="G457" s="1115">
        <v>1101403</v>
      </c>
      <c r="H457" s="1114" t="s">
        <v>329</v>
      </c>
      <c r="I457" s="1114" t="s">
        <v>773</v>
      </c>
      <c r="J457" s="1114" t="s">
        <v>773</v>
      </c>
      <c r="K457" s="1101"/>
      <c r="L457" s="1114">
        <v>5</v>
      </c>
      <c r="M457" s="1114">
        <v>5</v>
      </c>
      <c r="N457" s="1114">
        <v>0</v>
      </c>
      <c r="O457" s="1114">
        <v>100</v>
      </c>
      <c r="P457" s="1114">
        <v>1</v>
      </c>
      <c r="Q457" s="1102"/>
      <c r="R457" s="1115">
        <v>1.3</v>
      </c>
      <c r="S457" s="1116">
        <v>1</v>
      </c>
      <c r="T457" s="1102"/>
      <c r="U457" s="1115">
        <v>113.2</v>
      </c>
      <c r="V457" s="1116">
        <v>1</v>
      </c>
      <c r="W457" s="1108"/>
      <c r="X457" s="1115">
        <v>0.03</v>
      </c>
      <c r="Y457" s="1116">
        <v>1</v>
      </c>
      <c r="Z457" s="1104"/>
      <c r="AA457" s="1115">
        <v>7.63</v>
      </c>
      <c r="AB457" s="1116">
        <v>1</v>
      </c>
      <c r="AC457" s="1104"/>
      <c r="AD457" s="1115">
        <v>5.5</v>
      </c>
      <c r="AE457" s="1116">
        <v>1</v>
      </c>
    </row>
    <row r="458" spans="3:31" x14ac:dyDescent="0.4">
      <c r="C458" s="2837"/>
      <c r="D458" s="1114" t="s">
        <v>2955</v>
      </c>
      <c r="E458" s="1114" t="s">
        <v>2958</v>
      </c>
      <c r="F458" s="1115">
        <v>427002</v>
      </c>
      <c r="G458" s="1115">
        <v>1096916</v>
      </c>
      <c r="H458" s="1114" t="s">
        <v>329</v>
      </c>
      <c r="I458" s="1114" t="s">
        <v>773</v>
      </c>
      <c r="J458" s="1114" t="s">
        <v>773</v>
      </c>
      <c r="K458" s="1101"/>
      <c r="L458" s="1114">
        <v>5</v>
      </c>
      <c r="M458" s="1114">
        <v>3</v>
      </c>
      <c r="N458" s="1114">
        <v>2</v>
      </c>
      <c r="O458" s="1114">
        <v>60</v>
      </c>
      <c r="P458" s="1114">
        <v>0</v>
      </c>
      <c r="Q458" s="1102"/>
      <c r="R458" s="1115">
        <v>6.81</v>
      </c>
      <c r="S458" s="1116">
        <v>0</v>
      </c>
      <c r="T458" s="1102"/>
      <c r="U458" s="1115">
        <v>90.1</v>
      </c>
      <c r="V458" s="1116">
        <v>1</v>
      </c>
      <c r="W458" s="1108"/>
      <c r="X458" s="1115">
        <v>0.03</v>
      </c>
      <c r="Y458" s="1116">
        <v>1</v>
      </c>
      <c r="Z458" s="1104"/>
      <c r="AA458" s="1115">
        <v>7.16</v>
      </c>
      <c r="AB458" s="1116">
        <v>1</v>
      </c>
      <c r="AC458" s="1104"/>
      <c r="AD458" s="1115">
        <v>88.1</v>
      </c>
      <c r="AE458" s="1116">
        <v>0</v>
      </c>
    </row>
    <row r="459" spans="3:31" x14ac:dyDescent="0.4">
      <c r="C459" s="2837"/>
      <c r="D459" s="1114" t="s">
        <v>2955</v>
      </c>
      <c r="E459" s="1114" t="s">
        <v>2959</v>
      </c>
      <c r="F459" s="1115">
        <v>426346</v>
      </c>
      <c r="G459" s="1115">
        <v>1096040</v>
      </c>
      <c r="H459" s="1114" t="s">
        <v>533</v>
      </c>
      <c r="I459" s="1114" t="s">
        <v>814</v>
      </c>
      <c r="J459" s="1114" t="s">
        <v>2960</v>
      </c>
      <c r="K459" s="1101"/>
      <c r="L459" s="1114">
        <v>5</v>
      </c>
      <c r="M459" s="1114">
        <v>5</v>
      </c>
      <c r="N459" s="1114">
        <v>0</v>
      </c>
      <c r="O459" s="1114">
        <v>100</v>
      </c>
      <c r="P459" s="1114">
        <v>1</v>
      </c>
      <c r="Q459" s="1102"/>
      <c r="R459" s="1115">
        <v>1.756</v>
      </c>
      <c r="S459" s="1116">
        <v>1</v>
      </c>
      <c r="T459" s="1102"/>
      <c r="U459" s="1115">
        <v>103.3</v>
      </c>
      <c r="V459" s="1116">
        <v>1</v>
      </c>
      <c r="W459" s="1108"/>
      <c r="X459" s="1115">
        <v>0.03</v>
      </c>
      <c r="Y459" s="1116">
        <v>1</v>
      </c>
      <c r="Z459" s="1104"/>
      <c r="AA459" s="1115">
        <v>7.55</v>
      </c>
      <c r="AB459" s="1116">
        <v>1</v>
      </c>
      <c r="AC459" s="1104"/>
      <c r="AD459" s="1115">
        <v>5.5</v>
      </c>
      <c r="AE459" s="1116">
        <v>1</v>
      </c>
    </row>
    <row r="460" spans="3:31" x14ac:dyDescent="0.4">
      <c r="C460" s="2837"/>
      <c r="D460" s="1114" t="s">
        <v>2961</v>
      </c>
      <c r="E460" s="1114" t="s">
        <v>2962</v>
      </c>
      <c r="F460" s="1115">
        <v>442899</v>
      </c>
      <c r="G460" s="1115">
        <v>1097938</v>
      </c>
      <c r="H460" s="1114" t="s">
        <v>329</v>
      </c>
      <c r="I460" s="1114" t="s">
        <v>773</v>
      </c>
      <c r="J460" s="1114" t="s">
        <v>2954</v>
      </c>
      <c r="K460" s="1101"/>
      <c r="L460" s="1114">
        <v>5</v>
      </c>
      <c r="M460" s="1114">
        <v>4</v>
      </c>
      <c r="N460" s="1114">
        <v>1</v>
      </c>
      <c r="O460" s="1114">
        <v>80</v>
      </c>
      <c r="P460" s="1114">
        <v>1</v>
      </c>
      <c r="Q460" s="1102"/>
      <c r="R460" s="1115">
        <v>1.3</v>
      </c>
      <c r="S460" s="1116">
        <v>1</v>
      </c>
      <c r="T460" s="1102"/>
      <c r="U460" s="1115">
        <v>111.8</v>
      </c>
      <c r="V460" s="1116">
        <v>1</v>
      </c>
      <c r="W460" s="1108"/>
      <c r="X460" s="1115">
        <v>0.03</v>
      </c>
      <c r="Y460" s="1116">
        <v>1</v>
      </c>
      <c r="Z460" s="1104"/>
      <c r="AA460" s="1115">
        <v>8.49</v>
      </c>
      <c r="AB460" s="1116">
        <v>1</v>
      </c>
      <c r="AC460" s="1104"/>
      <c r="AD460" s="1115">
        <v>168.6</v>
      </c>
      <c r="AE460" s="1116">
        <v>0</v>
      </c>
    </row>
    <row r="461" spans="3:31" x14ac:dyDescent="0.4">
      <c r="C461" s="2837"/>
      <c r="D461" s="1114" t="s">
        <v>2955</v>
      </c>
      <c r="E461" s="1114" t="s">
        <v>2963</v>
      </c>
      <c r="F461" s="1115">
        <v>424452</v>
      </c>
      <c r="G461" s="1115">
        <v>1095218</v>
      </c>
      <c r="H461" s="1114" t="s">
        <v>329</v>
      </c>
      <c r="I461" s="1114" t="s">
        <v>778</v>
      </c>
      <c r="J461" s="1114" t="s">
        <v>2964</v>
      </c>
      <c r="K461" s="1101"/>
      <c r="L461" s="1114">
        <v>0</v>
      </c>
      <c r="M461" s="1114">
        <v>0</v>
      </c>
      <c r="N461" s="1114">
        <v>0</v>
      </c>
      <c r="O461" s="1114" t="s">
        <v>2903</v>
      </c>
      <c r="P461" s="1114" t="s">
        <v>2903</v>
      </c>
      <c r="Q461" s="1102"/>
      <c r="R461" s="1115" t="s">
        <v>2903</v>
      </c>
      <c r="S461" s="1116" t="s">
        <v>2903</v>
      </c>
      <c r="T461" s="1102"/>
      <c r="U461" s="1115" t="s">
        <v>2903</v>
      </c>
      <c r="V461" s="1116" t="s">
        <v>2903</v>
      </c>
      <c r="W461" s="1108"/>
      <c r="X461" s="1115" t="s">
        <v>2903</v>
      </c>
      <c r="Y461" s="1116" t="s">
        <v>2903</v>
      </c>
      <c r="Z461" s="1104"/>
      <c r="AA461" s="1115" t="s">
        <v>2903</v>
      </c>
      <c r="AB461" s="1116" t="s">
        <v>2903</v>
      </c>
      <c r="AC461" s="1104"/>
      <c r="AD461" s="1115" t="s">
        <v>2903</v>
      </c>
      <c r="AE461" s="1116" t="s">
        <v>2903</v>
      </c>
    </row>
    <row r="462" spans="3:31" x14ac:dyDescent="0.4">
      <c r="C462" s="2837"/>
      <c r="D462" s="1114" t="s">
        <v>2955</v>
      </c>
      <c r="E462" s="1114" t="s">
        <v>2965</v>
      </c>
      <c r="F462" s="1115">
        <v>424914</v>
      </c>
      <c r="G462" s="1115">
        <v>1093895</v>
      </c>
      <c r="H462" s="1114" t="s">
        <v>329</v>
      </c>
      <c r="I462" s="1114" t="s">
        <v>778</v>
      </c>
      <c r="J462" s="1114" t="s">
        <v>2964</v>
      </c>
      <c r="K462" s="1101"/>
      <c r="L462" s="1114">
        <v>5</v>
      </c>
      <c r="M462" s="1114">
        <v>4</v>
      </c>
      <c r="N462" s="1114">
        <v>1</v>
      </c>
      <c r="O462" s="1114">
        <v>80</v>
      </c>
      <c r="P462" s="1114">
        <v>1</v>
      </c>
      <c r="Q462" s="1102"/>
      <c r="R462" s="1115">
        <v>2.06</v>
      </c>
      <c r="S462" s="1116">
        <v>1</v>
      </c>
      <c r="T462" s="1102"/>
      <c r="U462" s="1115">
        <v>97.6</v>
      </c>
      <c r="V462" s="1116">
        <v>1</v>
      </c>
      <c r="W462" s="1108"/>
      <c r="X462" s="1115">
        <v>0.03</v>
      </c>
      <c r="Y462" s="1116">
        <v>1</v>
      </c>
      <c r="Z462" s="1104"/>
      <c r="AA462" s="1115">
        <v>7.77</v>
      </c>
      <c r="AB462" s="1116">
        <v>1</v>
      </c>
      <c r="AC462" s="1104"/>
      <c r="AD462" s="1115">
        <v>177.6</v>
      </c>
      <c r="AE462" s="1116">
        <v>0</v>
      </c>
    </row>
    <row r="463" spans="3:31" x14ac:dyDescent="0.4">
      <c r="C463" s="2835" t="s">
        <v>2966</v>
      </c>
      <c r="D463" s="1105" t="s">
        <v>2967</v>
      </c>
      <c r="E463" s="1105" t="s">
        <v>2968</v>
      </c>
      <c r="F463" s="1106">
        <v>523586</v>
      </c>
      <c r="G463" s="1106">
        <v>1024342</v>
      </c>
      <c r="H463" s="1105" t="s">
        <v>328</v>
      </c>
      <c r="I463" s="1105" t="s">
        <v>769</v>
      </c>
      <c r="J463" s="1105" t="s">
        <v>2966</v>
      </c>
      <c r="K463" s="1101"/>
      <c r="L463" s="1105">
        <v>5</v>
      </c>
      <c r="M463" s="1105">
        <v>4</v>
      </c>
      <c r="N463" s="1105">
        <v>1</v>
      </c>
      <c r="O463" s="1105">
        <v>80</v>
      </c>
      <c r="P463" s="1105">
        <v>1</v>
      </c>
      <c r="Q463" s="1102"/>
      <c r="R463" s="1106">
        <v>1.3</v>
      </c>
      <c r="S463" s="1107">
        <v>1</v>
      </c>
      <c r="T463" s="1102"/>
      <c r="U463" s="1106">
        <v>93.9</v>
      </c>
      <c r="V463" s="1107">
        <v>1</v>
      </c>
      <c r="W463" s="1108"/>
      <c r="X463" s="1106">
        <v>5.1999999999999998E-2</v>
      </c>
      <c r="Y463" s="1107">
        <v>1</v>
      </c>
      <c r="Z463" s="1104"/>
      <c r="AA463" s="1106">
        <v>7.88</v>
      </c>
      <c r="AB463" s="1107">
        <v>1</v>
      </c>
      <c r="AC463" s="1104"/>
      <c r="AD463" s="1106">
        <v>26.2</v>
      </c>
      <c r="AE463" s="1107">
        <v>0</v>
      </c>
    </row>
    <row r="464" spans="3:31" x14ac:dyDescent="0.4">
      <c r="C464" s="2835"/>
      <c r="D464" s="1105" t="s">
        <v>2969</v>
      </c>
      <c r="E464" s="1105" t="s">
        <v>2970</v>
      </c>
      <c r="F464" s="1106">
        <v>519598</v>
      </c>
      <c r="G464" s="1106">
        <v>1024524</v>
      </c>
      <c r="H464" s="1105" t="s">
        <v>328</v>
      </c>
      <c r="I464" s="1105" t="s">
        <v>769</v>
      </c>
      <c r="J464" s="1105" t="s">
        <v>2966</v>
      </c>
      <c r="K464" s="1101"/>
      <c r="L464" s="1105">
        <v>5</v>
      </c>
      <c r="M464" s="1105">
        <v>5</v>
      </c>
      <c r="N464" s="1105">
        <v>0</v>
      </c>
      <c r="O464" s="1105">
        <v>100</v>
      </c>
      <c r="P464" s="1105">
        <v>1</v>
      </c>
      <c r="Q464" s="1102"/>
      <c r="R464" s="1106">
        <v>1.3</v>
      </c>
      <c r="S464" s="1107">
        <v>1</v>
      </c>
      <c r="T464" s="1102"/>
      <c r="U464" s="1106">
        <v>96.1</v>
      </c>
      <c r="V464" s="1107">
        <v>1</v>
      </c>
      <c r="W464" s="1108"/>
      <c r="X464" s="1106">
        <v>0.03</v>
      </c>
      <c r="Y464" s="1107">
        <v>1</v>
      </c>
      <c r="Z464" s="1104"/>
      <c r="AA464" s="1106">
        <v>7.88</v>
      </c>
      <c r="AB464" s="1107">
        <v>1</v>
      </c>
      <c r="AC464" s="1104"/>
      <c r="AD464" s="1106">
        <v>5.7</v>
      </c>
      <c r="AE464" s="1107">
        <v>1</v>
      </c>
    </row>
    <row r="465" spans="3:31" x14ac:dyDescent="0.4">
      <c r="C465" s="2835"/>
      <c r="D465" s="1105" t="s">
        <v>2969</v>
      </c>
      <c r="E465" s="1105" t="s">
        <v>2971</v>
      </c>
      <c r="F465" s="1106">
        <v>515570</v>
      </c>
      <c r="G465" s="1106">
        <v>1025242</v>
      </c>
      <c r="H465" s="1105" t="s">
        <v>533</v>
      </c>
      <c r="I465" s="1105" t="s">
        <v>817</v>
      </c>
      <c r="J465" s="1105" t="s">
        <v>2972</v>
      </c>
      <c r="K465" s="1101"/>
      <c r="L465" s="1105">
        <v>5</v>
      </c>
      <c r="M465" s="1105">
        <v>4</v>
      </c>
      <c r="N465" s="1105">
        <v>1</v>
      </c>
      <c r="O465" s="1105">
        <v>80</v>
      </c>
      <c r="P465" s="1105">
        <v>1</v>
      </c>
      <c r="Q465" s="1102"/>
      <c r="R465" s="1106">
        <v>1.3</v>
      </c>
      <c r="S465" s="1107">
        <v>1</v>
      </c>
      <c r="T465" s="1102"/>
      <c r="U465" s="1106">
        <v>68.7</v>
      </c>
      <c r="V465" s="1107">
        <v>0</v>
      </c>
      <c r="W465" s="1108"/>
      <c r="X465" s="1106">
        <v>0.03</v>
      </c>
      <c r="Y465" s="1107">
        <v>1</v>
      </c>
      <c r="Z465" s="1104"/>
      <c r="AA465" s="1106">
        <v>6.89</v>
      </c>
      <c r="AB465" s="1107">
        <v>1</v>
      </c>
      <c r="AC465" s="1104"/>
      <c r="AD465" s="1106">
        <v>5.5</v>
      </c>
      <c r="AE465" s="1107">
        <v>1</v>
      </c>
    </row>
    <row r="466" spans="3:31" x14ac:dyDescent="0.4">
      <c r="C466" s="2838" t="s">
        <v>821</v>
      </c>
      <c r="D466" s="1099" t="s">
        <v>2973</v>
      </c>
      <c r="E466" s="1099" t="s">
        <v>2974</v>
      </c>
      <c r="F466" s="1100">
        <v>507465</v>
      </c>
      <c r="G466" s="1100">
        <v>1066603</v>
      </c>
      <c r="H466" s="1099" t="s">
        <v>328</v>
      </c>
      <c r="I466" s="1099" t="s">
        <v>767</v>
      </c>
      <c r="J466" s="1099" t="s">
        <v>2975</v>
      </c>
      <c r="K466" s="1101"/>
      <c r="L466" s="1099">
        <v>5</v>
      </c>
      <c r="M466" s="1099">
        <v>4</v>
      </c>
      <c r="N466" s="1099">
        <v>1</v>
      </c>
      <c r="O466" s="1099">
        <v>80</v>
      </c>
      <c r="P466" s="1099">
        <v>1</v>
      </c>
      <c r="Q466" s="1102"/>
      <c r="R466" s="1100">
        <v>3</v>
      </c>
      <c r="S466" s="1103">
        <v>1</v>
      </c>
      <c r="T466" s="1102"/>
      <c r="U466" s="1100">
        <v>114.7</v>
      </c>
      <c r="V466" s="1103">
        <v>1</v>
      </c>
      <c r="W466" s="1108"/>
      <c r="X466" s="1100">
        <v>0.5</v>
      </c>
      <c r="Y466" s="1103">
        <v>1</v>
      </c>
      <c r="Z466" s="1104"/>
      <c r="AA466" s="1100">
        <v>7.78</v>
      </c>
      <c r="AB466" s="1103">
        <v>1</v>
      </c>
      <c r="AC466" s="1104"/>
      <c r="AD466" s="1100">
        <v>50</v>
      </c>
      <c r="AE466" s="1103">
        <v>0</v>
      </c>
    </row>
    <row r="467" spans="3:31" x14ac:dyDescent="0.4">
      <c r="C467" s="2838"/>
      <c r="D467" s="1099" t="s">
        <v>2973</v>
      </c>
      <c r="E467" s="1099" t="s">
        <v>2976</v>
      </c>
      <c r="F467" s="1100">
        <v>494664</v>
      </c>
      <c r="G467" s="1100">
        <v>1067818</v>
      </c>
      <c r="H467" s="1099" t="s">
        <v>328</v>
      </c>
      <c r="I467" s="1099" t="s">
        <v>755</v>
      </c>
      <c r="J467" s="1099" t="s">
        <v>2977</v>
      </c>
      <c r="K467" s="1101"/>
      <c r="L467" s="1099">
        <v>5</v>
      </c>
      <c r="M467" s="1099">
        <v>5</v>
      </c>
      <c r="N467" s="1099">
        <v>0</v>
      </c>
      <c r="O467" s="1099">
        <v>100</v>
      </c>
      <c r="P467" s="1099">
        <v>1</v>
      </c>
      <c r="Q467" s="1102"/>
      <c r="R467" s="1100">
        <v>3</v>
      </c>
      <c r="S467" s="1103">
        <v>1</v>
      </c>
      <c r="T467" s="1102"/>
      <c r="U467" s="1100">
        <v>104.17</v>
      </c>
      <c r="V467" s="1103">
        <v>1</v>
      </c>
      <c r="W467" s="1108"/>
      <c r="X467" s="1100">
        <v>0.5</v>
      </c>
      <c r="Y467" s="1103">
        <v>1</v>
      </c>
      <c r="Z467" s="1104"/>
      <c r="AA467" s="1100">
        <v>7.88</v>
      </c>
      <c r="AB467" s="1103">
        <v>1</v>
      </c>
      <c r="AC467" s="1104"/>
      <c r="AD467" s="1100">
        <v>10</v>
      </c>
      <c r="AE467" s="1103">
        <v>1</v>
      </c>
    </row>
    <row r="468" spans="3:31" x14ac:dyDescent="0.4">
      <c r="C468" s="2838"/>
      <c r="D468" s="1099" t="s">
        <v>2973</v>
      </c>
      <c r="E468" s="1099" t="s">
        <v>2978</v>
      </c>
      <c r="F468" s="1100">
        <v>470906</v>
      </c>
      <c r="G468" s="1100">
        <v>1067483</v>
      </c>
      <c r="H468" s="1099" t="s">
        <v>328</v>
      </c>
      <c r="I468" s="1099" t="s">
        <v>762</v>
      </c>
      <c r="J468" s="1099" t="s">
        <v>2979</v>
      </c>
      <c r="K468" s="1101"/>
      <c r="L468" s="1099">
        <v>5</v>
      </c>
      <c r="M468" s="1099">
        <v>5</v>
      </c>
      <c r="N468" s="1099">
        <v>0</v>
      </c>
      <c r="O468" s="1099">
        <v>100</v>
      </c>
      <c r="P468" s="1099">
        <v>1</v>
      </c>
      <c r="Q468" s="1102"/>
      <c r="R468" s="1100">
        <v>3</v>
      </c>
      <c r="S468" s="1103">
        <v>1</v>
      </c>
      <c r="T468" s="1102"/>
      <c r="U468" s="1100">
        <v>86.04</v>
      </c>
      <c r="V468" s="1103">
        <v>1</v>
      </c>
      <c r="W468" s="1108"/>
      <c r="X468" s="1100">
        <v>0.5</v>
      </c>
      <c r="Y468" s="1103">
        <v>1</v>
      </c>
      <c r="Z468" s="1104"/>
      <c r="AA468" s="1100">
        <v>8.06</v>
      </c>
      <c r="AB468" s="1103">
        <v>1</v>
      </c>
      <c r="AC468" s="1104"/>
      <c r="AD468" s="1100">
        <v>20</v>
      </c>
      <c r="AE468" s="1103">
        <v>1</v>
      </c>
    </row>
    <row r="469" spans="3:31" x14ac:dyDescent="0.4">
      <c r="C469" s="2838"/>
      <c r="D469" s="1099" t="s">
        <v>2980</v>
      </c>
      <c r="E469" s="1099" t="s">
        <v>2981</v>
      </c>
      <c r="F469" s="1100">
        <v>479275</v>
      </c>
      <c r="G469" s="1100">
        <v>1081225</v>
      </c>
      <c r="H469" s="1099" t="s">
        <v>328</v>
      </c>
      <c r="I469" s="1099" t="s">
        <v>762</v>
      </c>
      <c r="J469" s="1099" t="s">
        <v>2982</v>
      </c>
      <c r="K469" s="1101"/>
      <c r="L469" s="1099">
        <v>5</v>
      </c>
      <c r="M469" s="1099">
        <v>4</v>
      </c>
      <c r="N469" s="1099">
        <v>1</v>
      </c>
      <c r="O469" s="1099">
        <v>80</v>
      </c>
      <c r="P469" s="1099">
        <v>1</v>
      </c>
      <c r="Q469" s="1102"/>
      <c r="R469" s="1100">
        <v>3</v>
      </c>
      <c r="S469" s="1103">
        <v>1</v>
      </c>
      <c r="T469" s="1102"/>
      <c r="U469" s="1100">
        <v>93.99</v>
      </c>
      <c r="V469" s="1103">
        <v>1</v>
      </c>
      <c r="W469" s="1108"/>
      <c r="X469" s="1100">
        <v>0.5</v>
      </c>
      <c r="Y469" s="1103">
        <v>1</v>
      </c>
      <c r="Z469" s="1104"/>
      <c r="AA469" s="1100">
        <v>8.2799999999999994</v>
      </c>
      <c r="AB469" s="1103">
        <v>1</v>
      </c>
      <c r="AC469" s="1104"/>
      <c r="AD469" s="1100">
        <v>30</v>
      </c>
      <c r="AE469" s="1103">
        <v>0</v>
      </c>
    </row>
    <row r="470" spans="3:31" x14ac:dyDescent="0.4">
      <c r="C470" s="2838"/>
      <c r="D470" s="1099" t="s">
        <v>2980</v>
      </c>
      <c r="E470" s="1099" t="s">
        <v>2983</v>
      </c>
      <c r="F470" s="1100">
        <v>464126</v>
      </c>
      <c r="G470" s="1100">
        <v>1080033</v>
      </c>
      <c r="H470" s="1099" t="s">
        <v>328</v>
      </c>
      <c r="I470" s="1099" t="s">
        <v>762</v>
      </c>
      <c r="J470" s="1099" t="s">
        <v>2979</v>
      </c>
      <c r="K470" s="1101"/>
      <c r="L470" s="1099">
        <v>0</v>
      </c>
      <c r="M470" s="1099">
        <v>0</v>
      </c>
      <c r="N470" s="1099">
        <v>0</v>
      </c>
      <c r="O470" s="1099" t="s">
        <v>2903</v>
      </c>
      <c r="P470" s="1099" t="s">
        <v>2903</v>
      </c>
      <c r="Q470" s="1102"/>
      <c r="R470" s="1100" t="s">
        <v>2903</v>
      </c>
      <c r="S470" s="1103" t="s">
        <v>2903</v>
      </c>
      <c r="T470" s="1102"/>
      <c r="U470" s="1100" t="s">
        <v>2903</v>
      </c>
      <c r="V470" s="1103" t="s">
        <v>2903</v>
      </c>
      <c r="W470" s="1108"/>
      <c r="X470" s="1100" t="s">
        <v>2903</v>
      </c>
      <c r="Y470" s="1103" t="s">
        <v>2903</v>
      </c>
      <c r="Z470" s="1104"/>
      <c r="AA470" s="1100" t="s">
        <v>2903</v>
      </c>
      <c r="AB470" s="1103" t="s">
        <v>2903</v>
      </c>
      <c r="AC470" s="1104"/>
      <c r="AD470" s="1100" t="s">
        <v>2903</v>
      </c>
      <c r="AE470" s="1103" t="s">
        <v>2903</v>
      </c>
    </row>
    <row r="471" spans="3:31" x14ac:dyDescent="0.4">
      <c r="C471" s="2833" t="s">
        <v>2984</v>
      </c>
      <c r="D471" s="1117" t="s">
        <v>2985</v>
      </c>
      <c r="E471" s="1117" t="s">
        <v>2986</v>
      </c>
      <c r="F471" s="1118">
        <v>521484</v>
      </c>
      <c r="G471" s="1118">
        <v>1056755</v>
      </c>
      <c r="H471" s="1117" t="s">
        <v>328</v>
      </c>
      <c r="I471" s="1117" t="s">
        <v>767</v>
      </c>
      <c r="J471" s="1117" t="s">
        <v>2987</v>
      </c>
      <c r="K471" s="1111"/>
      <c r="L471" s="1117">
        <v>5</v>
      </c>
      <c r="M471" s="1117">
        <v>4</v>
      </c>
      <c r="N471" s="1117">
        <v>1</v>
      </c>
      <c r="O471" s="1119">
        <v>80</v>
      </c>
      <c r="P471" s="1119">
        <v>1</v>
      </c>
      <c r="Q471" s="1112"/>
      <c r="R471" s="1118">
        <v>6.7</v>
      </c>
      <c r="S471" s="1120">
        <v>0</v>
      </c>
      <c r="T471" s="1112"/>
      <c r="U471" s="1118">
        <v>87.7</v>
      </c>
      <c r="V471" s="1120">
        <v>1</v>
      </c>
      <c r="W471" s="1108"/>
      <c r="X471" s="1118">
        <v>9.9322222222222228E-2</v>
      </c>
      <c r="Y471" s="1120">
        <v>1</v>
      </c>
      <c r="Z471" s="1108"/>
      <c r="AA471" s="1118">
        <v>8.49</v>
      </c>
      <c r="AB471" s="1120">
        <v>1</v>
      </c>
      <c r="AC471" s="1104"/>
      <c r="AD471" s="1118">
        <v>3.4</v>
      </c>
      <c r="AE471" s="1120">
        <v>1</v>
      </c>
    </row>
    <row r="472" spans="3:31" x14ac:dyDescent="0.4">
      <c r="C472" s="2833"/>
      <c r="D472" s="1117" t="s">
        <v>2985</v>
      </c>
      <c r="E472" s="1117" t="s">
        <v>2988</v>
      </c>
      <c r="F472" s="1118">
        <v>520293</v>
      </c>
      <c r="G472" s="1118">
        <v>1055374</v>
      </c>
      <c r="H472" s="1117" t="s">
        <v>328</v>
      </c>
      <c r="I472" s="1117" t="s">
        <v>767</v>
      </c>
      <c r="J472" s="1117" t="s">
        <v>2987</v>
      </c>
      <c r="K472" s="1111"/>
      <c r="L472" s="1117">
        <v>5</v>
      </c>
      <c r="M472" s="1117">
        <v>4</v>
      </c>
      <c r="N472" s="1117">
        <v>1</v>
      </c>
      <c r="O472" s="1119">
        <v>80</v>
      </c>
      <c r="P472" s="1119">
        <v>1</v>
      </c>
      <c r="Q472" s="1112"/>
      <c r="R472" s="1118">
        <v>6.6</v>
      </c>
      <c r="S472" s="1120">
        <v>0</v>
      </c>
      <c r="T472" s="1112"/>
      <c r="U472" s="1118">
        <v>85.1</v>
      </c>
      <c r="V472" s="1120">
        <v>1</v>
      </c>
      <c r="W472" s="1108"/>
      <c r="X472" s="1118">
        <v>0.20790000000000003</v>
      </c>
      <c r="Y472" s="1120">
        <v>1</v>
      </c>
      <c r="Z472" s="1108"/>
      <c r="AA472" s="1118">
        <v>8.32</v>
      </c>
      <c r="AB472" s="1120">
        <v>1</v>
      </c>
      <c r="AC472" s="1104"/>
      <c r="AD472" s="1118">
        <v>8.6</v>
      </c>
      <c r="AE472" s="1120">
        <v>1</v>
      </c>
    </row>
    <row r="473" spans="3:31" x14ac:dyDescent="0.4">
      <c r="C473" s="2833"/>
      <c r="D473" s="1117" t="s">
        <v>2985</v>
      </c>
      <c r="E473" s="1117" t="s">
        <v>2989</v>
      </c>
      <c r="F473" s="1118">
        <v>504072</v>
      </c>
      <c r="G473" s="1118">
        <v>1043116</v>
      </c>
      <c r="H473" s="1117" t="s">
        <v>533</v>
      </c>
      <c r="I473" s="1117" t="s">
        <v>818</v>
      </c>
      <c r="J473" s="1117" t="s">
        <v>2984</v>
      </c>
      <c r="K473" s="1111"/>
      <c r="L473" s="1117">
        <v>5</v>
      </c>
      <c r="M473" s="1117">
        <v>5</v>
      </c>
      <c r="N473" s="1117">
        <v>0</v>
      </c>
      <c r="O473" s="1119">
        <v>100</v>
      </c>
      <c r="P473" s="1119">
        <v>1</v>
      </c>
      <c r="Q473" s="1112"/>
      <c r="R473" s="1118">
        <v>5.9</v>
      </c>
      <c r="S473" s="1120">
        <v>1</v>
      </c>
      <c r="T473" s="1112"/>
      <c r="U473" s="1118">
        <v>87.3</v>
      </c>
      <c r="V473" s="1120">
        <v>1</v>
      </c>
      <c r="W473" s="1108"/>
      <c r="X473" s="1118">
        <v>7.6999999999999999E-2</v>
      </c>
      <c r="Y473" s="1120">
        <v>1</v>
      </c>
      <c r="Z473" s="1108"/>
      <c r="AA473" s="1118">
        <v>8.15</v>
      </c>
      <c r="AB473" s="1120">
        <v>1</v>
      </c>
      <c r="AC473" s="1104"/>
      <c r="AD473" s="1118">
        <v>3.4</v>
      </c>
      <c r="AE473" s="1120">
        <v>1</v>
      </c>
    </row>
    <row r="474" spans="3:31" x14ac:dyDescent="0.4">
      <c r="C474" s="2833"/>
      <c r="D474" s="1117" t="s">
        <v>2985</v>
      </c>
      <c r="E474" s="1117" t="s">
        <v>2990</v>
      </c>
      <c r="F474" s="1118">
        <v>495894</v>
      </c>
      <c r="G474" s="1118">
        <v>1037499</v>
      </c>
      <c r="H474" s="1117" t="s">
        <v>533</v>
      </c>
      <c r="I474" s="1117" t="s">
        <v>818</v>
      </c>
      <c r="J474" s="1117" t="s">
        <v>2984</v>
      </c>
      <c r="K474" s="1111"/>
      <c r="L474" s="1117">
        <v>5</v>
      </c>
      <c r="M474" s="1117">
        <v>5</v>
      </c>
      <c r="N474" s="1117">
        <v>0</v>
      </c>
      <c r="O474" s="1119">
        <v>100</v>
      </c>
      <c r="P474" s="1119">
        <v>1</v>
      </c>
      <c r="Q474" s="1112"/>
      <c r="R474" s="1118">
        <v>5.8</v>
      </c>
      <c r="S474" s="1120">
        <v>1</v>
      </c>
      <c r="T474" s="1112"/>
      <c r="U474" s="1118">
        <v>95.5</v>
      </c>
      <c r="V474" s="1120">
        <v>1</v>
      </c>
      <c r="W474" s="1108"/>
      <c r="X474" s="1118">
        <v>0.12755555555555556</v>
      </c>
      <c r="Y474" s="1120">
        <v>1</v>
      </c>
      <c r="Z474" s="1108"/>
      <c r="AA474" s="1118">
        <v>7.85</v>
      </c>
      <c r="AB474" s="1120">
        <v>1</v>
      </c>
      <c r="AC474" s="1104"/>
      <c r="AD474" s="1118">
        <v>3.4</v>
      </c>
      <c r="AE474" s="1120">
        <v>1</v>
      </c>
    </row>
    <row r="475" spans="3:31" x14ac:dyDescent="0.4">
      <c r="C475" s="2833"/>
      <c r="D475" s="1117" t="s">
        <v>2991</v>
      </c>
      <c r="E475" s="1117" t="s">
        <v>2992</v>
      </c>
      <c r="F475" s="1118">
        <v>526378</v>
      </c>
      <c r="G475" s="1118">
        <v>1049217</v>
      </c>
      <c r="H475" s="1117" t="s">
        <v>328</v>
      </c>
      <c r="I475" s="1117" t="s">
        <v>2993</v>
      </c>
      <c r="J475" s="1117" t="s">
        <v>2994</v>
      </c>
      <c r="K475" s="1111"/>
      <c r="L475" s="1117">
        <v>5</v>
      </c>
      <c r="M475" s="1117">
        <v>3</v>
      </c>
      <c r="N475" s="1117">
        <v>2</v>
      </c>
      <c r="O475" s="1119">
        <v>60</v>
      </c>
      <c r="P475" s="1119">
        <v>0</v>
      </c>
      <c r="Q475" s="1112"/>
      <c r="R475" s="1118">
        <v>7.4</v>
      </c>
      <c r="S475" s="1120">
        <v>0</v>
      </c>
      <c r="T475" s="1112"/>
      <c r="U475" s="1118">
        <v>85.3</v>
      </c>
      <c r="V475" s="1120">
        <v>1</v>
      </c>
      <c r="W475" s="1108"/>
      <c r="X475" s="1118">
        <v>0.15407777777777779</v>
      </c>
      <c r="Y475" s="1120">
        <v>1</v>
      </c>
      <c r="Z475" s="1108"/>
      <c r="AA475" s="1118">
        <v>8.07</v>
      </c>
      <c r="AB475" s="1120">
        <v>1</v>
      </c>
      <c r="AC475" s="1104"/>
      <c r="AD475" s="1118">
        <v>39.6</v>
      </c>
      <c r="AE475" s="1120">
        <v>0</v>
      </c>
    </row>
    <row r="476" spans="3:31" x14ac:dyDescent="0.4">
      <c r="C476" s="2833"/>
      <c r="D476" s="1121" t="s">
        <v>2985</v>
      </c>
      <c r="E476" s="1121" t="s">
        <v>2995</v>
      </c>
      <c r="F476" s="1122">
        <v>495005</v>
      </c>
      <c r="G476" s="1122">
        <v>1041790</v>
      </c>
      <c r="H476" s="1121" t="s">
        <v>533</v>
      </c>
      <c r="I476" s="1121" t="s">
        <v>818</v>
      </c>
      <c r="J476" s="1121" t="s">
        <v>2909</v>
      </c>
      <c r="K476" s="1101"/>
      <c r="L476" s="1121">
        <v>0</v>
      </c>
      <c r="M476" s="1121">
        <v>0</v>
      </c>
      <c r="N476" s="1121">
        <v>0</v>
      </c>
      <c r="O476" s="1123" t="s">
        <v>2903</v>
      </c>
      <c r="P476" s="1123" t="s">
        <v>2903</v>
      </c>
      <c r="Q476" s="1102"/>
      <c r="R476" s="1122" t="s">
        <v>2903</v>
      </c>
      <c r="S476" s="1124" t="s">
        <v>2903</v>
      </c>
      <c r="T476" s="1102"/>
      <c r="U476" s="1122" t="s">
        <v>2903</v>
      </c>
      <c r="V476" s="1124" t="s">
        <v>2903</v>
      </c>
      <c r="W476" s="1104"/>
      <c r="X476" s="1122" t="s">
        <v>2903</v>
      </c>
      <c r="Y476" s="1124" t="s">
        <v>2903</v>
      </c>
      <c r="Z476" s="1104"/>
      <c r="AA476" s="1122" t="s">
        <v>2903</v>
      </c>
      <c r="AB476" s="1124" t="s">
        <v>2903</v>
      </c>
      <c r="AC476" s="1104"/>
      <c r="AD476" s="1122" t="s">
        <v>2903</v>
      </c>
      <c r="AE476" s="1124" t="s">
        <v>2903</v>
      </c>
    </row>
    <row r="477" spans="3:31" x14ac:dyDescent="0.4">
      <c r="C477" s="2832" t="s">
        <v>2996</v>
      </c>
      <c r="D477" s="1125" t="s">
        <v>2997</v>
      </c>
      <c r="E477" s="1126" t="s">
        <v>2998</v>
      </c>
      <c r="F477" s="1127">
        <v>506672</v>
      </c>
      <c r="G477" s="1127">
        <v>1092705</v>
      </c>
      <c r="H477" s="1125" t="s">
        <v>330</v>
      </c>
      <c r="I477" s="1126" t="s">
        <v>330</v>
      </c>
      <c r="J477" s="1126" t="s">
        <v>2999</v>
      </c>
      <c r="K477" s="1128"/>
      <c r="L477" s="1126">
        <v>5</v>
      </c>
      <c r="M477" s="1126">
        <v>3</v>
      </c>
      <c r="N477" s="1126">
        <v>2</v>
      </c>
      <c r="O477" s="1129">
        <v>60</v>
      </c>
      <c r="P477" s="1126">
        <v>0</v>
      </c>
      <c r="Q477" s="1130"/>
      <c r="R477" s="1127">
        <v>12</v>
      </c>
      <c r="S477" s="1131">
        <v>0</v>
      </c>
      <c r="T477" s="1132"/>
      <c r="U477" s="1127">
        <v>79.61</v>
      </c>
      <c r="V477" s="1131">
        <v>1</v>
      </c>
      <c r="W477" s="1133"/>
      <c r="X477" s="1127">
        <v>1.9</v>
      </c>
      <c r="Y477" s="1131">
        <v>0</v>
      </c>
      <c r="Z477" s="1133"/>
      <c r="AA477" s="1127">
        <v>8.1999999999999993</v>
      </c>
      <c r="AB477" s="1131">
        <v>1</v>
      </c>
      <c r="AC477" s="1133"/>
      <c r="AD477" s="1127">
        <v>24</v>
      </c>
      <c r="AE477" s="1131">
        <v>1</v>
      </c>
    </row>
    <row r="478" spans="3:31" x14ac:dyDescent="0.4">
      <c r="C478" s="2823"/>
      <c r="D478" s="1125" t="s">
        <v>3000</v>
      </c>
      <c r="E478" s="1126" t="s">
        <v>3001</v>
      </c>
      <c r="F478" s="1127">
        <v>499319</v>
      </c>
      <c r="G478" s="1127">
        <v>1087031</v>
      </c>
      <c r="H478" s="1125" t="s">
        <v>330</v>
      </c>
      <c r="I478" s="1126" t="s">
        <v>330</v>
      </c>
      <c r="J478" s="1126" t="s">
        <v>3002</v>
      </c>
      <c r="K478" s="1128"/>
      <c r="L478" s="1126">
        <v>5</v>
      </c>
      <c r="M478" s="1126">
        <v>3</v>
      </c>
      <c r="N478" s="1126">
        <v>2</v>
      </c>
      <c r="O478" s="1129">
        <v>60</v>
      </c>
      <c r="P478" s="1126">
        <v>0</v>
      </c>
      <c r="Q478" s="1130"/>
      <c r="R478" s="1127">
        <v>5</v>
      </c>
      <c r="S478" s="1131">
        <v>1</v>
      </c>
      <c r="T478" s="1132"/>
      <c r="U478" s="1127">
        <v>127.14</v>
      </c>
      <c r="V478" s="1131">
        <v>0</v>
      </c>
      <c r="W478" s="1133"/>
      <c r="X478" s="1127">
        <v>0.5</v>
      </c>
      <c r="Y478" s="1131">
        <v>1</v>
      </c>
      <c r="Z478" s="1133"/>
      <c r="AA478" s="1127">
        <v>8.1300000000000008</v>
      </c>
      <c r="AB478" s="1131">
        <v>1</v>
      </c>
      <c r="AC478" s="1133"/>
      <c r="AD478" s="1127">
        <v>29</v>
      </c>
      <c r="AE478" s="1131">
        <v>0</v>
      </c>
    </row>
    <row r="479" spans="3:31" x14ac:dyDescent="0.4">
      <c r="C479" s="2823"/>
      <c r="D479" s="1125" t="s">
        <v>3000</v>
      </c>
      <c r="E479" s="1126" t="s">
        <v>3003</v>
      </c>
      <c r="F479" s="1127">
        <v>505246</v>
      </c>
      <c r="G479" s="1127">
        <v>1087450</v>
      </c>
      <c r="H479" s="1125" t="s">
        <v>330</v>
      </c>
      <c r="I479" s="1126" t="s">
        <v>793</v>
      </c>
      <c r="J479" s="1126" t="s">
        <v>798</v>
      </c>
      <c r="K479" s="1134"/>
      <c r="L479" s="1126">
        <v>5</v>
      </c>
      <c r="M479" s="1126">
        <v>3</v>
      </c>
      <c r="N479" s="1126">
        <v>2</v>
      </c>
      <c r="O479" s="1129">
        <v>60</v>
      </c>
      <c r="P479" s="1126">
        <v>0</v>
      </c>
      <c r="Q479" s="1130"/>
      <c r="R479" s="1127">
        <v>8</v>
      </c>
      <c r="S479" s="1131">
        <v>0</v>
      </c>
      <c r="T479" s="1132"/>
      <c r="U479" s="1127">
        <v>99.36</v>
      </c>
      <c r="V479" s="1131">
        <v>1</v>
      </c>
      <c r="W479" s="1133"/>
      <c r="X479" s="1127">
        <v>1.9</v>
      </c>
      <c r="Y479" s="1131">
        <v>0</v>
      </c>
      <c r="Z479" s="1133"/>
      <c r="AA479" s="1127">
        <v>7.39</v>
      </c>
      <c r="AB479" s="1131">
        <v>1</v>
      </c>
      <c r="AC479" s="1133"/>
      <c r="AD479" s="1127">
        <v>8</v>
      </c>
      <c r="AE479" s="1131">
        <v>1</v>
      </c>
    </row>
    <row r="480" spans="3:31" x14ac:dyDescent="0.4">
      <c r="C480" s="2823"/>
      <c r="D480" s="1125" t="s">
        <v>3004</v>
      </c>
      <c r="E480" s="1126" t="s">
        <v>3005</v>
      </c>
      <c r="F480" s="1127">
        <v>514164</v>
      </c>
      <c r="G480" s="1127">
        <v>1084516</v>
      </c>
      <c r="H480" s="1125" t="s">
        <v>330</v>
      </c>
      <c r="I480" s="1126" t="s">
        <v>330</v>
      </c>
      <c r="J480" s="1126" t="s">
        <v>3006</v>
      </c>
      <c r="K480" s="1134"/>
      <c r="L480" s="1126">
        <v>5</v>
      </c>
      <c r="M480" s="1126">
        <v>4</v>
      </c>
      <c r="N480" s="1126">
        <v>1</v>
      </c>
      <c r="O480" s="1129">
        <v>80</v>
      </c>
      <c r="P480" s="1126">
        <v>1</v>
      </c>
      <c r="Q480" s="1130"/>
      <c r="R480" s="1127">
        <v>6</v>
      </c>
      <c r="S480" s="1131">
        <v>1</v>
      </c>
      <c r="T480" s="1132"/>
      <c r="U480" s="1127">
        <v>102.47</v>
      </c>
      <c r="V480" s="1131">
        <v>1</v>
      </c>
      <c r="W480" s="1133"/>
      <c r="X480" s="1127">
        <v>0.7</v>
      </c>
      <c r="Y480" s="1131">
        <v>1</v>
      </c>
      <c r="Z480" s="1133"/>
      <c r="AA480" s="1127">
        <v>8.42</v>
      </c>
      <c r="AB480" s="1131">
        <v>1</v>
      </c>
      <c r="AC480" s="1133"/>
      <c r="AD480" s="1127">
        <v>54</v>
      </c>
      <c r="AE480" s="1131">
        <v>0</v>
      </c>
    </row>
    <row r="481" spans="3:31" ht="25.5" x14ac:dyDescent="0.4">
      <c r="C481" s="2823"/>
      <c r="D481" s="1125" t="s">
        <v>3007</v>
      </c>
      <c r="E481" s="1126" t="s">
        <v>3008</v>
      </c>
      <c r="F481" s="1127">
        <v>516802</v>
      </c>
      <c r="G481" s="1127">
        <v>1082234</v>
      </c>
      <c r="H481" s="1125" t="s">
        <v>330</v>
      </c>
      <c r="I481" s="1126" t="s">
        <v>787</v>
      </c>
      <c r="J481" s="1126" t="s">
        <v>3009</v>
      </c>
      <c r="K481" s="1134"/>
      <c r="L481" s="1126">
        <v>5</v>
      </c>
      <c r="M481" s="1126">
        <v>5</v>
      </c>
      <c r="N481" s="1126">
        <v>0</v>
      </c>
      <c r="O481" s="1129">
        <v>100</v>
      </c>
      <c r="P481" s="1126">
        <v>1</v>
      </c>
      <c r="Q481" s="1130"/>
      <c r="R481" s="1127">
        <v>3</v>
      </c>
      <c r="S481" s="1131">
        <v>1</v>
      </c>
      <c r="T481" s="1132"/>
      <c r="U481" s="1127">
        <v>112.15</v>
      </c>
      <c r="V481" s="1131">
        <v>1</v>
      </c>
      <c r="W481" s="1133"/>
      <c r="X481" s="1127">
        <v>0.5</v>
      </c>
      <c r="Y481" s="1131">
        <v>1</v>
      </c>
      <c r="Z481" s="1133"/>
      <c r="AA481" s="1127">
        <v>7.31</v>
      </c>
      <c r="AB481" s="1131">
        <v>1</v>
      </c>
      <c r="AC481" s="1133"/>
      <c r="AD481" s="1127">
        <v>3</v>
      </c>
      <c r="AE481" s="1131">
        <v>1</v>
      </c>
    </row>
    <row r="482" spans="3:31" x14ac:dyDescent="0.4">
      <c r="C482" s="2823"/>
      <c r="D482" s="1125" t="s">
        <v>3010</v>
      </c>
      <c r="E482" s="1126" t="s">
        <v>3011</v>
      </c>
      <c r="F482" s="1127">
        <v>534974.92869600002</v>
      </c>
      <c r="G482" s="1127">
        <v>1087583.00351</v>
      </c>
      <c r="H482" s="1125" t="s">
        <v>330</v>
      </c>
      <c r="I482" s="1126" t="s">
        <v>789</v>
      </c>
      <c r="J482" s="1126" t="s">
        <v>3012</v>
      </c>
      <c r="K482" s="1134"/>
      <c r="L482" s="1126">
        <v>0</v>
      </c>
      <c r="M482" s="1126">
        <v>0</v>
      </c>
      <c r="N482" s="1126">
        <v>0</v>
      </c>
      <c r="O482" s="1129" t="s">
        <v>2903</v>
      </c>
      <c r="P482" s="1126" t="s">
        <v>2903</v>
      </c>
      <c r="Q482" s="1130"/>
      <c r="R482" s="1127" t="s">
        <v>2903</v>
      </c>
      <c r="S482" s="1131" t="s">
        <v>2903</v>
      </c>
      <c r="T482" s="1132"/>
      <c r="U482" s="1127" t="s">
        <v>2903</v>
      </c>
      <c r="V482" s="1131" t="s">
        <v>2903</v>
      </c>
      <c r="W482" s="1133"/>
      <c r="X482" s="1127" t="s">
        <v>2903</v>
      </c>
      <c r="Y482" s="1131" t="s">
        <v>2903</v>
      </c>
      <c r="Z482" s="1133"/>
      <c r="AA482" s="1127" t="s">
        <v>2903</v>
      </c>
      <c r="AB482" s="1131" t="s">
        <v>2903</v>
      </c>
      <c r="AC482" s="1133"/>
      <c r="AD482" s="1127" t="s">
        <v>2903</v>
      </c>
      <c r="AE482" s="1131" t="s">
        <v>2903</v>
      </c>
    </row>
    <row r="483" spans="3:31" x14ac:dyDescent="0.4">
      <c r="C483" s="2823"/>
      <c r="D483" s="1125" t="s">
        <v>3013</v>
      </c>
      <c r="E483" s="1126" t="s">
        <v>3014</v>
      </c>
      <c r="F483" s="1127">
        <v>538084.02751199994</v>
      </c>
      <c r="G483" s="1127">
        <v>1087094.59916</v>
      </c>
      <c r="H483" s="1125" t="s">
        <v>330</v>
      </c>
      <c r="I483" s="1126" t="s">
        <v>790</v>
      </c>
      <c r="J483" s="1126" t="s">
        <v>3015</v>
      </c>
      <c r="K483" s="1134"/>
      <c r="L483" s="1126">
        <v>0</v>
      </c>
      <c r="M483" s="1126">
        <v>0</v>
      </c>
      <c r="N483" s="1126">
        <v>0</v>
      </c>
      <c r="O483" s="1129" t="s">
        <v>2903</v>
      </c>
      <c r="P483" s="1126" t="s">
        <v>2903</v>
      </c>
      <c r="Q483" s="1130"/>
      <c r="R483" s="1127" t="s">
        <v>2903</v>
      </c>
      <c r="S483" s="1131" t="s">
        <v>2903</v>
      </c>
      <c r="T483" s="1132"/>
      <c r="U483" s="1127" t="s">
        <v>2903</v>
      </c>
      <c r="V483" s="1131" t="s">
        <v>2903</v>
      </c>
      <c r="W483" s="1133"/>
      <c r="X483" s="1127" t="s">
        <v>2903</v>
      </c>
      <c r="Y483" s="1131" t="s">
        <v>2903</v>
      </c>
      <c r="Z483" s="1133"/>
      <c r="AA483" s="1127" t="s">
        <v>2903</v>
      </c>
      <c r="AB483" s="1131" t="s">
        <v>2903</v>
      </c>
      <c r="AC483" s="1133"/>
      <c r="AD483" s="1127" t="s">
        <v>2903</v>
      </c>
      <c r="AE483" s="1131" t="s">
        <v>2903</v>
      </c>
    </row>
    <row r="484" spans="3:31" x14ac:dyDescent="0.4">
      <c r="C484" s="2823"/>
      <c r="D484" s="1125" t="s">
        <v>3016</v>
      </c>
      <c r="E484" s="1126" t="s">
        <v>3017</v>
      </c>
      <c r="F484" s="1127">
        <v>539801</v>
      </c>
      <c r="G484" s="1127">
        <v>1091071</v>
      </c>
      <c r="H484" s="1125" t="s">
        <v>330</v>
      </c>
      <c r="I484" s="1126" t="s">
        <v>790</v>
      </c>
      <c r="J484" s="1126" t="s">
        <v>3015</v>
      </c>
      <c r="K484" s="1134"/>
      <c r="L484" s="1126">
        <v>0</v>
      </c>
      <c r="M484" s="1126">
        <v>0</v>
      </c>
      <c r="N484" s="1126">
        <v>0</v>
      </c>
      <c r="O484" s="1129" t="s">
        <v>2903</v>
      </c>
      <c r="P484" s="1126" t="s">
        <v>2903</v>
      </c>
      <c r="Q484" s="1130"/>
      <c r="R484" s="1127" t="s">
        <v>2903</v>
      </c>
      <c r="S484" s="1131" t="s">
        <v>2903</v>
      </c>
      <c r="T484" s="1132"/>
      <c r="U484" s="1127" t="s">
        <v>2903</v>
      </c>
      <c r="V484" s="1131" t="s">
        <v>2903</v>
      </c>
      <c r="W484" s="1133"/>
      <c r="X484" s="1127" t="s">
        <v>2903</v>
      </c>
      <c r="Y484" s="1131" t="s">
        <v>2903</v>
      </c>
      <c r="Z484" s="1133"/>
      <c r="AA484" s="1127" t="s">
        <v>2903</v>
      </c>
      <c r="AB484" s="1131" t="s">
        <v>2903</v>
      </c>
      <c r="AC484" s="1133"/>
      <c r="AD484" s="1127" t="s">
        <v>2903</v>
      </c>
      <c r="AE484" s="1131" t="s">
        <v>2903</v>
      </c>
    </row>
    <row r="485" spans="3:31" ht="25.5" x14ac:dyDescent="0.4">
      <c r="C485" s="2823"/>
      <c r="D485" s="1125" t="s">
        <v>3018</v>
      </c>
      <c r="E485" s="1126" t="s">
        <v>3019</v>
      </c>
      <c r="F485" s="1127">
        <v>533672.54728499998</v>
      </c>
      <c r="G485" s="1127">
        <v>1096155.5043899999</v>
      </c>
      <c r="H485" s="1125" t="s">
        <v>330</v>
      </c>
      <c r="I485" s="1126" t="s">
        <v>790</v>
      </c>
      <c r="J485" s="1126" t="s">
        <v>790</v>
      </c>
      <c r="K485" s="1134"/>
      <c r="L485" s="1126">
        <v>0</v>
      </c>
      <c r="M485" s="1126">
        <v>0</v>
      </c>
      <c r="N485" s="1126">
        <v>0</v>
      </c>
      <c r="O485" s="1129" t="s">
        <v>2903</v>
      </c>
      <c r="P485" s="1126" t="s">
        <v>2903</v>
      </c>
      <c r="Q485" s="1130"/>
      <c r="R485" s="1127" t="s">
        <v>2903</v>
      </c>
      <c r="S485" s="1131" t="s">
        <v>2903</v>
      </c>
      <c r="T485" s="1132"/>
      <c r="U485" s="1127" t="s">
        <v>2903</v>
      </c>
      <c r="V485" s="1131" t="s">
        <v>2903</v>
      </c>
      <c r="W485" s="1133"/>
      <c r="X485" s="1127" t="s">
        <v>2903</v>
      </c>
      <c r="Y485" s="1131" t="s">
        <v>2903</v>
      </c>
      <c r="Z485" s="1133"/>
      <c r="AA485" s="1127" t="s">
        <v>2903</v>
      </c>
      <c r="AB485" s="1131" t="s">
        <v>2903</v>
      </c>
      <c r="AC485" s="1133"/>
      <c r="AD485" s="1127" t="s">
        <v>2903</v>
      </c>
      <c r="AE485" s="1131" t="s">
        <v>2903</v>
      </c>
    </row>
    <row r="486" spans="3:31" x14ac:dyDescent="0.4">
      <c r="C486" s="2823"/>
      <c r="D486" s="1125" t="s">
        <v>3020</v>
      </c>
      <c r="E486" s="1126" t="s">
        <v>3021</v>
      </c>
      <c r="F486" s="1127">
        <v>515725</v>
      </c>
      <c r="G486" s="1127">
        <v>1088403</v>
      </c>
      <c r="H486" s="1125" t="s">
        <v>330</v>
      </c>
      <c r="I486" s="1126" t="s">
        <v>787</v>
      </c>
      <c r="J486" s="1126" t="s">
        <v>787</v>
      </c>
      <c r="K486" s="1134"/>
      <c r="L486" s="1126">
        <v>5</v>
      </c>
      <c r="M486" s="1126">
        <v>5</v>
      </c>
      <c r="N486" s="1126">
        <v>0</v>
      </c>
      <c r="O486" s="1129">
        <v>100</v>
      </c>
      <c r="P486" s="1126">
        <v>1</v>
      </c>
      <c r="Q486" s="1130"/>
      <c r="R486" s="1127">
        <v>3</v>
      </c>
      <c r="S486" s="1131">
        <v>1</v>
      </c>
      <c r="T486" s="1132"/>
      <c r="U486" s="1127">
        <v>99.8</v>
      </c>
      <c r="V486" s="1131">
        <v>1</v>
      </c>
      <c r="W486" s="1133"/>
      <c r="X486" s="1127">
        <v>0.5</v>
      </c>
      <c r="Y486" s="1131">
        <v>1</v>
      </c>
      <c r="Z486" s="1133"/>
      <c r="AA486" s="1127">
        <v>7.38</v>
      </c>
      <c r="AB486" s="1131">
        <v>1</v>
      </c>
      <c r="AC486" s="1133"/>
      <c r="AD486" s="1127">
        <v>11</v>
      </c>
      <c r="AE486" s="1131">
        <v>1</v>
      </c>
    </row>
    <row r="487" spans="3:31" x14ac:dyDescent="0.4">
      <c r="C487" s="2823"/>
      <c r="D487" s="1125" t="s">
        <v>3022</v>
      </c>
      <c r="E487" s="1126" t="s">
        <v>3023</v>
      </c>
      <c r="F487" s="1127">
        <v>538321</v>
      </c>
      <c r="G487" s="1127">
        <v>1094946</v>
      </c>
      <c r="H487" s="1125" t="s">
        <v>330</v>
      </c>
      <c r="I487" s="1126" t="s">
        <v>790</v>
      </c>
      <c r="J487" s="1126" t="s">
        <v>790</v>
      </c>
      <c r="K487" s="1128"/>
      <c r="L487" s="1126">
        <v>5</v>
      </c>
      <c r="M487" s="1126">
        <v>5</v>
      </c>
      <c r="N487" s="1126">
        <v>0</v>
      </c>
      <c r="O487" s="1129">
        <v>100</v>
      </c>
      <c r="P487" s="1126">
        <v>1</v>
      </c>
      <c r="Q487" s="1130"/>
      <c r="R487" s="1127">
        <v>3</v>
      </c>
      <c r="S487" s="1131">
        <v>1</v>
      </c>
      <c r="T487" s="1132"/>
      <c r="U487" s="1127">
        <v>112.21</v>
      </c>
      <c r="V487" s="1131">
        <v>1</v>
      </c>
      <c r="W487" s="1133"/>
      <c r="X487" s="1127">
        <v>0.5</v>
      </c>
      <c r="Y487" s="1131">
        <v>1</v>
      </c>
      <c r="Z487" s="1133"/>
      <c r="AA487" s="1127">
        <v>8.17</v>
      </c>
      <c r="AB487" s="1131">
        <v>1</v>
      </c>
      <c r="AC487" s="1133"/>
      <c r="AD487" s="1127">
        <v>12</v>
      </c>
      <c r="AE487" s="1131">
        <v>1</v>
      </c>
    </row>
    <row r="488" spans="3:31" x14ac:dyDescent="0.4">
      <c r="C488" s="2823"/>
      <c r="D488" s="1125" t="s">
        <v>3022</v>
      </c>
      <c r="E488" s="1126" t="s">
        <v>3024</v>
      </c>
      <c r="F488" s="1127">
        <v>551179</v>
      </c>
      <c r="G488" s="1127">
        <v>1117583</v>
      </c>
      <c r="H488" s="1126" t="s">
        <v>334</v>
      </c>
      <c r="I488" s="1126" t="s">
        <v>827</v>
      </c>
      <c r="J488" s="1126" t="s">
        <v>3025</v>
      </c>
      <c r="K488" s="1128"/>
      <c r="L488" s="1126">
        <v>5</v>
      </c>
      <c r="M488" s="1126">
        <v>5</v>
      </c>
      <c r="N488" s="1126">
        <v>0</v>
      </c>
      <c r="O488" s="1129">
        <v>100</v>
      </c>
      <c r="P488" s="1126">
        <v>1</v>
      </c>
      <c r="Q488" s="1130"/>
      <c r="R488" s="1127">
        <v>3</v>
      </c>
      <c r="S488" s="1131">
        <v>1</v>
      </c>
      <c r="T488" s="1132"/>
      <c r="U488" s="1127">
        <v>115.75</v>
      </c>
      <c r="V488" s="1131">
        <v>1</v>
      </c>
      <c r="W488" s="1133"/>
      <c r="X488" s="1127">
        <v>0.5</v>
      </c>
      <c r="Y488" s="1131">
        <v>1</v>
      </c>
      <c r="Z488" s="1133"/>
      <c r="AA488" s="1127">
        <v>8.2100000000000009</v>
      </c>
      <c r="AB488" s="1131">
        <v>1</v>
      </c>
      <c r="AC488" s="1133"/>
      <c r="AD488" s="1127">
        <v>5.9</v>
      </c>
      <c r="AE488" s="1131">
        <v>1</v>
      </c>
    </row>
    <row r="489" spans="3:31" x14ac:dyDescent="0.4">
      <c r="C489" s="2823"/>
      <c r="D489" s="1125" t="s">
        <v>3022</v>
      </c>
      <c r="E489" s="1126" t="s">
        <v>3026</v>
      </c>
      <c r="F489" s="1127">
        <v>555993</v>
      </c>
      <c r="G489" s="1127">
        <v>1125844</v>
      </c>
      <c r="H489" s="1126" t="s">
        <v>334</v>
      </c>
      <c r="I489" s="1125" t="s">
        <v>827</v>
      </c>
      <c r="J489" s="1126" t="s">
        <v>3025</v>
      </c>
      <c r="K489" s="1128"/>
      <c r="L489" s="1126">
        <v>5</v>
      </c>
      <c r="M489" s="1126">
        <v>5</v>
      </c>
      <c r="N489" s="1126">
        <v>0</v>
      </c>
      <c r="O489" s="1129">
        <v>100</v>
      </c>
      <c r="P489" s="1126">
        <v>1</v>
      </c>
      <c r="Q489" s="1130"/>
      <c r="R489" s="1127">
        <v>3</v>
      </c>
      <c r="S489" s="1131">
        <v>1</v>
      </c>
      <c r="T489" s="1132"/>
      <c r="U489" s="1127">
        <v>109.89</v>
      </c>
      <c r="V489" s="1131">
        <v>1</v>
      </c>
      <c r="W489" s="1133"/>
      <c r="X489" s="1127">
        <v>0.5</v>
      </c>
      <c r="Y489" s="1131">
        <v>1</v>
      </c>
      <c r="Z489" s="1133"/>
      <c r="AA489" s="1127">
        <v>8.48</v>
      </c>
      <c r="AB489" s="1131">
        <v>1</v>
      </c>
      <c r="AC489" s="1133"/>
      <c r="AD489" s="1127">
        <v>4.4000000000000004</v>
      </c>
      <c r="AE489" s="1131">
        <v>1</v>
      </c>
    </row>
    <row r="490" spans="3:31" x14ac:dyDescent="0.4">
      <c r="C490" s="2830" t="s">
        <v>3027</v>
      </c>
      <c r="D490" s="1135" t="s">
        <v>3028</v>
      </c>
      <c r="E490" s="1133" t="s">
        <v>3029</v>
      </c>
      <c r="F490" s="1136">
        <v>564448</v>
      </c>
      <c r="G490" s="1136">
        <v>1114320</v>
      </c>
      <c r="H490" s="1133" t="s">
        <v>334</v>
      </c>
      <c r="I490" s="1133" t="s">
        <v>829</v>
      </c>
      <c r="J490" s="1133" t="s">
        <v>3030</v>
      </c>
      <c r="K490" s="1137"/>
      <c r="L490" s="1138">
        <v>5</v>
      </c>
      <c r="M490" s="1138">
        <v>5</v>
      </c>
      <c r="N490" s="1138">
        <v>0</v>
      </c>
      <c r="O490" s="1139">
        <v>100</v>
      </c>
      <c r="P490" s="1138">
        <v>1</v>
      </c>
      <c r="Q490" s="1140"/>
      <c r="R490" s="1141">
        <v>2</v>
      </c>
      <c r="S490" s="1142">
        <v>1</v>
      </c>
      <c r="T490" s="1138"/>
      <c r="U490" s="1143">
        <v>80.599999999999994</v>
      </c>
      <c r="V490" s="1142">
        <v>1</v>
      </c>
      <c r="W490" s="1138"/>
      <c r="X490" s="1141">
        <v>0.16958666666666666</v>
      </c>
      <c r="Y490" s="1142">
        <v>1</v>
      </c>
      <c r="Z490" s="1138"/>
      <c r="AA490" s="1143">
        <v>8.2899999999999991</v>
      </c>
      <c r="AB490" s="1142">
        <v>1</v>
      </c>
      <c r="AC490" s="1138"/>
      <c r="AD490" s="1143">
        <v>3.4</v>
      </c>
      <c r="AE490" s="1142">
        <v>1</v>
      </c>
    </row>
    <row r="491" spans="3:31" x14ac:dyDescent="0.4">
      <c r="C491" s="2825"/>
      <c r="D491" s="1135" t="s">
        <v>3031</v>
      </c>
      <c r="E491" s="1133" t="s">
        <v>3032</v>
      </c>
      <c r="F491" s="1136">
        <v>569791</v>
      </c>
      <c r="G491" s="1136">
        <v>1121546</v>
      </c>
      <c r="H491" s="1133" t="s">
        <v>334</v>
      </c>
      <c r="I491" s="1133" t="s">
        <v>827</v>
      </c>
      <c r="J491" s="1133" t="s">
        <v>3033</v>
      </c>
      <c r="K491" s="1137"/>
      <c r="L491" s="1138">
        <v>5</v>
      </c>
      <c r="M491" s="1138">
        <v>4</v>
      </c>
      <c r="N491" s="1138">
        <v>1</v>
      </c>
      <c r="O491" s="1139">
        <v>80</v>
      </c>
      <c r="P491" s="1138">
        <v>1</v>
      </c>
      <c r="Q491" s="1140"/>
      <c r="R491" s="1141">
        <v>2</v>
      </c>
      <c r="S491" s="1142">
        <v>1</v>
      </c>
      <c r="T491" s="1138"/>
      <c r="U491" s="1143">
        <v>31.8</v>
      </c>
      <c r="V491" s="1142">
        <v>0</v>
      </c>
      <c r="W491" s="1138"/>
      <c r="X491" s="1141">
        <v>0.16516888888888892</v>
      </c>
      <c r="Y491" s="1142">
        <v>1</v>
      </c>
      <c r="Z491" s="1138"/>
      <c r="AA491" s="1143">
        <v>7.47</v>
      </c>
      <c r="AB491" s="1142">
        <v>1</v>
      </c>
      <c r="AC491" s="1138"/>
      <c r="AD491" s="1143">
        <v>6</v>
      </c>
      <c r="AE491" s="1142">
        <v>1</v>
      </c>
    </row>
    <row r="492" spans="3:31" x14ac:dyDescent="0.4">
      <c r="C492" s="2825"/>
      <c r="D492" s="1135" t="s">
        <v>3028</v>
      </c>
      <c r="E492" s="1133" t="s">
        <v>3034</v>
      </c>
      <c r="F492" s="1136">
        <v>569864</v>
      </c>
      <c r="G492" s="1136">
        <v>1121460</v>
      </c>
      <c r="H492" s="1133" t="s">
        <v>334</v>
      </c>
      <c r="I492" s="1133" t="s">
        <v>829</v>
      </c>
      <c r="J492" s="1133" t="s">
        <v>3030</v>
      </c>
      <c r="K492" s="1137"/>
      <c r="L492" s="1138">
        <v>5</v>
      </c>
      <c r="M492" s="1138">
        <v>4</v>
      </c>
      <c r="N492" s="1138">
        <v>1</v>
      </c>
      <c r="O492" s="1139">
        <v>80</v>
      </c>
      <c r="P492" s="1138">
        <v>1</v>
      </c>
      <c r="Q492" s="1140"/>
      <c r="R492" s="1141">
        <v>2</v>
      </c>
      <c r="S492" s="1142">
        <v>1</v>
      </c>
      <c r="T492" s="1138"/>
      <c r="U492" s="1143">
        <v>58.2</v>
      </c>
      <c r="V492" s="1142">
        <v>0</v>
      </c>
      <c r="W492" s="1138"/>
      <c r="X492" s="1141">
        <v>0.12985777777777777</v>
      </c>
      <c r="Y492" s="1142">
        <v>1</v>
      </c>
      <c r="Z492" s="1138"/>
      <c r="AA492" s="1143">
        <v>8.0299999999999994</v>
      </c>
      <c r="AB492" s="1142">
        <v>1</v>
      </c>
      <c r="AC492" s="1138"/>
      <c r="AD492" s="1143">
        <v>6</v>
      </c>
      <c r="AE492" s="1142">
        <v>1</v>
      </c>
    </row>
    <row r="493" spans="3:31" x14ac:dyDescent="0.4">
      <c r="C493" s="2834" t="s">
        <v>3035</v>
      </c>
      <c r="D493" s="1144" t="s">
        <v>3036</v>
      </c>
      <c r="E493" s="1145" t="s">
        <v>3037</v>
      </c>
      <c r="F493" s="1146">
        <v>591520.71426963026</v>
      </c>
      <c r="G493" s="1146">
        <v>1099004.6167526627</v>
      </c>
      <c r="H493" s="1145" t="s">
        <v>334</v>
      </c>
      <c r="I493" s="1145" t="s">
        <v>334</v>
      </c>
      <c r="J493" s="1145" t="s">
        <v>3038</v>
      </c>
      <c r="K493" s="1128"/>
      <c r="L493" s="1145">
        <v>5</v>
      </c>
      <c r="M493" s="1145">
        <v>3</v>
      </c>
      <c r="N493" s="1145">
        <v>2</v>
      </c>
      <c r="O493" s="1147">
        <v>60</v>
      </c>
      <c r="P493" s="1145">
        <v>0</v>
      </c>
      <c r="Q493" s="1138"/>
      <c r="R493" s="1146">
        <v>1.3</v>
      </c>
      <c r="S493" s="1148">
        <v>1</v>
      </c>
      <c r="T493" s="1149"/>
      <c r="U493" s="1146">
        <v>65</v>
      </c>
      <c r="V493" s="1148">
        <v>0</v>
      </c>
      <c r="W493" s="1150"/>
      <c r="X493" s="1146">
        <v>0.03</v>
      </c>
      <c r="Y493" s="1148">
        <v>1</v>
      </c>
      <c r="Z493" s="1133"/>
      <c r="AA493" s="1146">
        <v>8.6199999999999992</v>
      </c>
      <c r="AB493" s="1148">
        <v>0</v>
      </c>
      <c r="AC493" s="1133"/>
      <c r="AD493" s="1146">
        <v>5.5</v>
      </c>
      <c r="AE493" s="1148">
        <v>1</v>
      </c>
    </row>
    <row r="494" spans="3:31" x14ac:dyDescent="0.4">
      <c r="C494" s="2823"/>
      <c r="D494" s="1144" t="s">
        <v>3039</v>
      </c>
      <c r="E494" s="1145" t="s">
        <v>3040</v>
      </c>
      <c r="F494" s="1146">
        <v>595924.74767325248</v>
      </c>
      <c r="G494" s="1146">
        <v>1104968.4121655016</v>
      </c>
      <c r="H494" s="1145" t="s">
        <v>334</v>
      </c>
      <c r="I494" s="1145" t="s">
        <v>334</v>
      </c>
      <c r="J494" s="1145" t="s">
        <v>3038</v>
      </c>
      <c r="K494" s="1128"/>
      <c r="L494" s="1145">
        <v>5</v>
      </c>
      <c r="M494" s="1145">
        <v>4</v>
      </c>
      <c r="N494" s="1145">
        <v>1</v>
      </c>
      <c r="O494" s="1147">
        <v>80</v>
      </c>
      <c r="P494" s="1145">
        <v>1</v>
      </c>
      <c r="Q494" s="1138"/>
      <c r="R494" s="1146">
        <v>1.3</v>
      </c>
      <c r="S494" s="1148">
        <v>1</v>
      </c>
      <c r="T494" s="1149"/>
      <c r="U494" s="1146">
        <v>52</v>
      </c>
      <c r="V494" s="1148">
        <v>0</v>
      </c>
      <c r="W494" s="1150"/>
      <c r="X494" s="1146">
        <v>9.1800000000000007E-2</v>
      </c>
      <c r="Y494" s="1148">
        <v>1</v>
      </c>
      <c r="Z494" s="1133"/>
      <c r="AA494" s="1146">
        <v>7.93</v>
      </c>
      <c r="AB494" s="1148">
        <v>1</v>
      </c>
      <c r="AC494" s="1133"/>
      <c r="AD494" s="1146">
        <v>19.5</v>
      </c>
      <c r="AE494" s="1148">
        <v>1</v>
      </c>
    </row>
    <row r="495" spans="3:31" x14ac:dyDescent="0.4">
      <c r="C495" s="2823"/>
      <c r="D495" s="1144" t="s">
        <v>3041</v>
      </c>
      <c r="E495" s="1145" t="s">
        <v>3042</v>
      </c>
      <c r="F495" s="1146">
        <v>602652.52525066072</v>
      </c>
      <c r="G495" s="1146">
        <v>1100493.3765315467</v>
      </c>
      <c r="H495" s="1145" t="s">
        <v>334</v>
      </c>
      <c r="I495" s="1145" t="s">
        <v>334</v>
      </c>
      <c r="J495" s="1145" t="s">
        <v>3043</v>
      </c>
      <c r="K495" s="1128"/>
      <c r="L495" s="1145">
        <v>5</v>
      </c>
      <c r="M495" s="1145">
        <v>4</v>
      </c>
      <c r="N495" s="1145">
        <v>1</v>
      </c>
      <c r="O495" s="1147">
        <v>80</v>
      </c>
      <c r="P495" s="1145">
        <v>1</v>
      </c>
      <c r="Q495" s="1138"/>
      <c r="R495" s="1146">
        <v>1.92</v>
      </c>
      <c r="S495" s="1148">
        <v>1</v>
      </c>
      <c r="T495" s="1149"/>
      <c r="U495" s="1146">
        <v>52</v>
      </c>
      <c r="V495" s="1148">
        <v>0</v>
      </c>
      <c r="W495" s="1150"/>
      <c r="X495" s="1146">
        <v>0.42699999999999999</v>
      </c>
      <c r="Y495" s="1148">
        <v>1</v>
      </c>
      <c r="Z495" s="1133"/>
      <c r="AA495" s="1146">
        <v>7.74</v>
      </c>
      <c r="AB495" s="1148">
        <v>1</v>
      </c>
      <c r="AC495" s="1133"/>
      <c r="AD495" s="1146">
        <v>13.4</v>
      </c>
      <c r="AE495" s="1148">
        <v>1</v>
      </c>
    </row>
    <row r="496" spans="3:31" x14ac:dyDescent="0.4">
      <c r="C496" s="2823"/>
      <c r="D496" s="1144" t="s">
        <v>3041</v>
      </c>
      <c r="E496" s="1145" t="s">
        <v>3044</v>
      </c>
      <c r="F496" s="1146">
        <v>604923.94574288733</v>
      </c>
      <c r="G496" s="1146">
        <v>1104152.7542006073</v>
      </c>
      <c r="H496" s="1145" t="s">
        <v>334</v>
      </c>
      <c r="I496" s="1145" t="s">
        <v>334</v>
      </c>
      <c r="J496" s="1145" t="s">
        <v>334</v>
      </c>
      <c r="K496" s="1128"/>
      <c r="L496" s="1145">
        <v>5</v>
      </c>
      <c r="M496" s="1145">
        <v>3</v>
      </c>
      <c r="N496" s="1145">
        <v>2</v>
      </c>
      <c r="O496" s="1147">
        <v>60</v>
      </c>
      <c r="P496" s="1145">
        <v>0</v>
      </c>
      <c r="Q496" s="1138"/>
      <c r="R496" s="1146">
        <v>5.34</v>
      </c>
      <c r="S496" s="1148">
        <v>1</v>
      </c>
      <c r="T496" s="1149"/>
      <c r="U496" s="1146">
        <v>10</v>
      </c>
      <c r="V496" s="1148">
        <v>0</v>
      </c>
      <c r="W496" s="1150"/>
      <c r="X496" s="1146">
        <v>1.3540000000000001</v>
      </c>
      <c r="Y496" s="1148">
        <v>0</v>
      </c>
      <c r="Z496" s="1133"/>
      <c r="AA496" s="1146">
        <v>7.09</v>
      </c>
      <c r="AB496" s="1148">
        <v>1</v>
      </c>
      <c r="AC496" s="1133"/>
      <c r="AD496" s="1146">
        <v>7.6</v>
      </c>
      <c r="AE496" s="1148">
        <v>1</v>
      </c>
    </row>
    <row r="497" spans="3:31" x14ac:dyDescent="0.4">
      <c r="C497" s="2830" t="s">
        <v>3045</v>
      </c>
      <c r="D497" s="1135" t="s">
        <v>3046</v>
      </c>
      <c r="E497" s="1133" t="s">
        <v>3047</v>
      </c>
      <c r="F497" s="1136">
        <v>606552</v>
      </c>
      <c r="G497" s="1136">
        <v>1095139</v>
      </c>
      <c r="H497" s="1133" t="s">
        <v>334</v>
      </c>
      <c r="I497" s="1133" t="s">
        <v>334</v>
      </c>
      <c r="J497" s="1133" t="s">
        <v>3043</v>
      </c>
      <c r="K497" s="1128"/>
      <c r="L497" s="1138">
        <v>5</v>
      </c>
      <c r="M497" s="1138">
        <v>4</v>
      </c>
      <c r="N497" s="1138">
        <v>1</v>
      </c>
      <c r="O497" s="1139">
        <v>80</v>
      </c>
      <c r="P497" s="1138">
        <v>1</v>
      </c>
      <c r="Q497" s="1138"/>
      <c r="R497" s="1141">
        <v>2.2869999999999999</v>
      </c>
      <c r="S497" s="1142">
        <v>1</v>
      </c>
      <c r="T497" s="1140"/>
      <c r="U497" s="1143">
        <v>54</v>
      </c>
      <c r="V497" s="1142">
        <v>0</v>
      </c>
      <c r="W497" s="1140"/>
      <c r="X497" s="1141">
        <v>3.9399999999999998E-2</v>
      </c>
      <c r="Y497" s="1142">
        <v>1</v>
      </c>
      <c r="Z497" s="1138"/>
      <c r="AA497" s="1143">
        <v>8.06</v>
      </c>
      <c r="AB497" s="1142">
        <v>1</v>
      </c>
      <c r="AC497" s="1138"/>
      <c r="AD497" s="1143">
        <v>17.3</v>
      </c>
      <c r="AE497" s="1142">
        <v>1</v>
      </c>
    </row>
    <row r="498" spans="3:31" x14ac:dyDescent="0.4">
      <c r="C498" s="2825"/>
      <c r="D498" s="1135" t="s">
        <v>3048</v>
      </c>
      <c r="E498" s="1133" t="s">
        <v>3049</v>
      </c>
      <c r="F498" s="1136">
        <v>608828</v>
      </c>
      <c r="G498" s="1136">
        <v>1092271</v>
      </c>
      <c r="H498" s="1133" t="s">
        <v>334</v>
      </c>
      <c r="I498" s="1133" t="s">
        <v>334</v>
      </c>
      <c r="J498" s="1133" t="s">
        <v>3043</v>
      </c>
      <c r="K498" s="1128"/>
      <c r="L498" s="1138">
        <v>5</v>
      </c>
      <c r="M498" s="1138">
        <v>4</v>
      </c>
      <c r="N498" s="1138">
        <v>1</v>
      </c>
      <c r="O498" s="1139">
        <v>80</v>
      </c>
      <c r="P498" s="1138">
        <v>1</v>
      </c>
      <c r="Q498" s="1138"/>
      <c r="R498" s="1141">
        <v>1.819</v>
      </c>
      <c r="S498" s="1142">
        <v>1</v>
      </c>
      <c r="T498" s="1140"/>
      <c r="U498" s="1143">
        <v>67</v>
      </c>
      <c r="V498" s="1142">
        <v>0</v>
      </c>
      <c r="W498" s="1140"/>
      <c r="X498" s="1141">
        <v>4.19E-2</v>
      </c>
      <c r="Y498" s="1142">
        <v>1</v>
      </c>
      <c r="Z498" s="1138"/>
      <c r="AA498" s="1143">
        <v>8.2200000000000006</v>
      </c>
      <c r="AB498" s="1142">
        <v>1</v>
      </c>
      <c r="AC498" s="1138"/>
      <c r="AD498" s="1143">
        <v>20.8</v>
      </c>
      <c r="AE498" s="1142">
        <v>1</v>
      </c>
    </row>
    <row r="499" spans="3:31" x14ac:dyDescent="0.4">
      <c r="C499" s="2825"/>
      <c r="D499" s="1135" t="s">
        <v>3048</v>
      </c>
      <c r="E499" s="1133" t="s">
        <v>3050</v>
      </c>
      <c r="F499" s="1136">
        <v>611005</v>
      </c>
      <c r="G499" s="1136">
        <v>1094210</v>
      </c>
      <c r="H499" s="1133" t="s">
        <v>334</v>
      </c>
      <c r="I499" s="1133" t="s">
        <v>334</v>
      </c>
      <c r="J499" s="1133" t="s">
        <v>3043</v>
      </c>
      <c r="K499" s="1128"/>
      <c r="L499" s="1138">
        <v>5</v>
      </c>
      <c r="M499" s="1138">
        <v>4</v>
      </c>
      <c r="N499" s="1138">
        <v>1</v>
      </c>
      <c r="O499" s="1139">
        <v>80</v>
      </c>
      <c r="P499" s="1138">
        <v>1</v>
      </c>
      <c r="Q499" s="1138"/>
      <c r="R499" s="1141">
        <v>3.2349999999999999</v>
      </c>
      <c r="S499" s="1142">
        <v>1</v>
      </c>
      <c r="T499" s="1140"/>
      <c r="U499" s="1143">
        <v>55</v>
      </c>
      <c r="V499" s="1142">
        <v>0</v>
      </c>
      <c r="W499" s="1140"/>
      <c r="X499" s="1141">
        <v>0.16850000000000001</v>
      </c>
      <c r="Y499" s="1142">
        <v>1</v>
      </c>
      <c r="Z499" s="1138"/>
      <c r="AA499" s="1143">
        <v>7.86</v>
      </c>
      <c r="AB499" s="1142">
        <v>1</v>
      </c>
      <c r="AC499" s="1138"/>
      <c r="AD499" s="1143">
        <v>13.5</v>
      </c>
      <c r="AE499" s="1142">
        <v>1</v>
      </c>
    </row>
    <row r="500" spans="3:31" x14ac:dyDescent="0.4">
      <c r="C500" s="2825"/>
      <c r="D500" s="1135" t="s">
        <v>3051</v>
      </c>
      <c r="E500" s="1133" t="s">
        <v>3052</v>
      </c>
      <c r="F500" s="1136">
        <v>615309.394813983</v>
      </c>
      <c r="G500" s="1136">
        <v>1089459.641124723</v>
      </c>
      <c r="H500" s="1133" t="s">
        <v>334</v>
      </c>
      <c r="I500" s="1133" t="s">
        <v>334</v>
      </c>
      <c r="J500" s="1133" t="s">
        <v>3043</v>
      </c>
      <c r="K500" s="1128"/>
      <c r="L500" s="1138">
        <v>0</v>
      </c>
      <c r="M500" s="1138">
        <v>0</v>
      </c>
      <c r="N500" s="1138">
        <v>0</v>
      </c>
      <c r="O500" s="1139" t="s">
        <v>2903</v>
      </c>
      <c r="P500" s="1138" t="s">
        <v>2903</v>
      </c>
      <c r="Q500" s="1138"/>
      <c r="R500" s="1141" t="s">
        <v>2903</v>
      </c>
      <c r="S500" s="1142" t="s">
        <v>2903</v>
      </c>
      <c r="T500" s="1140"/>
      <c r="U500" s="1143" t="s">
        <v>2903</v>
      </c>
      <c r="V500" s="1142" t="s">
        <v>2903</v>
      </c>
      <c r="W500" s="1140"/>
      <c r="X500" s="1141" t="s">
        <v>2903</v>
      </c>
      <c r="Y500" s="1142" t="s">
        <v>2903</v>
      </c>
      <c r="Z500" s="1138"/>
      <c r="AA500" s="1143" t="s">
        <v>2903</v>
      </c>
      <c r="AB500" s="1142" t="s">
        <v>2903</v>
      </c>
      <c r="AC500" s="1138"/>
      <c r="AD500" s="1143" t="s">
        <v>2903</v>
      </c>
      <c r="AE500" s="1142" t="s">
        <v>2903</v>
      </c>
    </row>
    <row r="501" spans="3:31" x14ac:dyDescent="0.4">
      <c r="C501" s="2826" t="s">
        <v>829</v>
      </c>
      <c r="D501" s="1151" t="s">
        <v>3053</v>
      </c>
      <c r="E501" s="1152" t="s">
        <v>3054</v>
      </c>
      <c r="F501" s="1153">
        <v>584311</v>
      </c>
      <c r="G501" s="1153">
        <v>1119663</v>
      </c>
      <c r="H501" s="1152" t="s">
        <v>334</v>
      </c>
      <c r="I501" s="1152" t="s">
        <v>829</v>
      </c>
      <c r="J501" s="1152" t="s">
        <v>829</v>
      </c>
      <c r="K501" s="1154"/>
      <c r="L501" s="1152">
        <v>0</v>
      </c>
      <c r="M501" s="1152">
        <v>0</v>
      </c>
      <c r="N501" s="1152">
        <v>0</v>
      </c>
      <c r="O501" s="1155" t="s">
        <v>2903</v>
      </c>
      <c r="P501" s="1152" t="s">
        <v>2903</v>
      </c>
      <c r="Q501" s="1138"/>
      <c r="R501" s="1153" t="s">
        <v>2903</v>
      </c>
      <c r="S501" s="1156" t="s">
        <v>2903</v>
      </c>
      <c r="T501" s="1154"/>
      <c r="U501" s="1153" t="s">
        <v>2903</v>
      </c>
      <c r="V501" s="1156" t="s">
        <v>2903</v>
      </c>
      <c r="W501" s="1150"/>
      <c r="X501" s="1153" t="s">
        <v>2903</v>
      </c>
      <c r="Y501" s="1156" t="s">
        <v>2903</v>
      </c>
      <c r="Z501" s="1133"/>
      <c r="AA501" s="1153" t="s">
        <v>2903</v>
      </c>
      <c r="AB501" s="1156" t="s">
        <v>2903</v>
      </c>
      <c r="AC501" s="1133"/>
      <c r="AD501" s="1153" t="s">
        <v>2903</v>
      </c>
      <c r="AE501" s="1156" t="s">
        <v>2903</v>
      </c>
    </row>
    <row r="502" spans="3:31" x14ac:dyDescent="0.4">
      <c r="C502" s="2823"/>
      <c r="D502" s="1151" t="s">
        <v>3053</v>
      </c>
      <c r="E502" s="1152" t="s">
        <v>3055</v>
      </c>
      <c r="F502" s="1153">
        <v>587660</v>
      </c>
      <c r="G502" s="1153">
        <v>1119040</v>
      </c>
      <c r="H502" s="1152" t="s">
        <v>334</v>
      </c>
      <c r="I502" s="1152" t="s">
        <v>829</v>
      </c>
      <c r="J502" s="1152" t="s">
        <v>829</v>
      </c>
      <c r="K502" s="1154"/>
      <c r="L502" s="1152">
        <v>0</v>
      </c>
      <c r="M502" s="1152">
        <v>0</v>
      </c>
      <c r="N502" s="1152">
        <v>0</v>
      </c>
      <c r="O502" s="1155" t="s">
        <v>2903</v>
      </c>
      <c r="P502" s="1152" t="s">
        <v>2903</v>
      </c>
      <c r="Q502" s="1138"/>
      <c r="R502" s="1153" t="s">
        <v>2903</v>
      </c>
      <c r="S502" s="1156" t="s">
        <v>2903</v>
      </c>
      <c r="T502" s="1154"/>
      <c r="U502" s="1153" t="s">
        <v>2903</v>
      </c>
      <c r="V502" s="1156" t="s">
        <v>2903</v>
      </c>
      <c r="W502" s="1150"/>
      <c r="X502" s="1153" t="s">
        <v>2903</v>
      </c>
      <c r="Y502" s="1156" t="s">
        <v>2903</v>
      </c>
      <c r="Z502" s="1133"/>
      <c r="AA502" s="1153" t="s">
        <v>2903</v>
      </c>
      <c r="AB502" s="1156" t="s">
        <v>2903</v>
      </c>
      <c r="AC502" s="1133"/>
      <c r="AD502" s="1153" t="s">
        <v>2903</v>
      </c>
      <c r="AE502" s="1156" t="s">
        <v>2903</v>
      </c>
    </row>
    <row r="503" spans="3:31" x14ac:dyDescent="0.4">
      <c r="C503" s="2823"/>
      <c r="D503" s="1151" t="s">
        <v>3053</v>
      </c>
      <c r="E503" s="1152" t="s">
        <v>3056</v>
      </c>
      <c r="F503" s="1153">
        <v>579394</v>
      </c>
      <c r="G503" s="1153">
        <v>1114132</v>
      </c>
      <c r="H503" s="1152" t="s">
        <v>334</v>
      </c>
      <c r="I503" s="1152" t="s">
        <v>829</v>
      </c>
      <c r="J503" s="1152" t="s">
        <v>829</v>
      </c>
      <c r="K503" s="1154"/>
      <c r="L503" s="1152">
        <v>5</v>
      </c>
      <c r="M503" s="1152">
        <v>4</v>
      </c>
      <c r="N503" s="1152">
        <v>1</v>
      </c>
      <c r="O503" s="1155">
        <v>80</v>
      </c>
      <c r="P503" s="1152">
        <v>1</v>
      </c>
      <c r="Q503" s="1138"/>
      <c r="R503" s="1153">
        <v>57.6</v>
      </c>
      <c r="S503" s="1156">
        <v>0</v>
      </c>
      <c r="T503" s="1154"/>
      <c r="U503" s="1153">
        <v>100</v>
      </c>
      <c r="V503" s="1156">
        <v>1</v>
      </c>
      <c r="W503" s="1150"/>
      <c r="X503" s="1153">
        <v>8.0888888888888885E-2</v>
      </c>
      <c r="Y503" s="1156">
        <v>1</v>
      </c>
      <c r="Z503" s="1133"/>
      <c r="AA503" s="1153">
        <v>8.1</v>
      </c>
      <c r="AB503" s="1156">
        <v>1</v>
      </c>
      <c r="AC503" s="1133"/>
      <c r="AD503" s="1153">
        <v>6</v>
      </c>
      <c r="AE503" s="1156">
        <v>1</v>
      </c>
    </row>
    <row r="504" spans="3:31" x14ac:dyDescent="0.4">
      <c r="C504" s="2823"/>
      <c r="D504" s="1151" t="s">
        <v>3057</v>
      </c>
      <c r="E504" s="1152" t="s">
        <v>3058</v>
      </c>
      <c r="F504" s="1153">
        <v>568897</v>
      </c>
      <c r="G504" s="1153">
        <v>1112449</v>
      </c>
      <c r="H504" s="1152" t="s">
        <v>334</v>
      </c>
      <c r="I504" s="1152" t="s">
        <v>829</v>
      </c>
      <c r="J504" s="1152" t="s">
        <v>3030</v>
      </c>
      <c r="K504" s="1154"/>
      <c r="L504" s="1152">
        <v>5</v>
      </c>
      <c r="M504" s="1152">
        <v>3</v>
      </c>
      <c r="N504" s="1152">
        <v>2</v>
      </c>
      <c r="O504" s="1155">
        <v>60</v>
      </c>
      <c r="P504" s="1152">
        <v>0</v>
      </c>
      <c r="Q504" s="1138"/>
      <c r="R504" s="1153">
        <v>2</v>
      </c>
      <c r="S504" s="1156">
        <v>1</v>
      </c>
      <c r="T504" s="1154"/>
      <c r="U504" s="1153">
        <v>97.2</v>
      </c>
      <c r="V504" s="1156">
        <v>1</v>
      </c>
      <c r="W504" s="1150"/>
      <c r="X504" s="1153">
        <v>5.6777777777777774E-2</v>
      </c>
      <c r="Y504" s="1156">
        <v>1</v>
      </c>
      <c r="Z504" s="1133"/>
      <c r="AA504" s="1153">
        <v>8.6</v>
      </c>
      <c r="AB504" s="1156">
        <v>0</v>
      </c>
      <c r="AC504" s="1133"/>
      <c r="AD504" s="1153">
        <v>38.700000000000003</v>
      </c>
      <c r="AE504" s="1156">
        <v>0</v>
      </c>
    </row>
    <row r="505" spans="3:31" x14ac:dyDescent="0.4">
      <c r="C505" s="2823"/>
      <c r="D505" s="1151" t="s">
        <v>3059</v>
      </c>
      <c r="E505" s="1152" t="s">
        <v>3060</v>
      </c>
      <c r="F505" s="1153">
        <v>576526</v>
      </c>
      <c r="G505" s="1153">
        <v>1105216</v>
      </c>
      <c r="H505" s="1152" t="s">
        <v>334</v>
      </c>
      <c r="I505" s="1152" t="s">
        <v>829</v>
      </c>
      <c r="J505" s="1152" t="s">
        <v>829</v>
      </c>
      <c r="K505" s="1154"/>
      <c r="L505" s="1152">
        <v>5</v>
      </c>
      <c r="M505" s="1152">
        <v>5</v>
      </c>
      <c r="N505" s="1152">
        <v>0</v>
      </c>
      <c r="O505" s="1155">
        <v>100</v>
      </c>
      <c r="P505" s="1152">
        <v>1</v>
      </c>
      <c r="Q505" s="1138"/>
      <c r="R505" s="1153">
        <v>4.5</v>
      </c>
      <c r="S505" s="1156">
        <v>1</v>
      </c>
      <c r="T505" s="1154"/>
      <c r="U505" s="1153">
        <v>102</v>
      </c>
      <c r="V505" s="1156">
        <v>1</v>
      </c>
      <c r="W505" s="1150"/>
      <c r="X505" s="1153">
        <v>0.22866666666666666</v>
      </c>
      <c r="Y505" s="1156">
        <v>1</v>
      </c>
      <c r="Z505" s="1133"/>
      <c r="AA505" s="1153">
        <v>8.4</v>
      </c>
      <c r="AB505" s="1156">
        <v>1</v>
      </c>
      <c r="AC505" s="1133"/>
      <c r="AD505" s="1153">
        <v>6</v>
      </c>
      <c r="AE505" s="1156">
        <v>1</v>
      </c>
    </row>
    <row r="506" spans="3:31" x14ac:dyDescent="0.4">
      <c r="C506" s="2823"/>
      <c r="D506" s="1151" t="s">
        <v>3059</v>
      </c>
      <c r="E506" s="1152" t="s">
        <v>3061</v>
      </c>
      <c r="F506" s="1153">
        <v>572276</v>
      </c>
      <c r="G506" s="1153">
        <v>1101262</v>
      </c>
      <c r="H506" s="1152" t="s">
        <v>334</v>
      </c>
      <c r="I506" s="1152" t="s">
        <v>829</v>
      </c>
      <c r="J506" s="1152" t="s">
        <v>829</v>
      </c>
      <c r="K506" s="1154"/>
      <c r="L506" s="1152">
        <v>0</v>
      </c>
      <c r="M506" s="1152">
        <v>0</v>
      </c>
      <c r="N506" s="1152">
        <v>0</v>
      </c>
      <c r="O506" s="1155" t="s">
        <v>2903</v>
      </c>
      <c r="P506" s="1152" t="s">
        <v>2903</v>
      </c>
      <c r="Q506" s="1138"/>
      <c r="R506" s="1153" t="s">
        <v>2903</v>
      </c>
      <c r="S506" s="1156" t="s">
        <v>2903</v>
      </c>
      <c r="T506" s="1154"/>
      <c r="U506" s="1153" t="s">
        <v>2903</v>
      </c>
      <c r="V506" s="1156" t="s">
        <v>2903</v>
      </c>
      <c r="W506" s="1150"/>
      <c r="X506" s="1153" t="s">
        <v>2903</v>
      </c>
      <c r="Y506" s="1156" t="s">
        <v>2903</v>
      </c>
      <c r="Z506" s="1150"/>
      <c r="AA506" s="1153" t="s">
        <v>2903</v>
      </c>
      <c r="AB506" s="1156" t="s">
        <v>2903</v>
      </c>
      <c r="AC506" s="1133"/>
      <c r="AD506" s="1153" t="s">
        <v>2903</v>
      </c>
      <c r="AE506" s="1156" t="s">
        <v>2903</v>
      </c>
    </row>
    <row r="507" spans="3:31" x14ac:dyDescent="0.4">
      <c r="C507" s="2823"/>
      <c r="D507" s="1151" t="s">
        <v>3059</v>
      </c>
      <c r="E507" s="1152" t="s">
        <v>3062</v>
      </c>
      <c r="F507" s="1153">
        <v>570379</v>
      </c>
      <c r="G507" s="1153">
        <v>1083192</v>
      </c>
      <c r="H507" s="1151" t="s">
        <v>330</v>
      </c>
      <c r="I507" s="1152" t="s">
        <v>790</v>
      </c>
      <c r="J507" s="1152" t="s">
        <v>3063</v>
      </c>
      <c r="K507" s="1154"/>
      <c r="L507" s="1152">
        <v>0</v>
      </c>
      <c r="M507" s="1152">
        <v>0</v>
      </c>
      <c r="N507" s="1152">
        <v>0</v>
      </c>
      <c r="O507" s="1155" t="s">
        <v>2903</v>
      </c>
      <c r="P507" s="1152" t="s">
        <v>2903</v>
      </c>
      <c r="Q507" s="1138"/>
      <c r="R507" s="1153" t="s">
        <v>2903</v>
      </c>
      <c r="S507" s="1156" t="s">
        <v>2903</v>
      </c>
      <c r="T507" s="1154"/>
      <c r="U507" s="1153" t="s">
        <v>2903</v>
      </c>
      <c r="V507" s="1156" t="s">
        <v>2903</v>
      </c>
      <c r="W507" s="1150"/>
      <c r="X507" s="1153" t="s">
        <v>2903</v>
      </c>
      <c r="Y507" s="1156" t="s">
        <v>2903</v>
      </c>
      <c r="Z507" s="1150"/>
      <c r="AA507" s="1153" t="s">
        <v>2903</v>
      </c>
      <c r="AB507" s="1156" t="s">
        <v>2903</v>
      </c>
      <c r="AC507" s="1133"/>
      <c r="AD507" s="1153" t="s">
        <v>2903</v>
      </c>
      <c r="AE507" s="1156" t="s">
        <v>2903</v>
      </c>
    </row>
    <row r="508" spans="3:31" x14ac:dyDescent="0.4">
      <c r="C508" s="2823"/>
      <c r="D508" s="1151" t="s">
        <v>3059</v>
      </c>
      <c r="E508" s="1152" t="s">
        <v>3064</v>
      </c>
      <c r="F508" s="1153">
        <v>569987</v>
      </c>
      <c r="G508" s="1153">
        <v>1082807</v>
      </c>
      <c r="H508" s="1151" t="s">
        <v>330</v>
      </c>
      <c r="I508" s="1152" t="s">
        <v>790</v>
      </c>
      <c r="J508" s="1152" t="s">
        <v>3063</v>
      </c>
      <c r="K508" s="1154"/>
      <c r="L508" s="1152">
        <v>0</v>
      </c>
      <c r="M508" s="1152">
        <v>0</v>
      </c>
      <c r="N508" s="1152">
        <v>0</v>
      </c>
      <c r="O508" s="1155" t="s">
        <v>2903</v>
      </c>
      <c r="P508" s="1152" t="s">
        <v>2903</v>
      </c>
      <c r="Q508" s="1138"/>
      <c r="R508" s="1153" t="s">
        <v>2903</v>
      </c>
      <c r="S508" s="1156" t="s">
        <v>2903</v>
      </c>
      <c r="T508" s="1154"/>
      <c r="U508" s="1153" t="s">
        <v>2903</v>
      </c>
      <c r="V508" s="1156" t="s">
        <v>2903</v>
      </c>
      <c r="W508" s="1150"/>
      <c r="X508" s="1153" t="s">
        <v>2903</v>
      </c>
      <c r="Y508" s="1156" t="s">
        <v>2903</v>
      </c>
      <c r="Z508" s="1150"/>
      <c r="AA508" s="1153" t="s">
        <v>2903</v>
      </c>
      <c r="AB508" s="1156" t="s">
        <v>2903</v>
      </c>
      <c r="AC508" s="1133"/>
      <c r="AD508" s="1153" t="s">
        <v>2903</v>
      </c>
      <c r="AE508" s="1156" t="s">
        <v>2903</v>
      </c>
    </row>
    <row r="509" spans="3:31" x14ac:dyDescent="0.4">
      <c r="C509" s="2830" t="s">
        <v>3065</v>
      </c>
      <c r="D509" s="1135" t="s">
        <v>3066</v>
      </c>
      <c r="E509" s="1133" t="s">
        <v>3067</v>
      </c>
      <c r="F509" s="1136">
        <v>553952.78625700006</v>
      </c>
      <c r="G509" s="1136">
        <v>1086598.7197799999</v>
      </c>
      <c r="H509" s="1135" t="s">
        <v>330</v>
      </c>
      <c r="I509" s="1133" t="s">
        <v>790</v>
      </c>
      <c r="J509" s="1133" t="s">
        <v>3068</v>
      </c>
      <c r="K509" s="1137"/>
      <c r="L509" s="1138">
        <v>0</v>
      </c>
      <c r="M509" s="1138">
        <v>0</v>
      </c>
      <c r="N509" s="1138">
        <v>0</v>
      </c>
      <c r="O509" s="1139" t="s">
        <v>2903</v>
      </c>
      <c r="P509" s="1138" t="s">
        <v>2903</v>
      </c>
      <c r="Q509" s="1138"/>
      <c r="R509" s="1141" t="s">
        <v>2903</v>
      </c>
      <c r="S509" s="1142" t="s">
        <v>2903</v>
      </c>
      <c r="T509" s="1140"/>
      <c r="U509" s="1143" t="s">
        <v>2903</v>
      </c>
      <c r="V509" s="1142" t="s">
        <v>2903</v>
      </c>
      <c r="W509" s="1140"/>
      <c r="X509" s="1141" t="s">
        <v>2903</v>
      </c>
      <c r="Y509" s="1142" t="s">
        <v>2903</v>
      </c>
      <c r="Z509" s="1140"/>
      <c r="AA509" s="1143" t="s">
        <v>2903</v>
      </c>
      <c r="AB509" s="1142" t="s">
        <v>2903</v>
      </c>
      <c r="AC509" s="1138"/>
      <c r="AD509" s="1143" t="s">
        <v>2903</v>
      </c>
      <c r="AE509" s="1142" t="s">
        <v>2903</v>
      </c>
    </row>
    <row r="510" spans="3:31" x14ac:dyDescent="0.4">
      <c r="C510" s="2825"/>
      <c r="D510" s="1135" t="s">
        <v>3066</v>
      </c>
      <c r="E510" s="1133" t="s">
        <v>3069</v>
      </c>
      <c r="F510" s="1136">
        <v>549561.67938325589</v>
      </c>
      <c r="G510" s="1136">
        <v>1104203.6085808857</v>
      </c>
      <c r="H510" s="1135" t="s">
        <v>330</v>
      </c>
      <c r="I510" s="1133" t="s">
        <v>790</v>
      </c>
      <c r="J510" s="1133" t="s">
        <v>3070</v>
      </c>
      <c r="K510" s="1133"/>
      <c r="L510" s="1133">
        <v>5</v>
      </c>
      <c r="M510" s="1133">
        <v>5</v>
      </c>
      <c r="N510" s="1133">
        <v>0</v>
      </c>
      <c r="O510" s="1157">
        <v>100</v>
      </c>
      <c r="P510" s="1133">
        <v>1</v>
      </c>
      <c r="Q510" s="1138"/>
      <c r="R510" s="1136">
        <v>0.01</v>
      </c>
      <c r="S510" s="1158">
        <v>1</v>
      </c>
      <c r="T510" s="1133"/>
      <c r="U510" s="1136">
        <v>98.1</v>
      </c>
      <c r="V510" s="1158">
        <v>1</v>
      </c>
      <c r="W510" s="1133"/>
      <c r="X510" s="1136">
        <v>0.10500000000000001</v>
      </c>
      <c r="Y510" s="1158">
        <v>1</v>
      </c>
      <c r="Z510" s="1133"/>
      <c r="AA510" s="1136">
        <v>8.1999999999999993</v>
      </c>
      <c r="AB510" s="1158">
        <v>1</v>
      </c>
      <c r="AC510" s="1133"/>
      <c r="AD510" s="1136">
        <v>6.78</v>
      </c>
      <c r="AE510" s="1158">
        <v>1</v>
      </c>
    </row>
    <row r="511" spans="3:31" x14ac:dyDescent="0.4">
      <c r="C511" s="2825"/>
      <c r="D511" s="1135" t="s">
        <v>3066</v>
      </c>
      <c r="E511" s="1133" t="s">
        <v>3071</v>
      </c>
      <c r="F511" s="1136"/>
      <c r="G511" s="1136"/>
      <c r="H511" s="1135" t="s">
        <v>330</v>
      </c>
      <c r="I511" s="1133" t="s">
        <v>790</v>
      </c>
      <c r="J511" s="1133" t="s">
        <v>3070</v>
      </c>
      <c r="K511" s="1133"/>
      <c r="L511" s="1133">
        <v>5</v>
      </c>
      <c r="M511" s="1133">
        <v>4</v>
      </c>
      <c r="N511" s="1133">
        <v>1</v>
      </c>
      <c r="O511" s="1157">
        <v>80</v>
      </c>
      <c r="P511" s="1133">
        <v>1</v>
      </c>
      <c r="Q511" s="1138"/>
      <c r="R511" s="1136">
        <v>2</v>
      </c>
      <c r="S511" s="1158">
        <v>1</v>
      </c>
      <c r="T511" s="1133"/>
      <c r="U511" s="1136">
        <v>136</v>
      </c>
      <c r="V511" s="1158">
        <v>0</v>
      </c>
      <c r="W511" s="1133"/>
      <c r="X511" s="1136">
        <v>0.13688888888888889</v>
      </c>
      <c r="Y511" s="1158">
        <v>1</v>
      </c>
      <c r="Z511" s="1133"/>
      <c r="AA511" s="1136">
        <v>7.9</v>
      </c>
      <c r="AB511" s="1158">
        <v>1</v>
      </c>
      <c r="AC511" s="1133"/>
      <c r="AD511" s="1136">
        <v>6</v>
      </c>
      <c r="AE511" s="1158">
        <v>1</v>
      </c>
    </row>
    <row r="512" spans="3:31" x14ac:dyDescent="0.4">
      <c r="C512" s="2825"/>
      <c r="D512" s="1135" t="s">
        <v>3066</v>
      </c>
      <c r="E512" s="1133" t="s">
        <v>3072</v>
      </c>
      <c r="F512" s="1136">
        <v>556395</v>
      </c>
      <c r="G512" s="1136">
        <v>1116515</v>
      </c>
      <c r="H512" s="1133" t="s">
        <v>334</v>
      </c>
      <c r="I512" s="1133" t="s">
        <v>827</v>
      </c>
      <c r="J512" s="1133" t="s">
        <v>3033</v>
      </c>
      <c r="K512" s="1128"/>
      <c r="L512" s="1138">
        <v>0</v>
      </c>
      <c r="M512" s="1138">
        <v>0</v>
      </c>
      <c r="N512" s="1138">
        <v>0</v>
      </c>
      <c r="O512" s="1139" t="s">
        <v>2903</v>
      </c>
      <c r="P512" s="1138" t="s">
        <v>2903</v>
      </c>
      <c r="Q512" s="1138"/>
      <c r="R512" s="1141" t="s">
        <v>2903</v>
      </c>
      <c r="S512" s="1142" t="s">
        <v>2903</v>
      </c>
      <c r="T512" s="1138"/>
      <c r="U512" s="1143" t="s">
        <v>2903</v>
      </c>
      <c r="V512" s="1142" t="s">
        <v>2903</v>
      </c>
      <c r="W512" s="1138"/>
      <c r="X512" s="1141" t="s">
        <v>2903</v>
      </c>
      <c r="Y512" s="1142" t="s">
        <v>2903</v>
      </c>
      <c r="Z512" s="1138"/>
      <c r="AA512" s="1143" t="s">
        <v>2903</v>
      </c>
      <c r="AB512" s="1142" t="s">
        <v>2903</v>
      </c>
      <c r="AC512" s="1138"/>
      <c r="AD512" s="1143" t="s">
        <v>2903</v>
      </c>
      <c r="AE512" s="1142" t="s">
        <v>2903</v>
      </c>
    </row>
    <row r="513" spans="3:31" x14ac:dyDescent="0.4">
      <c r="C513" s="2825"/>
      <c r="D513" s="1135" t="s">
        <v>3066</v>
      </c>
      <c r="E513" s="1133" t="s">
        <v>3073</v>
      </c>
      <c r="F513" s="1136">
        <v>559157</v>
      </c>
      <c r="G513" s="1136">
        <v>1118911</v>
      </c>
      <c r="H513" s="1135" t="s">
        <v>334</v>
      </c>
      <c r="I513" s="1133" t="s">
        <v>827</v>
      </c>
      <c r="J513" s="1133" t="s">
        <v>3033</v>
      </c>
      <c r="K513" s="1133"/>
      <c r="L513" s="1133">
        <v>5</v>
      </c>
      <c r="M513" s="1133">
        <v>5</v>
      </c>
      <c r="N513" s="1133">
        <v>0</v>
      </c>
      <c r="O513" s="1157">
        <v>100</v>
      </c>
      <c r="P513" s="1133">
        <v>1</v>
      </c>
      <c r="Q513" s="1138"/>
      <c r="R513" s="1136">
        <v>2</v>
      </c>
      <c r="S513" s="1158">
        <v>1</v>
      </c>
      <c r="T513" s="1133"/>
      <c r="U513" s="1136">
        <v>98.3</v>
      </c>
      <c r="V513" s="1158">
        <v>1</v>
      </c>
      <c r="W513" s="1133"/>
      <c r="X513" s="1136">
        <v>0.16</v>
      </c>
      <c r="Y513" s="1158">
        <v>1</v>
      </c>
      <c r="Z513" s="1133"/>
      <c r="AA513" s="1136">
        <v>8.4</v>
      </c>
      <c r="AB513" s="1158">
        <v>1</v>
      </c>
      <c r="AC513" s="1133"/>
      <c r="AD513" s="1136">
        <v>8.6</v>
      </c>
      <c r="AE513" s="1158">
        <v>1</v>
      </c>
    </row>
    <row r="514" spans="3:31" x14ac:dyDescent="0.4">
      <c r="C514" s="2825"/>
      <c r="D514" s="1135" t="s">
        <v>3066</v>
      </c>
      <c r="E514" s="1133" t="s">
        <v>3074</v>
      </c>
      <c r="F514" s="1136">
        <v>573103</v>
      </c>
      <c r="G514" s="1136">
        <v>1128204</v>
      </c>
      <c r="H514" s="1133" t="s">
        <v>334</v>
      </c>
      <c r="I514" s="1133" t="s">
        <v>827</v>
      </c>
      <c r="J514" s="1133" t="s">
        <v>3033</v>
      </c>
      <c r="K514" s="1128"/>
      <c r="L514" s="1138">
        <v>0</v>
      </c>
      <c r="M514" s="1138">
        <v>0</v>
      </c>
      <c r="N514" s="1138">
        <v>0</v>
      </c>
      <c r="O514" s="1139" t="s">
        <v>2903</v>
      </c>
      <c r="P514" s="1138" t="s">
        <v>2903</v>
      </c>
      <c r="Q514" s="1138"/>
      <c r="R514" s="1141" t="s">
        <v>2903</v>
      </c>
      <c r="S514" s="1142" t="s">
        <v>2903</v>
      </c>
      <c r="T514" s="1140"/>
      <c r="U514" s="1143" t="s">
        <v>2903</v>
      </c>
      <c r="V514" s="1142" t="s">
        <v>2903</v>
      </c>
      <c r="W514" s="1140"/>
      <c r="X514" s="1141" t="s">
        <v>2903</v>
      </c>
      <c r="Y514" s="1142" t="s">
        <v>2903</v>
      </c>
      <c r="Z514" s="1138"/>
      <c r="AA514" s="1143" t="s">
        <v>2903</v>
      </c>
      <c r="AB514" s="1142" t="s">
        <v>2903</v>
      </c>
      <c r="AC514" s="1138"/>
      <c r="AD514" s="1143" t="s">
        <v>2903</v>
      </c>
      <c r="AE514" s="1142" t="s">
        <v>2903</v>
      </c>
    </row>
    <row r="515" spans="3:31" x14ac:dyDescent="0.4">
      <c r="C515" s="2825"/>
      <c r="D515" s="1135" t="s">
        <v>3066</v>
      </c>
      <c r="E515" s="1133" t="s">
        <v>3075</v>
      </c>
      <c r="F515" s="1136">
        <v>573104</v>
      </c>
      <c r="G515" s="1136">
        <v>1128204</v>
      </c>
      <c r="H515" s="1133" t="s">
        <v>334</v>
      </c>
      <c r="I515" s="1133" t="s">
        <v>827</v>
      </c>
      <c r="J515" s="1133" t="s">
        <v>3033</v>
      </c>
      <c r="K515" s="1128"/>
      <c r="L515" s="1138">
        <v>0</v>
      </c>
      <c r="M515" s="1138">
        <v>0</v>
      </c>
      <c r="N515" s="1138">
        <v>0</v>
      </c>
      <c r="O515" s="1139" t="s">
        <v>2903</v>
      </c>
      <c r="P515" s="1138" t="s">
        <v>2903</v>
      </c>
      <c r="Q515" s="1138"/>
      <c r="R515" s="1141" t="s">
        <v>2903</v>
      </c>
      <c r="S515" s="1142" t="s">
        <v>2903</v>
      </c>
      <c r="T515" s="1140"/>
      <c r="U515" s="1143" t="s">
        <v>2903</v>
      </c>
      <c r="V515" s="1142" t="s">
        <v>2903</v>
      </c>
      <c r="W515" s="1140"/>
      <c r="X515" s="1141" t="s">
        <v>2903</v>
      </c>
      <c r="Y515" s="1142" t="s">
        <v>2903</v>
      </c>
      <c r="Z515" s="1138"/>
      <c r="AA515" s="1143" t="s">
        <v>2903</v>
      </c>
      <c r="AB515" s="1142" t="s">
        <v>2903</v>
      </c>
      <c r="AC515" s="1138"/>
      <c r="AD515" s="1143" t="s">
        <v>2903</v>
      </c>
      <c r="AE515" s="1142" t="s">
        <v>2903</v>
      </c>
    </row>
    <row r="516" spans="3:31" x14ac:dyDescent="0.4">
      <c r="C516" s="2831" t="s">
        <v>3076</v>
      </c>
      <c r="D516" s="1159" t="s">
        <v>3077</v>
      </c>
      <c r="E516" s="1160" t="s">
        <v>3078</v>
      </c>
      <c r="F516" s="1161">
        <v>600426</v>
      </c>
      <c r="G516" s="1161">
        <v>1096343</v>
      </c>
      <c r="H516" s="1160" t="s">
        <v>334</v>
      </c>
      <c r="I516" s="1160" t="s">
        <v>334</v>
      </c>
      <c r="J516" s="1160" t="s">
        <v>3043</v>
      </c>
      <c r="K516" s="1128"/>
      <c r="L516" s="1160">
        <v>5</v>
      </c>
      <c r="M516" s="1160">
        <v>4</v>
      </c>
      <c r="N516" s="1160">
        <v>1</v>
      </c>
      <c r="O516" s="1162">
        <v>80</v>
      </c>
      <c r="P516" s="1160">
        <v>1</v>
      </c>
      <c r="Q516" s="1138"/>
      <c r="R516" s="1161">
        <v>1.387</v>
      </c>
      <c r="S516" s="1163">
        <v>1</v>
      </c>
      <c r="T516" s="1164"/>
      <c r="U516" s="1161">
        <v>85</v>
      </c>
      <c r="V516" s="1163">
        <v>1</v>
      </c>
      <c r="W516" s="1150"/>
      <c r="X516" s="1161">
        <v>0.03</v>
      </c>
      <c r="Y516" s="1163">
        <v>1</v>
      </c>
      <c r="Z516" s="1133"/>
      <c r="AA516" s="1161">
        <v>8.99</v>
      </c>
      <c r="AB516" s="1163">
        <v>0</v>
      </c>
      <c r="AC516" s="1133"/>
      <c r="AD516" s="1161">
        <v>7.1</v>
      </c>
      <c r="AE516" s="1163">
        <v>1</v>
      </c>
    </row>
    <row r="517" spans="3:31" x14ac:dyDescent="0.4">
      <c r="C517" s="2823"/>
      <c r="D517" s="1159" t="s">
        <v>3077</v>
      </c>
      <c r="E517" s="1160" t="s">
        <v>3079</v>
      </c>
      <c r="F517" s="1161">
        <v>607647</v>
      </c>
      <c r="G517" s="1161">
        <v>1096504</v>
      </c>
      <c r="H517" s="1160" t="s">
        <v>334</v>
      </c>
      <c r="I517" s="1160" t="s">
        <v>334</v>
      </c>
      <c r="J517" s="1160" t="s">
        <v>3043</v>
      </c>
      <c r="K517" s="1128"/>
      <c r="L517" s="1160">
        <v>5</v>
      </c>
      <c r="M517" s="1160">
        <v>4</v>
      </c>
      <c r="N517" s="1160">
        <v>1</v>
      </c>
      <c r="O517" s="1162">
        <v>80</v>
      </c>
      <c r="P517" s="1160">
        <v>1</v>
      </c>
      <c r="Q517" s="1138"/>
      <c r="R517" s="1161">
        <v>2.2749999999999999</v>
      </c>
      <c r="S517" s="1163">
        <v>1</v>
      </c>
      <c r="T517" s="1164"/>
      <c r="U517" s="1161">
        <v>69</v>
      </c>
      <c r="V517" s="1163">
        <v>0</v>
      </c>
      <c r="W517" s="1150"/>
      <c r="X517" s="1161">
        <v>5.0999999999999997E-2</v>
      </c>
      <c r="Y517" s="1163">
        <v>1</v>
      </c>
      <c r="Z517" s="1133"/>
      <c r="AA517" s="1161">
        <v>8.8699999999999992</v>
      </c>
      <c r="AB517" s="1163">
        <v>1</v>
      </c>
      <c r="AC517" s="1133"/>
      <c r="AD517" s="1161">
        <v>125.3</v>
      </c>
      <c r="AE517" s="1163">
        <v>1</v>
      </c>
    </row>
    <row r="518" spans="3:31" x14ac:dyDescent="0.4">
      <c r="C518" s="2830" t="s">
        <v>3080</v>
      </c>
      <c r="D518" s="1135" t="s">
        <v>3081</v>
      </c>
      <c r="E518" s="1133" t="s">
        <v>3082</v>
      </c>
      <c r="F518" s="1136">
        <v>592527.17399299995</v>
      </c>
      <c r="G518" s="1136">
        <v>1075888.68053</v>
      </c>
      <c r="H518" s="1135" t="s">
        <v>334</v>
      </c>
      <c r="I518" s="1133" t="s">
        <v>334</v>
      </c>
      <c r="J518" s="1133" t="s">
        <v>3083</v>
      </c>
      <c r="K518" s="1128"/>
      <c r="L518" s="1138">
        <v>0</v>
      </c>
      <c r="M518" s="1138">
        <v>0</v>
      </c>
      <c r="N518" s="1138">
        <v>0</v>
      </c>
      <c r="O518" s="1139" t="s">
        <v>2903</v>
      </c>
      <c r="P518" s="1138" t="s">
        <v>2903</v>
      </c>
      <c r="Q518" s="1138"/>
      <c r="R518" s="1141" t="s">
        <v>2903</v>
      </c>
      <c r="S518" s="1142" t="s">
        <v>2903</v>
      </c>
      <c r="T518" s="1140"/>
      <c r="U518" s="1143" t="s">
        <v>2903</v>
      </c>
      <c r="V518" s="1142" t="s">
        <v>2903</v>
      </c>
      <c r="W518" s="1140"/>
      <c r="X518" s="1141" t="s">
        <v>2903</v>
      </c>
      <c r="Y518" s="1142" t="s">
        <v>2903</v>
      </c>
      <c r="Z518" s="1138"/>
      <c r="AA518" s="1143" t="s">
        <v>2903</v>
      </c>
      <c r="AB518" s="1142" t="s">
        <v>2903</v>
      </c>
      <c r="AC518" s="1138"/>
      <c r="AD518" s="1143" t="s">
        <v>2903</v>
      </c>
      <c r="AE518" s="1142" t="s">
        <v>2903</v>
      </c>
    </row>
    <row r="519" spans="3:31" x14ac:dyDescent="0.4">
      <c r="C519" s="2825"/>
      <c r="D519" s="1135" t="s">
        <v>3084</v>
      </c>
      <c r="E519" s="1133" t="s">
        <v>3085</v>
      </c>
      <c r="F519" s="1136">
        <v>597935.684289</v>
      </c>
      <c r="G519" s="1136">
        <v>1075672.9735900001</v>
      </c>
      <c r="H519" s="1135" t="s">
        <v>334</v>
      </c>
      <c r="I519" s="1133" t="s">
        <v>334</v>
      </c>
      <c r="J519" s="1133" t="s">
        <v>3083</v>
      </c>
      <c r="K519" s="1128"/>
      <c r="L519" s="1138">
        <v>0</v>
      </c>
      <c r="M519" s="1138">
        <v>0</v>
      </c>
      <c r="N519" s="1138">
        <v>0</v>
      </c>
      <c r="O519" s="1139" t="s">
        <v>2903</v>
      </c>
      <c r="P519" s="1138" t="s">
        <v>2903</v>
      </c>
      <c r="Q519" s="1138"/>
      <c r="R519" s="1141" t="s">
        <v>2903</v>
      </c>
      <c r="S519" s="1142" t="s">
        <v>2903</v>
      </c>
      <c r="T519" s="1140"/>
      <c r="U519" s="1143" t="s">
        <v>2903</v>
      </c>
      <c r="V519" s="1142" t="s">
        <v>2903</v>
      </c>
      <c r="W519" s="1140"/>
      <c r="X519" s="1141" t="s">
        <v>2903</v>
      </c>
      <c r="Y519" s="1142" t="s">
        <v>2903</v>
      </c>
      <c r="Z519" s="1138"/>
      <c r="AA519" s="1143" t="s">
        <v>2903</v>
      </c>
      <c r="AB519" s="1142" t="s">
        <v>2903</v>
      </c>
      <c r="AC519" s="1138"/>
      <c r="AD519" s="1143" t="s">
        <v>2903</v>
      </c>
      <c r="AE519" s="1142" t="s">
        <v>2903</v>
      </c>
    </row>
    <row r="520" spans="3:31" x14ac:dyDescent="0.4">
      <c r="C520" s="2825"/>
      <c r="D520" s="1135" t="s">
        <v>3084</v>
      </c>
      <c r="E520" s="1133" t="s">
        <v>3086</v>
      </c>
      <c r="F520" s="1136">
        <v>615149.50571000006</v>
      </c>
      <c r="G520" s="1136">
        <v>1078051.2324600001</v>
      </c>
      <c r="H520" s="1135" t="s">
        <v>334</v>
      </c>
      <c r="I520" s="1133" t="s">
        <v>334</v>
      </c>
      <c r="J520" s="1133" t="s">
        <v>3083</v>
      </c>
      <c r="K520" s="1128"/>
      <c r="L520" s="1138">
        <v>0</v>
      </c>
      <c r="M520" s="1138">
        <v>0</v>
      </c>
      <c r="N520" s="1138">
        <v>0</v>
      </c>
      <c r="O520" s="1139" t="s">
        <v>2903</v>
      </c>
      <c r="P520" s="1138" t="s">
        <v>2903</v>
      </c>
      <c r="Q520" s="1138"/>
      <c r="R520" s="1141" t="s">
        <v>2903</v>
      </c>
      <c r="S520" s="1142" t="s">
        <v>2903</v>
      </c>
      <c r="T520" s="1140"/>
      <c r="U520" s="1143" t="s">
        <v>2903</v>
      </c>
      <c r="V520" s="1142" t="s">
        <v>2903</v>
      </c>
      <c r="W520" s="1140"/>
      <c r="X520" s="1141" t="s">
        <v>2903</v>
      </c>
      <c r="Y520" s="1142" t="s">
        <v>2903</v>
      </c>
      <c r="Z520" s="1138"/>
      <c r="AA520" s="1143" t="s">
        <v>2903</v>
      </c>
      <c r="AB520" s="1142" t="s">
        <v>2903</v>
      </c>
      <c r="AC520" s="1138"/>
      <c r="AD520" s="1143" t="s">
        <v>2903</v>
      </c>
      <c r="AE520" s="1142" t="s">
        <v>2903</v>
      </c>
    </row>
    <row r="521" spans="3:31" x14ac:dyDescent="0.4">
      <c r="C521" s="2825"/>
      <c r="D521" s="1135" t="s">
        <v>3084</v>
      </c>
      <c r="E521" s="1133" t="s">
        <v>3087</v>
      </c>
      <c r="F521" s="1136">
        <v>619158</v>
      </c>
      <c r="G521" s="1136">
        <v>1082458</v>
      </c>
      <c r="H521" s="1135" t="s">
        <v>334</v>
      </c>
      <c r="I521" s="1133" t="s">
        <v>334</v>
      </c>
      <c r="J521" s="1133" t="s">
        <v>3083</v>
      </c>
      <c r="K521" s="1128"/>
      <c r="L521" s="1138">
        <v>5</v>
      </c>
      <c r="M521" s="1138">
        <v>4</v>
      </c>
      <c r="N521" s="1138">
        <v>1</v>
      </c>
      <c r="O521" s="1139">
        <v>80</v>
      </c>
      <c r="P521" s="1138">
        <v>1</v>
      </c>
      <c r="Q521" s="1138"/>
      <c r="R521" s="1141">
        <v>1.3</v>
      </c>
      <c r="S521" s="1142">
        <v>1</v>
      </c>
      <c r="T521" s="1140"/>
      <c r="U521" s="1143">
        <v>73</v>
      </c>
      <c r="V521" s="1142">
        <v>1</v>
      </c>
      <c r="W521" s="1140"/>
      <c r="X521" s="1141">
        <v>7.0000000000000007E-2</v>
      </c>
      <c r="Y521" s="1142">
        <v>1</v>
      </c>
      <c r="Z521" s="1138"/>
      <c r="AA521" s="1143">
        <v>8.14</v>
      </c>
      <c r="AB521" s="1142">
        <v>1</v>
      </c>
      <c r="AC521" s="1138"/>
      <c r="AD521" s="1143">
        <v>58.3</v>
      </c>
      <c r="AE521" s="1142">
        <v>0</v>
      </c>
    </row>
    <row r="522" spans="3:31" x14ac:dyDescent="0.4">
      <c r="C522" s="2832" t="s">
        <v>3088</v>
      </c>
      <c r="D522" s="1125" t="s">
        <v>3089</v>
      </c>
      <c r="E522" s="1126" t="s">
        <v>3090</v>
      </c>
      <c r="F522" s="1127">
        <v>624974</v>
      </c>
      <c r="G522" s="1127">
        <v>1062379</v>
      </c>
      <c r="H522" s="1126" t="s">
        <v>334</v>
      </c>
      <c r="I522" s="1126" t="s">
        <v>828</v>
      </c>
      <c r="J522" s="1126" t="s">
        <v>3091</v>
      </c>
      <c r="K522" s="1128"/>
      <c r="L522" s="1126">
        <v>5</v>
      </c>
      <c r="M522" s="1126">
        <v>3</v>
      </c>
      <c r="N522" s="1126">
        <v>2</v>
      </c>
      <c r="O522" s="1129">
        <v>60</v>
      </c>
      <c r="P522" s="1126">
        <v>0</v>
      </c>
      <c r="Q522" s="1138"/>
      <c r="R522" s="1127">
        <v>1.3</v>
      </c>
      <c r="S522" s="1131">
        <v>1</v>
      </c>
      <c r="T522" s="1132"/>
      <c r="U522" s="1127">
        <v>62</v>
      </c>
      <c r="V522" s="1131">
        <v>0</v>
      </c>
      <c r="W522" s="1150"/>
      <c r="X522" s="1127">
        <v>8.0399999999999999E-2</v>
      </c>
      <c r="Y522" s="1131">
        <v>1</v>
      </c>
      <c r="Z522" s="1133"/>
      <c r="AA522" s="1127">
        <v>7.6</v>
      </c>
      <c r="AB522" s="1131">
        <v>1</v>
      </c>
      <c r="AC522" s="1133"/>
      <c r="AD522" s="1127">
        <v>194.5</v>
      </c>
      <c r="AE522" s="1131">
        <v>0</v>
      </c>
    </row>
    <row r="523" spans="3:31" x14ac:dyDescent="0.4">
      <c r="C523" s="2823"/>
      <c r="D523" s="1125" t="s">
        <v>3089</v>
      </c>
      <c r="E523" s="1126" t="s">
        <v>3092</v>
      </c>
      <c r="F523" s="1127">
        <v>624971</v>
      </c>
      <c r="G523" s="1127">
        <v>1060351</v>
      </c>
      <c r="H523" s="1126" t="s">
        <v>334</v>
      </c>
      <c r="I523" s="1126" t="s">
        <v>828</v>
      </c>
      <c r="J523" s="1126" t="s">
        <v>3091</v>
      </c>
      <c r="K523" s="1128"/>
      <c r="L523" s="1126">
        <v>5</v>
      </c>
      <c r="M523" s="1126">
        <v>3</v>
      </c>
      <c r="N523" s="1126">
        <v>2</v>
      </c>
      <c r="O523" s="1129">
        <v>60</v>
      </c>
      <c r="P523" s="1126">
        <v>0</v>
      </c>
      <c r="Q523" s="1138"/>
      <c r="R523" s="1127">
        <v>1.3</v>
      </c>
      <c r="S523" s="1131">
        <v>1</v>
      </c>
      <c r="T523" s="1132"/>
      <c r="U523" s="1127">
        <v>67</v>
      </c>
      <c r="V523" s="1131">
        <v>0</v>
      </c>
      <c r="W523" s="1150"/>
      <c r="X523" s="1127">
        <v>0.36399999999999999</v>
      </c>
      <c r="Y523" s="1131">
        <v>1</v>
      </c>
      <c r="Z523" s="1133"/>
      <c r="AA523" s="1127">
        <v>6.93</v>
      </c>
      <c r="AB523" s="1131">
        <v>1</v>
      </c>
      <c r="AC523" s="1133"/>
      <c r="AD523" s="1127">
        <v>207</v>
      </c>
      <c r="AE523" s="1131">
        <v>0</v>
      </c>
    </row>
    <row r="524" spans="3:31" x14ac:dyDescent="0.4">
      <c r="C524" s="2823"/>
      <c r="D524" s="1125" t="s">
        <v>3089</v>
      </c>
      <c r="E524" s="1126" t="s">
        <v>3093</v>
      </c>
      <c r="F524" s="1127">
        <v>652226</v>
      </c>
      <c r="G524" s="1127">
        <v>1050612</v>
      </c>
      <c r="H524" s="1126" t="s">
        <v>334</v>
      </c>
      <c r="I524" s="1126" t="s">
        <v>828</v>
      </c>
      <c r="J524" s="1126" t="s">
        <v>3088</v>
      </c>
      <c r="K524" s="1128"/>
      <c r="L524" s="1126">
        <v>5</v>
      </c>
      <c r="M524" s="1126">
        <v>3</v>
      </c>
      <c r="N524" s="1126">
        <v>2</v>
      </c>
      <c r="O524" s="1129">
        <v>60</v>
      </c>
      <c r="P524" s="1126">
        <v>0</v>
      </c>
      <c r="Q524" s="1138"/>
      <c r="R524" s="1127">
        <v>1.3</v>
      </c>
      <c r="S524" s="1131">
        <v>1</v>
      </c>
      <c r="T524" s="1132"/>
      <c r="U524" s="1127">
        <v>63</v>
      </c>
      <c r="V524" s="1131">
        <v>0</v>
      </c>
      <c r="W524" s="1150"/>
      <c r="X524" s="1127">
        <v>4.0399999999999998E-2</v>
      </c>
      <c r="Y524" s="1131">
        <v>1</v>
      </c>
      <c r="Z524" s="1133"/>
      <c r="AA524" s="1127">
        <v>7.8</v>
      </c>
      <c r="AB524" s="1131">
        <v>1</v>
      </c>
      <c r="AC524" s="1133"/>
      <c r="AD524" s="1127">
        <v>74.3</v>
      </c>
      <c r="AE524" s="1131">
        <v>0</v>
      </c>
    </row>
    <row r="525" spans="3:31" x14ac:dyDescent="0.4">
      <c r="C525" s="2830" t="s">
        <v>3094</v>
      </c>
      <c r="D525" s="1135" t="s">
        <v>3095</v>
      </c>
      <c r="E525" s="1133" t="s">
        <v>3096</v>
      </c>
      <c r="F525" s="1136">
        <v>521141.66</v>
      </c>
      <c r="G525" s="1136">
        <v>1132805.69</v>
      </c>
      <c r="H525" s="1133" t="s">
        <v>334</v>
      </c>
      <c r="I525" s="1133" t="s">
        <v>826</v>
      </c>
      <c r="J525" s="1133" t="s">
        <v>3097</v>
      </c>
      <c r="K525" s="1128"/>
      <c r="L525" s="1138">
        <v>5</v>
      </c>
      <c r="M525" s="1138">
        <v>5</v>
      </c>
      <c r="N525" s="1138">
        <v>0</v>
      </c>
      <c r="O525" s="1139">
        <v>100</v>
      </c>
      <c r="P525" s="1138">
        <v>1</v>
      </c>
      <c r="Q525" s="1138"/>
      <c r="R525" s="1141">
        <v>1.3</v>
      </c>
      <c r="S525" s="1142">
        <v>1</v>
      </c>
      <c r="T525" s="1140"/>
      <c r="U525" s="1143">
        <v>91.9</v>
      </c>
      <c r="V525" s="1142">
        <v>1</v>
      </c>
      <c r="W525" s="1140"/>
      <c r="X525" s="1141">
        <v>0.03</v>
      </c>
      <c r="Y525" s="1142">
        <v>1</v>
      </c>
      <c r="Z525" s="1138"/>
      <c r="AA525" s="1143">
        <v>7.53</v>
      </c>
      <c r="AB525" s="1142">
        <v>1</v>
      </c>
      <c r="AC525" s="1138"/>
      <c r="AD525" s="1143">
        <v>5.5</v>
      </c>
      <c r="AE525" s="1142">
        <v>1</v>
      </c>
    </row>
    <row r="526" spans="3:31" x14ac:dyDescent="0.4">
      <c r="C526" s="2825"/>
      <c r="D526" s="1135" t="s">
        <v>3095</v>
      </c>
      <c r="E526" s="1133" t="s">
        <v>3098</v>
      </c>
      <c r="F526" s="1136">
        <v>521585.82</v>
      </c>
      <c r="G526" s="1136">
        <v>1129246.46</v>
      </c>
      <c r="H526" s="1133" t="s">
        <v>334</v>
      </c>
      <c r="I526" s="1133" t="s">
        <v>826</v>
      </c>
      <c r="J526" s="1133" t="s">
        <v>3097</v>
      </c>
      <c r="K526" s="1128"/>
      <c r="L526" s="1138">
        <v>5</v>
      </c>
      <c r="M526" s="1138">
        <v>5</v>
      </c>
      <c r="N526" s="1138">
        <v>0</v>
      </c>
      <c r="O526" s="1139">
        <v>100</v>
      </c>
      <c r="P526" s="1138">
        <v>1</v>
      </c>
      <c r="Q526" s="1138"/>
      <c r="R526" s="1141">
        <v>1.3</v>
      </c>
      <c r="S526" s="1142">
        <v>1</v>
      </c>
      <c r="T526" s="1140"/>
      <c r="U526" s="1143">
        <v>92</v>
      </c>
      <c r="V526" s="1142">
        <v>1</v>
      </c>
      <c r="W526" s="1140"/>
      <c r="X526" s="1141">
        <v>0.03</v>
      </c>
      <c r="Y526" s="1142">
        <v>1</v>
      </c>
      <c r="Z526" s="1138"/>
      <c r="AA526" s="1143">
        <v>7.74</v>
      </c>
      <c r="AB526" s="1142">
        <v>1</v>
      </c>
      <c r="AC526" s="1138"/>
      <c r="AD526" s="1143">
        <v>5.5</v>
      </c>
      <c r="AE526" s="1142">
        <v>1</v>
      </c>
    </row>
    <row r="527" spans="3:31" x14ac:dyDescent="0.4">
      <c r="C527" s="2825"/>
      <c r="D527" s="1135" t="s">
        <v>3095</v>
      </c>
      <c r="E527" s="1133" t="s">
        <v>3099</v>
      </c>
      <c r="F527" s="1136">
        <v>523998</v>
      </c>
      <c r="G527" s="1136">
        <v>1137806</v>
      </c>
      <c r="H527" s="1133" t="s">
        <v>334</v>
      </c>
      <c r="I527" s="1133" t="s">
        <v>826</v>
      </c>
      <c r="J527" s="1133" t="s">
        <v>3100</v>
      </c>
      <c r="K527" s="1128"/>
      <c r="L527" s="1138">
        <v>5</v>
      </c>
      <c r="M527" s="1138">
        <v>5</v>
      </c>
      <c r="N527" s="1138">
        <v>0</v>
      </c>
      <c r="O527" s="1139">
        <v>100</v>
      </c>
      <c r="P527" s="1138">
        <v>1</v>
      </c>
      <c r="Q527" s="1138"/>
      <c r="R527" s="1141">
        <v>1.7330000000000001</v>
      </c>
      <c r="S527" s="1142">
        <v>1</v>
      </c>
      <c r="T527" s="1140"/>
      <c r="U527" s="1143">
        <v>90.8</v>
      </c>
      <c r="V527" s="1142">
        <v>1</v>
      </c>
      <c r="W527" s="1140"/>
      <c r="X527" s="1141">
        <v>3.5799999999999998E-2</v>
      </c>
      <c r="Y527" s="1142">
        <v>1</v>
      </c>
      <c r="Z527" s="1138"/>
      <c r="AA527" s="1143">
        <v>7.46</v>
      </c>
      <c r="AB527" s="1142">
        <v>1</v>
      </c>
      <c r="AC527" s="1138"/>
      <c r="AD527" s="1143">
        <v>5.5</v>
      </c>
      <c r="AE527" s="1142">
        <v>1</v>
      </c>
    </row>
    <row r="528" spans="3:31" x14ac:dyDescent="0.4">
      <c r="C528" s="2825"/>
      <c r="D528" s="1135" t="s">
        <v>3095</v>
      </c>
      <c r="E528" s="1133" t="s">
        <v>3101</v>
      </c>
      <c r="F528" s="1136">
        <v>534432.40908333356</v>
      </c>
      <c r="G528" s="1136">
        <v>1147242.2668981161</v>
      </c>
      <c r="H528" s="1133" t="s">
        <v>334</v>
      </c>
      <c r="I528" s="1133" t="s">
        <v>826</v>
      </c>
      <c r="J528" s="1133" t="s">
        <v>3102</v>
      </c>
      <c r="K528" s="1128"/>
      <c r="L528" s="1138">
        <v>0</v>
      </c>
      <c r="M528" s="1138">
        <v>0</v>
      </c>
      <c r="N528" s="1138">
        <v>0</v>
      </c>
      <c r="O528" s="1139" t="s">
        <v>2903</v>
      </c>
      <c r="P528" s="1138" t="s">
        <v>2903</v>
      </c>
      <c r="Q528" s="1138"/>
      <c r="R528" s="1141" t="s">
        <v>2903</v>
      </c>
      <c r="S528" s="1142" t="s">
        <v>2903</v>
      </c>
      <c r="T528" s="1140"/>
      <c r="U528" s="1143" t="s">
        <v>2903</v>
      </c>
      <c r="V528" s="1142" t="s">
        <v>2903</v>
      </c>
      <c r="W528" s="1140"/>
      <c r="X528" s="1141" t="s">
        <v>2903</v>
      </c>
      <c r="Y528" s="1142" t="s">
        <v>2903</v>
      </c>
      <c r="Z528" s="1138"/>
      <c r="AA528" s="1143" t="s">
        <v>2903</v>
      </c>
      <c r="AB528" s="1142" t="s">
        <v>2903</v>
      </c>
      <c r="AC528" s="1138"/>
      <c r="AD528" s="1143" t="s">
        <v>2903</v>
      </c>
      <c r="AE528" s="1142" t="s">
        <v>2903</v>
      </c>
    </row>
    <row r="529" spans="3:31" x14ac:dyDescent="0.4">
      <c r="C529" s="2823"/>
      <c r="D529" s="1135" t="s">
        <v>3095</v>
      </c>
      <c r="E529" s="1133" t="s">
        <v>3103</v>
      </c>
      <c r="F529" s="1136">
        <v>536063</v>
      </c>
      <c r="G529" s="1136">
        <v>1149276</v>
      </c>
      <c r="H529" s="1133" t="s">
        <v>334</v>
      </c>
      <c r="I529" s="1133" t="s">
        <v>826</v>
      </c>
      <c r="J529" s="1133" t="s">
        <v>3102</v>
      </c>
      <c r="K529" s="1128"/>
      <c r="L529" s="1133">
        <v>5</v>
      </c>
      <c r="M529" s="1133">
        <v>4</v>
      </c>
      <c r="N529" s="1133">
        <v>1</v>
      </c>
      <c r="O529" s="1133">
        <v>80</v>
      </c>
      <c r="P529" s="1133">
        <v>1</v>
      </c>
      <c r="Q529" s="1138"/>
      <c r="R529" s="1141">
        <v>1.3</v>
      </c>
      <c r="S529" s="1165">
        <v>1</v>
      </c>
      <c r="T529" s="1166"/>
      <c r="U529" s="1141">
        <v>85.4</v>
      </c>
      <c r="V529" s="1165">
        <v>1</v>
      </c>
      <c r="W529" s="1166"/>
      <c r="X529" s="1141">
        <v>0.08</v>
      </c>
      <c r="Y529" s="1165">
        <v>1</v>
      </c>
      <c r="Z529" s="1141"/>
      <c r="AA529" s="1141">
        <v>6.94</v>
      </c>
      <c r="AB529" s="1165">
        <v>1</v>
      </c>
      <c r="AC529" s="1141"/>
      <c r="AD529" s="1141">
        <v>83.9</v>
      </c>
      <c r="AE529" s="1165">
        <v>0</v>
      </c>
    </row>
    <row r="530" spans="3:31" x14ac:dyDescent="0.4">
      <c r="C530" s="2829" t="s">
        <v>3104</v>
      </c>
      <c r="D530" s="1167" t="s">
        <v>3105</v>
      </c>
      <c r="E530" s="1168" t="s">
        <v>3106</v>
      </c>
      <c r="F530" s="1169">
        <v>349842</v>
      </c>
      <c r="G530" s="1169">
        <v>1117119</v>
      </c>
      <c r="H530" s="1167" t="s">
        <v>332</v>
      </c>
      <c r="I530" s="1168" t="s">
        <v>804</v>
      </c>
      <c r="J530" s="1168" t="s">
        <v>3107</v>
      </c>
      <c r="K530" s="1111"/>
      <c r="L530" s="1168">
        <v>5</v>
      </c>
      <c r="M530" s="1168">
        <v>4</v>
      </c>
      <c r="N530" s="1168">
        <v>1</v>
      </c>
      <c r="O530" s="1170">
        <v>80</v>
      </c>
      <c r="P530" s="1168">
        <v>1</v>
      </c>
      <c r="Q530" s="1150"/>
      <c r="R530" s="1174">
        <v>7.2</v>
      </c>
      <c r="S530" s="1171">
        <v>0</v>
      </c>
      <c r="T530" s="1149"/>
      <c r="U530" s="1174">
        <v>98.4</v>
      </c>
      <c r="V530" s="1171">
        <v>1</v>
      </c>
      <c r="W530" s="1150"/>
      <c r="X530" s="1174">
        <v>0.09</v>
      </c>
      <c r="Y530" s="1171">
        <v>1</v>
      </c>
      <c r="Z530" s="1150"/>
      <c r="AA530" s="1169">
        <v>8.1999999999999993</v>
      </c>
      <c r="AB530" s="1171">
        <v>1</v>
      </c>
      <c r="AC530" s="1133"/>
      <c r="AD530" s="1174">
        <v>3.4</v>
      </c>
      <c r="AE530" s="1171">
        <v>1</v>
      </c>
    </row>
    <row r="531" spans="3:31" x14ac:dyDescent="0.4">
      <c r="C531" s="2823"/>
      <c r="D531" s="1167" t="s">
        <v>3105</v>
      </c>
      <c r="E531" s="1168" t="s">
        <v>3108</v>
      </c>
      <c r="F531" s="1169">
        <v>355309</v>
      </c>
      <c r="G531" s="1169">
        <v>1113777</v>
      </c>
      <c r="H531" s="1167" t="s">
        <v>332</v>
      </c>
      <c r="I531" s="1168" t="s">
        <v>804</v>
      </c>
      <c r="J531" s="1168" t="s">
        <v>3107</v>
      </c>
      <c r="K531" s="1111"/>
      <c r="L531" s="1168">
        <v>5</v>
      </c>
      <c r="M531" s="1168">
        <v>4</v>
      </c>
      <c r="N531" s="1168">
        <v>1</v>
      </c>
      <c r="O531" s="1170">
        <v>80</v>
      </c>
      <c r="P531" s="1168">
        <v>1</v>
      </c>
      <c r="Q531" s="1150"/>
      <c r="R531" s="1174">
        <v>6.3</v>
      </c>
      <c r="S531" s="1171">
        <v>0</v>
      </c>
      <c r="T531" s="1149"/>
      <c r="U531" s="1174">
        <v>80.8</v>
      </c>
      <c r="V531" s="1171">
        <v>1</v>
      </c>
      <c r="W531" s="1150"/>
      <c r="X531" s="1174">
        <v>0.09</v>
      </c>
      <c r="Y531" s="1171">
        <v>1</v>
      </c>
      <c r="Z531" s="1150"/>
      <c r="AA531" s="1174">
        <v>8.07</v>
      </c>
      <c r="AB531" s="1171">
        <v>1</v>
      </c>
      <c r="AC531" s="1133"/>
      <c r="AD531" s="1174">
        <v>9.1</v>
      </c>
      <c r="AE531" s="1171">
        <v>1</v>
      </c>
    </row>
    <row r="532" spans="3:31" x14ac:dyDescent="0.4">
      <c r="C532" s="2823"/>
      <c r="D532" s="1167" t="s">
        <v>3105</v>
      </c>
      <c r="E532" s="1168" t="s">
        <v>3109</v>
      </c>
      <c r="F532" s="1169">
        <v>365172</v>
      </c>
      <c r="G532" s="1169">
        <v>1112633</v>
      </c>
      <c r="H532" s="1167" t="s">
        <v>332</v>
      </c>
      <c r="I532" s="1168" t="s">
        <v>804</v>
      </c>
      <c r="J532" s="1168" t="s">
        <v>804</v>
      </c>
      <c r="K532" s="1111"/>
      <c r="L532" s="1172" t="s">
        <v>2903</v>
      </c>
      <c r="M532" s="1168" t="s">
        <v>2903</v>
      </c>
      <c r="N532" s="1168" t="s">
        <v>2903</v>
      </c>
      <c r="O532" s="1170" t="s">
        <v>2903</v>
      </c>
      <c r="P532" s="1168" t="s">
        <v>2903</v>
      </c>
      <c r="Q532" s="1150"/>
      <c r="R532" s="1174" t="s">
        <v>2903</v>
      </c>
      <c r="S532" s="1171" t="s">
        <v>2903</v>
      </c>
      <c r="T532" s="1149"/>
      <c r="U532" s="1174" t="s">
        <v>2903</v>
      </c>
      <c r="V532" s="1171" t="s">
        <v>2903</v>
      </c>
      <c r="W532" s="1150"/>
      <c r="X532" s="1174" t="s">
        <v>2903</v>
      </c>
      <c r="Y532" s="1171" t="s">
        <v>2903</v>
      </c>
      <c r="Z532" s="1150"/>
      <c r="AA532" s="1169" t="s">
        <v>2903</v>
      </c>
      <c r="AB532" s="1171" t="s">
        <v>2903</v>
      </c>
      <c r="AC532" s="1133"/>
      <c r="AD532" s="1174" t="s">
        <v>2903</v>
      </c>
      <c r="AE532" s="1171" t="s">
        <v>2903</v>
      </c>
    </row>
    <row r="533" spans="3:31" x14ac:dyDescent="0.4">
      <c r="C533" s="2823"/>
      <c r="D533" s="1167" t="s">
        <v>3110</v>
      </c>
      <c r="E533" s="1168" t="s">
        <v>3111</v>
      </c>
      <c r="F533" s="1169">
        <v>317976</v>
      </c>
      <c r="G533" s="1169">
        <v>1102883</v>
      </c>
      <c r="H533" s="1167" t="s">
        <v>332</v>
      </c>
      <c r="I533" s="1168" t="s">
        <v>804</v>
      </c>
      <c r="J533" s="1168" t="s">
        <v>3112</v>
      </c>
      <c r="K533" s="1111"/>
      <c r="L533" s="1172">
        <v>5</v>
      </c>
      <c r="M533" s="1168">
        <v>3</v>
      </c>
      <c r="N533" s="1168">
        <v>2</v>
      </c>
      <c r="O533" s="1170">
        <v>60</v>
      </c>
      <c r="P533" s="1168">
        <v>0</v>
      </c>
      <c r="Q533" s="1150"/>
      <c r="R533" s="1174">
        <v>6.5</v>
      </c>
      <c r="S533" s="1171">
        <v>0</v>
      </c>
      <c r="T533" s="1149"/>
      <c r="U533" s="1174">
        <v>10.5</v>
      </c>
      <c r="V533" s="1171">
        <v>0</v>
      </c>
      <c r="W533" s="1150"/>
      <c r="X533" s="1174">
        <v>0.22</v>
      </c>
      <c r="Y533" s="1171">
        <v>1</v>
      </c>
      <c r="Z533" s="1150"/>
      <c r="AA533" s="1169">
        <v>8.31</v>
      </c>
      <c r="AB533" s="1171">
        <v>1</v>
      </c>
      <c r="AC533" s="1133"/>
      <c r="AD533" s="1174">
        <v>6.53</v>
      </c>
      <c r="AE533" s="1171">
        <v>0</v>
      </c>
    </row>
    <row r="534" spans="3:31" x14ac:dyDescent="0.4">
      <c r="C534" s="2823"/>
      <c r="D534" s="1167" t="s">
        <v>3110</v>
      </c>
      <c r="E534" s="1168" t="s">
        <v>3113</v>
      </c>
      <c r="F534" s="1169">
        <v>331169</v>
      </c>
      <c r="G534" s="1169">
        <v>1109457</v>
      </c>
      <c r="H534" s="1167" t="s">
        <v>332</v>
      </c>
      <c r="I534" s="1168" t="s">
        <v>804</v>
      </c>
      <c r="J534" s="1168" t="s">
        <v>3112</v>
      </c>
      <c r="K534" s="1111"/>
      <c r="L534" s="1172">
        <v>5</v>
      </c>
      <c r="M534" s="1168">
        <v>4</v>
      </c>
      <c r="N534" s="1168">
        <v>1</v>
      </c>
      <c r="O534" s="1170">
        <v>80</v>
      </c>
      <c r="P534" s="1168">
        <v>1</v>
      </c>
      <c r="Q534" s="1150"/>
      <c r="R534" s="1174">
        <v>6.9</v>
      </c>
      <c r="S534" s="1171">
        <v>0</v>
      </c>
      <c r="T534" s="1149"/>
      <c r="U534" s="1174">
        <v>99.1</v>
      </c>
      <c r="V534" s="1171">
        <v>1</v>
      </c>
      <c r="W534" s="1150"/>
      <c r="X534" s="1174">
        <v>0.12</v>
      </c>
      <c r="Y534" s="1171">
        <v>1</v>
      </c>
      <c r="Z534" s="1150"/>
      <c r="AA534" s="1169">
        <v>8.4700000000000006</v>
      </c>
      <c r="AB534" s="1171">
        <v>1</v>
      </c>
      <c r="AC534" s="1133"/>
      <c r="AD534" s="1225">
        <v>3.4</v>
      </c>
      <c r="AE534" s="1171">
        <v>0</v>
      </c>
    </row>
    <row r="535" spans="3:31" x14ac:dyDescent="0.4">
      <c r="C535" s="2823"/>
      <c r="D535" s="1144" t="s">
        <v>3114</v>
      </c>
      <c r="E535" s="1145" t="s">
        <v>3115</v>
      </c>
      <c r="F535" s="1146">
        <v>367100</v>
      </c>
      <c r="G535" s="1146">
        <v>1077698</v>
      </c>
      <c r="H535" s="1144" t="s">
        <v>332</v>
      </c>
      <c r="I535" s="1145" t="s">
        <v>811</v>
      </c>
      <c r="J535" s="1145" t="s">
        <v>3116</v>
      </c>
      <c r="K535" s="1111"/>
      <c r="L535" s="1226">
        <v>5</v>
      </c>
      <c r="M535" s="1145">
        <v>4</v>
      </c>
      <c r="N535" s="1145">
        <v>1</v>
      </c>
      <c r="O535" s="1170">
        <v>80</v>
      </c>
      <c r="P535" s="1145">
        <v>1</v>
      </c>
      <c r="Q535" s="1150"/>
      <c r="R535" s="1225">
        <v>4.4000000000000004</v>
      </c>
      <c r="S535" s="1148">
        <v>1</v>
      </c>
      <c r="T535" s="1149"/>
      <c r="U535" s="1225">
        <v>104.93</v>
      </c>
      <c r="V535" s="1148">
        <v>1</v>
      </c>
      <c r="W535" s="1150"/>
      <c r="X535" s="1225">
        <v>0.5</v>
      </c>
      <c r="Y535" s="1148">
        <v>1</v>
      </c>
      <c r="Z535" s="1150"/>
      <c r="AA535" s="1146">
        <v>7.96</v>
      </c>
      <c r="AB535" s="1148">
        <v>1</v>
      </c>
      <c r="AC535" s="1133"/>
      <c r="AD535" s="1225">
        <v>22</v>
      </c>
      <c r="AE535" s="1148">
        <v>0</v>
      </c>
    </row>
    <row r="536" spans="3:31" x14ac:dyDescent="0.4">
      <c r="C536" s="2823"/>
      <c r="D536" s="1144" t="s">
        <v>3038</v>
      </c>
      <c r="E536" s="1145" t="s">
        <v>3117</v>
      </c>
      <c r="F536" s="1146">
        <v>369901</v>
      </c>
      <c r="G536" s="1146">
        <v>1088599</v>
      </c>
      <c r="H536" s="1144" t="s">
        <v>533</v>
      </c>
      <c r="I536" s="1144" t="s">
        <v>533</v>
      </c>
      <c r="J536" s="1145" t="s">
        <v>3118</v>
      </c>
      <c r="K536" s="1111"/>
      <c r="L536" s="1226">
        <v>5</v>
      </c>
      <c r="M536" s="1145">
        <v>4</v>
      </c>
      <c r="N536" s="1145">
        <v>1</v>
      </c>
      <c r="O536" s="1170">
        <v>80</v>
      </c>
      <c r="P536" s="1145">
        <v>1</v>
      </c>
      <c r="Q536" s="1150"/>
      <c r="R536" s="1225">
        <v>5</v>
      </c>
      <c r="S536" s="1148">
        <v>1</v>
      </c>
      <c r="T536" s="1149"/>
      <c r="U536" s="1225">
        <v>110.4</v>
      </c>
      <c r="V536" s="1148">
        <v>1</v>
      </c>
      <c r="W536" s="1150"/>
      <c r="X536" s="1225">
        <v>0.5</v>
      </c>
      <c r="Y536" s="1148">
        <v>1</v>
      </c>
      <c r="Z536" s="1150"/>
      <c r="AA536" s="1146">
        <v>7.88</v>
      </c>
      <c r="AB536" s="1148">
        <v>1</v>
      </c>
      <c r="AC536" s="1133"/>
      <c r="AD536" s="1225">
        <v>9</v>
      </c>
      <c r="AE536" s="1148">
        <v>0</v>
      </c>
    </row>
    <row r="537" spans="3:31" x14ac:dyDescent="0.4">
      <c r="C537" s="2823"/>
      <c r="D537" s="1144" t="s">
        <v>3121</v>
      </c>
      <c r="E537" s="1145" t="s">
        <v>3119</v>
      </c>
      <c r="F537" s="1146">
        <v>369108</v>
      </c>
      <c r="G537" s="1146">
        <v>1075466</v>
      </c>
      <c r="H537" s="1144" t="s">
        <v>533</v>
      </c>
      <c r="I537" s="1144" t="s">
        <v>533</v>
      </c>
      <c r="J537" s="1145" t="s">
        <v>3120</v>
      </c>
      <c r="K537" s="1111"/>
      <c r="L537" s="1226">
        <v>5</v>
      </c>
      <c r="M537" s="1145">
        <v>4</v>
      </c>
      <c r="N537" s="1145">
        <v>1</v>
      </c>
      <c r="O537" s="1170">
        <v>80</v>
      </c>
      <c r="P537" s="1145">
        <v>1</v>
      </c>
      <c r="Q537" s="1150"/>
      <c r="R537" s="1225">
        <v>5.4</v>
      </c>
      <c r="S537" s="1148">
        <v>1</v>
      </c>
      <c r="T537" s="1149"/>
      <c r="U537" s="1225">
        <v>81.91</v>
      </c>
      <c r="V537" s="1148">
        <v>1</v>
      </c>
      <c r="W537" s="1150"/>
      <c r="X537" s="1225">
        <v>0.5</v>
      </c>
      <c r="Y537" s="1148">
        <v>1</v>
      </c>
      <c r="Z537" s="1150"/>
      <c r="AA537" s="1146">
        <v>8.0500000000000007</v>
      </c>
      <c r="AB537" s="1148">
        <v>1</v>
      </c>
      <c r="AC537" s="1133"/>
      <c r="AD537" s="1225">
        <v>5.4</v>
      </c>
      <c r="AE537" s="1148">
        <v>0</v>
      </c>
    </row>
    <row r="538" spans="3:31" x14ac:dyDescent="0.4">
      <c r="C538" s="2823"/>
      <c r="D538" s="1144" t="s">
        <v>3121</v>
      </c>
      <c r="E538" s="1145" t="s">
        <v>3122</v>
      </c>
      <c r="F538" s="1146">
        <v>377981</v>
      </c>
      <c r="G538" s="1146">
        <v>1077549</v>
      </c>
      <c r="H538" s="1144" t="s">
        <v>533</v>
      </c>
      <c r="I538" s="1144" t="s">
        <v>533</v>
      </c>
      <c r="J538" s="1145" t="s">
        <v>3120</v>
      </c>
      <c r="K538" s="1111"/>
      <c r="L538" s="1226">
        <v>5</v>
      </c>
      <c r="M538" s="1145">
        <v>5</v>
      </c>
      <c r="N538" s="1145">
        <v>0</v>
      </c>
      <c r="O538" s="1170">
        <v>100</v>
      </c>
      <c r="P538" s="1145">
        <v>1</v>
      </c>
      <c r="Q538" s="1150"/>
      <c r="R538" s="1225">
        <v>5</v>
      </c>
      <c r="S538" s="1148">
        <v>1</v>
      </c>
      <c r="T538" s="1149"/>
      <c r="U538" s="1225">
        <v>114.62</v>
      </c>
      <c r="V538" s="1148">
        <v>1</v>
      </c>
      <c r="W538" s="1150"/>
      <c r="X538" s="1225">
        <v>0.5</v>
      </c>
      <c r="Y538" s="1148">
        <v>1</v>
      </c>
      <c r="Z538" s="1150"/>
      <c r="AA538" s="1146">
        <v>8.08</v>
      </c>
      <c r="AB538" s="1148">
        <v>1</v>
      </c>
      <c r="AC538" s="1133"/>
      <c r="AD538" s="1225">
        <v>3</v>
      </c>
      <c r="AE538" s="1148">
        <v>1</v>
      </c>
    </row>
    <row r="539" spans="3:31" x14ac:dyDescent="0.4">
      <c r="C539" s="2830" t="s">
        <v>3123</v>
      </c>
      <c r="D539" s="1135" t="s">
        <v>3124</v>
      </c>
      <c r="E539" s="1133" t="s">
        <v>3125</v>
      </c>
      <c r="F539" s="1136">
        <v>331594</v>
      </c>
      <c r="G539" s="1136">
        <v>1196861</v>
      </c>
      <c r="H539" s="1135" t="s">
        <v>332</v>
      </c>
      <c r="I539" s="1135" t="s">
        <v>803</v>
      </c>
      <c r="J539" s="1135" t="s">
        <v>803</v>
      </c>
      <c r="K539" s="1101"/>
      <c r="L539" s="1135">
        <v>5</v>
      </c>
      <c r="M539" s="1135">
        <v>5</v>
      </c>
      <c r="N539" s="1135">
        <v>0</v>
      </c>
      <c r="O539" s="1135">
        <v>100</v>
      </c>
      <c r="P539" s="1135">
        <v>1</v>
      </c>
      <c r="Q539" s="1135"/>
      <c r="R539" s="1227">
        <v>3.1</v>
      </c>
      <c r="S539" s="1177">
        <v>1</v>
      </c>
      <c r="T539" s="1135"/>
      <c r="U539" s="1227">
        <v>96.4</v>
      </c>
      <c r="V539" s="1177">
        <v>1</v>
      </c>
      <c r="W539" s="1135"/>
      <c r="X539" s="1176">
        <v>0.18433333333333332</v>
      </c>
      <c r="Y539" s="1177">
        <v>1</v>
      </c>
      <c r="Z539" s="1135"/>
      <c r="AA539" s="1227">
        <v>7.41</v>
      </c>
      <c r="AB539" s="1177">
        <v>1</v>
      </c>
      <c r="AC539" s="1135"/>
      <c r="AD539" s="1227">
        <v>3.4</v>
      </c>
      <c r="AE539" s="1177">
        <v>1</v>
      </c>
    </row>
    <row r="540" spans="3:31" x14ac:dyDescent="0.4">
      <c r="C540" s="2825"/>
      <c r="D540" s="1135" t="s">
        <v>3126</v>
      </c>
      <c r="E540" s="1133" t="s">
        <v>3127</v>
      </c>
      <c r="F540" s="1136">
        <v>341394</v>
      </c>
      <c r="G540" s="1136">
        <v>1198407</v>
      </c>
      <c r="H540" s="1135" t="s">
        <v>332</v>
      </c>
      <c r="I540" s="1135" t="s">
        <v>803</v>
      </c>
      <c r="J540" s="1135" t="s">
        <v>803</v>
      </c>
      <c r="K540" s="1101"/>
      <c r="L540" s="1135">
        <v>5</v>
      </c>
      <c r="M540" s="1135">
        <v>5</v>
      </c>
      <c r="N540" s="1135">
        <v>0</v>
      </c>
      <c r="O540" s="1135">
        <v>100</v>
      </c>
      <c r="P540" s="1135">
        <v>1</v>
      </c>
      <c r="Q540" s="1135"/>
      <c r="R540" s="1227">
        <v>4.7</v>
      </c>
      <c r="S540" s="1177">
        <v>1</v>
      </c>
      <c r="T540" s="1135"/>
      <c r="U540" s="1227">
        <v>102</v>
      </c>
      <c r="V540" s="1177">
        <v>1</v>
      </c>
      <c r="W540" s="1135"/>
      <c r="X540" s="1176">
        <v>9.1777777777777778E-2</v>
      </c>
      <c r="Y540" s="1177">
        <v>1</v>
      </c>
      <c r="Z540" s="1135"/>
      <c r="AA540" s="1227">
        <v>7.93</v>
      </c>
      <c r="AB540" s="1177">
        <v>1</v>
      </c>
      <c r="AC540" s="1135"/>
      <c r="AD540" s="1227">
        <v>6.36</v>
      </c>
      <c r="AE540" s="1177">
        <v>1</v>
      </c>
    </row>
    <row r="541" spans="3:31" x14ac:dyDescent="0.4">
      <c r="C541" s="2825"/>
      <c r="D541" s="1135" t="s">
        <v>3128</v>
      </c>
      <c r="E541" s="1133" t="s">
        <v>3129</v>
      </c>
      <c r="F541" s="1136">
        <v>329305</v>
      </c>
      <c r="G541" s="1136">
        <v>1176957</v>
      </c>
      <c r="H541" s="1135" t="s">
        <v>332</v>
      </c>
      <c r="I541" s="1135" t="s">
        <v>803</v>
      </c>
      <c r="J541" s="1135" t="s">
        <v>803</v>
      </c>
      <c r="K541" s="1101"/>
      <c r="L541" s="1135">
        <v>5</v>
      </c>
      <c r="M541" s="1135">
        <v>5</v>
      </c>
      <c r="N541" s="1135">
        <v>0</v>
      </c>
      <c r="O541" s="1135">
        <v>100</v>
      </c>
      <c r="P541" s="1135">
        <v>1</v>
      </c>
      <c r="Q541" s="1135"/>
      <c r="R541" s="1227">
        <v>3.6</v>
      </c>
      <c r="S541" s="1177">
        <v>1</v>
      </c>
      <c r="T541" s="1135"/>
      <c r="U541" s="1227">
        <v>104</v>
      </c>
      <c r="V541" s="1177">
        <v>1</v>
      </c>
      <c r="W541" s="1135"/>
      <c r="X541" s="1176">
        <v>0.15788888888888891</v>
      </c>
      <c r="Y541" s="1177">
        <v>1</v>
      </c>
      <c r="Z541" s="1135"/>
      <c r="AA541" s="1227">
        <v>7.69</v>
      </c>
      <c r="AB541" s="1177">
        <v>1</v>
      </c>
      <c r="AC541" s="1135"/>
      <c r="AD541" s="1227">
        <v>3.4</v>
      </c>
      <c r="AE541" s="1177">
        <v>1</v>
      </c>
    </row>
    <row r="542" spans="3:31" x14ac:dyDescent="0.4">
      <c r="C542" s="2825"/>
      <c r="D542" s="1135" t="s">
        <v>3130</v>
      </c>
      <c r="E542" s="1133" t="s">
        <v>3131</v>
      </c>
      <c r="F542" s="1136">
        <v>344627</v>
      </c>
      <c r="G542" s="1136">
        <v>1176883</v>
      </c>
      <c r="H542" s="1135" t="s">
        <v>332</v>
      </c>
      <c r="I542" s="1135" t="s">
        <v>803</v>
      </c>
      <c r="J542" s="1135" t="s">
        <v>803</v>
      </c>
      <c r="K542" s="1101"/>
      <c r="L542" s="1135">
        <v>5</v>
      </c>
      <c r="M542" s="1135">
        <v>5</v>
      </c>
      <c r="N542" s="1135">
        <v>0</v>
      </c>
      <c r="O542" s="1135">
        <v>100</v>
      </c>
      <c r="P542" s="1135">
        <v>1</v>
      </c>
      <c r="Q542" s="1135"/>
      <c r="R542" s="1227">
        <v>1.9</v>
      </c>
      <c r="S542" s="1177">
        <v>1</v>
      </c>
      <c r="T542" s="1135"/>
      <c r="U542" s="1227">
        <v>105</v>
      </c>
      <c r="V542" s="1177">
        <v>1</v>
      </c>
      <c r="W542" s="1135"/>
      <c r="X542" s="1176">
        <v>0.16644444444444445</v>
      </c>
      <c r="Y542" s="1177">
        <v>1</v>
      </c>
      <c r="Z542" s="1135"/>
      <c r="AA542" s="1227">
        <v>7.88</v>
      </c>
      <c r="AB542" s="1177">
        <v>1</v>
      </c>
      <c r="AC542" s="1135"/>
      <c r="AD542" s="1227">
        <v>3.4</v>
      </c>
      <c r="AE542" s="1177">
        <v>1</v>
      </c>
    </row>
    <row r="543" spans="3:31" x14ac:dyDescent="0.4">
      <c r="C543" s="2825"/>
      <c r="D543" s="1135" t="s">
        <v>3132</v>
      </c>
      <c r="E543" s="1133" t="s">
        <v>3133</v>
      </c>
      <c r="F543" s="1136">
        <v>328127</v>
      </c>
      <c r="G543" s="1136">
        <v>1160366</v>
      </c>
      <c r="H543" s="1135" t="s">
        <v>332</v>
      </c>
      <c r="I543" s="1135" t="s">
        <v>807</v>
      </c>
      <c r="J543" s="1135" t="s">
        <v>3134</v>
      </c>
      <c r="K543" s="1101"/>
      <c r="L543" s="1135">
        <v>5</v>
      </c>
      <c r="M543" s="1135">
        <v>4</v>
      </c>
      <c r="N543" s="1135">
        <v>1</v>
      </c>
      <c r="O543" s="1135">
        <v>80</v>
      </c>
      <c r="P543" s="1135">
        <v>1</v>
      </c>
      <c r="Q543" s="1135"/>
      <c r="R543" s="1227">
        <v>6.6</v>
      </c>
      <c r="S543" s="1177">
        <v>0</v>
      </c>
      <c r="T543" s="1135"/>
      <c r="U543" s="1227">
        <v>101</v>
      </c>
      <c r="V543" s="1177">
        <v>1</v>
      </c>
      <c r="W543" s="1135"/>
      <c r="X543" s="1176">
        <v>0.11899999999999999</v>
      </c>
      <c r="Y543" s="1177">
        <v>1</v>
      </c>
      <c r="Z543" s="1135"/>
      <c r="AA543" s="1227">
        <v>7.81</v>
      </c>
      <c r="AB543" s="1177">
        <v>1</v>
      </c>
      <c r="AC543" s="1135"/>
      <c r="AD543" s="1227">
        <v>21.1</v>
      </c>
      <c r="AE543" s="1177">
        <v>1</v>
      </c>
    </row>
    <row r="544" spans="3:31" x14ac:dyDescent="0.4">
      <c r="C544" s="2825"/>
      <c r="D544" s="1135" t="s">
        <v>3132</v>
      </c>
      <c r="E544" s="1133" t="s">
        <v>3135</v>
      </c>
      <c r="F544" s="1136">
        <v>331385</v>
      </c>
      <c r="G544" s="1136">
        <v>1154818</v>
      </c>
      <c r="H544" s="1135" t="s">
        <v>332</v>
      </c>
      <c r="I544" s="1135" t="s">
        <v>807</v>
      </c>
      <c r="J544" s="1135" t="s">
        <v>3134</v>
      </c>
      <c r="K544" s="1101"/>
      <c r="L544" s="1228" t="s">
        <v>2903</v>
      </c>
      <c r="M544" s="1228" t="s">
        <v>2903</v>
      </c>
      <c r="N544" s="1228" t="s">
        <v>2903</v>
      </c>
      <c r="O544" s="1228" t="s">
        <v>2903</v>
      </c>
      <c r="P544" s="1228" t="s">
        <v>2903</v>
      </c>
      <c r="Q544" s="1228"/>
      <c r="R544" s="1228" t="s">
        <v>2903</v>
      </c>
      <c r="S544" s="1177" t="s">
        <v>2903</v>
      </c>
      <c r="T544" s="1228"/>
      <c r="U544" s="1227" t="s">
        <v>2903</v>
      </c>
      <c r="V544" s="1177" t="s">
        <v>2903</v>
      </c>
      <c r="W544" s="1229"/>
      <c r="X544" s="1227" t="s">
        <v>2903</v>
      </c>
      <c r="Y544" s="1177" t="s">
        <v>2903</v>
      </c>
      <c r="Z544" s="1229"/>
      <c r="AA544" s="1227" t="s">
        <v>2903</v>
      </c>
      <c r="AB544" s="1177" t="s">
        <v>2903</v>
      </c>
      <c r="AC544" s="1229"/>
      <c r="AD544" s="1227" t="s">
        <v>2903</v>
      </c>
      <c r="AE544" s="1177" t="s">
        <v>2903</v>
      </c>
    </row>
    <row r="545" spans="3:31" x14ac:dyDescent="0.4">
      <c r="C545" s="2825"/>
      <c r="D545" s="1135" t="s">
        <v>3132</v>
      </c>
      <c r="E545" s="1133" t="s">
        <v>3136</v>
      </c>
      <c r="F545" s="1136">
        <v>346688</v>
      </c>
      <c r="G545" s="1136">
        <v>1148109</v>
      </c>
      <c r="H545" s="1135" t="s">
        <v>332</v>
      </c>
      <c r="I545" s="1133" t="s">
        <v>805</v>
      </c>
      <c r="J545" s="1133" t="s">
        <v>3137</v>
      </c>
      <c r="K545" s="1101"/>
      <c r="L545" s="1135">
        <v>5</v>
      </c>
      <c r="M545" s="1135">
        <v>4</v>
      </c>
      <c r="N545" s="1135">
        <v>1</v>
      </c>
      <c r="O545" s="1135">
        <v>80</v>
      </c>
      <c r="P545" s="1135">
        <v>1</v>
      </c>
      <c r="Q545" s="1135"/>
      <c r="R545" s="1227">
        <v>6.5</v>
      </c>
      <c r="S545" s="1177">
        <v>0</v>
      </c>
      <c r="T545" s="1135"/>
      <c r="U545" s="1227">
        <v>87.3</v>
      </c>
      <c r="V545" s="1177">
        <v>1</v>
      </c>
      <c r="W545" s="1135"/>
      <c r="X545" s="1176">
        <v>0.17655555555555558</v>
      </c>
      <c r="Y545" s="1177">
        <v>1</v>
      </c>
      <c r="Z545" s="1135"/>
      <c r="AA545" s="1227">
        <v>7.56</v>
      </c>
      <c r="AB545" s="1177">
        <v>1</v>
      </c>
      <c r="AC545" s="1135"/>
      <c r="AD545" s="1227">
        <v>24</v>
      </c>
      <c r="AE545" s="1177">
        <v>1</v>
      </c>
    </row>
    <row r="546" spans="3:31" x14ac:dyDescent="0.4">
      <c r="C546" s="2825"/>
      <c r="D546" s="1135" t="s">
        <v>3138</v>
      </c>
      <c r="E546" s="1133" t="s">
        <v>3139</v>
      </c>
      <c r="F546" s="1136">
        <v>340111</v>
      </c>
      <c r="G546" s="1136">
        <v>1147032</v>
      </c>
      <c r="H546" s="1135" t="s">
        <v>332</v>
      </c>
      <c r="I546" s="1133" t="s">
        <v>805</v>
      </c>
      <c r="J546" s="1133" t="s">
        <v>3137</v>
      </c>
      <c r="K546" s="1101"/>
      <c r="L546" s="1135">
        <v>5</v>
      </c>
      <c r="M546" s="1135">
        <v>4</v>
      </c>
      <c r="N546" s="1135">
        <v>1</v>
      </c>
      <c r="O546" s="1135">
        <v>80</v>
      </c>
      <c r="P546" s="1135">
        <v>1</v>
      </c>
      <c r="Q546" s="1135"/>
      <c r="R546" s="1227">
        <v>6.8</v>
      </c>
      <c r="S546" s="1177">
        <v>0</v>
      </c>
      <c r="T546" s="1135"/>
      <c r="U546" s="1227">
        <v>74.900000000000006</v>
      </c>
      <c r="V546" s="1177">
        <v>1</v>
      </c>
      <c r="W546" s="1135"/>
      <c r="X546" s="1176">
        <v>0.13844444444444445</v>
      </c>
      <c r="Y546" s="1177">
        <v>1</v>
      </c>
      <c r="Z546" s="1135"/>
      <c r="AA546" s="1227">
        <v>7.96</v>
      </c>
      <c r="AB546" s="1177">
        <v>1</v>
      </c>
      <c r="AC546" s="1135"/>
      <c r="AD546" s="1227">
        <v>3.4</v>
      </c>
      <c r="AE546" s="1177">
        <v>1</v>
      </c>
    </row>
    <row r="547" spans="3:31" x14ac:dyDescent="0.4">
      <c r="C547" s="2825"/>
      <c r="D547" s="1135" t="s">
        <v>3140</v>
      </c>
      <c r="E547" s="1133" t="s">
        <v>3141</v>
      </c>
      <c r="F547" s="1136">
        <v>325936</v>
      </c>
      <c r="G547" s="1136">
        <v>1135312</v>
      </c>
      <c r="H547" s="1135" t="s">
        <v>332</v>
      </c>
      <c r="I547" s="1133" t="s">
        <v>805</v>
      </c>
      <c r="J547" s="1133" t="s">
        <v>3142</v>
      </c>
      <c r="K547" s="1101"/>
      <c r="L547" s="1135">
        <v>5</v>
      </c>
      <c r="M547" s="1135">
        <v>4</v>
      </c>
      <c r="N547" s="1135">
        <v>1</v>
      </c>
      <c r="O547" s="1135">
        <v>80</v>
      </c>
      <c r="P547" s="1135">
        <v>1</v>
      </c>
      <c r="Q547" s="1135"/>
      <c r="R547" s="1227">
        <v>6.9</v>
      </c>
      <c r="S547" s="1177">
        <v>0</v>
      </c>
      <c r="T547" s="1135"/>
      <c r="U547" s="1227">
        <v>109</v>
      </c>
      <c r="V547" s="1177">
        <v>1</v>
      </c>
      <c r="W547" s="1135"/>
      <c r="X547" s="1176">
        <v>7.6222222222222233E-2</v>
      </c>
      <c r="Y547" s="1177">
        <v>1</v>
      </c>
      <c r="Z547" s="1135"/>
      <c r="AA547" s="1227">
        <v>8.19</v>
      </c>
      <c r="AB547" s="1177">
        <v>1</v>
      </c>
      <c r="AC547" s="1135"/>
      <c r="AD547" s="1227">
        <v>3.4</v>
      </c>
      <c r="AE547" s="1177">
        <v>1</v>
      </c>
    </row>
    <row r="548" spans="3:31" x14ac:dyDescent="0.4">
      <c r="C548" s="2825"/>
      <c r="D548" s="1135" t="s">
        <v>3143</v>
      </c>
      <c r="E548" s="1133" t="s">
        <v>3144</v>
      </c>
      <c r="F548" s="1136">
        <v>328051</v>
      </c>
      <c r="G548" s="1136">
        <v>1144877</v>
      </c>
      <c r="H548" s="1135" t="s">
        <v>332</v>
      </c>
      <c r="I548" s="1133" t="s">
        <v>805</v>
      </c>
      <c r="J548" s="1133" t="s">
        <v>3142</v>
      </c>
      <c r="K548" s="1101"/>
      <c r="L548" s="1135">
        <v>5</v>
      </c>
      <c r="M548" s="1135">
        <v>4</v>
      </c>
      <c r="N548" s="1135">
        <v>1</v>
      </c>
      <c r="O548" s="1135">
        <v>80</v>
      </c>
      <c r="P548" s="1135">
        <v>1</v>
      </c>
      <c r="Q548" s="1135"/>
      <c r="R548" s="1227">
        <v>7.7</v>
      </c>
      <c r="S548" s="1177">
        <v>0</v>
      </c>
      <c r="T548" s="1135"/>
      <c r="U548" s="1227">
        <v>79.7</v>
      </c>
      <c r="V548" s="1177">
        <v>1</v>
      </c>
      <c r="W548" s="1135"/>
      <c r="X548" s="1176">
        <v>0.18977777777777777</v>
      </c>
      <c r="Y548" s="1177">
        <v>1</v>
      </c>
      <c r="Z548" s="1135"/>
      <c r="AA548" s="1227">
        <v>8.0399999999999991</v>
      </c>
      <c r="AB548" s="1177">
        <v>1</v>
      </c>
      <c r="AC548" s="1135"/>
      <c r="AD548" s="1227">
        <v>20.8</v>
      </c>
      <c r="AE548" s="1177">
        <v>1</v>
      </c>
    </row>
    <row r="549" spans="3:31" x14ac:dyDescent="0.4">
      <c r="C549" s="2825"/>
      <c r="D549" s="1135" t="s">
        <v>3143</v>
      </c>
      <c r="E549" s="1133" t="s">
        <v>3145</v>
      </c>
      <c r="F549" s="1136">
        <v>318168</v>
      </c>
      <c r="G549" s="1136">
        <v>1140501</v>
      </c>
      <c r="H549" s="1135" t="s">
        <v>332</v>
      </c>
      <c r="I549" s="1133" t="s">
        <v>805</v>
      </c>
      <c r="J549" s="1133" t="s">
        <v>3142</v>
      </c>
      <c r="K549" s="1101"/>
      <c r="L549" s="1135">
        <v>5</v>
      </c>
      <c r="M549" s="1135">
        <v>3</v>
      </c>
      <c r="N549" s="1135">
        <v>2</v>
      </c>
      <c r="O549" s="1135">
        <v>60</v>
      </c>
      <c r="P549" s="1135">
        <v>0</v>
      </c>
      <c r="Q549" s="1135"/>
      <c r="R549" s="1227">
        <v>6.6</v>
      </c>
      <c r="S549" s="1177">
        <v>0</v>
      </c>
      <c r="T549" s="1135"/>
      <c r="U549" s="1227">
        <v>77.900000000000006</v>
      </c>
      <c r="V549" s="1177">
        <v>1</v>
      </c>
      <c r="W549" s="1135"/>
      <c r="X549" s="1176">
        <v>0.14077777777777778</v>
      </c>
      <c r="Y549" s="1177">
        <v>1</v>
      </c>
      <c r="Z549" s="1135"/>
      <c r="AA549" s="1227">
        <v>8.1</v>
      </c>
      <c r="AB549" s="1177">
        <v>1</v>
      </c>
      <c r="AC549" s="1135"/>
      <c r="AD549" s="1227">
        <v>38.5</v>
      </c>
      <c r="AE549" s="1177">
        <v>0</v>
      </c>
    </row>
    <row r="550" spans="3:31" x14ac:dyDescent="0.4">
      <c r="C550" s="2822" t="s">
        <v>809</v>
      </c>
      <c r="D550" s="1178" t="s">
        <v>3146</v>
      </c>
      <c r="E550" s="1179" t="s">
        <v>3147</v>
      </c>
      <c r="F550" s="1180">
        <v>400869</v>
      </c>
      <c r="G550" s="1180">
        <v>1140316</v>
      </c>
      <c r="H550" s="1178" t="s">
        <v>332</v>
      </c>
      <c r="I550" s="1179" t="s">
        <v>809</v>
      </c>
      <c r="J550" s="1179" t="s">
        <v>2936</v>
      </c>
      <c r="K550" s="1101"/>
      <c r="L550" s="1179">
        <v>5</v>
      </c>
      <c r="M550" s="1179">
        <v>5</v>
      </c>
      <c r="N550" s="1179">
        <v>0</v>
      </c>
      <c r="O550" s="1181">
        <v>100</v>
      </c>
      <c r="P550" s="1179">
        <v>1</v>
      </c>
      <c r="Q550" s="1133"/>
      <c r="R550" s="1180">
        <v>1.3</v>
      </c>
      <c r="S550" s="1182">
        <v>1</v>
      </c>
      <c r="T550" s="1183"/>
      <c r="U550" s="1180">
        <v>90.9</v>
      </c>
      <c r="V550" s="1182">
        <v>1</v>
      </c>
      <c r="W550" s="1133"/>
      <c r="X550" s="1180">
        <v>0.03</v>
      </c>
      <c r="Y550" s="1182">
        <v>1</v>
      </c>
      <c r="Z550" s="1133"/>
      <c r="AA550" s="1180">
        <v>7.89</v>
      </c>
      <c r="AB550" s="1182">
        <v>1</v>
      </c>
      <c r="AC550" s="1133"/>
      <c r="AD550" s="1180">
        <v>5.5</v>
      </c>
      <c r="AE550" s="1182">
        <v>1</v>
      </c>
    </row>
    <row r="551" spans="3:31" x14ac:dyDescent="0.4">
      <c r="C551" s="2823"/>
      <c r="D551" s="1178" t="s">
        <v>3148</v>
      </c>
      <c r="E551" s="1179" t="s">
        <v>3149</v>
      </c>
      <c r="F551" s="1180">
        <v>398848</v>
      </c>
      <c r="G551" s="1180">
        <v>1137201</v>
      </c>
      <c r="H551" s="1178" t="s">
        <v>332</v>
      </c>
      <c r="I551" s="1179" t="s">
        <v>809</v>
      </c>
      <c r="J551" s="1178" t="s">
        <v>3150</v>
      </c>
      <c r="K551" s="1101"/>
      <c r="L551" s="1179">
        <v>5</v>
      </c>
      <c r="M551" s="1179">
        <v>5</v>
      </c>
      <c r="N551" s="1179">
        <v>0</v>
      </c>
      <c r="O551" s="1181">
        <v>100</v>
      </c>
      <c r="P551" s="1179">
        <v>1</v>
      </c>
      <c r="Q551" s="1133"/>
      <c r="R551" s="1180">
        <v>1.3</v>
      </c>
      <c r="S551" s="1182">
        <v>1</v>
      </c>
      <c r="T551" s="1183"/>
      <c r="U551" s="1180">
        <v>92.6</v>
      </c>
      <c r="V551" s="1182">
        <v>1</v>
      </c>
      <c r="W551" s="1133"/>
      <c r="X551" s="1180">
        <v>0.03</v>
      </c>
      <c r="Y551" s="1182">
        <v>1</v>
      </c>
      <c r="Z551" s="1133"/>
      <c r="AA551" s="1180">
        <v>8.16</v>
      </c>
      <c r="AB551" s="1182">
        <v>1</v>
      </c>
      <c r="AC551" s="1133"/>
      <c r="AD551" s="1180">
        <v>5.5</v>
      </c>
      <c r="AE551" s="1182">
        <v>1</v>
      </c>
    </row>
    <row r="552" spans="3:31" x14ac:dyDescent="0.4">
      <c r="C552" s="2823"/>
      <c r="D552" s="1178" t="s">
        <v>3148</v>
      </c>
      <c r="E552" s="1179" t="s">
        <v>3151</v>
      </c>
      <c r="F552" s="1180">
        <v>393838</v>
      </c>
      <c r="G552" s="1180">
        <v>1136986</v>
      </c>
      <c r="H552" s="1178" t="s">
        <v>332</v>
      </c>
      <c r="I552" s="1179" t="s">
        <v>809</v>
      </c>
      <c r="J552" s="1179" t="s">
        <v>3152</v>
      </c>
      <c r="K552" s="1101"/>
      <c r="L552" s="1179">
        <v>5</v>
      </c>
      <c r="M552" s="1179">
        <v>4</v>
      </c>
      <c r="N552" s="1179">
        <v>1</v>
      </c>
      <c r="O552" s="1181">
        <v>80</v>
      </c>
      <c r="P552" s="1179">
        <v>1</v>
      </c>
      <c r="Q552" s="1133"/>
      <c r="R552" s="1180">
        <v>1.3</v>
      </c>
      <c r="S552" s="1182">
        <v>1</v>
      </c>
      <c r="T552" s="1183"/>
      <c r="U552" s="1180">
        <v>105.7</v>
      </c>
      <c r="V552" s="1182">
        <v>1</v>
      </c>
      <c r="W552" s="1133"/>
      <c r="X552" s="1180">
        <v>4.3999999999999997E-2</v>
      </c>
      <c r="Y552" s="1182">
        <v>1</v>
      </c>
      <c r="Z552" s="1133"/>
      <c r="AA552" s="1180">
        <v>8.66</v>
      </c>
      <c r="AB552" s="1182">
        <v>0</v>
      </c>
      <c r="AC552" s="1133"/>
      <c r="AD552" s="1180">
        <v>16.8</v>
      </c>
      <c r="AE552" s="1182">
        <v>1</v>
      </c>
    </row>
    <row r="553" spans="3:31" x14ac:dyDescent="0.4">
      <c r="C553" s="2823"/>
      <c r="D553" s="1178" t="s">
        <v>3148</v>
      </c>
      <c r="E553" s="1179" t="s">
        <v>3153</v>
      </c>
      <c r="F553" s="1180">
        <v>390196.46</v>
      </c>
      <c r="G553" s="1180">
        <v>1135715.47</v>
      </c>
      <c r="H553" s="1178" t="s">
        <v>332</v>
      </c>
      <c r="I553" s="1179" t="s">
        <v>809</v>
      </c>
      <c r="J553" s="1179" t="s">
        <v>3152</v>
      </c>
      <c r="K553" s="1101"/>
      <c r="L553" s="1179">
        <v>0</v>
      </c>
      <c r="M553" s="1179">
        <v>0</v>
      </c>
      <c r="N553" s="1179">
        <v>0</v>
      </c>
      <c r="O553" s="1181" t="s">
        <v>2903</v>
      </c>
      <c r="P553" s="1179" t="s">
        <v>2903</v>
      </c>
      <c r="Q553" s="1133"/>
      <c r="R553" s="1180" t="s">
        <v>2903</v>
      </c>
      <c r="S553" s="1182" t="s">
        <v>2903</v>
      </c>
      <c r="T553" s="1183"/>
      <c r="U553" s="1180" t="s">
        <v>2903</v>
      </c>
      <c r="V553" s="1182" t="s">
        <v>2903</v>
      </c>
      <c r="W553" s="1133"/>
      <c r="X553" s="1180" t="s">
        <v>2903</v>
      </c>
      <c r="Y553" s="1182" t="s">
        <v>2903</v>
      </c>
      <c r="Z553" s="1133"/>
      <c r="AA553" s="1180" t="s">
        <v>2903</v>
      </c>
      <c r="AB553" s="1182" t="s">
        <v>2903</v>
      </c>
      <c r="AC553" s="1133"/>
      <c r="AD553" s="1180" t="s">
        <v>2903</v>
      </c>
      <c r="AE553" s="1182" t="s">
        <v>2903</v>
      </c>
    </row>
    <row r="554" spans="3:31" x14ac:dyDescent="0.4">
      <c r="C554" s="2823"/>
      <c r="D554" s="1178" t="s">
        <v>3148</v>
      </c>
      <c r="E554" s="1179" t="s">
        <v>3154</v>
      </c>
      <c r="F554" s="1180">
        <v>386965</v>
      </c>
      <c r="G554" s="1180">
        <v>1130793</v>
      </c>
      <c r="H554" s="1178" t="s">
        <v>332</v>
      </c>
      <c r="I554" s="1179" t="s">
        <v>809</v>
      </c>
      <c r="J554" s="1179" t="s">
        <v>3152</v>
      </c>
      <c r="K554" s="1101"/>
      <c r="L554" s="1179">
        <v>5</v>
      </c>
      <c r="M554" s="1179">
        <v>4</v>
      </c>
      <c r="N554" s="1179">
        <v>1</v>
      </c>
      <c r="O554" s="1181">
        <v>80</v>
      </c>
      <c r="P554" s="1179">
        <v>1</v>
      </c>
      <c r="Q554" s="1133"/>
      <c r="R554" s="1180">
        <v>1.3</v>
      </c>
      <c r="S554" s="1182">
        <v>1</v>
      </c>
      <c r="T554" s="1183"/>
      <c r="U554" s="1180">
        <v>105.7</v>
      </c>
      <c r="V554" s="1182">
        <v>1</v>
      </c>
      <c r="W554" s="1133"/>
      <c r="X554" s="1180">
        <v>4.1000000000000002E-2</v>
      </c>
      <c r="Y554" s="1182">
        <v>1</v>
      </c>
      <c r="Z554" s="1133"/>
      <c r="AA554" s="1180">
        <v>8.66</v>
      </c>
      <c r="AB554" s="1182">
        <v>0</v>
      </c>
      <c r="AC554" s="1133"/>
      <c r="AD554" s="1180">
        <v>7.1</v>
      </c>
      <c r="AE554" s="1182">
        <v>1</v>
      </c>
    </row>
    <row r="555" spans="3:31" x14ac:dyDescent="0.4">
      <c r="C555" s="2823"/>
      <c r="D555" s="1178" t="s">
        <v>3148</v>
      </c>
      <c r="E555" s="1179" t="s">
        <v>3155</v>
      </c>
      <c r="F555" s="1180">
        <v>386110.34</v>
      </c>
      <c r="G555" s="1180">
        <v>1126878.02</v>
      </c>
      <c r="H555" s="1178" t="s">
        <v>332</v>
      </c>
      <c r="I555" s="1179" t="s">
        <v>809</v>
      </c>
      <c r="J555" s="1179" t="s">
        <v>3156</v>
      </c>
      <c r="K555" s="1101"/>
      <c r="L555" s="1179">
        <v>0</v>
      </c>
      <c r="M555" s="1179">
        <v>0</v>
      </c>
      <c r="N555" s="1179">
        <v>0</v>
      </c>
      <c r="O555" s="1181" t="s">
        <v>2903</v>
      </c>
      <c r="P555" s="1179" t="s">
        <v>2903</v>
      </c>
      <c r="Q555" s="1133"/>
      <c r="R555" s="1180" t="s">
        <v>2903</v>
      </c>
      <c r="S555" s="1182" t="s">
        <v>2903</v>
      </c>
      <c r="T555" s="1183"/>
      <c r="U555" s="1180" t="s">
        <v>2903</v>
      </c>
      <c r="V555" s="1182" t="s">
        <v>2903</v>
      </c>
      <c r="W555" s="1133"/>
      <c r="X555" s="1180" t="s">
        <v>2903</v>
      </c>
      <c r="Y555" s="1182" t="s">
        <v>2903</v>
      </c>
      <c r="Z555" s="1133"/>
      <c r="AA555" s="1180" t="s">
        <v>2903</v>
      </c>
      <c r="AB555" s="1182" t="s">
        <v>2903</v>
      </c>
      <c r="AC555" s="1133"/>
      <c r="AD555" s="1180" t="s">
        <v>2903</v>
      </c>
      <c r="AE555" s="1182" t="s">
        <v>2903</v>
      </c>
    </row>
    <row r="556" spans="3:31" x14ac:dyDescent="0.4">
      <c r="C556" s="2823"/>
      <c r="D556" s="1178" t="s">
        <v>3148</v>
      </c>
      <c r="E556" s="1179" t="s">
        <v>3157</v>
      </c>
      <c r="F556" s="1180">
        <v>386127</v>
      </c>
      <c r="G556" s="1180">
        <v>1123543</v>
      </c>
      <c r="H556" s="1178" t="s">
        <v>533</v>
      </c>
      <c r="I556" s="1179" t="s">
        <v>533</v>
      </c>
      <c r="J556" s="1179" t="s">
        <v>3158</v>
      </c>
      <c r="K556" s="1101"/>
      <c r="L556" s="1179">
        <v>5</v>
      </c>
      <c r="M556" s="1179">
        <v>4</v>
      </c>
      <c r="N556" s="1179">
        <v>1</v>
      </c>
      <c r="O556" s="1181">
        <v>80</v>
      </c>
      <c r="P556" s="1179">
        <v>1</v>
      </c>
      <c r="Q556" s="1133"/>
      <c r="R556" s="1180">
        <v>5.57</v>
      </c>
      <c r="S556" s="1182">
        <v>1</v>
      </c>
      <c r="T556" s="1183"/>
      <c r="U556" s="1180">
        <v>90.3</v>
      </c>
      <c r="V556" s="1182">
        <v>1</v>
      </c>
      <c r="W556" s="1133"/>
      <c r="X556" s="1180">
        <v>0.123</v>
      </c>
      <c r="Y556" s="1182">
        <v>1</v>
      </c>
      <c r="Z556" s="1133"/>
      <c r="AA556" s="1180">
        <v>8.15</v>
      </c>
      <c r="AB556" s="1182">
        <v>1</v>
      </c>
      <c r="AC556" s="1133"/>
      <c r="AD556" s="1180">
        <v>122.4</v>
      </c>
      <c r="AE556" s="1182">
        <v>0</v>
      </c>
    </row>
    <row r="557" spans="3:31" x14ac:dyDescent="0.4">
      <c r="C557" s="2824" t="s">
        <v>3159</v>
      </c>
      <c r="D557" s="1135" t="s">
        <v>3160</v>
      </c>
      <c r="E557" s="1133" t="s">
        <v>3161</v>
      </c>
      <c r="F557" s="1136">
        <v>435084</v>
      </c>
      <c r="G557" s="1136">
        <v>1119313</v>
      </c>
      <c r="H557" s="1135" t="s">
        <v>329</v>
      </c>
      <c r="I557" s="1133" t="s">
        <v>771</v>
      </c>
      <c r="J557" s="1135" t="s">
        <v>3162</v>
      </c>
      <c r="K557" s="1101"/>
      <c r="L557" s="1135">
        <v>0</v>
      </c>
      <c r="M557" s="1135">
        <v>0</v>
      </c>
      <c r="N557" s="1135">
        <v>0</v>
      </c>
      <c r="O557" s="1175" t="s">
        <v>2903</v>
      </c>
      <c r="P557" s="1135" t="s">
        <v>2903</v>
      </c>
      <c r="Q557" s="1135"/>
      <c r="R557" s="1176" t="s">
        <v>2903</v>
      </c>
      <c r="S557" s="1177" t="s">
        <v>2903</v>
      </c>
      <c r="T557" s="1184"/>
      <c r="U557" s="1176" t="s">
        <v>2903</v>
      </c>
      <c r="V557" s="1177" t="s">
        <v>2903</v>
      </c>
      <c r="W557" s="1135"/>
      <c r="X557" s="1176" t="s">
        <v>2903</v>
      </c>
      <c r="Y557" s="1177" t="s">
        <v>2903</v>
      </c>
      <c r="Z557" s="1135"/>
      <c r="AA557" s="1176" t="s">
        <v>2903</v>
      </c>
      <c r="AB557" s="1177" t="s">
        <v>2903</v>
      </c>
      <c r="AC557" s="1135"/>
      <c r="AD557" s="1176" t="s">
        <v>2903</v>
      </c>
      <c r="AE557" s="1177" t="s">
        <v>2903</v>
      </c>
    </row>
    <row r="558" spans="3:31" x14ac:dyDescent="0.4">
      <c r="C558" s="2825"/>
      <c r="D558" s="1135" t="s">
        <v>3163</v>
      </c>
      <c r="E558" s="1133" t="s">
        <v>3164</v>
      </c>
      <c r="F558" s="1136">
        <v>431170</v>
      </c>
      <c r="G558" s="1136">
        <v>1116259</v>
      </c>
      <c r="H558" s="1135" t="s">
        <v>329</v>
      </c>
      <c r="I558" s="1133" t="s">
        <v>771</v>
      </c>
      <c r="J558" s="1135" t="s">
        <v>3162</v>
      </c>
      <c r="K558" s="1101"/>
      <c r="L558" s="1135">
        <v>5</v>
      </c>
      <c r="M558" s="1135">
        <v>5</v>
      </c>
      <c r="N558" s="1135">
        <v>0</v>
      </c>
      <c r="O558" s="1175">
        <v>100</v>
      </c>
      <c r="P558" s="1135">
        <v>1</v>
      </c>
      <c r="Q558" s="1135"/>
      <c r="R558" s="1176">
        <v>3.6</v>
      </c>
      <c r="S558" s="1177">
        <v>1</v>
      </c>
      <c r="T558" s="1184"/>
      <c r="U558" s="1176">
        <v>109.49</v>
      </c>
      <c r="V558" s="1177">
        <v>1</v>
      </c>
      <c r="W558" s="1135"/>
      <c r="X558" s="1176">
        <v>0.5</v>
      </c>
      <c r="Y558" s="1177">
        <v>1</v>
      </c>
      <c r="Z558" s="1135"/>
      <c r="AA558" s="1176">
        <v>7.69</v>
      </c>
      <c r="AB558" s="1177">
        <v>1</v>
      </c>
      <c r="AC558" s="1135"/>
      <c r="AD558" s="1176">
        <v>7</v>
      </c>
      <c r="AE558" s="1177">
        <v>1</v>
      </c>
    </row>
    <row r="559" spans="3:31" x14ac:dyDescent="0.4">
      <c r="C559" s="2825"/>
      <c r="D559" s="1135" t="s">
        <v>3165</v>
      </c>
      <c r="E559" s="1133" t="s">
        <v>3166</v>
      </c>
      <c r="F559" s="1136">
        <v>429923</v>
      </c>
      <c r="G559" s="1136">
        <v>1114448</v>
      </c>
      <c r="H559" s="1135" t="s">
        <v>329</v>
      </c>
      <c r="I559" s="1133" t="s">
        <v>771</v>
      </c>
      <c r="J559" s="1133" t="s">
        <v>3167</v>
      </c>
      <c r="K559" s="1101"/>
      <c r="L559" s="1135">
        <v>5</v>
      </c>
      <c r="M559" s="1135">
        <v>5</v>
      </c>
      <c r="N559" s="1135">
        <v>0</v>
      </c>
      <c r="O559" s="1175">
        <v>100</v>
      </c>
      <c r="P559" s="1135">
        <v>1</v>
      </c>
      <c r="Q559" s="1135"/>
      <c r="R559" s="1176">
        <v>5</v>
      </c>
      <c r="S559" s="1177">
        <v>1</v>
      </c>
      <c r="T559" s="1184"/>
      <c r="U559" s="1176">
        <v>104.44</v>
      </c>
      <c r="V559" s="1177">
        <v>1</v>
      </c>
      <c r="W559" s="1135"/>
      <c r="X559" s="1176">
        <v>0.5</v>
      </c>
      <c r="Y559" s="1177">
        <v>1</v>
      </c>
      <c r="Z559" s="1135"/>
      <c r="AA559" s="1176">
        <v>7.76</v>
      </c>
      <c r="AB559" s="1177">
        <v>1</v>
      </c>
      <c r="AC559" s="1135"/>
      <c r="AD559" s="1176">
        <v>10</v>
      </c>
      <c r="AE559" s="1177">
        <v>1</v>
      </c>
    </row>
    <row r="560" spans="3:31" x14ac:dyDescent="0.4">
      <c r="C560" s="2825"/>
      <c r="D560" s="1135" t="s">
        <v>3168</v>
      </c>
      <c r="E560" s="1133" t="s">
        <v>3169</v>
      </c>
      <c r="F560" s="1136">
        <v>459288</v>
      </c>
      <c r="G560" s="1136">
        <v>1123742</v>
      </c>
      <c r="H560" s="1135" t="s">
        <v>329</v>
      </c>
      <c r="I560" s="1133" t="s">
        <v>775</v>
      </c>
      <c r="J560" s="1133" t="s">
        <v>3170</v>
      </c>
      <c r="K560" s="1101"/>
      <c r="L560" s="1135">
        <v>5</v>
      </c>
      <c r="M560" s="1135">
        <v>4</v>
      </c>
      <c r="N560" s="1135">
        <v>1</v>
      </c>
      <c r="O560" s="1175">
        <v>80</v>
      </c>
      <c r="P560" s="1135">
        <v>1</v>
      </c>
      <c r="Q560" s="1135"/>
      <c r="R560" s="1176">
        <v>6</v>
      </c>
      <c r="S560" s="1177">
        <v>1</v>
      </c>
      <c r="T560" s="1184"/>
      <c r="U560" s="1176">
        <v>89.56</v>
      </c>
      <c r="V560" s="1177">
        <v>1</v>
      </c>
      <c r="W560" s="1135"/>
      <c r="X560" s="1176">
        <v>0.5</v>
      </c>
      <c r="Y560" s="1177">
        <v>1</v>
      </c>
      <c r="Z560" s="1135"/>
      <c r="AA560" s="1176">
        <v>6.82</v>
      </c>
      <c r="AB560" s="1177">
        <v>1</v>
      </c>
      <c r="AC560" s="1135"/>
      <c r="AD560" s="1176">
        <v>78</v>
      </c>
      <c r="AE560" s="1177">
        <v>0</v>
      </c>
    </row>
    <row r="561" spans="3:31" x14ac:dyDescent="0.4">
      <c r="C561" s="2825"/>
      <c r="D561" s="1135" t="s">
        <v>3168</v>
      </c>
      <c r="E561" s="1133" t="s">
        <v>3171</v>
      </c>
      <c r="F561" s="1136">
        <v>441837</v>
      </c>
      <c r="G561" s="1136">
        <v>1113776</v>
      </c>
      <c r="H561" s="1135" t="s">
        <v>329</v>
      </c>
      <c r="I561" s="1133" t="s">
        <v>771</v>
      </c>
      <c r="J561" s="1133" t="s">
        <v>3172</v>
      </c>
      <c r="K561" s="1101"/>
      <c r="L561" s="1135">
        <v>5</v>
      </c>
      <c r="M561" s="1135">
        <v>4</v>
      </c>
      <c r="N561" s="1135">
        <v>1</v>
      </c>
      <c r="O561" s="1175">
        <v>80</v>
      </c>
      <c r="P561" s="1135">
        <v>1</v>
      </c>
      <c r="Q561" s="1135"/>
      <c r="R561" s="1176">
        <v>3</v>
      </c>
      <c r="S561" s="1177">
        <v>1</v>
      </c>
      <c r="T561" s="1184"/>
      <c r="U561" s="1176">
        <v>91.21</v>
      </c>
      <c r="V561" s="1177">
        <v>1</v>
      </c>
      <c r="W561" s="1135"/>
      <c r="X561" s="1176">
        <v>0.5</v>
      </c>
      <c r="Y561" s="1177">
        <v>1</v>
      </c>
      <c r="Z561" s="1135"/>
      <c r="AA561" s="1176">
        <v>7.21</v>
      </c>
      <c r="AB561" s="1177">
        <v>1</v>
      </c>
      <c r="AC561" s="1135"/>
      <c r="AD561" s="1176">
        <v>298</v>
      </c>
      <c r="AE561" s="1177">
        <v>0</v>
      </c>
    </row>
    <row r="562" spans="3:31" x14ac:dyDescent="0.4">
      <c r="C562" s="2825"/>
      <c r="D562" s="1135" t="s">
        <v>3168</v>
      </c>
      <c r="E562" s="1133" t="s">
        <v>3173</v>
      </c>
      <c r="F562" s="1136">
        <v>430232</v>
      </c>
      <c r="G562" s="1136">
        <v>1107699</v>
      </c>
      <c r="H562" s="1135" t="s">
        <v>533</v>
      </c>
      <c r="I562" s="1133" t="s">
        <v>814</v>
      </c>
      <c r="J562" s="1133" t="s">
        <v>3174</v>
      </c>
      <c r="K562" s="1101"/>
      <c r="L562" s="1135">
        <v>5</v>
      </c>
      <c r="M562" s="1135">
        <v>5</v>
      </c>
      <c r="N562" s="1135">
        <v>0</v>
      </c>
      <c r="O562" s="1175">
        <v>100</v>
      </c>
      <c r="P562" s="1135">
        <v>1</v>
      </c>
      <c r="Q562" s="1135"/>
      <c r="R562" s="1176">
        <v>5</v>
      </c>
      <c r="S562" s="1177">
        <v>1</v>
      </c>
      <c r="T562" s="1184"/>
      <c r="U562" s="1176">
        <v>93.34</v>
      </c>
      <c r="V562" s="1177">
        <v>1</v>
      </c>
      <c r="W562" s="1135"/>
      <c r="X562" s="1176">
        <v>0.5</v>
      </c>
      <c r="Y562" s="1177">
        <v>1</v>
      </c>
      <c r="Z562" s="1135"/>
      <c r="AA562" s="1176">
        <v>7.91</v>
      </c>
      <c r="AB562" s="1177">
        <v>1</v>
      </c>
      <c r="AC562" s="1135"/>
      <c r="AD562" s="1176">
        <v>19</v>
      </c>
      <c r="AE562" s="1177">
        <v>1</v>
      </c>
    </row>
    <row r="563" spans="3:31" x14ac:dyDescent="0.4">
      <c r="C563" s="2825"/>
      <c r="D563" s="1135" t="s">
        <v>3168</v>
      </c>
      <c r="E563" s="1133" t="s">
        <v>3175</v>
      </c>
      <c r="F563" s="1136">
        <v>423874</v>
      </c>
      <c r="G563" s="1136">
        <v>1105780</v>
      </c>
      <c r="H563" s="1135" t="s">
        <v>533</v>
      </c>
      <c r="I563" s="1133" t="s">
        <v>533</v>
      </c>
      <c r="J563" s="1133" t="s">
        <v>3159</v>
      </c>
      <c r="K563" s="1101"/>
      <c r="L563" s="1135">
        <v>0</v>
      </c>
      <c r="M563" s="1135">
        <v>0</v>
      </c>
      <c r="N563" s="1135">
        <v>0</v>
      </c>
      <c r="O563" s="1175" t="s">
        <v>2903</v>
      </c>
      <c r="P563" s="1135" t="s">
        <v>2903</v>
      </c>
      <c r="Q563" s="1135"/>
      <c r="R563" s="1176" t="s">
        <v>2903</v>
      </c>
      <c r="S563" s="1177" t="s">
        <v>2903</v>
      </c>
      <c r="T563" s="1184"/>
      <c r="U563" s="1176" t="s">
        <v>2903</v>
      </c>
      <c r="V563" s="1177" t="s">
        <v>2903</v>
      </c>
      <c r="W563" s="1135"/>
      <c r="X563" s="1176" t="s">
        <v>2903</v>
      </c>
      <c r="Y563" s="1177" t="s">
        <v>2903</v>
      </c>
      <c r="Z563" s="1135"/>
      <c r="AA563" s="1176" t="s">
        <v>2903</v>
      </c>
      <c r="AB563" s="1177" t="s">
        <v>2903</v>
      </c>
      <c r="AC563" s="1135"/>
      <c r="AD563" s="1176" t="s">
        <v>2903</v>
      </c>
      <c r="AE563" s="1177" t="s">
        <v>2903</v>
      </c>
    </row>
    <row r="564" spans="3:31" x14ac:dyDescent="0.4">
      <c r="C564" s="2825"/>
      <c r="D564" s="1135" t="s">
        <v>3168</v>
      </c>
      <c r="E564" s="1133" t="s">
        <v>3176</v>
      </c>
      <c r="F564" s="1136">
        <v>422334</v>
      </c>
      <c r="G564" s="1136">
        <v>1104536</v>
      </c>
      <c r="H564" s="1135" t="s">
        <v>533</v>
      </c>
      <c r="I564" s="1135" t="s">
        <v>533</v>
      </c>
      <c r="J564" s="1133" t="s">
        <v>3159</v>
      </c>
      <c r="K564" s="1101"/>
      <c r="L564" s="1135">
        <v>5</v>
      </c>
      <c r="M564" s="1135">
        <v>4</v>
      </c>
      <c r="N564" s="1135">
        <v>1</v>
      </c>
      <c r="O564" s="1175">
        <v>80</v>
      </c>
      <c r="P564" s="1135">
        <v>1</v>
      </c>
      <c r="Q564" s="1135"/>
      <c r="R564" s="1176">
        <v>6</v>
      </c>
      <c r="S564" s="1177">
        <v>1</v>
      </c>
      <c r="T564" s="1184"/>
      <c r="U564" s="1176">
        <v>81.75</v>
      </c>
      <c r="V564" s="1177">
        <v>1</v>
      </c>
      <c r="W564" s="1135"/>
      <c r="X564" s="1176">
        <v>0.5</v>
      </c>
      <c r="Y564" s="1177">
        <v>1</v>
      </c>
      <c r="Z564" s="1135"/>
      <c r="AA564" s="1176">
        <v>8.09</v>
      </c>
      <c r="AB564" s="1177">
        <v>1</v>
      </c>
      <c r="AC564" s="1135"/>
      <c r="AD564" s="1176">
        <v>31</v>
      </c>
      <c r="AE564" s="1177">
        <v>0</v>
      </c>
    </row>
    <row r="565" spans="3:31" x14ac:dyDescent="0.4">
      <c r="C565" s="2826" t="s">
        <v>3177</v>
      </c>
      <c r="D565" s="1151" t="s">
        <v>3143</v>
      </c>
      <c r="E565" s="1152" t="s">
        <v>3178</v>
      </c>
      <c r="F565" s="1153">
        <v>380767</v>
      </c>
      <c r="G565" s="1153">
        <v>1152545</v>
      </c>
      <c r="H565" s="1151" t="s">
        <v>332</v>
      </c>
      <c r="I565" s="1152" t="s">
        <v>808</v>
      </c>
      <c r="J565" s="1152" t="s">
        <v>808</v>
      </c>
      <c r="K565" s="1101"/>
      <c r="L565" s="1152">
        <v>5</v>
      </c>
      <c r="M565" s="1152">
        <v>3</v>
      </c>
      <c r="N565" s="1152">
        <v>2</v>
      </c>
      <c r="O565" s="1155">
        <v>60</v>
      </c>
      <c r="P565" s="1152">
        <v>0</v>
      </c>
      <c r="Q565" s="1133"/>
      <c r="R565" s="1153">
        <v>7.05</v>
      </c>
      <c r="S565" s="1156">
        <v>0</v>
      </c>
      <c r="T565" s="1154"/>
      <c r="U565" s="1153">
        <v>91.2</v>
      </c>
      <c r="V565" s="1156">
        <v>1</v>
      </c>
      <c r="W565" s="1133"/>
      <c r="X565" s="1153">
        <v>0.123</v>
      </c>
      <c r="Y565" s="1156">
        <v>1</v>
      </c>
      <c r="Z565" s="1133"/>
      <c r="AA565" s="1153">
        <v>7.69</v>
      </c>
      <c r="AB565" s="1156">
        <v>1</v>
      </c>
      <c r="AC565" s="1133"/>
      <c r="AD565" s="1153">
        <v>280</v>
      </c>
      <c r="AE565" s="1156">
        <v>0</v>
      </c>
    </row>
    <row r="566" spans="3:31" ht="25.5" x14ac:dyDescent="0.4">
      <c r="C566" s="2823"/>
      <c r="D566" s="1151" t="s">
        <v>3179</v>
      </c>
      <c r="E566" s="1152" t="s">
        <v>3180</v>
      </c>
      <c r="F566" s="1153">
        <v>367338</v>
      </c>
      <c r="G566" s="1153">
        <v>1149747</v>
      </c>
      <c r="H566" s="1151" t="s">
        <v>332</v>
      </c>
      <c r="I566" s="1152" t="s">
        <v>806</v>
      </c>
      <c r="J566" s="1152" t="s">
        <v>806</v>
      </c>
      <c r="K566" s="1101"/>
      <c r="L566" s="1152">
        <v>5</v>
      </c>
      <c r="M566" s="1152">
        <v>4</v>
      </c>
      <c r="N566" s="1152">
        <v>1</v>
      </c>
      <c r="O566" s="1155">
        <v>80</v>
      </c>
      <c r="P566" s="1152">
        <v>1</v>
      </c>
      <c r="Q566" s="1133"/>
      <c r="R566" s="1153">
        <v>1.3</v>
      </c>
      <c r="S566" s="1156">
        <v>1</v>
      </c>
      <c r="T566" s="1154"/>
      <c r="U566" s="1153">
        <v>84.3</v>
      </c>
      <c r="V566" s="1156">
        <v>1</v>
      </c>
      <c r="W566" s="1133"/>
      <c r="X566" s="1153">
        <v>0.03</v>
      </c>
      <c r="Y566" s="1156">
        <v>1</v>
      </c>
      <c r="Z566" s="1133"/>
      <c r="AA566" s="1153">
        <v>4.63</v>
      </c>
      <c r="AB566" s="1156">
        <v>0</v>
      </c>
      <c r="AC566" s="1133"/>
      <c r="AD566" s="1153">
        <v>14.7</v>
      </c>
      <c r="AE566" s="1156">
        <v>1</v>
      </c>
    </row>
    <row r="567" spans="3:31" x14ac:dyDescent="0.4">
      <c r="C567" s="2823"/>
      <c r="D567" s="1151" t="s">
        <v>3181</v>
      </c>
      <c r="E567" s="1152" t="s">
        <v>3182</v>
      </c>
      <c r="F567" s="1153">
        <v>368908.16</v>
      </c>
      <c r="G567" s="1153">
        <v>1146581.26</v>
      </c>
      <c r="H567" s="1151" t="s">
        <v>332</v>
      </c>
      <c r="I567" s="1152" t="s">
        <v>808</v>
      </c>
      <c r="J567" s="1152" t="s">
        <v>3177</v>
      </c>
      <c r="K567" s="1101"/>
      <c r="L567" s="1152">
        <v>0</v>
      </c>
      <c r="M567" s="1152">
        <v>0</v>
      </c>
      <c r="N567" s="1152">
        <v>0</v>
      </c>
      <c r="O567" s="1155" t="s">
        <v>2903</v>
      </c>
      <c r="P567" s="1152" t="s">
        <v>2903</v>
      </c>
      <c r="Q567" s="1133"/>
      <c r="R567" s="1153" t="s">
        <v>2903</v>
      </c>
      <c r="S567" s="1156" t="s">
        <v>2903</v>
      </c>
      <c r="T567" s="1154"/>
      <c r="U567" s="1153" t="s">
        <v>2903</v>
      </c>
      <c r="V567" s="1156" t="s">
        <v>2903</v>
      </c>
      <c r="W567" s="1133"/>
      <c r="X567" s="1153" t="s">
        <v>2903</v>
      </c>
      <c r="Y567" s="1156" t="s">
        <v>2903</v>
      </c>
      <c r="Z567" s="1133"/>
      <c r="AA567" s="1153" t="s">
        <v>2903</v>
      </c>
      <c r="AB567" s="1156" t="s">
        <v>2903</v>
      </c>
      <c r="AC567" s="1133"/>
      <c r="AD567" s="1153" t="s">
        <v>2903</v>
      </c>
      <c r="AE567" s="1156" t="s">
        <v>2903</v>
      </c>
    </row>
    <row r="568" spans="3:31" x14ac:dyDescent="0.4">
      <c r="C568" s="2823"/>
      <c r="D568" s="1151" t="s">
        <v>3183</v>
      </c>
      <c r="E568" s="1152" t="s">
        <v>3184</v>
      </c>
      <c r="F568" s="1153">
        <v>393741</v>
      </c>
      <c r="G568" s="1153">
        <v>1159079</v>
      </c>
      <c r="H568" s="1151" t="s">
        <v>332</v>
      </c>
      <c r="I568" s="1152" t="s">
        <v>810</v>
      </c>
      <c r="J568" s="1152" t="s">
        <v>3185</v>
      </c>
      <c r="K568" s="1101"/>
      <c r="L568" s="1152">
        <v>5</v>
      </c>
      <c r="M568" s="1152">
        <v>4</v>
      </c>
      <c r="N568" s="1152">
        <v>1</v>
      </c>
      <c r="O568" s="1155">
        <v>80</v>
      </c>
      <c r="P568" s="1152">
        <v>1</v>
      </c>
      <c r="Q568" s="1133"/>
      <c r="R568" s="1153">
        <v>3.35</v>
      </c>
      <c r="S568" s="1156">
        <v>1</v>
      </c>
      <c r="T568" s="1154"/>
      <c r="U568" s="1153">
        <v>91.3</v>
      </c>
      <c r="V568" s="1156">
        <v>1</v>
      </c>
      <c r="W568" s="1133"/>
      <c r="X568" s="1153">
        <v>9.7000000000000003E-2</v>
      </c>
      <c r="Y568" s="1156">
        <v>1</v>
      </c>
      <c r="Z568" s="1133"/>
      <c r="AA568" s="1153">
        <v>8.07</v>
      </c>
      <c r="AB568" s="1156">
        <v>1</v>
      </c>
      <c r="AC568" s="1133"/>
      <c r="AD568" s="1153">
        <v>156.80000000000001</v>
      </c>
      <c r="AE568" s="1156">
        <v>0</v>
      </c>
    </row>
    <row r="569" spans="3:31" x14ac:dyDescent="0.4">
      <c r="C569" s="2823"/>
      <c r="D569" s="1151" t="s">
        <v>3038</v>
      </c>
      <c r="E569" s="1152" t="s">
        <v>3186</v>
      </c>
      <c r="F569" s="1153">
        <v>367653</v>
      </c>
      <c r="G569" s="1153">
        <v>1181808</v>
      </c>
      <c r="H569" s="1151" t="s">
        <v>332</v>
      </c>
      <c r="I569" s="1152" t="s">
        <v>806</v>
      </c>
      <c r="J569" s="1152" t="s">
        <v>3187</v>
      </c>
      <c r="K569" s="1101"/>
      <c r="L569" s="1152">
        <v>5</v>
      </c>
      <c r="M569" s="1152">
        <v>3</v>
      </c>
      <c r="N569" s="1152">
        <v>2</v>
      </c>
      <c r="O569" s="1155">
        <v>60</v>
      </c>
      <c r="P569" s="1152">
        <v>0</v>
      </c>
      <c r="Q569" s="1133"/>
      <c r="R569" s="1153">
        <v>1.5489999999999999</v>
      </c>
      <c r="S569" s="1156">
        <v>1</v>
      </c>
      <c r="T569" s="1154"/>
      <c r="U569" s="1153">
        <v>91.6</v>
      </c>
      <c r="V569" s="1156">
        <v>1</v>
      </c>
      <c r="W569" s="1133"/>
      <c r="X569" s="1153">
        <v>0.03</v>
      </c>
      <c r="Y569" s="1156">
        <v>1</v>
      </c>
      <c r="Z569" s="1133"/>
      <c r="AA569" s="1153">
        <v>4.6500000000000004</v>
      </c>
      <c r="AB569" s="1156">
        <v>0</v>
      </c>
      <c r="AC569" s="1133"/>
      <c r="AD569" s="1153">
        <v>86.2</v>
      </c>
      <c r="AE569" s="1156">
        <v>0</v>
      </c>
    </row>
    <row r="570" spans="3:31" x14ac:dyDescent="0.4">
      <c r="C570" s="2829" t="s">
        <v>3188</v>
      </c>
      <c r="D570" s="1144" t="s">
        <v>3189</v>
      </c>
      <c r="E570" s="1145" t="s">
        <v>3190</v>
      </c>
      <c r="F570" s="1146">
        <v>459889.66</v>
      </c>
      <c r="G570" s="1146">
        <v>1204407.21</v>
      </c>
      <c r="H570" s="1145" t="s">
        <v>329</v>
      </c>
      <c r="I570" s="1145" t="s">
        <v>779</v>
      </c>
      <c r="J570" s="1145" t="s">
        <v>3191</v>
      </c>
      <c r="K570" s="1101"/>
      <c r="L570" s="1145">
        <v>5</v>
      </c>
      <c r="M570" s="1145">
        <v>4</v>
      </c>
      <c r="N570" s="1145">
        <v>1</v>
      </c>
      <c r="O570" s="1145">
        <v>80</v>
      </c>
      <c r="P570" s="1145">
        <v>1</v>
      </c>
      <c r="Q570" s="1133"/>
      <c r="R570" s="1146">
        <v>1.3</v>
      </c>
      <c r="S570" s="1148">
        <v>1</v>
      </c>
      <c r="T570" s="1104"/>
      <c r="U570" s="1146">
        <v>86.9</v>
      </c>
      <c r="V570" s="1148">
        <v>1</v>
      </c>
      <c r="W570" s="1133"/>
      <c r="X570" s="1146">
        <v>29.8</v>
      </c>
      <c r="Y570" s="1148">
        <v>0</v>
      </c>
      <c r="Z570" s="1133"/>
      <c r="AA570" s="1146">
        <v>7.65</v>
      </c>
      <c r="AB570" s="1185">
        <v>1</v>
      </c>
      <c r="AC570" s="1133"/>
      <c r="AD570" s="1146">
        <v>7.8</v>
      </c>
      <c r="AE570" s="1185">
        <v>1</v>
      </c>
    </row>
    <row r="571" spans="3:31" x14ac:dyDescent="0.4">
      <c r="C571" s="2829"/>
      <c r="D571" s="1144" t="s">
        <v>3192</v>
      </c>
      <c r="E571" s="1145" t="s">
        <v>3193</v>
      </c>
      <c r="F571" s="1146">
        <v>439806.48</v>
      </c>
      <c r="G571" s="1146">
        <v>1181286.54</v>
      </c>
      <c r="H571" s="1145" t="s">
        <v>329</v>
      </c>
      <c r="I571" s="1145" t="s">
        <v>779</v>
      </c>
      <c r="J571" s="1145" t="s">
        <v>3188</v>
      </c>
      <c r="K571" s="1101"/>
      <c r="L571" s="1145">
        <v>5</v>
      </c>
      <c r="M571" s="1145">
        <v>3</v>
      </c>
      <c r="N571" s="1145">
        <v>2</v>
      </c>
      <c r="O571" s="1145">
        <v>60</v>
      </c>
      <c r="P571" s="1145">
        <v>0</v>
      </c>
      <c r="Q571" s="1133"/>
      <c r="R571" s="1146">
        <v>3.42</v>
      </c>
      <c r="S571" s="1148">
        <v>1</v>
      </c>
      <c r="T571" s="1104"/>
      <c r="U571" s="1146">
        <v>88.4</v>
      </c>
      <c r="V571" s="1148">
        <v>1</v>
      </c>
      <c r="W571" s="1133"/>
      <c r="X571" s="1146">
        <v>451.7</v>
      </c>
      <c r="Y571" s="1148">
        <v>0</v>
      </c>
      <c r="Z571" s="1133"/>
      <c r="AA571" s="1146">
        <v>7.58</v>
      </c>
      <c r="AB571" s="1185">
        <v>1</v>
      </c>
      <c r="AC571" s="1133"/>
      <c r="AD571" s="1146">
        <v>308</v>
      </c>
      <c r="AE571" s="1185">
        <v>0</v>
      </c>
    </row>
    <row r="572" spans="3:31" x14ac:dyDescent="0.4">
      <c r="C572" s="2829"/>
      <c r="D572" s="1144" t="s">
        <v>3192</v>
      </c>
      <c r="E572" s="1145" t="s">
        <v>3194</v>
      </c>
      <c r="F572" s="1146">
        <v>440761</v>
      </c>
      <c r="G572" s="1146">
        <v>1196191</v>
      </c>
      <c r="H572" s="1145" t="s">
        <v>329</v>
      </c>
      <c r="I572" s="1145" t="s">
        <v>779</v>
      </c>
      <c r="J572" s="1145" t="s">
        <v>3188</v>
      </c>
      <c r="K572" s="1101"/>
      <c r="L572" s="1145" t="s">
        <v>2903</v>
      </c>
      <c r="M572" s="1145" t="s">
        <v>2903</v>
      </c>
      <c r="N572" s="1145" t="s">
        <v>2903</v>
      </c>
      <c r="O572" s="1145" t="s">
        <v>2903</v>
      </c>
      <c r="P572" s="1145" t="s">
        <v>2903</v>
      </c>
      <c r="Q572" s="1133"/>
      <c r="R572" s="1146" t="s">
        <v>2903</v>
      </c>
      <c r="S572" s="1148" t="s">
        <v>2903</v>
      </c>
      <c r="T572" s="1104"/>
      <c r="U572" s="1146" t="s">
        <v>2903</v>
      </c>
      <c r="V572" s="1148" t="s">
        <v>2903</v>
      </c>
      <c r="W572" s="1133"/>
      <c r="X572" s="1146" t="s">
        <v>2903</v>
      </c>
      <c r="Y572" s="1148" t="s">
        <v>2903</v>
      </c>
      <c r="Z572" s="1133"/>
      <c r="AA572" s="1146" t="s">
        <v>2903</v>
      </c>
      <c r="AB572" s="1185" t="s">
        <v>2903</v>
      </c>
      <c r="AC572" s="1133"/>
      <c r="AD572" s="1146" t="s">
        <v>2903</v>
      </c>
      <c r="AE572" s="1185" t="s">
        <v>2903</v>
      </c>
    </row>
    <row r="573" spans="3:31" x14ac:dyDescent="0.4">
      <c r="C573" s="2829"/>
      <c r="D573" s="1144" t="s">
        <v>3192</v>
      </c>
      <c r="E573" s="1145" t="s">
        <v>3195</v>
      </c>
      <c r="F573" s="1146">
        <v>447414.14</v>
      </c>
      <c r="G573" s="1146">
        <v>1208498.74</v>
      </c>
      <c r="H573" s="1145" t="s">
        <v>329</v>
      </c>
      <c r="I573" s="1145" t="s">
        <v>783</v>
      </c>
      <c r="J573" s="1145" t="s">
        <v>783</v>
      </c>
      <c r="K573" s="1101"/>
      <c r="L573" s="1226" t="s">
        <v>2903</v>
      </c>
      <c r="M573" s="1145" t="s">
        <v>2903</v>
      </c>
      <c r="N573" s="1145" t="s">
        <v>2903</v>
      </c>
      <c r="O573" s="1145" t="s">
        <v>2903</v>
      </c>
      <c r="P573" s="1145" t="s">
        <v>2903</v>
      </c>
      <c r="Q573" s="1133"/>
      <c r="R573" s="1145" t="s">
        <v>2903</v>
      </c>
      <c r="S573" s="1148" t="s">
        <v>2903</v>
      </c>
      <c r="T573" s="1133"/>
      <c r="U573" s="1145" t="s">
        <v>2903</v>
      </c>
      <c r="V573" s="1148" t="s">
        <v>2903</v>
      </c>
      <c r="W573" s="1133"/>
      <c r="X573" s="1145" t="s">
        <v>2903</v>
      </c>
      <c r="Y573" s="1148" t="s">
        <v>2903</v>
      </c>
      <c r="Z573" s="1133"/>
      <c r="AA573" s="1145" t="s">
        <v>2903</v>
      </c>
      <c r="AB573" s="1148" t="s">
        <v>2903</v>
      </c>
      <c r="AC573" s="1133"/>
      <c r="AD573" s="1145" t="s">
        <v>2903</v>
      </c>
      <c r="AE573" s="1148" t="s">
        <v>2903</v>
      </c>
    </row>
    <row r="574" spans="3:31" x14ac:dyDescent="0.4">
      <c r="C574" s="2829"/>
      <c r="D574" s="1144" t="s">
        <v>3196</v>
      </c>
      <c r="E574" s="1145" t="s">
        <v>3197</v>
      </c>
      <c r="F574" s="1146">
        <v>424939.39</v>
      </c>
      <c r="G574" s="1146">
        <v>1219769.72</v>
      </c>
      <c r="H574" s="1145" t="s">
        <v>329</v>
      </c>
      <c r="I574" s="1145" t="s">
        <v>783</v>
      </c>
      <c r="J574" s="1145" t="s">
        <v>783</v>
      </c>
      <c r="K574" s="1101"/>
      <c r="L574" s="1145">
        <v>5</v>
      </c>
      <c r="M574" s="1145">
        <v>3</v>
      </c>
      <c r="N574" s="1145">
        <v>2</v>
      </c>
      <c r="O574" s="1145">
        <v>60</v>
      </c>
      <c r="P574" s="1145">
        <v>0</v>
      </c>
      <c r="Q574" s="1133"/>
      <c r="R574" s="1146">
        <v>2.121</v>
      </c>
      <c r="S574" s="1148">
        <v>1</v>
      </c>
      <c r="T574" s="1104"/>
      <c r="U574" s="1146">
        <v>42.5</v>
      </c>
      <c r="V574" s="1148">
        <v>0</v>
      </c>
      <c r="W574" s="1133"/>
      <c r="X574" s="1146">
        <v>48.099999999999994</v>
      </c>
      <c r="Y574" s="1148">
        <v>0</v>
      </c>
      <c r="Z574" s="1133"/>
      <c r="AA574" s="1146">
        <v>6.74</v>
      </c>
      <c r="AB574" s="1185">
        <v>1</v>
      </c>
      <c r="AC574" s="1133"/>
      <c r="AD574" s="1146">
        <v>15.7</v>
      </c>
      <c r="AE574" s="1185">
        <v>1</v>
      </c>
    </row>
    <row r="575" spans="3:31" x14ac:dyDescent="0.4">
      <c r="C575" s="2829"/>
      <c r="D575" s="1144" t="s">
        <v>3198</v>
      </c>
      <c r="E575" s="1145" t="s">
        <v>3199</v>
      </c>
      <c r="F575" s="1146">
        <v>437136</v>
      </c>
      <c r="G575" s="1146">
        <v>1219338</v>
      </c>
      <c r="H575" s="1145" t="s">
        <v>329</v>
      </c>
      <c r="I575" s="1145" t="s">
        <v>783</v>
      </c>
      <c r="J575" s="1145" t="s">
        <v>783</v>
      </c>
      <c r="K575" s="1101"/>
      <c r="L575" s="1145">
        <v>0</v>
      </c>
      <c r="M575" s="1145">
        <v>0</v>
      </c>
      <c r="N575" s="1145">
        <v>0</v>
      </c>
      <c r="O575" s="1145" t="s">
        <v>2903</v>
      </c>
      <c r="P575" s="1145" t="s">
        <v>2903</v>
      </c>
      <c r="Q575" s="1133"/>
      <c r="R575" s="1146" t="s">
        <v>2903</v>
      </c>
      <c r="S575" s="1148" t="s">
        <v>2903</v>
      </c>
      <c r="T575" s="1104"/>
      <c r="U575" s="1146" t="s">
        <v>2903</v>
      </c>
      <c r="V575" s="1148" t="s">
        <v>2903</v>
      </c>
      <c r="W575" s="1133"/>
      <c r="X575" s="1146" t="s">
        <v>2903</v>
      </c>
      <c r="Y575" s="1148" t="s">
        <v>2903</v>
      </c>
      <c r="Z575" s="1133"/>
      <c r="AA575" s="1146" t="s">
        <v>2903</v>
      </c>
      <c r="AB575" s="1185" t="s">
        <v>2903</v>
      </c>
      <c r="AC575" s="1133"/>
      <c r="AD575" s="1146" t="s">
        <v>2903</v>
      </c>
      <c r="AE575" s="1185" t="s">
        <v>2903</v>
      </c>
    </row>
    <row r="576" spans="3:31" x14ac:dyDescent="0.4">
      <c r="C576" s="2830" t="s">
        <v>3200</v>
      </c>
      <c r="D576" s="1135" t="s">
        <v>3201</v>
      </c>
      <c r="E576" s="1133" t="s">
        <v>3202</v>
      </c>
      <c r="F576" s="1186">
        <v>396005</v>
      </c>
      <c r="G576" s="1187">
        <v>1182789</v>
      </c>
      <c r="H576" s="1188" t="s">
        <v>329</v>
      </c>
      <c r="I576" s="1188" t="s">
        <v>784</v>
      </c>
      <c r="J576" s="1188" t="s">
        <v>3203</v>
      </c>
      <c r="K576" s="1101"/>
      <c r="L576" s="1188">
        <v>5</v>
      </c>
      <c r="M576" s="1188">
        <v>5</v>
      </c>
      <c r="N576" s="1188">
        <v>0</v>
      </c>
      <c r="O576" s="1188">
        <v>100</v>
      </c>
      <c r="P576" s="1188">
        <v>1</v>
      </c>
      <c r="Q576" s="1188"/>
      <c r="R576" s="1187">
        <v>2.8</v>
      </c>
      <c r="S576" s="1189">
        <v>1</v>
      </c>
      <c r="T576" s="1104"/>
      <c r="U576" s="1190">
        <v>97.7</v>
      </c>
      <c r="V576" s="1189">
        <v>1</v>
      </c>
      <c r="W576" s="1188"/>
      <c r="X576" s="1187">
        <v>9.7214444444444437E-2</v>
      </c>
      <c r="Y576" s="1189">
        <v>1</v>
      </c>
      <c r="Z576" s="1187"/>
      <c r="AA576" s="1187">
        <v>7.97</v>
      </c>
      <c r="AB576" s="1191">
        <v>1</v>
      </c>
      <c r="AC576" s="1187"/>
      <c r="AD576" s="1187">
        <v>8.4600000000000009</v>
      </c>
      <c r="AE576" s="1191">
        <v>1</v>
      </c>
    </row>
    <row r="577" spans="3:31" x14ac:dyDescent="0.4">
      <c r="C577" s="2825"/>
      <c r="D577" s="1135" t="s">
        <v>3204</v>
      </c>
      <c r="E577" s="1133" t="s">
        <v>3205</v>
      </c>
      <c r="F577" s="1186">
        <v>396513</v>
      </c>
      <c r="G577" s="1186">
        <v>1185236</v>
      </c>
      <c r="H577" s="1188" t="s">
        <v>329</v>
      </c>
      <c r="I577" s="1188" t="s">
        <v>784</v>
      </c>
      <c r="J577" s="1188" t="s">
        <v>3203</v>
      </c>
      <c r="K577" s="1101"/>
      <c r="L577" s="1188">
        <v>5</v>
      </c>
      <c r="M577" s="1188">
        <v>5</v>
      </c>
      <c r="N577" s="1188">
        <v>0</v>
      </c>
      <c r="O577" s="1188">
        <v>100</v>
      </c>
      <c r="P577" s="1188">
        <v>1</v>
      </c>
      <c r="Q577" s="1188"/>
      <c r="R577" s="1187">
        <v>2.2999999999999998</v>
      </c>
      <c r="S577" s="1189">
        <v>1</v>
      </c>
      <c r="T577" s="1104"/>
      <c r="U577" s="1190">
        <v>98.2</v>
      </c>
      <c r="V577" s="1189">
        <v>1</v>
      </c>
      <c r="W577" s="1188"/>
      <c r="X577" s="1187">
        <v>0.11459777777777778</v>
      </c>
      <c r="Y577" s="1189">
        <v>1</v>
      </c>
      <c r="Z577" s="1187"/>
      <c r="AA577" s="1187">
        <v>6.63</v>
      </c>
      <c r="AB577" s="1191">
        <v>1</v>
      </c>
      <c r="AC577" s="1187"/>
      <c r="AD577" s="1187">
        <v>12.55</v>
      </c>
      <c r="AE577" s="1191">
        <v>1</v>
      </c>
    </row>
    <row r="578" spans="3:31" x14ac:dyDescent="0.4">
      <c r="C578" s="2825"/>
      <c r="D578" s="1135" t="s">
        <v>3206</v>
      </c>
      <c r="E578" s="1133" t="s">
        <v>3207</v>
      </c>
      <c r="F578" s="1186">
        <v>406466</v>
      </c>
      <c r="G578" s="1186">
        <v>1195288</v>
      </c>
      <c r="H578" s="1188" t="s">
        <v>329</v>
      </c>
      <c r="I578" s="1188" t="s">
        <v>783</v>
      </c>
      <c r="J578" s="1188" t="s">
        <v>3208</v>
      </c>
      <c r="K578" s="1101"/>
      <c r="L578" s="1188">
        <v>5</v>
      </c>
      <c r="M578" s="1188">
        <v>3</v>
      </c>
      <c r="N578" s="1188">
        <v>2</v>
      </c>
      <c r="O578" s="1188">
        <v>60</v>
      </c>
      <c r="P578" s="1188">
        <v>0</v>
      </c>
      <c r="Q578" s="1188"/>
      <c r="R578" s="1187">
        <v>11.2</v>
      </c>
      <c r="S578" s="1189">
        <v>0</v>
      </c>
      <c r="T578" s="1104"/>
      <c r="U578" s="1190">
        <v>60.1</v>
      </c>
      <c r="V578" s="1189">
        <v>0</v>
      </c>
      <c r="W578" s="1188"/>
      <c r="X578" s="1187">
        <v>8.9195555555555556E-2</v>
      </c>
      <c r="Y578" s="1189">
        <v>1</v>
      </c>
      <c r="Z578" s="1187"/>
      <c r="AA578" s="1187">
        <v>6.8</v>
      </c>
      <c r="AB578" s="1191">
        <v>1</v>
      </c>
      <c r="AC578" s="1187"/>
      <c r="AD578" s="1187">
        <v>9.09</v>
      </c>
      <c r="AE578" s="1191">
        <v>1</v>
      </c>
    </row>
    <row r="579" spans="3:31" x14ac:dyDescent="0.4">
      <c r="C579" s="2825"/>
      <c r="D579" s="1135" t="s">
        <v>3209</v>
      </c>
      <c r="E579" s="1133" t="s">
        <v>3210</v>
      </c>
      <c r="F579" s="1186">
        <v>419081</v>
      </c>
      <c r="G579" s="1186">
        <v>1213800</v>
      </c>
      <c r="H579" s="1188" t="s">
        <v>329</v>
      </c>
      <c r="I579" s="1188" t="s">
        <v>783</v>
      </c>
      <c r="J579" s="1188" t="s">
        <v>3208</v>
      </c>
      <c r="K579" s="1101"/>
      <c r="L579" s="1188">
        <v>0</v>
      </c>
      <c r="M579" s="1188">
        <v>0</v>
      </c>
      <c r="N579" s="1188">
        <v>0</v>
      </c>
      <c r="O579" s="1188" t="s">
        <v>2903</v>
      </c>
      <c r="P579" s="1188" t="s">
        <v>2903</v>
      </c>
      <c r="Q579" s="1188"/>
      <c r="R579" s="1187" t="s">
        <v>2903</v>
      </c>
      <c r="S579" s="1189" t="s">
        <v>2903</v>
      </c>
      <c r="T579" s="1104"/>
      <c r="U579" s="1190" t="s">
        <v>2903</v>
      </c>
      <c r="V579" s="1189" t="s">
        <v>2903</v>
      </c>
      <c r="W579" s="1188"/>
      <c r="X579" s="1187" t="s">
        <v>2903</v>
      </c>
      <c r="Y579" s="1189" t="s">
        <v>2903</v>
      </c>
      <c r="Z579" s="1187"/>
      <c r="AA579" s="1187" t="s">
        <v>2903</v>
      </c>
      <c r="AB579" s="1191" t="s">
        <v>2903</v>
      </c>
      <c r="AC579" s="1187"/>
      <c r="AD579" s="1187" t="s">
        <v>2903</v>
      </c>
      <c r="AE579" s="1191" t="s">
        <v>2903</v>
      </c>
    </row>
    <row r="580" spans="3:31" x14ac:dyDescent="0.4">
      <c r="C580" s="2825"/>
      <c r="D580" s="1135" t="s">
        <v>3211</v>
      </c>
      <c r="E580" s="1133" t="s">
        <v>3212</v>
      </c>
      <c r="F580" s="1186">
        <v>424116</v>
      </c>
      <c r="G580" s="1186">
        <v>1198841</v>
      </c>
      <c r="H580" s="1188" t="s">
        <v>329</v>
      </c>
      <c r="I580" s="1188" t="s">
        <v>783</v>
      </c>
      <c r="J580" s="1188" t="s">
        <v>3208</v>
      </c>
      <c r="K580" s="1101"/>
      <c r="L580" s="1188">
        <v>5</v>
      </c>
      <c r="M580" s="1188">
        <v>4</v>
      </c>
      <c r="N580" s="1188">
        <v>1</v>
      </c>
      <c r="O580" s="1188">
        <v>80</v>
      </c>
      <c r="P580" s="1188">
        <v>1</v>
      </c>
      <c r="Q580" s="1188"/>
      <c r="R580" s="1187">
        <v>9.5</v>
      </c>
      <c r="S580" s="1189">
        <v>0</v>
      </c>
      <c r="T580" s="1104"/>
      <c r="U580" s="1190">
        <v>77.8</v>
      </c>
      <c r="V580" s="1189">
        <v>1</v>
      </c>
      <c r="W580" s="1188"/>
      <c r="X580" s="1187">
        <v>0.2</v>
      </c>
      <c r="Y580" s="1189">
        <v>1</v>
      </c>
      <c r="Z580" s="1187"/>
      <c r="AA580" s="1187">
        <v>7.08</v>
      </c>
      <c r="AB580" s="1191">
        <v>1</v>
      </c>
      <c r="AC580" s="1187"/>
      <c r="AD580" s="1187">
        <v>6</v>
      </c>
      <c r="AE580" s="1191">
        <v>1</v>
      </c>
    </row>
    <row r="581" spans="3:31" ht="25.5" x14ac:dyDescent="0.4">
      <c r="C581" s="2822" t="s">
        <v>779</v>
      </c>
      <c r="D581" s="1178" t="s">
        <v>3213</v>
      </c>
      <c r="E581" s="1179" t="s">
        <v>3214</v>
      </c>
      <c r="F581" s="1180">
        <v>445595</v>
      </c>
      <c r="G581" s="1180">
        <v>1150072</v>
      </c>
      <c r="H581" s="1179" t="s">
        <v>329</v>
      </c>
      <c r="I581" s="1179" t="s">
        <v>779</v>
      </c>
      <c r="J581" s="1179" t="s">
        <v>3215</v>
      </c>
      <c r="K581" s="1101"/>
      <c r="L581" s="1179">
        <v>5</v>
      </c>
      <c r="M581" s="1179">
        <v>4</v>
      </c>
      <c r="N581" s="1179">
        <v>1</v>
      </c>
      <c r="O581" s="1179">
        <v>80</v>
      </c>
      <c r="P581" s="1179">
        <v>1</v>
      </c>
      <c r="Q581" s="1133"/>
      <c r="R581" s="1180">
        <v>3</v>
      </c>
      <c r="S581" s="1182">
        <v>1</v>
      </c>
      <c r="T581" s="1104"/>
      <c r="U581" s="1180">
        <v>104.26</v>
      </c>
      <c r="V581" s="1182">
        <v>1</v>
      </c>
      <c r="W581" s="1133"/>
      <c r="X581" s="1180">
        <v>0.5</v>
      </c>
      <c r="Y581" s="1182">
        <v>1</v>
      </c>
      <c r="Z581" s="1136"/>
      <c r="AA581" s="1180">
        <v>8.1300000000000008</v>
      </c>
      <c r="AB581" s="1192">
        <v>1</v>
      </c>
      <c r="AC581" s="1136"/>
      <c r="AD581" s="1180">
        <v>35</v>
      </c>
      <c r="AE581" s="1192">
        <v>0</v>
      </c>
    </row>
    <row r="582" spans="3:31" x14ac:dyDescent="0.4">
      <c r="C582" s="2823"/>
      <c r="D582" s="1178" t="s">
        <v>3216</v>
      </c>
      <c r="E582" s="1179" t="s">
        <v>3217</v>
      </c>
      <c r="F582" s="1180">
        <v>448391</v>
      </c>
      <c r="G582" s="1180">
        <v>1154099</v>
      </c>
      <c r="H582" s="1179" t="s">
        <v>329</v>
      </c>
      <c r="I582" s="1179" t="s">
        <v>779</v>
      </c>
      <c r="J582" s="1179" t="s">
        <v>3215</v>
      </c>
      <c r="K582" s="1101"/>
      <c r="L582" s="1179">
        <v>0</v>
      </c>
      <c r="M582" s="1179">
        <v>0</v>
      </c>
      <c r="N582" s="1179">
        <v>0</v>
      </c>
      <c r="O582" s="1179" t="s">
        <v>2903</v>
      </c>
      <c r="P582" s="1179" t="s">
        <v>2903</v>
      </c>
      <c r="Q582" s="1133"/>
      <c r="R582" s="1180" t="s">
        <v>2903</v>
      </c>
      <c r="S582" s="1182" t="s">
        <v>2903</v>
      </c>
      <c r="T582" s="1104"/>
      <c r="U582" s="1180" t="s">
        <v>2903</v>
      </c>
      <c r="V582" s="1182" t="s">
        <v>2903</v>
      </c>
      <c r="W582" s="1133"/>
      <c r="X582" s="1180" t="s">
        <v>2903</v>
      </c>
      <c r="Y582" s="1182" t="s">
        <v>2903</v>
      </c>
      <c r="Z582" s="1136"/>
      <c r="AA582" s="1180" t="s">
        <v>2903</v>
      </c>
      <c r="AB582" s="1192" t="s">
        <v>2903</v>
      </c>
      <c r="AC582" s="1136"/>
      <c r="AD582" s="1180" t="s">
        <v>2903</v>
      </c>
      <c r="AE582" s="1192" t="s">
        <v>2903</v>
      </c>
    </row>
    <row r="583" spans="3:31" x14ac:dyDescent="0.4">
      <c r="C583" s="2823"/>
      <c r="D583" s="1178" t="s">
        <v>3216</v>
      </c>
      <c r="E583" s="1179" t="s">
        <v>3218</v>
      </c>
      <c r="F583" s="1180">
        <v>447360</v>
      </c>
      <c r="G583" s="1180">
        <v>1164091</v>
      </c>
      <c r="H583" s="1179" t="s">
        <v>329</v>
      </c>
      <c r="I583" s="1179" t="s">
        <v>779</v>
      </c>
      <c r="J583" s="1179" t="s">
        <v>3191</v>
      </c>
      <c r="K583" s="1101"/>
      <c r="L583" s="1179">
        <v>5</v>
      </c>
      <c r="M583" s="1179">
        <v>4</v>
      </c>
      <c r="N583" s="1179">
        <v>1</v>
      </c>
      <c r="O583" s="1179">
        <v>80</v>
      </c>
      <c r="P583" s="1179">
        <v>1</v>
      </c>
      <c r="Q583" s="1133"/>
      <c r="R583" s="1180">
        <v>3</v>
      </c>
      <c r="S583" s="1182">
        <v>1</v>
      </c>
      <c r="T583" s="1104"/>
      <c r="U583" s="1180">
        <v>75.58</v>
      </c>
      <c r="V583" s="1182">
        <v>1</v>
      </c>
      <c r="W583" s="1133"/>
      <c r="X583" s="1180">
        <v>0.5</v>
      </c>
      <c r="Y583" s="1182">
        <v>1</v>
      </c>
      <c r="Z583" s="1136"/>
      <c r="AA583" s="1180">
        <v>7.06</v>
      </c>
      <c r="AB583" s="1192">
        <v>1</v>
      </c>
      <c r="AC583" s="1136"/>
      <c r="AD583" s="1180">
        <v>157</v>
      </c>
      <c r="AE583" s="1192">
        <v>0</v>
      </c>
    </row>
    <row r="584" spans="3:31" x14ac:dyDescent="0.4">
      <c r="C584" s="2823"/>
      <c r="D584" s="1178" t="s">
        <v>3216</v>
      </c>
      <c r="E584" s="1179" t="s">
        <v>3219</v>
      </c>
      <c r="F584" s="1180">
        <v>446170</v>
      </c>
      <c r="G584" s="1180">
        <v>1167233</v>
      </c>
      <c r="H584" s="1179" t="s">
        <v>329</v>
      </c>
      <c r="I584" s="1179" t="s">
        <v>779</v>
      </c>
      <c r="J584" s="1179" t="s">
        <v>3188</v>
      </c>
      <c r="K584" s="1101"/>
      <c r="L584" s="1179">
        <v>0</v>
      </c>
      <c r="M584" s="1179">
        <v>0</v>
      </c>
      <c r="N584" s="1179">
        <v>0</v>
      </c>
      <c r="O584" s="1179" t="s">
        <v>2903</v>
      </c>
      <c r="P584" s="1179" t="s">
        <v>2903</v>
      </c>
      <c r="Q584" s="1133"/>
      <c r="R584" s="1180" t="s">
        <v>2903</v>
      </c>
      <c r="S584" s="1182" t="s">
        <v>2903</v>
      </c>
      <c r="T584" s="1104"/>
      <c r="U584" s="1180" t="s">
        <v>2903</v>
      </c>
      <c r="V584" s="1182" t="s">
        <v>2903</v>
      </c>
      <c r="W584" s="1133"/>
      <c r="X584" s="1180" t="s">
        <v>2903</v>
      </c>
      <c r="Y584" s="1182" t="s">
        <v>2903</v>
      </c>
      <c r="Z584" s="1136"/>
      <c r="AA584" s="1180" t="s">
        <v>2903</v>
      </c>
      <c r="AB584" s="1192" t="s">
        <v>2903</v>
      </c>
      <c r="AC584" s="1136"/>
      <c r="AD584" s="1180" t="s">
        <v>2903</v>
      </c>
      <c r="AE584" s="1192" t="s">
        <v>2903</v>
      </c>
    </row>
    <row r="585" spans="3:31" x14ac:dyDescent="0.4">
      <c r="C585" s="2823"/>
      <c r="D585" s="1178" t="s">
        <v>3216</v>
      </c>
      <c r="E585" s="1179" t="s">
        <v>3220</v>
      </c>
      <c r="F585" s="1180">
        <v>472597</v>
      </c>
      <c r="G585" s="1180">
        <v>1178771</v>
      </c>
      <c r="H585" s="1179" t="s">
        <v>329</v>
      </c>
      <c r="I585" s="1179" t="s">
        <v>779</v>
      </c>
      <c r="J585" s="1179" t="s">
        <v>3221</v>
      </c>
      <c r="K585" s="1101"/>
      <c r="L585" s="1179">
        <v>5</v>
      </c>
      <c r="M585" s="1179">
        <v>4</v>
      </c>
      <c r="N585" s="1179">
        <v>1</v>
      </c>
      <c r="O585" s="1179">
        <v>80</v>
      </c>
      <c r="P585" s="1179">
        <v>1</v>
      </c>
      <c r="Q585" s="1133"/>
      <c r="R585" s="1180">
        <v>3</v>
      </c>
      <c r="S585" s="1182">
        <v>1</v>
      </c>
      <c r="T585" s="1104"/>
      <c r="U585" s="1180">
        <v>81.36</v>
      </c>
      <c r="V585" s="1182">
        <v>1</v>
      </c>
      <c r="W585" s="1133"/>
      <c r="X585" s="1180">
        <v>0.5</v>
      </c>
      <c r="Y585" s="1182">
        <v>1</v>
      </c>
      <c r="Z585" s="1136"/>
      <c r="AA585" s="1180">
        <v>7.03</v>
      </c>
      <c r="AB585" s="1192">
        <v>1</v>
      </c>
      <c r="AC585" s="1136"/>
      <c r="AD585" s="1180">
        <v>74</v>
      </c>
      <c r="AE585" s="1192">
        <v>0</v>
      </c>
    </row>
    <row r="586" spans="3:31" x14ac:dyDescent="0.4">
      <c r="C586" s="2823"/>
      <c r="D586" s="1178" t="s">
        <v>3216</v>
      </c>
      <c r="E586" s="1179" t="s">
        <v>3222</v>
      </c>
      <c r="F586" s="1180">
        <v>478588</v>
      </c>
      <c r="G586" s="1180">
        <v>1192460</v>
      </c>
      <c r="H586" s="1179" t="s">
        <v>329</v>
      </c>
      <c r="I586" s="1179" t="s">
        <v>779</v>
      </c>
      <c r="J586" s="1179" t="s">
        <v>3221</v>
      </c>
      <c r="K586" s="1101"/>
      <c r="L586" s="1179">
        <v>0</v>
      </c>
      <c r="M586" s="1179">
        <v>0</v>
      </c>
      <c r="N586" s="1179">
        <v>0</v>
      </c>
      <c r="O586" s="1179" t="s">
        <v>2903</v>
      </c>
      <c r="P586" s="1179" t="s">
        <v>2903</v>
      </c>
      <c r="Q586" s="1133"/>
      <c r="R586" s="1180" t="s">
        <v>2903</v>
      </c>
      <c r="S586" s="1182" t="s">
        <v>2903</v>
      </c>
      <c r="T586" s="1104"/>
      <c r="U586" s="1180" t="s">
        <v>2903</v>
      </c>
      <c r="V586" s="1182" t="s">
        <v>2903</v>
      </c>
      <c r="W586" s="1133"/>
      <c r="X586" s="1180" t="s">
        <v>2903</v>
      </c>
      <c r="Y586" s="1182" t="s">
        <v>2903</v>
      </c>
      <c r="Z586" s="1136"/>
      <c r="AA586" s="1180" t="s">
        <v>2903</v>
      </c>
      <c r="AB586" s="1192" t="s">
        <v>2903</v>
      </c>
      <c r="AC586" s="1136"/>
      <c r="AD586" s="1180" t="s">
        <v>2903</v>
      </c>
      <c r="AE586" s="1192" t="s">
        <v>2903</v>
      </c>
    </row>
    <row r="587" spans="3:31" x14ac:dyDescent="0.4">
      <c r="C587" s="2824" t="s">
        <v>802</v>
      </c>
      <c r="D587" s="1135" t="s">
        <v>3223</v>
      </c>
      <c r="E587" s="1133" t="s">
        <v>3224</v>
      </c>
      <c r="F587" s="1186">
        <v>482052</v>
      </c>
      <c r="G587" s="1186">
        <v>1128601</v>
      </c>
      <c r="H587" s="1193" t="s">
        <v>331</v>
      </c>
      <c r="I587" s="1193" t="s">
        <v>331</v>
      </c>
      <c r="J587" s="1193" t="s">
        <v>3225</v>
      </c>
      <c r="K587" s="1101"/>
      <c r="L587" s="1193">
        <v>0</v>
      </c>
      <c r="M587" s="1193">
        <v>0</v>
      </c>
      <c r="N587" s="1193">
        <v>0</v>
      </c>
      <c r="O587" s="1193" t="s">
        <v>2903</v>
      </c>
      <c r="P587" s="1193" t="s">
        <v>2903</v>
      </c>
      <c r="Q587" s="1193"/>
      <c r="R587" s="1186" t="s">
        <v>2903</v>
      </c>
      <c r="S587" s="1107" t="s">
        <v>2903</v>
      </c>
      <c r="T587" s="1104"/>
      <c r="U587" s="1190" t="s">
        <v>2903</v>
      </c>
      <c r="V587" s="1107" t="s">
        <v>2903</v>
      </c>
      <c r="W587" s="1193"/>
      <c r="X587" s="1186" t="s">
        <v>2903</v>
      </c>
      <c r="Y587" s="1107" t="s">
        <v>2903</v>
      </c>
      <c r="Z587" s="1186"/>
      <c r="AA587" s="1186" t="s">
        <v>2903</v>
      </c>
      <c r="AB587" s="1194" t="s">
        <v>2903</v>
      </c>
      <c r="AC587" s="1186"/>
      <c r="AD587" s="1186" t="s">
        <v>2903</v>
      </c>
      <c r="AE587" s="1194" t="s">
        <v>2903</v>
      </c>
    </row>
    <row r="588" spans="3:31" x14ac:dyDescent="0.4">
      <c r="C588" s="2825"/>
      <c r="D588" s="1135" t="s">
        <v>3226</v>
      </c>
      <c r="E588" s="1133" t="s">
        <v>3227</v>
      </c>
      <c r="F588" s="1186">
        <v>479928</v>
      </c>
      <c r="G588" s="1186">
        <v>1135348</v>
      </c>
      <c r="H588" s="1193" t="s">
        <v>331</v>
      </c>
      <c r="I588" s="1193" t="s">
        <v>331</v>
      </c>
      <c r="J588" s="1193" t="s">
        <v>3225</v>
      </c>
      <c r="K588" s="1101"/>
      <c r="L588" s="1193">
        <v>5</v>
      </c>
      <c r="M588" s="1193">
        <v>4</v>
      </c>
      <c r="N588" s="1193">
        <v>1</v>
      </c>
      <c r="O588" s="1193">
        <v>80</v>
      </c>
      <c r="P588" s="1193">
        <v>1</v>
      </c>
      <c r="Q588" s="1193"/>
      <c r="R588" s="1186">
        <v>9.6999999999999993</v>
      </c>
      <c r="S588" s="1107">
        <v>0</v>
      </c>
      <c r="T588" s="1104"/>
      <c r="U588" s="1190">
        <v>90</v>
      </c>
      <c r="V588" s="1107">
        <v>1</v>
      </c>
      <c r="W588" s="1193"/>
      <c r="X588" s="1186">
        <v>0.1466888888888889</v>
      </c>
      <c r="Y588" s="1107">
        <v>1</v>
      </c>
      <c r="Z588" s="1186"/>
      <c r="AA588" s="1186">
        <v>7.68</v>
      </c>
      <c r="AB588" s="1194">
        <v>1</v>
      </c>
      <c r="AC588" s="1186"/>
      <c r="AD588" s="1186">
        <v>3.4</v>
      </c>
      <c r="AE588" s="1194">
        <v>1</v>
      </c>
    </row>
    <row r="589" spans="3:31" x14ac:dyDescent="0.4">
      <c r="C589" s="2825"/>
      <c r="D589" s="1135" t="s">
        <v>3228</v>
      </c>
      <c r="E589" s="1133" t="s">
        <v>3229</v>
      </c>
      <c r="F589" s="1186">
        <v>499537</v>
      </c>
      <c r="G589" s="1186">
        <v>1153320</v>
      </c>
      <c r="H589" s="1193" t="s">
        <v>331</v>
      </c>
      <c r="I589" s="1193" t="s">
        <v>802</v>
      </c>
      <c r="J589" s="1193" t="s">
        <v>3230</v>
      </c>
      <c r="K589" s="1101"/>
      <c r="L589" s="1193">
        <v>5</v>
      </c>
      <c r="M589" s="1193">
        <v>5</v>
      </c>
      <c r="N589" s="1193">
        <v>0</v>
      </c>
      <c r="O589" s="1193">
        <v>100</v>
      </c>
      <c r="P589" s="1193">
        <v>1</v>
      </c>
      <c r="Q589" s="1193"/>
      <c r="R589" s="1186">
        <v>2.4</v>
      </c>
      <c r="S589" s="1107">
        <v>1</v>
      </c>
      <c r="T589" s="1193"/>
      <c r="U589" s="1186">
        <v>96.6</v>
      </c>
      <c r="V589" s="1107">
        <v>1</v>
      </c>
      <c r="W589" s="1193"/>
      <c r="X589" s="1186">
        <v>0.10733333333333335</v>
      </c>
      <c r="Y589" s="1107">
        <v>1</v>
      </c>
      <c r="Z589" s="1193"/>
      <c r="AA589" s="1186">
        <v>7.4</v>
      </c>
      <c r="AB589" s="1107">
        <v>1</v>
      </c>
      <c r="AC589" s="1193"/>
      <c r="AD589" s="1186">
        <v>6</v>
      </c>
      <c r="AE589" s="1107">
        <v>1</v>
      </c>
    </row>
    <row r="590" spans="3:31" x14ac:dyDescent="0.4">
      <c r="C590" s="2825"/>
      <c r="D590" s="1135" t="s">
        <v>3231</v>
      </c>
      <c r="E590" s="1133" t="s">
        <v>3232</v>
      </c>
      <c r="F590" s="1186">
        <v>498841</v>
      </c>
      <c r="G590" s="1186">
        <v>1155364</v>
      </c>
      <c r="H590" s="1193" t="s">
        <v>331</v>
      </c>
      <c r="I590" s="1193" t="s">
        <v>802</v>
      </c>
      <c r="J590" s="1193" t="s">
        <v>3230</v>
      </c>
      <c r="K590" s="1101"/>
      <c r="L590" s="1193">
        <v>5</v>
      </c>
      <c r="M590" s="1193">
        <v>5</v>
      </c>
      <c r="N590" s="1193">
        <v>0</v>
      </c>
      <c r="O590" s="1193">
        <v>100</v>
      </c>
      <c r="P590" s="1193">
        <v>1</v>
      </c>
      <c r="Q590" s="1193"/>
      <c r="R590" s="1186">
        <v>5.0999999999999996</v>
      </c>
      <c r="S590" s="1107">
        <v>1</v>
      </c>
      <c r="T590" s="1104"/>
      <c r="U590" s="1190">
        <v>98.4</v>
      </c>
      <c r="V590" s="1107">
        <v>1</v>
      </c>
      <c r="W590" s="1193"/>
      <c r="X590" s="1186">
        <v>7.7777777777777779E-2</v>
      </c>
      <c r="Y590" s="1107">
        <v>1</v>
      </c>
      <c r="Z590" s="1186"/>
      <c r="AA590" s="1186">
        <v>7.8</v>
      </c>
      <c r="AB590" s="1194">
        <v>1</v>
      </c>
      <c r="AC590" s="1186"/>
      <c r="AD590" s="1186">
        <v>3.4</v>
      </c>
      <c r="AE590" s="1194">
        <v>1</v>
      </c>
    </row>
    <row r="591" spans="3:31" x14ac:dyDescent="0.4">
      <c r="C591" s="2825"/>
      <c r="D591" s="1135" t="s">
        <v>3231</v>
      </c>
      <c r="E591" s="1133" t="s">
        <v>3233</v>
      </c>
      <c r="F591" s="1186">
        <v>499819</v>
      </c>
      <c r="G591" s="1186">
        <v>1173656</v>
      </c>
      <c r="H591" s="1193" t="s">
        <v>331</v>
      </c>
      <c r="I591" s="1193" t="s">
        <v>802</v>
      </c>
      <c r="J591" s="1193" t="s">
        <v>3230</v>
      </c>
      <c r="K591" s="1101"/>
      <c r="L591" s="1193">
        <v>5</v>
      </c>
      <c r="M591" s="1193">
        <v>5</v>
      </c>
      <c r="N591" s="1193">
        <v>0</v>
      </c>
      <c r="O591" s="1193">
        <v>100</v>
      </c>
      <c r="P591" s="1193">
        <v>1</v>
      </c>
      <c r="Q591" s="1193"/>
      <c r="R591" s="1186">
        <v>5.8</v>
      </c>
      <c r="S591" s="1107">
        <v>1</v>
      </c>
      <c r="T591" s="1104"/>
      <c r="U591" s="1190">
        <v>89.8</v>
      </c>
      <c r="V591" s="1107">
        <v>1</v>
      </c>
      <c r="W591" s="1193"/>
      <c r="X591" s="1186">
        <v>8.0500000000000002E-2</v>
      </c>
      <c r="Y591" s="1107">
        <v>1</v>
      </c>
      <c r="Z591" s="1186"/>
      <c r="AA591" s="1186">
        <v>7.23</v>
      </c>
      <c r="AB591" s="1194">
        <v>1</v>
      </c>
      <c r="AC591" s="1186"/>
      <c r="AD591" s="1186">
        <v>6</v>
      </c>
      <c r="AE591" s="1194">
        <v>1</v>
      </c>
    </row>
    <row r="592" spans="3:31" x14ac:dyDescent="0.4">
      <c r="C592" s="2825"/>
      <c r="D592" s="1135" t="s">
        <v>3234</v>
      </c>
      <c r="E592" s="1133" t="s">
        <v>3235</v>
      </c>
      <c r="F592" s="1187">
        <v>493786</v>
      </c>
      <c r="G592" s="1187">
        <v>1173389</v>
      </c>
      <c r="H592" s="1193" t="s">
        <v>331</v>
      </c>
      <c r="I592" s="1193" t="s">
        <v>802</v>
      </c>
      <c r="J592" s="1193" t="s">
        <v>3230</v>
      </c>
      <c r="K592" s="1101"/>
      <c r="L592" s="1193">
        <v>5</v>
      </c>
      <c r="M592" s="1193">
        <v>4</v>
      </c>
      <c r="N592" s="1193">
        <v>1</v>
      </c>
      <c r="O592" s="1193">
        <v>80</v>
      </c>
      <c r="P592" s="1193">
        <v>1</v>
      </c>
      <c r="Q592" s="1193"/>
      <c r="R592" s="1186">
        <v>4.2</v>
      </c>
      <c r="S592" s="1107">
        <v>1</v>
      </c>
      <c r="T592" s="1104"/>
      <c r="U592" s="1190">
        <v>89.4</v>
      </c>
      <c r="V592" s="1107">
        <v>1</v>
      </c>
      <c r="W592" s="1193"/>
      <c r="X592" s="1186">
        <v>9.3877777777777782E-2</v>
      </c>
      <c r="Y592" s="1107">
        <v>1</v>
      </c>
      <c r="Z592" s="1186"/>
      <c r="AA592" s="1186">
        <v>4.53</v>
      </c>
      <c r="AB592" s="1194">
        <v>0</v>
      </c>
      <c r="AC592" s="1186"/>
      <c r="AD592" s="1186">
        <v>22.29</v>
      </c>
      <c r="AE592" s="1194">
        <v>1</v>
      </c>
    </row>
    <row r="593" spans="3:31" x14ac:dyDescent="0.4">
      <c r="C593" s="2826" t="s">
        <v>3236</v>
      </c>
      <c r="D593" s="1151" t="s">
        <v>3237</v>
      </c>
      <c r="E593" s="1152" t="s">
        <v>3238</v>
      </c>
      <c r="F593" s="1153">
        <v>482592.46</v>
      </c>
      <c r="G593" s="1153">
        <v>1175164.98</v>
      </c>
      <c r="H593" s="1152" t="s">
        <v>331</v>
      </c>
      <c r="I593" s="1152" t="s">
        <v>802</v>
      </c>
      <c r="J593" s="1152" t="s">
        <v>3236</v>
      </c>
      <c r="K593" s="1101"/>
      <c r="L593" s="1152">
        <v>5</v>
      </c>
      <c r="M593" s="1152">
        <v>5</v>
      </c>
      <c r="N593" s="1152">
        <v>0</v>
      </c>
      <c r="O593" s="1152">
        <v>100</v>
      </c>
      <c r="P593" s="1152">
        <v>1</v>
      </c>
      <c r="Q593" s="1133"/>
      <c r="R593" s="1153">
        <v>1.7170000000000001</v>
      </c>
      <c r="S593" s="1156">
        <v>1</v>
      </c>
      <c r="T593" s="1104"/>
      <c r="U593" s="1153">
        <v>76.8</v>
      </c>
      <c r="V593" s="1156">
        <v>1</v>
      </c>
      <c r="W593" s="1133"/>
      <c r="X593" s="1153">
        <v>0.03</v>
      </c>
      <c r="Y593" s="1156">
        <v>1</v>
      </c>
      <c r="Z593" s="1136"/>
      <c r="AA593" s="1153">
        <v>7.19</v>
      </c>
      <c r="AB593" s="1195">
        <v>1</v>
      </c>
      <c r="AC593" s="1136"/>
      <c r="AD593" s="1153">
        <v>11</v>
      </c>
      <c r="AE593" s="1195">
        <v>1</v>
      </c>
    </row>
    <row r="594" spans="3:31" x14ac:dyDescent="0.4">
      <c r="C594" s="2823"/>
      <c r="D594" s="1151" t="s">
        <v>3237</v>
      </c>
      <c r="E594" s="1152" t="s">
        <v>3239</v>
      </c>
      <c r="F594" s="1153">
        <v>489977.64</v>
      </c>
      <c r="G594" s="1153">
        <v>1190025.98</v>
      </c>
      <c r="H594" s="1152" t="s">
        <v>331</v>
      </c>
      <c r="I594" s="1152" t="s">
        <v>802</v>
      </c>
      <c r="J594" s="1152" t="s">
        <v>3236</v>
      </c>
      <c r="K594" s="1101"/>
      <c r="L594" s="1152">
        <v>5</v>
      </c>
      <c r="M594" s="1152">
        <v>5</v>
      </c>
      <c r="N594" s="1152">
        <v>0</v>
      </c>
      <c r="O594" s="1152">
        <v>100</v>
      </c>
      <c r="P594" s="1152">
        <v>1</v>
      </c>
      <c r="Q594" s="1133"/>
      <c r="R594" s="1153">
        <v>1.405</v>
      </c>
      <c r="S594" s="1156">
        <v>1</v>
      </c>
      <c r="T594" s="1104"/>
      <c r="U594" s="1153">
        <v>77.5</v>
      </c>
      <c r="V594" s="1156">
        <v>1</v>
      </c>
      <c r="W594" s="1133"/>
      <c r="X594" s="1153">
        <v>0.25700000000000001</v>
      </c>
      <c r="Y594" s="1156">
        <v>1</v>
      </c>
      <c r="Z594" s="1136"/>
      <c r="AA594" s="1153">
        <v>7.71</v>
      </c>
      <c r="AB594" s="1195">
        <v>1</v>
      </c>
      <c r="AC594" s="1136"/>
      <c r="AD594" s="1153">
        <v>12.6</v>
      </c>
      <c r="AE594" s="1195">
        <v>1</v>
      </c>
    </row>
    <row r="595" spans="3:31" x14ac:dyDescent="0.4">
      <c r="C595" s="2827" t="s">
        <v>3063</v>
      </c>
      <c r="D595" s="1196" t="s">
        <v>3240</v>
      </c>
      <c r="E595" s="1197" t="s">
        <v>3241</v>
      </c>
      <c r="F595" s="1198">
        <v>505845</v>
      </c>
      <c r="G595" s="1198">
        <v>1121951</v>
      </c>
      <c r="H595" s="1197" t="s">
        <v>330</v>
      </c>
      <c r="I595" s="1197" t="s">
        <v>792</v>
      </c>
      <c r="J595" s="1197" t="s">
        <v>3185</v>
      </c>
      <c r="K595" s="1101"/>
      <c r="L595" s="1197">
        <v>5</v>
      </c>
      <c r="M595" s="1197">
        <v>2</v>
      </c>
      <c r="N595" s="1197">
        <v>3</v>
      </c>
      <c r="O595" s="1197">
        <v>40</v>
      </c>
      <c r="P595" s="1197">
        <v>0</v>
      </c>
      <c r="Q595" s="1133"/>
      <c r="R595" s="1198">
        <v>3</v>
      </c>
      <c r="S595" s="1199">
        <v>1</v>
      </c>
      <c r="T595" s="1104"/>
      <c r="U595" s="1198">
        <v>60.33</v>
      </c>
      <c r="V595" s="1199">
        <v>0</v>
      </c>
      <c r="W595" s="1133"/>
      <c r="X595" s="1198">
        <v>0.5</v>
      </c>
      <c r="Y595" s="1199">
        <v>1</v>
      </c>
      <c r="Z595" s="1136"/>
      <c r="AA595" s="1198">
        <v>4.05</v>
      </c>
      <c r="AB595" s="1200">
        <v>0</v>
      </c>
      <c r="AC595" s="1136"/>
      <c r="AD595" s="1198">
        <v>1146</v>
      </c>
      <c r="AE595" s="1200">
        <v>0</v>
      </c>
    </row>
    <row r="596" spans="3:31" x14ac:dyDescent="0.4">
      <c r="C596" s="2827"/>
      <c r="D596" s="1196" t="s">
        <v>3242</v>
      </c>
      <c r="E596" s="1197" t="s">
        <v>3243</v>
      </c>
      <c r="F596" s="1198">
        <v>521342</v>
      </c>
      <c r="G596" s="1198">
        <v>1123861</v>
      </c>
      <c r="H596" s="1197" t="s">
        <v>334</v>
      </c>
      <c r="I596" s="1197" t="s">
        <v>826</v>
      </c>
      <c r="J596" s="1197" t="s">
        <v>3097</v>
      </c>
      <c r="K596" s="1101"/>
      <c r="L596" s="1197">
        <v>5</v>
      </c>
      <c r="M596" s="1197">
        <v>5</v>
      </c>
      <c r="N596" s="1197">
        <v>0</v>
      </c>
      <c r="O596" s="1197">
        <v>100</v>
      </c>
      <c r="P596" s="1197">
        <v>1</v>
      </c>
      <c r="Q596" s="1133"/>
      <c r="R596" s="1198">
        <v>3</v>
      </c>
      <c r="S596" s="1199">
        <v>1</v>
      </c>
      <c r="T596" s="1104"/>
      <c r="U596" s="1198">
        <v>101.13</v>
      </c>
      <c r="V596" s="1199">
        <v>1</v>
      </c>
      <c r="W596" s="1133"/>
      <c r="X596" s="1198">
        <v>0.5</v>
      </c>
      <c r="Y596" s="1199">
        <v>1</v>
      </c>
      <c r="Z596" s="1136"/>
      <c r="AA596" s="1198">
        <v>7.69</v>
      </c>
      <c r="AB596" s="1200">
        <v>1</v>
      </c>
      <c r="AC596" s="1136"/>
      <c r="AD596" s="1198">
        <v>14</v>
      </c>
      <c r="AE596" s="1200">
        <v>1</v>
      </c>
    </row>
    <row r="597" spans="3:31" x14ac:dyDescent="0.4">
      <c r="C597" s="2827"/>
      <c r="D597" s="1196" t="s">
        <v>3240</v>
      </c>
      <c r="E597" s="1197" t="s">
        <v>3244</v>
      </c>
      <c r="F597" s="1198">
        <v>501187</v>
      </c>
      <c r="G597" s="1198">
        <v>1156754</v>
      </c>
      <c r="H597" s="1197" t="s">
        <v>331</v>
      </c>
      <c r="I597" s="1197" t="s">
        <v>802</v>
      </c>
      <c r="J597" s="1197" t="s">
        <v>3230</v>
      </c>
      <c r="K597" s="1101"/>
      <c r="L597" s="1197">
        <v>5</v>
      </c>
      <c r="M597" s="1197">
        <v>3</v>
      </c>
      <c r="N597" s="1197">
        <v>2</v>
      </c>
      <c r="O597" s="1197">
        <v>60</v>
      </c>
      <c r="P597" s="1197">
        <v>0</v>
      </c>
      <c r="Q597" s="1133"/>
      <c r="R597" s="1198">
        <v>3</v>
      </c>
      <c r="S597" s="1199">
        <v>1</v>
      </c>
      <c r="T597" s="1104"/>
      <c r="U597" s="1198">
        <v>76.680000000000007</v>
      </c>
      <c r="V597" s="1199">
        <v>1</v>
      </c>
      <c r="W597" s="1133"/>
      <c r="X597" s="1198">
        <v>0.5</v>
      </c>
      <c r="Y597" s="1199">
        <v>1</v>
      </c>
      <c r="Z597" s="1136"/>
      <c r="AA597" s="1198">
        <v>6.26</v>
      </c>
      <c r="AB597" s="1200">
        <v>0</v>
      </c>
      <c r="AC597" s="1136"/>
      <c r="AD597" s="1198">
        <v>470</v>
      </c>
      <c r="AE597" s="1200">
        <v>0</v>
      </c>
    </row>
    <row r="598" spans="3:31" x14ac:dyDescent="0.4">
      <c r="C598" s="2827"/>
      <c r="D598" s="1196" t="s">
        <v>3059</v>
      </c>
      <c r="E598" s="1197" t="s">
        <v>3245</v>
      </c>
      <c r="F598" s="1198">
        <v>515850</v>
      </c>
      <c r="G598" s="1198">
        <v>1145812</v>
      </c>
      <c r="H598" s="1197" t="s">
        <v>331</v>
      </c>
      <c r="I598" s="1197" t="s">
        <v>802</v>
      </c>
      <c r="J598" s="1197" t="s">
        <v>3246</v>
      </c>
      <c r="K598" s="1101"/>
      <c r="L598" s="1197">
        <v>0</v>
      </c>
      <c r="M598" s="1197">
        <v>0</v>
      </c>
      <c r="N598" s="1197">
        <v>0</v>
      </c>
      <c r="O598" s="1197" t="s">
        <v>2903</v>
      </c>
      <c r="P598" s="1197" t="s">
        <v>2903</v>
      </c>
      <c r="Q598" s="1133"/>
      <c r="R598" s="1198" t="s">
        <v>2903</v>
      </c>
      <c r="S598" s="1199" t="s">
        <v>2903</v>
      </c>
      <c r="T598" s="1104"/>
      <c r="U598" s="1198" t="s">
        <v>2903</v>
      </c>
      <c r="V598" s="1199" t="s">
        <v>2903</v>
      </c>
      <c r="W598" s="1133"/>
      <c r="X598" s="1198" t="s">
        <v>2903</v>
      </c>
      <c r="Y598" s="1199" t="s">
        <v>2903</v>
      </c>
      <c r="Z598" s="1136"/>
      <c r="AA598" s="1198" t="s">
        <v>2903</v>
      </c>
      <c r="AB598" s="1200" t="s">
        <v>2903</v>
      </c>
      <c r="AC598" s="1136"/>
      <c r="AD598" s="1198" t="s">
        <v>2903</v>
      </c>
      <c r="AE598" s="1200" t="s">
        <v>2903</v>
      </c>
    </row>
    <row r="599" spans="3:31" x14ac:dyDescent="0.4">
      <c r="C599" s="2827"/>
      <c r="D599" s="1196" t="s">
        <v>3240</v>
      </c>
      <c r="E599" s="1197" t="s">
        <v>3247</v>
      </c>
      <c r="F599" s="1198">
        <v>511157</v>
      </c>
      <c r="G599" s="1198">
        <v>1147119</v>
      </c>
      <c r="H599" s="1197" t="s">
        <v>334</v>
      </c>
      <c r="I599" s="1197" t="s">
        <v>826</v>
      </c>
      <c r="J599" s="1197" t="s">
        <v>3248</v>
      </c>
      <c r="K599" s="1101"/>
      <c r="L599" s="1197">
        <v>5</v>
      </c>
      <c r="M599" s="1197">
        <v>5</v>
      </c>
      <c r="N599" s="1197">
        <v>0</v>
      </c>
      <c r="O599" s="1197">
        <v>100</v>
      </c>
      <c r="P599" s="1197">
        <v>1</v>
      </c>
      <c r="Q599" s="1133"/>
      <c r="R599" s="1198">
        <v>3</v>
      </c>
      <c r="S599" s="1199">
        <v>1</v>
      </c>
      <c r="T599" s="1104"/>
      <c r="U599" s="1198">
        <v>103.7</v>
      </c>
      <c r="V599" s="1199">
        <v>1</v>
      </c>
      <c r="W599" s="1133"/>
      <c r="X599" s="1198">
        <v>0.5</v>
      </c>
      <c r="Y599" s="1199">
        <v>1</v>
      </c>
      <c r="Z599" s="1136"/>
      <c r="AA599" s="1198">
        <v>8.27</v>
      </c>
      <c r="AB599" s="1200">
        <v>1</v>
      </c>
      <c r="AC599" s="1136"/>
      <c r="AD599" s="1198">
        <v>3</v>
      </c>
      <c r="AE599" s="1200">
        <v>1</v>
      </c>
    </row>
    <row r="600" spans="3:31" x14ac:dyDescent="0.4">
      <c r="C600" s="2828" t="s">
        <v>3249</v>
      </c>
      <c r="D600" s="1144" t="s">
        <v>3250</v>
      </c>
      <c r="E600" s="1144" t="s">
        <v>3251</v>
      </c>
      <c r="F600" s="1201">
        <v>574425.84</v>
      </c>
      <c r="G600" s="1201">
        <v>973585.82</v>
      </c>
      <c r="H600" s="1145" t="s">
        <v>533</v>
      </c>
      <c r="I600" s="1145" t="s">
        <v>817</v>
      </c>
      <c r="J600" s="1145" t="s">
        <v>3252</v>
      </c>
      <c r="K600" s="1101"/>
      <c r="L600" s="1226">
        <v>5</v>
      </c>
      <c r="M600" s="1226">
        <v>4</v>
      </c>
      <c r="N600" s="1226">
        <v>1</v>
      </c>
      <c r="O600" s="1226">
        <v>80</v>
      </c>
      <c r="P600" s="1226">
        <v>1</v>
      </c>
      <c r="Q600" s="1133"/>
      <c r="R600" s="1146">
        <v>1.3</v>
      </c>
      <c r="S600" s="1148">
        <v>1</v>
      </c>
      <c r="T600" s="1104"/>
      <c r="U600" s="1146">
        <v>109.7</v>
      </c>
      <c r="V600" s="1148">
        <v>1</v>
      </c>
      <c r="W600" s="1133"/>
      <c r="X600" s="1146">
        <v>0.05</v>
      </c>
      <c r="Y600" s="1148">
        <v>1</v>
      </c>
      <c r="Z600" s="1133"/>
      <c r="AA600" s="1145">
        <v>8.77</v>
      </c>
      <c r="AB600" s="1148">
        <v>0</v>
      </c>
      <c r="AC600" s="1133"/>
      <c r="AD600" s="1146">
        <v>8.5</v>
      </c>
      <c r="AE600" s="1148">
        <v>1</v>
      </c>
    </row>
    <row r="601" spans="3:31" x14ac:dyDescent="0.4">
      <c r="C601" s="2829"/>
      <c r="D601" s="1144" t="s">
        <v>3250</v>
      </c>
      <c r="E601" s="1144" t="s">
        <v>3253</v>
      </c>
      <c r="F601" s="1201">
        <v>561638.5</v>
      </c>
      <c r="G601" s="1201">
        <v>978793.43</v>
      </c>
      <c r="H601" s="1145" t="s">
        <v>533</v>
      </c>
      <c r="I601" s="1145" t="s">
        <v>817</v>
      </c>
      <c r="J601" s="1145" t="s">
        <v>3252</v>
      </c>
      <c r="K601" s="1101"/>
      <c r="L601" s="1226">
        <v>5</v>
      </c>
      <c r="M601" s="1226">
        <v>4</v>
      </c>
      <c r="N601" s="1226">
        <v>1</v>
      </c>
      <c r="O601" s="1226">
        <v>80</v>
      </c>
      <c r="P601" s="1226">
        <v>1</v>
      </c>
      <c r="Q601" s="1133"/>
      <c r="R601" s="1146">
        <v>1.3</v>
      </c>
      <c r="S601" s="1148">
        <v>1</v>
      </c>
      <c r="T601" s="1104"/>
      <c r="U601" s="1146">
        <v>67.8</v>
      </c>
      <c r="V601" s="1148">
        <v>0</v>
      </c>
      <c r="W601" s="1133"/>
      <c r="X601" s="1146">
        <v>0.04</v>
      </c>
      <c r="Y601" s="1148">
        <v>1</v>
      </c>
      <c r="Z601" s="1133"/>
      <c r="AA601" s="1145">
        <v>7.38</v>
      </c>
      <c r="AB601" s="1148">
        <v>1</v>
      </c>
      <c r="AC601" s="1133"/>
      <c r="AD601" s="1146">
        <v>24.6</v>
      </c>
      <c r="AE601" s="1148">
        <v>1</v>
      </c>
    </row>
    <row r="602" spans="3:31" x14ac:dyDescent="0.4">
      <c r="C602" s="2829"/>
      <c r="D602" s="1144" t="s">
        <v>3254</v>
      </c>
      <c r="E602" s="1144" t="s">
        <v>3255</v>
      </c>
      <c r="F602" s="1201">
        <v>540780</v>
      </c>
      <c r="G602" s="1201">
        <v>963406</v>
      </c>
      <c r="H602" s="1145" t="s">
        <v>533</v>
      </c>
      <c r="I602" s="1145" t="s">
        <v>817</v>
      </c>
      <c r="J602" s="1145" t="s">
        <v>3252</v>
      </c>
      <c r="K602" s="1101"/>
      <c r="L602" s="1145">
        <v>5</v>
      </c>
      <c r="M602" s="1145">
        <v>5</v>
      </c>
      <c r="N602" s="1145">
        <v>0</v>
      </c>
      <c r="O602" s="1145">
        <v>100</v>
      </c>
      <c r="P602" s="1145">
        <v>1</v>
      </c>
      <c r="Q602" s="1133"/>
      <c r="R602" s="1146">
        <v>3</v>
      </c>
      <c r="S602" s="1148">
        <v>1</v>
      </c>
      <c r="T602" s="1104"/>
      <c r="U602" s="1146">
        <v>95.21</v>
      </c>
      <c r="V602" s="1148">
        <v>1</v>
      </c>
      <c r="W602" s="1133"/>
      <c r="X602" s="1146">
        <v>0.5</v>
      </c>
      <c r="Y602" s="1148">
        <v>1</v>
      </c>
      <c r="Z602" s="1133"/>
      <c r="AA602" s="1145">
        <v>7.38</v>
      </c>
      <c r="AB602" s="1148">
        <v>1</v>
      </c>
      <c r="AC602" s="1133"/>
      <c r="AD602" s="1146">
        <v>5.2</v>
      </c>
      <c r="AE602" s="1148">
        <v>1</v>
      </c>
    </row>
    <row r="603" spans="3:31" x14ac:dyDescent="0.4">
      <c r="C603" s="2829"/>
      <c r="D603" s="1144" t="s">
        <v>3256</v>
      </c>
      <c r="E603" s="1144" t="s">
        <v>3257</v>
      </c>
      <c r="F603" s="1201">
        <v>540031</v>
      </c>
      <c r="G603" s="1201">
        <v>963224</v>
      </c>
      <c r="H603" s="1145" t="s">
        <v>533</v>
      </c>
      <c r="I603" s="1145" t="s">
        <v>817</v>
      </c>
      <c r="J603" s="1145" t="s">
        <v>3252</v>
      </c>
      <c r="K603" s="1101"/>
      <c r="L603" s="1145">
        <v>5</v>
      </c>
      <c r="M603" s="1145">
        <v>4</v>
      </c>
      <c r="N603" s="1145">
        <v>1</v>
      </c>
      <c r="O603" s="1145">
        <v>80</v>
      </c>
      <c r="P603" s="1145">
        <v>1</v>
      </c>
      <c r="Q603" s="1133"/>
      <c r="R603" s="1146">
        <v>3</v>
      </c>
      <c r="S603" s="1148">
        <v>1</v>
      </c>
      <c r="T603" s="1104"/>
      <c r="U603" s="1146">
        <v>97.68</v>
      </c>
      <c r="V603" s="1148">
        <v>1</v>
      </c>
      <c r="W603" s="1133"/>
      <c r="X603" s="1146">
        <v>1.1000000000000001</v>
      </c>
      <c r="Y603" s="1148">
        <v>0</v>
      </c>
      <c r="Z603" s="1133"/>
      <c r="AA603" s="1145">
        <v>7.2</v>
      </c>
      <c r="AB603" s="1148">
        <v>1</v>
      </c>
      <c r="AC603" s="1133"/>
      <c r="AD603" s="1146">
        <v>15</v>
      </c>
      <c r="AE603" s="1148">
        <v>1</v>
      </c>
    </row>
    <row r="604" spans="3:31" x14ac:dyDescent="0.4">
      <c r="C604" s="2829"/>
      <c r="D604" s="1144" t="s">
        <v>3258</v>
      </c>
      <c r="E604" s="1144" t="s">
        <v>3259</v>
      </c>
      <c r="F604" s="1201">
        <v>537199</v>
      </c>
      <c r="G604" s="1201">
        <v>960976</v>
      </c>
      <c r="H604" s="1145" t="s">
        <v>533</v>
      </c>
      <c r="I604" s="1145" t="s">
        <v>817</v>
      </c>
      <c r="J604" s="1145" t="s">
        <v>3252</v>
      </c>
      <c r="K604" s="1101"/>
      <c r="L604" s="1145">
        <v>5</v>
      </c>
      <c r="M604" s="1145">
        <v>5</v>
      </c>
      <c r="N604" s="1145">
        <v>0</v>
      </c>
      <c r="O604" s="1145">
        <v>100</v>
      </c>
      <c r="P604" s="1145">
        <v>1</v>
      </c>
      <c r="Q604" s="1133"/>
      <c r="R604" s="1146">
        <v>3</v>
      </c>
      <c r="S604" s="1148">
        <v>1</v>
      </c>
      <c r="T604" s="1104"/>
      <c r="U604" s="1146">
        <v>94.78</v>
      </c>
      <c r="V604" s="1148">
        <v>1</v>
      </c>
      <c r="W604" s="1133"/>
      <c r="X604" s="1146">
        <v>0.5</v>
      </c>
      <c r="Y604" s="1148">
        <v>1</v>
      </c>
      <c r="Z604" s="1133"/>
      <c r="AA604" s="1145">
        <v>6.69</v>
      </c>
      <c r="AB604" s="1148">
        <v>1</v>
      </c>
      <c r="AC604" s="1133"/>
      <c r="AD604" s="1146">
        <v>5.0999999999999996</v>
      </c>
      <c r="AE604" s="1148">
        <v>1</v>
      </c>
    </row>
    <row r="605" spans="3:31" x14ac:dyDescent="0.4">
      <c r="C605" s="2829"/>
      <c r="D605" s="1144" t="s">
        <v>3260</v>
      </c>
      <c r="E605" s="1144" t="s">
        <v>3261</v>
      </c>
      <c r="F605" s="1201">
        <v>556454</v>
      </c>
      <c r="G605" s="1201">
        <v>952686</v>
      </c>
      <c r="H605" s="1145" t="s">
        <v>533</v>
      </c>
      <c r="I605" s="1145" t="s">
        <v>819</v>
      </c>
      <c r="J605" s="1145" t="s">
        <v>825</v>
      </c>
      <c r="K605" s="1101"/>
      <c r="L605" s="1145">
        <v>5</v>
      </c>
      <c r="M605" s="1145">
        <v>4</v>
      </c>
      <c r="N605" s="1145">
        <v>1</v>
      </c>
      <c r="O605" s="1145">
        <v>80</v>
      </c>
      <c r="P605" s="1145">
        <v>1</v>
      </c>
      <c r="Q605" s="1133"/>
      <c r="R605" s="1146">
        <v>3</v>
      </c>
      <c r="S605" s="1148">
        <v>1</v>
      </c>
      <c r="T605" s="1104"/>
      <c r="U605" s="1146">
        <v>88.54</v>
      </c>
      <c r="V605" s="1148">
        <v>1</v>
      </c>
      <c r="W605" s="1133"/>
      <c r="X605" s="1146">
        <v>0.5</v>
      </c>
      <c r="Y605" s="1148">
        <v>1</v>
      </c>
      <c r="Z605" s="1133"/>
      <c r="AA605" s="1145">
        <v>7.68</v>
      </c>
      <c r="AB605" s="1148">
        <v>1</v>
      </c>
      <c r="AC605" s="1133"/>
      <c r="AD605" s="1146">
        <v>53</v>
      </c>
      <c r="AE605" s="1148">
        <v>0</v>
      </c>
    </row>
    <row r="606" spans="3:31" x14ac:dyDescent="0.4">
      <c r="C606" s="2829"/>
      <c r="D606" s="1144" t="s">
        <v>3260</v>
      </c>
      <c r="E606" s="1144" t="s">
        <v>3262</v>
      </c>
      <c r="F606" s="1201">
        <v>557699</v>
      </c>
      <c r="G606" s="1201">
        <v>960827</v>
      </c>
      <c r="H606" s="1145" t="s">
        <v>533</v>
      </c>
      <c r="I606" s="1145" t="s">
        <v>819</v>
      </c>
      <c r="J606" s="1145" t="s">
        <v>825</v>
      </c>
      <c r="K606" s="1101"/>
      <c r="L606" s="1145">
        <v>5</v>
      </c>
      <c r="M606" s="1145">
        <v>4</v>
      </c>
      <c r="N606" s="1145">
        <v>1</v>
      </c>
      <c r="O606" s="1145">
        <v>80</v>
      </c>
      <c r="P606" s="1145">
        <v>1</v>
      </c>
      <c r="Q606" s="1133"/>
      <c r="R606" s="1146">
        <v>5</v>
      </c>
      <c r="S606" s="1148">
        <v>1</v>
      </c>
      <c r="T606" s="1104"/>
      <c r="U606" s="1146">
        <v>83.79</v>
      </c>
      <c r="V606" s="1148">
        <v>1</v>
      </c>
      <c r="W606" s="1133"/>
      <c r="X606" s="1146">
        <v>0.5</v>
      </c>
      <c r="Y606" s="1148">
        <v>1</v>
      </c>
      <c r="Z606" s="1133"/>
      <c r="AA606" s="1145">
        <v>7.25</v>
      </c>
      <c r="AB606" s="1148">
        <v>1</v>
      </c>
      <c r="AC606" s="1133"/>
      <c r="AD606" s="1146">
        <v>78</v>
      </c>
      <c r="AE606" s="1148">
        <v>0</v>
      </c>
    </row>
    <row r="607" spans="3:31" x14ac:dyDescent="0.4">
      <c r="C607" s="2829"/>
      <c r="D607" s="1144" t="s">
        <v>3263</v>
      </c>
      <c r="E607" s="1144" t="s">
        <v>3264</v>
      </c>
      <c r="F607" s="1201">
        <v>565955</v>
      </c>
      <c r="G607" s="1201">
        <v>942456</v>
      </c>
      <c r="H607" s="1145" t="s">
        <v>533</v>
      </c>
      <c r="I607" s="1145" t="s">
        <v>819</v>
      </c>
      <c r="J607" s="1145" t="s">
        <v>825</v>
      </c>
      <c r="K607" s="1101"/>
      <c r="L607" s="1145">
        <v>5</v>
      </c>
      <c r="M607" s="1145">
        <v>4</v>
      </c>
      <c r="N607" s="1145">
        <v>1</v>
      </c>
      <c r="O607" s="1145">
        <v>80</v>
      </c>
      <c r="P607" s="1145">
        <v>1</v>
      </c>
      <c r="Q607" s="1133"/>
      <c r="R607" s="1146">
        <v>3</v>
      </c>
      <c r="S607" s="1148">
        <v>1</v>
      </c>
      <c r="T607" s="1104"/>
      <c r="U607" s="1146">
        <v>97</v>
      </c>
      <c r="V607" s="1148">
        <v>1</v>
      </c>
      <c r="W607" s="1133"/>
      <c r="X607" s="1146">
        <v>0.5</v>
      </c>
      <c r="Y607" s="1148">
        <v>1</v>
      </c>
      <c r="Z607" s="1133"/>
      <c r="AA607" s="1145">
        <v>8.11</v>
      </c>
      <c r="AB607" s="1148">
        <v>1</v>
      </c>
      <c r="AC607" s="1133"/>
      <c r="AD607" s="1146">
        <v>150</v>
      </c>
      <c r="AE607" s="1148">
        <v>0</v>
      </c>
    </row>
    <row r="608" spans="3:31" x14ac:dyDescent="0.4">
      <c r="C608" s="2829"/>
      <c r="D608" s="1144" t="s">
        <v>3263</v>
      </c>
      <c r="E608" s="1144" t="s">
        <v>3265</v>
      </c>
      <c r="F608" s="1201">
        <v>573396</v>
      </c>
      <c r="G608" s="1201">
        <v>945256</v>
      </c>
      <c r="H608" s="1145" t="s">
        <v>533</v>
      </c>
      <c r="I608" s="1145" t="s">
        <v>819</v>
      </c>
      <c r="J608" s="1145" t="s">
        <v>825</v>
      </c>
      <c r="K608" s="1101"/>
      <c r="L608" s="1145">
        <v>5</v>
      </c>
      <c r="M608" s="1145">
        <v>4</v>
      </c>
      <c r="N608" s="1145">
        <v>1</v>
      </c>
      <c r="O608" s="1145">
        <v>80</v>
      </c>
      <c r="P608" s="1145">
        <v>1</v>
      </c>
      <c r="Q608" s="1133"/>
      <c r="R608" s="1146">
        <v>3</v>
      </c>
      <c r="S608" s="1148">
        <v>1</v>
      </c>
      <c r="T608" s="1104"/>
      <c r="U608" s="1146">
        <v>90.23</v>
      </c>
      <c r="V608" s="1148">
        <v>1</v>
      </c>
      <c r="W608" s="1133"/>
      <c r="X608" s="1146">
        <v>0.5</v>
      </c>
      <c r="Y608" s="1148">
        <v>1</v>
      </c>
      <c r="Z608" s="1133"/>
      <c r="AA608" s="1145">
        <v>7.76</v>
      </c>
      <c r="AB608" s="1148">
        <v>1</v>
      </c>
      <c r="AC608" s="1133"/>
      <c r="AD608" s="1146">
        <v>322</v>
      </c>
      <c r="AE608" s="1148">
        <v>0</v>
      </c>
    </row>
    <row r="609" spans="3:31" x14ac:dyDescent="0.4">
      <c r="C609" s="2829"/>
      <c r="D609" s="1144" t="s">
        <v>3266</v>
      </c>
      <c r="E609" s="1144" t="s">
        <v>3267</v>
      </c>
      <c r="F609" s="1201">
        <v>576535</v>
      </c>
      <c r="G609" s="1201">
        <v>943377</v>
      </c>
      <c r="H609" s="1145" t="s">
        <v>533</v>
      </c>
      <c r="I609" s="1145" t="s">
        <v>819</v>
      </c>
      <c r="J609" s="1145" t="s">
        <v>825</v>
      </c>
      <c r="K609" s="1101"/>
      <c r="L609" s="1145">
        <v>5</v>
      </c>
      <c r="M609" s="1145">
        <v>4</v>
      </c>
      <c r="N609" s="1145">
        <v>1</v>
      </c>
      <c r="O609" s="1145">
        <v>80</v>
      </c>
      <c r="P609" s="1145">
        <v>1</v>
      </c>
      <c r="Q609" s="1133"/>
      <c r="R609" s="1146">
        <v>10</v>
      </c>
      <c r="S609" s="1148">
        <v>1</v>
      </c>
      <c r="T609" s="1104"/>
      <c r="U609" s="1146">
        <v>43.03</v>
      </c>
      <c r="V609" s="1148">
        <v>0</v>
      </c>
      <c r="W609" s="1133"/>
      <c r="X609" s="1146">
        <v>0.5</v>
      </c>
      <c r="Y609" s="1148">
        <v>1</v>
      </c>
      <c r="Z609" s="1133"/>
      <c r="AA609" s="1145">
        <v>6.96</v>
      </c>
      <c r="AB609" s="1148">
        <v>1</v>
      </c>
      <c r="AC609" s="1133"/>
      <c r="AD609" s="1146">
        <v>3.4</v>
      </c>
      <c r="AE609" s="1148">
        <v>1</v>
      </c>
    </row>
    <row r="610" spans="3:31" ht="25.5" x14ac:dyDescent="0.4">
      <c r="C610" s="2830" t="s">
        <v>3268</v>
      </c>
      <c r="D610" s="1135" t="s">
        <v>3269</v>
      </c>
      <c r="E610" s="1193" t="s">
        <v>3270</v>
      </c>
      <c r="F610" s="1186">
        <v>584568</v>
      </c>
      <c r="G610" s="1186">
        <v>971733</v>
      </c>
      <c r="H610" s="1193" t="s">
        <v>533</v>
      </c>
      <c r="I610" s="1193" t="s">
        <v>817</v>
      </c>
      <c r="J610" s="1193" t="s">
        <v>3271</v>
      </c>
      <c r="K610" s="1101"/>
      <c r="L610" s="1193">
        <v>5</v>
      </c>
      <c r="M610" s="1193">
        <v>4</v>
      </c>
      <c r="N610" s="1193">
        <v>1</v>
      </c>
      <c r="O610" s="1193">
        <v>80</v>
      </c>
      <c r="P610" s="1193">
        <v>1</v>
      </c>
      <c r="Q610" s="1104"/>
      <c r="R610" s="1186">
        <v>1.3</v>
      </c>
      <c r="S610" s="1194">
        <v>1</v>
      </c>
      <c r="T610" s="1202"/>
      <c r="U610" s="1186">
        <v>102.9</v>
      </c>
      <c r="V610" s="1194">
        <v>1</v>
      </c>
      <c r="W610" s="1186"/>
      <c r="X610" s="1186">
        <v>0.03</v>
      </c>
      <c r="Y610" s="1194">
        <v>1</v>
      </c>
      <c r="Z610" s="1186"/>
      <c r="AA610" s="1186">
        <v>8.6</v>
      </c>
      <c r="AB610" s="1194">
        <v>0</v>
      </c>
      <c r="AC610" s="1186"/>
      <c r="AD610" s="1186">
        <v>12.2</v>
      </c>
      <c r="AE610" s="1194">
        <v>1</v>
      </c>
    </row>
    <row r="611" spans="3:31" ht="25.5" x14ac:dyDescent="0.4">
      <c r="C611" s="2830"/>
      <c r="D611" s="1135" t="s">
        <v>3269</v>
      </c>
      <c r="E611" s="1193" t="s">
        <v>3272</v>
      </c>
      <c r="F611" s="1186">
        <v>583399</v>
      </c>
      <c r="G611" s="1186">
        <v>970993</v>
      </c>
      <c r="H611" s="1193" t="s">
        <v>533</v>
      </c>
      <c r="I611" s="1193" t="s">
        <v>817</v>
      </c>
      <c r="J611" s="1193" t="s">
        <v>3271</v>
      </c>
      <c r="K611" s="1101"/>
      <c r="L611" s="1193">
        <v>5</v>
      </c>
      <c r="M611" s="1193">
        <v>4</v>
      </c>
      <c r="N611" s="1193">
        <v>1</v>
      </c>
      <c r="O611" s="1193">
        <v>80</v>
      </c>
      <c r="P611" s="1193">
        <v>1</v>
      </c>
      <c r="Q611" s="1104"/>
      <c r="R611" s="1186">
        <v>1.3</v>
      </c>
      <c r="S611" s="1194">
        <v>1</v>
      </c>
      <c r="T611" s="1202"/>
      <c r="U611" s="1186">
        <v>109.7</v>
      </c>
      <c r="V611" s="1194">
        <v>1</v>
      </c>
      <c r="W611" s="1186"/>
      <c r="X611" s="1186">
        <v>0.03</v>
      </c>
      <c r="Y611" s="1194">
        <v>1</v>
      </c>
      <c r="Z611" s="1186"/>
      <c r="AA611" s="1186">
        <v>8.77</v>
      </c>
      <c r="AB611" s="1194">
        <v>0</v>
      </c>
      <c r="AC611" s="1186"/>
      <c r="AD611" s="1186">
        <v>5.5</v>
      </c>
      <c r="AE611" s="1194">
        <v>1</v>
      </c>
    </row>
    <row r="612" spans="3:31" x14ac:dyDescent="0.4">
      <c r="C612" s="2830"/>
      <c r="D612" s="1135" t="s">
        <v>3273</v>
      </c>
      <c r="E612" s="1193" t="s">
        <v>3274</v>
      </c>
      <c r="F612" s="1193">
        <v>593881.96</v>
      </c>
      <c r="G612" s="1186">
        <v>958299.35</v>
      </c>
      <c r="H612" s="1193" t="s">
        <v>533</v>
      </c>
      <c r="I612" s="1193" t="s">
        <v>819</v>
      </c>
      <c r="J612" s="1193" t="s">
        <v>819</v>
      </c>
      <c r="K612" s="1101"/>
      <c r="L612" s="1193">
        <v>5</v>
      </c>
      <c r="M612" s="1193">
        <v>4</v>
      </c>
      <c r="N612" s="1193">
        <v>1</v>
      </c>
      <c r="O612" s="1193">
        <v>80</v>
      </c>
      <c r="P612" s="1193">
        <v>1</v>
      </c>
      <c r="Q612" s="1104"/>
      <c r="R612" s="1186">
        <v>1.3</v>
      </c>
      <c r="S612" s="1194">
        <v>1</v>
      </c>
      <c r="T612" s="1202"/>
      <c r="U612" s="1186">
        <v>96</v>
      </c>
      <c r="V612" s="1194">
        <v>1</v>
      </c>
      <c r="W612" s="1186"/>
      <c r="X612" s="1186">
        <v>0.03</v>
      </c>
      <c r="Y612" s="1194">
        <v>1</v>
      </c>
      <c r="Z612" s="1186"/>
      <c r="AA612" s="1186">
        <v>8.41</v>
      </c>
      <c r="AB612" s="1194">
        <v>1</v>
      </c>
      <c r="AC612" s="1186"/>
      <c r="AD612" s="1186">
        <v>72.2</v>
      </c>
      <c r="AE612" s="1194">
        <v>0</v>
      </c>
    </row>
    <row r="613" spans="3:31" x14ac:dyDescent="0.4">
      <c r="C613" s="2830"/>
      <c r="D613" s="1135" t="s">
        <v>3275</v>
      </c>
      <c r="E613" s="1193" t="s">
        <v>3276</v>
      </c>
      <c r="F613" s="1193">
        <v>602048.97</v>
      </c>
      <c r="G613" s="1186">
        <v>956133</v>
      </c>
      <c r="H613" s="1193" t="s">
        <v>533</v>
      </c>
      <c r="I613" s="1193" t="s">
        <v>819</v>
      </c>
      <c r="J613" s="1193" t="s">
        <v>819</v>
      </c>
      <c r="K613" s="1101"/>
      <c r="L613" s="1193">
        <v>5</v>
      </c>
      <c r="M613" s="1193">
        <v>5</v>
      </c>
      <c r="N613" s="1193">
        <v>0</v>
      </c>
      <c r="O613" s="1193">
        <v>100</v>
      </c>
      <c r="P613" s="1193">
        <v>1</v>
      </c>
      <c r="Q613" s="1104"/>
      <c r="R613" s="1186">
        <v>1.3</v>
      </c>
      <c r="S613" s="1194">
        <v>1</v>
      </c>
      <c r="T613" s="1202"/>
      <c r="U613" s="1186">
        <v>97.6</v>
      </c>
      <c r="V613" s="1194">
        <v>1</v>
      </c>
      <c r="W613" s="1186"/>
      <c r="X613" s="1186">
        <v>0.03</v>
      </c>
      <c r="Y613" s="1194">
        <v>1</v>
      </c>
      <c r="Z613" s="1186"/>
      <c r="AA613" s="1186">
        <v>8.06</v>
      </c>
      <c r="AB613" s="1194">
        <v>1</v>
      </c>
      <c r="AC613" s="1186"/>
      <c r="AD613" s="1186">
        <v>22.9</v>
      </c>
      <c r="AE613" s="1194">
        <v>1</v>
      </c>
    </row>
    <row r="614" spans="3:31" x14ac:dyDescent="0.4">
      <c r="C614" s="2830"/>
      <c r="D614" s="1135" t="s">
        <v>3277</v>
      </c>
      <c r="E614" s="1193" t="s">
        <v>3278</v>
      </c>
      <c r="F614" s="1193">
        <v>616296.19999999995</v>
      </c>
      <c r="G614" s="1186">
        <v>955585.48</v>
      </c>
      <c r="H614" s="1193" t="s">
        <v>533</v>
      </c>
      <c r="I614" s="1193" t="s">
        <v>822</v>
      </c>
      <c r="J614" s="1193" t="s">
        <v>3279</v>
      </c>
      <c r="K614" s="1101"/>
      <c r="L614" s="1193">
        <v>5</v>
      </c>
      <c r="M614" s="1193">
        <v>5</v>
      </c>
      <c r="N614" s="1193">
        <v>0</v>
      </c>
      <c r="O614" s="1193">
        <v>100</v>
      </c>
      <c r="P614" s="1193">
        <v>1</v>
      </c>
      <c r="Q614" s="1104"/>
      <c r="R614" s="1186">
        <v>1.3</v>
      </c>
      <c r="S614" s="1194">
        <v>1</v>
      </c>
      <c r="T614" s="1202"/>
      <c r="U614" s="1186">
        <v>97.6</v>
      </c>
      <c r="V614" s="1194">
        <v>1</v>
      </c>
      <c r="W614" s="1186"/>
      <c r="X614" s="1186">
        <v>0.03</v>
      </c>
      <c r="Y614" s="1194">
        <v>1</v>
      </c>
      <c r="Z614" s="1186"/>
      <c r="AA614" s="1186">
        <v>7.51</v>
      </c>
      <c r="AB614" s="1194">
        <v>1</v>
      </c>
      <c r="AC614" s="1186"/>
      <c r="AD614" s="1186">
        <v>14.7</v>
      </c>
      <c r="AE614" s="1194">
        <v>1</v>
      </c>
    </row>
    <row r="615" spans="3:31" x14ac:dyDescent="0.4">
      <c r="C615" s="2830"/>
      <c r="D615" s="1135" t="s">
        <v>3280</v>
      </c>
      <c r="E615" s="1193" t="s">
        <v>3281</v>
      </c>
      <c r="F615" s="1193">
        <v>620864.78</v>
      </c>
      <c r="G615" s="1186">
        <v>951524.78</v>
      </c>
      <c r="H615" s="1193" t="s">
        <v>533</v>
      </c>
      <c r="I615" s="1193" t="s">
        <v>822</v>
      </c>
      <c r="J615" s="1193" t="s">
        <v>3282</v>
      </c>
      <c r="K615" s="1101"/>
      <c r="L615" s="1193">
        <v>5</v>
      </c>
      <c r="M615" s="1193">
        <v>5</v>
      </c>
      <c r="N615" s="1193">
        <v>0</v>
      </c>
      <c r="O615" s="1193">
        <v>100</v>
      </c>
      <c r="P615" s="1193">
        <v>1</v>
      </c>
      <c r="Q615" s="1104"/>
      <c r="R615" s="1186">
        <v>1.3</v>
      </c>
      <c r="S615" s="1194">
        <v>1</v>
      </c>
      <c r="T615" s="1202"/>
      <c r="U615" s="1186">
        <v>93.9</v>
      </c>
      <c r="V615" s="1194">
        <v>1</v>
      </c>
      <c r="W615" s="1186"/>
      <c r="X615" s="1186">
        <v>0.03</v>
      </c>
      <c r="Y615" s="1194">
        <v>1</v>
      </c>
      <c r="Z615" s="1186"/>
      <c r="AA615" s="1186">
        <v>7.45</v>
      </c>
      <c r="AB615" s="1194">
        <v>1</v>
      </c>
      <c r="AC615" s="1186"/>
      <c r="AD615" s="1186">
        <v>16.8</v>
      </c>
      <c r="AE615" s="1194">
        <v>1</v>
      </c>
    </row>
    <row r="616" spans="3:31" x14ac:dyDescent="0.4">
      <c r="C616" s="2821" t="s">
        <v>3283</v>
      </c>
      <c r="D616" s="1178" t="s">
        <v>3284</v>
      </c>
      <c r="E616" s="1178" t="s">
        <v>3285</v>
      </c>
      <c r="F616" s="1203">
        <v>532996</v>
      </c>
      <c r="G616" s="1203">
        <v>1041620</v>
      </c>
      <c r="H616" s="1178" t="s">
        <v>328</v>
      </c>
      <c r="I616" s="1178" t="s">
        <v>769</v>
      </c>
      <c r="J616" s="1178" t="s">
        <v>3286</v>
      </c>
      <c r="K616" s="1111"/>
      <c r="L616" s="1178">
        <v>5</v>
      </c>
      <c r="M616" s="1178">
        <v>4</v>
      </c>
      <c r="N616" s="1178">
        <v>1</v>
      </c>
      <c r="O616" s="1178">
        <v>80</v>
      </c>
      <c r="P616" s="1178">
        <v>1</v>
      </c>
      <c r="Q616" s="1108"/>
      <c r="R616" s="1203">
        <v>4.3</v>
      </c>
      <c r="S616" s="1204">
        <v>0</v>
      </c>
      <c r="T616" s="1108"/>
      <c r="U616" s="1203">
        <v>102</v>
      </c>
      <c r="V616" s="1204">
        <v>1</v>
      </c>
      <c r="W616" s="1184"/>
      <c r="X616" s="1203">
        <v>7.7777777777777782E-5</v>
      </c>
      <c r="Y616" s="1204">
        <v>1</v>
      </c>
      <c r="Z616" s="1184"/>
      <c r="AA616" s="1178">
        <v>8.23</v>
      </c>
      <c r="AB616" s="1204">
        <v>1</v>
      </c>
      <c r="AC616" s="1184"/>
      <c r="AD616" s="1203">
        <v>8</v>
      </c>
      <c r="AE616" s="1204">
        <v>1</v>
      </c>
    </row>
    <row r="617" spans="3:31" ht="25.5" x14ac:dyDescent="0.4">
      <c r="C617" s="2821"/>
      <c r="D617" s="1178" t="s">
        <v>3287</v>
      </c>
      <c r="E617" s="1178" t="s">
        <v>3288</v>
      </c>
      <c r="F617" s="1203">
        <v>530449</v>
      </c>
      <c r="G617" s="1203">
        <v>1034120</v>
      </c>
      <c r="H617" s="1178" t="s">
        <v>328</v>
      </c>
      <c r="I617" s="1178" t="s">
        <v>769</v>
      </c>
      <c r="J617" s="1178" t="s">
        <v>3289</v>
      </c>
      <c r="K617" s="1111"/>
      <c r="L617" s="1178">
        <v>5</v>
      </c>
      <c r="M617" s="1178">
        <v>3</v>
      </c>
      <c r="N617" s="1178">
        <v>2</v>
      </c>
      <c r="O617" s="1178">
        <v>60</v>
      </c>
      <c r="P617" s="1178">
        <v>0</v>
      </c>
      <c r="Q617" s="1108"/>
      <c r="R617" s="1203">
        <v>6.8</v>
      </c>
      <c r="S617" s="1204">
        <v>0</v>
      </c>
      <c r="T617" s="1108"/>
      <c r="U617" s="1203">
        <v>102</v>
      </c>
      <c r="V617" s="1204">
        <v>1</v>
      </c>
      <c r="W617" s="1184"/>
      <c r="X617" s="1203">
        <v>9.3877777777777782E-2</v>
      </c>
      <c r="Y617" s="1204">
        <v>1</v>
      </c>
      <c r="Z617" s="1184"/>
      <c r="AA617" s="1178">
        <v>8.69</v>
      </c>
      <c r="AB617" s="1204">
        <v>0</v>
      </c>
      <c r="AC617" s="1184"/>
      <c r="AD617" s="1203">
        <v>3.4</v>
      </c>
      <c r="AE617" s="1204">
        <v>1</v>
      </c>
    </row>
    <row r="618" spans="3:31" ht="25.5" x14ac:dyDescent="0.4">
      <c r="C618" s="2821"/>
      <c r="D618" s="1178" t="s">
        <v>3290</v>
      </c>
      <c r="E618" s="1178" t="s">
        <v>3291</v>
      </c>
      <c r="F618" s="1203">
        <v>530356</v>
      </c>
      <c r="G618" s="1203">
        <v>1031640</v>
      </c>
      <c r="H618" s="1178" t="s">
        <v>328</v>
      </c>
      <c r="I618" s="1178" t="s">
        <v>769</v>
      </c>
      <c r="J618" s="1178" t="s">
        <v>3289</v>
      </c>
      <c r="K618" s="1111"/>
      <c r="L618" s="1178">
        <v>5</v>
      </c>
      <c r="M618" s="1178">
        <v>3</v>
      </c>
      <c r="N618" s="1178">
        <v>2</v>
      </c>
      <c r="O618" s="1178">
        <v>60</v>
      </c>
      <c r="P618" s="1178">
        <v>0</v>
      </c>
      <c r="Q618" s="1108"/>
      <c r="R618" s="1203">
        <v>6.2</v>
      </c>
      <c r="S618" s="1204">
        <v>0</v>
      </c>
      <c r="T618" s="1108"/>
      <c r="U618" s="1203">
        <v>100</v>
      </c>
      <c r="V618" s="1204">
        <v>1</v>
      </c>
      <c r="W618" s="1184"/>
      <c r="X618" s="1203">
        <v>8.6722222222222228E-2</v>
      </c>
      <c r="Y618" s="1204">
        <v>1</v>
      </c>
      <c r="Z618" s="1184"/>
      <c r="AA618" s="1178">
        <v>8.5299999999999994</v>
      </c>
      <c r="AB618" s="1204">
        <v>0</v>
      </c>
      <c r="AC618" s="1184"/>
      <c r="AD618" s="1203">
        <v>6</v>
      </c>
      <c r="AE618" s="1204">
        <v>1</v>
      </c>
    </row>
    <row r="619" spans="3:31" ht="25.5" x14ac:dyDescent="0.4">
      <c r="C619" s="2821"/>
      <c r="D619" s="1178" t="s">
        <v>3292</v>
      </c>
      <c r="E619" s="1178" t="s">
        <v>3293</v>
      </c>
      <c r="F619" s="1203">
        <v>540450</v>
      </c>
      <c r="G619" s="1203">
        <v>1024550</v>
      </c>
      <c r="H619" s="1178" t="s">
        <v>328</v>
      </c>
      <c r="I619" s="1178" t="s">
        <v>769</v>
      </c>
      <c r="J619" s="1178" t="s">
        <v>3289</v>
      </c>
      <c r="K619" s="1111"/>
      <c r="L619" s="1178">
        <v>5</v>
      </c>
      <c r="M619" s="1178">
        <v>5</v>
      </c>
      <c r="N619" s="1178">
        <v>0</v>
      </c>
      <c r="O619" s="1178">
        <v>100</v>
      </c>
      <c r="P619" s="1178">
        <v>1</v>
      </c>
      <c r="Q619" s="1108"/>
      <c r="R619" s="1203">
        <v>7.1</v>
      </c>
      <c r="S619" s="1204">
        <v>1</v>
      </c>
      <c r="T619" s="1108"/>
      <c r="U619" s="1203">
        <v>100</v>
      </c>
      <c r="V619" s="1204">
        <v>1</v>
      </c>
      <c r="W619" s="1184"/>
      <c r="X619" s="1203">
        <v>9.4344444444444439E-2</v>
      </c>
      <c r="Y619" s="1204">
        <v>1</v>
      </c>
      <c r="Z619" s="1184"/>
      <c r="AA619" s="1178">
        <v>8.1300000000000008</v>
      </c>
      <c r="AB619" s="1204">
        <v>1</v>
      </c>
      <c r="AC619" s="1184"/>
      <c r="AD619" s="1203">
        <v>6.05</v>
      </c>
      <c r="AE619" s="1204">
        <v>1</v>
      </c>
    </row>
    <row r="620" spans="3:31" x14ac:dyDescent="0.4">
      <c r="C620" s="2821"/>
      <c r="D620" s="1178" t="s">
        <v>3294</v>
      </c>
      <c r="E620" s="1178" t="s">
        <v>3295</v>
      </c>
      <c r="F620" s="1203">
        <v>560402</v>
      </c>
      <c r="G620" s="1203">
        <v>1018153</v>
      </c>
      <c r="H620" s="1178" t="s">
        <v>533</v>
      </c>
      <c r="I620" s="1178" t="s">
        <v>815</v>
      </c>
      <c r="J620" s="1178" t="s">
        <v>3296</v>
      </c>
      <c r="K620" s="1111"/>
      <c r="L620" s="1205" t="s">
        <v>2903</v>
      </c>
      <c r="M620" s="1205" t="s">
        <v>2903</v>
      </c>
      <c r="N620" s="1178" t="s">
        <v>2903</v>
      </c>
      <c r="O620" s="1178" t="s">
        <v>2903</v>
      </c>
      <c r="P620" s="1178" t="s">
        <v>2903</v>
      </c>
      <c r="Q620" s="1108"/>
      <c r="R620" s="1203" t="s">
        <v>2903</v>
      </c>
      <c r="S620" s="1204" t="s">
        <v>2903</v>
      </c>
      <c r="T620" s="1108"/>
      <c r="U620" s="1203" t="s">
        <v>2903</v>
      </c>
      <c r="V620" s="1204" t="s">
        <v>2903</v>
      </c>
      <c r="W620" s="1184"/>
      <c r="X620" s="1203" t="s">
        <v>2903</v>
      </c>
      <c r="Y620" s="1204" t="s">
        <v>2903</v>
      </c>
      <c r="Z620" s="1184"/>
      <c r="AA620" s="1178" t="s">
        <v>2903</v>
      </c>
      <c r="AB620" s="1204" t="s">
        <v>2903</v>
      </c>
      <c r="AC620" s="1184"/>
      <c r="AD620" s="1203" t="s">
        <v>2903</v>
      </c>
      <c r="AE620" s="1204" t="s">
        <v>2903</v>
      </c>
    </row>
    <row r="621" spans="3:31" x14ac:dyDescent="0.4">
      <c r="C621" s="2821"/>
      <c r="D621" s="1178" t="s">
        <v>3297</v>
      </c>
      <c r="E621" s="1178" t="s">
        <v>3298</v>
      </c>
      <c r="F621" s="1203">
        <v>563052</v>
      </c>
      <c r="G621" s="1203">
        <v>1014805</v>
      </c>
      <c r="H621" s="1178" t="s">
        <v>533</v>
      </c>
      <c r="I621" s="1178" t="s">
        <v>815</v>
      </c>
      <c r="J621" s="1178" t="s">
        <v>3296</v>
      </c>
      <c r="K621" s="1111"/>
      <c r="L621" s="1178">
        <v>5</v>
      </c>
      <c r="M621" s="1178">
        <v>5</v>
      </c>
      <c r="N621" s="1178">
        <v>0</v>
      </c>
      <c r="O621" s="1178">
        <v>100</v>
      </c>
      <c r="P621" s="1178">
        <v>1</v>
      </c>
      <c r="Q621" s="1108"/>
      <c r="R621" s="1203">
        <v>5.0999999999999996</v>
      </c>
      <c r="S621" s="1204">
        <v>1</v>
      </c>
      <c r="T621" s="1108"/>
      <c r="U621" s="1203">
        <v>100</v>
      </c>
      <c r="V621" s="1204">
        <v>1</v>
      </c>
      <c r="W621" s="1184"/>
      <c r="X621" s="1203">
        <v>0.11448888888888889</v>
      </c>
      <c r="Y621" s="1204">
        <v>1</v>
      </c>
      <c r="Z621" s="1184"/>
      <c r="AA621" s="1178">
        <v>7.46</v>
      </c>
      <c r="AB621" s="1204">
        <v>1</v>
      </c>
      <c r="AC621" s="1184"/>
      <c r="AD621" s="1203">
        <v>6</v>
      </c>
      <c r="AE621" s="1204">
        <v>1</v>
      </c>
    </row>
    <row r="622" spans="3:31" x14ac:dyDescent="0.4">
      <c r="C622" s="2821"/>
      <c r="D622" s="1178" t="s">
        <v>3299</v>
      </c>
      <c r="E622" s="1178" t="s">
        <v>3300</v>
      </c>
      <c r="F622" s="1203">
        <v>606327</v>
      </c>
      <c r="G622" s="1203">
        <v>984614</v>
      </c>
      <c r="H622" s="1178" t="s">
        <v>533</v>
      </c>
      <c r="I622" s="1178" t="s">
        <v>820</v>
      </c>
      <c r="J622" s="1178" t="s">
        <v>3301</v>
      </c>
      <c r="K622" s="1111"/>
      <c r="L622" s="1178">
        <v>5</v>
      </c>
      <c r="M622" s="1178">
        <v>4</v>
      </c>
      <c r="N622" s="1178">
        <v>1</v>
      </c>
      <c r="O622" s="1178">
        <v>80</v>
      </c>
      <c r="P622" s="1178">
        <v>1</v>
      </c>
      <c r="Q622" s="1108"/>
      <c r="R622" s="1203">
        <v>6.3</v>
      </c>
      <c r="S622" s="1204">
        <v>0</v>
      </c>
      <c r="T622" s="1108"/>
      <c r="U622" s="1203">
        <v>89.8</v>
      </c>
      <c r="V622" s="1204">
        <v>1</v>
      </c>
      <c r="W622" s="1184"/>
      <c r="X622" s="1203">
        <v>0.15407777777777779</v>
      </c>
      <c r="Y622" s="1204">
        <v>1</v>
      </c>
      <c r="Z622" s="1184"/>
      <c r="AA622" s="1178">
        <v>8.2799999999999994</v>
      </c>
      <c r="AB622" s="1204">
        <v>1</v>
      </c>
      <c r="AC622" s="1184"/>
      <c r="AD622" s="1203">
        <v>13</v>
      </c>
      <c r="AE622" s="1204">
        <v>1</v>
      </c>
    </row>
    <row r="623" spans="3:31" x14ac:dyDescent="0.4">
      <c r="C623" s="2821"/>
      <c r="D623" s="1178" t="s">
        <v>3299</v>
      </c>
      <c r="E623" s="1178" t="s">
        <v>3302</v>
      </c>
      <c r="F623" s="1203">
        <v>589428</v>
      </c>
      <c r="G623" s="1203">
        <v>995105</v>
      </c>
      <c r="H623" s="1178" t="s">
        <v>533</v>
      </c>
      <c r="I623" s="1178" t="s">
        <v>820</v>
      </c>
      <c r="J623" s="1178" t="s">
        <v>3301</v>
      </c>
      <c r="K623" s="1111"/>
      <c r="L623" s="1178">
        <v>5</v>
      </c>
      <c r="M623" s="1178">
        <v>5</v>
      </c>
      <c r="N623" s="1178">
        <v>0</v>
      </c>
      <c r="O623" s="1178">
        <v>100</v>
      </c>
      <c r="P623" s="1178">
        <v>1</v>
      </c>
      <c r="Q623" s="1108"/>
      <c r="R623" s="1203">
        <v>5.4</v>
      </c>
      <c r="S623" s="1204">
        <v>1</v>
      </c>
      <c r="T623" s="1108"/>
      <c r="U623" s="1203">
        <v>100</v>
      </c>
      <c r="V623" s="1204">
        <v>1</v>
      </c>
      <c r="W623" s="1184"/>
      <c r="X623" s="1203">
        <v>0.11246666666666667</v>
      </c>
      <c r="Y623" s="1204">
        <v>1</v>
      </c>
      <c r="Z623" s="1184"/>
      <c r="AA623" s="1178">
        <v>8.23</v>
      </c>
      <c r="AB623" s="1204">
        <v>1</v>
      </c>
      <c r="AC623" s="1184"/>
      <c r="AD623" s="1203">
        <v>8.6999999999999993</v>
      </c>
      <c r="AE623" s="1204">
        <v>1</v>
      </c>
    </row>
  </sheetData>
  <mergeCells count="179">
    <mergeCell ref="A6:B6"/>
    <mergeCell ref="C6:N6"/>
    <mergeCell ref="C9:G9"/>
    <mergeCell ref="C10:C11"/>
    <mergeCell ref="D10:E10"/>
    <mergeCell ref="F10:G10"/>
    <mergeCell ref="H10:I10"/>
    <mergeCell ref="C1:D1"/>
    <mergeCell ref="A3:B3"/>
    <mergeCell ref="C3:N3"/>
    <mergeCell ref="A4:B4"/>
    <mergeCell ref="C4:N4"/>
    <mergeCell ref="A5:B5"/>
    <mergeCell ref="C5:N5"/>
    <mergeCell ref="C30:AE30"/>
    <mergeCell ref="D31:D33"/>
    <mergeCell ref="E31:E33"/>
    <mergeCell ref="F31:J31"/>
    <mergeCell ref="L31:P31"/>
    <mergeCell ref="R31:S31"/>
    <mergeCell ref="U31:V31"/>
    <mergeCell ref="X31:Y31"/>
    <mergeCell ref="AA31:AB31"/>
    <mergeCell ref="AD31:AE31"/>
    <mergeCell ref="AE32:AE33"/>
    <mergeCell ref="Y32:Y33"/>
    <mergeCell ref="AB32:AB33"/>
    <mergeCell ref="C34:C37"/>
    <mergeCell ref="C38:C45"/>
    <mergeCell ref="C46:C53"/>
    <mergeCell ref="C54:C57"/>
    <mergeCell ref="C58:C64"/>
    <mergeCell ref="N32:N33"/>
    <mergeCell ref="O32:O33"/>
    <mergeCell ref="S32:S33"/>
    <mergeCell ref="V32:V33"/>
    <mergeCell ref="C32:C33"/>
    <mergeCell ref="H32:H33"/>
    <mergeCell ref="I32:I33"/>
    <mergeCell ref="J32:J33"/>
    <mergeCell ref="L32:L33"/>
    <mergeCell ref="M32:M33"/>
    <mergeCell ref="C99:C102"/>
    <mergeCell ref="C103:C110"/>
    <mergeCell ref="C111:C117"/>
    <mergeCell ref="C118:C119"/>
    <mergeCell ref="C120:C123"/>
    <mergeCell ref="C124:C126"/>
    <mergeCell ref="C65:C67"/>
    <mergeCell ref="C68:C72"/>
    <mergeCell ref="C73:C78"/>
    <mergeCell ref="C79:C91"/>
    <mergeCell ref="C92:C94"/>
    <mergeCell ref="C95:C98"/>
    <mergeCell ref="C172:C177"/>
    <mergeCell ref="C178:C182"/>
    <mergeCell ref="C183:C188"/>
    <mergeCell ref="C189:C194"/>
    <mergeCell ref="C195:C196"/>
    <mergeCell ref="C197:C201"/>
    <mergeCell ref="C127:C131"/>
    <mergeCell ref="C132:C140"/>
    <mergeCell ref="C141:C151"/>
    <mergeCell ref="C152:C158"/>
    <mergeCell ref="C159:C166"/>
    <mergeCell ref="C167:C171"/>
    <mergeCell ref="C202:C211"/>
    <mergeCell ref="C212:C217"/>
    <mergeCell ref="C218:C225"/>
    <mergeCell ref="C230:AE230"/>
    <mergeCell ref="D231:D233"/>
    <mergeCell ref="E231:E233"/>
    <mergeCell ref="F231:J231"/>
    <mergeCell ref="L231:P231"/>
    <mergeCell ref="R231:S231"/>
    <mergeCell ref="U231:V231"/>
    <mergeCell ref="Y232:Y233"/>
    <mergeCell ref="AB232:AB233"/>
    <mergeCell ref="AE232:AE233"/>
    <mergeCell ref="X231:Y231"/>
    <mergeCell ref="AA231:AB231"/>
    <mergeCell ref="AD231:AE231"/>
    <mergeCell ref="C232:C233"/>
    <mergeCell ref="H232:H233"/>
    <mergeCell ref="I232:I233"/>
    <mergeCell ref="J232:J233"/>
    <mergeCell ref="L232:L233"/>
    <mergeCell ref="M232:M233"/>
    <mergeCell ref="N232:N233"/>
    <mergeCell ref="C234:C237"/>
    <mergeCell ref="C238:C245"/>
    <mergeCell ref="C246:C253"/>
    <mergeCell ref="C254:C257"/>
    <mergeCell ref="C258:C264"/>
    <mergeCell ref="C265:C267"/>
    <mergeCell ref="O232:O233"/>
    <mergeCell ref="S232:S233"/>
    <mergeCell ref="V232:V233"/>
    <mergeCell ref="C302:C309"/>
    <mergeCell ref="C310:C316"/>
    <mergeCell ref="C317:C318"/>
    <mergeCell ref="C319:C322"/>
    <mergeCell ref="C323:C325"/>
    <mergeCell ref="C326:C330"/>
    <mergeCell ref="C268:C272"/>
    <mergeCell ref="C273:C277"/>
    <mergeCell ref="C278:C290"/>
    <mergeCell ref="C291:C293"/>
    <mergeCell ref="C294:C297"/>
    <mergeCell ref="C298:C301"/>
    <mergeCell ref="C377:C381"/>
    <mergeCell ref="C382:C387"/>
    <mergeCell ref="C388:C393"/>
    <mergeCell ref="C394:C395"/>
    <mergeCell ref="C396:C400"/>
    <mergeCell ref="C401:C410"/>
    <mergeCell ref="C331:C339"/>
    <mergeCell ref="C340:C350"/>
    <mergeCell ref="C351:C357"/>
    <mergeCell ref="C358:C365"/>
    <mergeCell ref="C366:C370"/>
    <mergeCell ref="C371:C376"/>
    <mergeCell ref="C411:C416"/>
    <mergeCell ref="C417:C424"/>
    <mergeCell ref="C428:AE428"/>
    <mergeCell ref="D429:D431"/>
    <mergeCell ref="E429:E431"/>
    <mergeCell ref="F429:J429"/>
    <mergeCell ref="L429:P429"/>
    <mergeCell ref="R429:S429"/>
    <mergeCell ref="U429:V429"/>
    <mergeCell ref="X429:Y429"/>
    <mergeCell ref="AB430:AB431"/>
    <mergeCell ref="AE430:AE431"/>
    <mergeCell ref="AA429:AB429"/>
    <mergeCell ref="AD429:AE429"/>
    <mergeCell ref="C430:C431"/>
    <mergeCell ref="H430:H431"/>
    <mergeCell ref="I430:I431"/>
    <mergeCell ref="J430:J431"/>
    <mergeCell ref="L430:L431"/>
    <mergeCell ref="M430:M431"/>
    <mergeCell ref="N430:N431"/>
    <mergeCell ref="O430:O431"/>
    <mergeCell ref="C436:C443"/>
    <mergeCell ref="C444:C451"/>
    <mergeCell ref="C452:C455"/>
    <mergeCell ref="C456:C462"/>
    <mergeCell ref="C463:C465"/>
    <mergeCell ref="C466:C470"/>
    <mergeCell ref="S430:S431"/>
    <mergeCell ref="V430:V431"/>
    <mergeCell ref="Y430:Y431"/>
    <mergeCell ref="C432:C435"/>
    <mergeCell ref="C509:C515"/>
    <mergeCell ref="C516:C517"/>
    <mergeCell ref="C518:C521"/>
    <mergeCell ref="C522:C524"/>
    <mergeCell ref="C525:C529"/>
    <mergeCell ref="C530:C538"/>
    <mergeCell ref="C471:C476"/>
    <mergeCell ref="C477:C489"/>
    <mergeCell ref="C490:C492"/>
    <mergeCell ref="C493:C496"/>
    <mergeCell ref="C497:C500"/>
    <mergeCell ref="C501:C508"/>
    <mergeCell ref="C616:C623"/>
    <mergeCell ref="C581:C586"/>
    <mergeCell ref="C587:C592"/>
    <mergeCell ref="C593:C594"/>
    <mergeCell ref="C595:C599"/>
    <mergeCell ref="C600:C609"/>
    <mergeCell ref="C610:C615"/>
    <mergeCell ref="C539:C549"/>
    <mergeCell ref="C550:C556"/>
    <mergeCell ref="C557:C564"/>
    <mergeCell ref="C565:C569"/>
    <mergeCell ref="C570:C575"/>
    <mergeCell ref="C576:C580"/>
  </mergeCells>
  <dataValidations count="1">
    <dataValidation allowBlank="1" showErrorMessage="1" prompt="Escriba el nombre del cuerpo de agua al cual pertenece el sitio" sqref="D409:D410 D608:D609 D210:D211" xr:uid="{A84E686B-1932-4316-81CA-844A33394396}"/>
  </dataValidations>
  <hyperlinks>
    <hyperlink ref="A1" location="'ODS 6.'!A1" display="REGRESAR" xr:uid="{14FC3F2E-E112-4FA8-A24A-04ECFA851EC6}"/>
    <hyperlink ref="C1" location="'Metadato 6.3.2'!A1" display="VER METADATO" xr:uid="{C7BF9A17-B552-482F-B86C-A7B8CCF91043}"/>
  </hyperlinks>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3542D-D72B-4068-B841-7B7CCBE8D0EC}">
  <sheetPr>
    <tabColor theme="0" tint="-0.499984740745262"/>
  </sheetPr>
  <dimension ref="A1:F35"/>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2809" t="s">
        <v>75</v>
      </c>
      <c r="C3" s="2809"/>
      <c r="D3" s="2809"/>
      <c r="F3" s="1046" t="s">
        <v>244</v>
      </c>
    </row>
    <row r="4" spans="1:6" x14ac:dyDescent="0.25">
      <c r="A4" s="1079"/>
      <c r="B4" s="2445" t="s">
        <v>234</v>
      </c>
      <c r="C4" s="2445"/>
      <c r="D4" s="49" t="s">
        <v>2803</v>
      </c>
    </row>
    <row r="5" spans="1:6" ht="75" x14ac:dyDescent="0.25">
      <c r="B5" s="2445" t="s">
        <v>79</v>
      </c>
      <c r="C5" s="2445"/>
      <c r="D5" s="49" t="s">
        <v>2775</v>
      </c>
    </row>
    <row r="6" spans="1:6" x14ac:dyDescent="0.25">
      <c r="B6" s="2445" t="s">
        <v>80</v>
      </c>
      <c r="C6" s="2445"/>
      <c r="D6" s="50" t="s">
        <v>2778</v>
      </c>
    </row>
    <row r="7" spans="1:6" ht="15" customHeight="1" x14ac:dyDescent="0.25">
      <c r="B7" s="2446" t="s">
        <v>81</v>
      </c>
      <c r="C7" s="2446"/>
      <c r="D7" s="93" t="s">
        <v>2779</v>
      </c>
    </row>
    <row r="8" spans="1:6" ht="15" customHeight="1" x14ac:dyDescent="0.4">
      <c r="B8" s="115"/>
      <c r="C8" s="115"/>
      <c r="D8" s="115"/>
    </row>
    <row r="9" spans="1:6" ht="19.5" x14ac:dyDescent="0.25">
      <c r="B9" s="2809" t="s">
        <v>85</v>
      </c>
      <c r="C9" s="2809"/>
      <c r="D9" s="2809"/>
    </row>
    <row r="10" spans="1:6" ht="23.25" customHeight="1" x14ac:dyDescent="0.25">
      <c r="B10" s="2869" t="s">
        <v>86</v>
      </c>
      <c r="C10" s="2870"/>
      <c r="D10" s="1230" t="s">
        <v>3311</v>
      </c>
    </row>
    <row r="11" spans="1:6" x14ac:dyDescent="0.25">
      <c r="B11" s="2862" t="s">
        <v>88</v>
      </c>
      <c r="C11" s="2862"/>
      <c r="D11" s="1231" t="s">
        <v>3312</v>
      </c>
    </row>
    <row r="12" spans="1:6" x14ac:dyDescent="0.25">
      <c r="B12" s="2861" t="s">
        <v>90</v>
      </c>
      <c r="C12" s="2861"/>
      <c r="D12" s="1232" t="s">
        <v>2778</v>
      </c>
    </row>
    <row r="13" spans="1:6" ht="76.5" x14ac:dyDescent="0.25">
      <c r="B13" s="2861" t="s">
        <v>91</v>
      </c>
      <c r="C13" s="2870"/>
      <c r="D13" s="1233" t="s">
        <v>3313</v>
      </c>
    </row>
    <row r="14" spans="1:6" ht="120.75" customHeight="1" x14ac:dyDescent="0.25">
      <c r="B14" s="2861" t="s">
        <v>93</v>
      </c>
      <c r="C14" s="2861"/>
      <c r="D14" s="1234" t="s">
        <v>3314</v>
      </c>
    </row>
    <row r="15" spans="1:6" ht="363" customHeight="1" x14ac:dyDescent="0.25">
      <c r="B15" s="2861" t="s">
        <v>95</v>
      </c>
      <c r="C15" s="2869"/>
      <c r="D15" s="1235" t="s">
        <v>3315</v>
      </c>
    </row>
    <row r="16" spans="1:6" ht="89.25" x14ac:dyDescent="0.25">
      <c r="B16" s="2861" t="s">
        <v>97</v>
      </c>
      <c r="C16" s="2861"/>
      <c r="D16" s="1236" t="s">
        <v>3316</v>
      </c>
    </row>
    <row r="17" spans="2:4" ht="51" x14ac:dyDescent="0.25">
      <c r="B17" s="2862" t="s">
        <v>99</v>
      </c>
      <c r="C17" s="2862"/>
      <c r="D17" s="1230" t="s">
        <v>3317</v>
      </c>
    </row>
    <row r="18" spans="2:4" ht="15" customHeight="1" x14ac:dyDescent="0.25">
      <c r="B18" s="2863" t="s">
        <v>100</v>
      </c>
      <c r="C18" s="2864"/>
      <c r="D18" s="1235" t="s">
        <v>3318</v>
      </c>
    </row>
    <row r="19" spans="2:4" ht="15" customHeight="1" x14ac:dyDescent="0.25">
      <c r="B19" s="2861" t="s">
        <v>102</v>
      </c>
      <c r="C19" s="2861"/>
      <c r="D19" s="1230" t="s">
        <v>3319</v>
      </c>
    </row>
    <row r="20" spans="2:4" x14ac:dyDescent="0.25">
      <c r="B20" s="2865" t="s">
        <v>104</v>
      </c>
      <c r="C20" s="1237" t="s">
        <v>105</v>
      </c>
      <c r="D20" s="1230" t="s">
        <v>3320</v>
      </c>
    </row>
    <row r="21" spans="2:4" x14ac:dyDescent="0.25">
      <c r="B21" s="2866"/>
      <c r="C21" s="1238" t="s">
        <v>107</v>
      </c>
      <c r="D21" s="1235" t="s">
        <v>3321</v>
      </c>
    </row>
    <row r="22" spans="2:4" ht="60.6" customHeight="1" x14ac:dyDescent="0.25">
      <c r="B22" s="2861" t="s">
        <v>109</v>
      </c>
      <c r="C22" s="2861"/>
      <c r="D22" s="1230" t="s">
        <v>3322</v>
      </c>
    </row>
    <row r="23" spans="2:4" x14ac:dyDescent="0.25">
      <c r="B23" s="2861" t="s">
        <v>111</v>
      </c>
      <c r="C23" s="2861"/>
      <c r="D23" s="1230" t="s">
        <v>3323</v>
      </c>
    </row>
    <row r="24" spans="2:4" x14ac:dyDescent="0.25">
      <c r="B24" s="2861" t="s">
        <v>113</v>
      </c>
      <c r="C24" s="2861"/>
      <c r="D24" s="1235" t="s">
        <v>1701</v>
      </c>
    </row>
    <row r="25" spans="2:4" ht="15" customHeight="1" x14ac:dyDescent="0.25">
      <c r="B25" s="2862" t="s">
        <v>115</v>
      </c>
      <c r="C25" s="2862"/>
      <c r="D25" s="1230" t="s">
        <v>3324</v>
      </c>
    </row>
    <row r="26" spans="2:4" ht="15" customHeight="1" x14ac:dyDescent="0.25">
      <c r="B26" s="2858" t="s">
        <v>117</v>
      </c>
      <c r="C26" s="2859"/>
      <c r="D26" s="1230" t="s">
        <v>3325</v>
      </c>
    </row>
    <row r="27" spans="2:4" ht="140.25" x14ac:dyDescent="0.25">
      <c r="B27" s="1239" t="s">
        <v>118</v>
      </c>
      <c r="C27" s="1240"/>
      <c r="D27" s="1235" t="s">
        <v>3326</v>
      </c>
    </row>
    <row r="28" spans="2:4" x14ac:dyDescent="0.25">
      <c r="B28" s="2867" t="s">
        <v>120</v>
      </c>
      <c r="C28" s="2868"/>
      <c r="D28" s="1234" t="s">
        <v>3327</v>
      </c>
    </row>
    <row r="29" spans="2:4" x14ac:dyDescent="0.25">
      <c r="B29" s="1241"/>
      <c r="C29" s="1241"/>
      <c r="D29" s="1242"/>
    </row>
    <row r="30" spans="2:4" x14ac:dyDescent="0.25">
      <c r="B30" s="2860" t="s">
        <v>121</v>
      </c>
      <c r="C30" s="2860"/>
      <c r="D30" s="2860"/>
    </row>
    <row r="31" spans="2:4" ht="23.25" customHeight="1" x14ac:dyDescent="0.25">
      <c r="B31" s="2858" t="s">
        <v>122</v>
      </c>
      <c r="C31" s="2859"/>
      <c r="D31" s="1235" t="s">
        <v>3328</v>
      </c>
    </row>
    <row r="32" spans="2:4" x14ac:dyDescent="0.25">
      <c r="B32" s="2858" t="s">
        <v>124</v>
      </c>
      <c r="C32" s="2859"/>
      <c r="D32" s="1235" t="s">
        <v>225</v>
      </c>
    </row>
    <row r="33" spans="2:4" x14ac:dyDescent="0.25">
      <c r="B33" s="2858" t="s">
        <v>126</v>
      </c>
      <c r="C33" s="2859"/>
      <c r="D33" s="1235" t="s">
        <v>3329</v>
      </c>
    </row>
    <row r="34" spans="2:4" x14ac:dyDescent="0.25">
      <c r="B34" s="2858" t="s">
        <v>128</v>
      </c>
      <c r="C34" s="2859"/>
      <c r="D34" s="1243" t="s">
        <v>3330</v>
      </c>
    </row>
    <row r="35" spans="2:4" x14ac:dyDescent="0.25">
      <c r="B35" s="2858" t="s">
        <v>130</v>
      </c>
      <c r="C35" s="2859"/>
      <c r="D35" s="1244" t="s">
        <v>3331</v>
      </c>
    </row>
  </sheetData>
  <mergeCells count="29">
    <mergeCell ref="B15:C15"/>
    <mergeCell ref="B3:D3"/>
    <mergeCell ref="B4:C4"/>
    <mergeCell ref="B5:C5"/>
    <mergeCell ref="B6:C6"/>
    <mergeCell ref="B7:C7"/>
    <mergeCell ref="B9:D9"/>
    <mergeCell ref="B10:C10"/>
    <mergeCell ref="B11:C11"/>
    <mergeCell ref="B12:C12"/>
    <mergeCell ref="B13:C13"/>
    <mergeCell ref="B14:C14"/>
    <mergeCell ref="B30:D30"/>
    <mergeCell ref="B16:C16"/>
    <mergeCell ref="B17:C17"/>
    <mergeCell ref="B18:C18"/>
    <mergeCell ref="B19:C19"/>
    <mergeCell ref="B20:B21"/>
    <mergeCell ref="B22:C22"/>
    <mergeCell ref="B23:C23"/>
    <mergeCell ref="B24:C24"/>
    <mergeCell ref="B25:C25"/>
    <mergeCell ref="B26:C26"/>
    <mergeCell ref="B28:C28"/>
    <mergeCell ref="B31:C31"/>
    <mergeCell ref="B32:C32"/>
    <mergeCell ref="B33:C33"/>
    <mergeCell ref="B34:C34"/>
    <mergeCell ref="B35:C35"/>
  </mergeCells>
  <dataValidations count="6">
    <dataValidation type="list" allowBlank="1" showInputMessage="1" showErrorMessage="1" sqref="D24" xr:uid="{638DF78E-FDDA-4442-B2A4-079AC8F86C92}">
      <formula1>Tipo_operación</formula1>
    </dataValidation>
    <dataValidation type="list" allowBlank="1" showInputMessage="1" showErrorMessage="1" sqref="D7" xr:uid="{E3D04BA6-0A15-43C3-B1EA-292F28F45D40}">
      <formula1>Nombre_indicador_ODS</formula1>
    </dataValidation>
    <dataValidation type="list" allowBlank="1" showInputMessage="1" showErrorMessage="1" sqref="D6" xr:uid="{889D7C4D-D94E-4033-9C08-DD4F9EFD9C3D}">
      <formula1>Numero_indicador</formula1>
    </dataValidation>
    <dataValidation type="list" allowBlank="1" showInputMessage="1" showErrorMessage="1" sqref="D5" xr:uid="{BC576A36-1A59-42B3-9B5B-B4C079AFCC87}">
      <formula1>Metas_ODS</formula1>
    </dataValidation>
    <dataValidation type="list" allowBlank="1" showInputMessage="1" showErrorMessage="1" sqref="D4" xr:uid="{8E83A3BF-0D23-4374-9DA6-69C759673486}">
      <formula1>ODS</formula1>
    </dataValidation>
    <dataValidation allowBlank="1" showDropDown="1" showInputMessage="1" showErrorMessage="1" sqref="D13" xr:uid="{AFC8D2CE-D0C3-4114-975A-8B3850B54040}"/>
  </dataValidations>
  <hyperlinks>
    <hyperlink ref="B1" location="'6.3.2'!A1" display="REGRESAR" xr:uid="{5BBEAE92-149E-421F-9B8F-6FA2782F6CBB}"/>
    <hyperlink ref="D35" r:id="rId1" xr:uid="{D65C94A5-228A-4CB5-A6EB-02A7A42041E4}"/>
  </hyperlinks>
  <pageMargins left="0.7" right="0.7" top="0.75" bottom="0.75" header="0.3" footer="0.3"/>
  <pageSetup orientation="portrait" r:id="rId2"/>
  <drawing r:id="rId3"/>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9C89A-547F-4296-80CD-2DB0853F41B7}">
  <dimension ref="A1:T86"/>
  <sheetViews>
    <sheetView showGridLines="0" zoomScale="90" zoomScaleNormal="90" workbookViewId="0">
      <pane ySplit="1" topLeftCell="A2" activePane="bottomLeft" state="frozen"/>
      <selection activeCell="B1" sqref="B1"/>
      <selection pane="bottomLeft"/>
    </sheetView>
  </sheetViews>
  <sheetFormatPr baseColWidth="10" defaultColWidth="11.42578125" defaultRowHeight="18.75" x14ac:dyDescent="0.4"/>
  <cols>
    <col min="1" max="1" width="14.7109375" style="115" customWidth="1"/>
    <col min="2" max="2" width="16" style="115" customWidth="1"/>
    <col min="3" max="3" width="19.7109375" style="1048" customWidth="1"/>
    <col min="4" max="4" width="9.42578125" style="1048" customWidth="1"/>
    <col min="5" max="5" width="21.28515625" style="1048" customWidth="1"/>
    <col min="6" max="6" width="12" style="115" customWidth="1"/>
    <col min="7" max="7" width="15.28515625" style="115" customWidth="1"/>
    <col min="8" max="8" width="14.5703125" style="115" customWidth="1"/>
    <col min="9" max="9" width="4.7109375" style="115" customWidth="1"/>
    <col min="10" max="10" width="9.28515625" style="115" customWidth="1"/>
    <col min="11" max="11" width="12" style="115" customWidth="1"/>
    <col min="12" max="12" width="11.7109375" style="115" customWidth="1"/>
    <col min="13" max="13" width="10.7109375" style="115" customWidth="1"/>
    <col min="14" max="14" width="2.5703125" style="115" customWidth="1"/>
    <col min="15" max="15" width="11.28515625" style="115" customWidth="1"/>
    <col min="16" max="16" width="11.7109375" style="115" customWidth="1"/>
    <col min="17" max="18" width="14.28515625" style="115" customWidth="1"/>
    <col min="19" max="19" width="11.7109375" style="115" customWidth="1"/>
    <col min="20" max="20" width="10.28515625" style="115" customWidth="1"/>
    <col min="21" max="21" width="11.7109375" style="115" customWidth="1"/>
    <col min="22" max="22" width="17.42578125" style="115" customWidth="1"/>
    <col min="23" max="23" width="10.7109375" style="115" customWidth="1"/>
    <col min="24" max="24" width="11.7109375" style="115" customWidth="1"/>
    <col min="25" max="16384" width="11.42578125" style="115"/>
  </cols>
  <sheetData>
    <row r="1" spans="1:20" s="1032" customFormat="1" ht="19.5" x14ac:dyDescent="0.4">
      <c r="A1" s="15" t="s">
        <v>39</v>
      </c>
      <c r="B1" s="1080"/>
      <c r="C1" s="2421" t="s">
        <v>149</v>
      </c>
      <c r="D1" s="2421"/>
      <c r="E1" s="1061"/>
    </row>
    <row r="2" spans="1:20" s="1032" customFormat="1" ht="19.5" x14ac:dyDescent="0.4">
      <c r="C2" s="1061"/>
      <c r="D2" s="1061"/>
      <c r="E2" s="1061"/>
    </row>
    <row r="3" spans="1:20" s="1032" customFormat="1" ht="19.5" x14ac:dyDescent="0.4">
      <c r="A3" s="2804" t="s">
        <v>41</v>
      </c>
      <c r="B3" s="2804"/>
      <c r="C3" s="2804" t="s">
        <v>2768</v>
      </c>
      <c r="D3" s="2804"/>
      <c r="E3" s="2804"/>
      <c r="F3" s="2804"/>
      <c r="G3" s="2804"/>
      <c r="H3" s="2804"/>
      <c r="I3" s="2804"/>
      <c r="J3" s="2804"/>
      <c r="K3" s="2804"/>
      <c r="L3" s="2804"/>
      <c r="M3" s="2804"/>
      <c r="N3" s="2804"/>
      <c r="O3" s="2804"/>
      <c r="P3" s="2804"/>
      <c r="Q3" s="2804"/>
      <c r="R3" s="2804"/>
      <c r="S3" s="2804"/>
      <c r="T3" s="2804"/>
    </row>
    <row r="4" spans="1:20" s="1032" customFormat="1" ht="38.450000000000003" customHeight="1" x14ac:dyDescent="0.4">
      <c r="A4" s="2804" t="s">
        <v>42</v>
      </c>
      <c r="B4" s="2804"/>
      <c r="C4" s="2804" t="s">
        <v>2780</v>
      </c>
      <c r="D4" s="2804"/>
      <c r="E4" s="2804"/>
      <c r="F4" s="2804"/>
      <c r="G4" s="2804"/>
      <c r="H4" s="2804"/>
      <c r="I4" s="2804"/>
      <c r="J4" s="2804"/>
      <c r="K4" s="2804"/>
      <c r="L4" s="2804"/>
      <c r="M4" s="2804"/>
      <c r="N4" s="2804"/>
      <c r="O4" s="2804"/>
      <c r="P4" s="2804"/>
      <c r="Q4" s="2804"/>
      <c r="R4" s="2804"/>
      <c r="S4" s="2804"/>
      <c r="T4" s="2804"/>
    </row>
    <row r="5" spans="1:20" s="1032" customFormat="1" ht="19.5" x14ac:dyDescent="0.4">
      <c r="A5" s="2804" t="s">
        <v>43</v>
      </c>
      <c r="B5" s="2804"/>
      <c r="C5" s="2804" t="s">
        <v>2782</v>
      </c>
      <c r="D5" s="2804"/>
      <c r="E5" s="2804"/>
      <c r="F5" s="2804"/>
      <c r="G5" s="2804"/>
      <c r="H5" s="2804"/>
      <c r="I5" s="2804"/>
      <c r="J5" s="2804"/>
      <c r="K5" s="2804"/>
      <c r="L5" s="2804"/>
      <c r="M5" s="2804"/>
      <c r="N5" s="2804"/>
      <c r="O5" s="2804"/>
      <c r="P5" s="2804"/>
      <c r="Q5" s="2804"/>
      <c r="R5" s="2804"/>
      <c r="S5" s="2804"/>
      <c r="T5" s="2804"/>
    </row>
    <row r="6" spans="1:20" s="1032" customFormat="1" ht="56.45" customHeight="1" x14ac:dyDescent="0.4">
      <c r="A6" s="2804" t="s">
        <v>132</v>
      </c>
      <c r="B6" s="2804"/>
      <c r="C6" s="2804" t="s">
        <v>3332</v>
      </c>
      <c r="D6" s="2804"/>
      <c r="E6" s="2804"/>
      <c r="F6" s="2804"/>
      <c r="G6" s="2804"/>
      <c r="H6" s="2804"/>
      <c r="I6" s="2804"/>
      <c r="J6" s="2804"/>
      <c r="K6" s="2804"/>
      <c r="L6" s="2804"/>
      <c r="M6" s="2804"/>
      <c r="N6" s="2804"/>
      <c r="O6" s="2804"/>
      <c r="P6" s="2804"/>
      <c r="Q6" s="2804"/>
      <c r="R6" s="2804"/>
      <c r="S6" s="2804"/>
      <c r="T6" s="2804"/>
    </row>
    <row r="7" spans="1:20" s="1032" customFormat="1" ht="19.5" x14ac:dyDescent="0.4">
      <c r="C7" s="1061"/>
      <c r="D7" s="1061"/>
      <c r="E7" s="1061"/>
    </row>
    <row r="8" spans="1:20" s="1032" customFormat="1" ht="19.5" x14ac:dyDescent="0.4">
      <c r="C8" s="1061"/>
      <c r="D8" s="1061"/>
      <c r="E8" s="1061"/>
    </row>
    <row r="9" spans="1:20" s="1032" customFormat="1" ht="12.75" customHeight="1" x14ac:dyDescent="0.4">
      <c r="C9" s="1045" t="s">
        <v>3333</v>
      </c>
      <c r="D9" s="1045"/>
      <c r="E9" s="1045"/>
      <c r="F9" s="1045"/>
      <c r="G9" s="1045"/>
      <c r="H9" s="1045"/>
      <c r="I9" s="1045"/>
      <c r="J9" s="1045"/>
      <c r="K9" s="1045"/>
      <c r="L9" s="1045"/>
      <c r="M9" s="1045"/>
      <c r="N9" s="1045"/>
      <c r="O9" s="1045"/>
      <c r="P9" s="1045"/>
      <c r="Q9" s="1045"/>
      <c r="R9" s="1045"/>
    </row>
    <row r="10" spans="1:20" s="1032" customFormat="1" ht="12.75" customHeight="1" x14ac:dyDescent="0.4">
      <c r="C10" s="1245"/>
      <c r="D10" s="1245"/>
      <c r="E10" s="1245"/>
      <c r="F10" s="1245"/>
      <c r="G10" s="1245"/>
      <c r="H10" s="1245"/>
      <c r="I10" s="1245"/>
      <c r="J10" s="1245"/>
      <c r="K10" s="1245"/>
      <c r="L10" s="1245"/>
      <c r="M10" s="1245"/>
      <c r="N10" s="1245"/>
      <c r="O10" s="1245"/>
      <c r="P10" s="1245"/>
      <c r="Q10" s="1245"/>
      <c r="R10" s="1245"/>
    </row>
    <row r="11" spans="1:20" ht="13.15" customHeight="1" x14ac:dyDescent="0.4">
      <c r="C11" s="2879" t="s">
        <v>46</v>
      </c>
      <c r="D11" s="2871" t="s">
        <v>3334</v>
      </c>
      <c r="E11" s="2871"/>
      <c r="F11" s="2871"/>
      <c r="G11" s="2871"/>
      <c r="H11" s="2871"/>
      <c r="I11" s="2871"/>
      <c r="J11" s="2871"/>
      <c r="K11" s="2871"/>
      <c r="L11" s="2871"/>
      <c r="M11" s="2871"/>
      <c r="N11" s="2871"/>
      <c r="O11" s="2871"/>
      <c r="P11" s="2871"/>
      <c r="Q11" s="2871"/>
      <c r="R11" s="2871"/>
    </row>
    <row r="12" spans="1:20" ht="12.75" customHeight="1" x14ac:dyDescent="0.4">
      <c r="C12" s="2880"/>
      <c r="D12" s="2871" t="s">
        <v>3335</v>
      </c>
      <c r="E12" s="2871"/>
      <c r="F12" s="2871"/>
      <c r="G12" s="2871"/>
      <c r="H12" s="2871"/>
      <c r="I12" s="1246"/>
      <c r="J12" s="2871" t="s">
        <v>3336</v>
      </c>
      <c r="K12" s="2871"/>
      <c r="L12" s="2871"/>
      <c r="M12" s="2871"/>
      <c r="N12" s="1246"/>
      <c r="O12" s="2871" t="s">
        <v>3337</v>
      </c>
      <c r="P12" s="2871"/>
      <c r="Q12" s="2871"/>
      <c r="R12" s="2871"/>
    </row>
    <row r="13" spans="1:20" ht="15" customHeight="1" x14ac:dyDescent="0.4">
      <c r="C13" s="2880"/>
      <c r="D13" s="2871" t="s">
        <v>526</v>
      </c>
      <c r="E13" s="2871"/>
      <c r="F13" s="2871"/>
      <c r="G13" s="2871"/>
      <c r="H13" s="2874" t="s">
        <v>3338</v>
      </c>
      <c r="I13" s="1246"/>
      <c r="J13" s="2871" t="s">
        <v>526</v>
      </c>
      <c r="K13" s="2871"/>
      <c r="L13" s="2871"/>
      <c r="M13" s="2874" t="s">
        <v>3338</v>
      </c>
      <c r="N13" s="2874"/>
      <c r="O13" s="2871" t="s">
        <v>526</v>
      </c>
      <c r="P13" s="2871"/>
      <c r="Q13" s="2871"/>
      <c r="R13" s="2874" t="s">
        <v>3338</v>
      </c>
    </row>
    <row r="14" spans="1:20" ht="64.5" customHeight="1" x14ac:dyDescent="0.4">
      <c r="C14" s="2881"/>
      <c r="D14" s="1247" t="s">
        <v>3339</v>
      </c>
      <c r="E14" s="1247" t="s">
        <v>3340</v>
      </c>
      <c r="F14" s="1247" t="s">
        <v>3341</v>
      </c>
      <c r="G14" s="1247" t="s">
        <v>3342</v>
      </c>
      <c r="H14" s="2875"/>
      <c r="I14" s="1247"/>
      <c r="J14" s="1247" t="s">
        <v>3339</v>
      </c>
      <c r="K14" s="1247" t="s">
        <v>3340</v>
      </c>
      <c r="L14" s="1247" t="s">
        <v>3342</v>
      </c>
      <c r="M14" s="2875"/>
      <c r="N14" s="2875"/>
      <c r="O14" s="1247" t="s">
        <v>3339</v>
      </c>
      <c r="P14" s="1247" t="s">
        <v>3340</v>
      </c>
      <c r="Q14" s="1247" t="s">
        <v>3342</v>
      </c>
      <c r="R14" s="2875"/>
    </row>
    <row r="15" spans="1:20" x14ac:dyDescent="0.4">
      <c r="C15" s="1248">
        <v>2012</v>
      </c>
      <c r="D15" s="1249">
        <v>1039.2462786239998</v>
      </c>
      <c r="E15" s="1250">
        <v>1422664.5229758949</v>
      </c>
      <c r="F15" s="1251">
        <v>0.7173176179291002</v>
      </c>
      <c r="G15" s="1252">
        <f t="shared" ref="G15:G24" si="0">+D15/(D15+J15+O15)</f>
        <v>0.88464428117231331</v>
      </c>
      <c r="H15" s="1253">
        <v>386.97487257309575</v>
      </c>
      <c r="I15" s="1250"/>
      <c r="J15" s="1249">
        <v>85.925842848000002</v>
      </c>
      <c r="K15" s="1250">
        <v>6106914.9225868378</v>
      </c>
      <c r="L15" s="1252">
        <v>7.3143206806609101E-2</v>
      </c>
      <c r="M15" s="1250">
        <v>71071.923418776001</v>
      </c>
      <c r="N15" s="1250"/>
      <c r="O15" s="1249">
        <v>49.589645197435885</v>
      </c>
      <c r="P15" s="1250">
        <v>18978263.032882784</v>
      </c>
      <c r="Q15" s="1252">
        <v>4.2212512021077578E-2</v>
      </c>
      <c r="R15" s="1249">
        <v>382706.16692906054</v>
      </c>
    </row>
    <row r="16" spans="1:20" x14ac:dyDescent="0.4">
      <c r="C16" s="1248">
        <v>2013</v>
      </c>
      <c r="D16" s="1249">
        <v>1127.2954237199995</v>
      </c>
      <c r="E16" s="1250">
        <v>1425681.7807657241</v>
      </c>
      <c r="F16" s="1251">
        <v>0.7173176179291002</v>
      </c>
      <c r="G16" s="1252">
        <f t="shared" si="0"/>
        <v>0.85629246585911734</v>
      </c>
      <c r="H16" s="1253">
        <v>357.50621654438578</v>
      </c>
      <c r="I16" s="1250"/>
      <c r="J16" s="1249">
        <v>138.83718124800001</v>
      </c>
      <c r="K16" s="1250">
        <v>5906101.3135361029</v>
      </c>
      <c r="L16" s="1252">
        <v>0.10546058272060203</v>
      </c>
      <c r="M16" s="1250">
        <f t="shared" ref="M16:M22" si="1">+K16/J16</f>
        <v>42539.766800553523</v>
      </c>
      <c r="N16" s="1250"/>
      <c r="O16" s="1249">
        <v>50.351503751776903</v>
      </c>
      <c r="P16" s="1250">
        <v>19847095.438795116</v>
      </c>
      <c r="Q16" s="1252">
        <v>3.8246951420280763E-2</v>
      </c>
      <c r="R16" s="1249">
        <f t="shared" ref="R16:R23" si="2">+P16/O16</f>
        <v>394170.85806686978</v>
      </c>
    </row>
    <row r="17" spans="3:18" x14ac:dyDescent="0.4">
      <c r="C17" s="1248">
        <v>2014</v>
      </c>
      <c r="D17" s="1249">
        <v>1292.0540007599993</v>
      </c>
      <c r="E17" s="1250">
        <v>1471893.3164408496</v>
      </c>
      <c r="F17" s="1251">
        <v>0.7173176179291002</v>
      </c>
      <c r="G17" s="1252">
        <f t="shared" si="0"/>
        <v>0.85182530877126628</v>
      </c>
      <c r="H17" s="1253">
        <v>322.02857512224296</v>
      </c>
      <c r="I17" s="1250"/>
      <c r="J17" s="1249">
        <v>173.77739308800005</v>
      </c>
      <c r="K17" s="1250">
        <v>5975863.8368802797</v>
      </c>
      <c r="L17" s="1252">
        <f t="shared" ref="L17:L24" si="3">+J17/(J17+D17+O17)</f>
        <v>0.11456795260691874</v>
      </c>
      <c r="M17" s="1250">
        <f t="shared" si="1"/>
        <v>34388.039380094342</v>
      </c>
      <c r="N17" s="1250"/>
      <c r="O17" s="1249">
        <v>50.974913097435859</v>
      </c>
      <c r="P17" s="1250">
        <v>20733748.994316656</v>
      </c>
      <c r="Q17" s="1252">
        <f t="shared" ref="Q17:Q24" si="4">+O17/(D17+J17+O17)</f>
        <v>3.3606738621815083E-2</v>
      </c>
      <c r="R17" s="1249">
        <f t="shared" si="2"/>
        <v>406744.17540811078</v>
      </c>
    </row>
    <row r="18" spans="3:18" x14ac:dyDescent="0.4">
      <c r="C18" s="1248">
        <v>2015</v>
      </c>
      <c r="D18" s="1249">
        <v>1525.2507325439997</v>
      </c>
      <c r="E18" s="1250">
        <v>1434464.2442521418</v>
      </c>
      <c r="F18" s="1251">
        <v>0.7173176179291002</v>
      </c>
      <c r="G18" s="1252">
        <f t="shared" si="0"/>
        <v>0.83921746881639536</v>
      </c>
      <c r="H18" s="1253">
        <f t="shared" ref="H18:H22" si="5">+(E18*(1-F18))/D18</f>
        <v>265.85646602797539</v>
      </c>
      <c r="I18" s="1250"/>
      <c r="J18" s="1249">
        <v>240.26932756800005</v>
      </c>
      <c r="K18" s="1250">
        <v>6098633.0394779993</v>
      </c>
      <c r="L18" s="1252">
        <f t="shared" si="3"/>
        <v>0.13220004594229401</v>
      </c>
      <c r="M18" s="1250">
        <f t="shared" si="1"/>
        <v>25382.486816807646</v>
      </c>
      <c r="N18" s="1250"/>
      <c r="O18" s="1249">
        <v>51.947746766666654</v>
      </c>
      <c r="P18" s="1250">
        <v>21657087.407697774</v>
      </c>
      <c r="Q18" s="1252">
        <f t="shared" si="4"/>
        <v>2.8582485241310615E-2</v>
      </c>
      <c r="R18" s="1249">
        <f t="shared" si="2"/>
        <v>416901.38178610074</v>
      </c>
    </row>
    <row r="19" spans="3:18" x14ac:dyDescent="0.4">
      <c r="C19" s="1248">
        <v>2016</v>
      </c>
      <c r="D19" s="1249">
        <v>1400.2307976103998</v>
      </c>
      <c r="E19" s="1250">
        <v>1509240.9925575776</v>
      </c>
      <c r="F19" s="1251">
        <v>0.7173176179291002</v>
      </c>
      <c r="G19" s="1252">
        <f t="shared" si="0"/>
        <v>0.80682536057292764</v>
      </c>
      <c r="H19" s="1253">
        <f t="shared" si="5"/>
        <v>304.68965517921163</v>
      </c>
      <c r="I19" s="1250"/>
      <c r="J19" s="1249">
        <v>260.21452762799993</v>
      </c>
      <c r="K19" s="1250">
        <v>6268733.0107083507</v>
      </c>
      <c r="L19" s="1252">
        <f t="shared" si="3"/>
        <v>0.14993791054879435</v>
      </c>
      <c r="M19" s="1250">
        <f t="shared" si="1"/>
        <v>24090.634246486301</v>
      </c>
      <c r="N19" s="1250"/>
      <c r="O19" s="1249">
        <v>75.036559733701722</v>
      </c>
      <c r="P19" s="1250">
        <v>22579385.383888774</v>
      </c>
      <c r="Q19" s="1252">
        <f t="shared" si="4"/>
        <v>4.323672887827807E-2</v>
      </c>
      <c r="R19" s="1249">
        <f t="shared" si="2"/>
        <v>300911.78838716837</v>
      </c>
    </row>
    <row r="20" spans="3:18" x14ac:dyDescent="0.4">
      <c r="C20" s="1248">
        <v>2017</v>
      </c>
      <c r="D20" s="1249">
        <v>1374.2880703132021</v>
      </c>
      <c r="E20" s="1250">
        <v>1560201.896650105</v>
      </c>
      <c r="F20" s="1251">
        <v>0.7173176179291002</v>
      </c>
      <c r="G20" s="1252">
        <f t="shared" si="0"/>
        <v>0.79882192284914566</v>
      </c>
      <c r="H20" s="1253">
        <f t="shared" si="5"/>
        <v>320.92368272983231</v>
      </c>
      <c r="I20" s="1250"/>
      <c r="J20" s="1249">
        <v>263.85029832239991</v>
      </c>
      <c r="K20" s="1250">
        <v>6415278.6757919928</v>
      </c>
      <c r="L20" s="1252">
        <f t="shared" si="3"/>
        <v>0.15336624627919937</v>
      </c>
      <c r="M20" s="1250">
        <f t="shared" si="1"/>
        <v>24314.085360453653</v>
      </c>
      <c r="N20" s="1250"/>
      <c r="O20" s="1249">
        <v>82.255164645946167</v>
      </c>
      <c r="P20" s="1250">
        <v>23689518.30003085</v>
      </c>
      <c r="Q20" s="1252">
        <f t="shared" si="4"/>
        <v>4.7811830871654887E-2</v>
      </c>
      <c r="R20" s="1249">
        <f>+P20/O20</f>
        <v>288000.37544145086</v>
      </c>
    </row>
    <row r="21" spans="3:18" x14ac:dyDescent="0.4">
      <c r="C21" s="1248">
        <v>2018</v>
      </c>
      <c r="D21" s="1249">
        <v>1421.0186728504011</v>
      </c>
      <c r="E21" s="1250">
        <v>1596159.5296871345</v>
      </c>
      <c r="F21" s="1251">
        <v>0.7173176179291002</v>
      </c>
      <c r="G21" s="1252">
        <f t="shared" si="0"/>
        <v>0.82020053052614639</v>
      </c>
      <c r="H21" s="1253">
        <f t="shared" si="5"/>
        <v>317.52304641575063</v>
      </c>
      <c r="I21" s="1250"/>
      <c r="J21" s="1249">
        <v>228.86622703674607</v>
      </c>
      <c r="K21" s="1250">
        <v>6543937.278300995</v>
      </c>
      <c r="L21" s="1252">
        <f t="shared" si="3"/>
        <v>0.13209974254491627</v>
      </c>
      <c r="M21" s="1250">
        <f t="shared" si="1"/>
        <v>28592.848158633384</v>
      </c>
      <c r="N21" s="1250"/>
      <c r="O21" s="1249">
        <v>82.64101293912077</v>
      </c>
      <c r="P21" s="1250">
        <v>24217210.559011273</v>
      </c>
      <c r="Q21" s="1252">
        <f t="shared" si="4"/>
        <v>4.7699726928937272E-2</v>
      </c>
      <c r="R21" s="1249">
        <f t="shared" si="2"/>
        <v>293041.06638735643</v>
      </c>
    </row>
    <row r="22" spans="3:18" x14ac:dyDescent="0.4">
      <c r="C22" s="1248">
        <v>2019</v>
      </c>
      <c r="D22" s="1249">
        <v>1656.5599808906618</v>
      </c>
      <c r="E22" s="1250">
        <v>1576422.3093231467</v>
      </c>
      <c r="F22" s="1251">
        <v>0.7173176179291002</v>
      </c>
      <c r="G22" s="1252">
        <f t="shared" si="0"/>
        <v>0.84014983389823716</v>
      </c>
      <c r="H22" s="1253">
        <f t="shared" si="5"/>
        <v>269.00735179512264</v>
      </c>
      <c r="I22" s="1250"/>
      <c r="J22" s="1249">
        <v>229.15932363726745</v>
      </c>
      <c r="K22" s="1250">
        <v>6500255.49960892</v>
      </c>
      <c r="L22" s="1252">
        <f t="shared" si="3"/>
        <v>0.11622167015441748</v>
      </c>
      <c r="M22" s="1250">
        <f t="shared" si="1"/>
        <v>28365.660172300333</v>
      </c>
      <c r="N22" s="1250"/>
      <c r="O22" s="1249">
        <v>86.024203656007643</v>
      </c>
      <c r="P22" s="1250">
        <v>25005390.818670496</v>
      </c>
      <c r="Q22" s="1252">
        <f t="shared" si="4"/>
        <v>4.3628495947345483E-2</v>
      </c>
      <c r="R22" s="1249">
        <f t="shared" si="2"/>
        <v>290678.55040729814</v>
      </c>
    </row>
    <row r="23" spans="3:18" x14ac:dyDescent="0.4">
      <c r="C23" s="1248">
        <v>2020</v>
      </c>
      <c r="D23" s="1249">
        <v>1697.0880616924883</v>
      </c>
      <c r="E23" s="1250">
        <v>1584545.2204938254</v>
      </c>
      <c r="F23" s="1251">
        <v>0.7173176179291002</v>
      </c>
      <c r="G23" s="1252">
        <f t="shared" si="0"/>
        <v>0.84371981483254288</v>
      </c>
      <c r="H23" s="1253">
        <f>+(E23*(1-F23))/D23</f>
        <v>263.93622554951259</v>
      </c>
      <c r="I23" s="1250"/>
      <c r="J23" s="1249">
        <v>232.84123300141721</v>
      </c>
      <c r="K23" s="1250">
        <v>6696710.4581599366</v>
      </c>
      <c r="L23" s="1252">
        <f t="shared" si="3"/>
        <v>0.11575873192898217</v>
      </c>
      <c r="M23" s="1250">
        <f>+K23/J23</f>
        <v>28760.84433945244</v>
      </c>
      <c r="N23" s="1250"/>
      <c r="O23" s="1249">
        <v>81.506293113543933</v>
      </c>
      <c r="P23" s="1250">
        <v>23886573.527861513</v>
      </c>
      <c r="Q23" s="1252">
        <f t="shared" si="4"/>
        <v>4.0521453238474947E-2</v>
      </c>
      <c r="R23" s="1249">
        <f t="shared" si="2"/>
        <v>293064.16247621342</v>
      </c>
    </row>
    <row r="24" spans="3:18" x14ac:dyDescent="0.4">
      <c r="C24" s="1248">
        <v>2021</v>
      </c>
      <c r="D24" s="1249">
        <v>1637.682125173546</v>
      </c>
      <c r="E24" s="1250">
        <v>1612391.2911322727</v>
      </c>
      <c r="F24" s="1251">
        <v>0.7173176179291002</v>
      </c>
      <c r="G24" s="1252">
        <f t="shared" si="0"/>
        <v>0.83167809915641888</v>
      </c>
      <c r="H24" s="1253">
        <f>+(E24*(1-F24))/D24</f>
        <v>278.31689923302042</v>
      </c>
      <c r="I24" s="1250"/>
      <c r="J24" s="1249">
        <v>245.33823560999991</v>
      </c>
      <c r="K24" s="1250">
        <v>7572739.5019909618</v>
      </c>
      <c r="L24" s="1252">
        <f t="shared" si="3"/>
        <v>0.12459221133703946</v>
      </c>
      <c r="M24" s="1250">
        <f>+K24/J24</f>
        <v>30866.527930970002</v>
      </c>
      <c r="N24" s="1250"/>
      <c r="O24" s="1249">
        <v>86.109434547925204</v>
      </c>
      <c r="P24" s="1250">
        <v>25297602.91496934</v>
      </c>
      <c r="Q24" s="1252">
        <f t="shared" si="4"/>
        <v>4.3729689506541686E-2</v>
      </c>
      <c r="R24" s="1249">
        <f>+P24/O24</f>
        <v>293784.33440867235</v>
      </c>
    </row>
    <row r="25" spans="3:18" x14ac:dyDescent="0.4">
      <c r="C25" s="1248" t="s">
        <v>3343</v>
      </c>
      <c r="D25" s="1249">
        <v>1638.7120634655003</v>
      </c>
      <c r="E25" s="1250">
        <v>1574860.3908379695</v>
      </c>
      <c r="F25" s="1251">
        <v>0.7173176179291002</v>
      </c>
      <c r="G25" s="1252">
        <f>+D25/(D25+J25+O25)</f>
        <v>0.80806888172056113</v>
      </c>
      <c r="H25" s="1253">
        <f>+(E25*(1-F25))/D25</f>
        <v>271.66779121020238</v>
      </c>
      <c r="I25" s="1250"/>
      <c r="J25" s="1249">
        <v>308.1427342935898</v>
      </c>
      <c r="K25" s="1250">
        <v>7731335.6016794769</v>
      </c>
      <c r="L25" s="1252">
        <f>+J25/(J25+D25+O25)</f>
        <v>0.15194893615682428</v>
      </c>
      <c r="M25" s="1250">
        <f>+K25/J25</f>
        <v>25090.111630908279</v>
      </c>
      <c r="N25" s="1250"/>
      <c r="O25" s="1249">
        <v>81.081310826495226</v>
      </c>
      <c r="P25" s="1250">
        <v>26692861.957544755</v>
      </c>
      <c r="Q25" s="1252">
        <f>+O25/(D25+J25+O25)</f>
        <v>3.9982182122614611E-2</v>
      </c>
      <c r="R25" s="1249">
        <f>+P25/O25</f>
        <v>329211.0313147803</v>
      </c>
    </row>
    <row r="26" spans="3:18" x14ac:dyDescent="0.4">
      <c r="C26" s="1254" t="s">
        <v>1146</v>
      </c>
      <c r="D26" s="1255">
        <v>1986.9899198786661</v>
      </c>
      <c r="E26" s="1256">
        <v>1628493.6267683986</v>
      </c>
      <c r="F26" s="1257">
        <v>0.7173176179291002</v>
      </c>
      <c r="G26" s="1258">
        <f>+D26/(D26+J26+O26)</f>
        <v>0.84140358498409229</v>
      </c>
      <c r="H26" s="1259">
        <f>+(E26*(1-F26))/D26</f>
        <v>231.6803185545503</v>
      </c>
      <c r="I26" s="1256"/>
      <c r="J26" s="1255">
        <v>300.93939559679967</v>
      </c>
      <c r="K26" s="1256">
        <v>8394146.0432834793</v>
      </c>
      <c r="L26" s="1258">
        <f>+J26/(J26+D26+O26)</f>
        <v>0.12743471105960888</v>
      </c>
      <c r="M26" s="1256">
        <f>+K26/J26</f>
        <v>27893.144487237572</v>
      </c>
      <c r="N26" s="1256"/>
      <c r="O26" s="1255">
        <v>73.588932531799955</v>
      </c>
      <c r="P26" s="1256">
        <v>27814188.25634357</v>
      </c>
      <c r="Q26" s="1258">
        <f>+O26/(D26+J26+O26)</f>
        <v>3.1161703956298855E-2</v>
      </c>
      <c r="R26" s="1255">
        <f>+P26/O26</f>
        <v>377967.00263758056</v>
      </c>
    </row>
    <row r="27" spans="3:18" x14ac:dyDescent="0.4">
      <c r="C27" s="1260" t="s">
        <v>3344</v>
      </c>
      <c r="D27" s="1261"/>
      <c r="E27" s="1261"/>
      <c r="F27" s="1261"/>
      <c r="G27" s="1261"/>
      <c r="H27" s="1261"/>
      <c r="I27" s="1261"/>
      <c r="J27" s="1261"/>
      <c r="K27" s="1261"/>
      <c r="L27" s="1261"/>
      <c r="M27" s="1261"/>
      <c r="N27" s="1261"/>
      <c r="O27" s="1261"/>
      <c r="P27" s="1261"/>
      <c r="Q27" s="1261"/>
      <c r="R27" s="1261"/>
    </row>
    <row r="28" spans="3:18" x14ac:dyDescent="0.4">
      <c r="C28" s="1260" t="s">
        <v>3345</v>
      </c>
      <c r="D28" s="1261"/>
      <c r="E28" s="1261"/>
      <c r="F28" s="1261"/>
      <c r="G28" s="1261"/>
      <c r="H28" s="1261"/>
      <c r="I28" s="1261"/>
      <c r="J28" s="1261"/>
      <c r="K28" s="1261"/>
      <c r="L28" s="1261"/>
      <c r="M28" s="1261"/>
      <c r="N28" s="1261"/>
      <c r="O28" s="1261"/>
      <c r="P28" s="1261"/>
      <c r="Q28" s="1261"/>
      <c r="R28" s="1261"/>
    </row>
    <row r="29" spans="3:18" x14ac:dyDescent="0.4">
      <c r="C29" s="2876" t="s">
        <v>3346</v>
      </c>
      <c r="D29" s="2876"/>
      <c r="E29" s="2876"/>
      <c r="F29" s="2876"/>
      <c r="G29" s="2876"/>
      <c r="H29" s="2876"/>
      <c r="I29" s="2876"/>
      <c r="J29" s="2876"/>
      <c r="K29" s="2876"/>
      <c r="L29" s="2876"/>
      <c r="M29" s="2876"/>
      <c r="N29" s="2876"/>
      <c r="O29" s="2876"/>
      <c r="P29" s="2876"/>
      <c r="Q29" s="2876"/>
      <c r="R29" s="2876"/>
    </row>
    <row r="30" spans="3:18" ht="12.75" customHeight="1" x14ac:dyDescent="0.4">
      <c r="C30" s="1262"/>
      <c r="D30" s="1261"/>
      <c r="E30" s="1261"/>
      <c r="F30" s="1261"/>
      <c r="G30" s="1261"/>
      <c r="H30" s="1261"/>
      <c r="I30" s="1261"/>
      <c r="J30" s="1261"/>
      <c r="K30" s="1261"/>
      <c r="L30" s="1261"/>
      <c r="M30" s="1261"/>
      <c r="N30" s="1261"/>
      <c r="O30" s="1261"/>
      <c r="P30" s="1261"/>
      <c r="Q30" s="1261"/>
      <c r="R30" s="1261"/>
    </row>
    <row r="31" spans="3:18" ht="19.5" x14ac:dyDescent="0.4">
      <c r="C31" s="115"/>
      <c r="H31" s="800" t="s">
        <v>3347</v>
      </c>
    </row>
    <row r="32" spans="3:18" ht="18.600000000000001" customHeight="1" x14ac:dyDescent="0.4">
      <c r="C32" s="1045" t="s">
        <v>3348</v>
      </c>
      <c r="D32" s="1045"/>
      <c r="E32" s="1045"/>
      <c r="F32" s="1263"/>
      <c r="G32" s="1264"/>
      <c r="H32" s="1264"/>
    </row>
    <row r="33" spans="3:8" ht="17.45" customHeight="1" x14ac:dyDescent="0.4">
      <c r="C33" s="1265"/>
      <c r="D33" s="1265"/>
      <c r="E33" s="1265"/>
      <c r="F33" s="1263"/>
      <c r="G33" s="1263"/>
      <c r="H33" s="1263"/>
    </row>
    <row r="34" spans="3:8" ht="17.45" customHeight="1" x14ac:dyDescent="0.4">
      <c r="C34" s="1266" t="s">
        <v>247</v>
      </c>
      <c r="D34" s="2871" t="s">
        <v>3349</v>
      </c>
      <c r="E34" s="2871"/>
      <c r="F34" s="1263"/>
      <c r="G34" s="1267"/>
      <c r="H34" s="1268"/>
    </row>
    <row r="35" spans="3:8" x14ac:dyDescent="0.4">
      <c r="C35" s="1248">
        <v>2012</v>
      </c>
      <c r="D35" s="1267"/>
      <c r="E35" s="1269">
        <v>21695.752172775683</v>
      </c>
      <c r="F35" s="1263"/>
      <c r="G35" s="1267"/>
      <c r="H35" s="1268"/>
    </row>
    <row r="36" spans="3:8" x14ac:dyDescent="0.4">
      <c r="C36" s="1248">
        <v>2013</v>
      </c>
      <c r="D36" s="1267"/>
      <c r="E36" s="1270">
        <f t="shared" ref="E36:E44" si="6">+(H16*G16)+(M16*L16)+(R16*Q16)</f>
        <v>19868.232135083603</v>
      </c>
      <c r="F36" s="1267"/>
      <c r="G36" s="1267"/>
      <c r="H36" s="1268"/>
    </row>
    <row r="37" spans="3:8" x14ac:dyDescent="0.4">
      <c r="C37" s="1248">
        <v>2014</v>
      </c>
      <c r="D37" s="1267"/>
      <c r="E37" s="1270">
        <f t="shared" si="6"/>
        <v>17883.424545266265</v>
      </c>
      <c r="F37" s="1267"/>
      <c r="G37" s="1267"/>
      <c r="H37" s="1268"/>
    </row>
    <row r="38" spans="3:8" x14ac:dyDescent="0.4">
      <c r="C38" s="1248">
        <v>2015</v>
      </c>
      <c r="D38" s="1267"/>
      <c r="E38" s="1270">
        <f t="shared" si="6"/>
        <v>15494.754905783338</v>
      </c>
      <c r="F38" s="1267"/>
      <c r="G38" s="1267"/>
      <c r="H38" s="1268"/>
    </row>
    <row r="39" spans="3:8" x14ac:dyDescent="0.4">
      <c r="C39" s="1248">
        <v>2016</v>
      </c>
      <c r="D39" s="1267"/>
      <c r="E39" s="1270">
        <f t="shared" si="6"/>
        <v>16868.372114389975</v>
      </c>
      <c r="F39" s="1267"/>
      <c r="G39" s="1267"/>
      <c r="H39" s="1268"/>
    </row>
    <row r="40" spans="3:8" x14ac:dyDescent="0.4">
      <c r="C40" s="1248">
        <v>2017</v>
      </c>
      <c r="D40" s="1267"/>
      <c r="E40" s="1270">
        <f t="shared" si="6"/>
        <v>17755.146118350644</v>
      </c>
      <c r="F40" s="1271"/>
      <c r="G40" s="1271"/>
      <c r="H40" s="1271"/>
    </row>
    <row r="41" spans="3:8" x14ac:dyDescent="0.4">
      <c r="C41" s="1248">
        <v>2018</v>
      </c>
      <c r="D41" s="115"/>
      <c r="E41" s="1270">
        <f t="shared" si="6"/>
        <v>18015.519297147312</v>
      </c>
      <c r="F41" s="1271"/>
      <c r="G41" s="1271"/>
      <c r="H41" s="1271"/>
    </row>
    <row r="42" spans="3:8" ht="17.45" customHeight="1" x14ac:dyDescent="0.4">
      <c r="C42" s="1248">
        <v>2019</v>
      </c>
      <c r="D42" s="115"/>
      <c r="E42" s="1270">
        <f t="shared" si="6"/>
        <v>16204.578840610529</v>
      </c>
    </row>
    <row r="43" spans="3:8" x14ac:dyDescent="0.4">
      <c r="C43" s="1248">
        <v>2020</v>
      </c>
      <c r="D43" s="115"/>
      <c r="E43" s="1270">
        <f>+(H23*G23)+(M23*L23)+(R23*Q23)</f>
        <v>15427.3928489428</v>
      </c>
    </row>
    <row r="44" spans="3:8" x14ac:dyDescent="0.4">
      <c r="C44" s="1248">
        <v>2021</v>
      </c>
      <c r="D44" s="115"/>
      <c r="E44" s="1270">
        <f t="shared" si="6"/>
        <v>16924.296766510524</v>
      </c>
    </row>
    <row r="45" spans="3:8" x14ac:dyDescent="0.4">
      <c r="C45" s="1248">
        <v>2022</v>
      </c>
      <c r="D45" s="115"/>
      <c r="E45" s="1270">
        <f>+(H25*G25)+(M25*L25)+(R25*Q25)</f>
        <v>17194.517469416529</v>
      </c>
    </row>
    <row r="46" spans="3:8" x14ac:dyDescent="0.4">
      <c r="C46" s="1248">
        <v>2023</v>
      </c>
      <c r="D46" s="115"/>
      <c r="E46" s="1270">
        <f>+(H26*G26)+(M26*L26)+(R26*Q26)</f>
        <v>15527.587300319012</v>
      </c>
    </row>
    <row r="47" spans="3:8" ht="17.45" customHeight="1" x14ac:dyDescent="0.4">
      <c r="C47" s="2877" t="s">
        <v>3350</v>
      </c>
      <c r="D47" s="2877"/>
      <c r="E47" s="2877"/>
    </row>
    <row r="48" spans="3:8" x14ac:dyDescent="0.4">
      <c r="C48" s="2878"/>
      <c r="D48" s="2878"/>
      <c r="E48" s="2878"/>
    </row>
    <row r="49" spans="3:12" x14ac:dyDescent="0.4">
      <c r="C49" s="2878"/>
      <c r="D49" s="2878"/>
      <c r="E49" s="2878"/>
    </row>
    <row r="50" spans="3:12" x14ac:dyDescent="0.4">
      <c r="C50" s="1272"/>
      <c r="D50" s="1272"/>
      <c r="E50" s="1272"/>
    </row>
    <row r="51" spans="3:12" ht="18.600000000000001" customHeight="1" x14ac:dyDescent="0.4">
      <c r="C51" s="1045" t="s">
        <v>3351</v>
      </c>
      <c r="D51" s="1273"/>
      <c r="E51" s="1273"/>
      <c r="F51" s="1274"/>
      <c r="G51" s="1264"/>
      <c r="H51" s="1264"/>
    </row>
    <row r="52" spans="3:12" ht="17.45" customHeight="1" x14ac:dyDescent="0.4">
      <c r="C52" s="1275"/>
      <c r="D52" s="1275"/>
      <c r="E52" s="1275"/>
      <c r="F52" s="1274"/>
      <c r="H52" s="5" t="s">
        <v>3352</v>
      </c>
    </row>
    <row r="53" spans="3:12" ht="17.45" customHeight="1" x14ac:dyDescent="0.4">
      <c r="C53" s="1266" t="s">
        <v>3353</v>
      </c>
      <c r="D53" s="2871" t="s">
        <v>3354</v>
      </c>
      <c r="E53" s="2872"/>
      <c r="F53" s="1276"/>
      <c r="G53" s="1274"/>
      <c r="H53" s="5" t="s">
        <v>3355</v>
      </c>
    </row>
    <row r="54" spans="3:12" x14ac:dyDescent="0.4">
      <c r="C54" s="1248" t="s">
        <v>3356</v>
      </c>
      <c r="D54" s="1277"/>
      <c r="E54" s="1278">
        <f t="shared" ref="E54:E61" si="7">+(E36-E35)/E35</f>
        <v>-8.4234002266365002E-2</v>
      </c>
      <c r="F54" s="1279"/>
      <c r="G54" s="1280"/>
      <c r="H54" s="5" t="s">
        <v>3357</v>
      </c>
    </row>
    <row r="55" spans="3:12" x14ac:dyDescent="0.4">
      <c r="C55" s="1248" t="s">
        <v>3358</v>
      </c>
      <c r="D55" s="1277"/>
      <c r="E55" s="1278">
        <f t="shared" si="7"/>
        <v>-9.9898550425759139E-2</v>
      </c>
      <c r="F55" s="1281"/>
      <c r="G55" s="1282"/>
      <c r="H55" s="1282"/>
    </row>
    <row r="56" spans="3:12" x14ac:dyDescent="0.4">
      <c r="C56" s="1248" t="s">
        <v>3359</v>
      </c>
      <c r="D56" s="1277"/>
      <c r="E56" s="1278">
        <f t="shared" si="7"/>
        <v>-0.13356891648111138</v>
      </c>
      <c r="F56" s="1281"/>
      <c r="G56" s="1282"/>
      <c r="H56" s="1282"/>
    </row>
    <row r="57" spans="3:12" x14ac:dyDescent="0.4">
      <c r="C57" s="1248" t="s">
        <v>3360</v>
      </c>
      <c r="D57" s="1277"/>
      <c r="E57" s="1278">
        <f t="shared" si="7"/>
        <v>8.8650463783324557E-2</v>
      </c>
      <c r="F57" s="1283"/>
      <c r="G57" s="1283"/>
      <c r="H57" s="1283"/>
    </row>
    <row r="58" spans="3:12" ht="11.25" customHeight="1" x14ac:dyDescent="0.4">
      <c r="C58" s="1248" t="s">
        <v>3361</v>
      </c>
      <c r="D58" s="1277"/>
      <c r="E58" s="1278">
        <f t="shared" si="7"/>
        <v>5.2570218272822225E-2</v>
      </c>
      <c r="F58" s="1271"/>
      <c r="G58" s="1271"/>
      <c r="H58" s="1271"/>
    </row>
    <row r="59" spans="3:12" ht="11.25" customHeight="1" x14ac:dyDescent="0.4">
      <c r="C59" s="1248" t="s">
        <v>3362</v>
      </c>
      <c r="D59" s="1277"/>
      <c r="E59" s="1278">
        <f t="shared" si="7"/>
        <v>1.4664659871627985E-2</v>
      </c>
      <c r="F59" s="1271"/>
      <c r="G59" s="1271"/>
      <c r="H59" s="1271"/>
    </row>
    <row r="60" spans="3:12" ht="18.600000000000001" customHeight="1" x14ac:dyDescent="0.4">
      <c r="C60" s="1248" t="s">
        <v>3363</v>
      </c>
      <c r="D60" s="1277"/>
      <c r="E60" s="1278">
        <f t="shared" si="7"/>
        <v>-0.10052113550917945</v>
      </c>
      <c r="L60" s="266" t="s">
        <v>3364</v>
      </c>
    </row>
    <row r="61" spans="3:12" ht="10.5" customHeight="1" x14ac:dyDescent="0.4">
      <c r="C61" s="1248" t="s">
        <v>3365</v>
      </c>
      <c r="D61" s="1277"/>
      <c r="E61" s="1278">
        <f t="shared" si="7"/>
        <v>-4.7960888049741371E-2</v>
      </c>
    </row>
    <row r="62" spans="3:12" x14ac:dyDescent="0.4">
      <c r="C62" s="1248" t="s">
        <v>3366</v>
      </c>
      <c r="D62" s="1277"/>
      <c r="E62" s="1278">
        <f>+(E44-E43)/E43</f>
        <v>9.702896219890475E-2</v>
      </c>
    </row>
    <row r="63" spans="3:12" x14ac:dyDescent="0.4">
      <c r="C63" s="1248" t="s">
        <v>3367</v>
      </c>
      <c r="D63" s="1277"/>
      <c r="E63" s="1278">
        <f>+(E45-E44)/E44</f>
        <v>1.5966436102722577E-2</v>
      </c>
    </row>
    <row r="64" spans="3:12" x14ac:dyDescent="0.4">
      <c r="C64" s="1254" t="s">
        <v>3368</v>
      </c>
      <c r="D64" s="1284"/>
      <c r="E64" s="1285">
        <f>+(E46-E45)/E45</f>
        <v>-9.6945446248343142E-2</v>
      </c>
    </row>
    <row r="65" spans="3:12" ht="17.45" customHeight="1" x14ac:dyDescent="0.4">
      <c r="C65" s="2873" t="s">
        <v>3350</v>
      </c>
      <c r="D65" s="2873"/>
      <c r="E65" s="2873"/>
    </row>
    <row r="66" spans="3:12" x14ac:dyDescent="0.4">
      <c r="C66" s="2873"/>
      <c r="D66" s="2873"/>
      <c r="E66" s="2873"/>
    </row>
    <row r="67" spans="3:12" x14ac:dyDescent="0.4">
      <c r="C67" s="2873"/>
      <c r="D67" s="2873"/>
      <c r="E67" s="2873"/>
    </row>
    <row r="68" spans="3:12" x14ac:dyDescent="0.4">
      <c r="C68" s="2873"/>
      <c r="D68" s="2873"/>
      <c r="E68" s="2873"/>
    </row>
    <row r="69" spans="3:12" x14ac:dyDescent="0.4">
      <c r="C69" s="1267"/>
      <c r="D69" s="1267"/>
      <c r="E69" s="1267"/>
    </row>
    <row r="70" spans="3:12" ht="19.5" x14ac:dyDescent="0.4">
      <c r="C70" s="266" t="s">
        <v>3369</v>
      </c>
    </row>
    <row r="79" spans="3:12" x14ac:dyDescent="0.4">
      <c r="L79" s="5" t="s">
        <v>3370</v>
      </c>
    </row>
    <row r="80" spans="3:12" x14ac:dyDescent="0.4">
      <c r="L80" s="5" t="s">
        <v>3371</v>
      </c>
    </row>
    <row r="85" spans="3:3" x14ac:dyDescent="0.4">
      <c r="C85" s="5" t="s">
        <v>3372</v>
      </c>
    </row>
    <row r="86" spans="3:3" x14ac:dyDescent="0.4">
      <c r="C86" s="5" t="s">
        <v>3373</v>
      </c>
    </row>
  </sheetData>
  <mergeCells count="25">
    <mergeCell ref="A5:B5"/>
    <mergeCell ref="C5:T5"/>
    <mergeCell ref="C1:D1"/>
    <mergeCell ref="A3:B3"/>
    <mergeCell ref="C3:T3"/>
    <mergeCell ref="A4:B4"/>
    <mergeCell ref="C4:T4"/>
    <mergeCell ref="A6:B6"/>
    <mergeCell ref="C6:T6"/>
    <mergeCell ref="C11:C14"/>
    <mergeCell ref="D11:R11"/>
    <mergeCell ref="D12:H12"/>
    <mergeCell ref="J12:M12"/>
    <mergeCell ref="O12:R12"/>
    <mergeCell ref="D13:G13"/>
    <mergeCell ref="H13:H14"/>
    <mergeCell ref="J13:L13"/>
    <mergeCell ref="D53:E53"/>
    <mergeCell ref="C65:E68"/>
    <mergeCell ref="M13:N14"/>
    <mergeCell ref="O13:Q13"/>
    <mergeCell ref="R13:R14"/>
    <mergeCell ref="C29:R29"/>
    <mergeCell ref="D34:E34"/>
    <mergeCell ref="C47:E49"/>
  </mergeCells>
  <hyperlinks>
    <hyperlink ref="A1" location="'ODS 6.'!A1" display="REGRESAR" xr:uid="{981516B6-162A-43FB-B9F3-3FC8E9F1583B}"/>
    <hyperlink ref="C1" location="'Metadato 6.4.1'!A1" display="VER METADATO" xr:uid="{5CFEDB8B-D6D9-41E1-B718-26EA991C5906}"/>
  </hyperlinks>
  <pageMargins left="0.7" right="0.7" top="0.75" bottom="0.75" header="0.3" footer="0.3"/>
  <pageSetup orientation="portrait" r:id="rId1"/>
  <drawing r:id="rId2"/>
  <legacy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932B-36D0-40EE-A342-6C4EF16ABB34}">
  <sheetPr>
    <tabColor theme="0" tint="-0.499984740745262"/>
  </sheetPr>
  <dimension ref="A1:F46"/>
  <sheetViews>
    <sheetView showGridLines="0" zoomScaleNormal="100" workbookViewId="0">
      <pane ySplit="1" topLeftCell="A16" activePane="bottomLeft" state="frozen"/>
      <selection pane="bottomLeft"/>
    </sheetView>
  </sheetViews>
  <sheetFormatPr baseColWidth="10" defaultColWidth="11.42578125" defaultRowHeight="18.75" x14ac:dyDescent="0.25"/>
  <cols>
    <col min="1" max="1" width="12.7109375" style="1291" customWidth="1"/>
    <col min="2" max="2" width="26.42578125" style="243" customWidth="1"/>
    <col min="3" max="3" width="10.5703125" style="243" bestFit="1" customWidth="1"/>
    <col min="4" max="4" width="85.7109375" style="243" customWidth="1"/>
    <col min="5" max="5" width="11.7109375" style="243" customWidth="1"/>
    <col min="6" max="6" width="7.28515625" style="243" customWidth="1"/>
    <col min="7" max="7" width="11.7109375" style="243" customWidth="1"/>
    <col min="8" max="8" width="15.28515625" style="243" customWidth="1"/>
    <col min="9" max="9" width="11.28515625" style="243" customWidth="1"/>
    <col min="10" max="11" width="11.7109375" style="243" customWidth="1"/>
    <col min="12" max="12" width="10.28515625" style="243" customWidth="1"/>
    <col min="13" max="13" width="11.7109375" style="243" customWidth="1"/>
    <col min="14" max="14" width="17.42578125" style="243" customWidth="1"/>
    <col min="15" max="15" width="10.7109375" style="243" customWidth="1"/>
    <col min="16" max="16" width="11.7109375" style="243" customWidth="1"/>
    <col min="17" max="16384" width="11.42578125" style="243"/>
  </cols>
  <sheetData>
    <row r="1" spans="2:6" x14ac:dyDescent="0.25">
      <c r="B1" s="223" t="s">
        <v>39</v>
      </c>
    </row>
    <row r="2" spans="2:6" ht="19.5" thickBot="1" x14ac:dyDescent="0.3"/>
    <row r="3" spans="2:6" ht="23.25" customHeight="1" thickBot="1" x14ac:dyDescent="0.3">
      <c r="B3" s="2809" t="s">
        <v>75</v>
      </c>
      <c r="C3" s="2809"/>
      <c r="D3" s="2809"/>
      <c r="F3" s="1286" t="s">
        <v>265</v>
      </c>
    </row>
    <row r="4" spans="2:6" x14ac:dyDescent="0.25">
      <c r="B4" s="2445" t="s">
        <v>234</v>
      </c>
      <c r="C4" s="2445"/>
      <c r="D4" s="49" t="s">
        <v>2803</v>
      </c>
    </row>
    <row r="5" spans="2:6" ht="56.25" x14ac:dyDescent="0.25">
      <c r="B5" s="2445" t="s">
        <v>79</v>
      </c>
      <c r="C5" s="2445"/>
      <c r="D5" s="49" t="s">
        <v>2780</v>
      </c>
    </row>
    <row r="6" spans="2:6" x14ac:dyDescent="0.25">
      <c r="B6" s="2445" t="s">
        <v>80</v>
      </c>
      <c r="C6" s="2445"/>
      <c r="D6" s="50" t="s">
        <v>2781</v>
      </c>
    </row>
    <row r="7" spans="2:6" ht="15" customHeight="1" x14ac:dyDescent="0.25">
      <c r="B7" s="2446" t="s">
        <v>81</v>
      </c>
      <c r="C7" s="2446"/>
      <c r="D7" s="93" t="s">
        <v>2782</v>
      </c>
    </row>
    <row r="8" spans="2:6" x14ac:dyDescent="0.25">
      <c r="B8" s="2446" t="s">
        <v>82</v>
      </c>
      <c r="C8" s="2446"/>
      <c r="D8" s="1047" t="s">
        <v>3374</v>
      </c>
    </row>
    <row r="9" spans="2:6" x14ac:dyDescent="0.4">
      <c r="B9" s="115"/>
      <c r="C9" s="115"/>
      <c r="D9" s="115"/>
    </row>
    <row r="10" spans="2:6" ht="23.25" customHeight="1" x14ac:dyDescent="0.25">
      <c r="B10" s="2809" t="s">
        <v>85</v>
      </c>
      <c r="C10" s="2809"/>
      <c r="D10" s="2809"/>
    </row>
    <row r="11" spans="2:6" x14ac:dyDescent="0.25">
      <c r="B11" s="2487" t="s">
        <v>86</v>
      </c>
      <c r="C11" s="2456"/>
      <c r="D11" s="49" t="s">
        <v>3375</v>
      </c>
    </row>
    <row r="12" spans="2:6" ht="18.75" customHeight="1" x14ac:dyDescent="0.25">
      <c r="B12" s="2474" t="s">
        <v>88</v>
      </c>
      <c r="C12" s="2474"/>
      <c r="D12" s="755" t="s">
        <v>3376</v>
      </c>
    </row>
    <row r="13" spans="2:6" x14ac:dyDescent="0.25">
      <c r="B13" s="2445" t="s">
        <v>90</v>
      </c>
      <c r="C13" s="2445"/>
      <c r="D13" s="54" t="s">
        <v>2781</v>
      </c>
    </row>
    <row r="14" spans="2:6" ht="20.25" customHeight="1" x14ac:dyDescent="0.25">
      <c r="B14" s="2445" t="s">
        <v>91</v>
      </c>
      <c r="C14" s="2456"/>
      <c r="D14" s="54" t="s">
        <v>355</v>
      </c>
    </row>
    <row r="15" spans="2:6" ht="276.75" customHeight="1" x14ac:dyDescent="0.25">
      <c r="B15" s="2445" t="s">
        <v>93</v>
      </c>
      <c r="C15" s="2445"/>
      <c r="D15" s="49" t="s">
        <v>3377</v>
      </c>
    </row>
    <row r="16" spans="2:6" ht="409.15" customHeight="1" x14ac:dyDescent="0.25">
      <c r="B16" s="2445" t="s">
        <v>95</v>
      </c>
      <c r="C16" s="2445"/>
      <c r="D16" s="49" t="s">
        <v>3378</v>
      </c>
    </row>
    <row r="17" spans="2:4" x14ac:dyDescent="0.25">
      <c r="B17" s="2445" t="s">
        <v>97</v>
      </c>
      <c r="C17" s="2445"/>
      <c r="D17" s="49" t="s">
        <v>3379</v>
      </c>
    </row>
    <row r="18" spans="2:4" ht="56.25" x14ac:dyDescent="0.25">
      <c r="B18" s="2446" t="s">
        <v>99</v>
      </c>
      <c r="C18" s="2446"/>
      <c r="D18" s="49" t="s">
        <v>3380</v>
      </c>
    </row>
    <row r="19" spans="2:4" ht="15" customHeight="1" x14ac:dyDescent="0.25">
      <c r="B19" s="2457" t="s">
        <v>100</v>
      </c>
      <c r="C19" s="2458"/>
      <c r="D19" s="55"/>
    </row>
    <row r="20" spans="2:4" x14ac:dyDescent="0.25">
      <c r="B20" s="2445" t="s">
        <v>102</v>
      </c>
      <c r="C20" s="2445"/>
      <c r="D20" s="49" t="s">
        <v>140</v>
      </c>
    </row>
    <row r="21" spans="2:4" x14ac:dyDescent="0.25">
      <c r="B21" s="2451" t="s">
        <v>104</v>
      </c>
      <c r="C21" s="95" t="s">
        <v>105</v>
      </c>
      <c r="D21" s="49" t="s">
        <v>1186</v>
      </c>
    </row>
    <row r="22" spans="2:4" x14ac:dyDescent="0.25">
      <c r="B22" s="2452"/>
      <c r="C22" s="96" t="s">
        <v>107</v>
      </c>
      <c r="D22" s="55" t="s">
        <v>3381</v>
      </c>
    </row>
    <row r="23" spans="2:4" x14ac:dyDescent="0.25">
      <c r="B23" s="2445" t="s">
        <v>109</v>
      </c>
      <c r="C23" s="2445"/>
      <c r="D23" s="49"/>
    </row>
    <row r="24" spans="2:4" ht="145.15" customHeight="1" x14ac:dyDescent="0.25">
      <c r="B24" s="2445" t="s">
        <v>111</v>
      </c>
      <c r="C24" s="2445"/>
      <c r="D24" s="50" t="s">
        <v>3382</v>
      </c>
    </row>
    <row r="25" spans="2:4" x14ac:dyDescent="0.25">
      <c r="B25" s="2445" t="s">
        <v>113</v>
      </c>
      <c r="C25" s="2445"/>
      <c r="D25" s="55" t="s">
        <v>220</v>
      </c>
    </row>
    <row r="26" spans="2:4" ht="243.75" x14ac:dyDescent="0.25">
      <c r="B26" s="2446" t="s">
        <v>115</v>
      </c>
      <c r="C26" s="2446"/>
      <c r="D26" s="50" t="s">
        <v>3383</v>
      </c>
    </row>
    <row r="27" spans="2:4" ht="225" x14ac:dyDescent="0.25">
      <c r="B27" s="2447" t="s">
        <v>117</v>
      </c>
      <c r="C27" s="2448"/>
      <c r="D27" s="49" t="s">
        <v>3384</v>
      </c>
    </row>
    <row r="28" spans="2:4" ht="261.75" customHeight="1" x14ac:dyDescent="0.25">
      <c r="B28" s="97" t="s">
        <v>118</v>
      </c>
      <c r="C28" s="98"/>
      <c r="D28" s="55" t="s">
        <v>3385</v>
      </c>
    </row>
    <row r="29" spans="2:4" x14ac:dyDescent="0.25">
      <c r="B29" s="2449" t="s">
        <v>120</v>
      </c>
      <c r="C29" s="2450"/>
      <c r="D29" s="62"/>
    </row>
    <row r="30" spans="2:4" x14ac:dyDescent="0.25">
      <c r="B30" s="63"/>
      <c r="C30" s="63"/>
      <c r="D30" s="64"/>
    </row>
    <row r="31" spans="2:4" ht="23.25" customHeight="1" thickBot="1" x14ac:dyDescent="0.3">
      <c r="B31" s="2809" t="s">
        <v>121</v>
      </c>
      <c r="C31" s="2809"/>
      <c r="D31" s="2809"/>
    </row>
    <row r="32" spans="2:4" x14ac:dyDescent="0.25">
      <c r="B32" s="2885" t="s">
        <v>122</v>
      </c>
      <c r="C32" s="2886"/>
      <c r="D32" s="1287" t="s">
        <v>3386</v>
      </c>
    </row>
    <row r="33" spans="2:4" x14ac:dyDescent="0.25">
      <c r="B33" s="2882" t="s">
        <v>124</v>
      </c>
      <c r="C33" s="2448"/>
      <c r="D33" s="1288" t="s">
        <v>3387</v>
      </c>
    </row>
    <row r="34" spans="2:4" x14ac:dyDescent="0.25">
      <c r="B34" s="2882" t="s">
        <v>126</v>
      </c>
      <c r="C34" s="2448"/>
      <c r="D34" s="1288" t="s">
        <v>3388</v>
      </c>
    </row>
    <row r="35" spans="2:4" x14ac:dyDescent="0.25">
      <c r="B35" s="2882" t="s">
        <v>128</v>
      </c>
      <c r="C35" s="2448"/>
      <c r="D35" s="1288" t="s">
        <v>3389</v>
      </c>
    </row>
    <row r="36" spans="2:4" ht="19.5" thickBot="1" x14ac:dyDescent="0.3">
      <c r="B36" s="2883" t="s">
        <v>130</v>
      </c>
      <c r="C36" s="2884"/>
      <c r="D36" s="1289" t="s">
        <v>3390</v>
      </c>
    </row>
    <row r="37" spans="2:4" x14ac:dyDescent="0.25">
      <c r="B37" s="2885" t="s">
        <v>122</v>
      </c>
      <c r="C37" s="2886"/>
      <c r="D37" s="1287" t="s">
        <v>3391</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3392</v>
      </c>
    </row>
    <row r="41" spans="2:4" ht="19.5" thickBot="1" x14ac:dyDescent="0.3">
      <c r="B41" s="2883" t="s">
        <v>130</v>
      </c>
      <c r="C41" s="2884"/>
      <c r="D41" s="1290" t="s">
        <v>3393</v>
      </c>
    </row>
    <row r="42" spans="2:4" x14ac:dyDescent="0.25">
      <c r="B42" s="2885" t="s">
        <v>122</v>
      </c>
      <c r="C42" s="2886"/>
      <c r="D42" s="1287" t="s">
        <v>3394</v>
      </c>
    </row>
    <row r="43" spans="2:4" x14ac:dyDescent="0.25">
      <c r="B43" s="2882" t="s">
        <v>124</v>
      </c>
      <c r="C43" s="2448"/>
      <c r="D43" s="1288" t="s">
        <v>3395</v>
      </c>
    </row>
    <row r="44" spans="2:4" x14ac:dyDescent="0.25">
      <c r="B44" s="2882" t="s">
        <v>126</v>
      </c>
      <c r="C44" s="2448"/>
      <c r="D44" s="1288" t="s">
        <v>3388</v>
      </c>
    </row>
    <row r="45" spans="2:4" x14ac:dyDescent="0.25">
      <c r="B45" s="2882" t="s">
        <v>128</v>
      </c>
      <c r="C45" s="2448"/>
      <c r="D45" s="1288" t="s">
        <v>3396</v>
      </c>
    </row>
    <row r="46" spans="2:4" ht="19.5" thickBot="1" x14ac:dyDescent="0.3">
      <c r="B46" s="2883" t="s">
        <v>130</v>
      </c>
      <c r="C46" s="2884"/>
      <c r="D46" s="1289" t="s">
        <v>3397</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4CAEA333-4E3A-45D5-BB99-72DF5CEDF128}">
      <formula1>Tipo_operación</formula1>
    </dataValidation>
    <dataValidation type="list" allowBlank="1" showInputMessage="1" showErrorMessage="1" sqref="D14" xr:uid="{04F88499-126A-494C-AA9E-13AB1461CD04}">
      <formula1>Tipo_indicador</formula1>
    </dataValidation>
    <dataValidation type="list" allowBlank="1" showInputMessage="1" showErrorMessage="1" sqref="D7" xr:uid="{CC317A26-4D28-4544-98FF-2DF0E0B1A7B0}">
      <formula1>Nombre_indicador_ODS</formula1>
    </dataValidation>
    <dataValidation type="list" allowBlank="1" showInputMessage="1" showErrorMessage="1" sqref="D6" xr:uid="{1BE8891B-5C75-48B2-83D6-F8B7B68734BF}">
      <formula1>Numero_indicador</formula1>
    </dataValidation>
    <dataValidation type="list" allowBlank="1" showInputMessage="1" showErrorMessage="1" sqref="D5" xr:uid="{A08527F6-BED8-4401-B693-DFDB8CF6B467}">
      <formula1>Metas_ODS</formula1>
    </dataValidation>
    <dataValidation type="list" allowBlank="1" showInputMessage="1" showErrorMessage="1" sqref="D4" xr:uid="{E01108D5-42E5-47DE-9416-9B6EBDE67466}">
      <formula1>ODS</formula1>
    </dataValidation>
    <dataValidation allowBlank="1" showDropDown="1" showInputMessage="1" showErrorMessage="1" sqref="D13" xr:uid="{693DC1F3-DA48-455C-912E-F5556806E737}"/>
  </dataValidations>
  <hyperlinks>
    <hyperlink ref="B1" location="'6.4.1'!A1" display="REGRESAR" xr:uid="{8AE78400-DE16-48F4-9BA6-D5167F6CBB95}"/>
    <hyperlink ref="D8" r:id="rId1" xr:uid="{6F6F87BC-2BB8-40D2-A6E2-36094B9A2F08}"/>
    <hyperlink ref="D41" r:id="rId2" xr:uid="{786FA350-AE79-4A02-94B7-E5AD98C0AD30}"/>
    <hyperlink ref="D46" r:id="rId3" xr:uid="{640CC2E2-61BA-4A9B-B7F0-FB18C3179458}"/>
    <hyperlink ref="D36" r:id="rId4" xr:uid="{8C5382F1-BE0E-4A79-9FD7-1D4E057221D8}"/>
  </hyperlinks>
  <pageMargins left="0.7" right="0.7" top="0.75" bottom="0.75" header="0.3" footer="0.3"/>
  <pageSetup orientation="portrait" r:id="rId5"/>
  <drawing r:id="rId6"/>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CD2B-7A82-4584-AF17-83D26BE8D127}">
  <dimension ref="A1:T118"/>
  <sheetViews>
    <sheetView showGridLines="0" zoomScale="80" zoomScaleNormal="8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2" width="15.42578125" style="115" customWidth="1"/>
    <col min="3" max="3" width="17.140625" style="1048" customWidth="1"/>
    <col min="4" max="5" width="11.42578125" style="115"/>
    <col min="6" max="6" width="13" style="115" customWidth="1"/>
    <col min="7" max="10" width="11.42578125" style="115"/>
    <col min="11" max="11" width="12.5703125" style="115" customWidth="1"/>
    <col min="12" max="12" width="8.28515625" style="115" customWidth="1"/>
    <col min="13" max="17" width="11.42578125" style="115"/>
    <col min="18" max="18" width="12.5703125" style="115" customWidth="1"/>
    <col min="19" max="19" width="11.42578125" style="115"/>
    <col min="20" max="20" width="12.5703125" style="115" customWidth="1"/>
    <col min="21" max="21" width="13.5703125" style="115" customWidth="1"/>
    <col min="22" max="16384" width="11.42578125" style="115"/>
  </cols>
  <sheetData>
    <row r="1" spans="1:20" s="1032" customFormat="1" ht="19.5" x14ac:dyDescent="0.4">
      <c r="A1" s="15" t="s">
        <v>39</v>
      </c>
      <c r="B1" s="1080"/>
      <c r="C1" s="2421" t="s">
        <v>149</v>
      </c>
      <c r="D1" s="2421"/>
    </row>
    <row r="2" spans="1:20" s="1032" customFormat="1" ht="19.5" x14ac:dyDescent="0.4">
      <c r="C2" s="1061"/>
    </row>
    <row r="3" spans="1:20" s="1032" customFormat="1" ht="16.899999999999999" customHeight="1" x14ac:dyDescent="0.4">
      <c r="A3" s="2887" t="s">
        <v>41</v>
      </c>
      <c r="B3" s="2887"/>
      <c r="C3" s="2887" t="s">
        <v>2768</v>
      </c>
      <c r="D3" s="2887"/>
      <c r="E3" s="2887"/>
      <c r="F3" s="2887"/>
      <c r="G3" s="2887"/>
      <c r="H3" s="2887"/>
      <c r="I3" s="2887"/>
      <c r="J3" s="2887"/>
      <c r="K3" s="2887"/>
      <c r="L3" s="2887"/>
      <c r="M3" s="2887"/>
      <c r="N3" s="2887"/>
      <c r="O3" s="2887"/>
      <c r="P3" s="2887"/>
      <c r="Q3" s="2887"/>
      <c r="R3" s="2887"/>
      <c r="S3" s="2887"/>
      <c r="T3" s="2887"/>
    </row>
    <row r="4" spans="1:20" s="1032" customFormat="1" ht="33.6" customHeight="1" x14ac:dyDescent="0.4">
      <c r="A4" s="2887" t="s">
        <v>42</v>
      </c>
      <c r="B4" s="2887"/>
      <c r="C4" s="2887" t="s">
        <v>2780</v>
      </c>
      <c r="D4" s="2887"/>
      <c r="E4" s="2887"/>
      <c r="F4" s="2887"/>
      <c r="G4" s="2887"/>
      <c r="H4" s="2887"/>
      <c r="I4" s="2887"/>
      <c r="J4" s="2887"/>
      <c r="K4" s="2887"/>
      <c r="L4" s="2887"/>
      <c r="M4" s="2887"/>
      <c r="N4" s="2887"/>
      <c r="O4" s="2887"/>
      <c r="P4" s="2887"/>
      <c r="Q4" s="2887"/>
      <c r="R4" s="2887"/>
      <c r="S4" s="2887"/>
      <c r="T4" s="2887"/>
    </row>
    <row r="5" spans="1:20" s="1032" customFormat="1" ht="18" customHeight="1" x14ac:dyDescent="0.4">
      <c r="A5" s="2887" t="s">
        <v>43</v>
      </c>
      <c r="B5" s="2887"/>
      <c r="C5" s="2887" t="s">
        <v>2784</v>
      </c>
      <c r="D5" s="2887"/>
      <c r="E5" s="2887"/>
      <c r="F5" s="2887"/>
      <c r="G5" s="2887"/>
      <c r="H5" s="2887"/>
      <c r="I5" s="2887"/>
      <c r="J5" s="2887"/>
      <c r="K5" s="2887"/>
      <c r="L5" s="2887"/>
      <c r="M5" s="2887"/>
      <c r="N5" s="2887"/>
      <c r="O5" s="2887"/>
      <c r="P5" s="2887"/>
      <c r="Q5" s="2887"/>
      <c r="R5" s="2887"/>
      <c r="S5" s="2887"/>
      <c r="T5" s="2887"/>
    </row>
    <row r="6" spans="1:20" s="1032" customFormat="1" ht="52.9" customHeight="1" x14ac:dyDescent="0.4">
      <c r="A6" s="2887" t="s">
        <v>132</v>
      </c>
      <c r="B6" s="2887"/>
      <c r="C6" s="2887" t="s">
        <v>3398</v>
      </c>
      <c r="D6" s="2887"/>
      <c r="E6" s="2887"/>
      <c r="F6" s="2887"/>
      <c r="G6" s="2887"/>
      <c r="H6" s="2887"/>
      <c r="I6" s="2887"/>
      <c r="J6" s="2887"/>
      <c r="K6" s="2887"/>
      <c r="L6" s="2887"/>
      <c r="M6" s="2887"/>
      <c r="N6" s="2887"/>
      <c r="O6" s="2887"/>
      <c r="P6" s="2887"/>
      <c r="Q6" s="2887"/>
      <c r="R6" s="2887"/>
      <c r="S6" s="2887"/>
      <c r="T6" s="2887"/>
    </row>
    <row r="7" spans="1:20" s="1032" customFormat="1" ht="19.5" x14ac:dyDescent="0.4">
      <c r="C7" s="1061"/>
    </row>
    <row r="8" spans="1:20" s="1032" customFormat="1" ht="19.5" x14ac:dyDescent="0.4">
      <c r="C8" s="1061"/>
    </row>
    <row r="9" spans="1:20" s="1032" customFormat="1" ht="30.75" customHeight="1" x14ac:dyDescent="0.4">
      <c r="C9" s="2628" t="s">
        <v>3399</v>
      </c>
      <c r="D9" s="2628"/>
      <c r="E9" s="2628"/>
      <c r="F9" s="2628"/>
      <c r="G9" s="2628"/>
    </row>
    <row r="10" spans="1:20" s="1032" customFormat="1" ht="19.5" x14ac:dyDescent="0.4">
      <c r="C10" s="2888" t="s">
        <v>3400</v>
      </c>
      <c r="D10" s="2888"/>
      <c r="E10" s="2888"/>
      <c r="F10" s="2888"/>
      <c r="G10" s="2888"/>
      <c r="J10" s="1292" t="s">
        <v>3401</v>
      </c>
    </row>
    <row r="11" spans="1:20" ht="93.75" x14ac:dyDescent="0.4">
      <c r="C11" s="1293" t="s">
        <v>46</v>
      </c>
      <c r="D11" s="1294" t="s">
        <v>3402</v>
      </c>
      <c r="E11" s="1294" t="s">
        <v>3403</v>
      </c>
      <c r="F11" s="1294" t="s">
        <v>3404</v>
      </c>
      <c r="G11" s="1055" t="s">
        <v>3405</v>
      </c>
    </row>
    <row r="12" spans="1:20" x14ac:dyDescent="0.4">
      <c r="C12" s="1295">
        <v>2008</v>
      </c>
      <c r="D12" s="1296">
        <v>384.46553797654508</v>
      </c>
      <c r="E12" s="1297">
        <v>105075.9</v>
      </c>
      <c r="F12" s="1296">
        <v>10507.59</v>
      </c>
      <c r="G12" s="1298">
        <v>0.40654796302962914</v>
      </c>
    </row>
    <row r="13" spans="1:20" x14ac:dyDescent="0.4">
      <c r="C13" s="1295">
        <v>2009</v>
      </c>
      <c r="D13" s="1296">
        <v>486.4183970471874</v>
      </c>
      <c r="E13" s="1297">
        <v>67514.500000000015</v>
      </c>
      <c r="F13" s="1296">
        <v>6751.4500000000016</v>
      </c>
      <c r="G13" s="1298">
        <v>0.80051675656042165</v>
      </c>
    </row>
    <row r="14" spans="1:20" x14ac:dyDescent="0.4">
      <c r="C14" s="1295">
        <v>2010</v>
      </c>
      <c r="D14" s="1296">
        <v>853.32815885284492</v>
      </c>
      <c r="E14" s="1297">
        <v>123409</v>
      </c>
      <c r="F14" s="1296">
        <v>12340.900000000001</v>
      </c>
      <c r="G14" s="1298">
        <v>0.76829274909073342</v>
      </c>
    </row>
    <row r="15" spans="1:20" x14ac:dyDescent="0.4">
      <c r="C15" s="1295">
        <v>2011</v>
      </c>
      <c r="D15" s="1296">
        <v>1066.2024879670889</v>
      </c>
      <c r="E15" s="1297">
        <v>85520.000000000015</v>
      </c>
      <c r="F15" s="1296">
        <v>8552.0000000000018</v>
      </c>
      <c r="G15" s="1298">
        <v>1.3852542458776227</v>
      </c>
    </row>
    <row r="16" spans="1:20" ht="17.45" customHeight="1" x14ac:dyDescent="0.4">
      <c r="C16" s="1295">
        <v>2012</v>
      </c>
      <c r="D16" s="1296">
        <v>1246.0956954272003</v>
      </c>
      <c r="E16" s="1297">
        <v>54455.8</v>
      </c>
      <c r="F16" s="1296">
        <v>5445.5800000000008</v>
      </c>
      <c r="G16" s="1298">
        <v>2.5425221421719804</v>
      </c>
    </row>
    <row r="17" spans="3:10" x14ac:dyDescent="0.4">
      <c r="C17" s="1295">
        <v>2013</v>
      </c>
      <c r="D17" s="1296">
        <v>1347.4074702464</v>
      </c>
      <c r="E17" s="1297">
        <v>55019.30000000001</v>
      </c>
      <c r="F17" s="1296">
        <v>5501.9300000000012</v>
      </c>
      <c r="G17" s="1298">
        <v>2.7210804415630307</v>
      </c>
    </row>
    <row r="18" spans="3:10" x14ac:dyDescent="0.4">
      <c r="C18" s="1295">
        <v>2014</v>
      </c>
      <c r="D18" s="1296">
        <v>1656.2260405183999</v>
      </c>
      <c r="E18" s="1297">
        <v>71230.60000000002</v>
      </c>
      <c r="F18" s="1296">
        <v>7123.0600000000022</v>
      </c>
      <c r="G18" s="1298">
        <v>2.5835120806669538</v>
      </c>
    </row>
    <row r="19" spans="3:10" ht="15" customHeight="1" x14ac:dyDescent="0.4">
      <c r="C19" s="1295">
        <v>2015</v>
      </c>
      <c r="D19" s="1296">
        <v>1990.3074781408013</v>
      </c>
      <c r="E19" s="1297">
        <v>69003.799999999988</v>
      </c>
      <c r="F19" s="1296">
        <v>6900.3799999999992</v>
      </c>
      <c r="G19" s="1298">
        <v>3.2048274928189167</v>
      </c>
    </row>
    <row r="20" spans="3:10" x14ac:dyDescent="0.4">
      <c r="C20" s="1295">
        <v>2016</v>
      </c>
      <c r="D20" s="1296">
        <v>2796.4573104021788</v>
      </c>
      <c r="E20" s="1297">
        <v>68788.2</v>
      </c>
      <c r="F20" s="1296">
        <v>6878.82</v>
      </c>
      <c r="G20" s="1298">
        <v>4.5170171473243297</v>
      </c>
    </row>
    <row r="21" spans="3:10" x14ac:dyDescent="0.4">
      <c r="C21" s="1295">
        <v>2017</v>
      </c>
      <c r="D21" s="1297">
        <v>2856.7231148797086</v>
      </c>
      <c r="E21" s="1297">
        <v>85606.299999999988</v>
      </c>
      <c r="F21" s="1297">
        <v>8560.6299999999992</v>
      </c>
      <c r="G21" s="1298">
        <v>3.707830842252017</v>
      </c>
    </row>
    <row r="22" spans="3:10" x14ac:dyDescent="0.4">
      <c r="C22" s="1295">
        <v>2018</v>
      </c>
      <c r="D22" s="1297">
        <v>2830.9077484021554</v>
      </c>
      <c r="E22" s="1297">
        <v>81172.999999999985</v>
      </c>
      <c r="F22" s="1297">
        <v>8117.2999999999993</v>
      </c>
      <c r="G22" s="1298">
        <v>3.8749991423012253</v>
      </c>
      <c r="J22" s="115" t="s">
        <v>3406</v>
      </c>
    </row>
    <row r="23" spans="3:10" x14ac:dyDescent="0.4">
      <c r="C23" s="1295">
        <v>2019</v>
      </c>
      <c r="D23" s="1297">
        <v>2839.5241538647492</v>
      </c>
      <c r="E23" s="1297">
        <v>59885.299999999988</v>
      </c>
      <c r="F23" s="1297">
        <v>5988.5299999999988</v>
      </c>
      <c r="G23" s="1298">
        <v>5.2684495821637363</v>
      </c>
    </row>
    <row r="24" spans="3:10" x14ac:dyDescent="0.4">
      <c r="C24" s="1295">
        <v>2020</v>
      </c>
      <c r="D24" s="1297">
        <v>2908.0836111776694</v>
      </c>
      <c r="E24" s="1297">
        <v>84938.1</v>
      </c>
      <c r="F24" s="1297">
        <v>8493.8100000000013</v>
      </c>
      <c r="G24" s="1298">
        <v>3.8041868283133629</v>
      </c>
    </row>
    <row r="25" spans="3:10" x14ac:dyDescent="0.4">
      <c r="C25" s="1295">
        <v>2021</v>
      </c>
      <c r="D25" s="1297">
        <v>2859.2500196215206</v>
      </c>
      <c r="E25" s="1297">
        <v>161846.70000000004</v>
      </c>
      <c r="F25" s="1297">
        <v>16184.670000000006</v>
      </c>
      <c r="G25" s="1298">
        <v>1.9629343485200088</v>
      </c>
    </row>
    <row r="26" spans="3:10" x14ac:dyDescent="0.4">
      <c r="C26" s="1295">
        <v>2022</v>
      </c>
      <c r="D26" s="1297">
        <v>2970.0299548169769</v>
      </c>
      <c r="E26" s="1297">
        <v>193831.40000000002</v>
      </c>
      <c r="F26" s="1297">
        <v>19383.140000000003</v>
      </c>
      <c r="G26" s="1298">
        <v>1.7025277035248025</v>
      </c>
    </row>
    <row r="27" spans="3:10" ht="17.45" customHeight="1" x14ac:dyDescent="0.4">
      <c r="C27" s="1299">
        <v>2023</v>
      </c>
      <c r="D27" s="1300">
        <v>3366.2347744586732</v>
      </c>
      <c r="E27" s="1300">
        <v>52036.200000000012</v>
      </c>
      <c r="F27" s="1300">
        <v>5203.6200000000017</v>
      </c>
      <c r="G27" s="1301">
        <v>7.1878055286697258</v>
      </c>
    </row>
    <row r="28" spans="3:10" x14ac:dyDescent="0.4">
      <c r="C28" s="115" t="s">
        <v>3407</v>
      </c>
    </row>
    <row r="29" spans="3:10" x14ac:dyDescent="0.4">
      <c r="C29" s="115" t="s">
        <v>3408</v>
      </c>
    </row>
    <row r="30" spans="3:10" x14ac:dyDescent="0.4">
      <c r="C30" s="115"/>
    </row>
    <row r="31" spans="3:10" x14ac:dyDescent="0.4">
      <c r="C31" s="115"/>
    </row>
    <row r="32" spans="3:10" ht="19.5" x14ac:dyDescent="0.4">
      <c r="C32" s="138" t="s">
        <v>3409</v>
      </c>
      <c r="D32" s="138"/>
      <c r="E32" s="138"/>
      <c r="F32" s="138"/>
      <c r="G32" s="138"/>
    </row>
    <row r="33" spans="3:7" ht="19.5" x14ac:dyDescent="0.4">
      <c r="C33" s="138" t="s">
        <v>3410</v>
      </c>
      <c r="D33" s="138"/>
      <c r="E33" s="138"/>
      <c r="F33" s="138"/>
      <c r="G33" s="138"/>
    </row>
    <row r="34" spans="3:7" ht="19.5" x14ac:dyDescent="0.4">
      <c r="C34" s="2888" t="s">
        <v>3400</v>
      </c>
      <c r="D34" s="2888"/>
      <c r="E34" s="2888"/>
      <c r="F34" s="2888"/>
      <c r="G34" s="2888"/>
    </row>
    <row r="35" spans="3:7" ht="93.75" x14ac:dyDescent="0.4">
      <c r="C35" s="1055" t="s">
        <v>3411</v>
      </c>
      <c r="D35" s="1302" t="s">
        <v>3402</v>
      </c>
      <c r="E35" s="1302" t="s">
        <v>3403</v>
      </c>
      <c r="F35" s="1302" t="s">
        <v>3412</v>
      </c>
      <c r="G35" s="1303" t="s">
        <v>3413</v>
      </c>
    </row>
    <row r="36" spans="3:7" x14ac:dyDescent="0.4">
      <c r="C36" s="155" t="s">
        <v>3414</v>
      </c>
      <c r="D36" s="1304">
        <v>18.591990051599964</v>
      </c>
      <c r="E36" s="1304">
        <v>1356.2000000000003</v>
      </c>
      <c r="F36" s="1304">
        <v>135.62000000000003</v>
      </c>
      <c r="G36" s="1304">
        <v>1.5232094620262466</v>
      </c>
    </row>
    <row r="37" spans="3:7" x14ac:dyDescent="0.4">
      <c r="C37" s="155" t="s">
        <v>3415</v>
      </c>
      <c r="D37" s="1305">
        <v>13.195716480000003</v>
      </c>
      <c r="E37" s="1305">
        <v>171.10000000000008</v>
      </c>
      <c r="F37" s="1305">
        <v>17.11000000000001</v>
      </c>
      <c r="G37" s="1305">
        <v>8.5692035067212142</v>
      </c>
    </row>
    <row r="38" spans="3:7" x14ac:dyDescent="0.4">
      <c r="C38" s="155" t="s">
        <v>3416</v>
      </c>
      <c r="D38" s="1305">
        <v>42.348222720000003</v>
      </c>
      <c r="E38" s="1305">
        <v>156.19999999999999</v>
      </c>
      <c r="F38" s="1305">
        <v>15.62</v>
      </c>
      <c r="G38" s="1305">
        <v>30.123931370038413</v>
      </c>
    </row>
    <row r="39" spans="3:7" x14ac:dyDescent="0.4">
      <c r="C39" s="1063" t="s">
        <v>3417</v>
      </c>
      <c r="D39" s="1305">
        <v>18.993407047600016</v>
      </c>
      <c r="E39" s="1305">
        <v>455.19999999999993</v>
      </c>
      <c r="F39" s="1305">
        <v>45.519999999999996</v>
      </c>
      <c r="G39" s="1305">
        <v>4.636156768111702</v>
      </c>
    </row>
    <row r="40" spans="3:7" x14ac:dyDescent="0.4">
      <c r="C40" s="1063" t="s">
        <v>3418</v>
      </c>
      <c r="D40" s="1305">
        <v>5.305645512000031</v>
      </c>
      <c r="E40" s="1305">
        <v>1154.5999999999999</v>
      </c>
      <c r="F40" s="1305">
        <v>115.46</v>
      </c>
      <c r="G40" s="1305">
        <v>0.51058043305041012</v>
      </c>
    </row>
    <row r="41" spans="3:7" x14ac:dyDescent="0.4">
      <c r="C41" s="155" t="s">
        <v>3419</v>
      </c>
      <c r="D41" s="1305">
        <v>1172.6623576800016</v>
      </c>
      <c r="E41" s="1305">
        <v>550.09999999999945</v>
      </c>
      <c r="F41" s="1305">
        <v>55.009999999999948</v>
      </c>
      <c r="G41" s="1305">
        <v>236.85842123250373</v>
      </c>
    </row>
    <row r="42" spans="3:7" x14ac:dyDescent="0.4">
      <c r="C42" s="155" t="s">
        <v>3420</v>
      </c>
      <c r="D42" s="1305">
        <v>0</v>
      </c>
      <c r="E42" s="1305">
        <v>430.60000000000008</v>
      </c>
      <c r="F42" s="1305">
        <v>43.060000000000009</v>
      </c>
      <c r="G42" s="1305">
        <v>0</v>
      </c>
    </row>
    <row r="43" spans="3:7" x14ac:dyDescent="0.4">
      <c r="C43" s="155" t="s">
        <v>3421</v>
      </c>
      <c r="D43" s="1305">
        <v>34.243036560000689</v>
      </c>
      <c r="E43" s="1305">
        <v>3222.1</v>
      </c>
      <c r="F43" s="1305">
        <v>322.21000000000004</v>
      </c>
      <c r="G43" s="1305">
        <v>1.1808391545886461</v>
      </c>
    </row>
    <row r="44" spans="3:7" x14ac:dyDescent="0.4">
      <c r="C44" s="155" t="s">
        <v>3422</v>
      </c>
      <c r="D44" s="1305">
        <v>4.3519679999999998E-2</v>
      </c>
      <c r="E44" s="1305">
        <v>399.79999999999995</v>
      </c>
      <c r="F44" s="1305">
        <v>39.979999999999997</v>
      </c>
      <c r="G44" s="1305">
        <v>1.2094847423711858E-2</v>
      </c>
    </row>
    <row r="45" spans="3:7" x14ac:dyDescent="0.4">
      <c r="C45" s="155" t="s">
        <v>3423</v>
      </c>
      <c r="D45" s="1305">
        <v>20.146248431999993</v>
      </c>
      <c r="E45" s="1305">
        <v>664.5</v>
      </c>
      <c r="F45" s="1305">
        <v>66.45</v>
      </c>
      <c r="G45" s="1305">
        <v>3.3686562046651609</v>
      </c>
    </row>
    <row r="46" spans="3:7" x14ac:dyDescent="0.4">
      <c r="C46" s="155" t="s">
        <v>3424</v>
      </c>
      <c r="D46" s="1305">
        <v>9.9814161600000144</v>
      </c>
      <c r="E46" s="1305">
        <v>3449.6000000000004</v>
      </c>
      <c r="F46" s="1305">
        <v>344.96000000000004</v>
      </c>
      <c r="G46" s="1305">
        <v>0.3214999536178112</v>
      </c>
    </row>
    <row r="47" spans="3:7" x14ac:dyDescent="0.4">
      <c r="C47" s="1063" t="s">
        <v>3425</v>
      </c>
      <c r="D47" s="1305">
        <v>5.1299762040000001</v>
      </c>
      <c r="E47" s="1305">
        <v>2007.1</v>
      </c>
      <c r="F47" s="1305">
        <v>200.71</v>
      </c>
      <c r="G47" s="1305">
        <v>0.28399051168352352</v>
      </c>
    </row>
    <row r="48" spans="3:7" x14ac:dyDescent="0.4">
      <c r="C48" s="155" t="s">
        <v>3426</v>
      </c>
      <c r="D48" s="1305">
        <v>630.18926533403373</v>
      </c>
      <c r="E48" s="1305">
        <v>1618.3000000000002</v>
      </c>
      <c r="F48" s="1305">
        <v>161.83000000000004</v>
      </c>
      <c r="G48" s="1305">
        <v>43.268262671667365</v>
      </c>
    </row>
    <row r="49" spans="3:7" x14ac:dyDescent="0.4">
      <c r="C49" s="155" t="s">
        <v>3427</v>
      </c>
      <c r="D49" s="1305">
        <v>109.71237333600141</v>
      </c>
      <c r="E49" s="1305">
        <v>8338</v>
      </c>
      <c r="F49" s="1305">
        <v>833.80000000000007</v>
      </c>
      <c r="G49" s="1305">
        <v>1.4620129172463607</v>
      </c>
    </row>
    <row r="50" spans="3:7" x14ac:dyDescent="0.4">
      <c r="C50" s="155" t="s">
        <v>3428</v>
      </c>
      <c r="D50" s="1305">
        <v>4.2472539864000005</v>
      </c>
      <c r="E50" s="1305">
        <v>228.40000000000009</v>
      </c>
      <c r="F50" s="1305">
        <v>22.840000000000011</v>
      </c>
      <c r="G50" s="1305">
        <v>2.0661869947460589</v>
      </c>
    </row>
    <row r="51" spans="3:7" x14ac:dyDescent="0.4">
      <c r="C51" s="155" t="s">
        <v>3429</v>
      </c>
      <c r="D51" s="1305">
        <v>35.15380344000009</v>
      </c>
      <c r="E51" s="1305">
        <v>652.89999999999986</v>
      </c>
      <c r="F51" s="1305">
        <v>65.289999999999992</v>
      </c>
      <c r="G51" s="1305">
        <v>5.9825059886659684</v>
      </c>
    </row>
    <row r="52" spans="3:7" x14ac:dyDescent="0.4">
      <c r="C52" s="155" t="s">
        <v>3430</v>
      </c>
      <c r="D52" s="1305">
        <v>7.856606448</v>
      </c>
      <c r="E52" s="1305">
        <v>131.39999999999986</v>
      </c>
      <c r="F52" s="1305">
        <v>13.139999999999986</v>
      </c>
      <c r="G52" s="1305">
        <v>6.6435028310502355</v>
      </c>
    </row>
    <row r="53" spans="3:7" x14ac:dyDescent="0.4">
      <c r="C53" s="1063" t="s">
        <v>3431</v>
      </c>
      <c r="D53" s="1305">
        <v>7.3779732360000025</v>
      </c>
      <c r="E53" s="1305">
        <v>1439.2999999999997</v>
      </c>
      <c r="F53" s="1305">
        <v>143.92999999999998</v>
      </c>
      <c r="G53" s="1305">
        <v>0.56956493017439069</v>
      </c>
    </row>
    <row r="54" spans="3:7" x14ac:dyDescent="0.4">
      <c r="C54" s="155" t="s">
        <v>3432</v>
      </c>
      <c r="D54" s="1305">
        <v>19.113377472</v>
      </c>
      <c r="E54" s="1305">
        <v>124.40000000000003</v>
      </c>
      <c r="F54" s="1305">
        <v>12.440000000000005</v>
      </c>
      <c r="G54" s="1305">
        <v>17.071612604501603</v>
      </c>
    </row>
    <row r="55" spans="3:7" x14ac:dyDescent="0.4">
      <c r="C55" s="155" t="s">
        <v>3433</v>
      </c>
      <c r="D55" s="1305">
        <v>20.454560639999997</v>
      </c>
      <c r="E55" s="1305">
        <v>469.90000000000003</v>
      </c>
      <c r="F55" s="1305">
        <v>46.990000000000009</v>
      </c>
      <c r="G55" s="1305">
        <v>4.8366226005533077</v>
      </c>
    </row>
    <row r="56" spans="3:7" x14ac:dyDescent="0.4">
      <c r="C56" s="155" t="s">
        <v>3434</v>
      </c>
      <c r="D56" s="1305">
        <v>15.223796567999958</v>
      </c>
      <c r="E56" s="1305">
        <v>794.30000000000018</v>
      </c>
      <c r="F56" s="1305">
        <v>79.430000000000021</v>
      </c>
      <c r="G56" s="1305">
        <v>2.1295895152964812</v>
      </c>
    </row>
    <row r="57" spans="3:7" x14ac:dyDescent="0.4">
      <c r="C57" s="155" t="s">
        <v>3435</v>
      </c>
      <c r="D57" s="1305">
        <v>93.83921236800083</v>
      </c>
      <c r="E57" s="1305">
        <v>1253.8999999999996</v>
      </c>
      <c r="F57" s="1305">
        <v>125.38999999999997</v>
      </c>
      <c r="G57" s="1305">
        <v>8.3153195246830638</v>
      </c>
    </row>
    <row r="58" spans="3:7" x14ac:dyDescent="0.4">
      <c r="C58" s="155" t="s">
        <v>3104</v>
      </c>
      <c r="D58" s="1305">
        <v>52.374713759999608</v>
      </c>
      <c r="E58" s="1305">
        <v>1167.9000000000005</v>
      </c>
      <c r="F58" s="1305">
        <v>116.79000000000006</v>
      </c>
      <c r="G58" s="1305">
        <v>4.9828004452435595</v>
      </c>
    </row>
    <row r="59" spans="3:7" x14ac:dyDescent="0.4">
      <c r="C59" s="155" t="s">
        <v>3249</v>
      </c>
      <c r="D59" s="1305">
        <v>4.4723499479999971</v>
      </c>
      <c r="E59" s="1305">
        <v>2900.6000000000004</v>
      </c>
      <c r="F59" s="1305">
        <v>290.06000000000006</v>
      </c>
      <c r="G59" s="1305">
        <v>0.17131895883610274</v>
      </c>
    </row>
    <row r="60" spans="3:7" x14ac:dyDescent="0.4">
      <c r="C60" s="155" t="s">
        <v>3436</v>
      </c>
      <c r="D60" s="1305">
        <v>5.4315719640000006</v>
      </c>
      <c r="E60" s="1305">
        <v>1622.4</v>
      </c>
      <c r="F60" s="1305">
        <v>162.24</v>
      </c>
      <c r="G60" s="1305">
        <v>0.37198471153846158</v>
      </c>
    </row>
    <row r="61" spans="3:7" x14ac:dyDescent="0.4">
      <c r="C61" s="155" t="s">
        <v>3437</v>
      </c>
      <c r="D61" s="1305">
        <v>148.52025609347584</v>
      </c>
      <c r="E61" s="1305">
        <v>2230.8000000000002</v>
      </c>
      <c r="F61" s="1305">
        <v>223.08000000000004</v>
      </c>
      <c r="G61" s="1305">
        <v>7.3974586144221215</v>
      </c>
    </row>
    <row r="62" spans="3:7" x14ac:dyDescent="0.4">
      <c r="C62" s="155" t="s">
        <v>3438</v>
      </c>
      <c r="D62" s="1305">
        <v>154.33806875673599</v>
      </c>
      <c r="E62" s="1305">
        <v>4301</v>
      </c>
      <c r="F62" s="1305">
        <v>430.1</v>
      </c>
      <c r="G62" s="1305">
        <v>3.9871365511053241</v>
      </c>
    </row>
    <row r="63" spans="3:7" x14ac:dyDescent="0.4">
      <c r="C63" s="155" t="s">
        <v>3439</v>
      </c>
      <c r="D63" s="1305">
        <v>30.04358829119974</v>
      </c>
      <c r="E63" s="1305">
        <v>2649.7000000000003</v>
      </c>
      <c r="F63" s="1305">
        <v>264.97000000000003</v>
      </c>
      <c r="G63" s="1305">
        <v>1.2598318590028947</v>
      </c>
    </row>
    <row r="64" spans="3:7" x14ac:dyDescent="0.4">
      <c r="C64" s="155" t="s">
        <v>3440</v>
      </c>
      <c r="D64" s="1305">
        <v>20.713473647999987</v>
      </c>
      <c r="E64" s="1305">
        <v>1134.3000000000002</v>
      </c>
      <c r="F64" s="1305">
        <v>113.43000000000002</v>
      </c>
      <c r="G64" s="1305">
        <v>2.0290020911575404</v>
      </c>
    </row>
    <row r="65" spans="3:17" x14ac:dyDescent="0.4">
      <c r="C65" s="155" t="s">
        <v>3088</v>
      </c>
      <c r="D65" s="1305">
        <v>13.941044639999999</v>
      </c>
      <c r="E65" s="1305">
        <v>2726.5000000000009</v>
      </c>
      <c r="F65" s="1305">
        <v>272.65000000000009</v>
      </c>
      <c r="G65" s="1305">
        <v>0.56812945534568104</v>
      </c>
    </row>
    <row r="66" spans="3:17" x14ac:dyDescent="0.4">
      <c r="C66" s="155" t="s">
        <v>3441</v>
      </c>
      <c r="D66" s="1305">
        <v>550.65706936609877</v>
      </c>
      <c r="E66" s="1305">
        <v>-218.30000000000018</v>
      </c>
      <c r="F66" s="1305">
        <v>-21.83000000000002</v>
      </c>
      <c r="G66" s="1305">
        <v>-280.27539541207221</v>
      </c>
    </row>
    <row r="67" spans="3:17" x14ac:dyDescent="0.4">
      <c r="C67" s="155" t="s">
        <v>3442</v>
      </c>
      <c r="D67" s="1305">
        <v>35.918980264800261</v>
      </c>
      <c r="E67" s="1305">
        <v>1584.5999999999995</v>
      </c>
      <c r="F67" s="1305">
        <v>158.45999999999995</v>
      </c>
      <c r="G67" s="1305">
        <v>2.5186153017796484</v>
      </c>
    </row>
    <row r="68" spans="3:17" x14ac:dyDescent="0.4">
      <c r="C68" s="155" t="s">
        <v>3443</v>
      </c>
      <c r="D68" s="1305">
        <v>15.059297779200005</v>
      </c>
      <c r="E68" s="1305">
        <v>740.30000000000018</v>
      </c>
      <c r="F68" s="1305">
        <v>74.030000000000015</v>
      </c>
      <c r="G68" s="1305">
        <v>2.2602395093880858</v>
      </c>
    </row>
    <row r="69" spans="3:17" x14ac:dyDescent="0.4">
      <c r="C69" s="155" t="s">
        <v>3444</v>
      </c>
      <c r="D69" s="1305">
        <v>50.954600591998542</v>
      </c>
      <c r="E69" s="1305">
        <v>2128.4999999999995</v>
      </c>
      <c r="F69" s="1305">
        <v>212.84999999999997</v>
      </c>
      <c r="G69" s="1305">
        <v>2.6599118101948975</v>
      </c>
    </row>
    <row r="70" spans="3:17" x14ac:dyDescent="0.4">
      <c r="C70" s="1306" t="s">
        <v>1104</v>
      </c>
      <c r="D70" s="1307">
        <v>3366.234774459147</v>
      </c>
      <c r="E70" s="1307">
        <v>52036.200000000012</v>
      </c>
      <c r="F70" s="1307">
        <v>5203.6200000000008</v>
      </c>
      <c r="G70" s="1307">
        <v>7.1878055286707374</v>
      </c>
    </row>
    <row r="71" spans="3:17" x14ac:dyDescent="0.4">
      <c r="C71" s="115" t="s">
        <v>3445</v>
      </c>
    </row>
    <row r="72" spans="3:17" x14ac:dyDescent="0.4">
      <c r="C72" s="115" t="s">
        <v>3446</v>
      </c>
    </row>
    <row r="73" spans="3:17" x14ac:dyDescent="0.4">
      <c r="C73" s="115"/>
    </row>
    <row r="74" spans="3:17" x14ac:dyDescent="0.4">
      <c r="C74" s="115"/>
    </row>
    <row r="75" spans="3:17" ht="19.5" x14ac:dyDescent="0.4">
      <c r="C75" s="138" t="s">
        <v>3409</v>
      </c>
      <c r="D75" s="138"/>
      <c r="E75" s="138"/>
      <c r="F75" s="138"/>
      <c r="G75" s="138"/>
      <c r="Q75" s="800"/>
    </row>
    <row r="76" spans="3:17" ht="19.5" x14ac:dyDescent="0.4">
      <c r="C76" s="138" t="s">
        <v>3447</v>
      </c>
      <c r="D76" s="138"/>
      <c r="E76" s="138"/>
      <c r="F76" s="138"/>
      <c r="G76" s="138"/>
      <c r="M76" s="800"/>
      <c r="N76" s="800"/>
    </row>
    <row r="77" spans="3:17" ht="19.5" x14ac:dyDescent="0.4">
      <c r="C77" s="2888" t="s">
        <v>3400</v>
      </c>
      <c r="D77" s="2888"/>
      <c r="E77" s="2888"/>
      <c r="F77" s="2888"/>
      <c r="G77" s="2888"/>
    </row>
    <row r="78" spans="3:17" ht="69.599999999999994" customHeight="1" x14ac:dyDescent="0.4">
      <c r="C78" s="2806" t="s">
        <v>3411</v>
      </c>
      <c r="D78" s="1302" t="s">
        <v>3402</v>
      </c>
      <c r="E78" s="1302" t="s">
        <v>3403</v>
      </c>
      <c r="F78" s="1302" t="s">
        <v>3412</v>
      </c>
      <c r="G78" s="1303" t="s">
        <v>3413</v>
      </c>
      <c r="H78" s="1308"/>
      <c r="I78" s="1308"/>
      <c r="K78" s="1308"/>
      <c r="L78" s="1308"/>
      <c r="N78" s="649"/>
      <c r="O78" s="649"/>
    </row>
    <row r="79" spans="3:17" x14ac:dyDescent="0.4">
      <c r="C79" s="2808"/>
      <c r="D79" s="1038">
        <v>2022</v>
      </c>
      <c r="E79" s="1038">
        <v>2022</v>
      </c>
      <c r="F79" s="1038">
        <v>2022</v>
      </c>
      <c r="G79" s="1038">
        <v>2022</v>
      </c>
      <c r="H79" s="1089"/>
      <c r="J79" s="1089"/>
      <c r="K79" s="1089"/>
      <c r="M79" s="1089"/>
      <c r="N79" s="1089"/>
    </row>
    <row r="80" spans="3:17" x14ac:dyDescent="0.4">
      <c r="C80" s="155" t="s">
        <v>3088</v>
      </c>
      <c r="D80" s="1304">
        <v>2.6351683200000005</v>
      </c>
      <c r="E80" s="1304">
        <v>7866.9999999999991</v>
      </c>
      <c r="F80" s="1304">
        <v>786.69999999999993</v>
      </c>
      <c r="G80" s="1304">
        <v>3.7218314478200086E-2</v>
      </c>
      <c r="H80" s="1305"/>
      <c r="J80" s="1309"/>
      <c r="K80" s="1305"/>
      <c r="M80" s="1310"/>
      <c r="N80" s="1305"/>
    </row>
    <row r="81" spans="3:14" x14ac:dyDescent="0.4">
      <c r="C81" s="155" t="s">
        <v>3420</v>
      </c>
      <c r="D81" s="1305">
        <v>0</v>
      </c>
      <c r="E81" s="1305">
        <v>1450.1999999999998</v>
      </c>
      <c r="F81" s="1305">
        <v>145.01999999999998</v>
      </c>
      <c r="G81" s="1305">
        <v>0</v>
      </c>
      <c r="H81" s="1305"/>
      <c r="J81" s="1309"/>
      <c r="K81" s="1305"/>
      <c r="M81" s="1310"/>
      <c r="N81" s="1305"/>
    </row>
    <row r="82" spans="3:14" x14ac:dyDescent="0.4">
      <c r="C82" s="155" t="s">
        <v>3424</v>
      </c>
      <c r="D82" s="1305">
        <v>9.5654103840000033</v>
      </c>
      <c r="E82" s="1305">
        <v>9615.4000000000015</v>
      </c>
      <c r="F82" s="1305">
        <v>961.54000000000019</v>
      </c>
      <c r="G82" s="1305">
        <v>0.11053345425047323</v>
      </c>
      <c r="H82" s="1305"/>
      <c r="J82" s="1309"/>
      <c r="K82" s="1305"/>
      <c r="M82" s="1310"/>
      <c r="N82" s="1305"/>
    </row>
    <row r="83" spans="3:14" x14ac:dyDescent="0.4">
      <c r="C83" s="1063" t="s">
        <v>3249</v>
      </c>
      <c r="D83" s="1305">
        <v>4.2542655120000035</v>
      </c>
      <c r="E83" s="1305">
        <v>11479.3</v>
      </c>
      <c r="F83" s="1305">
        <v>1147.93</v>
      </c>
      <c r="G83" s="1305">
        <v>4.1178135252149556E-2</v>
      </c>
      <c r="H83" s="1305"/>
      <c r="J83" s="1309"/>
      <c r="K83" s="1305"/>
      <c r="M83" s="1309"/>
      <c r="N83" s="1305"/>
    </row>
    <row r="84" spans="3:14" x14ac:dyDescent="0.4">
      <c r="C84" s="1063" t="s">
        <v>3427</v>
      </c>
      <c r="D84" s="1305">
        <v>115.59889173160107</v>
      </c>
      <c r="E84" s="1305">
        <v>26500.1</v>
      </c>
      <c r="F84" s="1305">
        <v>2650.01</v>
      </c>
      <c r="G84" s="1305">
        <v>0.48468954092668448</v>
      </c>
      <c r="H84" s="1305"/>
      <c r="J84" s="1309"/>
      <c r="K84" s="1305"/>
      <c r="M84" s="1309"/>
      <c r="N84" s="1305"/>
    </row>
    <row r="85" spans="3:14" x14ac:dyDescent="0.4">
      <c r="C85" s="155" t="s">
        <v>3418</v>
      </c>
      <c r="D85" s="1305">
        <v>5.2895664864000231</v>
      </c>
      <c r="E85" s="1305">
        <v>4433.8</v>
      </c>
      <c r="F85" s="1305">
        <v>443.38000000000005</v>
      </c>
      <c r="G85" s="1305">
        <v>0.13255663530154776</v>
      </c>
      <c r="H85" s="1305"/>
      <c r="J85" s="1309"/>
      <c r="K85" s="1305"/>
      <c r="M85" s="1310"/>
      <c r="N85" s="1305"/>
    </row>
    <row r="86" spans="3:14" x14ac:dyDescent="0.4">
      <c r="C86" s="155" t="s">
        <v>3440</v>
      </c>
      <c r="D86" s="1305">
        <v>29.892559679999984</v>
      </c>
      <c r="E86" s="1305">
        <v>3433.8</v>
      </c>
      <c r="F86" s="1305">
        <v>343.38000000000005</v>
      </c>
      <c r="G86" s="1305">
        <v>0.96726528044731719</v>
      </c>
      <c r="H86" s="1305"/>
      <c r="J86" s="1309"/>
      <c r="K86" s="1305"/>
      <c r="M86" s="1310"/>
      <c r="N86" s="1305"/>
    </row>
    <row r="87" spans="3:14" x14ac:dyDescent="0.4">
      <c r="C87" s="155" t="s">
        <v>3433</v>
      </c>
      <c r="D87" s="1305">
        <v>22.249274399999997</v>
      </c>
      <c r="E87" s="1305">
        <v>1374</v>
      </c>
      <c r="F87" s="1305">
        <v>137.4</v>
      </c>
      <c r="G87" s="1305">
        <v>1.7992296943231438</v>
      </c>
      <c r="H87" s="1305"/>
      <c r="J87" s="1309"/>
      <c r="K87" s="1305"/>
      <c r="M87" s="1310"/>
      <c r="N87" s="1305"/>
    </row>
    <row r="88" spans="3:14" x14ac:dyDescent="0.4">
      <c r="C88" s="155" t="s">
        <v>3423</v>
      </c>
      <c r="D88" s="1305">
        <v>17.92701941759999</v>
      </c>
      <c r="E88" s="1305">
        <v>2242.6000000000004</v>
      </c>
      <c r="F88" s="1305">
        <v>224.26000000000005</v>
      </c>
      <c r="G88" s="1305">
        <v>0.88820612075269711</v>
      </c>
      <c r="H88" s="1305"/>
      <c r="J88" s="1309"/>
      <c r="K88" s="1305"/>
      <c r="M88" s="1310"/>
      <c r="N88" s="1305"/>
    </row>
    <row r="89" spans="3:14" x14ac:dyDescent="0.4">
      <c r="C89" s="155" t="s">
        <v>3435</v>
      </c>
      <c r="D89" s="1305">
        <v>101.84121889200085</v>
      </c>
      <c r="E89" s="1305">
        <v>3684.8</v>
      </c>
      <c r="F89" s="1305">
        <v>368.48</v>
      </c>
      <c r="G89" s="1305">
        <v>3.0709104939209984</v>
      </c>
      <c r="H89" s="1305"/>
      <c r="J89" s="1309"/>
      <c r="K89" s="1305"/>
      <c r="M89" s="1310"/>
      <c r="N89" s="1305"/>
    </row>
    <row r="90" spans="3:14" x14ac:dyDescent="0.4">
      <c r="C90" s="155" t="s">
        <v>3443</v>
      </c>
      <c r="D90" s="1305">
        <v>15.091058376000007</v>
      </c>
      <c r="E90" s="1305">
        <v>3456.1000000000004</v>
      </c>
      <c r="F90" s="1305">
        <v>345.61000000000007</v>
      </c>
      <c r="G90" s="1305">
        <v>0.48516659355921432</v>
      </c>
      <c r="H90" s="1305"/>
      <c r="J90" s="1309"/>
      <c r="K90" s="1305"/>
      <c r="M90" s="1310"/>
      <c r="N90" s="1305"/>
    </row>
    <row r="91" spans="3:14" x14ac:dyDescent="0.4">
      <c r="C91" s="1063" t="s">
        <v>3426</v>
      </c>
      <c r="D91" s="1305">
        <v>336.39769975534091</v>
      </c>
      <c r="E91" s="1305">
        <v>7205.4</v>
      </c>
      <c r="F91" s="1305">
        <v>720.54</v>
      </c>
      <c r="G91" s="1305">
        <v>5.1874319531237516</v>
      </c>
      <c r="H91" s="1305"/>
      <c r="J91" s="1309"/>
      <c r="K91" s="1305"/>
      <c r="M91" s="1309"/>
      <c r="N91" s="1305"/>
    </row>
    <row r="92" spans="3:14" x14ac:dyDescent="0.4">
      <c r="C92" s="155" t="s">
        <v>3428</v>
      </c>
      <c r="D92" s="1305">
        <v>4.7976039719999992</v>
      </c>
      <c r="E92" s="1305">
        <v>1189.6000000000001</v>
      </c>
      <c r="F92" s="1305">
        <v>118.96000000000002</v>
      </c>
      <c r="G92" s="1305">
        <v>0.44810617686617338</v>
      </c>
      <c r="H92" s="1305"/>
      <c r="J92" s="1309"/>
      <c r="K92" s="1305"/>
      <c r="M92" s="1310"/>
      <c r="N92" s="1305"/>
    </row>
    <row r="93" spans="3:14" x14ac:dyDescent="0.4">
      <c r="C93" s="155" t="s">
        <v>3417</v>
      </c>
      <c r="D93" s="1305">
        <v>18.221839890900114</v>
      </c>
      <c r="E93" s="1305">
        <v>1432.5000000000002</v>
      </c>
      <c r="F93" s="1305">
        <v>143.25000000000003</v>
      </c>
      <c r="G93" s="1305">
        <v>1.4133674532402645</v>
      </c>
      <c r="H93" s="1305"/>
      <c r="J93" s="1309"/>
      <c r="K93" s="1305"/>
      <c r="M93" s="1310"/>
      <c r="N93" s="1305"/>
    </row>
    <row r="94" spans="3:14" x14ac:dyDescent="0.4">
      <c r="C94" s="155" t="s">
        <v>3414</v>
      </c>
      <c r="D94" s="1305">
        <v>25.043098914000012</v>
      </c>
      <c r="E94" s="1305">
        <v>3017.2999999999997</v>
      </c>
      <c r="F94" s="1305">
        <v>301.72999999999996</v>
      </c>
      <c r="G94" s="1305">
        <v>0.9222041381367454</v>
      </c>
      <c r="H94" s="1305"/>
      <c r="J94" s="1309"/>
      <c r="K94" s="1305"/>
      <c r="M94" s="1310"/>
      <c r="N94" s="1305"/>
    </row>
    <row r="95" spans="3:14" x14ac:dyDescent="0.4">
      <c r="C95" s="155" t="s">
        <v>3419</v>
      </c>
      <c r="D95" s="1305">
        <v>1152.2216991537039</v>
      </c>
      <c r="E95" s="1305">
        <v>5751.8000000000011</v>
      </c>
      <c r="F95" s="1305">
        <v>575.18000000000018</v>
      </c>
      <c r="G95" s="1305">
        <v>22.258185826923818</v>
      </c>
      <c r="H95" s="1305"/>
      <c r="J95" s="1309"/>
      <c r="K95" s="1305"/>
      <c r="M95" s="1310"/>
      <c r="N95" s="1305"/>
    </row>
    <row r="96" spans="3:14" x14ac:dyDescent="0.4">
      <c r="C96" s="155" t="s">
        <v>3441</v>
      </c>
      <c r="D96" s="1305">
        <v>497.04636985240029</v>
      </c>
      <c r="E96" s="1305">
        <v>10309.200000000001</v>
      </c>
      <c r="F96" s="1305">
        <v>1030.92</v>
      </c>
      <c r="G96" s="1305">
        <v>5.3570960334501683</v>
      </c>
      <c r="H96" s="1305"/>
      <c r="J96" s="1309"/>
      <c r="K96" s="1305"/>
      <c r="M96" s="1310"/>
      <c r="N96" s="1305"/>
    </row>
    <row r="97" spans="3:14" x14ac:dyDescent="0.4">
      <c r="C97" s="1063" t="s">
        <v>3104</v>
      </c>
      <c r="D97" s="1305">
        <v>51.477159599999588</v>
      </c>
      <c r="E97" s="1305">
        <v>16254.4</v>
      </c>
      <c r="F97" s="1305">
        <v>1625.44</v>
      </c>
      <c r="G97" s="1305">
        <v>0.35188529874987412</v>
      </c>
      <c r="H97" s="1305"/>
      <c r="J97" s="1309"/>
      <c r="K97" s="1305"/>
      <c r="M97" s="1309"/>
      <c r="N97" s="1305"/>
    </row>
    <row r="98" spans="3:14" x14ac:dyDescent="0.4">
      <c r="C98" s="155" t="s">
        <v>3444</v>
      </c>
      <c r="D98" s="1305">
        <v>30.992499586999202</v>
      </c>
      <c r="E98" s="1305">
        <v>10639.4</v>
      </c>
      <c r="F98" s="1305">
        <v>1063.94</v>
      </c>
      <c r="G98" s="1305">
        <v>0.32366590834277625</v>
      </c>
      <c r="H98" s="1305"/>
      <c r="J98" s="1309"/>
      <c r="K98" s="1305"/>
      <c r="M98" s="1310"/>
      <c r="N98" s="1305"/>
    </row>
    <row r="99" spans="3:14" x14ac:dyDescent="0.4">
      <c r="C99" s="155" t="s">
        <v>3425</v>
      </c>
      <c r="D99" s="1305">
        <v>5.026830839999981</v>
      </c>
      <c r="E99" s="1305">
        <v>6234.0999999999995</v>
      </c>
      <c r="F99" s="1305">
        <v>623.41</v>
      </c>
      <c r="G99" s="1305">
        <v>8.9593808248183054E-2</v>
      </c>
      <c r="H99" s="1305"/>
      <c r="J99" s="1309"/>
      <c r="K99" s="1305"/>
      <c r="M99" s="1310"/>
      <c r="N99" s="1305"/>
    </row>
    <row r="100" spans="3:14" x14ac:dyDescent="0.4">
      <c r="C100" s="155" t="s">
        <v>3436</v>
      </c>
      <c r="D100" s="1305">
        <v>3.2402151720000014</v>
      </c>
      <c r="E100" s="1305">
        <v>5503</v>
      </c>
      <c r="F100" s="1305">
        <v>550.30000000000007</v>
      </c>
      <c r="G100" s="1305">
        <v>6.5423206978012016E-2</v>
      </c>
      <c r="H100" s="1305"/>
      <c r="J100" s="1309"/>
      <c r="K100" s="1305"/>
      <c r="M100" s="1310"/>
      <c r="N100" s="1305"/>
    </row>
    <row r="101" spans="3:14" x14ac:dyDescent="0.4">
      <c r="C101" s="155" t="s">
        <v>3438</v>
      </c>
      <c r="D101" s="1305">
        <v>150.99445774802643</v>
      </c>
      <c r="E101" s="1305">
        <v>11050.099999999999</v>
      </c>
      <c r="F101" s="1305">
        <v>1105.01</v>
      </c>
      <c r="G101" s="1305">
        <v>1.5182814609825197</v>
      </c>
      <c r="H101" s="1305"/>
      <c r="J101" s="1309"/>
      <c r="K101" s="1305"/>
      <c r="M101" s="1310"/>
      <c r="N101" s="1305"/>
    </row>
    <row r="102" spans="3:14" x14ac:dyDescent="0.4">
      <c r="C102" s="155" t="s">
        <v>3422</v>
      </c>
      <c r="D102" s="1305">
        <v>4.3519679999999998E-2</v>
      </c>
      <c r="E102" s="1305">
        <v>1311.6</v>
      </c>
      <c r="F102" s="1305">
        <v>131.16</v>
      </c>
      <c r="G102" s="1305">
        <v>3.6867337602927729E-3</v>
      </c>
      <c r="H102" s="1305"/>
      <c r="J102" s="1309"/>
      <c r="K102" s="1305"/>
      <c r="M102" s="1310"/>
      <c r="N102" s="1305"/>
    </row>
    <row r="103" spans="3:14" x14ac:dyDescent="0.4">
      <c r="C103" s="155" t="s">
        <v>3439</v>
      </c>
      <c r="D103" s="1305">
        <v>29.23872681600028</v>
      </c>
      <c r="E103" s="1305">
        <v>7655.9000000000005</v>
      </c>
      <c r="F103" s="1305">
        <v>765.59000000000015</v>
      </c>
      <c r="G103" s="1305">
        <v>0.42434559281077738</v>
      </c>
      <c r="H103" s="1305"/>
      <c r="J103" s="1309"/>
      <c r="K103" s="1305"/>
      <c r="M103" s="1310"/>
      <c r="N103" s="1305"/>
    </row>
    <row r="104" spans="3:14" x14ac:dyDescent="0.4">
      <c r="C104" s="155" t="s">
        <v>3421</v>
      </c>
      <c r="D104" s="1305">
        <v>36.638278128000763</v>
      </c>
      <c r="E104" s="1305">
        <v>9226.8000000000011</v>
      </c>
      <c r="F104" s="1305">
        <v>922.68000000000018</v>
      </c>
      <c r="G104" s="1305">
        <v>0.44120602939264802</v>
      </c>
      <c r="H104" s="1305"/>
      <c r="J104" s="1309"/>
      <c r="K104" s="1305"/>
      <c r="M104" s="1310"/>
      <c r="N104" s="1305"/>
    </row>
    <row r="105" spans="3:14" x14ac:dyDescent="0.4">
      <c r="C105" s="155" t="s">
        <v>3442</v>
      </c>
      <c r="D105" s="1305">
        <v>36.079632468000206</v>
      </c>
      <c r="E105" s="1305">
        <v>4884.6000000000004</v>
      </c>
      <c r="F105" s="1305">
        <v>488.46000000000004</v>
      </c>
      <c r="G105" s="1305">
        <v>0.82071163493428778</v>
      </c>
      <c r="H105" s="1305"/>
      <c r="J105" s="1309"/>
      <c r="K105" s="1305"/>
      <c r="M105" s="1310"/>
      <c r="N105" s="1305"/>
    </row>
    <row r="106" spans="3:14" x14ac:dyDescent="0.4">
      <c r="C106" s="155" t="s">
        <v>3437</v>
      </c>
      <c r="D106" s="1305">
        <v>145.47705148791647</v>
      </c>
      <c r="E106" s="1305">
        <v>7850.3</v>
      </c>
      <c r="F106" s="1305">
        <v>785.03000000000009</v>
      </c>
      <c r="G106" s="1305">
        <v>2.0590444737131981</v>
      </c>
      <c r="H106" s="1305"/>
      <c r="J106" s="1309"/>
      <c r="K106" s="1305"/>
      <c r="M106" s="1310"/>
      <c r="N106" s="1305"/>
    </row>
    <row r="107" spans="3:14" x14ac:dyDescent="0.4">
      <c r="C107" s="155" t="s">
        <v>3434</v>
      </c>
      <c r="D107" s="1305">
        <v>14.49667029599998</v>
      </c>
      <c r="E107" s="1305">
        <v>2249.8000000000002</v>
      </c>
      <c r="F107" s="1305">
        <v>224.98000000000002</v>
      </c>
      <c r="G107" s="1305">
        <v>0.71594859276380018</v>
      </c>
      <c r="H107" s="1305"/>
      <c r="J107" s="1309"/>
      <c r="K107" s="1305"/>
      <c r="M107" s="1310"/>
      <c r="N107" s="1305"/>
    </row>
    <row r="108" spans="3:14" x14ac:dyDescent="0.4">
      <c r="C108" s="155" t="s">
        <v>3430</v>
      </c>
      <c r="D108" s="1305">
        <v>7.2096242400000001</v>
      </c>
      <c r="E108" s="1305">
        <v>506.20000000000005</v>
      </c>
      <c r="F108" s="1305">
        <v>50.620000000000005</v>
      </c>
      <c r="G108" s="1305">
        <v>1.5825155274595022</v>
      </c>
      <c r="H108" s="1305"/>
      <c r="J108" s="1309"/>
      <c r="K108" s="1305"/>
      <c r="M108" s="1310"/>
      <c r="N108" s="1305"/>
    </row>
    <row r="109" spans="3:14" x14ac:dyDescent="0.4">
      <c r="C109" s="155" t="s">
        <v>3431</v>
      </c>
      <c r="D109" s="1305">
        <v>6.9288137640000027</v>
      </c>
      <c r="E109" s="1305">
        <v>3395.0999999999995</v>
      </c>
      <c r="F109" s="1305">
        <v>339.51</v>
      </c>
      <c r="G109" s="1305">
        <v>0.22675862154281184</v>
      </c>
      <c r="H109" s="1305"/>
      <c r="J109" s="1309"/>
      <c r="K109" s="1305"/>
      <c r="M109" s="1310"/>
      <c r="N109" s="1305"/>
    </row>
    <row r="110" spans="3:14" x14ac:dyDescent="0.4">
      <c r="C110" s="155" t="s">
        <v>3432</v>
      </c>
      <c r="D110" s="1305">
        <v>19.651354560000001</v>
      </c>
      <c r="E110" s="1305">
        <v>195.10000000000002</v>
      </c>
      <c r="F110" s="1305">
        <v>19.510000000000005</v>
      </c>
      <c r="G110" s="1305">
        <v>11.19161373654536</v>
      </c>
      <c r="H110" s="1305"/>
      <c r="J110" s="1309"/>
      <c r="K110" s="1305"/>
      <c r="M110" s="1310"/>
      <c r="N110" s="1305"/>
    </row>
    <row r="111" spans="3:14" x14ac:dyDescent="0.4">
      <c r="C111" s="155" t="s">
        <v>3415</v>
      </c>
      <c r="D111" s="1305">
        <v>1.8771212160000013</v>
      </c>
      <c r="E111" s="1305">
        <v>302.90000000000003</v>
      </c>
      <c r="F111" s="1305">
        <v>30.290000000000006</v>
      </c>
      <c r="G111" s="1305">
        <v>0.68857386596236425</v>
      </c>
      <c r="H111" s="1305"/>
      <c r="J111" s="1309"/>
      <c r="K111" s="1305"/>
      <c r="M111" s="1310"/>
      <c r="N111" s="1305"/>
    </row>
    <row r="112" spans="3:14" x14ac:dyDescent="0.4">
      <c r="C112" s="155" t="s">
        <v>3416</v>
      </c>
      <c r="D112" s="1305">
        <v>37.496619360000004</v>
      </c>
      <c r="E112" s="1305">
        <v>250.09999999999997</v>
      </c>
      <c r="F112" s="1305">
        <v>25.009999999999998</v>
      </c>
      <c r="G112" s="1305">
        <v>16.658500759696125</v>
      </c>
      <c r="H112" s="1305"/>
      <c r="J112" s="1309"/>
      <c r="K112" s="1305"/>
      <c r="M112" s="1310"/>
      <c r="N112" s="1305"/>
    </row>
    <row r="113" spans="1:14" x14ac:dyDescent="0.4">
      <c r="C113" s="155" t="s">
        <v>3429</v>
      </c>
      <c r="D113" s="1305">
        <v>35.088635116800063</v>
      </c>
      <c r="E113" s="1305">
        <v>1879.1</v>
      </c>
      <c r="F113" s="1305">
        <v>187.91</v>
      </c>
      <c r="G113" s="1305">
        <v>2.0747896520674831</v>
      </c>
      <c r="H113" s="1305"/>
      <c r="J113" s="1309"/>
      <c r="K113" s="1305"/>
      <c r="M113" s="1310"/>
      <c r="N113" s="1305"/>
    </row>
    <row r="114" spans="1:14" x14ac:dyDescent="0.4">
      <c r="C114" s="1306" t="s">
        <v>1104</v>
      </c>
      <c r="D114" s="1307">
        <v>2970.0299548176899</v>
      </c>
      <c r="E114" s="1307">
        <v>193831.40000000002</v>
      </c>
      <c r="F114" s="1307">
        <v>19383.139999999992</v>
      </c>
      <c r="G114" s="1307">
        <v>1.7025277035252109</v>
      </c>
      <c r="H114" s="1305"/>
      <c r="J114" s="1309"/>
      <c r="K114" s="1305"/>
      <c r="M114" s="1310"/>
      <c r="N114" s="1305"/>
    </row>
    <row r="115" spans="1:14" x14ac:dyDescent="0.4">
      <c r="C115" s="115" t="s">
        <v>3448</v>
      </c>
    </row>
    <row r="116" spans="1:14" x14ac:dyDescent="0.4">
      <c r="A116" s="115" cm="1">
        <f t="array" aca="1" ref="A116" ca="1">81:116</f>
        <v>0</v>
      </c>
      <c r="C116" s="115" t="s">
        <v>3449</v>
      </c>
    </row>
    <row r="117" spans="1:14" x14ac:dyDescent="0.4">
      <c r="C117" s="115"/>
    </row>
    <row r="118" spans="1:14" x14ac:dyDescent="0.4">
      <c r="C118" s="115"/>
    </row>
  </sheetData>
  <mergeCells count="14">
    <mergeCell ref="A5:B5"/>
    <mergeCell ref="C5:T5"/>
    <mergeCell ref="C1:D1"/>
    <mergeCell ref="A3:B3"/>
    <mergeCell ref="C3:T3"/>
    <mergeCell ref="A4:B4"/>
    <mergeCell ref="C4:T4"/>
    <mergeCell ref="C78:C79"/>
    <mergeCell ref="A6:B6"/>
    <mergeCell ref="C6:T6"/>
    <mergeCell ref="C9:G9"/>
    <mergeCell ref="C10:G10"/>
    <mergeCell ref="C34:G34"/>
    <mergeCell ref="C77:G77"/>
  </mergeCells>
  <hyperlinks>
    <hyperlink ref="A1" location="'ODS 6.'!A1" display="REGRESAR" xr:uid="{F300762B-E10D-4C63-BD1B-00B6DFD0140B}"/>
    <hyperlink ref="C1" location="'Metadato 6.4.2'!A1" display="VER METADATO" xr:uid="{F1D57225-3A4F-442A-ABD8-9FB6A06F84C4}"/>
  </hyperlinks>
  <pageMargins left="0.7" right="0.7" top="0.75" bottom="0.75" header="0.3" footer="0.3"/>
  <pageSetup orientation="portrait" r:id="rId1"/>
  <drawing r:id="rId2"/>
  <legacy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EB15B-5364-435F-B5B0-C5E10874AEB5}">
  <sheetPr>
    <tabColor theme="0" tint="-0.499984740745262"/>
  </sheetPr>
  <dimension ref="B1:F46"/>
  <sheetViews>
    <sheetView showGridLines="0" zoomScaleNormal="100" workbookViewId="0">
      <pane ySplit="1" topLeftCell="A18" activePane="bottomLeft" state="frozen"/>
      <selection activeCell="R16" sqref="R16"/>
      <selection pane="bottomLeft" activeCell="R16" sqref="R16"/>
    </sheetView>
  </sheetViews>
  <sheetFormatPr baseColWidth="10" defaultColWidth="11.42578125" defaultRowHeight="12.75" x14ac:dyDescent="0.25"/>
  <cols>
    <col min="1" max="1" width="12" style="1232" customWidth="1"/>
    <col min="2" max="2" width="26.42578125" style="1232" customWidth="1"/>
    <col min="3" max="3" width="10.5703125" style="1232" bestFit="1" customWidth="1"/>
    <col min="4" max="4" width="85.5703125" style="1232" customWidth="1"/>
    <col min="5" max="5" width="11.42578125" style="1232"/>
    <col min="6" max="6" width="7.28515625" style="1232" customWidth="1"/>
    <col min="7" max="7" width="13" style="1232" customWidth="1"/>
    <col min="8" max="11" width="11.42578125" style="1232"/>
    <col min="12" max="12" width="12.5703125" style="1232" customWidth="1"/>
    <col min="13" max="16384" width="11.42578125" style="1232"/>
  </cols>
  <sheetData>
    <row r="1" spans="2:6" ht="18.75" x14ac:dyDescent="0.25">
      <c r="B1" s="223" t="s">
        <v>39</v>
      </c>
    </row>
    <row r="2" spans="2:6" ht="13.5" thickBot="1" x14ac:dyDescent="0.3"/>
    <row r="3" spans="2:6" ht="23.25" customHeight="1" thickBot="1" x14ac:dyDescent="0.3">
      <c r="B3" s="2809" t="s">
        <v>75</v>
      </c>
      <c r="C3" s="2809"/>
      <c r="D3" s="2809"/>
      <c r="F3" s="1053" t="s">
        <v>265</v>
      </c>
    </row>
    <row r="4" spans="2:6" ht="18.75" x14ac:dyDescent="0.25">
      <c r="B4" s="2445" t="s">
        <v>234</v>
      </c>
      <c r="C4" s="2445"/>
      <c r="D4" s="49" t="s">
        <v>2803</v>
      </c>
    </row>
    <row r="5" spans="2:6" ht="56.25" x14ac:dyDescent="0.25">
      <c r="B5" s="2445" t="s">
        <v>79</v>
      </c>
      <c r="C5" s="2445"/>
      <c r="D5" s="49" t="s">
        <v>2780</v>
      </c>
    </row>
    <row r="6" spans="2:6" ht="18.75" x14ac:dyDescent="0.25">
      <c r="B6" s="2445" t="s">
        <v>80</v>
      </c>
      <c r="C6" s="2445"/>
      <c r="D6" s="50" t="s">
        <v>2783</v>
      </c>
    </row>
    <row r="7" spans="2:6" ht="37.5" x14ac:dyDescent="0.25">
      <c r="B7" s="2446" t="s">
        <v>81</v>
      </c>
      <c r="C7" s="2446"/>
      <c r="D7" s="93" t="s">
        <v>2784</v>
      </c>
    </row>
    <row r="8" spans="2:6" ht="18.75" x14ac:dyDescent="0.4">
      <c r="B8" s="115"/>
      <c r="C8" s="115"/>
      <c r="D8" s="115"/>
    </row>
    <row r="9" spans="2:6" ht="19.5" x14ac:dyDescent="0.25">
      <c r="B9" s="2809" t="s">
        <v>85</v>
      </c>
      <c r="C9" s="2809"/>
      <c r="D9" s="2809"/>
    </row>
    <row r="10" spans="2:6" ht="23.25" customHeight="1" x14ac:dyDescent="0.25">
      <c r="B10" s="2487" t="s">
        <v>86</v>
      </c>
      <c r="C10" s="2456"/>
      <c r="D10" s="49" t="s">
        <v>3450</v>
      </c>
    </row>
    <row r="11" spans="2:6" ht="18.75" x14ac:dyDescent="0.25">
      <c r="B11" s="2446" t="s">
        <v>88</v>
      </c>
      <c r="C11" s="2446"/>
      <c r="D11" s="184" t="s">
        <v>3451</v>
      </c>
    </row>
    <row r="12" spans="2:6" ht="39" customHeight="1" x14ac:dyDescent="0.25">
      <c r="B12" s="2445" t="s">
        <v>90</v>
      </c>
      <c r="C12" s="2445"/>
      <c r="D12" s="54" t="s">
        <v>3452</v>
      </c>
    </row>
    <row r="13" spans="2:6" ht="18.75" x14ac:dyDescent="0.25">
      <c r="B13" s="2445" t="s">
        <v>91</v>
      </c>
      <c r="C13" s="2456"/>
      <c r="D13" s="54" t="s">
        <v>92</v>
      </c>
    </row>
    <row r="14" spans="2:6" ht="409.5" x14ac:dyDescent="0.25">
      <c r="B14" s="2445" t="s">
        <v>93</v>
      </c>
      <c r="C14" s="2445"/>
      <c r="D14" s="49" t="s">
        <v>3453</v>
      </c>
    </row>
    <row r="15" spans="2:6" ht="150" x14ac:dyDescent="0.25">
      <c r="B15" s="2445" t="s">
        <v>95</v>
      </c>
      <c r="C15" s="2445"/>
      <c r="D15" s="49" t="s">
        <v>3454</v>
      </c>
    </row>
    <row r="16" spans="2:6" ht="18.75" x14ac:dyDescent="0.25">
      <c r="B16" s="2445" t="s">
        <v>97</v>
      </c>
      <c r="C16" s="2445"/>
      <c r="D16" s="55" t="s">
        <v>98</v>
      </c>
    </row>
    <row r="17" spans="2:4" ht="37.5" x14ac:dyDescent="0.25">
      <c r="B17" s="2446" t="s">
        <v>99</v>
      </c>
      <c r="C17" s="2446"/>
      <c r="D17" s="49" t="s">
        <v>3455</v>
      </c>
    </row>
    <row r="18" spans="2:4" ht="18.75" x14ac:dyDescent="0.25">
      <c r="B18" s="2457" t="s">
        <v>100</v>
      </c>
      <c r="C18" s="2458"/>
      <c r="D18" s="55"/>
    </row>
    <row r="19" spans="2:4" ht="15" customHeight="1" x14ac:dyDescent="0.25">
      <c r="B19" s="2445" t="s">
        <v>102</v>
      </c>
      <c r="C19" s="2445"/>
      <c r="D19" s="49" t="s">
        <v>140</v>
      </c>
    </row>
    <row r="20" spans="2:4" ht="37.5" x14ac:dyDescent="0.25">
      <c r="B20" s="2451" t="s">
        <v>104</v>
      </c>
      <c r="C20" s="95" t="s">
        <v>105</v>
      </c>
      <c r="D20" s="49" t="s">
        <v>3456</v>
      </c>
    </row>
    <row r="21" spans="2:4" ht="18.75" x14ac:dyDescent="0.25">
      <c r="B21" s="2452"/>
      <c r="C21" s="96" t="s">
        <v>107</v>
      </c>
      <c r="D21" s="55" t="s">
        <v>3457</v>
      </c>
    </row>
    <row r="22" spans="2:4" ht="18.75" x14ac:dyDescent="0.25">
      <c r="B22" s="2445" t="s">
        <v>109</v>
      </c>
      <c r="C22" s="2445"/>
      <c r="D22" s="49" t="s">
        <v>143</v>
      </c>
    </row>
    <row r="23" spans="2:4" ht="93.75" x14ac:dyDescent="0.25">
      <c r="B23" s="2445" t="s">
        <v>111</v>
      </c>
      <c r="C23" s="2445"/>
      <c r="D23" s="50" t="s">
        <v>3458</v>
      </c>
    </row>
    <row r="24" spans="2:4" ht="18.75" x14ac:dyDescent="0.25">
      <c r="B24" s="2445" t="s">
        <v>113</v>
      </c>
      <c r="C24" s="2445"/>
      <c r="D24" s="55" t="s">
        <v>1701</v>
      </c>
    </row>
    <row r="25" spans="2:4" ht="56.25" x14ac:dyDescent="0.25">
      <c r="B25" s="2446" t="s">
        <v>115</v>
      </c>
      <c r="C25" s="2446"/>
      <c r="D25" s="50" t="s">
        <v>3459</v>
      </c>
    </row>
    <row r="26" spans="2:4" ht="243.75" x14ac:dyDescent="0.25">
      <c r="B26" s="2447" t="s">
        <v>117</v>
      </c>
      <c r="C26" s="2448"/>
      <c r="D26" s="49" t="s">
        <v>3460</v>
      </c>
    </row>
    <row r="27" spans="2:4" ht="168.75" x14ac:dyDescent="0.25">
      <c r="B27" s="97" t="s">
        <v>118</v>
      </c>
      <c r="C27" s="98"/>
      <c r="D27" s="55" t="s">
        <v>3461</v>
      </c>
    </row>
    <row r="28" spans="2:4" ht="168.75" x14ac:dyDescent="0.25">
      <c r="B28" s="2449" t="s">
        <v>120</v>
      </c>
      <c r="C28" s="2450"/>
      <c r="D28" s="62" t="s">
        <v>3462</v>
      </c>
    </row>
    <row r="29" spans="2:4" ht="18.75" x14ac:dyDescent="0.25">
      <c r="B29" s="63"/>
      <c r="C29" s="63"/>
      <c r="D29" s="64"/>
    </row>
    <row r="30" spans="2:4" ht="19.5" x14ac:dyDescent="0.25">
      <c r="B30" s="2809" t="s">
        <v>121</v>
      </c>
      <c r="C30" s="2809"/>
      <c r="D30" s="2809"/>
    </row>
    <row r="31" spans="2:4" ht="23.25" customHeight="1" x14ac:dyDescent="0.4">
      <c r="B31" s="2447" t="s">
        <v>122</v>
      </c>
      <c r="C31" s="2448"/>
      <c r="D31" s="1032" t="s">
        <v>3328</v>
      </c>
    </row>
    <row r="32" spans="2:4" ht="18.75" x14ac:dyDescent="0.25">
      <c r="B32" s="2447" t="s">
        <v>124</v>
      </c>
      <c r="C32" s="2448"/>
      <c r="D32" s="50" t="s">
        <v>225</v>
      </c>
    </row>
    <row r="33" spans="2:4" ht="18.75" x14ac:dyDescent="0.25">
      <c r="B33" s="2447" t="s">
        <v>126</v>
      </c>
      <c r="C33" s="2448"/>
      <c r="D33" s="50" t="s">
        <v>3329</v>
      </c>
    </row>
    <row r="34" spans="2:4" ht="18.75" x14ac:dyDescent="0.25">
      <c r="B34" s="2447" t="s">
        <v>128</v>
      </c>
      <c r="C34" s="2448"/>
      <c r="D34" s="50" t="s">
        <v>3463</v>
      </c>
    </row>
    <row r="35" spans="2:4" ht="18.75" x14ac:dyDescent="0.4">
      <c r="B35" s="2889" t="s">
        <v>130</v>
      </c>
      <c r="C35" s="2889"/>
      <c r="D35" s="1311" t="s">
        <v>3331</v>
      </c>
    </row>
    <row r="36" spans="2:4" ht="18.75" x14ac:dyDescent="0.4">
      <c r="B36" s="2889" t="s">
        <v>130</v>
      </c>
      <c r="C36" s="2889"/>
      <c r="D36" s="1311" t="s">
        <v>3331</v>
      </c>
    </row>
    <row r="37" spans="2:4" ht="18.75" x14ac:dyDescent="0.25">
      <c r="B37" s="2447" t="s">
        <v>122</v>
      </c>
      <c r="C37" s="2448"/>
      <c r="D37" s="50" t="s">
        <v>3464</v>
      </c>
    </row>
    <row r="38" spans="2:4" ht="18.75" x14ac:dyDescent="0.25">
      <c r="B38" s="2447" t="s">
        <v>124</v>
      </c>
      <c r="C38" s="2448"/>
      <c r="D38" s="50" t="s">
        <v>3465</v>
      </c>
    </row>
    <row r="39" spans="2:4" ht="18.75" x14ac:dyDescent="0.25">
      <c r="B39" s="2447" t="s">
        <v>126</v>
      </c>
      <c r="C39" s="2448"/>
      <c r="D39" s="50" t="s">
        <v>3466</v>
      </c>
    </row>
    <row r="40" spans="2:4" ht="18.75" x14ac:dyDescent="0.25">
      <c r="B40" s="2447" t="s">
        <v>128</v>
      </c>
      <c r="C40" s="2448"/>
      <c r="D40" s="50"/>
    </row>
    <row r="41" spans="2:4" ht="18.75" x14ac:dyDescent="0.25">
      <c r="B41" s="2889" t="s">
        <v>130</v>
      </c>
      <c r="C41" s="2889"/>
      <c r="D41" s="1312" t="s">
        <v>3467</v>
      </c>
    </row>
    <row r="42" spans="2:4" ht="18.75" x14ac:dyDescent="0.25">
      <c r="B42" s="2447" t="s">
        <v>122</v>
      </c>
      <c r="C42" s="2448"/>
      <c r="D42" s="50" t="s">
        <v>3468</v>
      </c>
    </row>
    <row r="43" spans="2:4" ht="18.75" x14ac:dyDescent="0.25">
      <c r="B43" s="2447" t="s">
        <v>124</v>
      </c>
      <c r="C43" s="2448"/>
      <c r="D43" s="50" t="s">
        <v>3469</v>
      </c>
    </row>
    <row r="44" spans="2:4" ht="18.75" x14ac:dyDescent="0.25">
      <c r="B44" s="2447" t="s">
        <v>126</v>
      </c>
      <c r="C44" s="2448"/>
      <c r="D44" s="50" t="s">
        <v>3470</v>
      </c>
    </row>
    <row r="45" spans="2:4" ht="18.75" x14ac:dyDescent="0.25">
      <c r="B45" s="2447" t="s">
        <v>128</v>
      </c>
      <c r="C45" s="2448"/>
      <c r="D45" s="50"/>
    </row>
    <row r="46" spans="2:4" ht="18.75" x14ac:dyDescent="0.25">
      <c r="B46" s="2889" t="s">
        <v>130</v>
      </c>
      <c r="C46" s="2889"/>
      <c r="D46" s="1312" t="s">
        <v>3471</v>
      </c>
    </row>
  </sheetData>
  <mergeCells count="40">
    <mergeCell ref="B9:D9"/>
    <mergeCell ref="B3:D3"/>
    <mergeCell ref="B4:C4"/>
    <mergeCell ref="B5:C5"/>
    <mergeCell ref="B6:C6"/>
    <mergeCell ref="B7:C7"/>
    <mergeCell ref="B22:C22"/>
    <mergeCell ref="B10:C10"/>
    <mergeCell ref="B11:C11"/>
    <mergeCell ref="B12:C12"/>
    <mergeCell ref="B13:C13"/>
    <mergeCell ref="B14:C14"/>
    <mergeCell ref="B15:C15"/>
    <mergeCell ref="B16:C16"/>
    <mergeCell ref="B17:C17"/>
    <mergeCell ref="B18:C18"/>
    <mergeCell ref="B19:C19"/>
    <mergeCell ref="B20:B21"/>
    <mergeCell ref="B36:C36"/>
    <mergeCell ref="B23:C23"/>
    <mergeCell ref="B24:C24"/>
    <mergeCell ref="B25:C25"/>
    <mergeCell ref="B26:C26"/>
    <mergeCell ref="B28:C28"/>
    <mergeCell ref="B30:D30"/>
    <mergeCell ref="B31:C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4" xr:uid="{08A1B83E-B235-4CD9-A418-DBAC926E2E96}">
      <formula1>Tipo_operación</formula1>
    </dataValidation>
    <dataValidation type="list" allowBlank="1" showInputMessage="1" showErrorMessage="1" sqref="D13" xr:uid="{3217FD80-5D7D-4992-83D6-38C75541ED30}">
      <formula1>Tipo_indicador</formula1>
    </dataValidation>
    <dataValidation type="list" allowBlank="1" showInputMessage="1" showErrorMessage="1" sqref="D7" xr:uid="{4DD01C04-99C2-4E59-8996-CD90A0FD75AC}">
      <formula1>Nombre_indicador_ODS</formula1>
    </dataValidation>
    <dataValidation type="list" allowBlank="1" showInputMessage="1" showErrorMessage="1" sqref="D6" xr:uid="{73B2B17C-CEC3-4A63-B43C-07CD1EB59DB0}">
      <formula1>Numero_indicador</formula1>
    </dataValidation>
    <dataValidation type="list" allowBlank="1" showInputMessage="1" showErrorMessage="1" sqref="D5" xr:uid="{F67103E5-CCDA-40CE-A9F9-0E086BB444D9}">
      <formula1>Metas_ODS</formula1>
    </dataValidation>
    <dataValidation type="list" allowBlank="1" showInputMessage="1" showErrorMessage="1" sqref="D4" xr:uid="{9446E218-E591-40EF-8CDD-599FAFEC20F9}">
      <formula1>ODS</formula1>
    </dataValidation>
    <dataValidation allowBlank="1" showDropDown="1" showInputMessage="1" showErrorMessage="1" sqref="D12" xr:uid="{648362C0-9DD3-4D17-9BBC-E9D074C31DC7}"/>
  </dataValidations>
  <hyperlinks>
    <hyperlink ref="B1" location="'6.4.2'!A1" display="REGRESAR" xr:uid="{473B3D26-55E8-46B0-BDF3-5CC338E7EC9C}"/>
    <hyperlink ref="D36" r:id="rId1" xr:uid="{5E4A420B-2DE7-4784-B551-D7B3522A00AD}"/>
    <hyperlink ref="D35" r:id="rId2" xr:uid="{445B236E-B256-46E1-BEE5-B097B9763C4F}"/>
    <hyperlink ref="D46" r:id="rId3" xr:uid="{CEF4967C-7023-4272-A5D2-AE53F93F80DC}"/>
  </hyperlinks>
  <pageMargins left="0.7" right="0.7" top="0.75" bottom="0.7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694A-8E06-434C-B94E-241C4C296568}">
  <sheetPr>
    <tabColor rgb="FF7030A0"/>
  </sheetPr>
  <dimension ref="A1:Q20"/>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5.75" x14ac:dyDescent="0.25"/>
  <cols>
    <col min="1" max="2" width="15" style="220" customWidth="1"/>
    <col min="3" max="3" width="10.7109375" style="221" customWidth="1"/>
    <col min="4" max="5" width="10.7109375" style="220" customWidth="1"/>
    <col min="6" max="16384" width="11.42578125" style="220"/>
  </cols>
  <sheetData>
    <row r="1" spans="1:17" s="217" customFormat="1" ht="19.5" x14ac:dyDescent="0.4">
      <c r="A1" s="15" t="s">
        <v>39</v>
      </c>
      <c r="B1" s="216"/>
      <c r="C1" s="2421" t="s">
        <v>40</v>
      </c>
      <c r="D1" s="2421"/>
    </row>
    <row r="2" spans="1:17" s="16" customFormat="1" ht="19.5" x14ac:dyDescent="0.4">
      <c r="C2" s="218"/>
    </row>
    <row r="3" spans="1:17" s="16" customFormat="1" ht="19.5" x14ac:dyDescent="0.4">
      <c r="A3" s="2413" t="s">
        <v>41</v>
      </c>
      <c r="B3" s="2413"/>
      <c r="C3" s="2414" t="s">
        <v>2</v>
      </c>
      <c r="D3" s="2415"/>
      <c r="E3" s="2415"/>
      <c r="F3" s="2415"/>
      <c r="G3" s="2415"/>
      <c r="H3" s="2415"/>
      <c r="I3" s="2415"/>
      <c r="J3" s="2415"/>
      <c r="K3" s="2415"/>
      <c r="L3" s="2415"/>
      <c r="M3" s="2415"/>
      <c r="N3" s="2415"/>
      <c r="O3" s="2415"/>
      <c r="P3" s="2415"/>
      <c r="Q3" s="2415"/>
    </row>
    <row r="4" spans="1:17" s="16" customFormat="1" ht="35.450000000000003" customHeight="1" x14ac:dyDescent="0.4">
      <c r="A4" s="2413" t="s">
        <v>42</v>
      </c>
      <c r="B4" s="2413"/>
      <c r="C4" s="2414" t="s">
        <v>22</v>
      </c>
      <c r="D4" s="2415"/>
      <c r="E4" s="2415"/>
      <c r="F4" s="2415"/>
      <c r="G4" s="2415"/>
      <c r="H4" s="2415"/>
      <c r="I4" s="2415"/>
      <c r="J4" s="2415"/>
      <c r="K4" s="2415"/>
      <c r="L4" s="2415"/>
      <c r="M4" s="2415"/>
      <c r="N4" s="2415"/>
      <c r="O4" s="2415"/>
      <c r="P4" s="2415"/>
      <c r="Q4" s="2415"/>
    </row>
    <row r="5" spans="1:17" s="16" customFormat="1" ht="16.149999999999999" customHeight="1" x14ac:dyDescent="0.4">
      <c r="A5" s="2413" t="s">
        <v>43</v>
      </c>
      <c r="B5" s="2413"/>
      <c r="C5" s="2414" t="s">
        <v>28</v>
      </c>
      <c r="D5" s="2415"/>
      <c r="E5" s="2415"/>
      <c r="F5" s="2415"/>
      <c r="G5" s="2415"/>
      <c r="H5" s="2415"/>
      <c r="I5" s="2415"/>
      <c r="J5" s="2415"/>
      <c r="K5" s="2415"/>
      <c r="L5" s="2415"/>
      <c r="M5" s="2415"/>
      <c r="N5" s="2415"/>
      <c r="O5" s="2415"/>
      <c r="P5" s="2415"/>
      <c r="Q5" s="2415"/>
    </row>
    <row r="6" spans="1:17" s="16" customFormat="1" ht="19.5" x14ac:dyDescent="0.4">
      <c r="A6" s="2413" t="s">
        <v>132</v>
      </c>
      <c r="B6" s="2413"/>
      <c r="C6" s="2414" t="s">
        <v>242</v>
      </c>
      <c r="D6" s="2415"/>
      <c r="E6" s="2415"/>
      <c r="F6" s="2415"/>
      <c r="G6" s="2415"/>
      <c r="H6" s="2415"/>
      <c r="I6" s="2415"/>
      <c r="J6" s="2415"/>
      <c r="K6" s="2415"/>
      <c r="L6" s="2415"/>
      <c r="M6" s="2415"/>
      <c r="N6" s="2415"/>
      <c r="O6" s="2415"/>
      <c r="P6" s="2415"/>
      <c r="Q6" s="2415"/>
    </row>
    <row r="7" spans="1:17" s="16" customFormat="1" ht="19.5" x14ac:dyDescent="0.4"/>
    <row r="8" spans="1:17" s="16" customFormat="1" ht="19.5" x14ac:dyDescent="0.4">
      <c r="A8" s="217"/>
      <c r="C8" s="218"/>
    </row>
    <row r="9" spans="1:17" s="16" customFormat="1" ht="18.600000000000001" customHeight="1" x14ac:dyDescent="0.4">
      <c r="A9" s="217"/>
      <c r="C9" s="2493" t="s">
        <v>315</v>
      </c>
      <c r="D9" s="2493"/>
      <c r="E9" s="2493"/>
      <c r="F9" s="2493"/>
      <c r="G9" s="2493"/>
      <c r="H9" s="2493"/>
      <c r="I9" s="2493"/>
      <c r="J9" s="2493"/>
      <c r="K9" s="2493"/>
      <c r="L9" s="2493"/>
      <c r="M9" s="2493"/>
      <c r="N9" s="2493"/>
      <c r="O9" s="2493"/>
      <c r="P9" s="2493"/>
      <c r="Q9" s="2493"/>
    </row>
    <row r="10" spans="1:17" s="16" customFormat="1" ht="19.5" x14ac:dyDescent="0.4">
      <c r="A10" s="217"/>
      <c r="C10" s="2493"/>
      <c r="D10" s="2493"/>
      <c r="E10" s="2493"/>
      <c r="F10" s="2493"/>
      <c r="G10" s="2493"/>
      <c r="H10" s="2493"/>
      <c r="I10" s="2493"/>
      <c r="J10" s="2493"/>
      <c r="K10" s="2493"/>
      <c r="L10" s="2493"/>
      <c r="M10" s="2493"/>
      <c r="N10" s="2493"/>
      <c r="O10" s="2493"/>
      <c r="P10" s="2493"/>
      <c r="Q10" s="2493"/>
    </row>
    <row r="11" spans="1:17" s="16" customFormat="1" ht="19.5" x14ac:dyDescent="0.4">
      <c r="A11" s="217"/>
      <c r="C11" s="2493"/>
      <c r="D11" s="2493"/>
      <c r="E11" s="2493"/>
      <c r="F11" s="2493"/>
      <c r="G11" s="2493"/>
      <c r="H11" s="2493"/>
      <c r="I11" s="2493"/>
      <c r="J11" s="2493"/>
      <c r="K11" s="2493"/>
      <c r="L11" s="2493"/>
      <c r="M11" s="2493"/>
      <c r="N11" s="2493"/>
      <c r="O11" s="2493"/>
      <c r="P11" s="2493"/>
      <c r="Q11" s="2493"/>
    </row>
    <row r="12" spans="1:17" s="16" customFormat="1" ht="19.5" x14ac:dyDescent="0.4">
      <c r="A12" s="217"/>
      <c r="C12" s="2493"/>
      <c r="D12" s="2493"/>
      <c r="E12" s="2493"/>
      <c r="F12" s="2493"/>
      <c r="G12" s="2493"/>
      <c r="H12" s="2493"/>
      <c r="I12" s="2493"/>
      <c r="J12" s="2493"/>
      <c r="K12" s="2493"/>
      <c r="L12" s="2493"/>
      <c r="M12" s="2493"/>
      <c r="N12" s="2493"/>
      <c r="O12" s="2493"/>
      <c r="P12" s="2493"/>
      <c r="Q12" s="2493"/>
    </row>
    <row r="13" spans="1:17" s="16" customFormat="1" ht="19.5" x14ac:dyDescent="0.4">
      <c r="A13" s="217"/>
      <c r="C13" s="2493"/>
      <c r="D13" s="2493"/>
      <c r="E13" s="2493"/>
      <c r="F13" s="2493"/>
      <c r="G13" s="2493"/>
      <c r="H13" s="2493"/>
      <c r="I13" s="2493"/>
      <c r="J13" s="2493"/>
      <c r="K13" s="2493"/>
      <c r="L13" s="2493"/>
      <c r="M13" s="2493"/>
      <c r="N13" s="2493"/>
      <c r="O13" s="2493"/>
      <c r="P13" s="2493"/>
      <c r="Q13" s="2493"/>
    </row>
    <row r="14" spans="1:17" x14ac:dyDescent="0.25">
      <c r="A14" s="219"/>
    </row>
    <row r="15" spans="1:17" x14ac:dyDescent="0.25">
      <c r="A15" s="219"/>
    </row>
    <row r="16" spans="1:17" x14ac:dyDescent="0.25">
      <c r="A16" s="219"/>
    </row>
    <row r="17" spans="1:17" x14ac:dyDescent="0.25">
      <c r="A17" s="219"/>
    </row>
    <row r="18" spans="1:17" x14ac:dyDescent="0.25">
      <c r="A18" s="219"/>
    </row>
    <row r="19" spans="1:17" x14ac:dyDescent="0.25">
      <c r="A19" s="219"/>
    </row>
    <row r="20" spans="1:17" ht="15.6" customHeight="1" x14ac:dyDescent="0.35">
      <c r="C20" s="2494" t="s">
        <v>316</v>
      </c>
      <c r="D20" s="2494"/>
      <c r="E20" s="2494"/>
      <c r="F20" s="2494"/>
      <c r="G20" s="2494"/>
      <c r="H20" s="2494"/>
      <c r="I20" s="2494"/>
      <c r="J20" s="2494"/>
      <c r="K20" s="2494"/>
      <c r="L20" s="2494"/>
      <c r="M20" s="2494"/>
      <c r="N20" s="2494"/>
      <c r="O20" s="2494"/>
      <c r="P20" s="2494"/>
      <c r="Q20" s="2494"/>
    </row>
  </sheetData>
  <mergeCells count="11">
    <mergeCell ref="A6:B6"/>
    <mergeCell ref="C6:Q6"/>
    <mergeCell ref="C9:Q13"/>
    <mergeCell ref="C20:Q20"/>
    <mergeCell ref="C1:D1"/>
    <mergeCell ref="A3:B3"/>
    <mergeCell ref="C3:Q3"/>
    <mergeCell ref="A4:B4"/>
    <mergeCell ref="C4:Q4"/>
    <mergeCell ref="A5:B5"/>
    <mergeCell ref="C5:Q5"/>
  </mergeCells>
  <hyperlinks>
    <hyperlink ref="A1" location="'ODS 1.'!A1" display="REGRESAR" xr:uid="{2D0C3933-C947-49A2-AFF0-1F6D661F0B87}"/>
    <hyperlink ref="C1" location="'Metadato 1.5.3'!A1" display="VER METADATO " xr:uid="{7599B77B-B2E7-4745-921F-922ADCEF7E58}"/>
  </hyperlinks>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E83-BB1D-4516-9A46-0BC9958707F8}">
  <dimension ref="A1:Q955"/>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5.42578125" style="115" customWidth="1"/>
    <col min="2" max="2" width="17.85546875" style="115" customWidth="1"/>
    <col min="3" max="3" width="11.42578125" style="115"/>
    <col min="4" max="4" width="14" style="115" customWidth="1"/>
    <col min="5" max="5" width="11.42578125" style="115"/>
    <col min="6" max="11" width="19.7109375" style="115" customWidth="1"/>
    <col min="12" max="12" width="23.7109375" style="115" customWidth="1"/>
    <col min="13" max="13" width="25.7109375" style="115" customWidth="1"/>
    <col min="14" max="15" width="23.7109375" style="115" customWidth="1"/>
    <col min="16" max="16" width="22.5703125" style="115" customWidth="1"/>
    <col min="17" max="17" width="23.7109375" style="115" customWidth="1"/>
    <col min="18" max="16384" width="11.42578125" style="115"/>
  </cols>
  <sheetData>
    <row r="1" spans="1:15" s="1032" customFormat="1" ht="19.5" x14ac:dyDescent="0.4">
      <c r="A1" s="15" t="s">
        <v>39</v>
      </c>
      <c r="C1" s="2421" t="s">
        <v>149</v>
      </c>
      <c r="D1" s="2421"/>
    </row>
    <row r="2" spans="1:15" s="1032" customFormat="1" ht="19.5" x14ac:dyDescent="0.4"/>
    <row r="3" spans="1:15" s="1032" customFormat="1" ht="19.5" x14ac:dyDescent="0.4">
      <c r="A3" s="2804" t="s">
        <v>41</v>
      </c>
      <c r="B3" s="2804"/>
      <c r="C3" s="2853" t="s">
        <v>2768</v>
      </c>
      <c r="D3" s="2857"/>
      <c r="E3" s="2857"/>
      <c r="F3" s="2857"/>
      <c r="G3" s="2857"/>
      <c r="H3" s="2857"/>
      <c r="I3" s="2857"/>
      <c r="J3" s="2857"/>
      <c r="K3" s="2857"/>
      <c r="L3" s="2854"/>
      <c r="M3" s="1313"/>
      <c r="N3" s="1313"/>
      <c r="O3" s="1313"/>
    </row>
    <row r="4" spans="1:15" s="1032" customFormat="1" ht="19.5" x14ac:dyDescent="0.4">
      <c r="A4" s="2804" t="s">
        <v>42</v>
      </c>
      <c r="B4" s="2804"/>
      <c r="C4" s="2853" t="s">
        <v>2785</v>
      </c>
      <c r="D4" s="2855"/>
      <c r="E4" s="2855"/>
      <c r="F4" s="2855"/>
      <c r="G4" s="2855"/>
      <c r="H4" s="2855"/>
      <c r="I4" s="2855"/>
      <c r="J4" s="2855"/>
      <c r="K4" s="2855"/>
      <c r="L4" s="2856"/>
      <c r="M4" s="1313"/>
      <c r="N4" s="1313"/>
      <c r="O4" s="1313"/>
    </row>
    <row r="5" spans="1:15" s="1032" customFormat="1" ht="19.5" x14ac:dyDescent="0.4">
      <c r="A5" s="2804" t="s">
        <v>43</v>
      </c>
      <c r="B5" s="2804"/>
      <c r="C5" s="2853" t="s">
        <v>2787</v>
      </c>
      <c r="D5" s="2855"/>
      <c r="E5" s="2855"/>
      <c r="F5" s="2855"/>
      <c r="G5" s="2855"/>
      <c r="H5" s="2855"/>
      <c r="I5" s="2855"/>
      <c r="J5" s="2855"/>
      <c r="K5" s="2855"/>
      <c r="L5" s="2856"/>
      <c r="M5" s="1313"/>
      <c r="N5" s="1313"/>
      <c r="O5" s="1313"/>
    </row>
    <row r="6" spans="1:15" s="1032" customFormat="1" ht="19.5" x14ac:dyDescent="0.4">
      <c r="A6" s="2804" t="s">
        <v>132</v>
      </c>
      <c r="B6" s="2804"/>
      <c r="C6" s="2853" t="s">
        <v>3472</v>
      </c>
      <c r="D6" s="2855"/>
      <c r="E6" s="2855"/>
      <c r="F6" s="2855"/>
      <c r="G6" s="2855"/>
      <c r="H6" s="2855"/>
      <c r="I6" s="2855"/>
      <c r="J6" s="2855"/>
      <c r="K6" s="2855"/>
      <c r="L6" s="2856"/>
      <c r="M6" s="1313"/>
      <c r="N6" s="1313"/>
      <c r="O6" s="1313"/>
    </row>
    <row r="7" spans="1:15" s="1032" customFormat="1" ht="19.5" x14ac:dyDescent="0.4"/>
    <row r="8" spans="1:15" s="1032" customFormat="1" ht="19.5" x14ac:dyDescent="0.4"/>
    <row r="9" spans="1:15" s="1032" customFormat="1" ht="12.75" customHeight="1" x14ac:dyDescent="0.4">
      <c r="C9" s="2628" t="s">
        <v>3472</v>
      </c>
      <c r="D9" s="2628"/>
      <c r="E9" s="2628"/>
      <c r="F9" s="2628"/>
      <c r="G9" s="2628"/>
      <c r="H9" s="2628"/>
    </row>
    <row r="10" spans="1:15" s="1032" customFormat="1" ht="19.5" x14ac:dyDescent="0.4">
      <c r="A10" s="1314"/>
      <c r="C10" s="3066" t="s">
        <v>3473</v>
      </c>
      <c r="D10" s="3066"/>
      <c r="E10" s="3066"/>
      <c r="F10" s="3066"/>
      <c r="G10" s="3066"/>
      <c r="H10" s="3066"/>
    </row>
    <row r="11" spans="1:15" ht="12.75" customHeight="1" x14ac:dyDescent="0.4">
      <c r="A11" s="536"/>
      <c r="C11" s="2879" t="s">
        <v>46</v>
      </c>
      <c r="D11" s="2806" t="s">
        <v>3474</v>
      </c>
      <c r="E11" s="3067" t="s">
        <v>3475</v>
      </c>
      <c r="F11" s="3067"/>
      <c r="G11" s="3067"/>
      <c r="H11" s="3067"/>
    </row>
    <row r="12" spans="1:15" ht="37.5" x14ac:dyDescent="0.4">
      <c r="A12" s="835"/>
      <c r="C12" s="2881"/>
      <c r="D12" s="2808"/>
      <c r="E12" s="1038" t="s">
        <v>3476</v>
      </c>
      <c r="F12" s="1038" t="s">
        <v>3477</v>
      </c>
      <c r="G12" s="1038" t="s">
        <v>3478</v>
      </c>
      <c r="H12" s="1038" t="s">
        <v>3479</v>
      </c>
    </row>
    <row r="13" spans="1:15" x14ac:dyDescent="0.4">
      <c r="A13" s="536"/>
      <c r="C13" s="232">
        <v>2017</v>
      </c>
      <c r="D13" s="232">
        <v>50</v>
      </c>
      <c r="E13" s="232">
        <v>30</v>
      </c>
      <c r="F13" s="232">
        <v>50</v>
      </c>
      <c r="G13" s="232">
        <v>50</v>
      </c>
      <c r="H13" s="232">
        <v>50</v>
      </c>
    </row>
    <row r="14" spans="1:15" x14ac:dyDescent="0.4">
      <c r="A14" s="536"/>
      <c r="C14" s="232">
        <v>2020</v>
      </c>
      <c r="D14" s="785">
        <v>50.539321789321789</v>
      </c>
      <c r="E14" s="785">
        <v>48.571428571428569</v>
      </c>
      <c r="F14" s="785">
        <v>56.363636363636367</v>
      </c>
      <c r="G14" s="785">
        <v>52.222222222222221</v>
      </c>
      <c r="H14" s="232">
        <v>45</v>
      </c>
    </row>
    <row r="15" spans="1:15" x14ac:dyDescent="0.4">
      <c r="A15" s="536"/>
      <c r="C15" s="795">
        <v>2023</v>
      </c>
      <c r="D15" s="788">
        <v>51</v>
      </c>
      <c r="E15" s="788">
        <v>49</v>
      </c>
      <c r="F15" s="788">
        <v>57</v>
      </c>
      <c r="G15" s="788">
        <v>59</v>
      </c>
      <c r="H15" s="795">
        <v>40</v>
      </c>
    </row>
    <row r="16" spans="1:15" x14ac:dyDescent="0.4">
      <c r="A16" s="536"/>
      <c r="C16" s="155" t="s">
        <v>3480</v>
      </c>
      <c r="D16" s="155"/>
      <c r="E16" s="155"/>
      <c r="F16" s="155"/>
      <c r="G16" s="155"/>
      <c r="H16" s="155"/>
    </row>
    <row r="17" spans="1:11" x14ac:dyDescent="0.4">
      <c r="A17" s="536"/>
      <c r="C17" s="155" t="s">
        <v>3481</v>
      </c>
      <c r="D17" s="155"/>
      <c r="E17" s="155"/>
      <c r="F17" s="155"/>
      <c r="G17" s="155"/>
      <c r="H17" s="155"/>
    </row>
    <row r="18" spans="1:11" x14ac:dyDescent="0.4">
      <c r="A18" s="536"/>
    </row>
    <row r="19" spans="1:11" x14ac:dyDescent="0.4">
      <c r="A19" s="536"/>
    </row>
    <row r="20" spans="1:11" s="840" customFormat="1" ht="12.75" customHeight="1" x14ac:dyDescent="0.35">
      <c r="A20" s="539"/>
      <c r="B20" s="2985">
        <v>2017</v>
      </c>
      <c r="C20" s="3008" t="s">
        <v>3482</v>
      </c>
      <c r="D20" s="3008"/>
      <c r="E20" s="3008"/>
      <c r="F20" s="3008"/>
      <c r="G20" s="3008"/>
      <c r="H20" s="3008"/>
      <c r="I20" s="3008"/>
      <c r="J20" s="3008"/>
      <c r="K20" s="3009"/>
    </row>
    <row r="21" spans="1:11" s="840" customFormat="1" ht="12.75" customHeight="1" x14ac:dyDescent="0.35">
      <c r="A21" s="539"/>
      <c r="B21" s="2986"/>
      <c r="C21" s="1315"/>
      <c r="D21" s="1316"/>
      <c r="E21" s="1316"/>
      <c r="F21" s="3010" t="s">
        <v>3483</v>
      </c>
      <c r="G21" s="3011"/>
      <c r="H21" s="3011"/>
      <c r="I21" s="3011"/>
      <c r="J21" s="3011"/>
      <c r="K21" s="3011"/>
    </row>
    <row r="22" spans="1:11" s="840" customFormat="1" ht="12.75" customHeight="1" x14ac:dyDescent="0.35">
      <c r="A22" s="539"/>
      <c r="B22" s="2986"/>
      <c r="C22" s="1315"/>
      <c r="D22" s="1316"/>
      <c r="E22" s="1316"/>
      <c r="F22" s="1317" t="s">
        <v>3484</v>
      </c>
      <c r="G22" s="1318" t="s">
        <v>3485</v>
      </c>
      <c r="H22" s="1318" t="s">
        <v>3486</v>
      </c>
      <c r="I22" s="1317" t="s">
        <v>3487</v>
      </c>
      <c r="J22" s="1317" t="s">
        <v>3488</v>
      </c>
      <c r="K22" s="1318" t="s">
        <v>3489</v>
      </c>
    </row>
    <row r="23" spans="1:11" s="840" customFormat="1" ht="12.75" customHeight="1" x14ac:dyDescent="0.35">
      <c r="A23" s="539"/>
      <c r="B23" s="2986"/>
      <c r="C23" s="2998" t="s">
        <v>3490</v>
      </c>
      <c r="D23" s="2998"/>
      <c r="E23" s="2998"/>
      <c r="F23" s="2998"/>
      <c r="G23" s="2998"/>
      <c r="H23" s="2998"/>
      <c r="I23" s="2998"/>
      <c r="J23" s="2998"/>
      <c r="K23" s="2999"/>
    </row>
    <row r="24" spans="1:11" s="840" customFormat="1" ht="81" customHeight="1" x14ac:dyDescent="0.35">
      <c r="A24" s="539"/>
      <c r="B24" s="2986"/>
      <c r="C24" s="1319" t="s">
        <v>3491</v>
      </c>
      <c r="D24" s="3058" t="s">
        <v>3492</v>
      </c>
      <c r="E24" s="2994"/>
      <c r="F24" s="1320" t="s">
        <v>3493</v>
      </c>
      <c r="G24" s="1321" t="s">
        <v>3494</v>
      </c>
      <c r="H24" s="1321" t="s">
        <v>3495</v>
      </c>
      <c r="I24" s="1321" t="s">
        <v>3496</v>
      </c>
      <c r="J24" s="1321" t="s">
        <v>3497</v>
      </c>
      <c r="K24" s="1321" t="s">
        <v>3498</v>
      </c>
    </row>
    <row r="25" spans="1:11" s="840" customFormat="1" ht="29.25" customHeight="1" x14ac:dyDescent="0.35">
      <c r="A25" s="539"/>
      <c r="B25" s="2986"/>
      <c r="C25" s="3026" t="s">
        <v>3499</v>
      </c>
      <c r="D25" s="2994"/>
      <c r="E25" s="1322">
        <v>50</v>
      </c>
      <c r="F25" s="1320" t="s">
        <v>3500</v>
      </c>
      <c r="G25" s="3063" t="s">
        <v>3501</v>
      </c>
      <c r="H25" s="3064"/>
      <c r="I25" s="3064"/>
      <c r="J25" s="3064"/>
      <c r="K25" s="3065"/>
    </row>
    <row r="26" spans="1:11" s="840" customFormat="1" ht="12.75" customHeight="1" x14ac:dyDescent="0.35">
      <c r="A26" s="539"/>
      <c r="B26" s="2986"/>
      <c r="C26" s="1319" t="s">
        <v>3502</v>
      </c>
      <c r="D26" s="3058" t="s">
        <v>3503</v>
      </c>
      <c r="E26" s="2994"/>
      <c r="F26" s="1321" t="s">
        <v>3493</v>
      </c>
      <c r="G26" s="1321" t="s">
        <v>3504</v>
      </c>
      <c r="H26" s="1321" t="s">
        <v>3505</v>
      </c>
      <c r="I26" s="1321" t="s">
        <v>3506</v>
      </c>
      <c r="J26" s="1321" t="s">
        <v>3507</v>
      </c>
      <c r="K26" s="1321" t="s">
        <v>3508</v>
      </c>
    </row>
    <row r="27" spans="1:11" s="840" customFormat="1" ht="12.75" customHeight="1" x14ac:dyDescent="0.35">
      <c r="A27" s="539"/>
      <c r="B27" s="2986"/>
      <c r="C27" s="3026" t="s">
        <v>3499</v>
      </c>
      <c r="D27" s="2994"/>
      <c r="E27" s="1322">
        <v>20</v>
      </c>
      <c r="F27" s="1321" t="s">
        <v>3500</v>
      </c>
      <c r="G27" s="3055" t="s">
        <v>3509</v>
      </c>
      <c r="H27" s="3056"/>
      <c r="I27" s="3056"/>
      <c r="J27" s="3056"/>
      <c r="K27" s="3057"/>
    </row>
    <row r="28" spans="1:11" s="840" customFormat="1" ht="12.75" customHeight="1" x14ac:dyDescent="0.35">
      <c r="A28" s="539"/>
      <c r="B28" s="2986"/>
      <c r="C28" s="1319" t="s">
        <v>3510</v>
      </c>
      <c r="D28" s="3058" t="s">
        <v>3511</v>
      </c>
      <c r="E28" s="2994"/>
      <c r="F28" s="1321" t="s">
        <v>3493</v>
      </c>
      <c r="G28" s="1321" t="s">
        <v>3512</v>
      </c>
      <c r="H28" s="1321" t="s">
        <v>3513</v>
      </c>
      <c r="I28" s="1321" t="s">
        <v>3514</v>
      </c>
      <c r="J28" s="1321" t="s">
        <v>3515</v>
      </c>
      <c r="K28" s="1321" t="s">
        <v>3516</v>
      </c>
    </row>
    <row r="29" spans="1:11" s="840" customFormat="1" ht="51" customHeight="1" x14ac:dyDescent="0.35">
      <c r="A29" s="539"/>
      <c r="B29" s="2986"/>
      <c r="C29" s="3026" t="s">
        <v>3499</v>
      </c>
      <c r="D29" s="2994"/>
      <c r="E29" s="1322">
        <v>70</v>
      </c>
      <c r="F29" s="1321" t="s">
        <v>3500</v>
      </c>
      <c r="G29" s="3055" t="s">
        <v>3517</v>
      </c>
      <c r="H29" s="3056"/>
      <c r="I29" s="3056"/>
      <c r="J29" s="3056"/>
      <c r="K29" s="3057"/>
    </row>
    <row r="30" spans="1:11" s="840" customFormat="1" ht="12.75" customHeight="1" x14ac:dyDescent="0.35">
      <c r="A30" s="539"/>
      <c r="B30" s="2986"/>
      <c r="C30" s="2998" t="s">
        <v>3518</v>
      </c>
      <c r="D30" s="2998"/>
      <c r="E30" s="2998"/>
      <c r="F30" s="2998"/>
      <c r="G30" s="2998"/>
      <c r="H30" s="2998"/>
      <c r="I30" s="2998"/>
      <c r="J30" s="2998"/>
      <c r="K30" s="2999"/>
    </row>
    <row r="31" spans="1:11" s="840" customFormat="1" ht="61.5" customHeight="1" x14ac:dyDescent="0.35">
      <c r="A31" s="539"/>
      <c r="B31" s="2986"/>
      <c r="C31" s="1319" t="s">
        <v>3491</v>
      </c>
      <c r="D31" s="2900" t="s">
        <v>3519</v>
      </c>
      <c r="E31" s="2900"/>
      <c r="F31" s="1321" t="s">
        <v>3520</v>
      </c>
      <c r="G31" s="1321" t="s">
        <v>3521</v>
      </c>
      <c r="H31" s="1321" t="s">
        <v>3522</v>
      </c>
      <c r="I31" s="1321" t="s">
        <v>3506</v>
      </c>
      <c r="J31" s="1321" t="s">
        <v>3523</v>
      </c>
      <c r="K31" s="1321" t="s">
        <v>3524</v>
      </c>
    </row>
    <row r="32" spans="1:11" s="840" customFormat="1" ht="24" customHeight="1" x14ac:dyDescent="0.35">
      <c r="A32" s="539"/>
      <c r="B32" s="2986"/>
      <c r="C32" s="3026" t="s">
        <v>3499</v>
      </c>
      <c r="D32" s="2994"/>
      <c r="E32" s="1322" t="s">
        <v>317</v>
      </c>
      <c r="F32" s="1321" t="s">
        <v>3500</v>
      </c>
      <c r="G32" s="1323" t="s">
        <v>3525</v>
      </c>
      <c r="H32" s="1323"/>
      <c r="I32" s="1323"/>
      <c r="J32" s="1323"/>
      <c r="K32" s="1323"/>
    </row>
    <row r="33" spans="1:11" s="840" customFormat="1" ht="145.5" customHeight="1" x14ac:dyDescent="0.35">
      <c r="A33" s="539"/>
      <c r="B33" s="2986"/>
      <c r="C33" s="1319" t="s">
        <v>3502</v>
      </c>
      <c r="D33" s="2900" t="s">
        <v>3526</v>
      </c>
      <c r="E33" s="2900"/>
      <c r="F33" s="1321" t="s">
        <v>3527</v>
      </c>
      <c r="G33" s="1321" t="s">
        <v>3528</v>
      </c>
      <c r="H33" s="1321" t="s">
        <v>3529</v>
      </c>
      <c r="I33" s="1321" t="s">
        <v>3530</v>
      </c>
      <c r="J33" s="1321" t="s">
        <v>3531</v>
      </c>
      <c r="K33" s="1321"/>
    </row>
    <row r="34" spans="1:11" s="840" customFormat="1" ht="64.5" customHeight="1" x14ac:dyDescent="0.35">
      <c r="A34" s="539"/>
      <c r="B34" s="2986"/>
      <c r="C34" s="3026" t="s">
        <v>3499</v>
      </c>
      <c r="D34" s="2994"/>
      <c r="E34" s="1322">
        <v>10</v>
      </c>
      <c r="F34" s="1321" t="s">
        <v>3500</v>
      </c>
      <c r="G34" s="3055" t="s">
        <v>3532</v>
      </c>
      <c r="H34" s="3056"/>
      <c r="I34" s="3056"/>
      <c r="J34" s="3056"/>
      <c r="K34" s="3057"/>
    </row>
    <row r="35" spans="1:11" s="840" customFormat="1" ht="57.75" customHeight="1" x14ac:dyDescent="0.35">
      <c r="A35" s="539"/>
      <c r="B35" s="2986"/>
      <c r="C35" s="1319" t="s">
        <v>3510</v>
      </c>
      <c r="D35" s="2900" t="s">
        <v>3533</v>
      </c>
      <c r="E35" s="2900"/>
      <c r="F35" s="1321" t="s">
        <v>3534</v>
      </c>
      <c r="G35" s="1321" t="s">
        <v>3535</v>
      </c>
      <c r="H35" s="1321" t="s">
        <v>3536</v>
      </c>
      <c r="I35" s="1321" t="s">
        <v>3537</v>
      </c>
      <c r="J35" s="1321" t="s">
        <v>3538</v>
      </c>
      <c r="K35" s="1321" t="s">
        <v>3539</v>
      </c>
    </row>
    <row r="36" spans="1:11" s="840" customFormat="1" ht="12.75" customHeight="1" x14ac:dyDescent="0.35">
      <c r="A36" s="539"/>
      <c r="B36" s="2986"/>
      <c r="C36" s="2900" t="s">
        <v>3499</v>
      </c>
      <c r="D36" s="2900"/>
      <c r="E36" s="17">
        <v>0</v>
      </c>
      <c r="F36" s="1321" t="s">
        <v>3500</v>
      </c>
      <c r="G36" s="3055" t="s">
        <v>3540</v>
      </c>
      <c r="H36" s="3056"/>
      <c r="I36" s="3056"/>
      <c r="J36" s="3056"/>
      <c r="K36" s="3057"/>
    </row>
    <row r="37" spans="1:11" s="840" customFormat="1" ht="12.75" customHeight="1" x14ac:dyDescent="0.35">
      <c r="A37" s="539"/>
      <c r="B37" s="2986"/>
      <c r="C37" s="1319" t="s">
        <v>3541</v>
      </c>
      <c r="D37" s="3059" t="s">
        <v>3542</v>
      </c>
      <c r="E37" s="3019"/>
      <c r="F37" s="1321" t="s">
        <v>3543</v>
      </c>
      <c r="G37" s="1321" t="s">
        <v>3521</v>
      </c>
      <c r="H37" s="1321" t="s">
        <v>3544</v>
      </c>
      <c r="I37" s="1321" t="s">
        <v>3545</v>
      </c>
      <c r="J37" s="1321" t="s">
        <v>3546</v>
      </c>
      <c r="K37" s="1321" t="s">
        <v>3547</v>
      </c>
    </row>
    <row r="38" spans="1:11" s="840" customFormat="1" ht="12.75" customHeight="1" x14ac:dyDescent="0.35">
      <c r="A38" s="539"/>
      <c r="B38" s="2986"/>
      <c r="C38" s="3060" t="s">
        <v>3499</v>
      </c>
      <c r="D38" s="3019"/>
      <c r="E38" s="1322" t="s">
        <v>317</v>
      </c>
      <c r="F38" s="1321" t="s">
        <v>3500</v>
      </c>
      <c r="G38" s="1323" t="s">
        <v>3525</v>
      </c>
      <c r="H38" s="1323"/>
      <c r="I38" s="1323"/>
      <c r="J38" s="1323"/>
      <c r="K38" s="1323"/>
    </row>
    <row r="39" spans="1:11" s="840" customFormat="1" ht="12.75" customHeight="1" x14ac:dyDescent="0.35">
      <c r="A39" s="539"/>
      <c r="B39" s="2986"/>
      <c r="C39" s="2998" t="s">
        <v>3548</v>
      </c>
      <c r="D39" s="2998"/>
      <c r="E39" s="2998"/>
      <c r="F39" s="2999"/>
      <c r="G39" s="1322">
        <v>30</v>
      </c>
      <c r="H39" s="3000" t="s">
        <v>3549</v>
      </c>
      <c r="I39" s="3001"/>
      <c r="J39" s="3001"/>
      <c r="K39" s="3002"/>
    </row>
    <row r="40" spans="1:11" s="840" customFormat="1" ht="12.75" customHeight="1" x14ac:dyDescent="0.35">
      <c r="A40" s="539"/>
      <c r="B40" s="2986"/>
      <c r="C40" s="17"/>
      <c r="D40" s="17"/>
      <c r="E40" s="17"/>
    </row>
    <row r="41" spans="1:11" s="840" customFormat="1" ht="12.75" customHeight="1" x14ac:dyDescent="0.35">
      <c r="B41" s="2986"/>
      <c r="C41" s="3008" t="s">
        <v>3550</v>
      </c>
      <c r="D41" s="3008"/>
      <c r="E41" s="3008"/>
      <c r="F41" s="3008"/>
      <c r="G41" s="3008"/>
      <c r="H41" s="3008"/>
      <c r="I41" s="3008"/>
      <c r="J41" s="3008"/>
      <c r="K41" s="3008"/>
    </row>
    <row r="42" spans="1:11" s="840" customFormat="1" ht="12.75" customHeight="1" x14ac:dyDescent="0.35">
      <c r="B42" s="2986"/>
      <c r="C42" s="1315"/>
      <c r="D42" s="1316"/>
      <c r="E42" s="1316"/>
      <c r="F42" s="3010" t="s">
        <v>3483</v>
      </c>
      <c r="G42" s="3011"/>
      <c r="H42" s="3011"/>
      <c r="I42" s="3011"/>
      <c r="J42" s="3011"/>
      <c r="K42" s="3011"/>
    </row>
    <row r="43" spans="1:11" s="840" customFormat="1" ht="16.5" x14ac:dyDescent="0.35">
      <c r="B43" s="2986"/>
      <c r="C43" s="1315"/>
      <c r="D43" s="1316"/>
      <c r="E43" s="1316"/>
      <c r="F43" s="1317" t="s">
        <v>3484</v>
      </c>
      <c r="G43" s="1318" t="s">
        <v>3485</v>
      </c>
      <c r="H43" s="1317" t="s">
        <v>3551</v>
      </c>
      <c r="I43" s="1317" t="s">
        <v>3552</v>
      </c>
      <c r="J43" s="1317" t="s">
        <v>3488</v>
      </c>
      <c r="K43" s="1317" t="s">
        <v>3489</v>
      </c>
    </row>
    <row r="44" spans="1:11" s="840" customFormat="1" ht="12.75" customHeight="1" x14ac:dyDescent="0.35">
      <c r="B44" s="2986"/>
      <c r="C44" s="2900" t="s">
        <v>3553</v>
      </c>
      <c r="D44" s="2900"/>
      <c r="E44" s="2900"/>
      <c r="F44" s="2900"/>
      <c r="G44" s="2900"/>
      <c r="H44" s="2900"/>
      <c r="I44" s="2900"/>
      <c r="J44" s="2900"/>
      <c r="K44" s="2900"/>
    </row>
    <row r="45" spans="1:11" s="840" customFormat="1" ht="89.25" customHeight="1" x14ac:dyDescent="0.35">
      <c r="B45" s="2986"/>
      <c r="C45" s="1319" t="s">
        <v>3491</v>
      </c>
      <c r="D45" s="3058" t="s">
        <v>3554</v>
      </c>
      <c r="E45" s="2994"/>
      <c r="F45" s="1321" t="s">
        <v>3555</v>
      </c>
      <c r="G45" s="1321" t="s">
        <v>3556</v>
      </c>
      <c r="H45" s="1321" t="s">
        <v>3557</v>
      </c>
      <c r="I45" s="1321" t="s">
        <v>3558</v>
      </c>
      <c r="J45" s="1321" t="s">
        <v>3559</v>
      </c>
      <c r="K45" s="1321" t="s">
        <v>3560</v>
      </c>
    </row>
    <row r="46" spans="1:11" s="840" customFormat="1" ht="12.75" customHeight="1" x14ac:dyDescent="0.35">
      <c r="B46" s="2986"/>
      <c r="C46" s="3026" t="s">
        <v>3499</v>
      </c>
      <c r="D46" s="2994"/>
      <c r="E46" s="1322">
        <v>80</v>
      </c>
      <c r="F46" s="1321" t="s">
        <v>3500</v>
      </c>
      <c r="G46" s="3055" t="s">
        <v>3561</v>
      </c>
      <c r="H46" s="3056"/>
      <c r="I46" s="3056"/>
      <c r="J46" s="3056"/>
      <c r="K46" s="3056"/>
    </row>
    <row r="47" spans="1:11" s="840" customFormat="1" ht="114.75" customHeight="1" x14ac:dyDescent="0.35">
      <c r="B47" s="2986"/>
      <c r="C47" s="1319" t="s">
        <v>3502</v>
      </c>
      <c r="D47" s="2900" t="s">
        <v>3562</v>
      </c>
      <c r="E47" s="2900"/>
      <c r="F47" s="1321" t="s">
        <v>3563</v>
      </c>
      <c r="G47" s="1321" t="s">
        <v>3564</v>
      </c>
      <c r="H47" s="1321" t="s">
        <v>3565</v>
      </c>
      <c r="I47" s="1321" t="s">
        <v>3566</v>
      </c>
      <c r="J47" s="1321" t="s">
        <v>3567</v>
      </c>
      <c r="K47" s="1321" t="s">
        <v>3568</v>
      </c>
    </row>
    <row r="48" spans="1:11" s="840" customFormat="1" ht="45" customHeight="1" x14ac:dyDescent="0.35">
      <c r="B48" s="2986"/>
      <c r="C48" s="2900" t="s">
        <v>3499</v>
      </c>
      <c r="D48" s="2900"/>
      <c r="E48" s="17">
        <v>100</v>
      </c>
      <c r="F48" s="1321" t="s">
        <v>3500</v>
      </c>
      <c r="G48" s="3055" t="s">
        <v>3569</v>
      </c>
      <c r="H48" s="3056"/>
      <c r="I48" s="3056"/>
      <c r="J48" s="3056"/>
      <c r="K48" s="3056"/>
    </row>
    <row r="49" spans="2:11" s="840" customFormat="1" ht="148.5" customHeight="1" x14ac:dyDescent="0.35">
      <c r="B49" s="2986"/>
      <c r="C49" s="1319" t="s">
        <v>3510</v>
      </c>
      <c r="D49" s="2900" t="s">
        <v>3570</v>
      </c>
      <c r="E49" s="2900"/>
      <c r="F49" s="1321" t="s">
        <v>3571</v>
      </c>
      <c r="G49" s="1321" t="s">
        <v>3572</v>
      </c>
      <c r="H49" s="1321" t="s">
        <v>3573</v>
      </c>
      <c r="I49" s="1321" t="s">
        <v>3574</v>
      </c>
      <c r="J49" s="1321" t="s">
        <v>3575</v>
      </c>
      <c r="K49" s="1321" t="s">
        <v>3576</v>
      </c>
    </row>
    <row r="50" spans="2:11" s="840" customFormat="1" ht="44.25" customHeight="1" x14ac:dyDescent="0.35">
      <c r="B50" s="2986"/>
      <c r="C50" s="3026" t="s">
        <v>3499</v>
      </c>
      <c r="D50" s="2994"/>
      <c r="E50" s="1322">
        <v>60</v>
      </c>
      <c r="F50" s="1321" t="s">
        <v>3500</v>
      </c>
      <c r="G50" s="3055" t="s">
        <v>3577</v>
      </c>
      <c r="H50" s="3056"/>
      <c r="I50" s="3056"/>
      <c r="J50" s="3056"/>
      <c r="K50" s="3056"/>
    </row>
    <row r="51" spans="2:11" s="840" customFormat="1" ht="76.5" customHeight="1" x14ac:dyDescent="0.35">
      <c r="B51" s="2986"/>
      <c r="C51" s="1319" t="s">
        <v>3541</v>
      </c>
      <c r="D51" s="2900" t="s">
        <v>3578</v>
      </c>
      <c r="E51" s="2900"/>
      <c r="F51" s="1321" t="s">
        <v>3579</v>
      </c>
      <c r="G51" s="1321" t="s">
        <v>3580</v>
      </c>
      <c r="H51" s="1321" t="s">
        <v>3581</v>
      </c>
      <c r="I51" s="1321" t="s">
        <v>3582</v>
      </c>
      <c r="J51" s="1321" t="s">
        <v>3583</v>
      </c>
      <c r="K51" s="1321" t="s">
        <v>3584</v>
      </c>
    </row>
    <row r="52" spans="2:11" s="840" customFormat="1" ht="12.75" customHeight="1" x14ac:dyDescent="0.35">
      <c r="B52" s="2986"/>
      <c r="C52" s="3026" t="s">
        <v>3499</v>
      </c>
      <c r="D52" s="2994"/>
      <c r="E52" s="1322">
        <v>60</v>
      </c>
      <c r="F52" s="1321" t="s">
        <v>3500</v>
      </c>
      <c r="G52" s="3055" t="s">
        <v>3585</v>
      </c>
      <c r="H52" s="3056"/>
      <c r="I52" s="3056"/>
      <c r="J52" s="3056"/>
      <c r="K52" s="3056"/>
    </row>
    <row r="53" spans="2:11" s="840" customFormat="1" ht="63.75" customHeight="1" x14ac:dyDescent="0.35">
      <c r="B53" s="2986"/>
      <c r="C53" s="1319" t="s">
        <v>3586</v>
      </c>
      <c r="D53" s="2900" t="s">
        <v>3587</v>
      </c>
      <c r="E53" s="2900"/>
      <c r="F53" s="1321" t="s">
        <v>3588</v>
      </c>
      <c r="G53" s="1321" t="s">
        <v>3589</v>
      </c>
      <c r="H53" s="1321" t="s">
        <v>3590</v>
      </c>
      <c r="I53" s="1321" t="s">
        <v>3591</v>
      </c>
      <c r="J53" s="1321" t="s">
        <v>3592</v>
      </c>
      <c r="K53" s="1321" t="s">
        <v>3593</v>
      </c>
    </row>
    <row r="54" spans="2:11" s="840" customFormat="1" ht="12.75" customHeight="1" x14ac:dyDescent="0.35">
      <c r="B54" s="2986"/>
      <c r="C54" s="3026" t="s">
        <v>3499</v>
      </c>
      <c r="D54" s="2994"/>
      <c r="E54" s="1322">
        <v>0</v>
      </c>
      <c r="F54" s="1321" t="s">
        <v>3500</v>
      </c>
      <c r="G54" s="3061"/>
      <c r="H54" s="3062"/>
      <c r="I54" s="3062"/>
      <c r="J54" s="3062"/>
      <c r="K54" s="3062"/>
    </row>
    <row r="55" spans="2:11" s="840" customFormat="1" ht="135" customHeight="1" x14ac:dyDescent="0.35">
      <c r="B55" s="2986"/>
      <c r="C55" s="1319" t="s">
        <v>3594</v>
      </c>
      <c r="D55" s="2900" t="s">
        <v>3595</v>
      </c>
      <c r="E55" s="2900"/>
      <c r="F55" s="1321" t="s">
        <v>3596</v>
      </c>
      <c r="G55" s="1321" t="s">
        <v>3597</v>
      </c>
      <c r="H55" s="1321" t="s">
        <v>3598</v>
      </c>
      <c r="I55" s="1321" t="s">
        <v>3599</v>
      </c>
      <c r="J55" s="1321" t="s">
        <v>3600</v>
      </c>
      <c r="K55" s="1321" t="s">
        <v>3601</v>
      </c>
    </row>
    <row r="56" spans="2:11" s="840" customFormat="1" ht="37.5" customHeight="1" x14ac:dyDescent="0.35">
      <c r="B56" s="2986"/>
      <c r="C56" s="3026" t="s">
        <v>3499</v>
      </c>
      <c r="D56" s="2994"/>
      <c r="E56" s="1322">
        <v>60</v>
      </c>
      <c r="F56" s="1321" t="s">
        <v>3500</v>
      </c>
      <c r="G56" s="3055" t="s">
        <v>3602</v>
      </c>
      <c r="H56" s="3056"/>
      <c r="I56" s="3056"/>
      <c r="J56" s="3056"/>
      <c r="K56" s="3056"/>
    </row>
    <row r="57" spans="2:11" s="840" customFormat="1" ht="12.75" customHeight="1" x14ac:dyDescent="0.35">
      <c r="B57" s="2986"/>
      <c r="C57" s="2998" t="s">
        <v>3603</v>
      </c>
      <c r="D57" s="2998"/>
      <c r="E57" s="2998"/>
      <c r="F57" s="2998"/>
      <c r="G57" s="2998"/>
      <c r="H57" s="2998"/>
      <c r="I57" s="2998"/>
      <c r="J57" s="2998"/>
      <c r="K57" s="2998"/>
    </row>
    <row r="58" spans="2:11" s="840" customFormat="1" ht="89.25" customHeight="1" x14ac:dyDescent="0.35">
      <c r="B58" s="2986"/>
      <c r="C58" s="17" t="s">
        <v>3491</v>
      </c>
      <c r="D58" s="2900" t="s">
        <v>3604</v>
      </c>
      <c r="E58" s="2900"/>
      <c r="F58" s="1321" t="s">
        <v>3605</v>
      </c>
      <c r="G58" s="17" t="s">
        <v>3606</v>
      </c>
      <c r="H58" s="17" t="s">
        <v>3607</v>
      </c>
      <c r="I58" s="17" t="s">
        <v>3608</v>
      </c>
      <c r="J58" s="17" t="s">
        <v>3609</v>
      </c>
      <c r="K58" s="17" t="s">
        <v>3610</v>
      </c>
    </row>
    <row r="59" spans="2:11" s="840" customFormat="1" ht="12.75" customHeight="1" x14ac:dyDescent="0.35">
      <c r="B59" s="2986"/>
      <c r="C59" s="3054" t="s">
        <v>3499</v>
      </c>
      <c r="D59" s="3023"/>
      <c r="E59" s="1322">
        <v>0</v>
      </c>
      <c r="F59" s="1321" t="s">
        <v>3500</v>
      </c>
      <c r="G59" s="2900"/>
      <c r="H59" s="2900"/>
      <c r="I59" s="2900"/>
      <c r="J59" s="2900"/>
      <c r="K59" s="2900"/>
    </row>
    <row r="60" spans="2:11" s="840" customFormat="1" ht="143.25" customHeight="1" x14ac:dyDescent="0.35">
      <c r="B60" s="2986"/>
      <c r="C60" s="1319" t="s">
        <v>3502</v>
      </c>
      <c r="D60" s="3058" t="s">
        <v>3611</v>
      </c>
      <c r="E60" s="2994"/>
      <c r="F60" s="1321" t="s">
        <v>3612</v>
      </c>
      <c r="G60" s="1321" t="s">
        <v>3613</v>
      </c>
      <c r="H60" s="1321" t="s">
        <v>3614</v>
      </c>
      <c r="I60" s="1321" t="s">
        <v>3615</v>
      </c>
      <c r="J60" s="1321" t="s">
        <v>3616</v>
      </c>
      <c r="K60" s="1321" t="s">
        <v>3617</v>
      </c>
    </row>
    <row r="61" spans="2:11" s="840" customFormat="1" ht="33" customHeight="1" x14ac:dyDescent="0.35">
      <c r="B61" s="2986"/>
      <c r="C61" s="3026" t="s">
        <v>3499</v>
      </c>
      <c r="D61" s="2994"/>
      <c r="E61" s="1322">
        <v>80</v>
      </c>
      <c r="F61" s="1321" t="s">
        <v>3500</v>
      </c>
      <c r="G61" s="3055" t="s">
        <v>3618</v>
      </c>
      <c r="H61" s="3056"/>
      <c r="I61" s="3056"/>
      <c r="J61" s="3056"/>
      <c r="K61" s="3056"/>
    </row>
    <row r="62" spans="2:11" s="840" customFormat="1" ht="63.75" customHeight="1" x14ac:dyDescent="0.35">
      <c r="B62" s="2986"/>
      <c r="C62" s="17" t="s">
        <v>3510</v>
      </c>
      <c r="D62" s="2900" t="s">
        <v>3619</v>
      </c>
      <c r="E62" s="2900"/>
      <c r="F62" s="1321" t="s">
        <v>3620</v>
      </c>
      <c r="G62" s="1321" t="s">
        <v>3621</v>
      </c>
      <c r="H62" s="1321" t="s">
        <v>3622</v>
      </c>
      <c r="I62" s="1321" t="s">
        <v>3623</v>
      </c>
      <c r="J62" s="1321" t="s">
        <v>3592</v>
      </c>
      <c r="K62" s="1321" t="s">
        <v>3624</v>
      </c>
    </row>
    <row r="63" spans="2:11" s="840" customFormat="1" ht="12.75" customHeight="1" x14ac:dyDescent="0.35">
      <c r="B63" s="2986"/>
      <c r="C63" s="3026" t="s">
        <v>3499</v>
      </c>
      <c r="D63" s="2994"/>
      <c r="E63" s="1322" t="s">
        <v>317</v>
      </c>
      <c r="F63" s="1321" t="s">
        <v>3500</v>
      </c>
      <c r="G63" s="3055" t="s">
        <v>3625</v>
      </c>
      <c r="H63" s="3056"/>
      <c r="I63" s="3056"/>
      <c r="J63" s="3056"/>
      <c r="K63" s="3056"/>
    </row>
    <row r="64" spans="2:11" s="840" customFormat="1" ht="63.75" customHeight="1" x14ac:dyDescent="0.35">
      <c r="B64" s="2986"/>
      <c r="C64" s="1319" t="s">
        <v>3541</v>
      </c>
      <c r="D64" s="2900" t="s">
        <v>3626</v>
      </c>
      <c r="E64" s="2900"/>
      <c r="F64" s="1321" t="s">
        <v>3627</v>
      </c>
      <c r="G64" s="1321" t="s">
        <v>3628</v>
      </c>
      <c r="H64" s="1321" t="s">
        <v>3629</v>
      </c>
      <c r="I64" s="1321" t="s">
        <v>3630</v>
      </c>
      <c r="J64" s="1321" t="s">
        <v>3592</v>
      </c>
      <c r="K64" s="1321" t="s">
        <v>3631</v>
      </c>
    </row>
    <row r="65" spans="2:11" s="840" customFormat="1" ht="12.75" customHeight="1" x14ac:dyDescent="0.35">
      <c r="B65" s="2986"/>
      <c r="C65" s="3026" t="s">
        <v>3499</v>
      </c>
      <c r="D65" s="2994"/>
      <c r="E65" s="1322">
        <v>0</v>
      </c>
      <c r="F65" s="1321" t="s">
        <v>3500</v>
      </c>
      <c r="G65" s="3055" t="s">
        <v>3632</v>
      </c>
      <c r="H65" s="3056"/>
      <c r="I65" s="3056"/>
      <c r="J65" s="3056"/>
      <c r="K65" s="3056"/>
    </row>
    <row r="66" spans="2:11" s="840" customFormat="1" ht="38.25" customHeight="1" x14ac:dyDescent="0.35">
      <c r="B66" s="2986"/>
      <c r="C66" s="17" t="s">
        <v>3586</v>
      </c>
      <c r="D66" s="2900" t="s">
        <v>3633</v>
      </c>
      <c r="E66" s="2900"/>
      <c r="F66" s="1321" t="s">
        <v>3634</v>
      </c>
      <c r="G66" s="17" t="s">
        <v>3635</v>
      </c>
      <c r="H66" s="17" t="s">
        <v>3636</v>
      </c>
      <c r="I66" s="17" t="s">
        <v>3637</v>
      </c>
      <c r="J66" s="17" t="s">
        <v>3638</v>
      </c>
      <c r="K66" s="17" t="s">
        <v>3639</v>
      </c>
    </row>
    <row r="67" spans="2:11" s="840" customFormat="1" ht="12.75" customHeight="1" x14ac:dyDescent="0.35">
      <c r="B67" s="2986"/>
      <c r="C67" s="3026" t="s">
        <v>3499</v>
      </c>
      <c r="D67" s="2994"/>
      <c r="E67" s="1322">
        <v>0</v>
      </c>
      <c r="F67" s="1321" t="s">
        <v>3500</v>
      </c>
      <c r="G67" s="2900" t="s">
        <v>3640</v>
      </c>
      <c r="H67" s="2900"/>
      <c r="I67" s="2900"/>
      <c r="J67" s="2900"/>
      <c r="K67" s="2900"/>
    </row>
    <row r="68" spans="2:11" s="840" customFormat="1" ht="89.25" customHeight="1" x14ac:dyDescent="0.35">
      <c r="B68" s="2986"/>
      <c r="C68" s="1319" t="s">
        <v>3594</v>
      </c>
      <c r="D68" s="3059" t="s">
        <v>3641</v>
      </c>
      <c r="E68" s="3019"/>
      <c r="F68" s="1321" t="s">
        <v>3642</v>
      </c>
      <c r="G68" s="1321" t="s">
        <v>3606</v>
      </c>
      <c r="H68" s="1321" t="s">
        <v>3643</v>
      </c>
      <c r="I68" s="1321" t="s">
        <v>3644</v>
      </c>
      <c r="J68" s="1321" t="s">
        <v>3645</v>
      </c>
      <c r="K68" s="1321" t="s">
        <v>3646</v>
      </c>
    </row>
    <row r="69" spans="2:11" s="840" customFormat="1" ht="12.75" customHeight="1" x14ac:dyDescent="0.35">
      <c r="B69" s="2986"/>
      <c r="C69" s="3060" t="s">
        <v>3499</v>
      </c>
      <c r="D69" s="3019"/>
      <c r="E69" s="1322" t="s">
        <v>317</v>
      </c>
      <c r="F69" s="1321" t="s">
        <v>3500</v>
      </c>
      <c r="G69" s="3055" t="s">
        <v>3647</v>
      </c>
      <c r="H69" s="3056"/>
      <c r="I69" s="3056"/>
      <c r="J69" s="3056"/>
      <c r="K69" s="3056"/>
    </row>
    <row r="70" spans="2:11" s="840" customFormat="1" ht="12.75" customHeight="1" x14ac:dyDescent="0.35">
      <c r="B70" s="2986"/>
      <c r="C70" s="2900" t="s">
        <v>3648</v>
      </c>
      <c r="D70" s="2900"/>
      <c r="E70" s="2900"/>
      <c r="F70" s="2900"/>
      <c r="G70" s="1322">
        <v>50</v>
      </c>
      <c r="H70" s="2900" t="s">
        <v>3549</v>
      </c>
      <c r="I70" s="2900"/>
      <c r="J70" s="2900"/>
      <c r="K70" s="2900"/>
    </row>
    <row r="71" spans="2:11" s="840" customFormat="1" ht="16.5" x14ac:dyDescent="0.35">
      <c r="B71" s="2986"/>
      <c r="H71" s="17"/>
      <c r="I71" s="17"/>
      <c r="J71" s="17"/>
      <c r="K71" s="17"/>
    </row>
    <row r="72" spans="2:11" s="840" customFormat="1" ht="12.75" customHeight="1" x14ac:dyDescent="0.35">
      <c r="B72" s="2986"/>
      <c r="C72" s="3008" t="s">
        <v>3649</v>
      </c>
      <c r="D72" s="3008"/>
      <c r="E72" s="3008"/>
      <c r="F72" s="3008"/>
      <c r="G72" s="3008"/>
      <c r="H72" s="3008"/>
      <c r="I72" s="3008"/>
      <c r="J72" s="3008"/>
      <c r="K72" s="3009"/>
    </row>
    <row r="73" spans="2:11" s="840" customFormat="1" ht="12.75" customHeight="1" x14ac:dyDescent="0.35">
      <c r="B73" s="2986"/>
      <c r="C73" s="1319"/>
      <c r="D73" s="1320"/>
      <c r="E73" s="1320"/>
      <c r="F73" s="3010" t="s">
        <v>3483</v>
      </c>
      <c r="G73" s="3011"/>
      <c r="H73" s="3011"/>
      <c r="I73" s="3011"/>
      <c r="J73" s="3011"/>
      <c r="K73" s="3012"/>
    </row>
    <row r="74" spans="2:11" s="840" customFormat="1" ht="16.5" x14ac:dyDescent="0.35">
      <c r="B74" s="2986"/>
      <c r="C74" s="17"/>
      <c r="D74" s="17"/>
      <c r="E74" s="17"/>
      <c r="F74" s="1317" t="s">
        <v>3484</v>
      </c>
      <c r="G74" s="1318" t="s">
        <v>3485</v>
      </c>
      <c r="H74" s="1317" t="s">
        <v>3551</v>
      </c>
      <c r="I74" s="1318" t="s">
        <v>3650</v>
      </c>
      <c r="J74" s="1318" t="s">
        <v>3488</v>
      </c>
      <c r="K74" s="1318" t="s">
        <v>3489</v>
      </c>
    </row>
    <row r="75" spans="2:11" s="840" customFormat="1" ht="12.75" customHeight="1" x14ac:dyDescent="0.35">
      <c r="B75" s="2986"/>
      <c r="C75" s="2998" t="s">
        <v>3651</v>
      </c>
      <c r="D75" s="2998"/>
      <c r="E75" s="2998"/>
      <c r="F75" s="2998"/>
      <c r="G75" s="2998"/>
      <c r="H75" s="2998"/>
      <c r="I75" s="2998"/>
      <c r="J75" s="2998"/>
      <c r="K75" s="2999"/>
    </row>
    <row r="76" spans="2:11" s="840" customFormat="1" ht="63.75" customHeight="1" x14ac:dyDescent="0.35">
      <c r="B76" s="2986"/>
      <c r="C76" s="1319" t="s">
        <v>3491</v>
      </c>
      <c r="D76" s="2900" t="s">
        <v>3652</v>
      </c>
      <c r="E76" s="2900"/>
      <c r="F76" s="1321" t="s">
        <v>3653</v>
      </c>
      <c r="G76" s="1321" t="s">
        <v>3654</v>
      </c>
      <c r="H76" s="1321" t="s">
        <v>3655</v>
      </c>
      <c r="I76" s="1321" t="s">
        <v>3656</v>
      </c>
      <c r="J76" s="1321" t="s">
        <v>3657</v>
      </c>
      <c r="K76" s="1321" t="s">
        <v>3658</v>
      </c>
    </row>
    <row r="77" spans="2:11" s="840" customFormat="1" ht="39.75" customHeight="1" x14ac:dyDescent="0.35">
      <c r="B77" s="2986"/>
      <c r="C77" s="3026" t="s">
        <v>3499</v>
      </c>
      <c r="D77" s="2994"/>
      <c r="E77" s="1322">
        <v>40</v>
      </c>
      <c r="F77" s="1321" t="s">
        <v>3500</v>
      </c>
      <c r="G77" s="3055" t="s">
        <v>3659</v>
      </c>
      <c r="H77" s="3056"/>
      <c r="I77" s="3056"/>
      <c r="J77" s="3056"/>
      <c r="K77" s="3057"/>
    </row>
    <row r="78" spans="2:11" s="840" customFormat="1" ht="76.5" customHeight="1" x14ac:dyDescent="0.35">
      <c r="B78" s="2986"/>
      <c r="C78" s="1319" t="s">
        <v>3502</v>
      </c>
      <c r="D78" s="2900" t="s">
        <v>3660</v>
      </c>
      <c r="E78" s="2900"/>
      <c r="F78" s="1321" t="s">
        <v>3661</v>
      </c>
      <c r="G78" s="1321" t="s">
        <v>3662</v>
      </c>
      <c r="H78" s="1321" t="s">
        <v>3663</v>
      </c>
      <c r="I78" s="1321" t="s">
        <v>3664</v>
      </c>
      <c r="J78" s="1321" t="s">
        <v>3665</v>
      </c>
      <c r="K78" s="1321" t="s">
        <v>3666</v>
      </c>
    </row>
    <row r="79" spans="2:11" s="840" customFormat="1" ht="42.75" customHeight="1" x14ac:dyDescent="0.35">
      <c r="B79" s="2986"/>
      <c r="C79" s="2900" t="s">
        <v>3499</v>
      </c>
      <c r="D79" s="2900"/>
      <c r="E79" s="17">
        <v>60</v>
      </c>
      <c r="F79" s="1321" t="s">
        <v>3500</v>
      </c>
      <c r="G79" s="2900" t="s">
        <v>3667</v>
      </c>
      <c r="H79" s="2900"/>
      <c r="I79" s="2900"/>
      <c r="J79" s="2900"/>
      <c r="K79" s="2900"/>
    </row>
    <row r="80" spans="2:11" s="840" customFormat="1" ht="95.25" customHeight="1" x14ac:dyDescent="0.35">
      <c r="B80" s="2986"/>
      <c r="C80" s="1319" t="s">
        <v>3510</v>
      </c>
      <c r="D80" s="2900" t="s">
        <v>3668</v>
      </c>
      <c r="E80" s="2900"/>
      <c r="F80" s="1321" t="s">
        <v>3661</v>
      </c>
      <c r="G80" s="17" t="s">
        <v>3662</v>
      </c>
      <c r="H80" s="17" t="s">
        <v>3669</v>
      </c>
      <c r="I80" s="17" t="s">
        <v>3670</v>
      </c>
      <c r="J80" s="17" t="s">
        <v>3671</v>
      </c>
      <c r="K80" s="17" t="s">
        <v>3672</v>
      </c>
    </row>
    <row r="81" spans="2:11" s="840" customFormat="1" ht="42.75" customHeight="1" x14ac:dyDescent="0.35">
      <c r="B81" s="2986"/>
      <c r="C81" s="3026" t="s">
        <v>3499</v>
      </c>
      <c r="D81" s="2994"/>
      <c r="E81" s="1322">
        <v>30</v>
      </c>
      <c r="F81" s="1321" t="s">
        <v>3500</v>
      </c>
      <c r="G81" s="3055" t="s">
        <v>3673</v>
      </c>
      <c r="H81" s="3056"/>
      <c r="I81" s="3056"/>
      <c r="J81" s="3056"/>
      <c r="K81" s="3057"/>
    </row>
    <row r="82" spans="2:11" s="840" customFormat="1" ht="151.5" customHeight="1" x14ac:dyDescent="0.35">
      <c r="B82" s="2986"/>
      <c r="C82" s="1319" t="s">
        <v>3541</v>
      </c>
      <c r="D82" s="2900" t="s">
        <v>3674</v>
      </c>
      <c r="E82" s="2900"/>
      <c r="F82" s="1321" t="s">
        <v>3661</v>
      </c>
      <c r="G82" s="1321" t="s">
        <v>3662</v>
      </c>
      <c r="H82" s="1321" t="s">
        <v>3675</v>
      </c>
      <c r="I82" s="1321" t="s">
        <v>3676</v>
      </c>
      <c r="J82" s="1321" t="s">
        <v>3677</v>
      </c>
      <c r="K82" s="1321" t="s">
        <v>3678</v>
      </c>
    </row>
    <row r="83" spans="2:11" s="840" customFormat="1" ht="24" customHeight="1" x14ac:dyDescent="0.35">
      <c r="B83" s="2986"/>
      <c r="C83" s="2900" t="s">
        <v>3499</v>
      </c>
      <c r="D83" s="2900"/>
      <c r="E83" s="17">
        <v>80</v>
      </c>
      <c r="F83" s="1321" t="s">
        <v>3500</v>
      </c>
      <c r="G83" s="2900" t="s">
        <v>3679</v>
      </c>
      <c r="H83" s="2900"/>
      <c r="I83" s="2900"/>
      <c r="J83" s="2900"/>
      <c r="K83" s="2900"/>
    </row>
    <row r="84" spans="2:11" s="840" customFormat="1" ht="76.5" customHeight="1" x14ac:dyDescent="0.35">
      <c r="B84" s="2986"/>
      <c r="C84" s="1319" t="s">
        <v>3586</v>
      </c>
      <c r="D84" s="2900" t="s">
        <v>3680</v>
      </c>
      <c r="E84" s="2900"/>
      <c r="F84" s="1321" t="s">
        <v>3661</v>
      </c>
      <c r="G84" s="17" t="s">
        <v>3662</v>
      </c>
      <c r="H84" s="17" t="s">
        <v>3681</v>
      </c>
      <c r="I84" s="17" t="s">
        <v>3682</v>
      </c>
      <c r="J84" s="17" t="s">
        <v>3683</v>
      </c>
      <c r="K84" s="17" t="s">
        <v>3684</v>
      </c>
    </row>
    <row r="85" spans="2:11" s="840" customFormat="1" ht="33.75" customHeight="1" x14ac:dyDescent="0.35">
      <c r="B85" s="2986"/>
      <c r="C85" s="3026" t="s">
        <v>3499</v>
      </c>
      <c r="D85" s="2994"/>
      <c r="E85" s="1322">
        <v>80</v>
      </c>
      <c r="F85" s="1321" t="s">
        <v>3500</v>
      </c>
      <c r="G85" s="3055" t="s">
        <v>3685</v>
      </c>
      <c r="H85" s="3056"/>
      <c r="I85" s="3056"/>
      <c r="J85" s="3056"/>
      <c r="K85" s="3057"/>
    </row>
    <row r="86" spans="2:11" s="840" customFormat="1" ht="12.75" customHeight="1" x14ac:dyDescent="0.35">
      <c r="B86" s="2986"/>
      <c r="C86" s="2998" t="s">
        <v>3686</v>
      </c>
      <c r="D86" s="2998"/>
      <c r="E86" s="2998"/>
      <c r="F86" s="2998"/>
      <c r="G86" s="2998"/>
      <c r="H86" s="2998"/>
      <c r="I86" s="2998"/>
      <c r="J86" s="2998"/>
      <c r="K86" s="2999"/>
    </row>
    <row r="87" spans="2:11" s="840" customFormat="1" ht="131.25" customHeight="1" x14ac:dyDescent="0.35">
      <c r="B87" s="2986"/>
      <c r="C87" s="17" t="s">
        <v>3491</v>
      </c>
      <c r="D87" s="2900" t="s">
        <v>3687</v>
      </c>
      <c r="E87" s="2900"/>
      <c r="F87" s="1321" t="s">
        <v>3688</v>
      </c>
      <c r="G87" s="17" t="s">
        <v>3689</v>
      </c>
      <c r="H87" s="17" t="s">
        <v>3690</v>
      </c>
      <c r="I87" s="17" t="s">
        <v>3691</v>
      </c>
      <c r="J87" s="17" t="s">
        <v>3692</v>
      </c>
      <c r="K87" s="17" t="s">
        <v>3693</v>
      </c>
    </row>
    <row r="88" spans="2:11" s="840" customFormat="1" ht="32.25" customHeight="1" x14ac:dyDescent="0.35">
      <c r="B88" s="2986"/>
      <c r="C88" s="3026" t="s">
        <v>3499</v>
      </c>
      <c r="D88" s="2994"/>
      <c r="E88" s="1322">
        <v>40</v>
      </c>
      <c r="F88" s="1321" t="s">
        <v>3500</v>
      </c>
      <c r="G88" s="2900" t="s">
        <v>3694</v>
      </c>
      <c r="H88" s="2900"/>
      <c r="I88" s="2900"/>
      <c r="J88" s="2900"/>
      <c r="K88" s="2900"/>
    </row>
    <row r="89" spans="2:11" s="840" customFormat="1" ht="131.25" customHeight="1" x14ac:dyDescent="0.35">
      <c r="B89" s="2986"/>
      <c r="C89" s="1319" t="s">
        <v>3502</v>
      </c>
      <c r="D89" s="2900" t="s">
        <v>3695</v>
      </c>
      <c r="E89" s="2900"/>
      <c r="F89" s="1321" t="s">
        <v>3696</v>
      </c>
      <c r="G89" s="1321" t="s">
        <v>3697</v>
      </c>
      <c r="H89" s="1321" t="s">
        <v>3698</v>
      </c>
      <c r="I89" s="1321" t="s">
        <v>3699</v>
      </c>
      <c r="J89" s="1321" t="s">
        <v>3700</v>
      </c>
      <c r="K89" s="1321" t="s">
        <v>3701</v>
      </c>
    </row>
    <row r="90" spans="2:11" s="840" customFormat="1" ht="23.25" customHeight="1" x14ac:dyDescent="0.35">
      <c r="B90" s="2986"/>
      <c r="C90" s="3026" t="s">
        <v>3499</v>
      </c>
      <c r="D90" s="2994"/>
      <c r="E90" s="1322">
        <v>60</v>
      </c>
      <c r="F90" s="1321" t="s">
        <v>3500</v>
      </c>
      <c r="G90" s="3055" t="s">
        <v>3702</v>
      </c>
      <c r="H90" s="3056"/>
      <c r="I90" s="3056"/>
      <c r="J90" s="3056"/>
      <c r="K90" s="3057"/>
    </row>
    <row r="91" spans="2:11" s="840" customFormat="1" ht="97.5" customHeight="1" x14ac:dyDescent="0.35">
      <c r="B91" s="2986"/>
      <c r="C91" s="17" t="s">
        <v>3510</v>
      </c>
      <c r="D91" s="2900" t="s">
        <v>3703</v>
      </c>
      <c r="E91" s="2900"/>
      <c r="F91" s="1321" t="s">
        <v>3704</v>
      </c>
      <c r="G91" s="17" t="s">
        <v>3705</v>
      </c>
      <c r="H91" s="17" t="s">
        <v>3706</v>
      </c>
      <c r="I91" s="17" t="s">
        <v>3707</v>
      </c>
      <c r="J91" s="17" t="s">
        <v>3708</v>
      </c>
      <c r="K91" s="17" t="s">
        <v>3709</v>
      </c>
    </row>
    <row r="92" spans="2:11" s="840" customFormat="1" ht="59.25" customHeight="1" x14ac:dyDescent="0.35">
      <c r="B92" s="2986"/>
      <c r="C92" s="3026" t="s">
        <v>3499</v>
      </c>
      <c r="D92" s="2994"/>
      <c r="E92" s="1322">
        <v>70</v>
      </c>
      <c r="F92" s="1321" t="s">
        <v>3500</v>
      </c>
      <c r="G92" s="2900" t="s">
        <v>3710</v>
      </c>
      <c r="H92" s="2900"/>
      <c r="I92" s="2900"/>
      <c r="J92" s="2900"/>
      <c r="K92" s="2900"/>
    </row>
    <row r="93" spans="2:11" s="840" customFormat="1" ht="70.5" customHeight="1" x14ac:dyDescent="0.35">
      <c r="B93" s="2986"/>
      <c r="C93" s="1319" t="s">
        <v>3541</v>
      </c>
      <c r="D93" s="3058" t="s">
        <v>3711</v>
      </c>
      <c r="E93" s="2994"/>
      <c r="F93" s="1321" t="s">
        <v>3704</v>
      </c>
      <c r="G93" s="1321" t="s">
        <v>3712</v>
      </c>
      <c r="H93" s="1321" t="s">
        <v>3713</v>
      </c>
      <c r="I93" s="1321" t="s">
        <v>3714</v>
      </c>
      <c r="J93" s="17" t="s">
        <v>3715</v>
      </c>
      <c r="K93" s="1321" t="s">
        <v>3716</v>
      </c>
    </row>
    <row r="94" spans="2:11" s="840" customFormat="1" ht="12.75" customHeight="1" x14ac:dyDescent="0.35">
      <c r="B94" s="2986"/>
      <c r="C94" s="3026" t="s">
        <v>3499</v>
      </c>
      <c r="D94" s="2994"/>
      <c r="E94" s="1322">
        <v>0</v>
      </c>
      <c r="F94" s="1321" t="s">
        <v>3500</v>
      </c>
      <c r="G94" s="3055"/>
      <c r="H94" s="3056"/>
      <c r="I94" s="3056"/>
      <c r="J94" s="3056"/>
      <c r="K94" s="3057"/>
    </row>
    <row r="95" spans="2:11" s="840" customFormat="1" ht="12.75" customHeight="1" x14ac:dyDescent="0.35">
      <c r="B95" s="2986"/>
      <c r="C95" s="2900" t="s">
        <v>3717</v>
      </c>
      <c r="D95" s="2900"/>
      <c r="E95" s="2900"/>
      <c r="F95" s="2900"/>
      <c r="G95" s="1322">
        <v>50</v>
      </c>
      <c r="H95" s="3000" t="s">
        <v>3718</v>
      </c>
      <c r="I95" s="3001"/>
      <c r="J95" s="3001"/>
      <c r="K95" s="3002"/>
    </row>
    <row r="96" spans="2:11" s="840" customFormat="1" ht="16.5" x14ac:dyDescent="0.35">
      <c r="B96" s="2986"/>
    </row>
    <row r="97" spans="2:11" s="840" customFormat="1" ht="12.75" customHeight="1" x14ac:dyDescent="0.35">
      <c r="B97" s="2986"/>
      <c r="C97" s="3008" t="s">
        <v>3719</v>
      </c>
      <c r="D97" s="3008"/>
      <c r="E97" s="3008"/>
      <c r="F97" s="3008"/>
      <c r="G97" s="3008"/>
      <c r="H97" s="3008"/>
      <c r="I97" s="3008"/>
      <c r="J97" s="3008"/>
      <c r="K97" s="3009"/>
    </row>
    <row r="98" spans="2:11" s="840" customFormat="1" ht="12.75" customHeight="1" x14ac:dyDescent="0.35">
      <c r="B98" s="2986"/>
      <c r="C98" s="1319"/>
      <c r="D98" s="1320"/>
      <c r="E98" s="1320"/>
      <c r="F98" s="3010" t="s">
        <v>3483</v>
      </c>
      <c r="G98" s="3011"/>
      <c r="H98" s="3011"/>
      <c r="I98" s="3011"/>
      <c r="J98" s="3011"/>
      <c r="K98" s="3012"/>
    </row>
    <row r="99" spans="2:11" s="840" customFormat="1" ht="16.5" x14ac:dyDescent="0.35">
      <c r="B99" s="2986"/>
      <c r="C99" s="17"/>
      <c r="D99" s="17"/>
      <c r="E99" s="17"/>
      <c r="F99" s="17" t="s">
        <v>3484</v>
      </c>
      <c r="G99" s="17" t="s">
        <v>3485</v>
      </c>
      <c r="H99" s="17" t="s">
        <v>3551</v>
      </c>
      <c r="I99" s="17" t="s">
        <v>3552</v>
      </c>
      <c r="J99" s="17" t="s">
        <v>3488</v>
      </c>
      <c r="K99" s="17" t="s">
        <v>3489</v>
      </c>
    </row>
    <row r="100" spans="2:11" s="840" customFormat="1" ht="12.75" customHeight="1" x14ac:dyDescent="0.35">
      <c r="B100" s="2986"/>
      <c r="C100" s="2900" t="s">
        <v>3720</v>
      </c>
      <c r="D100" s="2900"/>
      <c r="E100" s="2900"/>
      <c r="F100" s="2900"/>
      <c r="G100" s="2900"/>
      <c r="H100" s="2900"/>
      <c r="I100" s="2900"/>
      <c r="J100" s="2900"/>
      <c r="K100" s="2900"/>
    </row>
    <row r="101" spans="2:11" s="840" customFormat="1" ht="76.5" customHeight="1" x14ac:dyDescent="0.35">
      <c r="B101" s="2986"/>
      <c r="C101" s="1319" t="s">
        <v>3491</v>
      </c>
      <c r="D101" s="3058" t="s">
        <v>3721</v>
      </c>
      <c r="E101" s="2994"/>
      <c r="F101" s="1321" t="s">
        <v>3722</v>
      </c>
      <c r="G101" s="1321" t="s">
        <v>3723</v>
      </c>
      <c r="H101" s="1321" t="s">
        <v>3724</v>
      </c>
      <c r="I101" s="1321" t="s">
        <v>3725</v>
      </c>
      <c r="J101" s="1321" t="s">
        <v>3726</v>
      </c>
      <c r="K101" s="1321" t="s">
        <v>3727</v>
      </c>
    </row>
    <row r="102" spans="2:11" s="840" customFormat="1" ht="44.25" customHeight="1" x14ac:dyDescent="0.35">
      <c r="B102" s="2986"/>
      <c r="C102" s="3026" t="s">
        <v>3499</v>
      </c>
      <c r="D102" s="2994"/>
      <c r="E102" s="1322">
        <v>90</v>
      </c>
      <c r="F102" s="1321" t="s">
        <v>3500</v>
      </c>
      <c r="G102" s="3055" t="s">
        <v>3728</v>
      </c>
      <c r="H102" s="3056"/>
      <c r="I102" s="3056"/>
      <c r="J102" s="3056"/>
      <c r="K102" s="3057"/>
    </row>
    <row r="103" spans="2:11" s="840" customFormat="1" ht="63.75" customHeight="1" x14ac:dyDescent="0.35">
      <c r="B103" s="2986"/>
      <c r="C103" s="1319" t="s">
        <v>3502</v>
      </c>
      <c r="D103" s="2900" t="s">
        <v>3729</v>
      </c>
      <c r="E103" s="2900"/>
      <c r="F103" s="1321" t="s">
        <v>3730</v>
      </c>
      <c r="G103" s="1321" t="s">
        <v>3731</v>
      </c>
      <c r="H103" s="1321" t="s">
        <v>3732</v>
      </c>
      <c r="I103" s="1321" t="s">
        <v>3733</v>
      </c>
      <c r="J103" s="1321" t="s">
        <v>3734</v>
      </c>
      <c r="K103" s="1321" t="s">
        <v>3735</v>
      </c>
    </row>
    <row r="104" spans="2:11" s="840" customFormat="1" ht="12.75" customHeight="1" x14ac:dyDescent="0.35">
      <c r="B104" s="2986"/>
      <c r="C104" s="3026" t="s">
        <v>3499</v>
      </c>
      <c r="D104" s="2994"/>
      <c r="E104" s="1322">
        <v>60</v>
      </c>
      <c r="F104" s="1321" t="s">
        <v>3500</v>
      </c>
      <c r="G104" s="3055" t="s">
        <v>3736</v>
      </c>
      <c r="H104" s="3056"/>
      <c r="I104" s="3056"/>
      <c r="J104" s="3056"/>
      <c r="K104" s="3057"/>
    </row>
    <row r="105" spans="2:11" s="840" customFormat="1" ht="12.75" customHeight="1" x14ac:dyDescent="0.35">
      <c r="B105" s="2986"/>
      <c r="C105" s="2998" t="s">
        <v>3737</v>
      </c>
      <c r="D105" s="2998"/>
      <c r="E105" s="2998"/>
      <c r="F105" s="2998"/>
      <c r="G105" s="2998"/>
      <c r="H105" s="2998"/>
      <c r="I105" s="2998"/>
      <c r="J105" s="2998"/>
      <c r="K105" s="2999"/>
    </row>
    <row r="106" spans="2:11" s="840" customFormat="1" ht="76.5" customHeight="1" x14ac:dyDescent="0.35">
      <c r="B106" s="2986"/>
      <c r="C106" s="1319" t="s">
        <v>3491</v>
      </c>
      <c r="D106" s="3058" t="s">
        <v>3738</v>
      </c>
      <c r="E106" s="2994"/>
      <c r="F106" s="1321" t="s">
        <v>3739</v>
      </c>
      <c r="G106" s="1321" t="s">
        <v>3723</v>
      </c>
      <c r="H106" s="1321" t="s">
        <v>3740</v>
      </c>
      <c r="I106" s="1321" t="s">
        <v>3725</v>
      </c>
      <c r="J106" s="1321" t="s">
        <v>3741</v>
      </c>
      <c r="K106" s="1321" t="s">
        <v>3742</v>
      </c>
    </row>
    <row r="107" spans="2:11" s="840" customFormat="1" ht="12.75" customHeight="1" x14ac:dyDescent="0.35">
      <c r="B107" s="2986"/>
      <c r="C107" s="3026" t="s">
        <v>3499</v>
      </c>
      <c r="D107" s="2994"/>
      <c r="E107" s="1322">
        <v>20</v>
      </c>
      <c r="F107" s="1321" t="s">
        <v>3500</v>
      </c>
      <c r="G107" s="3055" t="s">
        <v>3736</v>
      </c>
      <c r="H107" s="3056"/>
      <c r="I107" s="3056"/>
      <c r="J107" s="3056"/>
      <c r="K107" s="3057"/>
    </row>
    <row r="108" spans="2:11" s="840" customFormat="1" ht="63.75" customHeight="1" x14ac:dyDescent="0.35">
      <c r="B108" s="2986"/>
      <c r="C108" s="1319" t="s">
        <v>3502</v>
      </c>
      <c r="D108" s="2900" t="s">
        <v>3743</v>
      </c>
      <c r="E108" s="2900"/>
      <c r="F108" s="1321" t="s">
        <v>3744</v>
      </c>
      <c r="G108" s="1321" t="s">
        <v>3745</v>
      </c>
      <c r="H108" s="1321" t="s">
        <v>3746</v>
      </c>
      <c r="I108" s="1321" t="s">
        <v>3747</v>
      </c>
      <c r="J108" s="1321" t="s">
        <v>3748</v>
      </c>
      <c r="K108" s="1321" t="s">
        <v>3749</v>
      </c>
    </row>
    <row r="109" spans="2:11" s="840" customFormat="1" ht="12.75" customHeight="1" x14ac:dyDescent="0.35">
      <c r="B109" s="2986"/>
      <c r="C109" s="2900" t="s">
        <v>3499</v>
      </c>
      <c r="D109" s="2900"/>
      <c r="E109" s="17">
        <v>70</v>
      </c>
      <c r="F109" s="1321" t="s">
        <v>3500</v>
      </c>
      <c r="G109" s="3055" t="s">
        <v>3750</v>
      </c>
      <c r="H109" s="3056"/>
      <c r="I109" s="3056"/>
      <c r="J109" s="3056"/>
      <c r="K109" s="3057"/>
    </row>
    <row r="110" spans="2:11" s="840" customFormat="1" ht="76.5" customHeight="1" x14ac:dyDescent="0.35">
      <c r="B110" s="2986"/>
      <c r="C110" s="1319" t="s">
        <v>3510</v>
      </c>
      <c r="D110" s="3058" t="s">
        <v>3751</v>
      </c>
      <c r="E110" s="2994"/>
      <c r="F110" s="1321" t="s">
        <v>3752</v>
      </c>
      <c r="G110" s="1321" t="s">
        <v>3753</v>
      </c>
      <c r="H110" s="1321" t="s">
        <v>3754</v>
      </c>
      <c r="I110" s="1321" t="s">
        <v>3755</v>
      </c>
      <c r="J110" s="1321" t="s">
        <v>3756</v>
      </c>
      <c r="K110" s="1321" t="s">
        <v>3757</v>
      </c>
    </row>
    <row r="111" spans="2:11" s="840" customFormat="1" ht="12.75" customHeight="1" x14ac:dyDescent="0.35">
      <c r="B111" s="2986"/>
      <c r="C111" s="3026" t="s">
        <v>3499</v>
      </c>
      <c r="D111" s="2994"/>
      <c r="E111" s="1322">
        <v>0</v>
      </c>
      <c r="F111" s="1321" t="s">
        <v>3500</v>
      </c>
      <c r="G111" s="3055" t="s">
        <v>3758</v>
      </c>
      <c r="H111" s="3056"/>
      <c r="I111" s="3056"/>
      <c r="J111" s="3056"/>
      <c r="K111" s="3057"/>
    </row>
    <row r="112" spans="2:11" s="840" customFormat="1" ht="12.75" customHeight="1" x14ac:dyDescent="0.35">
      <c r="B112" s="2986"/>
      <c r="C112" s="2998" t="s">
        <v>3759</v>
      </c>
      <c r="D112" s="2998"/>
      <c r="E112" s="2998"/>
      <c r="F112" s="2999"/>
      <c r="G112" s="1322">
        <v>50</v>
      </c>
      <c r="H112" s="3000" t="s">
        <v>3718</v>
      </c>
      <c r="I112" s="3001"/>
      <c r="J112" s="3001"/>
      <c r="K112" s="3002"/>
    </row>
    <row r="113" spans="2:5" s="840" customFormat="1" ht="16.5" x14ac:dyDescent="0.35">
      <c r="B113" s="2986"/>
      <c r="C113" s="17"/>
      <c r="D113" s="17"/>
      <c r="E113" s="17"/>
    </row>
    <row r="114" spans="2:5" s="840" customFormat="1" ht="16.5" x14ac:dyDescent="0.35">
      <c r="B114" s="2986"/>
      <c r="C114" s="17" t="s">
        <v>3760</v>
      </c>
    </row>
    <row r="115" spans="2:5" s="840" customFormat="1" ht="16.5" x14ac:dyDescent="0.35">
      <c r="B115" s="2986"/>
      <c r="C115" s="17" t="s">
        <v>3761</v>
      </c>
    </row>
    <row r="116" spans="2:5" s="840" customFormat="1" ht="16.5" x14ac:dyDescent="0.35">
      <c r="B116" s="2986"/>
      <c r="C116" s="17" t="s">
        <v>3762</v>
      </c>
    </row>
    <row r="117" spans="2:5" s="840" customFormat="1" ht="16.5" x14ac:dyDescent="0.35">
      <c r="B117" s="2986"/>
      <c r="C117" s="17" t="s">
        <v>3763</v>
      </c>
      <c r="D117" s="17"/>
      <c r="E117" s="17"/>
    </row>
    <row r="118" spans="2:5" s="840" customFormat="1" ht="16.5" x14ac:dyDescent="0.35">
      <c r="B118" s="2986"/>
      <c r="C118" s="17" t="s">
        <v>3764</v>
      </c>
    </row>
    <row r="119" spans="2:5" s="840" customFormat="1" ht="16.5" x14ac:dyDescent="0.35">
      <c r="B119" s="2986"/>
      <c r="C119" s="17" t="s">
        <v>3765</v>
      </c>
    </row>
    <row r="120" spans="2:5" s="840" customFormat="1" ht="16.5" x14ac:dyDescent="0.35">
      <c r="B120" s="2986"/>
      <c r="C120" s="17" t="s">
        <v>3766</v>
      </c>
    </row>
    <row r="121" spans="2:5" s="840" customFormat="1" ht="16.5" x14ac:dyDescent="0.35">
      <c r="B121" s="2986"/>
      <c r="C121" s="17" t="s">
        <v>3767</v>
      </c>
      <c r="D121" s="17"/>
      <c r="E121" s="17"/>
    </row>
    <row r="122" spans="2:5" s="840" customFormat="1" ht="16.5" x14ac:dyDescent="0.35">
      <c r="B122" s="2986"/>
      <c r="C122" s="17" t="s">
        <v>3768</v>
      </c>
    </row>
    <row r="123" spans="2:5" s="840" customFormat="1" ht="16.5" x14ac:dyDescent="0.35">
      <c r="B123" s="2986"/>
      <c r="C123" s="17" t="s">
        <v>3769</v>
      </c>
    </row>
    <row r="124" spans="2:5" s="840" customFormat="1" ht="16.5" x14ac:dyDescent="0.35">
      <c r="B124" s="2986"/>
      <c r="C124" s="17" t="s">
        <v>3770</v>
      </c>
    </row>
    <row r="125" spans="2:5" s="840" customFormat="1" ht="16.5" x14ac:dyDescent="0.35">
      <c r="B125" s="2986"/>
      <c r="C125" s="17" t="s">
        <v>3771</v>
      </c>
      <c r="D125" s="17"/>
      <c r="E125" s="17"/>
    </row>
    <row r="126" spans="2:5" s="840" customFormat="1" ht="16.5" x14ac:dyDescent="0.35">
      <c r="B126" s="2986"/>
      <c r="C126" s="17" t="s">
        <v>3772</v>
      </c>
    </row>
    <row r="127" spans="2:5" s="840" customFormat="1" ht="16.5" x14ac:dyDescent="0.35">
      <c r="B127" s="2986"/>
      <c r="C127" s="17" t="s">
        <v>3773</v>
      </c>
    </row>
    <row r="128" spans="2:5" s="840" customFormat="1" ht="16.5" x14ac:dyDescent="0.35">
      <c r="B128" s="2986"/>
      <c r="C128" s="17" t="s">
        <v>3774</v>
      </c>
    </row>
    <row r="129" spans="2:10" s="840" customFormat="1" ht="17.25" x14ac:dyDescent="0.35">
      <c r="B129" s="2986"/>
      <c r="C129" s="1324" t="s">
        <v>3775</v>
      </c>
    </row>
    <row r="130" spans="2:10" s="840" customFormat="1" ht="16.5" x14ac:dyDescent="0.35">
      <c r="B130" s="2986"/>
      <c r="C130" s="17" t="s">
        <v>3776</v>
      </c>
      <c r="D130" s="17"/>
      <c r="E130" s="17"/>
    </row>
    <row r="131" spans="2:10" s="840" customFormat="1" ht="16.5" x14ac:dyDescent="0.35">
      <c r="B131" s="2986"/>
      <c r="C131" s="17" t="s">
        <v>3777</v>
      </c>
    </row>
    <row r="132" spans="2:10" s="840" customFormat="1" ht="16.5" x14ac:dyDescent="0.35">
      <c r="B132" s="2986"/>
      <c r="C132" s="17" t="s">
        <v>3778</v>
      </c>
    </row>
    <row r="133" spans="2:10" s="840" customFormat="1" ht="16.5" x14ac:dyDescent="0.35">
      <c r="B133" s="2986"/>
      <c r="C133" s="17" t="s">
        <v>3779</v>
      </c>
    </row>
    <row r="134" spans="2:10" s="840" customFormat="1" ht="16.5" x14ac:dyDescent="0.35">
      <c r="B134" s="2986"/>
      <c r="C134" s="17" t="s">
        <v>3780</v>
      </c>
      <c r="D134" s="17"/>
      <c r="E134" s="17"/>
    </row>
    <row r="135" spans="2:10" s="840" customFormat="1" ht="16.5" x14ac:dyDescent="0.35">
      <c r="B135" s="2986"/>
      <c r="C135" s="17" t="s">
        <v>3781</v>
      </c>
    </row>
    <row r="136" spans="2:10" s="840" customFormat="1" ht="16.5" x14ac:dyDescent="0.35">
      <c r="B136" s="2986"/>
      <c r="C136" s="17" t="s">
        <v>3782</v>
      </c>
    </row>
    <row r="137" spans="2:10" s="840" customFormat="1" ht="16.5" x14ac:dyDescent="0.35">
      <c r="B137" s="2986"/>
      <c r="C137" s="17" t="s">
        <v>3783</v>
      </c>
    </row>
    <row r="138" spans="2:10" s="840" customFormat="1" ht="16.5" x14ac:dyDescent="0.35">
      <c r="B138" s="2986"/>
      <c r="C138" s="17" t="s">
        <v>3784</v>
      </c>
      <c r="D138" s="17"/>
      <c r="E138" s="17"/>
    </row>
    <row r="139" spans="2:10" s="840" customFormat="1" ht="16.5" x14ac:dyDescent="0.35">
      <c r="B139" s="2986"/>
      <c r="C139" s="17" t="s">
        <v>3785</v>
      </c>
    </row>
    <row r="140" spans="2:10" s="840" customFormat="1" ht="16.5" x14ac:dyDescent="0.35">
      <c r="B140" s="2986"/>
      <c r="C140" s="17" t="s">
        <v>3786</v>
      </c>
    </row>
    <row r="141" spans="2:10" s="840" customFormat="1" ht="16.5" x14ac:dyDescent="0.35">
      <c r="B141" s="2986"/>
      <c r="C141" s="17" t="s">
        <v>3787</v>
      </c>
    </row>
    <row r="142" spans="2:10" s="840" customFormat="1" ht="16.5" x14ac:dyDescent="0.35">
      <c r="B142" s="2986"/>
      <c r="C142" s="17" t="s">
        <v>3788</v>
      </c>
      <c r="J142" s="17"/>
    </row>
    <row r="143" spans="2:10" s="840" customFormat="1" ht="16.5" x14ac:dyDescent="0.35">
      <c r="B143" s="2986"/>
      <c r="C143" s="17" t="s">
        <v>3789</v>
      </c>
      <c r="J143" s="17"/>
    </row>
    <row r="144" spans="2:10" s="840" customFormat="1" ht="16.5" x14ac:dyDescent="0.35">
      <c r="B144" s="2986"/>
      <c r="C144" s="17" t="s">
        <v>3790</v>
      </c>
    </row>
    <row r="145" spans="2:11" s="840" customFormat="1" ht="16.5" x14ac:dyDescent="0.35">
      <c r="B145" s="2986"/>
      <c r="C145" s="17" t="s">
        <v>3791</v>
      </c>
    </row>
    <row r="146" spans="2:11" s="840" customFormat="1" ht="16.5" x14ac:dyDescent="0.35">
      <c r="B146" s="2987"/>
      <c r="C146" s="17" t="s">
        <v>3792</v>
      </c>
    </row>
    <row r="147" spans="2:11" s="840" customFormat="1" ht="16.5" x14ac:dyDescent="0.35"/>
    <row r="148" spans="2:11" s="840" customFormat="1" ht="16.5" x14ac:dyDescent="0.35"/>
    <row r="149" spans="2:11" s="840" customFormat="1" ht="16.5" x14ac:dyDescent="0.35"/>
    <row r="150" spans="2:11" s="840" customFormat="1" ht="16.5" x14ac:dyDescent="0.35">
      <c r="B150" s="2985">
        <v>2020</v>
      </c>
      <c r="C150" s="3008" t="s">
        <v>3482</v>
      </c>
      <c r="D150" s="3008"/>
      <c r="E150" s="3008"/>
      <c r="F150" s="3008"/>
      <c r="G150" s="3008"/>
      <c r="H150" s="3008"/>
      <c r="I150" s="3008"/>
      <c r="J150" s="3008"/>
      <c r="K150" s="3009"/>
    </row>
    <row r="151" spans="2:11" s="840" customFormat="1" ht="16.5" x14ac:dyDescent="0.35">
      <c r="B151" s="2986"/>
      <c r="C151" s="3048"/>
      <c r="D151" s="3048"/>
      <c r="E151" s="3049"/>
      <c r="F151" s="3010" t="s">
        <v>3483</v>
      </c>
      <c r="G151" s="3011"/>
      <c r="H151" s="3011"/>
      <c r="I151" s="3011"/>
      <c r="J151" s="3011"/>
      <c r="K151" s="3011"/>
    </row>
    <row r="152" spans="2:11" s="840" customFormat="1" ht="16.5" x14ac:dyDescent="0.35">
      <c r="B152" s="2986"/>
      <c r="C152" s="3050"/>
      <c r="D152" s="3050"/>
      <c r="E152" s="3051"/>
      <c r="F152" s="1317" t="s">
        <v>3484</v>
      </c>
      <c r="G152" s="1318" t="s">
        <v>3485</v>
      </c>
      <c r="H152" s="1318" t="s">
        <v>3486</v>
      </c>
      <c r="I152" s="1317" t="s">
        <v>3487</v>
      </c>
      <c r="J152" s="1317" t="s">
        <v>3488</v>
      </c>
      <c r="K152" s="1318" t="s">
        <v>3489</v>
      </c>
    </row>
    <row r="153" spans="2:11" s="840" customFormat="1" ht="16.5" x14ac:dyDescent="0.35">
      <c r="B153" s="2986"/>
      <c r="C153" s="3008" t="s">
        <v>3793</v>
      </c>
      <c r="D153" s="3008"/>
      <c r="E153" s="3008"/>
      <c r="F153" s="3052"/>
      <c r="G153" s="3052"/>
      <c r="H153" s="3052"/>
      <c r="I153" s="3052"/>
      <c r="J153" s="3052"/>
      <c r="K153" s="3053"/>
    </row>
    <row r="154" spans="2:11" s="840" customFormat="1" ht="16.5" x14ac:dyDescent="0.35">
      <c r="B154" s="2986"/>
      <c r="C154" s="3054" t="s">
        <v>3794</v>
      </c>
      <c r="D154" s="3054"/>
      <c r="E154" s="3023"/>
      <c r="F154" s="2993" t="s">
        <v>3795</v>
      </c>
      <c r="G154" s="3005" t="s">
        <v>3796</v>
      </c>
      <c r="H154" s="2993" t="s">
        <v>3797</v>
      </c>
      <c r="I154" s="2993" t="s">
        <v>3798</v>
      </c>
      <c r="J154" s="2993" t="s">
        <v>3799</v>
      </c>
      <c r="K154" s="2993" t="s">
        <v>3800</v>
      </c>
    </row>
    <row r="155" spans="2:11" s="840" customFormat="1" ht="16.5" x14ac:dyDescent="0.35">
      <c r="B155" s="2986"/>
      <c r="C155" s="3043" t="s">
        <v>3499</v>
      </c>
      <c r="D155" s="3044"/>
      <c r="E155" s="1325">
        <v>70</v>
      </c>
      <c r="F155" s="2993"/>
      <c r="G155" s="3005"/>
      <c r="H155" s="2993"/>
      <c r="I155" s="2993"/>
      <c r="J155" s="2993"/>
      <c r="K155" s="2993"/>
    </row>
    <row r="156" spans="2:11" s="840" customFormat="1" ht="16.5" x14ac:dyDescent="0.35">
      <c r="B156" s="2986"/>
      <c r="C156" s="3045" t="s">
        <v>3801</v>
      </c>
      <c r="D156" s="3045"/>
      <c r="E156" s="3045"/>
      <c r="F156" s="3046"/>
      <c r="G156" s="3046"/>
      <c r="H156" s="3046"/>
      <c r="I156" s="3046"/>
      <c r="J156" s="3046"/>
      <c r="K156" s="3047"/>
    </row>
    <row r="157" spans="2:11" s="840" customFormat="1" ht="16.5" x14ac:dyDescent="0.35">
      <c r="B157" s="2986"/>
      <c r="C157" s="3015" t="s">
        <v>3802</v>
      </c>
      <c r="D157" s="3016"/>
      <c r="E157" s="3016"/>
      <c r="F157" s="2993" t="s">
        <v>3803</v>
      </c>
      <c r="G157" s="3005" t="s">
        <v>3796</v>
      </c>
      <c r="H157" s="2993" t="s">
        <v>3804</v>
      </c>
      <c r="I157" s="2993" t="s">
        <v>3805</v>
      </c>
      <c r="J157" s="2993" t="s">
        <v>3806</v>
      </c>
      <c r="K157" s="2993" t="s">
        <v>3807</v>
      </c>
    </row>
    <row r="158" spans="2:11" s="840" customFormat="1" ht="16.5" x14ac:dyDescent="0.35">
      <c r="B158" s="2986"/>
      <c r="C158" s="2994" t="s">
        <v>3499</v>
      </c>
      <c r="D158" s="2995"/>
      <c r="E158" s="1322">
        <v>60</v>
      </c>
      <c r="F158" s="2993"/>
      <c r="G158" s="3005"/>
      <c r="H158" s="2993"/>
      <c r="I158" s="2993"/>
      <c r="J158" s="2993"/>
      <c r="K158" s="2993"/>
    </row>
    <row r="159" spans="2:11" s="840" customFormat="1" ht="16.5" x14ac:dyDescent="0.35">
      <c r="B159" s="2986"/>
      <c r="C159" s="2996" t="s">
        <v>3808</v>
      </c>
      <c r="D159" s="2997"/>
      <c r="E159" s="2997"/>
      <c r="F159" s="2997"/>
      <c r="G159" s="2997"/>
      <c r="H159" s="2997"/>
      <c r="I159" s="2997"/>
      <c r="J159" s="2997"/>
      <c r="K159" s="2997"/>
    </row>
    <row r="160" spans="2:11" s="840" customFormat="1" ht="16.5" x14ac:dyDescent="0.35">
      <c r="B160" s="2986"/>
      <c r="C160" s="3003" t="s">
        <v>3809</v>
      </c>
      <c r="D160" s="3004"/>
      <c r="E160" s="3004"/>
      <c r="F160" s="3004"/>
      <c r="G160" s="3004"/>
      <c r="H160" s="3004"/>
      <c r="I160" s="3004"/>
      <c r="J160" s="3004"/>
      <c r="K160" s="3004"/>
    </row>
    <row r="161" spans="2:11" s="840" customFormat="1" ht="16.5" x14ac:dyDescent="0.35">
      <c r="B161" s="2986"/>
      <c r="C161" s="3015" t="s">
        <v>3810</v>
      </c>
      <c r="D161" s="3016"/>
      <c r="E161" s="3016"/>
      <c r="F161" s="2993" t="s">
        <v>3795</v>
      </c>
      <c r="G161" s="3005" t="s">
        <v>3811</v>
      </c>
      <c r="H161" s="2993" t="s">
        <v>3812</v>
      </c>
      <c r="I161" s="2993" t="s">
        <v>3813</v>
      </c>
      <c r="J161" s="2993" t="s">
        <v>3814</v>
      </c>
      <c r="K161" s="2993" t="s">
        <v>3815</v>
      </c>
    </row>
    <row r="162" spans="2:11" s="840" customFormat="1" ht="16.5" x14ac:dyDescent="0.35">
      <c r="B162" s="2986"/>
      <c r="C162" s="2994" t="s">
        <v>3499</v>
      </c>
      <c r="D162" s="2995"/>
      <c r="E162" s="1322">
        <v>50</v>
      </c>
      <c r="F162" s="2993"/>
      <c r="G162" s="3005"/>
      <c r="H162" s="2993"/>
      <c r="I162" s="2993"/>
      <c r="J162" s="2993"/>
      <c r="K162" s="2993"/>
    </row>
    <row r="163" spans="2:11" s="840" customFormat="1" ht="16.5" x14ac:dyDescent="0.35">
      <c r="B163" s="2986"/>
      <c r="C163" s="2996" t="s">
        <v>3816</v>
      </c>
      <c r="D163" s="2997"/>
      <c r="E163" s="2997"/>
      <c r="F163" s="2997"/>
      <c r="G163" s="2997"/>
      <c r="H163" s="2997"/>
      <c r="I163" s="2997"/>
      <c r="J163" s="2997"/>
      <c r="K163" s="2997"/>
    </row>
    <row r="164" spans="2:11" s="840" customFormat="1" ht="16.5" x14ac:dyDescent="0.35">
      <c r="B164" s="2986"/>
      <c r="C164" s="2996" t="s">
        <v>3817</v>
      </c>
      <c r="D164" s="2997"/>
      <c r="E164" s="2997"/>
      <c r="F164" s="2997"/>
      <c r="G164" s="2997"/>
      <c r="H164" s="2997"/>
      <c r="I164" s="2997"/>
      <c r="J164" s="2997"/>
      <c r="K164" s="2997"/>
    </row>
    <row r="165" spans="2:11" s="840" customFormat="1" ht="16.5" x14ac:dyDescent="0.35">
      <c r="B165" s="2986"/>
      <c r="C165" s="3052" t="s">
        <v>3818</v>
      </c>
      <c r="D165" s="3052"/>
      <c r="E165" s="3052"/>
      <c r="F165" s="3052"/>
      <c r="G165" s="3052"/>
      <c r="H165" s="3052"/>
      <c r="I165" s="3052"/>
      <c r="J165" s="3052"/>
      <c r="K165" s="3053"/>
    </row>
    <row r="166" spans="2:11" s="840" customFormat="1" ht="16.5" x14ac:dyDescent="0.35">
      <c r="B166" s="2986"/>
      <c r="C166" s="2900" t="s">
        <v>3819</v>
      </c>
      <c r="D166" s="2900"/>
      <c r="E166" s="2900"/>
      <c r="F166" s="2993" t="s">
        <v>3820</v>
      </c>
      <c r="G166" s="3005" t="s">
        <v>3821</v>
      </c>
      <c r="H166" s="2993" t="s">
        <v>3822</v>
      </c>
      <c r="I166" s="2993" t="s">
        <v>3798</v>
      </c>
      <c r="J166" s="2993" t="s">
        <v>3823</v>
      </c>
      <c r="K166" s="2993" t="s">
        <v>3824</v>
      </c>
    </row>
    <row r="167" spans="2:11" s="840" customFormat="1" ht="16.5" x14ac:dyDescent="0.35">
      <c r="B167" s="2986"/>
      <c r="C167" s="2994" t="s">
        <v>3499</v>
      </c>
      <c r="D167" s="2995"/>
      <c r="E167" s="1322">
        <v>50</v>
      </c>
      <c r="F167" s="2993"/>
      <c r="G167" s="3005"/>
      <c r="H167" s="2993"/>
      <c r="I167" s="2993"/>
      <c r="J167" s="2993"/>
      <c r="K167" s="2993"/>
    </row>
    <row r="168" spans="2:11" s="840" customFormat="1" ht="16.5" x14ac:dyDescent="0.35">
      <c r="B168" s="2986"/>
      <c r="C168" s="2996" t="s">
        <v>3825</v>
      </c>
      <c r="D168" s="2997"/>
      <c r="E168" s="2997"/>
      <c r="F168" s="2997"/>
      <c r="G168" s="2997"/>
      <c r="H168" s="2997"/>
      <c r="I168" s="2997"/>
      <c r="J168" s="2997"/>
      <c r="K168" s="2997"/>
    </row>
    <row r="169" spans="2:11" s="840" customFormat="1" ht="16.5" x14ac:dyDescent="0.35">
      <c r="B169" s="2986"/>
      <c r="C169" s="2996" t="s">
        <v>3826</v>
      </c>
      <c r="D169" s="2997"/>
      <c r="E169" s="2997"/>
      <c r="F169" s="2997"/>
      <c r="G169" s="2997"/>
      <c r="H169" s="2997"/>
      <c r="I169" s="2997"/>
      <c r="J169" s="2997"/>
      <c r="K169" s="2997"/>
    </row>
    <row r="170" spans="2:11" s="840" customFormat="1" ht="16.5" x14ac:dyDescent="0.35">
      <c r="B170" s="2986"/>
      <c r="C170" s="2900" t="s">
        <v>3827</v>
      </c>
      <c r="D170" s="2900"/>
      <c r="E170" s="2900"/>
      <c r="F170" s="2993" t="s">
        <v>3828</v>
      </c>
      <c r="G170" s="3005" t="s">
        <v>3829</v>
      </c>
      <c r="H170" s="3005" t="s">
        <v>3830</v>
      </c>
      <c r="I170" s="2993" t="s">
        <v>3831</v>
      </c>
      <c r="J170" s="2993" t="s">
        <v>3832</v>
      </c>
      <c r="K170" s="2993" t="s">
        <v>3833</v>
      </c>
    </row>
    <row r="171" spans="2:11" s="840" customFormat="1" ht="16.5" x14ac:dyDescent="0.35">
      <c r="B171" s="2986"/>
      <c r="C171" s="3026" t="s">
        <v>3499</v>
      </c>
      <c r="D171" s="2994"/>
      <c r="E171" s="1325">
        <v>30</v>
      </c>
      <c r="F171" s="2993"/>
      <c r="G171" s="3005"/>
      <c r="H171" s="3005"/>
      <c r="I171" s="2993"/>
      <c r="J171" s="2993"/>
      <c r="K171" s="2993"/>
    </row>
    <row r="172" spans="2:11" s="840" customFormat="1" ht="16.5" x14ac:dyDescent="0.35">
      <c r="B172" s="2986"/>
      <c r="C172" s="2996" t="s">
        <v>3834</v>
      </c>
      <c r="D172" s="2997"/>
      <c r="E172" s="2997"/>
      <c r="F172" s="2997"/>
      <c r="G172" s="2997"/>
      <c r="H172" s="2997"/>
      <c r="I172" s="2997"/>
      <c r="J172" s="2997"/>
      <c r="K172" s="2997"/>
    </row>
    <row r="173" spans="2:11" s="840" customFormat="1" ht="16.5" x14ac:dyDescent="0.35">
      <c r="B173" s="2986"/>
      <c r="C173" s="2996" t="s">
        <v>3835</v>
      </c>
      <c r="D173" s="2997"/>
      <c r="E173" s="2997"/>
      <c r="F173" s="3004"/>
      <c r="G173" s="3004"/>
      <c r="H173" s="3004"/>
      <c r="I173" s="3004"/>
      <c r="J173" s="3004"/>
      <c r="K173" s="3004"/>
    </row>
    <row r="174" spans="2:11" s="840" customFormat="1" ht="16.5" x14ac:dyDescent="0.35">
      <c r="B174" s="2986"/>
      <c r="C174" s="2900" t="s">
        <v>3836</v>
      </c>
      <c r="D174" s="2900"/>
      <c r="E174" s="2900"/>
      <c r="F174" s="2993" t="s">
        <v>3837</v>
      </c>
      <c r="G174" s="2993" t="s">
        <v>3838</v>
      </c>
      <c r="H174" s="2993" t="s">
        <v>3839</v>
      </c>
      <c r="I174" s="2993" t="s">
        <v>3840</v>
      </c>
      <c r="J174" s="2993" t="s">
        <v>3841</v>
      </c>
      <c r="K174" s="2993" t="s">
        <v>3842</v>
      </c>
    </row>
    <row r="175" spans="2:11" s="840" customFormat="1" ht="16.5" x14ac:dyDescent="0.35">
      <c r="B175" s="2986"/>
      <c r="C175" s="3026" t="s">
        <v>3499</v>
      </c>
      <c r="D175" s="2994"/>
      <c r="E175" s="1325">
        <v>40</v>
      </c>
      <c r="F175" s="2993"/>
      <c r="G175" s="2993"/>
      <c r="H175" s="2993"/>
      <c r="I175" s="2993"/>
      <c r="J175" s="2993"/>
      <c r="K175" s="2993"/>
    </row>
    <row r="176" spans="2:11" s="840" customFormat="1" ht="16.5" x14ac:dyDescent="0.35">
      <c r="B176" s="2986"/>
      <c r="C176" s="2996" t="s">
        <v>3843</v>
      </c>
      <c r="D176" s="2997"/>
      <c r="E176" s="2997"/>
      <c r="F176" s="2997"/>
      <c r="G176" s="2997"/>
      <c r="H176" s="2997"/>
      <c r="I176" s="2997"/>
      <c r="J176" s="2997"/>
      <c r="K176" s="2997"/>
    </row>
    <row r="177" spans="2:11" s="840" customFormat="1" ht="16.5" x14ac:dyDescent="0.35">
      <c r="B177" s="2986"/>
      <c r="C177" s="3003" t="s">
        <v>3844</v>
      </c>
      <c r="D177" s="3004"/>
      <c r="E177" s="3004"/>
      <c r="F177" s="3004"/>
      <c r="G177" s="3004"/>
      <c r="H177" s="3004"/>
      <c r="I177" s="3004"/>
      <c r="J177" s="3004"/>
      <c r="K177" s="3004"/>
    </row>
    <row r="178" spans="2:11" s="840" customFormat="1" ht="16.5" x14ac:dyDescent="0.35">
      <c r="B178" s="2986"/>
      <c r="C178" s="2900" t="s">
        <v>3845</v>
      </c>
      <c r="D178" s="2900"/>
      <c r="E178" s="2900"/>
      <c r="F178" s="2993" t="s">
        <v>3820</v>
      </c>
      <c r="G178" s="3005" t="s">
        <v>3846</v>
      </c>
      <c r="H178" s="2993" t="s">
        <v>3847</v>
      </c>
      <c r="I178" s="3005" t="s">
        <v>3848</v>
      </c>
      <c r="J178" s="3005" t="s">
        <v>3849</v>
      </c>
      <c r="K178" s="2993" t="s">
        <v>3850</v>
      </c>
    </row>
    <row r="179" spans="2:11" s="840" customFormat="1" ht="16.5" x14ac:dyDescent="0.35">
      <c r="B179" s="2986"/>
      <c r="C179" s="3019" t="s">
        <v>3499</v>
      </c>
      <c r="D179" s="3020"/>
      <c r="E179" s="1322">
        <v>40</v>
      </c>
      <c r="F179" s="2993"/>
      <c r="G179" s="3005"/>
      <c r="H179" s="2993"/>
      <c r="I179" s="3005"/>
      <c r="J179" s="3005"/>
      <c r="K179" s="2993"/>
    </row>
    <row r="180" spans="2:11" s="840" customFormat="1" ht="16.5" x14ac:dyDescent="0.35">
      <c r="B180" s="2986"/>
      <c r="C180" s="2996" t="s">
        <v>3851</v>
      </c>
      <c r="D180" s="2997"/>
      <c r="E180" s="2997"/>
      <c r="F180" s="2997"/>
      <c r="G180" s="2997"/>
      <c r="H180" s="2997"/>
      <c r="I180" s="2997"/>
      <c r="J180" s="2997"/>
      <c r="K180" s="2997"/>
    </row>
    <row r="181" spans="2:11" s="840" customFormat="1" ht="16.5" x14ac:dyDescent="0.35">
      <c r="B181" s="2986"/>
      <c r="C181" s="2996" t="s">
        <v>3852</v>
      </c>
      <c r="D181" s="2997"/>
      <c r="E181" s="2997"/>
      <c r="F181" s="2997"/>
      <c r="G181" s="2997"/>
      <c r="H181" s="2997"/>
      <c r="I181" s="2997"/>
      <c r="J181" s="2997"/>
      <c r="K181" s="2997"/>
    </row>
    <row r="182" spans="2:11" s="840" customFormat="1" ht="16.5" x14ac:dyDescent="0.35">
      <c r="B182" s="2986"/>
      <c r="C182" s="3038" t="s">
        <v>3548</v>
      </c>
      <c r="D182" s="3038"/>
      <c r="E182" s="3038"/>
      <c r="F182" s="3039"/>
      <c r="G182" s="1326">
        <v>48.571428571428569</v>
      </c>
      <c r="H182" s="3040" t="s">
        <v>3549</v>
      </c>
      <c r="I182" s="3041"/>
      <c r="J182" s="3041"/>
      <c r="K182" s="3042"/>
    </row>
    <row r="183" spans="2:11" s="840" customFormat="1" ht="16.5" x14ac:dyDescent="0.35">
      <c r="B183" s="2986"/>
    </row>
    <row r="184" spans="2:11" s="840" customFormat="1" ht="16.5" x14ac:dyDescent="0.35">
      <c r="B184" s="2986"/>
      <c r="C184" s="3008" t="s">
        <v>3550</v>
      </c>
      <c r="D184" s="3008"/>
      <c r="E184" s="3008"/>
      <c r="F184" s="3008"/>
      <c r="G184" s="3008"/>
      <c r="H184" s="3008"/>
      <c r="I184" s="3008"/>
      <c r="J184" s="3008"/>
      <c r="K184" s="3008"/>
    </row>
    <row r="185" spans="2:11" s="840" customFormat="1" ht="16.5" x14ac:dyDescent="0.35">
      <c r="B185" s="2986"/>
      <c r="C185" s="1315"/>
      <c r="D185" s="1316"/>
      <c r="E185" s="1316"/>
      <c r="F185" s="3010" t="s">
        <v>3483</v>
      </c>
      <c r="G185" s="3011"/>
      <c r="H185" s="3011"/>
      <c r="I185" s="3011"/>
      <c r="J185" s="3011"/>
      <c r="K185" s="3011"/>
    </row>
    <row r="186" spans="2:11" s="840" customFormat="1" ht="16.5" x14ac:dyDescent="0.35">
      <c r="B186" s="2986"/>
      <c r="C186" s="1315"/>
      <c r="D186" s="1316"/>
      <c r="E186" s="1316"/>
      <c r="F186" s="1317" t="s">
        <v>3484</v>
      </c>
      <c r="G186" s="1318" t="s">
        <v>3485</v>
      </c>
      <c r="H186" s="1317" t="s">
        <v>3551</v>
      </c>
      <c r="I186" s="1317" t="s">
        <v>3552</v>
      </c>
      <c r="J186" s="1317" t="s">
        <v>3488</v>
      </c>
      <c r="K186" s="1317" t="s">
        <v>3489</v>
      </c>
    </row>
    <row r="187" spans="2:11" s="840" customFormat="1" ht="17.25" thickBot="1" x14ac:dyDescent="0.4">
      <c r="B187" s="2986"/>
      <c r="C187" s="3008" t="s">
        <v>3853</v>
      </c>
      <c r="D187" s="3008"/>
      <c r="E187" s="3008"/>
      <c r="F187" s="3008"/>
      <c r="G187" s="3008"/>
      <c r="H187" s="3008"/>
      <c r="I187" s="3008"/>
      <c r="J187" s="3008"/>
      <c r="K187" s="3008"/>
    </row>
    <row r="188" spans="2:11" s="840" customFormat="1" ht="16.5" x14ac:dyDescent="0.35">
      <c r="B188" s="2986"/>
      <c r="C188" s="2900" t="s">
        <v>3854</v>
      </c>
      <c r="D188" s="2900"/>
      <c r="E188" s="2900"/>
      <c r="F188" s="3034" t="s">
        <v>3855</v>
      </c>
      <c r="G188" s="3034" t="s">
        <v>3856</v>
      </c>
      <c r="H188" s="2900" t="s">
        <v>3857</v>
      </c>
      <c r="I188" s="3036" t="s">
        <v>3858</v>
      </c>
      <c r="J188" s="3036" t="s">
        <v>3859</v>
      </c>
      <c r="K188" s="3036" t="s">
        <v>3860</v>
      </c>
    </row>
    <row r="189" spans="2:11" s="840" customFormat="1" ht="16.5" x14ac:dyDescent="0.35">
      <c r="B189" s="2986"/>
      <c r="C189" s="3032" t="s">
        <v>3499</v>
      </c>
      <c r="D189" s="3033"/>
      <c r="E189" s="1327">
        <v>50</v>
      </c>
      <c r="F189" s="3035"/>
      <c r="G189" s="3035"/>
      <c r="H189" s="2900"/>
      <c r="I189" s="3037"/>
      <c r="J189" s="3037"/>
      <c r="K189" s="3037"/>
    </row>
    <row r="190" spans="2:11" s="840" customFormat="1" ht="16.5" x14ac:dyDescent="0.35">
      <c r="B190" s="2986"/>
      <c r="C190" s="2996" t="s">
        <v>3861</v>
      </c>
      <c r="D190" s="2997"/>
      <c r="E190" s="2997"/>
      <c r="F190" s="2997"/>
      <c r="G190" s="2997"/>
      <c r="H190" s="2997"/>
      <c r="I190" s="2997"/>
      <c r="J190" s="2997"/>
      <c r="K190" s="2997"/>
    </row>
    <row r="191" spans="2:11" s="840" customFormat="1" ht="16.5" x14ac:dyDescent="0.35">
      <c r="B191" s="2986"/>
      <c r="C191" s="3003" t="s">
        <v>3862</v>
      </c>
      <c r="D191" s="3004"/>
      <c r="E191" s="3004"/>
      <c r="F191" s="3004"/>
      <c r="G191" s="3004"/>
      <c r="H191" s="3004"/>
      <c r="I191" s="3004"/>
      <c r="J191" s="3004"/>
      <c r="K191" s="3004"/>
    </row>
    <row r="192" spans="2:11" s="840" customFormat="1" ht="16.5" x14ac:dyDescent="0.35">
      <c r="B192" s="2986"/>
      <c r="C192" s="2900" t="s">
        <v>3863</v>
      </c>
      <c r="D192" s="2900"/>
      <c r="E192" s="2900"/>
      <c r="F192" s="3005" t="s">
        <v>3864</v>
      </c>
      <c r="G192" s="2993" t="s">
        <v>3865</v>
      </c>
      <c r="H192" s="3005" t="s">
        <v>3866</v>
      </c>
      <c r="I192" s="3005" t="s">
        <v>3867</v>
      </c>
      <c r="J192" s="3005" t="s">
        <v>3868</v>
      </c>
      <c r="K192" s="3030" t="s">
        <v>3869</v>
      </c>
    </row>
    <row r="193" spans="2:11" s="840" customFormat="1" ht="16.5" x14ac:dyDescent="0.35">
      <c r="B193" s="2986"/>
      <c r="C193" s="2994" t="s">
        <v>3499</v>
      </c>
      <c r="D193" s="2995"/>
      <c r="E193" s="1322">
        <v>80</v>
      </c>
      <c r="F193" s="3005"/>
      <c r="G193" s="2993"/>
      <c r="H193" s="3005"/>
      <c r="I193" s="3005"/>
      <c r="J193" s="3005"/>
      <c r="K193" s="3031"/>
    </row>
    <row r="194" spans="2:11" s="840" customFormat="1" ht="16.5" x14ac:dyDescent="0.35">
      <c r="B194" s="2986"/>
      <c r="C194" s="2996" t="s">
        <v>3870</v>
      </c>
      <c r="D194" s="2997"/>
      <c r="E194" s="2997"/>
      <c r="F194" s="2997"/>
      <c r="G194" s="2997"/>
      <c r="H194" s="2997"/>
      <c r="I194" s="2997"/>
      <c r="J194" s="2997"/>
      <c r="K194" s="2997"/>
    </row>
    <row r="195" spans="2:11" s="840" customFormat="1" ht="16.5" x14ac:dyDescent="0.35">
      <c r="B195" s="2986"/>
      <c r="C195" s="3027" t="s">
        <v>3871</v>
      </c>
      <c r="D195" s="3028"/>
      <c r="E195" s="3028"/>
      <c r="F195" s="3029"/>
      <c r="G195" s="3029"/>
      <c r="H195" s="3029"/>
      <c r="I195" s="3029"/>
      <c r="J195" s="3029"/>
      <c r="K195" s="3029"/>
    </row>
    <row r="196" spans="2:11" s="840" customFormat="1" ht="16.5" x14ac:dyDescent="0.35">
      <c r="B196" s="2986"/>
      <c r="C196" s="2900" t="s">
        <v>3872</v>
      </c>
      <c r="D196" s="2900"/>
      <c r="E196" s="2900"/>
      <c r="F196" s="3005" t="s">
        <v>3873</v>
      </c>
      <c r="G196" s="2993" t="s">
        <v>3874</v>
      </c>
      <c r="H196" s="3030" t="s">
        <v>3875</v>
      </c>
      <c r="I196" s="3030" t="s">
        <v>3876</v>
      </c>
      <c r="J196" s="2900" t="s">
        <v>3877</v>
      </c>
      <c r="K196" s="3005" t="s">
        <v>3878</v>
      </c>
    </row>
    <row r="197" spans="2:11" s="840" customFormat="1" ht="16.5" x14ac:dyDescent="0.35">
      <c r="B197" s="2986"/>
      <c r="C197" s="3026" t="s">
        <v>3499</v>
      </c>
      <c r="D197" s="2994"/>
      <c r="E197" s="1325">
        <v>80</v>
      </c>
      <c r="F197" s="3005"/>
      <c r="G197" s="2993"/>
      <c r="H197" s="3031"/>
      <c r="I197" s="3031"/>
      <c r="J197" s="2900"/>
      <c r="K197" s="3005"/>
    </row>
    <row r="198" spans="2:11" s="840" customFormat="1" ht="16.5" x14ac:dyDescent="0.35">
      <c r="B198" s="2986"/>
      <c r="C198" s="2996" t="s">
        <v>3879</v>
      </c>
      <c r="D198" s="2997"/>
      <c r="E198" s="2997"/>
      <c r="F198" s="2997"/>
      <c r="G198" s="2997"/>
      <c r="H198" s="2997"/>
      <c r="I198" s="2997"/>
      <c r="J198" s="2997"/>
      <c r="K198" s="2997"/>
    </row>
    <row r="199" spans="2:11" s="840" customFormat="1" ht="16.5" x14ac:dyDescent="0.35">
      <c r="B199" s="2986"/>
      <c r="C199" s="2996" t="s">
        <v>3880</v>
      </c>
      <c r="D199" s="2997"/>
      <c r="E199" s="2997"/>
      <c r="F199" s="2997"/>
      <c r="G199" s="2997"/>
      <c r="H199" s="2997"/>
      <c r="I199" s="2997"/>
      <c r="J199" s="2997"/>
      <c r="K199" s="2997"/>
    </row>
    <row r="200" spans="2:11" s="840" customFormat="1" ht="16.5" x14ac:dyDescent="0.35">
      <c r="B200" s="2986"/>
      <c r="C200" s="2900" t="s">
        <v>3881</v>
      </c>
      <c r="D200" s="2900"/>
      <c r="E200" s="2900"/>
      <c r="F200" s="3005" t="s">
        <v>3882</v>
      </c>
      <c r="G200" s="2993" t="s">
        <v>3883</v>
      </c>
      <c r="H200" s="2993" t="s">
        <v>3884</v>
      </c>
      <c r="I200" s="3005" t="s">
        <v>3885</v>
      </c>
      <c r="J200" s="2900" t="s">
        <v>3886</v>
      </c>
      <c r="K200" s="3005" t="s">
        <v>3887</v>
      </c>
    </row>
    <row r="201" spans="2:11" s="840" customFormat="1" ht="16.5" x14ac:dyDescent="0.35">
      <c r="B201" s="2986"/>
      <c r="C201" s="2994" t="s">
        <v>3499</v>
      </c>
      <c r="D201" s="2995"/>
      <c r="E201" s="1322">
        <v>70</v>
      </c>
      <c r="F201" s="3005"/>
      <c r="G201" s="2993"/>
      <c r="H201" s="2993"/>
      <c r="I201" s="3005"/>
      <c r="J201" s="2900"/>
      <c r="K201" s="3005"/>
    </row>
    <row r="202" spans="2:11" s="840" customFormat="1" ht="16.5" x14ac:dyDescent="0.35">
      <c r="B202" s="2986"/>
      <c r="C202" s="2996" t="s">
        <v>3888</v>
      </c>
      <c r="D202" s="2997"/>
      <c r="E202" s="2997"/>
      <c r="F202" s="2997"/>
      <c r="G202" s="2997"/>
      <c r="H202" s="2997"/>
      <c r="I202" s="2997"/>
      <c r="J202" s="2997"/>
      <c r="K202" s="2997"/>
    </row>
    <row r="203" spans="2:11" s="840" customFormat="1" ht="16.5" x14ac:dyDescent="0.35">
      <c r="B203" s="2986"/>
      <c r="C203" s="3003" t="s">
        <v>3889</v>
      </c>
      <c r="D203" s="3004"/>
      <c r="E203" s="3004"/>
      <c r="F203" s="3004"/>
      <c r="G203" s="3004"/>
      <c r="H203" s="3004"/>
      <c r="I203" s="3004"/>
      <c r="J203" s="3004"/>
      <c r="K203" s="3004"/>
    </row>
    <row r="204" spans="2:11" s="840" customFormat="1" ht="16.5" x14ac:dyDescent="0.35">
      <c r="B204" s="2986"/>
      <c r="C204" s="2900" t="s">
        <v>3890</v>
      </c>
      <c r="D204" s="2900"/>
      <c r="E204" s="2900"/>
      <c r="F204" s="3005" t="s">
        <v>3891</v>
      </c>
      <c r="G204" s="2993" t="s">
        <v>3892</v>
      </c>
      <c r="H204" s="2993" t="s">
        <v>3893</v>
      </c>
      <c r="I204" s="2993" t="s">
        <v>3894</v>
      </c>
      <c r="J204" s="2993" t="s">
        <v>3895</v>
      </c>
      <c r="K204" s="2993" t="s">
        <v>3896</v>
      </c>
    </row>
    <row r="205" spans="2:11" s="840" customFormat="1" ht="16.5" x14ac:dyDescent="0.35">
      <c r="B205" s="2986"/>
      <c r="C205" s="2994" t="s">
        <v>3499</v>
      </c>
      <c r="D205" s="2995"/>
      <c r="E205" s="1322">
        <v>80</v>
      </c>
      <c r="F205" s="3005"/>
      <c r="G205" s="2993"/>
      <c r="H205" s="2993"/>
      <c r="I205" s="2993"/>
      <c r="J205" s="2993"/>
      <c r="K205" s="2993"/>
    </row>
    <row r="206" spans="2:11" s="840" customFormat="1" ht="16.5" x14ac:dyDescent="0.35">
      <c r="B206" s="2986"/>
      <c r="C206" s="2996" t="s">
        <v>3897</v>
      </c>
      <c r="D206" s="2997"/>
      <c r="E206" s="2997"/>
      <c r="F206" s="2997"/>
      <c r="G206" s="2997"/>
      <c r="H206" s="2997"/>
      <c r="I206" s="2997"/>
      <c r="J206" s="2997"/>
      <c r="K206" s="2997"/>
    </row>
    <row r="207" spans="2:11" s="840" customFormat="1" ht="16.5" x14ac:dyDescent="0.35">
      <c r="B207" s="2986"/>
      <c r="C207" s="2996" t="s">
        <v>3898</v>
      </c>
      <c r="D207" s="2997"/>
      <c r="E207" s="2997"/>
      <c r="F207" s="2997"/>
      <c r="G207" s="2997"/>
      <c r="H207" s="2997"/>
      <c r="I207" s="2997"/>
      <c r="J207" s="2997"/>
      <c r="K207" s="2997"/>
    </row>
    <row r="208" spans="2:11" s="840" customFormat="1" ht="16.5" x14ac:dyDescent="0.35">
      <c r="B208" s="2986"/>
      <c r="C208" s="3006" t="s">
        <v>3603</v>
      </c>
      <c r="D208" s="3006"/>
      <c r="E208" s="3006"/>
      <c r="F208" s="3006"/>
      <c r="G208" s="3006"/>
      <c r="H208" s="3006"/>
      <c r="I208" s="3006"/>
      <c r="J208" s="3006"/>
      <c r="K208" s="3006"/>
    </row>
    <row r="209" spans="2:11" s="840" customFormat="1" ht="16.5" x14ac:dyDescent="0.35">
      <c r="B209" s="2986"/>
      <c r="C209" s="2900" t="s">
        <v>3899</v>
      </c>
      <c r="D209" s="2900"/>
      <c r="E209" s="2900"/>
      <c r="F209" s="3005" t="s">
        <v>3900</v>
      </c>
      <c r="G209" s="3005" t="s">
        <v>3856</v>
      </c>
      <c r="H209" s="2900" t="s">
        <v>3901</v>
      </c>
      <c r="I209" s="2993" t="s">
        <v>3858</v>
      </c>
      <c r="J209" s="2993" t="s">
        <v>3859</v>
      </c>
      <c r="K209" s="2993" t="s">
        <v>3860</v>
      </c>
    </row>
    <row r="210" spans="2:11" s="840" customFormat="1" ht="16.5" x14ac:dyDescent="0.35">
      <c r="B210" s="2986"/>
      <c r="C210" s="3023" t="s">
        <v>3499</v>
      </c>
      <c r="D210" s="3024"/>
      <c r="E210" s="1322">
        <v>30</v>
      </c>
      <c r="F210" s="3005"/>
      <c r="G210" s="3005"/>
      <c r="H210" s="2900"/>
      <c r="I210" s="2993"/>
      <c r="J210" s="2993"/>
      <c r="K210" s="2993"/>
    </row>
    <row r="211" spans="2:11" s="840" customFormat="1" ht="16.5" x14ac:dyDescent="0.35">
      <c r="B211" s="2986"/>
      <c r="C211" s="2996" t="s">
        <v>3902</v>
      </c>
      <c r="D211" s="2997"/>
      <c r="E211" s="2997"/>
      <c r="F211" s="2997"/>
      <c r="G211" s="2997"/>
      <c r="H211" s="2997"/>
      <c r="I211" s="2997"/>
      <c r="J211" s="2997"/>
      <c r="K211" s="2997"/>
    </row>
    <row r="212" spans="2:11" s="840" customFormat="1" ht="16.5" x14ac:dyDescent="0.35">
      <c r="B212" s="2986"/>
      <c r="C212" s="3003" t="s">
        <v>3903</v>
      </c>
      <c r="D212" s="3004"/>
      <c r="E212" s="3004"/>
      <c r="F212" s="3004"/>
      <c r="G212" s="3004"/>
      <c r="H212" s="3004"/>
      <c r="I212" s="3004"/>
      <c r="J212" s="3004"/>
      <c r="K212" s="3004"/>
    </row>
    <row r="213" spans="2:11" s="840" customFormat="1" ht="16.5" x14ac:dyDescent="0.35">
      <c r="B213" s="2986"/>
      <c r="C213" s="2900" t="s">
        <v>3904</v>
      </c>
      <c r="D213" s="2900"/>
      <c r="E213" s="2900"/>
      <c r="F213" s="3014" t="s">
        <v>3873</v>
      </c>
      <c r="G213" s="3025" t="s">
        <v>3874</v>
      </c>
      <c r="H213" s="3014" t="s">
        <v>3875</v>
      </c>
      <c r="I213" s="3014" t="s">
        <v>3905</v>
      </c>
      <c r="J213" s="2900" t="s">
        <v>3906</v>
      </c>
      <c r="K213" s="3014" t="s">
        <v>3907</v>
      </c>
    </row>
    <row r="214" spans="2:11" s="840" customFormat="1" ht="16.5" x14ac:dyDescent="0.35">
      <c r="B214" s="2986"/>
      <c r="C214" s="2994" t="s">
        <v>3499</v>
      </c>
      <c r="D214" s="2995"/>
      <c r="E214" s="1322">
        <v>40</v>
      </c>
      <c r="F214" s="3014"/>
      <c r="G214" s="3025"/>
      <c r="H214" s="3014"/>
      <c r="I214" s="3014"/>
      <c r="J214" s="2900"/>
      <c r="K214" s="3014"/>
    </row>
    <row r="215" spans="2:11" s="840" customFormat="1" ht="16.5" x14ac:dyDescent="0.35">
      <c r="B215" s="2986"/>
      <c r="C215" s="2996" t="s">
        <v>3908</v>
      </c>
      <c r="D215" s="2997"/>
      <c r="E215" s="2997"/>
      <c r="F215" s="2997"/>
      <c r="G215" s="2997"/>
      <c r="H215" s="2997"/>
      <c r="I215" s="2997"/>
      <c r="J215" s="2997"/>
      <c r="K215" s="2997"/>
    </row>
    <row r="216" spans="2:11" s="840" customFormat="1" ht="16.5" x14ac:dyDescent="0.35">
      <c r="B216" s="2986"/>
      <c r="C216" s="3003" t="s">
        <v>3909</v>
      </c>
      <c r="D216" s="3004"/>
      <c r="E216" s="3004"/>
      <c r="F216" s="3004"/>
      <c r="G216" s="3004"/>
      <c r="H216" s="3004"/>
      <c r="I216" s="3004"/>
      <c r="J216" s="3004"/>
      <c r="K216" s="3004"/>
    </row>
    <row r="217" spans="2:11" s="840" customFormat="1" ht="16.5" x14ac:dyDescent="0.35">
      <c r="B217" s="2986"/>
      <c r="C217" s="2900" t="s">
        <v>3910</v>
      </c>
      <c r="D217" s="2900"/>
      <c r="E217" s="2900"/>
      <c r="F217" s="2993" t="s">
        <v>3911</v>
      </c>
      <c r="G217" s="2900" t="s">
        <v>3912</v>
      </c>
      <c r="H217" s="3005" t="s">
        <v>3913</v>
      </c>
      <c r="I217" s="2993" t="s">
        <v>3914</v>
      </c>
      <c r="J217" s="2993" t="s">
        <v>3915</v>
      </c>
      <c r="K217" s="2900" t="s">
        <v>3916</v>
      </c>
    </row>
    <row r="218" spans="2:11" s="840" customFormat="1" ht="16.5" x14ac:dyDescent="0.35">
      <c r="B218" s="2986"/>
      <c r="C218" s="2994" t="s">
        <v>3499</v>
      </c>
      <c r="D218" s="2995"/>
      <c r="E218" s="1322">
        <v>60</v>
      </c>
      <c r="F218" s="2993"/>
      <c r="G218" s="2900"/>
      <c r="H218" s="3005"/>
      <c r="I218" s="2993"/>
      <c r="J218" s="2993"/>
      <c r="K218" s="2900"/>
    </row>
    <row r="219" spans="2:11" s="840" customFormat="1" ht="16.5" x14ac:dyDescent="0.35">
      <c r="B219" s="2986"/>
      <c r="C219" s="2996" t="s">
        <v>3917</v>
      </c>
      <c r="D219" s="2997"/>
      <c r="E219" s="2997"/>
      <c r="F219" s="2997"/>
      <c r="G219" s="2997"/>
      <c r="H219" s="2997"/>
      <c r="I219" s="2997"/>
      <c r="J219" s="2997"/>
      <c r="K219" s="2997"/>
    </row>
    <row r="220" spans="2:11" s="840" customFormat="1" ht="16.5" x14ac:dyDescent="0.35">
      <c r="B220" s="2986"/>
      <c r="C220" s="3003" t="s">
        <v>3918</v>
      </c>
      <c r="D220" s="3004"/>
      <c r="E220" s="3004"/>
      <c r="F220" s="3004"/>
      <c r="G220" s="3004"/>
      <c r="H220" s="3004"/>
      <c r="I220" s="3004"/>
      <c r="J220" s="3004"/>
      <c r="K220" s="3004"/>
    </row>
    <row r="221" spans="2:11" s="840" customFormat="1" ht="16.5" x14ac:dyDescent="0.35">
      <c r="B221" s="2986"/>
      <c r="C221" s="2900" t="s">
        <v>3919</v>
      </c>
      <c r="D221" s="2900"/>
      <c r="E221" s="2900"/>
      <c r="F221" s="2993" t="s">
        <v>3920</v>
      </c>
      <c r="G221" s="2993" t="s">
        <v>3921</v>
      </c>
      <c r="H221" s="2993" t="s">
        <v>3922</v>
      </c>
      <c r="I221" s="2900" t="s">
        <v>3923</v>
      </c>
      <c r="J221" s="2993" t="s">
        <v>3924</v>
      </c>
      <c r="K221" s="2993" t="s">
        <v>3925</v>
      </c>
    </row>
    <row r="222" spans="2:11" s="840" customFormat="1" ht="16.5" x14ac:dyDescent="0.35">
      <c r="B222" s="2986"/>
      <c r="C222" s="2994" t="s">
        <v>3499</v>
      </c>
      <c r="D222" s="2995"/>
      <c r="E222" s="1322">
        <v>50</v>
      </c>
      <c r="F222" s="2993"/>
      <c r="G222" s="2993"/>
      <c r="H222" s="2993"/>
      <c r="I222" s="2900"/>
      <c r="J222" s="2993"/>
      <c r="K222" s="2993"/>
    </row>
    <row r="223" spans="2:11" s="840" customFormat="1" ht="16.5" x14ac:dyDescent="0.35">
      <c r="B223" s="2986"/>
      <c r="C223" s="2996" t="s">
        <v>3926</v>
      </c>
      <c r="D223" s="2997"/>
      <c r="E223" s="2997"/>
      <c r="F223" s="2997"/>
      <c r="G223" s="2997"/>
      <c r="H223" s="2997"/>
      <c r="I223" s="2997"/>
      <c r="J223" s="2997"/>
      <c r="K223" s="2997"/>
    </row>
    <row r="224" spans="2:11" s="840" customFormat="1" ht="16.5" x14ac:dyDescent="0.35">
      <c r="B224" s="2986"/>
      <c r="C224" s="3003" t="s">
        <v>3927</v>
      </c>
      <c r="D224" s="3004"/>
      <c r="E224" s="3004"/>
      <c r="F224" s="3004"/>
      <c r="G224" s="3004"/>
      <c r="H224" s="3004"/>
      <c r="I224" s="3004"/>
      <c r="J224" s="3004"/>
      <c r="K224" s="3004"/>
    </row>
    <row r="225" spans="2:11" s="840" customFormat="1" ht="16.5" x14ac:dyDescent="0.35">
      <c r="B225" s="2986"/>
      <c r="C225" s="2900" t="s">
        <v>3928</v>
      </c>
      <c r="D225" s="2900"/>
      <c r="E225" s="2900"/>
      <c r="F225" s="3005" t="s">
        <v>3929</v>
      </c>
      <c r="G225" s="2993" t="s">
        <v>3930</v>
      </c>
      <c r="H225" s="2993" t="s">
        <v>3931</v>
      </c>
      <c r="I225" s="2993" t="s">
        <v>3932</v>
      </c>
      <c r="J225" s="2993" t="s">
        <v>3933</v>
      </c>
      <c r="K225" s="2993" t="s">
        <v>3934</v>
      </c>
    </row>
    <row r="226" spans="2:11" s="840" customFormat="1" ht="16.5" x14ac:dyDescent="0.35">
      <c r="B226" s="2986"/>
      <c r="C226" s="2994" t="s">
        <v>3499</v>
      </c>
      <c r="D226" s="2995"/>
      <c r="E226" s="1322">
        <v>50</v>
      </c>
      <c r="F226" s="3005"/>
      <c r="G226" s="2993"/>
      <c r="H226" s="2993"/>
      <c r="I226" s="2993"/>
      <c r="J226" s="2993"/>
      <c r="K226" s="2993"/>
    </row>
    <row r="227" spans="2:11" s="840" customFormat="1" ht="16.5" x14ac:dyDescent="0.35">
      <c r="B227" s="2986"/>
      <c r="C227" s="2996" t="s">
        <v>3935</v>
      </c>
      <c r="D227" s="2997"/>
      <c r="E227" s="2997"/>
      <c r="F227" s="2997"/>
      <c r="G227" s="2997"/>
      <c r="H227" s="2997"/>
      <c r="I227" s="2997"/>
      <c r="J227" s="2997"/>
      <c r="K227" s="2997"/>
    </row>
    <row r="228" spans="2:11" s="840" customFormat="1" ht="16.5" x14ac:dyDescent="0.35">
      <c r="B228" s="2986"/>
      <c r="C228" s="3003" t="s">
        <v>3936</v>
      </c>
      <c r="D228" s="3004"/>
      <c r="E228" s="3004"/>
      <c r="F228" s="3004"/>
      <c r="G228" s="3004"/>
      <c r="H228" s="3004"/>
      <c r="I228" s="3004"/>
      <c r="J228" s="3004"/>
      <c r="K228" s="3004"/>
    </row>
    <row r="229" spans="2:11" s="840" customFormat="1" ht="16.5" x14ac:dyDescent="0.35">
      <c r="B229" s="2986"/>
      <c r="C229" s="2900" t="s">
        <v>3937</v>
      </c>
      <c r="D229" s="2900"/>
      <c r="E229" s="2900"/>
      <c r="F229" s="3005" t="s">
        <v>3938</v>
      </c>
      <c r="G229" s="3005" t="s">
        <v>3856</v>
      </c>
      <c r="H229" s="2900" t="s">
        <v>3939</v>
      </c>
      <c r="I229" s="2993" t="s">
        <v>3858</v>
      </c>
      <c r="J229" s="2993" t="s">
        <v>3859</v>
      </c>
      <c r="K229" s="2993" t="s">
        <v>3940</v>
      </c>
    </row>
    <row r="230" spans="2:11" s="840" customFormat="1" ht="16.5" x14ac:dyDescent="0.35">
      <c r="B230" s="2986"/>
      <c r="C230" s="3019" t="s">
        <v>3499</v>
      </c>
      <c r="D230" s="3020"/>
      <c r="E230" s="1322">
        <v>30</v>
      </c>
      <c r="F230" s="3005"/>
      <c r="G230" s="3005"/>
      <c r="H230" s="2900"/>
      <c r="I230" s="2993"/>
      <c r="J230" s="2993"/>
      <c r="K230" s="2993"/>
    </row>
    <row r="231" spans="2:11" s="840" customFormat="1" ht="16.5" x14ac:dyDescent="0.35">
      <c r="B231" s="2986"/>
      <c r="C231" s="2996" t="s">
        <v>3941</v>
      </c>
      <c r="D231" s="2997"/>
      <c r="E231" s="2997"/>
      <c r="F231" s="2997"/>
      <c r="G231" s="2997"/>
      <c r="H231" s="2997"/>
      <c r="I231" s="2997"/>
      <c r="J231" s="2997"/>
      <c r="K231" s="2997"/>
    </row>
    <row r="232" spans="2:11" s="840" customFormat="1" ht="16.5" x14ac:dyDescent="0.35">
      <c r="B232" s="2986"/>
      <c r="C232" s="2996" t="s">
        <v>3942</v>
      </c>
      <c r="D232" s="2997"/>
      <c r="E232" s="2997"/>
      <c r="F232" s="2997"/>
      <c r="G232" s="2997"/>
      <c r="H232" s="2997"/>
      <c r="I232" s="2997"/>
      <c r="J232" s="2997"/>
      <c r="K232" s="2997"/>
    </row>
    <row r="233" spans="2:11" s="840" customFormat="1" ht="16.5" x14ac:dyDescent="0.35">
      <c r="B233" s="2986"/>
      <c r="C233" s="2998" t="s">
        <v>3648</v>
      </c>
      <c r="D233" s="2998"/>
      <c r="E233" s="2998"/>
      <c r="F233" s="2999"/>
      <c r="G233" s="1328">
        <v>56.363636363636367</v>
      </c>
      <c r="H233" s="3021" t="s">
        <v>3549</v>
      </c>
      <c r="I233" s="3022"/>
      <c r="J233" s="3022"/>
      <c r="K233" s="3022"/>
    </row>
    <row r="234" spans="2:11" s="840" customFormat="1" ht="16.5" x14ac:dyDescent="0.35">
      <c r="B234" s="2986"/>
    </row>
    <row r="235" spans="2:11" s="840" customFormat="1" ht="16.5" x14ac:dyDescent="0.35">
      <c r="B235" s="2986"/>
      <c r="C235" s="3008" t="s">
        <v>3649</v>
      </c>
      <c r="D235" s="3008"/>
      <c r="E235" s="3008"/>
      <c r="F235" s="3008"/>
      <c r="G235" s="3008"/>
      <c r="H235" s="3008"/>
      <c r="I235" s="3008"/>
      <c r="J235" s="3008"/>
      <c r="K235" s="3009"/>
    </row>
    <row r="236" spans="2:11" s="840" customFormat="1" ht="16.5" x14ac:dyDescent="0.35">
      <c r="B236" s="2986"/>
      <c r="C236" s="1319"/>
      <c r="D236" s="1320"/>
      <c r="E236" s="1320"/>
      <c r="F236" s="3010" t="s">
        <v>3483</v>
      </c>
      <c r="G236" s="3011"/>
      <c r="H236" s="3011"/>
      <c r="I236" s="3011"/>
      <c r="J236" s="3011"/>
      <c r="K236" s="3012"/>
    </row>
    <row r="237" spans="2:11" s="840" customFormat="1" ht="16.5" x14ac:dyDescent="0.35">
      <c r="B237" s="2986"/>
      <c r="C237" s="1315"/>
      <c r="D237" s="1316"/>
      <c r="E237" s="1316"/>
      <c r="F237" s="1317" t="s">
        <v>3484</v>
      </c>
      <c r="G237" s="1318" t="s">
        <v>3485</v>
      </c>
      <c r="H237" s="1317" t="s">
        <v>3551</v>
      </c>
      <c r="I237" s="1318" t="s">
        <v>3650</v>
      </c>
      <c r="J237" s="1318" t="s">
        <v>3488</v>
      </c>
      <c r="K237" s="1318" t="s">
        <v>3489</v>
      </c>
    </row>
    <row r="238" spans="2:11" s="840" customFormat="1" ht="16.5" x14ac:dyDescent="0.35">
      <c r="B238" s="2986"/>
      <c r="C238" s="3006" t="s">
        <v>3651</v>
      </c>
      <c r="D238" s="3006"/>
      <c r="E238" s="3006"/>
      <c r="F238" s="3006"/>
      <c r="G238" s="3006"/>
      <c r="H238" s="3006"/>
      <c r="I238" s="3006"/>
      <c r="J238" s="3006"/>
      <c r="K238" s="3007"/>
    </row>
    <row r="239" spans="2:11" s="840" customFormat="1" ht="16.5" x14ac:dyDescent="0.35">
      <c r="B239" s="2986"/>
      <c r="C239" s="2900" t="s">
        <v>3943</v>
      </c>
      <c r="D239" s="2900"/>
      <c r="E239" s="2900"/>
      <c r="F239" s="3005" t="s">
        <v>3944</v>
      </c>
      <c r="G239" s="2993" t="s">
        <v>3945</v>
      </c>
      <c r="H239" s="2993" t="s">
        <v>3946</v>
      </c>
      <c r="I239" s="2993" t="s">
        <v>3947</v>
      </c>
      <c r="J239" s="2993" t="s">
        <v>3948</v>
      </c>
      <c r="K239" s="2993" t="s">
        <v>3949</v>
      </c>
    </row>
    <row r="240" spans="2:11" s="840" customFormat="1" ht="16.5" x14ac:dyDescent="0.35">
      <c r="B240" s="2986"/>
      <c r="C240" s="2994" t="s">
        <v>3499</v>
      </c>
      <c r="D240" s="2995"/>
      <c r="E240" s="1322">
        <v>50</v>
      </c>
      <c r="F240" s="3005"/>
      <c r="G240" s="2993"/>
      <c r="H240" s="2993"/>
      <c r="I240" s="2993"/>
      <c r="J240" s="2993"/>
      <c r="K240" s="2993"/>
    </row>
    <row r="241" spans="2:11" s="840" customFormat="1" ht="16.5" x14ac:dyDescent="0.35">
      <c r="B241" s="2986"/>
      <c r="C241" s="3017" t="s">
        <v>3950</v>
      </c>
      <c r="D241" s="3018"/>
      <c r="E241" s="3018"/>
      <c r="F241" s="3018"/>
      <c r="G241" s="3018"/>
      <c r="H241" s="3018"/>
      <c r="I241" s="3018"/>
      <c r="J241" s="3018"/>
      <c r="K241" s="3018"/>
    </row>
    <row r="242" spans="2:11" s="840" customFormat="1" ht="16.5" x14ac:dyDescent="0.35">
      <c r="B242" s="2986"/>
      <c r="C242" s="3003" t="s">
        <v>3951</v>
      </c>
      <c r="D242" s="3004"/>
      <c r="E242" s="3004"/>
      <c r="F242" s="3004"/>
      <c r="G242" s="3004"/>
      <c r="H242" s="3004"/>
      <c r="I242" s="3004"/>
      <c r="J242" s="3004"/>
      <c r="K242" s="3004"/>
    </row>
    <row r="243" spans="2:11" s="840" customFormat="1" ht="16.5" x14ac:dyDescent="0.35">
      <c r="B243" s="2986"/>
      <c r="C243" s="2900" t="s">
        <v>3952</v>
      </c>
      <c r="D243" s="2900"/>
      <c r="E243" s="2900"/>
      <c r="F243" s="3005" t="s">
        <v>3953</v>
      </c>
      <c r="G243" s="2993" t="s">
        <v>3954</v>
      </c>
      <c r="H243" s="3005" t="s">
        <v>3955</v>
      </c>
      <c r="I243" s="2993" t="s">
        <v>3956</v>
      </c>
      <c r="J243" s="2993" t="s">
        <v>3957</v>
      </c>
      <c r="K243" s="2993" t="s">
        <v>3958</v>
      </c>
    </row>
    <row r="244" spans="2:11" s="840" customFormat="1" ht="16.5" x14ac:dyDescent="0.35">
      <c r="B244" s="2986"/>
      <c r="C244" s="2994" t="s">
        <v>3499</v>
      </c>
      <c r="D244" s="2995"/>
      <c r="E244" s="1322">
        <v>70</v>
      </c>
      <c r="F244" s="3005"/>
      <c r="G244" s="2993"/>
      <c r="H244" s="3005"/>
      <c r="I244" s="2993"/>
      <c r="J244" s="2993"/>
      <c r="K244" s="2993"/>
    </row>
    <row r="245" spans="2:11" s="840" customFormat="1" ht="16.5" x14ac:dyDescent="0.35">
      <c r="B245" s="2986"/>
      <c r="C245" s="2996" t="s">
        <v>3959</v>
      </c>
      <c r="D245" s="2997"/>
      <c r="E245" s="2997"/>
      <c r="F245" s="2997"/>
      <c r="G245" s="2997"/>
      <c r="H245" s="2997"/>
      <c r="I245" s="2997"/>
      <c r="J245" s="2997"/>
      <c r="K245" s="2997"/>
    </row>
    <row r="246" spans="2:11" s="840" customFormat="1" ht="16.5" x14ac:dyDescent="0.35">
      <c r="B246" s="2986"/>
      <c r="C246" s="3003" t="s">
        <v>3960</v>
      </c>
      <c r="D246" s="3004"/>
      <c r="E246" s="3004"/>
      <c r="F246" s="3004"/>
      <c r="G246" s="3004"/>
      <c r="H246" s="3004"/>
      <c r="I246" s="3004"/>
      <c r="J246" s="3004"/>
      <c r="K246" s="3004"/>
    </row>
    <row r="247" spans="2:11" s="840" customFormat="1" ht="16.5" x14ac:dyDescent="0.35">
      <c r="B247" s="2986"/>
      <c r="C247" s="2900" t="s">
        <v>3961</v>
      </c>
      <c r="D247" s="2900"/>
      <c r="E247" s="2900"/>
      <c r="F247" s="3005" t="s">
        <v>3953</v>
      </c>
      <c r="G247" s="2993" t="s">
        <v>3954</v>
      </c>
      <c r="H247" s="3005" t="s">
        <v>3962</v>
      </c>
      <c r="I247" s="2993" t="s">
        <v>3963</v>
      </c>
      <c r="J247" s="2993" t="s">
        <v>3964</v>
      </c>
      <c r="K247" s="2993" t="s">
        <v>3965</v>
      </c>
    </row>
    <row r="248" spans="2:11" s="840" customFormat="1" ht="16.5" x14ac:dyDescent="0.35">
      <c r="B248" s="2986"/>
      <c r="C248" s="2994" t="s">
        <v>3499</v>
      </c>
      <c r="D248" s="2995"/>
      <c r="E248" s="1322">
        <v>50</v>
      </c>
      <c r="F248" s="3005"/>
      <c r="G248" s="2993"/>
      <c r="H248" s="3005"/>
      <c r="I248" s="2993"/>
      <c r="J248" s="2993"/>
      <c r="K248" s="2993"/>
    </row>
    <row r="249" spans="2:11" s="840" customFormat="1" ht="16.5" x14ac:dyDescent="0.35">
      <c r="B249" s="2986"/>
      <c r="C249" s="2996" t="s">
        <v>3966</v>
      </c>
      <c r="D249" s="2997"/>
      <c r="E249" s="2997"/>
      <c r="F249" s="2997"/>
      <c r="G249" s="2997"/>
      <c r="H249" s="2997"/>
      <c r="I249" s="2997"/>
      <c r="J249" s="2997"/>
      <c r="K249" s="2997"/>
    </row>
    <row r="250" spans="2:11" s="840" customFormat="1" ht="16.5" x14ac:dyDescent="0.35">
      <c r="B250" s="2986"/>
      <c r="C250" s="3003" t="s">
        <v>3967</v>
      </c>
      <c r="D250" s="3004"/>
      <c r="E250" s="3004"/>
      <c r="F250" s="3004"/>
      <c r="G250" s="3004"/>
      <c r="H250" s="3004"/>
      <c r="I250" s="3004"/>
      <c r="J250" s="3004"/>
      <c r="K250" s="3004"/>
    </row>
    <row r="251" spans="2:11" s="840" customFormat="1" ht="16.5" x14ac:dyDescent="0.35">
      <c r="B251" s="2986"/>
      <c r="C251" s="2900" t="s">
        <v>3968</v>
      </c>
      <c r="D251" s="2900"/>
      <c r="E251" s="2900"/>
      <c r="F251" s="3005" t="s">
        <v>3953</v>
      </c>
      <c r="G251" s="2993" t="s">
        <v>3954</v>
      </c>
      <c r="H251" s="3005" t="s">
        <v>3969</v>
      </c>
      <c r="I251" s="2993" t="s">
        <v>3970</v>
      </c>
      <c r="J251" s="2993" t="s">
        <v>3971</v>
      </c>
      <c r="K251" s="2993" t="s">
        <v>3972</v>
      </c>
    </row>
    <row r="252" spans="2:11" s="840" customFormat="1" ht="16.5" x14ac:dyDescent="0.35">
      <c r="B252" s="2986"/>
      <c r="C252" s="2994" t="s">
        <v>3499</v>
      </c>
      <c r="D252" s="2995"/>
      <c r="E252" s="1322">
        <v>70</v>
      </c>
      <c r="F252" s="3005"/>
      <c r="G252" s="2993"/>
      <c r="H252" s="3005"/>
      <c r="I252" s="2993"/>
      <c r="J252" s="2993"/>
      <c r="K252" s="2993"/>
    </row>
    <row r="253" spans="2:11" s="840" customFormat="1" ht="16.5" x14ac:dyDescent="0.35">
      <c r="B253" s="2986"/>
      <c r="C253" s="2996" t="s">
        <v>3973</v>
      </c>
      <c r="D253" s="2997"/>
      <c r="E253" s="2997"/>
      <c r="F253" s="2997"/>
      <c r="G253" s="2997"/>
      <c r="H253" s="2997"/>
      <c r="I253" s="2997"/>
      <c r="J253" s="2997"/>
      <c r="K253" s="2997"/>
    </row>
    <row r="254" spans="2:11" s="840" customFormat="1" ht="16.5" x14ac:dyDescent="0.35">
      <c r="B254" s="2986"/>
      <c r="C254" s="3003" t="s">
        <v>3974</v>
      </c>
      <c r="D254" s="3004"/>
      <c r="E254" s="3004"/>
      <c r="F254" s="3004"/>
      <c r="G254" s="3004"/>
      <c r="H254" s="3004"/>
      <c r="I254" s="3004"/>
      <c r="J254" s="3004"/>
      <c r="K254" s="3004"/>
    </row>
    <row r="255" spans="2:11" s="840" customFormat="1" ht="16.5" x14ac:dyDescent="0.35">
      <c r="B255" s="2986"/>
      <c r="C255" s="2900" t="s">
        <v>3975</v>
      </c>
      <c r="D255" s="2900"/>
      <c r="E255" s="2900"/>
      <c r="F255" s="3005" t="s">
        <v>3953</v>
      </c>
      <c r="G255" s="2993" t="s">
        <v>3954</v>
      </c>
      <c r="H255" s="3005" t="s">
        <v>3976</v>
      </c>
      <c r="I255" s="2993" t="s">
        <v>3977</v>
      </c>
      <c r="J255" s="2993" t="s">
        <v>3978</v>
      </c>
      <c r="K255" s="2993" t="s">
        <v>3979</v>
      </c>
    </row>
    <row r="256" spans="2:11" s="840" customFormat="1" ht="16.5" x14ac:dyDescent="0.35">
      <c r="B256" s="2986"/>
      <c r="C256" s="2994" t="s">
        <v>3499</v>
      </c>
      <c r="D256" s="2995"/>
      <c r="E256" s="1322">
        <v>60</v>
      </c>
      <c r="F256" s="3005"/>
      <c r="G256" s="2993"/>
      <c r="H256" s="3005"/>
      <c r="I256" s="2993"/>
      <c r="J256" s="2993"/>
      <c r="K256" s="2993"/>
    </row>
    <row r="257" spans="2:11" s="840" customFormat="1" ht="16.5" x14ac:dyDescent="0.35">
      <c r="B257" s="2986"/>
      <c r="C257" s="2996" t="s">
        <v>3980</v>
      </c>
      <c r="D257" s="2997"/>
      <c r="E257" s="2997"/>
      <c r="F257" s="2997"/>
      <c r="G257" s="2997"/>
      <c r="H257" s="2997"/>
      <c r="I257" s="2997"/>
      <c r="J257" s="2997"/>
      <c r="K257" s="2997"/>
    </row>
    <row r="258" spans="2:11" s="840" customFormat="1" ht="16.5" x14ac:dyDescent="0.35">
      <c r="B258" s="2986"/>
      <c r="C258" s="2996" t="s">
        <v>3981</v>
      </c>
      <c r="D258" s="2997"/>
      <c r="E258" s="2997"/>
      <c r="F258" s="2997"/>
      <c r="G258" s="2997"/>
      <c r="H258" s="2997"/>
      <c r="I258" s="2997"/>
      <c r="J258" s="2997"/>
      <c r="K258" s="2997"/>
    </row>
    <row r="259" spans="2:11" s="840" customFormat="1" ht="16.5" x14ac:dyDescent="0.35">
      <c r="B259" s="2986"/>
      <c r="C259" s="3006" t="s">
        <v>3982</v>
      </c>
      <c r="D259" s="3006"/>
      <c r="E259" s="3006"/>
      <c r="F259" s="3006"/>
      <c r="G259" s="3006"/>
      <c r="H259" s="3006"/>
      <c r="I259" s="3006"/>
      <c r="J259" s="3006"/>
      <c r="K259" s="3007"/>
    </row>
    <row r="260" spans="2:11" s="840" customFormat="1" ht="16.5" x14ac:dyDescent="0.35">
      <c r="B260" s="2986"/>
      <c r="C260" s="2900" t="s">
        <v>3983</v>
      </c>
      <c r="D260" s="2900"/>
      <c r="E260" s="2900"/>
      <c r="F260" s="3005" t="s">
        <v>3984</v>
      </c>
      <c r="G260" s="2993" t="s">
        <v>3985</v>
      </c>
      <c r="H260" s="3005" t="s">
        <v>3986</v>
      </c>
      <c r="I260" s="2993" t="s">
        <v>3987</v>
      </c>
      <c r="J260" s="2993" t="s">
        <v>3988</v>
      </c>
      <c r="K260" s="2993" t="s">
        <v>3989</v>
      </c>
    </row>
    <row r="261" spans="2:11" s="840" customFormat="1" ht="16.5" x14ac:dyDescent="0.35">
      <c r="B261" s="2986"/>
      <c r="C261" s="2994" t="s">
        <v>3499</v>
      </c>
      <c r="D261" s="2995"/>
      <c r="E261" s="1322">
        <v>30</v>
      </c>
      <c r="F261" s="3005"/>
      <c r="G261" s="2993"/>
      <c r="H261" s="3005"/>
      <c r="I261" s="2993"/>
      <c r="J261" s="2993"/>
      <c r="K261" s="2993"/>
    </row>
    <row r="262" spans="2:11" s="840" customFormat="1" ht="16.5" x14ac:dyDescent="0.35">
      <c r="B262" s="2986"/>
      <c r="C262" s="2996" t="s">
        <v>3990</v>
      </c>
      <c r="D262" s="2997"/>
      <c r="E262" s="2997"/>
      <c r="F262" s="2997"/>
      <c r="G262" s="2997"/>
      <c r="H262" s="2997"/>
      <c r="I262" s="2997"/>
      <c r="J262" s="2997"/>
      <c r="K262" s="2997"/>
    </row>
    <row r="263" spans="2:11" s="840" customFormat="1" ht="16.5" x14ac:dyDescent="0.35">
      <c r="B263" s="2986"/>
      <c r="C263" s="3003" t="s">
        <v>3991</v>
      </c>
      <c r="D263" s="3004"/>
      <c r="E263" s="3004"/>
      <c r="F263" s="3004"/>
      <c r="G263" s="3004"/>
      <c r="H263" s="3004"/>
      <c r="I263" s="3004"/>
      <c r="J263" s="3004"/>
      <c r="K263" s="3004"/>
    </row>
    <row r="264" spans="2:11" s="840" customFormat="1" ht="16.5" x14ac:dyDescent="0.35">
      <c r="B264" s="2986"/>
      <c r="C264" s="2900" t="s">
        <v>3992</v>
      </c>
      <c r="D264" s="2900"/>
      <c r="E264" s="2900"/>
      <c r="F264" s="3005" t="s">
        <v>3993</v>
      </c>
      <c r="G264" s="2993" t="s">
        <v>3994</v>
      </c>
      <c r="H264" s="3005" t="s">
        <v>3995</v>
      </c>
      <c r="I264" s="2993" t="s">
        <v>3996</v>
      </c>
      <c r="J264" s="2993" t="s">
        <v>3997</v>
      </c>
      <c r="K264" s="2993" t="s">
        <v>3998</v>
      </c>
    </row>
    <row r="265" spans="2:11" s="840" customFormat="1" ht="16.5" x14ac:dyDescent="0.35">
      <c r="B265" s="2986"/>
      <c r="C265" s="2994" t="s">
        <v>3499</v>
      </c>
      <c r="D265" s="2995"/>
      <c r="E265" s="1322">
        <v>50</v>
      </c>
      <c r="F265" s="3005"/>
      <c r="G265" s="2993"/>
      <c r="H265" s="3005"/>
      <c r="I265" s="2993"/>
      <c r="J265" s="2993"/>
      <c r="K265" s="2993"/>
    </row>
    <row r="266" spans="2:11" s="840" customFormat="1" ht="16.5" x14ac:dyDescent="0.35">
      <c r="B266" s="2986"/>
      <c r="C266" s="2996" t="s">
        <v>3999</v>
      </c>
      <c r="D266" s="2997"/>
      <c r="E266" s="2997"/>
      <c r="F266" s="2997"/>
      <c r="G266" s="2997"/>
      <c r="H266" s="2997"/>
      <c r="I266" s="2997"/>
      <c r="J266" s="2997"/>
      <c r="K266" s="2997"/>
    </row>
    <row r="267" spans="2:11" s="840" customFormat="1" ht="16.5" x14ac:dyDescent="0.35">
      <c r="B267" s="2986"/>
      <c r="C267" s="3003" t="s">
        <v>4000</v>
      </c>
      <c r="D267" s="3004"/>
      <c r="E267" s="3004"/>
      <c r="F267" s="3004"/>
      <c r="G267" s="3004"/>
      <c r="H267" s="3004"/>
      <c r="I267" s="3004"/>
      <c r="J267" s="3004"/>
      <c r="K267" s="3004"/>
    </row>
    <row r="268" spans="2:11" s="840" customFormat="1" ht="16.5" x14ac:dyDescent="0.35">
      <c r="B268" s="2986"/>
      <c r="C268" s="2900" t="s">
        <v>4001</v>
      </c>
      <c r="D268" s="2900"/>
      <c r="E268" s="2900"/>
      <c r="F268" s="3005" t="s">
        <v>4002</v>
      </c>
      <c r="G268" s="2993" t="s">
        <v>4003</v>
      </c>
      <c r="H268" s="3005" t="s">
        <v>4004</v>
      </c>
      <c r="I268" s="2993" t="s">
        <v>4005</v>
      </c>
      <c r="J268" s="2993" t="s">
        <v>4006</v>
      </c>
      <c r="K268" s="2993" t="s">
        <v>4007</v>
      </c>
    </row>
    <row r="269" spans="2:11" s="840" customFormat="1" ht="16.5" x14ac:dyDescent="0.35">
      <c r="B269" s="2986"/>
      <c r="C269" s="2994" t="s">
        <v>3499</v>
      </c>
      <c r="D269" s="2995"/>
      <c r="E269" s="1322">
        <v>60</v>
      </c>
      <c r="F269" s="3005"/>
      <c r="G269" s="2993"/>
      <c r="H269" s="3005"/>
      <c r="I269" s="2993"/>
      <c r="J269" s="2993"/>
      <c r="K269" s="2993"/>
    </row>
    <row r="270" spans="2:11" s="840" customFormat="1" ht="16.5" x14ac:dyDescent="0.35">
      <c r="B270" s="2986"/>
      <c r="C270" s="2996" t="s">
        <v>4008</v>
      </c>
      <c r="D270" s="2997"/>
      <c r="E270" s="2997"/>
      <c r="F270" s="2997"/>
      <c r="G270" s="2997"/>
      <c r="H270" s="2997"/>
      <c r="I270" s="2997"/>
      <c r="J270" s="2997"/>
      <c r="K270" s="2997"/>
    </row>
    <row r="271" spans="2:11" s="840" customFormat="1" ht="16.5" x14ac:dyDescent="0.35">
      <c r="B271" s="2986"/>
      <c r="C271" s="3003" t="s">
        <v>4009</v>
      </c>
      <c r="D271" s="3004"/>
      <c r="E271" s="3004"/>
      <c r="F271" s="3004"/>
      <c r="G271" s="3004"/>
      <c r="H271" s="3004"/>
      <c r="I271" s="3004"/>
      <c r="J271" s="3004"/>
      <c r="K271" s="3004"/>
    </row>
    <row r="272" spans="2:11" s="840" customFormat="1" ht="16.5" x14ac:dyDescent="0.35">
      <c r="B272" s="2986"/>
      <c r="C272" s="3015" t="s">
        <v>4010</v>
      </c>
      <c r="D272" s="3016"/>
      <c r="E272" s="3016"/>
      <c r="F272" s="3005" t="s">
        <v>4002</v>
      </c>
      <c r="G272" s="2993" t="s">
        <v>4011</v>
      </c>
      <c r="H272" s="3005" t="s">
        <v>4012</v>
      </c>
      <c r="I272" s="2993" t="s">
        <v>4013</v>
      </c>
      <c r="J272" s="2900" t="s">
        <v>4014</v>
      </c>
      <c r="K272" s="2993" t="s">
        <v>4015</v>
      </c>
    </row>
    <row r="273" spans="2:11" s="840" customFormat="1" ht="16.5" x14ac:dyDescent="0.35">
      <c r="B273" s="2986"/>
      <c r="C273" s="2994" t="s">
        <v>3499</v>
      </c>
      <c r="D273" s="2995"/>
      <c r="E273" s="1322">
        <v>30</v>
      </c>
      <c r="F273" s="3005"/>
      <c r="G273" s="2993"/>
      <c r="H273" s="3005"/>
      <c r="I273" s="2993"/>
      <c r="J273" s="2900"/>
      <c r="K273" s="2993"/>
    </row>
    <row r="274" spans="2:11" s="840" customFormat="1" ht="16.5" x14ac:dyDescent="0.35">
      <c r="B274" s="2986"/>
      <c r="C274" s="3013" t="s">
        <v>4016</v>
      </c>
      <c r="D274" s="3014"/>
      <c r="E274" s="3014"/>
      <c r="F274" s="3014"/>
      <c r="G274" s="3014"/>
      <c r="H274" s="3014"/>
      <c r="I274" s="3014"/>
      <c r="J274" s="3014"/>
      <c r="K274" s="3014"/>
    </row>
    <row r="275" spans="2:11" s="840" customFormat="1" ht="16.5" x14ac:dyDescent="0.35">
      <c r="B275" s="2986"/>
      <c r="C275" s="2996" t="s">
        <v>4017</v>
      </c>
      <c r="D275" s="2997"/>
      <c r="E275" s="2997"/>
      <c r="F275" s="2997"/>
      <c r="G275" s="2997"/>
      <c r="H275" s="2997"/>
      <c r="I275" s="2997"/>
      <c r="J275" s="2997"/>
      <c r="K275" s="2997"/>
    </row>
    <row r="276" spans="2:11" s="840" customFormat="1" ht="16.5" x14ac:dyDescent="0.35">
      <c r="B276" s="2986"/>
      <c r="C276" s="2998" t="s">
        <v>3717</v>
      </c>
      <c r="D276" s="2998"/>
      <c r="E276" s="2998"/>
      <c r="F276" s="2999"/>
      <c r="G276" s="1328">
        <v>52.222222222222221</v>
      </c>
      <c r="H276" s="3000" t="s">
        <v>3718</v>
      </c>
      <c r="I276" s="3001"/>
      <c r="J276" s="3001"/>
      <c r="K276" s="3002"/>
    </row>
    <row r="277" spans="2:11" s="840" customFormat="1" ht="16.5" x14ac:dyDescent="0.35">
      <c r="B277" s="2986"/>
    </row>
    <row r="278" spans="2:11" s="840" customFormat="1" ht="16.5" x14ac:dyDescent="0.35">
      <c r="B278" s="2986"/>
      <c r="C278" s="3008" t="s">
        <v>3719</v>
      </c>
      <c r="D278" s="3008"/>
      <c r="E278" s="3008"/>
      <c r="F278" s="3008"/>
      <c r="G278" s="3008"/>
      <c r="H278" s="3008"/>
      <c r="I278" s="3008"/>
      <c r="J278" s="3008"/>
      <c r="K278" s="3009"/>
    </row>
    <row r="279" spans="2:11" s="840" customFormat="1" ht="16.5" x14ac:dyDescent="0.35">
      <c r="B279" s="2986"/>
      <c r="C279" s="1319"/>
      <c r="D279" s="1320"/>
      <c r="E279" s="1320"/>
      <c r="F279" s="3010" t="s">
        <v>3483</v>
      </c>
      <c r="G279" s="3011"/>
      <c r="H279" s="3011"/>
      <c r="I279" s="3011"/>
      <c r="J279" s="3011"/>
      <c r="K279" s="3012"/>
    </row>
    <row r="280" spans="2:11" s="840" customFormat="1" ht="16.5" x14ac:dyDescent="0.35">
      <c r="B280" s="2986"/>
      <c r="C280" s="1315"/>
      <c r="D280" s="1316"/>
      <c r="E280" s="1316"/>
      <c r="F280" s="1317" t="s">
        <v>3484</v>
      </c>
      <c r="G280" s="1317" t="s">
        <v>3485</v>
      </c>
      <c r="H280" s="1317" t="s">
        <v>3551</v>
      </c>
      <c r="I280" s="1317" t="s">
        <v>3552</v>
      </c>
      <c r="J280" s="1317" t="s">
        <v>3488</v>
      </c>
      <c r="K280" s="1317" t="s">
        <v>3489</v>
      </c>
    </row>
    <row r="281" spans="2:11" s="840" customFormat="1" ht="16.5" x14ac:dyDescent="0.35">
      <c r="B281" s="2986"/>
      <c r="C281" s="3006" t="s">
        <v>3720</v>
      </c>
      <c r="D281" s="3006"/>
      <c r="E281" s="3006"/>
      <c r="F281" s="3006"/>
      <c r="G281" s="3006"/>
      <c r="H281" s="3006"/>
      <c r="I281" s="3006"/>
      <c r="J281" s="3006"/>
      <c r="K281" s="3007"/>
    </row>
    <row r="282" spans="2:11" s="840" customFormat="1" ht="16.5" x14ac:dyDescent="0.35">
      <c r="B282" s="2986"/>
      <c r="C282" s="2900" t="s">
        <v>4018</v>
      </c>
      <c r="D282" s="2900"/>
      <c r="E282" s="2900"/>
      <c r="F282" s="3005" t="s">
        <v>4019</v>
      </c>
      <c r="G282" s="2993" t="s">
        <v>4020</v>
      </c>
      <c r="H282" s="2993" t="s">
        <v>4021</v>
      </c>
      <c r="I282" s="2993" t="s">
        <v>4022</v>
      </c>
      <c r="J282" s="2993" t="s">
        <v>4023</v>
      </c>
      <c r="K282" s="2993" t="s">
        <v>4024</v>
      </c>
    </row>
    <row r="283" spans="2:11" s="840" customFormat="1" ht="16.5" x14ac:dyDescent="0.35">
      <c r="B283" s="2986"/>
      <c r="C283" s="2994" t="s">
        <v>3499</v>
      </c>
      <c r="D283" s="2995"/>
      <c r="E283" s="1322">
        <v>70</v>
      </c>
      <c r="F283" s="3005"/>
      <c r="G283" s="2993"/>
      <c r="H283" s="2993"/>
      <c r="I283" s="2993"/>
      <c r="J283" s="2993"/>
      <c r="K283" s="2993"/>
    </row>
    <row r="284" spans="2:11" s="840" customFormat="1" ht="16.5" x14ac:dyDescent="0.35">
      <c r="B284" s="2986"/>
      <c r="C284" s="2996" t="s">
        <v>4025</v>
      </c>
      <c r="D284" s="2997"/>
      <c r="E284" s="2997"/>
      <c r="F284" s="2997"/>
      <c r="G284" s="2997"/>
      <c r="H284" s="2997"/>
      <c r="I284" s="2997"/>
      <c r="J284" s="2997"/>
      <c r="K284" s="2997"/>
    </row>
    <row r="285" spans="2:11" s="840" customFormat="1" ht="16.5" x14ac:dyDescent="0.35">
      <c r="B285" s="2986"/>
      <c r="C285" s="3003" t="s">
        <v>4026</v>
      </c>
      <c r="D285" s="3004"/>
      <c r="E285" s="3004"/>
      <c r="F285" s="3004"/>
      <c r="G285" s="3004"/>
      <c r="H285" s="3004"/>
      <c r="I285" s="3004"/>
      <c r="J285" s="3004"/>
      <c r="K285" s="3004"/>
    </row>
    <row r="286" spans="2:11" s="840" customFormat="1" ht="16.5" x14ac:dyDescent="0.35">
      <c r="B286" s="2986"/>
      <c r="C286" s="2900" t="s">
        <v>4027</v>
      </c>
      <c r="D286" s="2900"/>
      <c r="E286" s="2900"/>
      <c r="F286" s="3005" t="s">
        <v>4028</v>
      </c>
      <c r="G286" s="2993" t="s">
        <v>4029</v>
      </c>
      <c r="H286" s="2993" t="s">
        <v>4030</v>
      </c>
      <c r="I286" s="2993" t="s">
        <v>4031</v>
      </c>
      <c r="J286" s="2993" t="s">
        <v>4032</v>
      </c>
      <c r="K286" s="2993" t="s">
        <v>4033</v>
      </c>
    </row>
    <row r="287" spans="2:11" s="840" customFormat="1" ht="16.5" x14ac:dyDescent="0.35">
      <c r="B287" s="2986"/>
      <c r="C287" s="2994" t="s">
        <v>3499</v>
      </c>
      <c r="D287" s="2995"/>
      <c r="E287" s="1322">
        <v>50</v>
      </c>
      <c r="F287" s="3005"/>
      <c r="G287" s="2993"/>
      <c r="H287" s="2993"/>
      <c r="I287" s="2993"/>
      <c r="J287" s="2993"/>
      <c r="K287" s="2993"/>
    </row>
    <row r="288" spans="2:11" s="840" customFormat="1" ht="16.5" x14ac:dyDescent="0.35">
      <c r="B288" s="2986"/>
      <c r="C288" s="2996" t="s">
        <v>4034</v>
      </c>
      <c r="D288" s="2997"/>
      <c r="E288" s="2997"/>
      <c r="F288" s="2997"/>
      <c r="G288" s="2997"/>
      <c r="H288" s="2997"/>
      <c r="I288" s="2997"/>
      <c r="J288" s="2997"/>
      <c r="K288" s="2997"/>
    </row>
    <row r="289" spans="2:11" s="840" customFormat="1" ht="16.5" x14ac:dyDescent="0.35">
      <c r="B289" s="2986"/>
      <c r="C289" s="2996" t="s">
        <v>4035</v>
      </c>
      <c r="D289" s="2997"/>
      <c r="E289" s="2997"/>
      <c r="F289" s="2997"/>
      <c r="G289" s="2997"/>
      <c r="H289" s="2997"/>
      <c r="I289" s="2997"/>
      <c r="J289" s="2997"/>
      <c r="K289" s="2997"/>
    </row>
    <row r="290" spans="2:11" s="840" customFormat="1" ht="16.5" x14ac:dyDescent="0.35">
      <c r="B290" s="2986"/>
      <c r="C290" s="3006" t="s">
        <v>4036</v>
      </c>
      <c r="D290" s="3006"/>
      <c r="E290" s="3006"/>
      <c r="F290" s="3006"/>
      <c r="G290" s="3006"/>
      <c r="H290" s="3006"/>
      <c r="I290" s="3006"/>
      <c r="J290" s="3006"/>
      <c r="K290" s="3007"/>
    </row>
    <row r="291" spans="2:11" s="840" customFormat="1" ht="16.5" x14ac:dyDescent="0.35">
      <c r="B291" s="2986"/>
      <c r="C291" s="2900" t="s">
        <v>4037</v>
      </c>
      <c r="D291" s="2900"/>
      <c r="E291" s="2900"/>
      <c r="F291" s="3005" t="s">
        <v>4038</v>
      </c>
      <c r="G291" s="2993" t="s">
        <v>4020</v>
      </c>
      <c r="H291" s="2993" t="s">
        <v>4039</v>
      </c>
      <c r="I291" s="2993" t="s">
        <v>4040</v>
      </c>
      <c r="J291" s="2993" t="s">
        <v>4023</v>
      </c>
      <c r="K291" s="2993" t="s">
        <v>4041</v>
      </c>
    </row>
    <row r="292" spans="2:11" s="840" customFormat="1" ht="16.5" x14ac:dyDescent="0.35">
      <c r="B292" s="2986"/>
      <c r="C292" s="2994" t="s">
        <v>3499</v>
      </c>
      <c r="D292" s="2995"/>
      <c r="E292" s="1322">
        <v>40</v>
      </c>
      <c r="F292" s="3005"/>
      <c r="G292" s="2993"/>
      <c r="H292" s="2993"/>
      <c r="I292" s="2993"/>
      <c r="J292" s="2993"/>
      <c r="K292" s="2993"/>
    </row>
    <row r="293" spans="2:11" s="840" customFormat="1" ht="16.5" x14ac:dyDescent="0.35">
      <c r="B293" s="2986"/>
      <c r="C293" s="2996" t="s">
        <v>4042</v>
      </c>
      <c r="D293" s="2997"/>
      <c r="E293" s="2997"/>
      <c r="F293" s="2997"/>
      <c r="G293" s="2997"/>
      <c r="H293" s="2997"/>
      <c r="I293" s="2997"/>
      <c r="J293" s="2997"/>
      <c r="K293" s="2997"/>
    </row>
    <row r="294" spans="2:11" s="840" customFormat="1" ht="16.5" x14ac:dyDescent="0.35">
      <c r="B294" s="2986"/>
      <c r="C294" s="3003" t="s">
        <v>4043</v>
      </c>
      <c r="D294" s="3004"/>
      <c r="E294" s="3004"/>
      <c r="F294" s="3004"/>
      <c r="G294" s="3004"/>
      <c r="H294" s="3004"/>
      <c r="I294" s="3004"/>
      <c r="J294" s="3004"/>
      <c r="K294" s="3004"/>
    </row>
    <row r="295" spans="2:11" s="840" customFormat="1" ht="16.5" x14ac:dyDescent="0.35">
      <c r="B295" s="2986"/>
      <c r="C295" s="2900" t="s">
        <v>4044</v>
      </c>
      <c r="D295" s="2900"/>
      <c r="E295" s="2900"/>
      <c r="F295" s="3005" t="s">
        <v>4045</v>
      </c>
      <c r="G295" s="3005" t="s">
        <v>4046</v>
      </c>
      <c r="H295" s="3005" t="s">
        <v>4047</v>
      </c>
      <c r="I295" s="2993" t="s">
        <v>4048</v>
      </c>
      <c r="J295" s="2993" t="s">
        <v>4049</v>
      </c>
      <c r="K295" s="2993" t="s">
        <v>4050</v>
      </c>
    </row>
    <row r="296" spans="2:11" s="840" customFormat="1" ht="16.5" x14ac:dyDescent="0.35">
      <c r="B296" s="2986"/>
      <c r="C296" s="2994" t="s">
        <v>3499</v>
      </c>
      <c r="D296" s="2995"/>
      <c r="E296" s="1322">
        <v>60</v>
      </c>
      <c r="F296" s="3005"/>
      <c r="G296" s="3005"/>
      <c r="H296" s="3005"/>
      <c r="I296" s="2993"/>
      <c r="J296" s="2993"/>
      <c r="K296" s="2993"/>
    </row>
    <row r="297" spans="2:11" s="840" customFormat="1" ht="16.5" x14ac:dyDescent="0.35">
      <c r="B297" s="2986"/>
      <c r="C297" s="2996" t="s">
        <v>4051</v>
      </c>
      <c r="D297" s="2997"/>
      <c r="E297" s="2997"/>
      <c r="F297" s="2997"/>
      <c r="G297" s="2997"/>
      <c r="H297" s="2997"/>
      <c r="I297" s="2997"/>
      <c r="J297" s="2997"/>
      <c r="K297" s="2997"/>
    </row>
    <row r="298" spans="2:11" s="840" customFormat="1" ht="16.5" x14ac:dyDescent="0.35">
      <c r="B298" s="2986"/>
      <c r="C298" s="3003" t="s">
        <v>4052</v>
      </c>
      <c r="D298" s="3004"/>
      <c r="E298" s="3004"/>
      <c r="F298" s="3004"/>
      <c r="G298" s="3004"/>
      <c r="H298" s="3004"/>
      <c r="I298" s="3004"/>
      <c r="J298" s="3004"/>
      <c r="K298" s="3004"/>
    </row>
    <row r="299" spans="2:11" s="840" customFormat="1" ht="16.5" x14ac:dyDescent="0.35">
      <c r="B299" s="2986"/>
      <c r="C299" s="2900" t="s">
        <v>4053</v>
      </c>
      <c r="D299" s="2900"/>
      <c r="E299" s="2900"/>
      <c r="F299" s="3005" t="s">
        <v>4054</v>
      </c>
      <c r="G299" s="2993" t="s">
        <v>4055</v>
      </c>
      <c r="H299" s="2993" t="s">
        <v>4056</v>
      </c>
      <c r="I299" s="2993" t="s">
        <v>4057</v>
      </c>
      <c r="J299" s="2993" t="s">
        <v>4058</v>
      </c>
      <c r="K299" s="2993" t="s">
        <v>4059</v>
      </c>
    </row>
    <row r="300" spans="2:11" s="840" customFormat="1" ht="16.5" x14ac:dyDescent="0.35">
      <c r="B300" s="2986"/>
      <c r="C300" s="2994" t="s">
        <v>3499</v>
      </c>
      <c r="D300" s="2995"/>
      <c r="E300" s="1322">
        <v>30</v>
      </c>
      <c r="F300" s="3005"/>
      <c r="G300" s="2993"/>
      <c r="H300" s="2993"/>
      <c r="I300" s="2993"/>
      <c r="J300" s="2993"/>
      <c r="K300" s="2993"/>
    </row>
    <row r="301" spans="2:11" s="840" customFormat="1" ht="16.5" x14ac:dyDescent="0.35">
      <c r="B301" s="2986"/>
      <c r="C301" s="2996" t="s">
        <v>4060</v>
      </c>
      <c r="D301" s="2997"/>
      <c r="E301" s="2997"/>
      <c r="F301" s="2997"/>
      <c r="G301" s="2997"/>
      <c r="H301" s="2997"/>
      <c r="I301" s="2997"/>
      <c r="J301" s="2997"/>
      <c r="K301" s="2997"/>
    </row>
    <row r="302" spans="2:11" s="840" customFormat="1" ht="16.5" x14ac:dyDescent="0.35">
      <c r="B302" s="2986"/>
      <c r="C302" s="3003" t="s">
        <v>4061</v>
      </c>
      <c r="D302" s="3004"/>
      <c r="E302" s="3004"/>
      <c r="F302" s="3004"/>
      <c r="G302" s="3004"/>
      <c r="H302" s="3004"/>
      <c r="I302" s="3004"/>
      <c r="J302" s="3004"/>
      <c r="K302" s="3004"/>
    </row>
    <row r="303" spans="2:11" s="840" customFormat="1" ht="16.5" x14ac:dyDescent="0.35">
      <c r="B303" s="2986"/>
      <c r="C303" s="2900" t="s">
        <v>4062</v>
      </c>
      <c r="D303" s="2900"/>
      <c r="E303" s="2900"/>
      <c r="F303" s="3005" t="s">
        <v>4063</v>
      </c>
      <c r="G303" s="2993" t="s">
        <v>4029</v>
      </c>
      <c r="H303" s="2993" t="s">
        <v>4030</v>
      </c>
      <c r="I303" s="2993" t="s">
        <v>4031</v>
      </c>
      <c r="J303" s="2993" t="s">
        <v>4032</v>
      </c>
      <c r="K303" s="2993" t="s">
        <v>4033</v>
      </c>
    </row>
    <row r="304" spans="2:11" s="840" customFormat="1" ht="16.5" x14ac:dyDescent="0.35">
      <c r="B304" s="2986"/>
      <c r="C304" s="2994" t="s">
        <v>3499</v>
      </c>
      <c r="D304" s="2995"/>
      <c r="E304" s="1322">
        <v>20</v>
      </c>
      <c r="F304" s="3005"/>
      <c r="G304" s="2993"/>
      <c r="H304" s="2993"/>
      <c r="I304" s="2993"/>
      <c r="J304" s="2993"/>
      <c r="K304" s="2993"/>
    </row>
    <row r="305" spans="2:11" s="840" customFormat="1" ht="16.5" x14ac:dyDescent="0.35">
      <c r="B305" s="2986"/>
      <c r="C305" s="2996" t="s">
        <v>4064</v>
      </c>
      <c r="D305" s="2997"/>
      <c r="E305" s="2997"/>
      <c r="F305" s="2997"/>
      <c r="G305" s="2997"/>
      <c r="H305" s="2997"/>
      <c r="I305" s="2997"/>
      <c r="J305" s="2997"/>
      <c r="K305" s="2997"/>
    </row>
    <row r="306" spans="2:11" s="840" customFormat="1" ht="16.5" x14ac:dyDescent="0.35">
      <c r="B306" s="2986"/>
      <c r="C306" s="2996" t="s">
        <v>4065</v>
      </c>
      <c r="D306" s="2997"/>
      <c r="E306" s="2997"/>
      <c r="F306" s="2997"/>
      <c r="G306" s="2997"/>
      <c r="H306" s="2997"/>
      <c r="I306" s="2997"/>
      <c r="J306" s="2997"/>
      <c r="K306" s="2997"/>
    </row>
    <row r="307" spans="2:11" s="840" customFormat="1" ht="16.5" x14ac:dyDescent="0.35">
      <c r="B307" s="2986"/>
      <c r="C307" s="2998" t="s">
        <v>3759</v>
      </c>
      <c r="D307" s="2998"/>
      <c r="E307" s="2998"/>
      <c r="F307" s="2999"/>
      <c r="G307" s="1322">
        <v>45</v>
      </c>
      <c r="H307" s="3000" t="s">
        <v>3718</v>
      </c>
      <c r="I307" s="3001"/>
      <c r="J307" s="3001"/>
      <c r="K307" s="3002"/>
    </row>
    <row r="308" spans="2:11" s="840" customFormat="1" ht="16.5" x14ac:dyDescent="0.35">
      <c r="B308" s="2986"/>
    </row>
    <row r="309" spans="2:11" s="840" customFormat="1" ht="16.5" x14ac:dyDescent="0.35">
      <c r="B309" s="2986"/>
      <c r="C309" s="17" t="s">
        <v>4066</v>
      </c>
    </row>
    <row r="310" spans="2:11" s="840" customFormat="1" ht="16.5" x14ac:dyDescent="0.35">
      <c r="B310" s="2986"/>
      <c r="C310" s="17" t="s">
        <v>4067</v>
      </c>
    </row>
    <row r="311" spans="2:11" s="840" customFormat="1" ht="16.5" x14ac:dyDescent="0.35">
      <c r="B311" s="2986"/>
      <c r="C311" s="17" t="s">
        <v>4068</v>
      </c>
    </row>
    <row r="312" spans="2:11" s="840" customFormat="1" ht="16.5" x14ac:dyDescent="0.35">
      <c r="B312" s="2986"/>
      <c r="C312" s="17" t="s">
        <v>4069</v>
      </c>
    </row>
    <row r="313" spans="2:11" s="840" customFormat="1" ht="16.5" x14ac:dyDescent="0.35">
      <c r="B313" s="2986"/>
      <c r="C313" s="17" t="s">
        <v>4070</v>
      </c>
    </row>
    <row r="314" spans="2:11" s="840" customFormat="1" ht="16.5" x14ac:dyDescent="0.35">
      <c r="B314" s="2986"/>
      <c r="C314" s="17" t="s">
        <v>4071</v>
      </c>
    </row>
    <row r="315" spans="2:11" s="840" customFormat="1" ht="16.5" x14ac:dyDescent="0.35">
      <c r="B315" s="2986"/>
      <c r="C315" s="17" t="s">
        <v>4072</v>
      </c>
    </row>
    <row r="316" spans="2:11" s="840" customFormat="1" ht="16.5" x14ac:dyDescent="0.35">
      <c r="B316" s="2986"/>
      <c r="C316" s="17" t="s">
        <v>4073</v>
      </c>
    </row>
    <row r="317" spans="2:11" s="840" customFormat="1" ht="16.5" x14ac:dyDescent="0.35">
      <c r="B317" s="2986"/>
      <c r="C317" s="17" t="s">
        <v>4074</v>
      </c>
    </row>
    <row r="318" spans="2:11" s="840" customFormat="1" ht="16.5" x14ac:dyDescent="0.35">
      <c r="B318" s="2986"/>
      <c r="C318" s="17" t="s">
        <v>4075</v>
      </c>
    </row>
    <row r="319" spans="2:11" s="840" customFormat="1" ht="16.5" x14ac:dyDescent="0.35">
      <c r="B319" s="2986"/>
      <c r="C319" s="17" t="s">
        <v>4076</v>
      </c>
    </row>
    <row r="320" spans="2:11" s="840" customFormat="1" ht="16.5" x14ac:dyDescent="0.35">
      <c r="B320" s="2986"/>
      <c r="C320" s="17" t="s">
        <v>4077</v>
      </c>
    </row>
    <row r="321" spans="2:3" s="840" customFormat="1" ht="16.5" x14ac:dyDescent="0.35">
      <c r="B321" s="2986"/>
      <c r="C321" s="17" t="s">
        <v>4078</v>
      </c>
    </row>
    <row r="322" spans="2:3" s="840" customFormat="1" ht="16.5" x14ac:dyDescent="0.35">
      <c r="B322" s="2986"/>
      <c r="C322" s="17" t="s">
        <v>4079</v>
      </c>
    </row>
    <row r="323" spans="2:3" s="840" customFormat="1" ht="16.5" x14ac:dyDescent="0.35">
      <c r="B323" s="2986"/>
      <c r="C323" s="17" t="s">
        <v>4080</v>
      </c>
    </row>
    <row r="324" spans="2:3" s="840" customFormat="1" ht="16.5" x14ac:dyDescent="0.35">
      <c r="B324" s="2986"/>
      <c r="C324" s="17" t="s">
        <v>4081</v>
      </c>
    </row>
    <row r="325" spans="2:3" s="840" customFormat="1" ht="16.5" x14ac:dyDescent="0.35">
      <c r="B325" s="2986"/>
      <c r="C325" s="17" t="s">
        <v>4082</v>
      </c>
    </row>
    <row r="326" spans="2:3" s="840" customFormat="1" ht="16.5" x14ac:dyDescent="0.35">
      <c r="B326" s="2986"/>
      <c r="C326" s="17" t="s">
        <v>4083</v>
      </c>
    </row>
    <row r="327" spans="2:3" s="840" customFormat="1" ht="16.5" x14ac:dyDescent="0.35">
      <c r="B327" s="2986"/>
      <c r="C327" s="17" t="s">
        <v>4084</v>
      </c>
    </row>
    <row r="328" spans="2:3" s="840" customFormat="1" ht="16.5" x14ac:dyDescent="0.35">
      <c r="B328" s="2986"/>
      <c r="C328" s="17" t="s">
        <v>4085</v>
      </c>
    </row>
    <row r="329" spans="2:3" s="840" customFormat="1" ht="16.5" x14ac:dyDescent="0.35">
      <c r="B329" s="2986"/>
      <c r="C329" s="17" t="s">
        <v>4086</v>
      </c>
    </row>
    <row r="330" spans="2:3" s="840" customFormat="1" ht="16.5" x14ac:dyDescent="0.35">
      <c r="B330" s="2986"/>
      <c r="C330" s="17" t="s">
        <v>4087</v>
      </c>
    </row>
    <row r="331" spans="2:3" s="840" customFormat="1" ht="16.5" x14ac:dyDescent="0.35">
      <c r="B331" s="2986"/>
      <c r="C331" s="17" t="s">
        <v>4088</v>
      </c>
    </row>
    <row r="332" spans="2:3" s="840" customFormat="1" ht="16.5" x14ac:dyDescent="0.35">
      <c r="B332" s="2986"/>
      <c r="C332" s="17" t="s">
        <v>4089</v>
      </c>
    </row>
    <row r="333" spans="2:3" s="840" customFormat="1" ht="16.5" x14ac:dyDescent="0.35">
      <c r="B333" s="2986"/>
      <c r="C333" s="17" t="s">
        <v>4090</v>
      </c>
    </row>
    <row r="334" spans="2:3" s="840" customFormat="1" ht="16.5" x14ac:dyDescent="0.35">
      <c r="B334" s="2986"/>
      <c r="C334" s="17" t="s">
        <v>4091</v>
      </c>
    </row>
    <row r="335" spans="2:3" s="840" customFormat="1" ht="16.5" x14ac:dyDescent="0.35">
      <c r="B335" s="2986"/>
      <c r="C335" s="17" t="s">
        <v>4092</v>
      </c>
    </row>
    <row r="336" spans="2:3" s="840" customFormat="1" ht="16.5" x14ac:dyDescent="0.35">
      <c r="B336" s="2986"/>
      <c r="C336" s="17" t="s">
        <v>4093</v>
      </c>
    </row>
    <row r="337" spans="2:3" s="840" customFormat="1" ht="16.5" x14ac:dyDescent="0.35">
      <c r="B337" s="2986"/>
      <c r="C337" s="17" t="s">
        <v>4094</v>
      </c>
    </row>
    <row r="338" spans="2:3" s="840" customFormat="1" ht="16.5" x14ac:dyDescent="0.35">
      <c r="B338" s="2986"/>
      <c r="C338" s="17" t="s">
        <v>4095</v>
      </c>
    </row>
    <row r="339" spans="2:3" s="840" customFormat="1" ht="16.5" x14ac:dyDescent="0.35">
      <c r="B339" s="2986"/>
      <c r="C339" s="17" t="s">
        <v>4096</v>
      </c>
    </row>
    <row r="340" spans="2:3" s="840" customFormat="1" ht="16.5" x14ac:dyDescent="0.35">
      <c r="B340" s="2986"/>
      <c r="C340" s="17" t="s">
        <v>4097</v>
      </c>
    </row>
    <row r="341" spans="2:3" s="840" customFormat="1" ht="16.5" x14ac:dyDescent="0.35">
      <c r="B341" s="2986"/>
      <c r="C341" s="17" t="s">
        <v>4098</v>
      </c>
    </row>
    <row r="342" spans="2:3" s="840" customFormat="1" ht="16.5" x14ac:dyDescent="0.35">
      <c r="B342" s="2986"/>
      <c r="C342" s="17" t="s">
        <v>4099</v>
      </c>
    </row>
    <row r="343" spans="2:3" s="840" customFormat="1" ht="16.5" x14ac:dyDescent="0.35">
      <c r="B343" s="2986"/>
      <c r="C343" s="17" t="s">
        <v>4100</v>
      </c>
    </row>
    <row r="344" spans="2:3" s="840" customFormat="1" ht="16.5" x14ac:dyDescent="0.35">
      <c r="B344" s="2986"/>
      <c r="C344" s="17" t="s">
        <v>4101</v>
      </c>
    </row>
    <row r="345" spans="2:3" s="840" customFormat="1" ht="16.5" x14ac:dyDescent="0.35">
      <c r="B345" s="2986"/>
      <c r="C345" s="17" t="s">
        <v>4102</v>
      </c>
    </row>
    <row r="346" spans="2:3" s="840" customFormat="1" ht="16.5" x14ac:dyDescent="0.35">
      <c r="B346" s="2986"/>
      <c r="C346" s="17" t="s">
        <v>4103</v>
      </c>
    </row>
    <row r="347" spans="2:3" s="840" customFormat="1" ht="16.5" x14ac:dyDescent="0.35">
      <c r="B347" s="2986"/>
      <c r="C347" s="17" t="s">
        <v>4104</v>
      </c>
    </row>
    <row r="348" spans="2:3" s="840" customFormat="1" ht="16.5" x14ac:dyDescent="0.35">
      <c r="B348" s="2986"/>
      <c r="C348" s="17" t="s">
        <v>4105</v>
      </c>
    </row>
    <row r="349" spans="2:3" s="840" customFormat="1" ht="16.5" x14ac:dyDescent="0.35">
      <c r="B349" s="2986"/>
      <c r="C349" s="17" t="s">
        <v>4106</v>
      </c>
    </row>
    <row r="350" spans="2:3" s="840" customFormat="1" ht="16.5" x14ac:dyDescent="0.35">
      <c r="B350" s="2986"/>
      <c r="C350" s="17" t="s">
        <v>4107</v>
      </c>
    </row>
    <row r="351" spans="2:3" s="840" customFormat="1" ht="16.5" x14ac:dyDescent="0.35">
      <c r="B351" s="2986"/>
      <c r="C351" s="17" t="s">
        <v>4108</v>
      </c>
    </row>
    <row r="352" spans="2:3" s="840" customFormat="1" ht="16.5" x14ac:dyDescent="0.35">
      <c r="B352" s="2987"/>
      <c r="C352" s="17" t="s">
        <v>4109</v>
      </c>
    </row>
    <row r="353" spans="2:16" s="840" customFormat="1" ht="16.5" x14ac:dyDescent="0.35"/>
    <row r="354" spans="2:16" s="840" customFormat="1" ht="16.5" x14ac:dyDescent="0.35"/>
    <row r="355" spans="2:16" s="840" customFormat="1" ht="17.25" thickBot="1" x14ac:dyDescent="0.4"/>
    <row r="356" spans="2:16" s="840" customFormat="1" ht="17.25" thickBot="1" x14ac:dyDescent="0.4">
      <c r="B356" s="2985">
        <v>2023</v>
      </c>
      <c r="C356" s="2931" t="s">
        <v>4110</v>
      </c>
      <c r="D356" s="2931"/>
      <c r="E356" s="2931"/>
      <c r="F356" s="2931"/>
      <c r="G356" s="2931"/>
      <c r="H356" s="2931"/>
      <c r="I356" s="2931"/>
      <c r="J356" s="2931"/>
      <c r="K356" s="2931"/>
      <c r="L356" s="2931"/>
      <c r="M356" s="2931"/>
      <c r="N356" s="2931"/>
      <c r="O356" s="2931"/>
      <c r="P356" s="2932"/>
    </row>
    <row r="357" spans="2:16" s="840" customFormat="1" ht="17.25" thickBot="1" x14ac:dyDescent="0.4">
      <c r="B357" s="2986"/>
      <c r="C357" s="2988"/>
      <c r="D357" s="2989"/>
      <c r="E357" s="2974" t="s">
        <v>4111</v>
      </c>
      <c r="F357" s="2982"/>
      <c r="G357" s="2982"/>
      <c r="H357" s="2982"/>
      <c r="I357" s="2982"/>
      <c r="J357" s="2982"/>
      <c r="K357" s="2982"/>
      <c r="L357" s="2982"/>
      <c r="M357" s="2982"/>
      <c r="N357" s="2982"/>
      <c r="O357" s="2982"/>
      <c r="P357" s="2975"/>
    </row>
    <row r="358" spans="2:16" s="840" customFormat="1" ht="17.25" thickBot="1" x14ac:dyDescent="0.4">
      <c r="B358" s="2986"/>
      <c r="C358" s="2909"/>
      <c r="D358" s="2910"/>
      <c r="E358" s="2974" t="s">
        <v>3484</v>
      </c>
      <c r="F358" s="2975"/>
      <c r="G358" s="2974" t="s">
        <v>3485</v>
      </c>
      <c r="H358" s="2975"/>
      <c r="I358" s="2974" t="s">
        <v>4112</v>
      </c>
      <c r="J358" s="2975"/>
      <c r="K358" s="2974" t="s">
        <v>4113</v>
      </c>
      <c r="L358" s="2975"/>
      <c r="M358" s="2974" t="s">
        <v>3488</v>
      </c>
      <c r="N358" s="2975"/>
      <c r="O358" s="2974" t="s">
        <v>3489</v>
      </c>
      <c r="P358" s="2975"/>
    </row>
    <row r="359" spans="2:16" s="840" customFormat="1" ht="17.25" thickBot="1" x14ac:dyDescent="0.4">
      <c r="B359" s="2986"/>
      <c r="C359" s="2921" t="s">
        <v>3793</v>
      </c>
      <c r="D359" s="2921"/>
      <c r="E359" s="2921"/>
      <c r="F359" s="2921"/>
      <c r="G359" s="2921"/>
      <c r="H359" s="2921"/>
      <c r="I359" s="2921"/>
      <c r="J359" s="2921"/>
      <c r="K359" s="2921"/>
      <c r="L359" s="2921"/>
      <c r="M359" s="2921"/>
      <c r="N359" s="2921"/>
      <c r="O359" s="2921"/>
      <c r="P359" s="2922"/>
    </row>
    <row r="360" spans="2:16" s="840" customFormat="1" ht="27.6" customHeight="1" thickBot="1" x14ac:dyDescent="0.4">
      <c r="B360" s="2986"/>
      <c r="C360" s="2929" t="s">
        <v>4114</v>
      </c>
      <c r="D360" s="2930"/>
      <c r="E360" s="2918" t="s">
        <v>4115</v>
      </c>
      <c r="F360" s="2919"/>
      <c r="G360" s="2915" t="s">
        <v>4116</v>
      </c>
      <c r="H360" s="2897"/>
      <c r="I360" s="2918" t="s">
        <v>4117</v>
      </c>
      <c r="J360" s="2919"/>
      <c r="K360" s="2918" t="s">
        <v>4118</v>
      </c>
      <c r="L360" s="2919"/>
      <c r="M360" s="2918" t="s">
        <v>4119</v>
      </c>
      <c r="N360" s="2919"/>
      <c r="O360" s="2918" t="s">
        <v>4120</v>
      </c>
      <c r="P360" s="2919"/>
    </row>
    <row r="361" spans="2:16" s="840" customFormat="1" ht="17.25" thickBot="1" x14ac:dyDescent="0.4">
      <c r="B361" s="2986"/>
      <c r="C361" s="1329" t="s">
        <v>4121</v>
      </c>
      <c r="D361" s="1330">
        <v>70</v>
      </c>
      <c r="E361" s="2920"/>
      <c r="F361" s="2891"/>
      <c r="G361" s="2916"/>
      <c r="H361" s="2917"/>
      <c r="I361" s="2920"/>
      <c r="J361" s="2891"/>
      <c r="K361" s="2920"/>
      <c r="L361" s="2891"/>
      <c r="M361" s="2920"/>
      <c r="N361" s="2891"/>
      <c r="O361" s="2920"/>
      <c r="P361" s="2891"/>
    </row>
    <row r="362" spans="2:16" s="840" customFormat="1" ht="16.5" x14ac:dyDescent="0.35">
      <c r="B362" s="2986"/>
      <c r="C362" s="2896" t="s">
        <v>4122</v>
      </c>
      <c r="D362" s="2896"/>
      <c r="E362" s="2896"/>
      <c r="F362" s="2896"/>
      <c r="G362" s="2896"/>
      <c r="H362" s="2896"/>
      <c r="I362" s="2896"/>
      <c r="J362" s="2896"/>
      <c r="K362" s="2896"/>
      <c r="L362" s="2896"/>
      <c r="M362" s="2896"/>
      <c r="N362" s="2896"/>
      <c r="O362" s="2896"/>
      <c r="P362" s="2897"/>
    </row>
    <row r="363" spans="2:16" s="840" customFormat="1" ht="43.15" customHeight="1" x14ac:dyDescent="0.35">
      <c r="B363" s="2986"/>
      <c r="C363" s="2894" t="s">
        <v>4123</v>
      </c>
      <c r="D363" s="2894"/>
      <c r="E363" s="2894"/>
      <c r="F363" s="2894"/>
      <c r="G363" s="2894"/>
      <c r="H363" s="2894"/>
      <c r="I363" s="2894"/>
      <c r="J363" s="2894"/>
      <c r="K363" s="2894"/>
      <c r="L363" s="2894"/>
      <c r="M363" s="2894"/>
      <c r="N363" s="2894"/>
      <c r="O363" s="2894"/>
      <c r="P363" s="2895"/>
    </row>
    <row r="364" spans="2:16" s="840" customFormat="1" ht="16.5" x14ac:dyDescent="0.35">
      <c r="B364" s="2986"/>
      <c r="C364" s="2894"/>
      <c r="D364" s="2894"/>
      <c r="E364" s="2894"/>
      <c r="F364" s="2894"/>
      <c r="G364" s="2894"/>
      <c r="H364" s="2894"/>
      <c r="I364" s="2894"/>
      <c r="J364" s="2894"/>
      <c r="K364" s="2894"/>
      <c r="L364" s="2894"/>
      <c r="M364" s="2894"/>
      <c r="N364" s="2894"/>
      <c r="O364" s="2894"/>
      <c r="P364" s="2895"/>
    </row>
    <row r="365" spans="2:16" s="840" customFormat="1" ht="16.5" x14ac:dyDescent="0.35">
      <c r="B365" s="2986"/>
      <c r="C365" s="2894" t="s">
        <v>4124</v>
      </c>
      <c r="D365" s="2894"/>
      <c r="E365" s="2894"/>
      <c r="F365" s="2894"/>
      <c r="G365" s="2894"/>
      <c r="H365" s="2894"/>
      <c r="I365" s="2894"/>
      <c r="J365" s="2894"/>
      <c r="K365" s="2894"/>
      <c r="L365" s="2894"/>
      <c r="M365" s="2894"/>
      <c r="N365" s="2894"/>
      <c r="O365" s="2894"/>
      <c r="P365" s="2895"/>
    </row>
    <row r="366" spans="2:16" s="840" customFormat="1" ht="28.9" customHeight="1" x14ac:dyDescent="0.35">
      <c r="B366" s="2986"/>
      <c r="C366" s="2894" t="s">
        <v>4125</v>
      </c>
      <c r="D366" s="2894"/>
      <c r="E366" s="2894"/>
      <c r="F366" s="2894"/>
      <c r="G366" s="2894"/>
      <c r="H366" s="2894"/>
      <c r="I366" s="2894"/>
      <c r="J366" s="2894"/>
      <c r="K366" s="2894"/>
      <c r="L366" s="2894"/>
      <c r="M366" s="2894"/>
      <c r="N366" s="2894"/>
      <c r="O366" s="2894"/>
      <c r="P366" s="2895"/>
    </row>
    <row r="367" spans="2:16" s="840" customFormat="1" ht="16.5" x14ac:dyDescent="0.35">
      <c r="B367" s="2986"/>
      <c r="C367" s="2894"/>
      <c r="D367" s="2894"/>
      <c r="E367" s="2894"/>
      <c r="F367" s="2894"/>
      <c r="G367" s="2894"/>
      <c r="H367" s="2894"/>
      <c r="I367" s="2894"/>
      <c r="J367" s="2894"/>
      <c r="K367" s="2894"/>
      <c r="L367" s="2894"/>
      <c r="M367" s="2894"/>
      <c r="N367" s="2894"/>
      <c r="O367" s="2894"/>
      <c r="P367" s="2895"/>
    </row>
    <row r="368" spans="2:16" s="840" customFormat="1" ht="28.9" customHeight="1" x14ac:dyDescent="0.35">
      <c r="B368" s="2986"/>
      <c r="C368" s="2894" t="s">
        <v>4126</v>
      </c>
      <c r="D368" s="2894"/>
      <c r="E368" s="2894"/>
      <c r="F368" s="2894"/>
      <c r="G368" s="2894"/>
      <c r="H368" s="2894"/>
      <c r="I368" s="2894"/>
      <c r="J368" s="2894"/>
      <c r="K368" s="2894"/>
      <c r="L368" s="2894"/>
      <c r="M368" s="2894"/>
      <c r="N368" s="2894"/>
      <c r="O368" s="2894"/>
      <c r="P368" s="2895"/>
    </row>
    <row r="369" spans="2:16" s="840" customFormat="1" ht="16.5" x14ac:dyDescent="0.35">
      <c r="B369" s="2986"/>
      <c r="C369" s="2990"/>
      <c r="D369" s="2990"/>
      <c r="E369" s="2990"/>
      <c r="F369" s="2990"/>
      <c r="G369" s="2990"/>
      <c r="H369" s="2990"/>
      <c r="I369" s="2990"/>
      <c r="J369" s="2990"/>
      <c r="K369" s="2990"/>
      <c r="L369" s="2990"/>
      <c r="M369" s="2990"/>
      <c r="N369" s="2990"/>
      <c r="O369" s="2990"/>
      <c r="P369" s="2938"/>
    </row>
    <row r="370" spans="2:16" s="840" customFormat="1" ht="28.9" customHeight="1" x14ac:dyDescent="0.35">
      <c r="B370" s="2986"/>
      <c r="C370" s="2894" t="s">
        <v>4127</v>
      </c>
      <c r="D370" s="2894"/>
      <c r="E370" s="2894"/>
      <c r="F370" s="2894"/>
      <c r="G370" s="2894"/>
      <c r="H370" s="2894"/>
      <c r="I370" s="2894"/>
      <c r="J370" s="2894"/>
      <c r="K370" s="2894"/>
      <c r="L370" s="2894"/>
      <c r="M370" s="2894"/>
      <c r="N370" s="2894"/>
      <c r="O370" s="2894"/>
      <c r="P370" s="2895"/>
    </row>
    <row r="371" spans="2:16" s="840" customFormat="1" ht="16.5" x14ac:dyDescent="0.35">
      <c r="B371" s="2986"/>
      <c r="C371" s="2990"/>
      <c r="D371" s="2990"/>
      <c r="E371" s="2990"/>
      <c r="F371" s="2990"/>
      <c r="G371" s="2990"/>
      <c r="H371" s="2990"/>
      <c r="I371" s="2990"/>
      <c r="J371" s="2990"/>
      <c r="K371" s="2990"/>
      <c r="L371" s="2990"/>
      <c r="M371" s="2990"/>
      <c r="N371" s="2990"/>
      <c r="O371" s="2990"/>
      <c r="P371" s="2938"/>
    </row>
    <row r="372" spans="2:16" s="840" customFormat="1" ht="17.25" thickBot="1" x14ac:dyDescent="0.4">
      <c r="B372" s="2986"/>
      <c r="C372" s="2890"/>
      <c r="D372" s="2890"/>
      <c r="E372" s="2890"/>
      <c r="F372" s="2890"/>
      <c r="G372" s="2890"/>
      <c r="H372" s="2890"/>
      <c r="I372" s="2890"/>
      <c r="J372" s="2890"/>
      <c r="K372" s="2890"/>
      <c r="L372" s="2890"/>
      <c r="M372" s="2890"/>
      <c r="N372" s="2890"/>
      <c r="O372" s="2890"/>
      <c r="P372" s="2891"/>
    </row>
    <row r="373" spans="2:16" s="840" customFormat="1" ht="16.5" x14ac:dyDescent="0.35">
      <c r="B373" s="2986"/>
      <c r="C373" s="2896" t="s">
        <v>4128</v>
      </c>
      <c r="D373" s="2896"/>
      <c r="E373" s="2896"/>
      <c r="F373" s="2896"/>
      <c r="G373" s="2896"/>
      <c r="H373" s="2896"/>
      <c r="I373" s="2896"/>
      <c r="J373" s="2896"/>
      <c r="K373" s="2896"/>
      <c r="L373" s="2896"/>
      <c r="M373" s="2896"/>
      <c r="N373" s="2896"/>
      <c r="O373" s="2896"/>
      <c r="P373" s="2897"/>
    </row>
    <row r="374" spans="2:16" s="840" customFormat="1" ht="17.25" thickBot="1" x14ac:dyDescent="0.4">
      <c r="B374" s="2986"/>
      <c r="C374" s="2943" t="s">
        <v>4129</v>
      </c>
      <c r="D374" s="2943"/>
      <c r="E374" s="2943"/>
      <c r="F374" s="2943"/>
      <c r="G374" s="2943"/>
      <c r="H374" s="2943"/>
      <c r="I374" s="2943"/>
      <c r="J374" s="2943"/>
      <c r="K374" s="2943"/>
      <c r="L374" s="2943"/>
      <c r="M374" s="2943"/>
      <c r="N374" s="2943"/>
      <c r="O374" s="2943"/>
      <c r="P374" s="2944"/>
    </row>
    <row r="375" spans="2:16" s="840" customFormat="1" ht="27.6" customHeight="1" thickTop="1" thickBot="1" x14ac:dyDescent="0.4">
      <c r="B375" s="2986"/>
      <c r="C375" s="2983" t="s">
        <v>4130</v>
      </c>
      <c r="D375" s="2984"/>
      <c r="E375" s="2953" t="s">
        <v>4131</v>
      </c>
      <c r="F375" s="2954"/>
      <c r="G375" s="2951" t="s">
        <v>4116</v>
      </c>
      <c r="H375" s="2952"/>
      <c r="I375" s="2953" t="s">
        <v>4132</v>
      </c>
      <c r="J375" s="2954"/>
      <c r="K375" s="2953" t="s">
        <v>4133</v>
      </c>
      <c r="L375" s="2954"/>
      <c r="M375" s="2953" t="s">
        <v>4134</v>
      </c>
      <c r="N375" s="2954"/>
      <c r="O375" s="2953" t="s">
        <v>4135</v>
      </c>
      <c r="P375" s="2954"/>
    </row>
    <row r="376" spans="2:16" s="840" customFormat="1" ht="17.25" thickBot="1" x14ac:dyDescent="0.4">
      <c r="B376" s="2986"/>
      <c r="C376" s="1329" t="s">
        <v>4121</v>
      </c>
      <c r="D376" s="1331">
        <v>70</v>
      </c>
      <c r="E376" s="2920"/>
      <c r="F376" s="2891"/>
      <c r="G376" s="2916"/>
      <c r="H376" s="2917"/>
      <c r="I376" s="2920"/>
      <c r="J376" s="2891"/>
      <c r="K376" s="2920"/>
      <c r="L376" s="2891"/>
      <c r="M376" s="2920"/>
      <c r="N376" s="2891"/>
      <c r="O376" s="2920"/>
      <c r="P376" s="2891"/>
    </row>
    <row r="377" spans="2:16" s="840" customFormat="1" ht="16.5" x14ac:dyDescent="0.35">
      <c r="B377" s="2986"/>
      <c r="C377" s="2896" t="s">
        <v>4122</v>
      </c>
      <c r="D377" s="2896"/>
      <c r="E377" s="2896"/>
      <c r="F377" s="2896"/>
      <c r="G377" s="2896"/>
      <c r="H377" s="2896"/>
      <c r="I377" s="2896"/>
      <c r="J377" s="2896"/>
      <c r="K377" s="2896"/>
      <c r="L377" s="2896"/>
      <c r="M377" s="2896"/>
      <c r="N377" s="2896"/>
      <c r="O377" s="2896"/>
      <c r="P377" s="2897"/>
    </row>
    <row r="378" spans="2:16" s="840" customFormat="1" ht="28.9" customHeight="1" x14ac:dyDescent="0.35">
      <c r="B378" s="2986"/>
      <c r="C378" s="2894" t="s">
        <v>4136</v>
      </c>
      <c r="D378" s="2894"/>
      <c r="E378" s="2894"/>
      <c r="F378" s="2894"/>
      <c r="G378" s="2894"/>
      <c r="H378" s="2894"/>
      <c r="I378" s="2894"/>
      <c r="J378" s="2894"/>
      <c r="K378" s="2894"/>
      <c r="L378" s="2894"/>
      <c r="M378" s="2894"/>
      <c r="N378" s="2894"/>
      <c r="O378" s="2894"/>
      <c r="P378" s="2895"/>
    </row>
    <row r="379" spans="2:16" s="840" customFormat="1" ht="16.5" x14ac:dyDescent="0.35">
      <c r="B379" s="2986"/>
      <c r="C379" s="2894" t="s">
        <v>4137</v>
      </c>
      <c r="D379" s="2894"/>
      <c r="E379" s="2894"/>
      <c r="F379" s="2894"/>
      <c r="G379" s="2894"/>
      <c r="H379" s="2894"/>
      <c r="I379" s="2894"/>
      <c r="J379" s="2894"/>
      <c r="K379" s="2894"/>
      <c r="L379" s="2894"/>
      <c r="M379" s="2894"/>
      <c r="N379" s="2894"/>
      <c r="O379" s="2894"/>
      <c r="P379" s="2895"/>
    </row>
    <row r="380" spans="2:16" s="840" customFormat="1" ht="16.5" x14ac:dyDescent="0.35">
      <c r="B380" s="2986"/>
      <c r="C380" s="2894" t="s">
        <v>4138</v>
      </c>
      <c r="D380" s="2894"/>
      <c r="E380" s="2894"/>
      <c r="F380" s="2894"/>
      <c r="G380" s="2894"/>
      <c r="H380" s="2894"/>
      <c r="I380" s="2894"/>
      <c r="J380" s="2894"/>
      <c r="K380" s="2894"/>
      <c r="L380" s="2894"/>
      <c r="M380" s="2894"/>
      <c r="N380" s="2894"/>
      <c r="O380" s="2894"/>
      <c r="P380" s="2895"/>
    </row>
    <row r="381" spans="2:16" s="840" customFormat="1" ht="16.5" x14ac:dyDescent="0.35">
      <c r="B381" s="2986"/>
      <c r="C381" s="2894"/>
      <c r="D381" s="2894"/>
      <c r="E381" s="2894"/>
      <c r="F381" s="2894"/>
      <c r="G381" s="2894"/>
      <c r="H381" s="2894"/>
      <c r="I381" s="2894"/>
      <c r="J381" s="2894"/>
      <c r="K381" s="2894"/>
      <c r="L381" s="2894"/>
      <c r="M381" s="2894"/>
      <c r="N381" s="2894"/>
      <c r="O381" s="2894"/>
      <c r="P381" s="2895"/>
    </row>
    <row r="382" spans="2:16" s="840" customFormat="1" ht="28.9" customHeight="1" x14ac:dyDescent="0.35">
      <c r="B382" s="2986"/>
      <c r="C382" s="2894" t="s">
        <v>4139</v>
      </c>
      <c r="D382" s="2894"/>
      <c r="E382" s="2894"/>
      <c r="F382" s="2894"/>
      <c r="G382" s="2894"/>
      <c r="H382" s="2894"/>
      <c r="I382" s="2894"/>
      <c r="J382" s="2894"/>
      <c r="K382" s="2894"/>
      <c r="L382" s="2894"/>
      <c r="M382" s="2894"/>
      <c r="N382" s="2894"/>
      <c r="O382" s="2894"/>
      <c r="P382" s="2895"/>
    </row>
    <row r="383" spans="2:16" s="840" customFormat="1" ht="17.25" thickBot="1" x14ac:dyDescent="0.4">
      <c r="B383" s="2986"/>
      <c r="C383" s="2890" t="s">
        <v>4140</v>
      </c>
      <c r="D383" s="2890"/>
      <c r="E383" s="2890"/>
      <c r="F383" s="2890"/>
      <c r="G383" s="2890"/>
      <c r="H383" s="2890"/>
      <c r="I383" s="2890"/>
      <c r="J383" s="2890"/>
      <c r="K383" s="2890"/>
      <c r="L383" s="2890"/>
      <c r="M383" s="2890"/>
      <c r="N383" s="2890"/>
      <c r="O383" s="2890"/>
      <c r="P383" s="2891"/>
    </row>
    <row r="384" spans="2:16" s="840" customFormat="1" ht="16.5" x14ac:dyDescent="0.35">
      <c r="B384" s="2986"/>
      <c r="C384" s="2896" t="s">
        <v>4128</v>
      </c>
      <c r="D384" s="2896"/>
      <c r="E384" s="2896"/>
      <c r="F384" s="2896"/>
      <c r="G384" s="2896"/>
      <c r="H384" s="2896"/>
      <c r="I384" s="2896"/>
      <c r="J384" s="2896"/>
      <c r="K384" s="2896"/>
      <c r="L384" s="2896"/>
      <c r="M384" s="2896"/>
      <c r="N384" s="2896"/>
      <c r="O384" s="2896"/>
      <c r="P384" s="2897"/>
    </row>
    <row r="385" spans="2:16" s="840" customFormat="1" ht="16.5" x14ac:dyDescent="0.35">
      <c r="B385" s="2986"/>
      <c r="C385" s="2894"/>
      <c r="D385" s="2894"/>
      <c r="E385" s="2894"/>
      <c r="F385" s="2894"/>
      <c r="G385" s="2894"/>
      <c r="H385" s="2894"/>
      <c r="I385" s="2894"/>
      <c r="J385" s="2894"/>
      <c r="K385" s="2894"/>
      <c r="L385" s="2894"/>
      <c r="M385" s="2894"/>
      <c r="N385" s="2894"/>
      <c r="O385" s="2894"/>
      <c r="P385" s="2895"/>
    </row>
    <row r="386" spans="2:16" s="840" customFormat="1" ht="28.9" customHeight="1" x14ac:dyDescent="0.35">
      <c r="B386" s="2986"/>
      <c r="C386" s="2894" t="s">
        <v>4141</v>
      </c>
      <c r="D386" s="2894"/>
      <c r="E386" s="2894"/>
      <c r="F386" s="2894"/>
      <c r="G386" s="2894"/>
      <c r="H386" s="2894"/>
      <c r="I386" s="2894"/>
      <c r="J386" s="2894"/>
      <c r="K386" s="2894"/>
      <c r="L386" s="2894"/>
      <c r="M386" s="2894"/>
      <c r="N386" s="2894"/>
      <c r="O386" s="2894"/>
      <c r="P386" s="2895"/>
    </row>
    <row r="387" spans="2:16" s="840" customFormat="1" ht="17.25" thickBot="1" x14ac:dyDescent="0.4">
      <c r="B387" s="2986"/>
      <c r="C387" s="2890"/>
      <c r="D387" s="2890"/>
      <c r="E387" s="2890"/>
      <c r="F387" s="2890"/>
      <c r="G387" s="2890"/>
      <c r="H387" s="2890"/>
      <c r="I387" s="2890"/>
      <c r="J387" s="2890"/>
      <c r="K387" s="2890"/>
      <c r="L387" s="2890"/>
      <c r="M387" s="2890"/>
      <c r="N387" s="2890"/>
      <c r="O387" s="2890"/>
      <c r="P387" s="2891"/>
    </row>
    <row r="388" spans="2:16" s="840" customFormat="1" ht="41.45" customHeight="1" thickBot="1" x14ac:dyDescent="0.4">
      <c r="B388" s="2986"/>
      <c r="C388" s="2929" t="s">
        <v>4142</v>
      </c>
      <c r="D388" s="2929"/>
      <c r="E388" s="2930"/>
      <c r="F388" s="2918" t="s">
        <v>4115</v>
      </c>
      <c r="G388" s="2919"/>
      <c r="H388" s="2915" t="s">
        <v>4143</v>
      </c>
      <c r="I388" s="2897"/>
      <c r="J388" s="2918" t="s">
        <v>4144</v>
      </c>
      <c r="K388" s="2919"/>
      <c r="L388" s="2918" t="s">
        <v>4145</v>
      </c>
      <c r="M388" s="2919"/>
      <c r="N388" s="2918" t="s">
        <v>4146</v>
      </c>
      <c r="O388" s="2919"/>
      <c r="P388" s="2904" t="s">
        <v>4147</v>
      </c>
    </row>
    <row r="389" spans="2:16" s="840" customFormat="1" ht="17.25" thickBot="1" x14ac:dyDescent="0.4">
      <c r="B389" s="2986"/>
      <c r="C389" s="1329" t="s">
        <v>4121</v>
      </c>
      <c r="D389" s="2939">
        <v>40</v>
      </c>
      <c r="E389" s="2940"/>
      <c r="F389" s="2920"/>
      <c r="G389" s="2891"/>
      <c r="H389" s="2916"/>
      <c r="I389" s="2917"/>
      <c r="J389" s="2920"/>
      <c r="K389" s="2891"/>
      <c r="L389" s="2920"/>
      <c r="M389" s="2891"/>
      <c r="N389" s="2920"/>
      <c r="O389" s="2891"/>
      <c r="P389" s="2906"/>
    </row>
    <row r="390" spans="2:16" s="840" customFormat="1" ht="16.5" x14ac:dyDescent="0.35">
      <c r="B390" s="2986"/>
      <c r="C390" s="2896" t="s">
        <v>4122</v>
      </c>
      <c r="D390" s="2896"/>
      <c r="E390" s="2896"/>
      <c r="F390" s="2896"/>
      <c r="G390" s="2896"/>
      <c r="H390" s="2896"/>
      <c r="I390" s="2896"/>
      <c r="J390" s="2896"/>
      <c r="K390" s="2896"/>
      <c r="L390" s="2896"/>
      <c r="M390" s="2896"/>
      <c r="N390" s="2896"/>
      <c r="O390" s="2896"/>
      <c r="P390" s="2897"/>
    </row>
    <row r="391" spans="2:16" s="840" customFormat="1" ht="28.9" customHeight="1" x14ac:dyDescent="0.35">
      <c r="B391" s="2986"/>
      <c r="C391" s="2894" t="s">
        <v>4148</v>
      </c>
      <c r="D391" s="2894"/>
      <c r="E391" s="2894"/>
      <c r="F391" s="2894"/>
      <c r="G391" s="2894"/>
      <c r="H391" s="2894"/>
      <c r="I391" s="2894"/>
      <c r="J391" s="2894"/>
      <c r="K391" s="2894"/>
      <c r="L391" s="2894"/>
      <c r="M391" s="2894"/>
      <c r="N391" s="2894"/>
      <c r="O391" s="2894"/>
      <c r="P391" s="2895"/>
    </row>
    <row r="392" spans="2:16" s="840" customFormat="1" ht="16.5" x14ac:dyDescent="0.35">
      <c r="B392" s="2986"/>
      <c r="C392" s="2894"/>
      <c r="D392" s="2894"/>
      <c r="E392" s="2894"/>
      <c r="F392" s="2894"/>
      <c r="G392" s="2894"/>
      <c r="H392" s="2894"/>
      <c r="I392" s="2894"/>
      <c r="J392" s="2894"/>
      <c r="K392" s="2894"/>
      <c r="L392" s="2894"/>
      <c r="M392" s="2894"/>
      <c r="N392" s="2894"/>
      <c r="O392" s="2894"/>
      <c r="P392" s="2895"/>
    </row>
    <row r="393" spans="2:16" s="840" customFormat="1" ht="28.9" customHeight="1" x14ac:dyDescent="0.35">
      <c r="B393" s="2986"/>
      <c r="C393" s="2894" t="s">
        <v>4149</v>
      </c>
      <c r="D393" s="2894"/>
      <c r="E393" s="2894"/>
      <c r="F393" s="2894"/>
      <c r="G393" s="2894"/>
      <c r="H393" s="2894"/>
      <c r="I393" s="2894"/>
      <c r="J393" s="2894"/>
      <c r="K393" s="2894"/>
      <c r="L393" s="2894"/>
      <c r="M393" s="2894"/>
      <c r="N393" s="2894"/>
      <c r="O393" s="2894"/>
      <c r="P393" s="2895"/>
    </row>
    <row r="394" spans="2:16" s="840" customFormat="1" ht="16.5" x14ac:dyDescent="0.35">
      <c r="B394" s="2986"/>
      <c r="C394" s="2894"/>
      <c r="D394" s="2894"/>
      <c r="E394" s="2894"/>
      <c r="F394" s="2894"/>
      <c r="G394" s="2894"/>
      <c r="H394" s="2894"/>
      <c r="I394" s="2894"/>
      <c r="J394" s="2894"/>
      <c r="K394" s="2894"/>
      <c r="L394" s="2894"/>
      <c r="M394" s="2894"/>
      <c r="N394" s="2894"/>
      <c r="O394" s="2894"/>
      <c r="P394" s="2895"/>
    </row>
    <row r="395" spans="2:16" s="840" customFormat="1" ht="16.5" x14ac:dyDescent="0.35">
      <c r="B395" s="2986"/>
      <c r="C395" s="2894" t="s">
        <v>4150</v>
      </c>
      <c r="D395" s="2894"/>
      <c r="E395" s="2894"/>
      <c r="F395" s="2894"/>
      <c r="G395" s="2894"/>
      <c r="H395" s="2894"/>
      <c r="I395" s="2894"/>
      <c r="J395" s="2894"/>
      <c r="K395" s="2894"/>
      <c r="L395" s="2894"/>
      <c r="M395" s="2894"/>
      <c r="N395" s="2894"/>
      <c r="O395" s="2894"/>
      <c r="P395" s="2895"/>
    </row>
    <row r="396" spans="2:16" s="840" customFormat="1" ht="17.25" thickBot="1" x14ac:dyDescent="0.4">
      <c r="B396" s="2986"/>
      <c r="C396" s="2991"/>
      <c r="D396" s="2991"/>
      <c r="E396" s="2991"/>
      <c r="F396" s="2991"/>
      <c r="G396" s="2991"/>
      <c r="H396" s="2991"/>
      <c r="I396" s="2991"/>
      <c r="J396" s="2991"/>
      <c r="K396" s="2991"/>
      <c r="L396" s="2991"/>
      <c r="M396" s="2991"/>
      <c r="N396" s="2991"/>
      <c r="O396" s="2991"/>
      <c r="P396" s="2992"/>
    </row>
    <row r="397" spans="2:16" s="840" customFormat="1" ht="16.5" x14ac:dyDescent="0.35">
      <c r="B397" s="2986"/>
      <c r="C397" s="2896" t="s">
        <v>4151</v>
      </c>
      <c r="D397" s="2896"/>
      <c r="E397" s="2896"/>
      <c r="F397" s="2896"/>
      <c r="G397" s="2896"/>
      <c r="H397" s="2896"/>
      <c r="I397" s="2896"/>
      <c r="J397" s="2896"/>
      <c r="K397" s="2896"/>
      <c r="L397" s="2896"/>
      <c r="M397" s="2896"/>
      <c r="N397" s="2896"/>
      <c r="O397" s="2896"/>
      <c r="P397" s="2897"/>
    </row>
    <row r="398" spans="2:16" s="840" customFormat="1" ht="28.9" customHeight="1" thickBot="1" x14ac:dyDescent="0.4">
      <c r="B398" s="2986"/>
      <c r="C398" s="2890" t="s">
        <v>4152</v>
      </c>
      <c r="D398" s="2890"/>
      <c r="E398" s="2890"/>
      <c r="F398" s="2890"/>
      <c r="G398" s="2890"/>
      <c r="H398" s="2890"/>
      <c r="I398" s="2890"/>
      <c r="J398" s="2890"/>
      <c r="K398" s="2890"/>
      <c r="L398" s="2890"/>
      <c r="M398" s="2890"/>
      <c r="N398" s="2890"/>
      <c r="O398" s="2890"/>
      <c r="P398" s="2891"/>
    </row>
    <row r="399" spans="2:16" s="840" customFormat="1" ht="16.5" x14ac:dyDescent="0.35">
      <c r="B399" s="2986"/>
      <c r="C399" s="2896" t="s">
        <v>4128</v>
      </c>
      <c r="D399" s="2896"/>
      <c r="E399" s="2896"/>
      <c r="F399" s="2896"/>
      <c r="G399" s="2896"/>
      <c r="H399" s="2896"/>
      <c r="I399" s="2896"/>
      <c r="J399" s="2896"/>
      <c r="K399" s="2896"/>
      <c r="L399" s="2896"/>
      <c r="M399" s="2896"/>
      <c r="N399" s="2896"/>
      <c r="O399" s="2896"/>
      <c r="P399" s="2897"/>
    </row>
    <row r="400" spans="2:16" s="840" customFormat="1" ht="28.9" customHeight="1" x14ac:dyDescent="0.35">
      <c r="B400" s="2986"/>
      <c r="C400" s="2894" t="s">
        <v>4153</v>
      </c>
      <c r="D400" s="2894"/>
      <c r="E400" s="2894"/>
      <c r="F400" s="2894"/>
      <c r="G400" s="2894"/>
      <c r="H400" s="2894"/>
      <c r="I400" s="2894"/>
      <c r="J400" s="2894"/>
      <c r="K400" s="2894"/>
      <c r="L400" s="2894"/>
      <c r="M400" s="2894"/>
      <c r="N400" s="2894"/>
      <c r="O400" s="2894"/>
      <c r="P400" s="2895"/>
    </row>
    <row r="401" spans="2:16" s="840" customFormat="1" ht="16.5" x14ac:dyDescent="0.35">
      <c r="B401" s="2986"/>
      <c r="C401" s="2894"/>
      <c r="D401" s="2894"/>
      <c r="E401" s="2894"/>
      <c r="F401" s="2894"/>
      <c r="G401" s="2894"/>
      <c r="H401" s="2894"/>
      <c r="I401" s="2894"/>
      <c r="J401" s="2894"/>
      <c r="K401" s="2894"/>
      <c r="L401" s="2894"/>
      <c r="M401" s="2894"/>
      <c r="N401" s="2894"/>
      <c r="O401" s="2894"/>
      <c r="P401" s="2895"/>
    </row>
    <row r="402" spans="2:16" s="840" customFormat="1" ht="28.9" customHeight="1" x14ac:dyDescent="0.35">
      <c r="B402" s="2986"/>
      <c r="C402" s="2894" t="s">
        <v>4154</v>
      </c>
      <c r="D402" s="2894"/>
      <c r="E402" s="2894"/>
      <c r="F402" s="2894"/>
      <c r="G402" s="2894"/>
      <c r="H402" s="2894"/>
      <c r="I402" s="2894"/>
      <c r="J402" s="2894"/>
      <c r="K402" s="2894"/>
      <c r="L402" s="2894"/>
      <c r="M402" s="2894"/>
      <c r="N402" s="2894"/>
      <c r="O402" s="2894"/>
      <c r="P402" s="2895"/>
    </row>
    <row r="403" spans="2:16" s="840" customFormat="1" ht="17.25" thickBot="1" x14ac:dyDescent="0.4">
      <c r="B403" s="2986"/>
      <c r="C403" s="2890"/>
      <c r="D403" s="2890"/>
      <c r="E403" s="2890"/>
      <c r="F403" s="2890"/>
      <c r="G403" s="2890"/>
      <c r="H403" s="2890"/>
      <c r="I403" s="2890"/>
      <c r="J403" s="2890"/>
      <c r="K403" s="2890"/>
      <c r="L403" s="2890"/>
      <c r="M403" s="2890"/>
      <c r="N403" s="2890"/>
      <c r="O403" s="2890"/>
      <c r="P403" s="2891"/>
    </row>
    <row r="404" spans="2:16" s="840" customFormat="1" ht="17.25" thickBot="1" x14ac:dyDescent="0.4">
      <c r="B404" s="2986"/>
      <c r="C404" s="2980"/>
      <c r="D404" s="2980"/>
      <c r="E404" s="2981"/>
      <c r="F404" s="2974" t="s">
        <v>3484</v>
      </c>
      <c r="G404" s="2975"/>
      <c r="H404" s="2974" t="s">
        <v>3485</v>
      </c>
      <c r="I404" s="2975"/>
      <c r="J404" s="2974" t="s">
        <v>4112</v>
      </c>
      <c r="K404" s="2975"/>
      <c r="L404" s="2974" t="s">
        <v>4113</v>
      </c>
      <c r="M404" s="2975"/>
      <c r="N404" s="1332" t="s">
        <v>3488</v>
      </c>
      <c r="O404" s="2974" t="s">
        <v>3489</v>
      </c>
      <c r="P404" s="2975"/>
    </row>
    <row r="405" spans="2:16" s="840" customFormat="1" ht="17.25" thickBot="1" x14ac:dyDescent="0.4">
      <c r="B405" s="2986"/>
      <c r="C405" s="2921" t="s">
        <v>3818</v>
      </c>
      <c r="D405" s="2921"/>
      <c r="E405" s="2921"/>
      <c r="F405" s="2921"/>
      <c r="G405" s="2921"/>
      <c r="H405" s="2921"/>
      <c r="I405" s="2921"/>
      <c r="J405" s="2921"/>
      <c r="K405" s="2921"/>
      <c r="L405" s="2921"/>
      <c r="M405" s="2921"/>
      <c r="N405" s="2921"/>
      <c r="O405" s="2922"/>
      <c r="P405" s="1333"/>
    </row>
    <row r="406" spans="2:16" s="840" customFormat="1" ht="51" customHeight="1" thickBot="1" x14ac:dyDescent="0.4">
      <c r="B406" s="2986"/>
      <c r="C406" s="2900" t="s">
        <v>3819</v>
      </c>
      <c r="D406" s="2900"/>
      <c r="E406" s="2900"/>
      <c r="F406" s="2918" t="s">
        <v>4155</v>
      </c>
      <c r="G406" s="2919"/>
      <c r="H406" s="2915" t="s">
        <v>4156</v>
      </c>
      <c r="I406" s="2897"/>
      <c r="J406" s="2918" t="s">
        <v>4157</v>
      </c>
      <c r="K406" s="2919"/>
      <c r="L406" s="2918" t="s">
        <v>4118</v>
      </c>
      <c r="M406" s="2919"/>
      <c r="N406" s="2904" t="s">
        <v>4158</v>
      </c>
      <c r="O406" s="2904" t="s">
        <v>4159</v>
      </c>
      <c r="P406" s="1333"/>
    </row>
    <row r="407" spans="2:16" s="840" customFormat="1" ht="17.25" thickBot="1" x14ac:dyDescent="0.4">
      <c r="B407" s="2986"/>
      <c r="C407" s="1329" t="s">
        <v>4121</v>
      </c>
      <c r="D407" s="2913">
        <v>30</v>
      </c>
      <c r="E407" s="2914"/>
      <c r="F407" s="2920"/>
      <c r="G407" s="2891"/>
      <c r="H407" s="2916"/>
      <c r="I407" s="2917"/>
      <c r="J407" s="2920"/>
      <c r="K407" s="2891"/>
      <c r="L407" s="2920"/>
      <c r="M407" s="2891"/>
      <c r="N407" s="2906"/>
      <c r="O407" s="2906"/>
      <c r="P407" s="1333"/>
    </row>
    <row r="408" spans="2:16" s="840" customFormat="1" ht="16.5" x14ac:dyDescent="0.35">
      <c r="B408" s="2986"/>
      <c r="C408" s="2896" t="s">
        <v>4160</v>
      </c>
      <c r="D408" s="2896"/>
      <c r="E408" s="2896"/>
      <c r="F408" s="2896"/>
      <c r="G408" s="2896"/>
      <c r="H408" s="2896"/>
      <c r="I408" s="2896"/>
      <c r="J408" s="2896"/>
      <c r="K408" s="2896"/>
      <c r="L408" s="2896"/>
      <c r="M408" s="2896"/>
      <c r="N408" s="2896"/>
      <c r="O408" s="2897"/>
      <c r="P408" s="2936"/>
    </row>
    <row r="409" spans="2:16" s="840" customFormat="1" ht="28.9" customHeight="1" x14ac:dyDescent="0.35">
      <c r="B409" s="2986"/>
      <c r="C409" s="2894" t="s">
        <v>4161</v>
      </c>
      <c r="D409" s="2894"/>
      <c r="E409" s="2894"/>
      <c r="F409" s="2894"/>
      <c r="G409" s="2894"/>
      <c r="H409" s="2894"/>
      <c r="I409" s="2894"/>
      <c r="J409" s="2894"/>
      <c r="K409" s="2894"/>
      <c r="L409" s="2894"/>
      <c r="M409" s="2894"/>
      <c r="N409" s="2894"/>
      <c r="O409" s="2895"/>
      <c r="P409" s="2936"/>
    </row>
    <row r="410" spans="2:16" s="840" customFormat="1" ht="16.5" x14ac:dyDescent="0.35">
      <c r="B410" s="2986"/>
      <c r="C410" s="2894"/>
      <c r="D410" s="2894"/>
      <c r="E410" s="2894"/>
      <c r="F410" s="2894"/>
      <c r="G410" s="2894"/>
      <c r="H410" s="2894"/>
      <c r="I410" s="2894"/>
      <c r="J410" s="2894"/>
      <c r="K410" s="2894"/>
      <c r="L410" s="2894"/>
      <c r="M410" s="2894"/>
      <c r="N410" s="2894"/>
      <c r="O410" s="2895"/>
      <c r="P410" s="2936"/>
    </row>
    <row r="411" spans="2:16" s="840" customFormat="1" ht="43.15" customHeight="1" x14ac:dyDescent="0.35">
      <c r="B411" s="2986"/>
      <c r="C411" s="2894" t="s">
        <v>4162</v>
      </c>
      <c r="D411" s="2894"/>
      <c r="E411" s="2894"/>
      <c r="F411" s="2894"/>
      <c r="G411" s="2894"/>
      <c r="H411" s="2894"/>
      <c r="I411" s="2894"/>
      <c r="J411" s="2894"/>
      <c r="K411" s="2894"/>
      <c r="L411" s="2894"/>
      <c r="M411" s="2894"/>
      <c r="N411" s="2894"/>
      <c r="O411" s="2895"/>
      <c r="P411" s="2936"/>
    </row>
    <row r="412" spans="2:16" s="840" customFormat="1" ht="16.5" x14ac:dyDescent="0.35">
      <c r="B412" s="2986"/>
      <c r="C412" s="2894"/>
      <c r="D412" s="2894"/>
      <c r="E412" s="2894"/>
      <c r="F412" s="2894"/>
      <c r="G412" s="2894"/>
      <c r="H412" s="2894"/>
      <c r="I412" s="2894"/>
      <c r="J412" s="2894"/>
      <c r="K412" s="2894"/>
      <c r="L412" s="2894"/>
      <c r="M412" s="2894"/>
      <c r="N412" s="2894"/>
      <c r="O412" s="2895"/>
      <c r="P412" s="2936"/>
    </row>
    <row r="413" spans="2:16" s="840" customFormat="1" ht="28.9" customHeight="1" x14ac:dyDescent="0.35">
      <c r="B413" s="2986"/>
      <c r="C413" s="2894" t="s">
        <v>4163</v>
      </c>
      <c r="D413" s="2894"/>
      <c r="E413" s="2894"/>
      <c r="F413" s="2894"/>
      <c r="G413" s="2894"/>
      <c r="H413" s="2894"/>
      <c r="I413" s="2894"/>
      <c r="J413" s="2894"/>
      <c r="K413" s="2894"/>
      <c r="L413" s="2894"/>
      <c r="M413" s="2894"/>
      <c r="N413" s="2894"/>
      <c r="O413" s="2895"/>
      <c r="P413" s="2936"/>
    </row>
    <row r="414" spans="2:16" s="840" customFormat="1" ht="16.5" x14ac:dyDescent="0.35">
      <c r="B414" s="2986"/>
      <c r="C414" s="2894"/>
      <c r="D414" s="2894"/>
      <c r="E414" s="2894"/>
      <c r="F414" s="2894"/>
      <c r="G414" s="2894"/>
      <c r="H414" s="2894"/>
      <c r="I414" s="2894"/>
      <c r="J414" s="2894"/>
      <c r="K414" s="2894"/>
      <c r="L414" s="2894"/>
      <c r="M414" s="2894"/>
      <c r="N414" s="2894"/>
      <c r="O414" s="2895"/>
      <c r="P414" s="2936"/>
    </row>
    <row r="415" spans="2:16" s="840" customFormat="1" ht="17.25" thickBot="1" x14ac:dyDescent="0.4">
      <c r="B415" s="2986"/>
      <c r="C415" s="2894"/>
      <c r="D415" s="2894"/>
      <c r="E415" s="2894"/>
      <c r="F415" s="2894"/>
      <c r="G415" s="2894"/>
      <c r="H415" s="2894"/>
      <c r="I415" s="2894"/>
      <c r="J415" s="2894"/>
      <c r="K415" s="2894"/>
      <c r="L415" s="2894"/>
      <c r="M415" s="2894"/>
      <c r="N415" s="2894"/>
      <c r="O415" s="2895"/>
      <c r="P415" s="2936"/>
    </row>
    <row r="416" spans="2:16" s="840" customFormat="1" ht="16.5" x14ac:dyDescent="0.35">
      <c r="B416" s="2986"/>
      <c r="C416" s="2896" t="s">
        <v>4164</v>
      </c>
      <c r="D416" s="2896"/>
      <c r="E416" s="2896"/>
      <c r="F416" s="2896"/>
      <c r="G416" s="2896"/>
      <c r="H416" s="2896"/>
      <c r="I416" s="2896"/>
      <c r="J416" s="2897"/>
      <c r="K416" s="1334"/>
      <c r="L416" s="1334"/>
      <c r="M416" s="1334"/>
      <c r="N416" s="1334"/>
      <c r="O416" s="1335"/>
      <c r="P416" s="2936"/>
    </row>
    <row r="417" spans="2:16" s="840" customFormat="1" ht="16.5" x14ac:dyDescent="0.35">
      <c r="B417" s="2986"/>
      <c r="C417" s="2894" t="s">
        <v>4165</v>
      </c>
      <c r="D417" s="2894"/>
      <c r="E417" s="2894"/>
      <c r="F417" s="2894"/>
      <c r="G417" s="2894"/>
      <c r="H417" s="2894"/>
      <c r="I417" s="2894"/>
      <c r="J417" s="2895"/>
      <c r="K417" s="1334"/>
      <c r="L417" s="1334"/>
      <c r="M417" s="1334"/>
      <c r="N417" s="1334"/>
      <c r="O417" s="1335"/>
      <c r="P417" s="2936"/>
    </row>
    <row r="418" spans="2:16" s="840" customFormat="1" ht="17.25" thickBot="1" x14ac:dyDescent="0.4">
      <c r="B418" s="2986"/>
      <c r="C418" s="2943" t="s">
        <v>4166</v>
      </c>
      <c r="D418" s="2943"/>
      <c r="E418" s="2943"/>
      <c r="F418" s="2943"/>
      <c r="G418" s="2943"/>
      <c r="H418" s="2943"/>
      <c r="I418" s="2943"/>
      <c r="J418" s="2944"/>
      <c r="K418" s="1334"/>
      <c r="L418" s="1334"/>
      <c r="M418" s="1334"/>
      <c r="N418" s="1334"/>
      <c r="O418" s="1335"/>
      <c r="P418" s="2936"/>
    </row>
    <row r="419" spans="2:16" s="840" customFormat="1" ht="147.6" customHeight="1" thickTop="1" x14ac:dyDescent="0.35">
      <c r="B419" s="2986"/>
      <c r="C419" s="2900" t="s">
        <v>3827</v>
      </c>
      <c r="D419" s="2900"/>
      <c r="E419" s="2968" t="s">
        <v>4167</v>
      </c>
      <c r="F419" s="2969" t="s">
        <v>4168</v>
      </c>
      <c r="G419" s="2969" t="s">
        <v>4169</v>
      </c>
      <c r="H419" s="2968" t="s">
        <v>4170</v>
      </c>
      <c r="I419" s="2968" t="s">
        <v>4171</v>
      </c>
      <c r="J419" s="2968" t="s">
        <v>4172</v>
      </c>
      <c r="K419" s="1334"/>
      <c r="L419" s="1334"/>
      <c r="M419" s="1334"/>
      <c r="N419" s="1334"/>
      <c r="O419" s="1335"/>
      <c r="P419" s="2936"/>
    </row>
    <row r="420" spans="2:16" s="840" customFormat="1" ht="17.25" thickBot="1" x14ac:dyDescent="0.4">
      <c r="B420" s="2986"/>
      <c r="C420" s="1336" t="s">
        <v>4121</v>
      </c>
      <c r="D420" s="1330">
        <v>50</v>
      </c>
      <c r="E420" s="2906"/>
      <c r="F420" s="2903"/>
      <c r="G420" s="2903"/>
      <c r="H420" s="2906"/>
      <c r="I420" s="2906"/>
      <c r="J420" s="2906"/>
      <c r="K420" s="1334"/>
      <c r="L420" s="1334"/>
      <c r="M420" s="1334"/>
      <c r="N420" s="1334"/>
      <c r="O420" s="1335"/>
      <c r="P420" s="2936"/>
    </row>
    <row r="421" spans="2:16" s="840" customFormat="1" ht="16.5" x14ac:dyDescent="0.35">
      <c r="B421" s="2986"/>
      <c r="C421" s="2896" t="s">
        <v>4173</v>
      </c>
      <c r="D421" s="2896"/>
      <c r="E421" s="2896"/>
      <c r="F421" s="2896"/>
      <c r="G421" s="2896"/>
      <c r="H421" s="2896"/>
      <c r="I421" s="2896"/>
      <c r="J421" s="2897"/>
      <c r="K421" s="1334"/>
      <c r="L421" s="1334"/>
      <c r="M421" s="1334"/>
      <c r="N421" s="1334"/>
      <c r="O421" s="1335"/>
      <c r="P421" s="2936"/>
    </row>
    <row r="422" spans="2:16" s="840" customFormat="1" ht="43.15" customHeight="1" x14ac:dyDescent="0.35">
      <c r="B422" s="2986"/>
      <c r="C422" s="2894" t="s">
        <v>4174</v>
      </c>
      <c r="D422" s="2894"/>
      <c r="E422" s="2894"/>
      <c r="F422" s="2894"/>
      <c r="G422" s="2894"/>
      <c r="H422" s="2894"/>
      <c r="I422" s="2894"/>
      <c r="J422" s="2895"/>
      <c r="K422" s="1334"/>
      <c r="L422" s="1334"/>
      <c r="M422" s="1334"/>
      <c r="N422" s="1334"/>
      <c r="O422" s="1335"/>
      <c r="P422" s="2936"/>
    </row>
    <row r="423" spans="2:16" s="840" customFormat="1" ht="43.15" customHeight="1" x14ac:dyDescent="0.35">
      <c r="B423" s="2986"/>
      <c r="C423" s="2894" t="s">
        <v>4175</v>
      </c>
      <c r="D423" s="2894"/>
      <c r="E423" s="2894"/>
      <c r="F423" s="2894"/>
      <c r="G423" s="2894"/>
      <c r="H423" s="2894"/>
      <c r="I423" s="2894"/>
      <c r="J423" s="2895"/>
      <c r="K423" s="1334"/>
      <c r="L423" s="1334"/>
      <c r="M423" s="1334"/>
      <c r="N423" s="1334"/>
      <c r="O423" s="1335"/>
      <c r="P423" s="2936"/>
    </row>
    <row r="424" spans="2:16" s="840" customFormat="1" ht="28.9" customHeight="1" x14ac:dyDescent="0.35">
      <c r="B424" s="2986"/>
      <c r="C424" s="2894" t="s">
        <v>4176</v>
      </c>
      <c r="D424" s="2894"/>
      <c r="E424" s="2894"/>
      <c r="F424" s="2894"/>
      <c r="G424" s="2894"/>
      <c r="H424" s="2894"/>
      <c r="I424" s="2894"/>
      <c r="J424" s="2895"/>
      <c r="K424" s="1334"/>
      <c r="L424" s="1334"/>
      <c r="M424" s="1334"/>
      <c r="N424" s="1334"/>
      <c r="O424" s="1335"/>
      <c r="P424" s="2936"/>
    </row>
    <row r="425" spans="2:16" s="840" customFormat="1" ht="17.25" thickBot="1" x14ac:dyDescent="0.4">
      <c r="B425" s="2986"/>
      <c r="C425" s="2890"/>
      <c r="D425" s="2890"/>
      <c r="E425" s="2890"/>
      <c r="F425" s="2890"/>
      <c r="G425" s="2890"/>
      <c r="H425" s="2890"/>
      <c r="I425" s="2890"/>
      <c r="J425" s="2891"/>
      <c r="K425" s="1334"/>
      <c r="L425" s="1334"/>
      <c r="M425" s="1334"/>
      <c r="N425" s="1334"/>
      <c r="O425" s="1335"/>
      <c r="P425" s="2936"/>
    </row>
    <row r="426" spans="2:16" s="840" customFormat="1" ht="16.5" x14ac:dyDescent="0.35">
      <c r="B426" s="2986"/>
      <c r="C426" s="2896" t="s">
        <v>4177</v>
      </c>
      <c r="D426" s="2896"/>
      <c r="E426" s="2896"/>
      <c r="F426" s="2896"/>
      <c r="G426" s="2896"/>
      <c r="H426" s="2896"/>
      <c r="I426" s="2896"/>
      <c r="J426" s="2897"/>
      <c r="K426" s="1334"/>
      <c r="L426" s="1334"/>
      <c r="M426" s="1334"/>
      <c r="N426" s="1334"/>
      <c r="O426" s="1335"/>
      <c r="P426" s="2936"/>
    </row>
    <row r="427" spans="2:16" s="840" customFormat="1" ht="16.5" x14ac:dyDescent="0.35">
      <c r="B427" s="2986"/>
      <c r="C427" s="2894" t="s">
        <v>4178</v>
      </c>
      <c r="D427" s="2894"/>
      <c r="E427" s="2894"/>
      <c r="F427" s="2894"/>
      <c r="G427" s="2894"/>
      <c r="H427" s="2894"/>
      <c r="I427" s="2894"/>
      <c r="J427" s="2895"/>
      <c r="K427" s="1334"/>
      <c r="L427" s="1334"/>
      <c r="M427" s="1334"/>
      <c r="N427" s="1334"/>
      <c r="O427" s="1335"/>
      <c r="P427" s="2936"/>
    </row>
    <row r="428" spans="2:16" s="840" customFormat="1" ht="16.5" x14ac:dyDescent="0.35">
      <c r="B428" s="2986"/>
      <c r="C428" s="2894"/>
      <c r="D428" s="2894"/>
      <c r="E428" s="2894"/>
      <c r="F428" s="2894"/>
      <c r="G428" s="2894"/>
      <c r="H428" s="2894"/>
      <c r="I428" s="2894"/>
      <c r="J428" s="2895"/>
      <c r="K428" s="1334"/>
      <c r="L428" s="1334"/>
      <c r="M428" s="1334"/>
      <c r="N428" s="1334"/>
      <c r="O428" s="1335"/>
      <c r="P428" s="2936"/>
    </row>
    <row r="429" spans="2:16" s="840" customFormat="1" ht="16.5" x14ac:dyDescent="0.35">
      <c r="B429" s="2986"/>
      <c r="C429" s="2894"/>
      <c r="D429" s="2894"/>
      <c r="E429" s="2894"/>
      <c r="F429" s="2894"/>
      <c r="G429" s="2894"/>
      <c r="H429" s="2894"/>
      <c r="I429" s="2894"/>
      <c r="J429" s="2895"/>
      <c r="K429" s="1334"/>
      <c r="L429" s="1334"/>
      <c r="M429" s="1334"/>
      <c r="N429" s="1334"/>
      <c r="O429" s="1335"/>
      <c r="P429" s="2936"/>
    </row>
    <row r="430" spans="2:16" s="840" customFormat="1" ht="16.5" x14ac:dyDescent="0.35">
      <c r="B430" s="2986"/>
      <c r="C430" s="2894"/>
      <c r="D430" s="2894"/>
      <c r="E430" s="2894"/>
      <c r="F430" s="2894"/>
      <c r="G430" s="2894"/>
      <c r="H430" s="2894"/>
      <c r="I430" s="2894"/>
      <c r="J430" s="2895"/>
      <c r="K430" s="1334"/>
      <c r="L430" s="1334"/>
      <c r="M430" s="1334"/>
      <c r="N430" s="1334"/>
      <c r="O430" s="1335"/>
      <c r="P430" s="2936"/>
    </row>
    <row r="431" spans="2:16" s="840" customFormat="1" ht="16.5" x14ac:dyDescent="0.35">
      <c r="B431" s="2986"/>
      <c r="C431" s="2894"/>
      <c r="D431" s="2894"/>
      <c r="E431" s="2894"/>
      <c r="F431" s="2894"/>
      <c r="G431" s="2894"/>
      <c r="H431" s="2894"/>
      <c r="I431" s="2894"/>
      <c r="J431" s="2895"/>
      <c r="K431" s="1334"/>
      <c r="L431" s="1334"/>
      <c r="M431" s="1334"/>
      <c r="N431" s="1334"/>
      <c r="O431" s="1335"/>
      <c r="P431" s="2936"/>
    </row>
    <row r="432" spans="2:16" s="840" customFormat="1" ht="16.5" x14ac:dyDescent="0.35">
      <c r="B432" s="2986"/>
      <c r="C432" s="2894"/>
      <c r="D432" s="2894"/>
      <c r="E432" s="2894"/>
      <c r="F432" s="2894"/>
      <c r="G432" s="2894"/>
      <c r="H432" s="2894"/>
      <c r="I432" s="2894"/>
      <c r="J432" s="2895"/>
      <c r="K432" s="1334"/>
      <c r="L432" s="1334"/>
      <c r="M432" s="1334"/>
      <c r="N432" s="1334"/>
      <c r="O432" s="1335"/>
      <c r="P432" s="2936"/>
    </row>
    <row r="433" spans="2:16" s="840" customFormat="1" ht="16.5" x14ac:dyDescent="0.35">
      <c r="B433" s="2986"/>
      <c r="C433" s="2894"/>
      <c r="D433" s="2894"/>
      <c r="E433" s="2894"/>
      <c r="F433" s="2894"/>
      <c r="G433" s="2894"/>
      <c r="H433" s="2894"/>
      <c r="I433" s="2894"/>
      <c r="J433" s="2895"/>
      <c r="K433" s="1334"/>
      <c r="L433" s="1334"/>
      <c r="M433" s="1334"/>
      <c r="N433" s="1334"/>
      <c r="O433" s="1335"/>
      <c r="P433" s="2936"/>
    </row>
    <row r="434" spans="2:16" s="840" customFormat="1" ht="16.5" x14ac:dyDescent="0.35">
      <c r="B434" s="2986"/>
      <c r="C434" s="2894"/>
      <c r="D434" s="2894"/>
      <c r="E434" s="2894"/>
      <c r="F434" s="2894"/>
      <c r="G434" s="2894"/>
      <c r="H434" s="2894"/>
      <c r="I434" s="2894"/>
      <c r="J434" s="2895"/>
      <c r="K434" s="1334"/>
      <c r="L434" s="1334"/>
      <c r="M434" s="1334"/>
      <c r="N434" s="1334"/>
      <c r="O434" s="1335"/>
      <c r="P434" s="2936"/>
    </row>
    <row r="435" spans="2:16" s="840" customFormat="1" ht="17.25" thickBot="1" x14ac:dyDescent="0.4">
      <c r="B435" s="2986"/>
      <c r="C435" s="2890"/>
      <c r="D435" s="2890"/>
      <c r="E435" s="2890"/>
      <c r="F435" s="2890"/>
      <c r="G435" s="2890"/>
      <c r="H435" s="2890"/>
      <c r="I435" s="2890"/>
      <c r="J435" s="2891"/>
      <c r="K435" s="1334"/>
      <c r="L435" s="1334"/>
      <c r="M435" s="1334"/>
      <c r="N435" s="1334"/>
      <c r="O435" s="1335"/>
      <c r="P435" s="2936"/>
    </row>
    <row r="436" spans="2:16" s="840" customFormat="1" ht="16.5" x14ac:dyDescent="0.35">
      <c r="B436" s="2986"/>
      <c r="C436" s="1333"/>
      <c r="D436" s="1333"/>
      <c r="E436" s="1333"/>
      <c r="F436" s="1333"/>
      <c r="G436" s="1333"/>
      <c r="H436" s="1333"/>
      <c r="I436" s="1333"/>
      <c r="J436" s="1333"/>
      <c r="K436" s="1334"/>
      <c r="L436" s="1334"/>
      <c r="M436" s="1334"/>
      <c r="N436" s="1334"/>
      <c r="O436" s="1335"/>
      <c r="P436" s="2936"/>
    </row>
    <row r="437" spans="2:16" s="840" customFormat="1" ht="16.5" x14ac:dyDescent="0.35">
      <c r="B437" s="2986"/>
      <c r="C437" s="2894"/>
      <c r="D437" s="2894"/>
      <c r="E437" s="2894"/>
      <c r="F437" s="2894"/>
      <c r="G437" s="2894"/>
      <c r="H437" s="2894"/>
      <c r="I437" s="2894"/>
      <c r="J437" s="2894"/>
      <c r="K437" s="2894"/>
      <c r="L437" s="2894"/>
      <c r="M437" s="2894"/>
      <c r="N437" s="2894"/>
      <c r="O437" s="2895"/>
      <c r="P437" s="2936"/>
    </row>
    <row r="438" spans="2:16" s="840" customFormat="1" ht="17.25" thickBot="1" x14ac:dyDescent="0.4">
      <c r="B438" s="2986"/>
      <c r="C438" s="2890"/>
      <c r="D438" s="2890"/>
      <c r="E438" s="2890"/>
      <c r="F438" s="2890"/>
      <c r="G438" s="2890"/>
      <c r="H438" s="2890"/>
      <c r="I438" s="2890"/>
      <c r="J438" s="2890"/>
      <c r="K438" s="2890"/>
      <c r="L438" s="2890"/>
      <c r="M438" s="2890"/>
      <c r="N438" s="2890"/>
      <c r="O438" s="2891"/>
      <c r="P438" s="2936"/>
    </row>
    <row r="439" spans="2:16" s="840" customFormat="1" ht="17.25" thickBot="1" x14ac:dyDescent="0.4">
      <c r="B439" s="2986"/>
      <c r="C439" s="2980"/>
      <c r="D439" s="2981"/>
      <c r="E439" s="2974" t="s">
        <v>3484</v>
      </c>
      <c r="F439" s="2975"/>
      <c r="G439" s="2974" t="s">
        <v>3485</v>
      </c>
      <c r="H439" s="2975"/>
      <c r="I439" s="2974" t="s">
        <v>4112</v>
      </c>
      <c r="J439" s="2975"/>
      <c r="K439" s="2974" t="s">
        <v>4113</v>
      </c>
      <c r="L439" s="2975"/>
      <c r="M439" s="2974" t="s">
        <v>3488</v>
      </c>
      <c r="N439" s="2975"/>
      <c r="O439" s="1337" t="s">
        <v>3489</v>
      </c>
      <c r="P439" s="1333"/>
    </row>
    <row r="440" spans="2:16" s="840" customFormat="1" ht="28.9" customHeight="1" x14ac:dyDescent="0.35">
      <c r="B440" s="2986"/>
      <c r="C440" s="2900" t="s">
        <v>3836</v>
      </c>
      <c r="D440" s="2900"/>
      <c r="E440" s="2918" t="s">
        <v>4179</v>
      </c>
      <c r="F440" s="2919"/>
      <c r="G440" s="2918" t="s">
        <v>4180</v>
      </c>
      <c r="H440" s="2919"/>
      <c r="I440" s="2918" t="s">
        <v>4181</v>
      </c>
      <c r="J440" s="2919"/>
      <c r="K440" s="2918" t="s">
        <v>4182</v>
      </c>
      <c r="L440" s="2919"/>
      <c r="M440" s="2918" t="s">
        <v>4183</v>
      </c>
      <c r="N440" s="2919"/>
      <c r="O440" s="2904" t="s">
        <v>4184</v>
      </c>
      <c r="P440" s="1333"/>
    </row>
    <row r="441" spans="2:16" s="840" customFormat="1" ht="17.25" thickBot="1" x14ac:dyDescent="0.4">
      <c r="B441" s="2986"/>
      <c r="C441" s="1329" t="s">
        <v>4121</v>
      </c>
      <c r="D441" s="1330">
        <v>50</v>
      </c>
      <c r="E441" s="2920"/>
      <c r="F441" s="2891"/>
      <c r="G441" s="2920"/>
      <c r="H441" s="2891"/>
      <c r="I441" s="2920"/>
      <c r="J441" s="2891"/>
      <c r="K441" s="2920"/>
      <c r="L441" s="2891"/>
      <c r="M441" s="2920"/>
      <c r="N441" s="2891"/>
      <c r="O441" s="2906"/>
      <c r="P441" s="1333"/>
    </row>
    <row r="442" spans="2:16" s="840" customFormat="1" ht="16.5" x14ac:dyDescent="0.35">
      <c r="B442" s="2986"/>
      <c r="C442" s="2896" t="s">
        <v>4122</v>
      </c>
      <c r="D442" s="2896"/>
      <c r="E442" s="2896"/>
      <c r="F442" s="2896"/>
      <c r="G442" s="2896"/>
      <c r="H442" s="2896"/>
      <c r="I442" s="2896"/>
      <c r="J442" s="2896"/>
      <c r="K442" s="2896"/>
      <c r="L442" s="2896"/>
      <c r="M442" s="2896"/>
      <c r="N442" s="2896"/>
      <c r="O442" s="2897"/>
      <c r="P442" s="2936"/>
    </row>
    <row r="443" spans="2:16" s="840" customFormat="1" ht="16.5" x14ac:dyDescent="0.35">
      <c r="B443" s="2986"/>
      <c r="C443" s="2894" t="s">
        <v>4185</v>
      </c>
      <c r="D443" s="2894"/>
      <c r="E443" s="2894"/>
      <c r="F443" s="2894"/>
      <c r="G443" s="2894"/>
      <c r="H443" s="2894"/>
      <c r="I443" s="2894"/>
      <c r="J443" s="2894"/>
      <c r="K443" s="2894"/>
      <c r="L443" s="2894"/>
      <c r="M443" s="2894"/>
      <c r="N443" s="2894"/>
      <c r="O443" s="2895"/>
      <c r="P443" s="2936"/>
    </row>
    <row r="444" spans="2:16" s="840" customFormat="1" ht="16.5" x14ac:dyDescent="0.35">
      <c r="B444" s="2986"/>
      <c r="C444" s="2894" t="s">
        <v>4186</v>
      </c>
      <c r="D444" s="2894"/>
      <c r="E444" s="2894"/>
      <c r="F444" s="2894"/>
      <c r="G444" s="2894"/>
      <c r="H444" s="2894"/>
      <c r="I444" s="2894"/>
      <c r="J444" s="2894"/>
      <c r="K444" s="2894"/>
      <c r="L444" s="2894"/>
      <c r="M444" s="2894"/>
      <c r="N444" s="2894"/>
      <c r="O444" s="2895"/>
      <c r="P444" s="2936"/>
    </row>
    <row r="445" spans="2:16" s="840" customFormat="1" ht="17.25" thickBot="1" x14ac:dyDescent="0.4">
      <c r="B445" s="2986"/>
      <c r="C445" s="2890"/>
      <c r="D445" s="2890"/>
      <c r="E445" s="2890"/>
      <c r="F445" s="2890"/>
      <c r="G445" s="2890"/>
      <c r="H445" s="2890"/>
      <c r="I445" s="2890"/>
      <c r="J445" s="2890"/>
      <c r="K445" s="2890"/>
      <c r="L445" s="2890"/>
      <c r="M445" s="2890"/>
      <c r="N445" s="2890"/>
      <c r="O445" s="2891"/>
      <c r="P445" s="2936"/>
    </row>
    <row r="446" spans="2:16" s="840" customFormat="1" ht="16.5" x14ac:dyDescent="0.35">
      <c r="B446" s="2986"/>
      <c r="C446" s="2896" t="s">
        <v>4128</v>
      </c>
      <c r="D446" s="2896"/>
      <c r="E446" s="2896"/>
      <c r="F446" s="2896"/>
      <c r="G446" s="2896"/>
      <c r="H446" s="2896"/>
      <c r="I446" s="2896"/>
      <c r="J446" s="2896"/>
      <c r="K446" s="2896"/>
      <c r="L446" s="2896"/>
      <c r="M446" s="2896"/>
      <c r="N446" s="2896"/>
      <c r="O446" s="2897"/>
      <c r="P446" s="2936"/>
    </row>
    <row r="447" spans="2:16" s="840" customFormat="1" ht="16.5" x14ac:dyDescent="0.35">
      <c r="B447" s="2986"/>
      <c r="C447" s="2894" t="s">
        <v>4187</v>
      </c>
      <c r="D447" s="2894"/>
      <c r="E447" s="2894"/>
      <c r="F447" s="2894"/>
      <c r="G447" s="2894"/>
      <c r="H447" s="2894"/>
      <c r="I447" s="2894"/>
      <c r="J447" s="2894"/>
      <c r="K447" s="2894"/>
      <c r="L447" s="2894"/>
      <c r="M447" s="2894"/>
      <c r="N447" s="2894"/>
      <c r="O447" s="2895"/>
      <c r="P447" s="2936"/>
    </row>
    <row r="448" spans="2:16" s="840" customFormat="1" ht="16.5" x14ac:dyDescent="0.35">
      <c r="B448" s="2986"/>
      <c r="C448" s="2894" t="s">
        <v>626</v>
      </c>
      <c r="D448" s="2894"/>
      <c r="E448" s="2894"/>
      <c r="F448" s="2894"/>
      <c r="G448" s="2894"/>
      <c r="H448" s="2894"/>
      <c r="I448" s="2894"/>
      <c r="J448" s="2894"/>
      <c r="K448" s="2894"/>
      <c r="L448" s="2894"/>
      <c r="M448" s="2894"/>
      <c r="N448" s="2894"/>
      <c r="O448" s="2895"/>
      <c r="P448" s="2936"/>
    </row>
    <row r="449" spans="2:16" s="840" customFormat="1" ht="17.25" thickBot="1" x14ac:dyDescent="0.4">
      <c r="B449" s="2986"/>
      <c r="C449" s="2943" t="s">
        <v>4188</v>
      </c>
      <c r="D449" s="2943"/>
      <c r="E449" s="2943"/>
      <c r="F449" s="2943"/>
      <c r="G449" s="2943"/>
      <c r="H449" s="2943"/>
      <c r="I449" s="2943"/>
      <c r="J449" s="2943"/>
      <c r="K449" s="2943"/>
      <c r="L449" s="2943"/>
      <c r="M449" s="2943"/>
      <c r="N449" s="2943"/>
      <c r="O449" s="2944"/>
      <c r="P449" s="2936"/>
    </row>
    <row r="450" spans="2:16" s="840" customFormat="1" ht="64.900000000000006" customHeight="1" thickTop="1" thickBot="1" x14ac:dyDescent="0.4">
      <c r="B450" s="2986"/>
      <c r="C450" s="2983" t="s">
        <v>4189</v>
      </c>
      <c r="D450" s="2984"/>
      <c r="E450" s="2953" t="s">
        <v>4155</v>
      </c>
      <c r="F450" s="2954"/>
      <c r="G450" s="2951" t="s">
        <v>4190</v>
      </c>
      <c r="H450" s="2952"/>
      <c r="I450" s="2953" t="s">
        <v>4191</v>
      </c>
      <c r="J450" s="2954"/>
      <c r="K450" s="2953" t="s">
        <v>4192</v>
      </c>
      <c r="L450" s="2954"/>
      <c r="M450" s="2953" t="s">
        <v>4193</v>
      </c>
      <c r="N450" s="2954"/>
      <c r="O450" s="2968" t="s">
        <v>4194</v>
      </c>
      <c r="P450" s="1333"/>
    </row>
    <row r="451" spans="2:16" s="840" customFormat="1" ht="17.25" thickBot="1" x14ac:dyDescent="0.4">
      <c r="B451" s="2986"/>
      <c r="C451" s="1329" t="s">
        <v>4121</v>
      </c>
      <c r="D451" s="1331">
        <v>30</v>
      </c>
      <c r="E451" s="2920"/>
      <c r="F451" s="2891"/>
      <c r="G451" s="2916"/>
      <c r="H451" s="2917"/>
      <c r="I451" s="2920"/>
      <c r="J451" s="2891"/>
      <c r="K451" s="2920"/>
      <c r="L451" s="2891"/>
      <c r="M451" s="2920"/>
      <c r="N451" s="2891"/>
      <c r="O451" s="2906"/>
      <c r="P451" s="1333"/>
    </row>
    <row r="452" spans="2:16" s="840" customFormat="1" ht="16.5" x14ac:dyDescent="0.35">
      <c r="B452" s="2986"/>
      <c r="C452" s="2896" t="s">
        <v>4122</v>
      </c>
      <c r="D452" s="2896"/>
      <c r="E452" s="2896"/>
      <c r="F452" s="2896"/>
      <c r="G452" s="2896"/>
      <c r="H452" s="2896"/>
      <c r="I452" s="2896"/>
      <c r="J452" s="2896"/>
      <c r="K452" s="2896"/>
      <c r="L452" s="2896"/>
      <c r="M452" s="2896"/>
      <c r="N452" s="2896"/>
      <c r="O452" s="2897"/>
      <c r="P452" s="2936"/>
    </row>
    <row r="453" spans="2:16" s="840" customFormat="1" ht="28.9" customHeight="1" x14ac:dyDescent="0.35">
      <c r="B453" s="2986"/>
      <c r="C453" s="2894" t="s">
        <v>4195</v>
      </c>
      <c r="D453" s="2894"/>
      <c r="E453" s="2894"/>
      <c r="F453" s="2894"/>
      <c r="G453" s="2894"/>
      <c r="H453" s="2894"/>
      <c r="I453" s="2894"/>
      <c r="J453" s="2894"/>
      <c r="K453" s="2894"/>
      <c r="L453" s="2894"/>
      <c r="M453" s="2894"/>
      <c r="N453" s="2894"/>
      <c r="O453" s="2895"/>
      <c r="P453" s="2936"/>
    </row>
    <row r="454" spans="2:16" s="840" customFormat="1" ht="17.25" thickBot="1" x14ac:dyDescent="0.4">
      <c r="B454" s="2986"/>
      <c r="C454" s="2890"/>
      <c r="D454" s="2890"/>
      <c r="E454" s="2890"/>
      <c r="F454" s="2890"/>
      <c r="G454" s="2890"/>
      <c r="H454" s="2890"/>
      <c r="I454" s="2890"/>
      <c r="J454" s="2890"/>
      <c r="K454" s="2890"/>
      <c r="L454" s="2890"/>
      <c r="M454" s="2890"/>
      <c r="N454" s="2890"/>
      <c r="O454" s="2891"/>
      <c r="P454" s="2936"/>
    </row>
    <row r="455" spans="2:16" s="840" customFormat="1" ht="16.5" x14ac:dyDescent="0.35">
      <c r="B455" s="2986"/>
      <c r="C455" s="2896" t="s">
        <v>4196</v>
      </c>
      <c r="D455" s="2896"/>
      <c r="E455" s="2896"/>
      <c r="F455" s="2896"/>
      <c r="G455" s="2896"/>
      <c r="H455" s="2896"/>
      <c r="I455" s="2896"/>
      <c r="J455" s="2896"/>
      <c r="K455" s="2896"/>
      <c r="L455" s="2896"/>
      <c r="M455" s="2896"/>
      <c r="N455" s="2896"/>
      <c r="O455" s="2897"/>
      <c r="P455" s="2936"/>
    </row>
    <row r="456" spans="2:16" s="840" customFormat="1" ht="16.5" x14ac:dyDescent="0.35">
      <c r="B456" s="2986"/>
      <c r="C456" s="2894" t="s">
        <v>4197</v>
      </c>
      <c r="D456" s="2894"/>
      <c r="E456" s="2894"/>
      <c r="F456" s="2894"/>
      <c r="G456" s="2894"/>
      <c r="H456" s="2894"/>
      <c r="I456" s="2894"/>
      <c r="J456" s="2894"/>
      <c r="K456" s="2894"/>
      <c r="L456" s="2894"/>
      <c r="M456" s="2894"/>
      <c r="N456" s="2894"/>
      <c r="O456" s="2895"/>
      <c r="P456" s="2936"/>
    </row>
    <row r="457" spans="2:16" s="840" customFormat="1" ht="16.5" x14ac:dyDescent="0.35">
      <c r="B457" s="2986"/>
      <c r="C457" s="2894"/>
      <c r="D457" s="2894"/>
      <c r="E457" s="2894"/>
      <c r="F457" s="2894"/>
      <c r="G457" s="2894"/>
      <c r="H457" s="2894"/>
      <c r="I457" s="2894"/>
      <c r="J457" s="2894"/>
      <c r="K457" s="2894"/>
      <c r="L457" s="2894"/>
      <c r="M457" s="2894"/>
      <c r="N457" s="2894"/>
      <c r="O457" s="2895"/>
      <c r="P457" s="2936"/>
    </row>
    <row r="458" spans="2:16" s="840" customFormat="1" ht="16.5" x14ac:dyDescent="0.35">
      <c r="B458" s="2986"/>
      <c r="C458" s="2894" t="s">
        <v>4198</v>
      </c>
      <c r="D458" s="2894"/>
      <c r="E458" s="2894"/>
      <c r="F458" s="2894"/>
      <c r="G458" s="2894"/>
      <c r="H458" s="2894"/>
      <c r="I458" s="2894"/>
      <c r="J458" s="2894"/>
      <c r="K458" s="2894"/>
      <c r="L458" s="2894"/>
      <c r="M458" s="2894"/>
      <c r="N458" s="2894"/>
      <c r="O458" s="2895"/>
      <c r="P458" s="2936"/>
    </row>
    <row r="459" spans="2:16" s="840" customFormat="1" ht="16.5" x14ac:dyDescent="0.35">
      <c r="B459" s="2986"/>
      <c r="C459" s="2894"/>
      <c r="D459" s="2894"/>
      <c r="E459" s="2894"/>
      <c r="F459" s="2894"/>
      <c r="G459" s="2894"/>
      <c r="H459" s="2894"/>
      <c r="I459" s="2894"/>
      <c r="J459" s="2894"/>
      <c r="K459" s="2894"/>
      <c r="L459" s="2894"/>
      <c r="M459" s="2894"/>
      <c r="N459" s="2894"/>
      <c r="O459" s="2895"/>
      <c r="P459" s="2936"/>
    </row>
    <row r="460" spans="2:16" s="840" customFormat="1" ht="17.25" thickBot="1" x14ac:dyDescent="0.4">
      <c r="B460" s="2986"/>
      <c r="C460" s="2890"/>
      <c r="D460" s="2890"/>
      <c r="E460" s="2890"/>
      <c r="F460" s="2890"/>
      <c r="G460" s="2890"/>
      <c r="H460" s="2890"/>
      <c r="I460" s="2890"/>
      <c r="J460" s="2890"/>
      <c r="K460" s="2890"/>
      <c r="L460" s="2890"/>
      <c r="M460" s="2890"/>
      <c r="N460" s="2890"/>
      <c r="O460" s="2891"/>
      <c r="P460" s="2936"/>
    </row>
    <row r="461" spans="2:16" s="840" customFormat="1" ht="16.5" x14ac:dyDescent="0.35">
      <c r="B461" s="2986"/>
      <c r="C461" s="17"/>
      <c r="D461" s="17"/>
      <c r="E461" s="17"/>
      <c r="F461" s="17"/>
      <c r="G461" s="17"/>
      <c r="H461" s="17"/>
      <c r="I461" s="17"/>
      <c r="J461" s="17"/>
      <c r="K461" s="17"/>
      <c r="L461" s="17"/>
      <c r="M461" s="17"/>
      <c r="N461" s="17"/>
      <c r="O461" s="17"/>
      <c r="P461" s="17"/>
    </row>
    <row r="462" spans="2:16" s="840" customFormat="1" ht="16.5" x14ac:dyDescent="0.35">
      <c r="B462" s="2986"/>
      <c r="C462" s="17"/>
      <c r="D462" s="17"/>
      <c r="E462" s="17"/>
      <c r="F462" s="17"/>
      <c r="G462" s="17"/>
      <c r="H462" s="17"/>
      <c r="I462" s="17"/>
      <c r="J462" s="17"/>
      <c r="K462" s="17"/>
      <c r="L462" s="17"/>
      <c r="M462" s="17"/>
      <c r="N462" s="17"/>
      <c r="O462" s="17"/>
      <c r="P462" s="17"/>
    </row>
    <row r="463" spans="2:16" s="840" customFormat="1" ht="16.5" x14ac:dyDescent="0.35">
      <c r="B463" s="2986"/>
      <c r="C463" s="17" t="s">
        <v>4199</v>
      </c>
      <c r="D463" s="17"/>
      <c r="E463" s="17"/>
      <c r="F463" s="17"/>
      <c r="G463" s="17"/>
      <c r="H463" s="17"/>
      <c r="I463" s="17"/>
      <c r="J463" s="17"/>
      <c r="K463" s="17"/>
      <c r="L463" s="17"/>
      <c r="M463" s="17"/>
      <c r="N463" s="17"/>
      <c r="O463" s="17"/>
      <c r="P463" s="17"/>
    </row>
    <row r="464" spans="2:16" s="840" customFormat="1" ht="16.5" x14ac:dyDescent="0.35">
      <c r="B464" s="2986"/>
      <c r="C464" s="17" t="s">
        <v>4200</v>
      </c>
      <c r="D464" s="17"/>
      <c r="E464" s="17"/>
      <c r="F464" s="17"/>
      <c r="G464" s="17"/>
      <c r="H464" s="17"/>
      <c r="I464" s="17"/>
      <c r="J464" s="17"/>
      <c r="K464" s="17"/>
      <c r="L464" s="17"/>
      <c r="M464" s="17"/>
      <c r="N464" s="17"/>
      <c r="O464" s="17"/>
      <c r="P464" s="17"/>
    </row>
    <row r="465" spans="2:16" s="840" customFormat="1" ht="16.5" x14ac:dyDescent="0.35">
      <c r="B465" s="2986"/>
      <c r="C465" s="17" t="s">
        <v>4201</v>
      </c>
      <c r="D465" s="17"/>
      <c r="E465" s="17"/>
      <c r="F465" s="17"/>
      <c r="G465" s="17"/>
      <c r="H465" s="17"/>
      <c r="I465" s="17"/>
      <c r="J465" s="17"/>
      <c r="K465" s="17"/>
      <c r="L465" s="17"/>
      <c r="M465" s="17"/>
      <c r="N465" s="17"/>
      <c r="O465" s="17"/>
      <c r="P465" s="17"/>
    </row>
    <row r="466" spans="2:16" s="840" customFormat="1" ht="16.5" x14ac:dyDescent="0.35">
      <c r="B466" s="2986"/>
      <c r="C466" s="17" t="s">
        <v>4202</v>
      </c>
      <c r="D466" s="17"/>
      <c r="E466" s="17"/>
      <c r="F466" s="17"/>
      <c r="G466" s="17"/>
      <c r="H466" s="17"/>
      <c r="I466" s="17"/>
      <c r="J466" s="17"/>
      <c r="K466" s="17"/>
      <c r="L466" s="17"/>
      <c r="M466" s="17"/>
      <c r="N466" s="17"/>
      <c r="O466" s="17"/>
      <c r="P466" s="17"/>
    </row>
    <row r="467" spans="2:16" s="840" customFormat="1" ht="16.5" x14ac:dyDescent="0.35">
      <c r="B467" s="2986"/>
      <c r="C467" s="17" t="s">
        <v>4203</v>
      </c>
      <c r="D467" s="17"/>
      <c r="E467" s="17"/>
      <c r="F467" s="17"/>
      <c r="G467" s="17"/>
      <c r="H467" s="17"/>
      <c r="I467" s="17"/>
      <c r="J467" s="17"/>
      <c r="K467" s="17"/>
      <c r="L467" s="17"/>
      <c r="M467" s="17"/>
      <c r="N467" s="17"/>
      <c r="O467" s="17"/>
      <c r="P467" s="17"/>
    </row>
    <row r="468" spans="2:16" s="840" customFormat="1" ht="17.25" thickBot="1" x14ac:dyDescent="0.4">
      <c r="B468" s="2986"/>
    </row>
    <row r="469" spans="2:16" s="840" customFormat="1" ht="17.25" thickBot="1" x14ac:dyDescent="0.4">
      <c r="B469" s="2986"/>
      <c r="C469" s="2931" t="s">
        <v>4204</v>
      </c>
      <c r="D469" s="2931"/>
      <c r="E469" s="2931"/>
      <c r="F469" s="2931"/>
      <c r="G469" s="2931"/>
      <c r="H469" s="2931"/>
      <c r="I469" s="2931"/>
      <c r="J469" s="2931"/>
      <c r="K469" s="2932"/>
    </row>
    <row r="470" spans="2:16" s="840" customFormat="1" ht="17.25" thickBot="1" x14ac:dyDescent="0.4">
      <c r="B470" s="2986"/>
      <c r="C470" s="2933"/>
      <c r="D470" s="2934"/>
      <c r="E470" s="2974" t="s">
        <v>4111</v>
      </c>
      <c r="F470" s="2982"/>
      <c r="G470" s="2982"/>
      <c r="H470" s="2982"/>
      <c r="I470" s="2982"/>
      <c r="J470" s="2982"/>
      <c r="K470" s="2975"/>
    </row>
    <row r="471" spans="2:16" s="840" customFormat="1" ht="17.25" thickBot="1" x14ac:dyDescent="0.4">
      <c r="B471" s="2986"/>
      <c r="C471" s="2909"/>
      <c r="D471" s="2910"/>
      <c r="E471" s="1337" t="s">
        <v>3484</v>
      </c>
      <c r="F471" s="1332" t="s">
        <v>3485</v>
      </c>
      <c r="G471" s="2974" t="s">
        <v>4112</v>
      </c>
      <c r="H471" s="2975"/>
      <c r="I471" s="1332" t="s">
        <v>4113</v>
      </c>
      <c r="J471" s="1332" t="s">
        <v>3488</v>
      </c>
      <c r="K471" s="1332" t="s">
        <v>3489</v>
      </c>
    </row>
    <row r="472" spans="2:16" s="840" customFormat="1" ht="17.25" thickBot="1" x14ac:dyDescent="0.4">
      <c r="B472" s="2986"/>
      <c r="C472" s="2921" t="s">
        <v>3853</v>
      </c>
      <c r="D472" s="2921"/>
      <c r="E472" s="2921"/>
      <c r="F472" s="2921"/>
      <c r="G472" s="2921"/>
      <c r="H472" s="2921"/>
      <c r="I472" s="2921"/>
      <c r="J472" s="2921"/>
      <c r="K472" s="2922"/>
    </row>
    <row r="473" spans="2:16" s="840" customFormat="1" ht="106.15" customHeight="1" x14ac:dyDescent="0.35">
      <c r="B473" s="2986"/>
      <c r="C473" s="2900" t="s">
        <v>4205</v>
      </c>
      <c r="D473" s="2900"/>
      <c r="E473" s="2901" t="s">
        <v>4206</v>
      </c>
      <c r="F473" s="2901" t="s">
        <v>4207</v>
      </c>
      <c r="G473" s="2900" t="s">
        <v>4208</v>
      </c>
      <c r="H473" s="2900"/>
      <c r="I473" s="2904" t="s">
        <v>4209</v>
      </c>
      <c r="J473" s="2904" t="s">
        <v>4210</v>
      </c>
      <c r="K473" s="2904" t="s">
        <v>4211</v>
      </c>
    </row>
    <row r="474" spans="2:16" s="840" customFormat="1" ht="17.25" thickBot="1" x14ac:dyDescent="0.4">
      <c r="B474" s="2986"/>
      <c r="C474" s="1329" t="s">
        <v>4121</v>
      </c>
      <c r="D474" s="1330">
        <v>50</v>
      </c>
      <c r="E474" s="2903"/>
      <c r="F474" s="2903"/>
      <c r="G474" s="2900"/>
      <c r="H474" s="2900"/>
      <c r="I474" s="2906"/>
      <c r="J474" s="2906"/>
      <c r="K474" s="2906"/>
    </row>
    <row r="475" spans="2:16" s="840" customFormat="1" ht="16.5" x14ac:dyDescent="0.35">
      <c r="B475" s="2986"/>
      <c r="C475" s="2896"/>
      <c r="D475" s="2896"/>
      <c r="E475" s="2896"/>
      <c r="F475" s="2896"/>
      <c r="G475" s="2896"/>
      <c r="H475" s="2896"/>
      <c r="I475" s="2896"/>
      <c r="J475" s="2896"/>
      <c r="K475" s="2897"/>
    </row>
    <row r="476" spans="2:16" s="840" customFormat="1" ht="16.5" x14ac:dyDescent="0.35">
      <c r="B476" s="2986"/>
      <c r="C476" s="2955" t="s">
        <v>4122</v>
      </c>
      <c r="D476" s="2955"/>
      <c r="E476" s="2955"/>
      <c r="F476" s="2955"/>
      <c r="G476" s="2955"/>
      <c r="H476" s="2955"/>
      <c r="I476" s="2955"/>
      <c r="J476" s="2955"/>
      <c r="K476" s="2942"/>
    </row>
    <row r="477" spans="2:16" s="840" customFormat="1" ht="43.15" customHeight="1" x14ac:dyDescent="0.35">
      <c r="B477" s="2986"/>
      <c r="C477" s="2894" t="s">
        <v>4212</v>
      </c>
      <c r="D477" s="2894"/>
      <c r="E477" s="2894"/>
      <c r="F477" s="2894"/>
      <c r="G477" s="2894"/>
      <c r="H477" s="2894"/>
      <c r="I477" s="2894"/>
      <c r="J477" s="2894"/>
      <c r="K477" s="2895"/>
    </row>
    <row r="478" spans="2:16" s="840" customFormat="1" ht="16.5" x14ac:dyDescent="0.35">
      <c r="B478" s="2986"/>
      <c r="C478" s="2894"/>
      <c r="D478" s="2894"/>
      <c r="E478" s="2894"/>
      <c r="F478" s="2894"/>
      <c r="G478" s="2894"/>
      <c r="H478" s="2894"/>
      <c r="I478" s="2894"/>
      <c r="J478" s="2894"/>
      <c r="K478" s="2895"/>
    </row>
    <row r="479" spans="2:16" s="840" customFormat="1" ht="100.9" customHeight="1" x14ac:dyDescent="0.35">
      <c r="B479" s="2986"/>
      <c r="C479" s="2894" t="s">
        <v>4213</v>
      </c>
      <c r="D479" s="2894"/>
      <c r="E479" s="2894"/>
      <c r="F479" s="2894"/>
      <c r="G479" s="2894"/>
      <c r="H479" s="2894"/>
      <c r="I479" s="2894"/>
      <c r="J479" s="2894"/>
      <c r="K479" s="2895"/>
    </row>
    <row r="480" spans="2:16" s="840" customFormat="1" ht="16.5" x14ac:dyDescent="0.35">
      <c r="B480" s="2986"/>
      <c r="C480" s="2894"/>
      <c r="D480" s="2894"/>
      <c r="E480" s="2894"/>
      <c r="F480" s="2894"/>
      <c r="G480" s="2894"/>
      <c r="H480" s="2894"/>
      <c r="I480" s="2894"/>
      <c r="J480" s="2894"/>
      <c r="K480" s="2895"/>
    </row>
    <row r="481" spans="2:11" s="840" customFormat="1" ht="16.5" x14ac:dyDescent="0.35">
      <c r="B481" s="2986"/>
      <c r="C481" s="2894"/>
      <c r="D481" s="2894"/>
      <c r="E481" s="2894"/>
      <c r="F481" s="2894"/>
      <c r="G481" s="2894"/>
      <c r="H481" s="2894"/>
      <c r="I481" s="2894"/>
      <c r="J481" s="2894"/>
      <c r="K481" s="2895"/>
    </row>
    <row r="482" spans="2:11" s="840" customFormat="1" ht="28.9" customHeight="1" x14ac:dyDescent="0.35">
      <c r="B482" s="2986"/>
      <c r="C482" s="2894"/>
      <c r="D482" s="2894"/>
      <c r="E482" s="2894"/>
      <c r="F482" s="2894"/>
      <c r="G482" s="2894"/>
      <c r="H482" s="2894"/>
      <c r="I482" s="2894"/>
      <c r="J482" s="2894"/>
      <c r="K482" s="2895"/>
    </row>
    <row r="483" spans="2:11" s="840" customFormat="1" ht="17.25" thickBot="1" x14ac:dyDescent="0.4">
      <c r="B483" s="2986"/>
      <c r="C483" s="2972"/>
      <c r="D483" s="2972"/>
      <c r="E483" s="2972"/>
      <c r="F483" s="2972"/>
      <c r="G483" s="2972"/>
      <c r="H483" s="2972"/>
      <c r="I483" s="2972"/>
      <c r="J483" s="2972"/>
      <c r="K483" s="2973"/>
    </row>
    <row r="484" spans="2:11" s="840" customFormat="1" ht="16.5" x14ac:dyDescent="0.35">
      <c r="B484" s="2986"/>
      <c r="C484" s="2896" t="s">
        <v>4128</v>
      </c>
      <c r="D484" s="2896"/>
      <c r="E484" s="2896"/>
      <c r="F484" s="2896"/>
      <c r="G484" s="2896"/>
      <c r="H484" s="2896"/>
      <c r="I484" s="2896"/>
      <c r="J484" s="2896"/>
      <c r="K484" s="2897"/>
    </row>
    <row r="485" spans="2:11" s="840" customFormat="1" ht="28.9" customHeight="1" x14ac:dyDescent="0.35">
      <c r="B485" s="2986"/>
      <c r="C485" s="2894" t="s">
        <v>4214</v>
      </c>
      <c r="D485" s="2894"/>
      <c r="E485" s="2894"/>
      <c r="F485" s="2894"/>
      <c r="G485" s="2894"/>
      <c r="H485" s="2894"/>
      <c r="I485" s="2894"/>
      <c r="J485" s="2894"/>
      <c r="K485" s="2895"/>
    </row>
    <row r="486" spans="2:11" s="840" customFormat="1" ht="16.5" x14ac:dyDescent="0.35">
      <c r="B486" s="2986"/>
      <c r="C486" s="2894"/>
      <c r="D486" s="2894"/>
      <c r="E486" s="2894"/>
      <c r="F486" s="2894"/>
      <c r="G486" s="2894"/>
      <c r="H486" s="2894"/>
      <c r="I486" s="2894"/>
      <c r="J486" s="2894"/>
      <c r="K486" s="2895"/>
    </row>
    <row r="487" spans="2:11" s="840" customFormat="1" ht="28.9" customHeight="1" x14ac:dyDescent="0.35">
      <c r="B487" s="2986"/>
      <c r="C487" s="2894" t="s">
        <v>4215</v>
      </c>
      <c r="D487" s="2894"/>
      <c r="E487" s="2894"/>
      <c r="F487" s="2894"/>
      <c r="G487" s="2894"/>
      <c r="H487" s="2894"/>
      <c r="I487" s="2894"/>
      <c r="J487" s="2894"/>
      <c r="K487" s="2895"/>
    </row>
    <row r="488" spans="2:11" s="840" customFormat="1" ht="16.5" x14ac:dyDescent="0.35">
      <c r="B488" s="2986"/>
      <c r="C488" s="2894"/>
      <c r="D488" s="2894"/>
      <c r="E488" s="2894"/>
      <c r="F488" s="2894"/>
      <c r="G488" s="2894"/>
      <c r="H488" s="2894"/>
      <c r="I488" s="2894"/>
      <c r="J488" s="2894"/>
      <c r="K488" s="2895"/>
    </row>
    <row r="489" spans="2:11" s="840" customFormat="1" ht="16.5" x14ac:dyDescent="0.35">
      <c r="B489" s="2986"/>
      <c r="C489" s="2894" t="s">
        <v>4216</v>
      </c>
      <c r="D489" s="2894"/>
      <c r="E489" s="2894"/>
      <c r="F489" s="2894"/>
      <c r="G489" s="2894"/>
      <c r="H489" s="2894"/>
      <c r="I489" s="2894"/>
      <c r="J489" s="2894"/>
      <c r="K489" s="2895"/>
    </row>
    <row r="490" spans="2:11" s="840" customFormat="1" ht="16.5" x14ac:dyDescent="0.35">
      <c r="B490" s="2986"/>
      <c r="C490" s="2894"/>
      <c r="D490" s="2894"/>
      <c r="E490" s="2894"/>
      <c r="F490" s="2894"/>
      <c r="G490" s="2894"/>
      <c r="H490" s="2894"/>
      <c r="I490" s="2894"/>
      <c r="J490" s="2894"/>
      <c r="K490" s="2895"/>
    </row>
    <row r="491" spans="2:11" s="840" customFormat="1" ht="16.5" x14ac:dyDescent="0.35">
      <c r="B491" s="2986"/>
      <c r="C491" s="2894" t="s">
        <v>4217</v>
      </c>
      <c r="D491" s="2894"/>
      <c r="E491" s="2894"/>
      <c r="F491" s="2894"/>
      <c r="G491" s="2894"/>
      <c r="H491" s="2894"/>
      <c r="I491" s="2894"/>
      <c r="J491" s="2894"/>
      <c r="K491" s="2895"/>
    </row>
    <row r="492" spans="2:11" s="840" customFormat="1" ht="17.25" thickBot="1" x14ac:dyDescent="0.4">
      <c r="B492" s="2986"/>
      <c r="C492" s="2943"/>
      <c r="D492" s="2943"/>
      <c r="E492" s="2943"/>
      <c r="F492" s="2943"/>
      <c r="G492" s="2943"/>
      <c r="H492" s="2943"/>
      <c r="I492" s="2943"/>
      <c r="J492" s="2943"/>
      <c r="K492" s="2944"/>
    </row>
    <row r="493" spans="2:11" s="840" customFormat="1" ht="100.9" customHeight="1" thickTop="1" x14ac:dyDescent="0.35">
      <c r="B493" s="2986"/>
      <c r="C493" s="2900" t="s">
        <v>4218</v>
      </c>
      <c r="D493" s="2900"/>
      <c r="E493" s="2969" t="s">
        <v>4219</v>
      </c>
      <c r="F493" s="2953" t="s">
        <v>4220</v>
      </c>
      <c r="G493" s="2954"/>
      <c r="H493" s="2969" t="s">
        <v>4221</v>
      </c>
      <c r="I493" s="2969" t="s">
        <v>4222</v>
      </c>
      <c r="J493" s="2969" t="s">
        <v>4223</v>
      </c>
      <c r="K493" s="1338" t="s">
        <v>4224</v>
      </c>
    </row>
    <row r="494" spans="2:11" s="840" customFormat="1" ht="116.25" thickBot="1" x14ac:dyDescent="0.4">
      <c r="B494" s="2986"/>
      <c r="C494" s="1329" t="s">
        <v>4121</v>
      </c>
      <c r="D494" s="1330">
        <v>80</v>
      </c>
      <c r="E494" s="2903"/>
      <c r="F494" s="2920"/>
      <c r="G494" s="2891"/>
      <c r="H494" s="2903"/>
      <c r="I494" s="2903"/>
      <c r="J494" s="2903"/>
      <c r="K494" s="1339" t="s">
        <v>4225</v>
      </c>
    </row>
    <row r="495" spans="2:11" s="840" customFormat="1" ht="16.5" x14ac:dyDescent="0.35">
      <c r="B495" s="2986"/>
      <c r="C495" s="2896" t="s">
        <v>4122</v>
      </c>
      <c r="D495" s="2896"/>
      <c r="E495" s="2896"/>
      <c r="F495" s="2896"/>
      <c r="G495" s="2896"/>
      <c r="H495" s="2896"/>
      <c r="I495" s="2896"/>
      <c r="J495" s="2896"/>
      <c r="K495" s="2897"/>
    </row>
    <row r="496" spans="2:11" s="840" customFormat="1" ht="43.15" customHeight="1" x14ac:dyDescent="0.35">
      <c r="B496" s="2986"/>
      <c r="C496" s="2894" t="s">
        <v>4226</v>
      </c>
      <c r="D496" s="2894"/>
      <c r="E496" s="2894"/>
      <c r="F496" s="2894"/>
      <c r="G496" s="2894"/>
      <c r="H496" s="2894"/>
      <c r="I496" s="2894"/>
      <c r="J496" s="2894"/>
      <c r="K496" s="2895"/>
    </row>
    <row r="497" spans="2:11" s="840" customFormat="1" ht="16.5" x14ac:dyDescent="0.35">
      <c r="B497" s="2986"/>
      <c r="C497" s="2894"/>
      <c r="D497" s="2894"/>
      <c r="E497" s="2894"/>
      <c r="F497" s="2894"/>
      <c r="G497" s="2894"/>
      <c r="H497" s="2894"/>
      <c r="I497" s="2894"/>
      <c r="J497" s="2894"/>
      <c r="K497" s="2895"/>
    </row>
    <row r="498" spans="2:11" s="840" customFormat="1" ht="28.9" customHeight="1" x14ac:dyDescent="0.35">
      <c r="B498" s="2986"/>
      <c r="C498" s="2894" t="s">
        <v>4227</v>
      </c>
      <c r="D498" s="2894"/>
      <c r="E498" s="2894"/>
      <c r="F498" s="2894"/>
      <c r="G498" s="2894"/>
      <c r="H498" s="2894"/>
      <c r="I498" s="2894"/>
      <c r="J498" s="2894"/>
      <c r="K498" s="2895"/>
    </row>
    <row r="499" spans="2:11" s="840" customFormat="1" ht="16.5" x14ac:dyDescent="0.35">
      <c r="B499" s="2986"/>
      <c r="C499" s="2894"/>
      <c r="D499" s="2894"/>
      <c r="E499" s="2894"/>
      <c r="F499" s="2894"/>
      <c r="G499" s="2894"/>
      <c r="H499" s="2894"/>
      <c r="I499" s="2894"/>
      <c r="J499" s="2894"/>
      <c r="K499" s="2895"/>
    </row>
    <row r="500" spans="2:11" s="840" customFormat="1" ht="28.9" customHeight="1" x14ac:dyDescent="0.35">
      <c r="B500" s="2986"/>
      <c r="C500" s="2894" t="s">
        <v>4228</v>
      </c>
      <c r="D500" s="2894"/>
      <c r="E500" s="2894"/>
      <c r="F500" s="2894"/>
      <c r="G500" s="2894"/>
      <c r="H500" s="2894"/>
      <c r="I500" s="2894"/>
      <c r="J500" s="2894"/>
      <c r="K500" s="2895"/>
    </row>
    <row r="501" spans="2:11" s="840" customFormat="1" ht="16.5" x14ac:dyDescent="0.35">
      <c r="B501" s="2986"/>
      <c r="C501" s="2894"/>
      <c r="D501" s="2894"/>
      <c r="E501" s="2894"/>
      <c r="F501" s="2894"/>
      <c r="G501" s="2894"/>
      <c r="H501" s="2894"/>
      <c r="I501" s="2894"/>
      <c r="J501" s="2894"/>
      <c r="K501" s="2895"/>
    </row>
    <row r="502" spans="2:11" s="840" customFormat="1" ht="28.9" customHeight="1" x14ac:dyDescent="0.35">
      <c r="B502" s="2986"/>
      <c r="C502" s="2894" t="s">
        <v>4229</v>
      </c>
      <c r="D502" s="2894"/>
      <c r="E502" s="2894"/>
      <c r="F502" s="2894"/>
      <c r="G502" s="2894"/>
      <c r="H502" s="2894"/>
      <c r="I502" s="2894"/>
      <c r="J502" s="2894"/>
      <c r="K502" s="2895"/>
    </row>
    <row r="503" spans="2:11" s="840" customFormat="1" ht="17.25" thickBot="1" x14ac:dyDescent="0.4">
      <c r="B503" s="2986"/>
      <c r="C503" s="2972"/>
      <c r="D503" s="2972"/>
      <c r="E503" s="2972"/>
      <c r="F503" s="2972"/>
      <c r="G503" s="2972"/>
      <c r="H503" s="2972"/>
      <c r="I503" s="2972"/>
      <c r="J503" s="2972"/>
      <c r="K503" s="2973"/>
    </row>
    <row r="504" spans="2:11" s="840" customFormat="1" ht="16.5" x14ac:dyDescent="0.35">
      <c r="B504" s="2986"/>
      <c r="C504" s="2896" t="s">
        <v>4230</v>
      </c>
      <c r="D504" s="2896"/>
      <c r="E504" s="2896"/>
      <c r="F504" s="2896"/>
      <c r="G504" s="2896"/>
      <c r="H504" s="2896"/>
      <c r="I504" s="2896"/>
      <c r="J504" s="2896"/>
      <c r="K504" s="2897"/>
    </row>
    <row r="505" spans="2:11" s="840" customFormat="1" ht="16.5" x14ac:dyDescent="0.35">
      <c r="B505" s="2986"/>
      <c r="C505" s="2894" t="s">
        <v>4231</v>
      </c>
      <c r="D505" s="2894"/>
      <c r="E505" s="2894"/>
      <c r="F505" s="2894"/>
      <c r="G505" s="2894"/>
      <c r="H505" s="2894"/>
      <c r="I505" s="2894"/>
      <c r="J505" s="2894"/>
      <c r="K505" s="2895"/>
    </row>
    <row r="506" spans="2:11" s="840" customFormat="1" ht="17.25" thickBot="1" x14ac:dyDescent="0.4">
      <c r="B506" s="2986"/>
      <c r="C506" s="2890"/>
      <c r="D506" s="2890"/>
      <c r="E506" s="2890"/>
      <c r="F506" s="2890"/>
      <c r="G506" s="2890"/>
      <c r="H506" s="2890"/>
      <c r="I506" s="2890"/>
      <c r="J506" s="2890"/>
      <c r="K506" s="2891"/>
    </row>
    <row r="507" spans="2:11" s="840" customFormat="1" ht="16.5" x14ac:dyDescent="0.35">
      <c r="B507" s="2986"/>
      <c r="C507" s="2896" t="s">
        <v>4128</v>
      </c>
      <c r="D507" s="2896"/>
      <c r="E507" s="2896"/>
      <c r="F507" s="2896"/>
      <c r="G507" s="2896"/>
      <c r="H507" s="2896"/>
      <c r="I507" s="2896"/>
      <c r="J507" s="2896"/>
      <c r="K507" s="2897"/>
    </row>
    <row r="508" spans="2:11" s="840" customFormat="1" ht="16.5" x14ac:dyDescent="0.35">
      <c r="B508" s="2986"/>
      <c r="C508" s="2894" t="s">
        <v>4232</v>
      </c>
      <c r="D508" s="2894"/>
      <c r="E508" s="2894"/>
      <c r="F508" s="2894"/>
      <c r="G508" s="2894"/>
      <c r="H508" s="2894"/>
      <c r="I508" s="2894"/>
      <c r="J508" s="2894"/>
      <c r="K508" s="2895"/>
    </row>
    <row r="509" spans="2:11" s="840" customFormat="1" ht="16.5" x14ac:dyDescent="0.35">
      <c r="B509" s="2986"/>
      <c r="C509" s="2894"/>
      <c r="D509" s="2894"/>
      <c r="E509" s="2894"/>
      <c r="F509" s="2894"/>
      <c r="G509" s="2894"/>
      <c r="H509" s="2894"/>
      <c r="I509" s="2894"/>
      <c r="J509" s="2894"/>
      <c r="K509" s="2895"/>
    </row>
    <row r="510" spans="2:11" s="840" customFormat="1" ht="28.9" customHeight="1" thickBot="1" x14ac:dyDescent="0.4">
      <c r="B510" s="2986"/>
      <c r="C510" s="2890" t="s">
        <v>4233</v>
      </c>
      <c r="D510" s="2890"/>
      <c r="E510" s="2890"/>
      <c r="F510" s="2890"/>
      <c r="G510" s="2890"/>
      <c r="H510" s="2890"/>
      <c r="I510" s="2890"/>
      <c r="J510" s="2890"/>
      <c r="K510" s="2891"/>
    </row>
    <row r="511" spans="2:11" s="840" customFormat="1" ht="16.5" x14ac:dyDescent="0.35">
      <c r="B511" s="2986"/>
      <c r="C511" s="17"/>
      <c r="D511" s="17"/>
      <c r="E511" s="17"/>
      <c r="F511" s="17"/>
      <c r="G511" s="17"/>
      <c r="H511" s="17"/>
      <c r="I511" s="17"/>
      <c r="J511" s="17"/>
      <c r="K511" s="17"/>
    </row>
    <row r="512" spans="2:11" s="840" customFormat="1" ht="16.5" x14ac:dyDescent="0.35">
      <c r="B512" s="2986"/>
      <c r="C512" s="17"/>
      <c r="D512" s="17"/>
      <c r="E512" s="17"/>
      <c r="F512" s="17"/>
      <c r="G512" s="17"/>
      <c r="H512" s="17"/>
      <c r="I512" s="17"/>
      <c r="J512" s="17"/>
      <c r="K512" s="17"/>
    </row>
    <row r="513" spans="2:11" s="840" customFormat="1" ht="16.5" x14ac:dyDescent="0.35">
      <c r="B513" s="2986"/>
      <c r="C513" s="17" t="s">
        <v>4234</v>
      </c>
      <c r="D513" s="17"/>
      <c r="E513" s="17"/>
      <c r="F513" s="17"/>
      <c r="G513" s="17"/>
      <c r="H513" s="17"/>
      <c r="I513" s="17"/>
      <c r="J513" s="17"/>
      <c r="K513" s="17"/>
    </row>
    <row r="514" spans="2:11" s="840" customFormat="1" ht="16.5" x14ac:dyDescent="0.35">
      <c r="B514" s="2986"/>
      <c r="C514" s="17" t="s">
        <v>4235</v>
      </c>
      <c r="D514" s="17"/>
      <c r="E514" s="17"/>
      <c r="F514" s="17"/>
      <c r="G514" s="17"/>
      <c r="H514" s="17"/>
      <c r="I514" s="17"/>
      <c r="J514" s="17"/>
      <c r="K514" s="17"/>
    </row>
    <row r="515" spans="2:11" s="840" customFormat="1" ht="16.5" x14ac:dyDescent="0.35">
      <c r="B515" s="2986"/>
      <c r="C515" s="17" t="s">
        <v>4236</v>
      </c>
      <c r="D515" s="17"/>
      <c r="E515" s="17"/>
      <c r="F515" s="17"/>
      <c r="G515" s="17"/>
      <c r="H515" s="17"/>
      <c r="I515" s="17"/>
      <c r="J515" s="17"/>
      <c r="K515" s="17"/>
    </row>
    <row r="516" spans="2:11" s="840" customFormat="1" ht="16.5" x14ac:dyDescent="0.35">
      <c r="B516" s="2986"/>
    </row>
    <row r="517" spans="2:11" s="840" customFormat="1" ht="17.25" thickBot="1" x14ac:dyDescent="0.4">
      <c r="B517" s="2986"/>
      <c r="C517" s="106"/>
      <c r="D517" s="17"/>
      <c r="E517" s="17"/>
      <c r="F517" s="17"/>
      <c r="G517" s="17"/>
      <c r="H517" s="17"/>
      <c r="I517" s="17"/>
      <c r="J517" s="17"/>
      <c r="K517" s="17"/>
    </row>
    <row r="518" spans="2:11" s="840" customFormat="1" ht="17.25" thickBot="1" x14ac:dyDescent="0.4">
      <c r="B518" s="2986"/>
      <c r="C518" s="2978"/>
      <c r="D518" s="2979"/>
      <c r="E518" s="1332" t="s">
        <v>3484</v>
      </c>
      <c r="F518" s="1332" t="s">
        <v>3485</v>
      </c>
      <c r="G518" s="1332" t="s">
        <v>4112</v>
      </c>
      <c r="H518" s="1332" t="s">
        <v>4113</v>
      </c>
      <c r="I518" s="1332" t="s">
        <v>3488</v>
      </c>
      <c r="J518" s="1332" t="s">
        <v>3489</v>
      </c>
      <c r="K518" s="17"/>
    </row>
    <row r="519" spans="2:11" s="840" customFormat="1" ht="72" customHeight="1" x14ac:dyDescent="0.35">
      <c r="B519" s="2986"/>
      <c r="C519" s="2900" t="s">
        <v>4237</v>
      </c>
      <c r="D519" s="2900"/>
      <c r="E519" s="2901" t="s">
        <v>4238</v>
      </c>
      <c r="F519" s="2904" t="s">
        <v>4239</v>
      </c>
      <c r="G519" s="1338" t="s">
        <v>4240</v>
      </c>
      <c r="H519" s="1338" t="s">
        <v>4241</v>
      </c>
      <c r="I519" s="1338" t="s">
        <v>4242</v>
      </c>
      <c r="J519" s="2901" t="s">
        <v>4243</v>
      </c>
      <c r="K519" s="17"/>
    </row>
    <row r="520" spans="2:11" s="840" customFormat="1" ht="149.25" thickBot="1" x14ac:dyDescent="0.4">
      <c r="B520" s="2986"/>
      <c r="C520" s="1329" t="s">
        <v>4121</v>
      </c>
      <c r="D520" s="1330">
        <v>70</v>
      </c>
      <c r="E520" s="2903"/>
      <c r="F520" s="2906"/>
      <c r="G520" s="1339" t="s">
        <v>4244</v>
      </c>
      <c r="H520" s="1339" t="s">
        <v>4245</v>
      </c>
      <c r="I520" s="17" t="s">
        <v>4246</v>
      </c>
      <c r="J520" s="2903"/>
      <c r="K520" s="17"/>
    </row>
    <row r="521" spans="2:11" s="840" customFormat="1" ht="16.5" x14ac:dyDescent="0.35">
      <c r="B521" s="2986"/>
      <c r="C521" s="2896" t="s">
        <v>4122</v>
      </c>
      <c r="D521" s="2896"/>
      <c r="E521" s="2896"/>
      <c r="F521" s="2896"/>
      <c r="G521" s="2896"/>
      <c r="H521" s="2896"/>
      <c r="I521" s="2896"/>
      <c r="J521" s="2897"/>
      <c r="K521" s="17"/>
    </row>
    <row r="522" spans="2:11" s="840" customFormat="1" ht="57.6" customHeight="1" x14ac:dyDescent="0.35">
      <c r="B522" s="2986"/>
      <c r="C522" s="2894" t="s">
        <v>4247</v>
      </c>
      <c r="D522" s="2894"/>
      <c r="E522" s="2894"/>
      <c r="F522" s="2894"/>
      <c r="G522" s="2894"/>
      <c r="H522" s="2894"/>
      <c r="I522" s="2894"/>
      <c r="J522" s="2895"/>
      <c r="K522" s="17"/>
    </row>
    <row r="523" spans="2:11" s="840" customFormat="1" ht="16.5" x14ac:dyDescent="0.35">
      <c r="B523" s="2986"/>
      <c r="C523" s="2894"/>
      <c r="D523" s="2894"/>
      <c r="E523" s="2894"/>
      <c r="F523" s="2894"/>
      <c r="G523" s="2894"/>
      <c r="H523" s="2894"/>
      <c r="I523" s="2894"/>
      <c r="J523" s="2895"/>
      <c r="K523" s="17"/>
    </row>
    <row r="524" spans="2:11" s="840" customFormat="1" ht="43.15" customHeight="1" x14ac:dyDescent="0.35">
      <c r="B524" s="2986"/>
      <c r="C524" s="2894" t="s">
        <v>4248</v>
      </c>
      <c r="D524" s="2894"/>
      <c r="E524" s="2894"/>
      <c r="F524" s="2894"/>
      <c r="G524" s="2894"/>
      <c r="H524" s="2894"/>
      <c r="I524" s="2894"/>
      <c r="J524" s="2895"/>
      <c r="K524" s="17"/>
    </row>
    <row r="525" spans="2:11" s="840" customFormat="1" ht="16.5" x14ac:dyDescent="0.35">
      <c r="B525" s="2986"/>
      <c r="C525" s="2894"/>
      <c r="D525" s="2894"/>
      <c r="E525" s="2894"/>
      <c r="F525" s="2894"/>
      <c r="G525" s="2894"/>
      <c r="H525" s="2894"/>
      <c r="I525" s="2894"/>
      <c r="J525" s="2895"/>
      <c r="K525" s="17"/>
    </row>
    <row r="526" spans="2:11" s="840" customFormat="1" ht="16.5" x14ac:dyDescent="0.35">
      <c r="B526" s="2986"/>
      <c r="C526" s="2894" t="s">
        <v>4249</v>
      </c>
      <c r="D526" s="2894"/>
      <c r="E526" s="2894"/>
      <c r="F526" s="2894"/>
      <c r="G526" s="2894"/>
      <c r="H526" s="2894"/>
      <c r="I526" s="2894"/>
      <c r="J526" s="2895"/>
      <c r="K526" s="17"/>
    </row>
    <row r="527" spans="2:11" s="840" customFormat="1" ht="17.25" thickBot="1" x14ac:dyDescent="0.4">
      <c r="B527" s="2986"/>
      <c r="C527" s="2972"/>
      <c r="D527" s="2972"/>
      <c r="E527" s="2972"/>
      <c r="F527" s="2972"/>
      <c r="G527" s="2972"/>
      <c r="H527" s="2972"/>
      <c r="I527" s="2972"/>
      <c r="J527" s="2973"/>
      <c r="K527" s="17"/>
    </row>
    <row r="528" spans="2:11" s="840" customFormat="1" ht="16.5" x14ac:dyDescent="0.35">
      <c r="B528" s="2986"/>
      <c r="C528" s="2896" t="s">
        <v>4128</v>
      </c>
      <c r="D528" s="2896"/>
      <c r="E528" s="2896"/>
      <c r="F528" s="2896"/>
      <c r="G528" s="2896"/>
      <c r="H528" s="2896"/>
      <c r="I528" s="2896"/>
      <c r="J528" s="2897"/>
      <c r="K528" s="17"/>
    </row>
    <row r="529" spans="2:11" s="840" customFormat="1" ht="43.15" customHeight="1" x14ac:dyDescent="0.35">
      <c r="B529" s="2986"/>
      <c r="C529" s="2894" t="s">
        <v>4250</v>
      </c>
      <c r="D529" s="2894"/>
      <c r="E529" s="2894"/>
      <c r="F529" s="2894"/>
      <c r="G529" s="2894"/>
      <c r="H529" s="2894"/>
      <c r="I529" s="2894"/>
      <c r="J529" s="2895"/>
      <c r="K529" s="17"/>
    </row>
    <row r="530" spans="2:11" s="840" customFormat="1" ht="16.5" x14ac:dyDescent="0.35">
      <c r="B530" s="2986"/>
      <c r="C530" s="2894"/>
      <c r="D530" s="2894"/>
      <c r="E530" s="2894"/>
      <c r="F530" s="2894"/>
      <c r="G530" s="2894"/>
      <c r="H530" s="2894"/>
      <c r="I530" s="2894"/>
      <c r="J530" s="2895"/>
      <c r="K530" s="17"/>
    </row>
    <row r="531" spans="2:11" s="840" customFormat="1" ht="16.5" x14ac:dyDescent="0.35">
      <c r="B531" s="2986"/>
      <c r="C531" s="2894"/>
      <c r="D531" s="2894"/>
      <c r="E531" s="2894"/>
      <c r="F531" s="2894"/>
      <c r="G531" s="2894"/>
      <c r="H531" s="2894"/>
      <c r="I531" s="2894"/>
      <c r="J531" s="2895"/>
      <c r="K531" s="17"/>
    </row>
    <row r="532" spans="2:11" s="840" customFormat="1" ht="28.9" customHeight="1" x14ac:dyDescent="0.35">
      <c r="B532" s="2986"/>
      <c r="C532" s="2894" t="s">
        <v>4251</v>
      </c>
      <c r="D532" s="2894"/>
      <c r="E532" s="2894"/>
      <c r="F532" s="2894"/>
      <c r="G532" s="2894"/>
      <c r="H532" s="2894"/>
      <c r="I532" s="2894"/>
      <c r="J532" s="2895"/>
      <c r="K532" s="17"/>
    </row>
    <row r="533" spans="2:11" s="840" customFormat="1" ht="16.5" x14ac:dyDescent="0.35">
      <c r="B533" s="2986"/>
      <c r="C533" s="2894"/>
      <c r="D533" s="2894"/>
      <c r="E533" s="2894"/>
      <c r="F533" s="2894"/>
      <c r="G533" s="2894"/>
      <c r="H533" s="2894"/>
      <c r="I533" s="2894"/>
      <c r="J533" s="2895"/>
      <c r="K533" s="17"/>
    </row>
    <row r="534" spans="2:11" s="840" customFormat="1" ht="16.5" x14ac:dyDescent="0.35">
      <c r="B534" s="2986"/>
      <c r="C534" s="2894" t="s">
        <v>4252</v>
      </c>
      <c r="D534" s="2894"/>
      <c r="E534" s="2894"/>
      <c r="F534" s="2894"/>
      <c r="G534" s="2894"/>
      <c r="H534" s="2894"/>
      <c r="I534" s="2894"/>
      <c r="J534" s="2895"/>
      <c r="K534" s="17"/>
    </row>
    <row r="535" spans="2:11" s="840" customFormat="1" ht="17.25" thickBot="1" x14ac:dyDescent="0.4">
      <c r="B535" s="2986"/>
      <c r="C535" s="2943"/>
      <c r="D535" s="2943"/>
      <c r="E535" s="2943"/>
      <c r="F535" s="2943"/>
      <c r="G535" s="2943"/>
      <c r="H535" s="2943"/>
      <c r="I535" s="2943"/>
      <c r="J535" s="2944"/>
      <c r="K535" s="17"/>
    </row>
    <row r="536" spans="2:11" s="840" customFormat="1" ht="175.15" customHeight="1" thickTop="1" x14ac:dyDescent="0.35">
      <c r="B536" s="2986"/>
      <c r="C536" s="2900" t="s">
        <v>4253</v>
      </c>
      <c r="D536" s="2900"/>
      <c r="E536" s="2969" t="s">
        <v>4254</v>
      </c>
      <c r="F536" s="2968" t="s">
        <v>4255</v>
      </c>
      <c r="G536" s="2968" t="s">
        <v>4256</v>
      </c>
      <c r="H536" s="2969" t="s">
        <v>4257</v>
      </c>
      <c r="I536" s="2900" t="s">
        <v>4258</v>
      </c>
      <c r="J536" s="2900" t="s">
        <v>4259</v>
      </c>
      <c r="K536" s="17"/>
    </row>
    <row r="537" spans="2:11" s="840" customFormat="1" ht="17.25" thickBot="1" x14ac:dyDescent="0.4">
      <c r="B537" s="2986"/>
      <c r="C537" s="1329" t="s">
        <v>4121</v>
      </c>
      <c r="D537" s="1330">
        <v>70</v>
      </c>
      <c r="E537" s="2903"/>
      <c r="F537" s="2906"/>
      <c r="G537" s="2906"/>
      <c r="H537" s="2903"/>
      <c r="I537" s="2900"/>
      <c r="J537" s="2900"/>
      <c r="K537" s="17"/>
    </row>
    <row r="538" spans="2:11" s="840" customFormat="1" ht="16.5" x14ac:dyDescent="0.35">
      <c r="B538" s="2986"/>
      <c r="C538" s="2896" t="s">
        <v>4122</v>
      </c>
      <c r="D538" s="2896"/>
      <c r="E538" s="2896"/>
      <c r="F538" s="2896"/>
      <c r="G538" s="2896"/>
      <c r="H538" s="2896"/>
      <c r="I538" s="2896"/>
      <c r="J538" s="2897"/>
      <c r="K538" s="17"/>
    </row>
    <row r="539" spans="2:11" s="840" customFormat="1" ht="28.9" customHeight="1" x14ac:dyDescent="0.35">
      <c r="B539" s="2986"/>
      <c r="C539" s="2894" t="s">
        <v>4260</v>
      </c>
      <c r="D539" s="2894"/>
      <c r="E539" s="2894"/>
      <c r="F539" s="2894"/>
      <c r="G539" s="2894"/>
      <c r="H539" s="2894"/>
      <c r="I539" s="2894"/>
      <c r="J539" s="2895"/>
      <c r="K539" s="17"/>
    </row>
    <row r="540" spans="2:11" s="840" customFormat="1" ht="16.5" x14ac:dyDescent="0.35">
      <c r="B540" s="2986"/>
      <c r="C540" s="2894"/>
      <c r="D540" s="2894"/>
      <c r="E540" s="2894"/>
      <c r="F540" s="2894"/>
      <c r="G540" s="2894"/>
      <c r="H540" s="2894"/>
      <c r="I540" s="2894"/>
      <c r="J540" s="2895"/>
      <c r="K540" s="17"/>
    </row>
    <row r="541" spans="2:11" s="840" customFormat="1" ht="16.5" x14ac:dyDescent="0.35">
      <c r="B541" s="2986"/>
      <c r="C541" s="2894" t="s">
        <v>4261</v>
      </c>
      <c r="D541" s="2894"/>
      <c r="E541" s="2894"/>
      <c r="F541" s="2894"/>
      <c r="G541" s="2894"/>
      <c r="H541" s="2894"/>
      <c r="I541" s="2894"/>
      <c r="J541" s="2895"/>
      <c r="K541" s="17"/>
    </row>
    <row r="542" spans="2:11" s="840" customFormat="1" ht="43.15" customHeight="1" x14ac:dyDescent="0.35">
      <c r="B542" s="2986"/>
      <c r="C542" s="2894" t="s">
        <v>4262</v>
      </c>
      <c r="D542" s="2894"/>
      <c r="E542" s="2894"/>
      <c r="F542" s="2894"/>
      <c r="G542" s="2894"/>
      <c r="H542" s="2894"/>
      <c r="I542" s="2894"/>
      <c r="J542" s="2895"/>
      <c r="K542" s="17"/>
    </row>
    <row r="543" spans="2:11" s="840" customFormat="1" ht="16.5" x14ac:dyDescent="0.35">
      <c r="B543" s="2986"/>
      <c r="C543" s="2894"/>
      <c r="D543" s="2894"/>
      <c r="E543" s="2894"/>
      <c r="F543" s="2894"/>
      <c r="G543" s="2894"/>
      <c r="H543" s="2894"/>
      <c r="I543" s="2894"/>
      <c r="J543" s="2895"/>
      <c r="K543" s="17"/>
    </row>
    <row r="544" spans="2:11" s="840" customFormat="1" ht="16.5" x14ac:dyDescent="0.35">
      <c r="B544" s="2986"/>
      <c r="C544" s="2894" t="s">
        <v>4263</v>
      </c>
      <c r="D544" s="2894"/>
      <c r="E544" s="2894"/>
      <c r="F544" s="2894"/>
      <c r="G544" s="2894"/>
      <c r="H544" s="2894"/>
      <c r="I544" s="2894"/>
      <c r="J544" s="2895"/>
      <c r="K544" s="17"/>
    </row>
    <row r="545" spans="2:11" s="840" customFormat="1" ht="17.25" thickBot="1" x14ac:dyDescent="0.4">
      <c r="B545" s="2986"/>
      <c r="C545" s="2890"/>
      <c r="D545" s="2890"/>
      <c r="E545" s="2890"/>
      <c r="F545" s="2890"/>
      <c r="G545" s="2890"/>
      <c r="H545" s="2890"/>
      <c r="I545" s="2890"/>
      <c r="J545" s="2891"/>
      <c r="K545" s="17"/>
    </row>
    <row r="546" spans="2:11" s="840" customFormat="1" ht="16.5" x14ac:dyDescent="0.35">
      <c r="B546" s="2986"/>
      <c r="C546" s="2896" t="s">
        <v>4128</v>
      </c>
      <c r="D546" s="2896"/>
      <c r="E546" s="2896"/>
      <c r="F546" s="2896"/>
      <c r="G546" s="2896"/>
      <c r="H546" s="2896"/>
      <c r="I546" s="2896"/>
      <c r="J546" s="2897"/>
      <c r="K546" s="17"/>
    </row>
    <row r="547" spans="2:11" s="840" customFormat="1" ht="28.9" customHeight="1" x14ac:dyDescent="0.35">
      <c r="B547" s="2986"/>
      <c r="C547" s="2894" t="s">
        <v>4264</v>
      </c>
      <c r="D547" s="2894"/>
      <c r="E547" s="2894"/>
      <c r="F547" s="2894"/>
      <c r="G547" s="2894"/>
      <c r="H547" s="2894"/>
      <c r="I547" s="2894"/>
      <c r="J547" s="2895"/>
      <c r="K547" s="17"/>
    </row>
    <row r="548" spans="2:11" s="840" customFormat="1" ht="17.25" thickBot="1" x14ac:dyDescent="0.4">
      <c r="B548" s="2986"/>
      <c r="C548" s="2890" t="s">
        <v>4265</v>
      </c>
      <c r="D548" s="2890"/>
      <c r="E548" s="2890"/>
      <c r="F548" s="2890"/>
      <c r="G548" s="2890"/>
      <c r="H548" s="2890"/>
      <c r="I548" s="2890"/>
      <c r="J548" s="2891"/>
      <c r="K548" s="17"/>
    </row>
    <row r="549" spans="2:11" s="840" customFormat="1" ht="16.5" x14ac:dyDescent="0.35">
      <c r="B549" s="2986"/>
      <c r="C549" s="106"/>
      <c r="D549" s="17"/>
      <c r="E549" s="17"/>
      <c r="F549" s="17"/>
      <c r="G549" s="17"/>
      <c r="H549" s="17"/>
      <c r="I549" s="17"/>
      <c r="J549" s="17"/>
      <c r="K549" s="17"/>
    </row>
    <row r="550" spans="2:11" s="840" customFormat="1" ht="17.25" thickBot="1" x14ac:dyDescent="0.4">
      <c r="B550" s="2986"/>
      <c r="C550" s="106"/>
      <c r="D550" s="17"/>
      <c r="E550" s="17"/>
      <c r="F550" s="17"/>
      <c r="G550" s="17"/>
      <c r="H550" s="17"/>
      <c r="I550" s="17"/>
      <c r="J550" s="17"/>
      <c r="K550" s="17"/>
    </row>
    <row r="551" spans="2:11" s="840" customFormat="1" ht="17.25" thickBot="1" x14ac:dyDescent="0.4">
      <c r="B551" s="2986"/>
      <c r="C551" s="2909"/>
      <c r="D551" s="2910"/>
      <c r="E551" s="1332" t="s">
        <v>3484</v>
      </c>
      <c r="F551" s="1332" t="s">
        <v>3485</v>
      </c>
      <c r="G551" s="1332" t="s">
        <v>4112</v>
      </c>
      <c r="H551" s="1332" t="s">
        <v>4113</v>
      </c>
      <c r="I551" s="1332" t="s">
        <v>3488</v>
      </c>
      <c r="J551" s="2974" t="s">
        <v>3489</v>
      </c>
      <c r="K551" s="2975"/>
    </row>
    <row r="552" spans="2:11" s="840" customFormat="1" ht="133.9" customHeight="1" x14ac:dyDescent="0.35">
      <c r="B552" s="2986"/>
      <c r="C552" s="2900" t="s">
        <v>4266</v>
      </c>
      <c r="D552" s="2900"/>
      <c r="E552" s="2901" t="s">
        <v>4267</v>
      </c>
      <c r="F552" s="2904" t="s">
        <v>4268</v>
      </c>
      <c r="G552" s="2904" t="s">
        <v>4269</v>
      </c>
      <c r="H552" s="2904" t="s">
        <v>4270</v>
      </c>
      <c r="I552" s="2904" t="s">
        <v>4271</v>
      </c>
      <c r="J552" s="2918" t="s">
        <v>4272</v>
      </c>
      <c r="K552" s="2919"/>
    </row>
    <row r="553" spans="2:11" s="840" customFormat="1" ht="17.25" thickBot="1" x14ac:dyDescent="0.4">
      <c r="B553" s="2986"/>
      <c r="C553" s="1329" t="s">
        <v>4121</v>
      </c>
      <c r="D553" s="1330">
        <v>80</v>
      </c>
      <c r="E553" s="2903"/>
      <c r="F553" s="2906"/>
      <c r="G553" s="2906"/>
      <c r="H553" s="2906"/>
      <c r="I553" s="2906"/>
      <c r="J553" s="2920"/>
      <c r="K553" s="2891"/>
    </row>
    <row r="554" spans="2:11" s="840" customFormat="1" ht="16.5" x14ac:dyDescent="0.35">
      <c r="B554" s="2986"/>
      <c r="C554" s="2976" t="s">
        <v>4122</v>
      </c>
      <c r="D554" s="2976"/>
      <c r="E554" s="2976"/>
      <c r="F554" s="2976"/>
      <c r="G554" s="2976"/>
      <c r="H554" s="2976"/>
      <c r="I554" s="2976"/>
      <c r="J554" s="2976"/>
      <c r="K554" s="2977"/>
    </row>
    <row r="555" spans="2:11" s="840" customFormat="1" ht="57.6" customHeight="1" x14ac:dyDescent="0.35">
      <c r="B555" s="2986"/>
      <c r="C555" s="2894" t="s">
        <v>4273</v>
      </c>
      <c r="D555" s="2894"/>
      <c r="E555" s="2894"/>
      <c r="F555" s="2894"/>
      <c r="G555" s="2894"/>
      <c r="H555" s="2894"/>
      <c r="I555" s="2894"/>
      <c r="J555" s="2894"/>
      <c r="K555" s="2895"/>
    </row>
    <row r="556" spans="2:11" s="840" customFormat="1" ht="16.5" x14ac:dyDescent="0.35">
      <c r="B556" s="2986"/>
      <c r="C556" s="2894"/>
      <c r="D556" s="2894"/>
      <c r="E556" s="2894"/>
      <c r="F556" s="2894"/>
      <c r="G556" s="2894"/>
      <c r="H556" s="2894"/>
      <c r="I556" s="2894"/>
      <c r="J556" s="2894"/>
      <c r="K556" s="2895"/>
    </row>
    <row r="557" spans="2:11" s="840" customFormat="1" ht="57.6" customHeight="1" x14ac:dyDescent="0.35">
      <c r="B557" s="2986"/>
      <c r="C557" s="2894" t="s">
        <v>4274</v>
      </c>
      <c r="D557" s="2894"/>
      <c r="E557" s="2894"/>
      <c r="F557" s="2894"/>
      <c r="G557" s="2894"/>
      <c r="H557" s="2894"/>
      <c r="I557" s="2894"/>
      <c r="J557" s="2894"/>
      <c r="K557" s="2895"/>
    </row>
    <row r="558" spans="2:11" s="840" customFormat="1" ht="16.5" x14ac:dyDescent="0.35">
      <c r="B558" s="2986"/>
      <c r="C558" s="2894"/>
      <c r="D558" s="2894"/>
      <c r="E558" s="2894"/>
      <c r="F558" s="2894"/>
      <c r="G558" s="2894"/>
      <c r="H558" s="2894"/>
      <c r="I558" s="2894"/>
      <c r="J558" s="2894"/>
      <c r="K558" s="2895"/>
    </row>
    <row r="559" spans="2:11" s="840" customFormat="1" ht="28.9" customHeight="1" x14ac:dyDescent="0.35">
      <c r="B559" s="2986"/>
      <c r="C559" s="2894" t="s">
        <v>4275</v>
      </c>
      <c r="D559" s="2894"/>
      <c r="E559" s="2894"/>
      <c r="F559" s="2894"/>
      <c r="G559" s="2894"/>
      <c r="H559" s="2894"/>
      <c r="I559" s="2894"/>
      <c r="J559" s="2894"/>
      <c r="K559" s="2895"/>
    </row>
    <row r="560" spans="2:11" s="840" customFormat="1" ht="17.25" thickBot="1" x14ac:dyDescent="0.4">
      <c r="B560" s="2986"/>
      <c r="C560" s="2960" t="s">
        <v>626</v>
      </c>
      <c r="D560" s="2960"/>
      <c r="E560" s="2960"/>
      <c r="F560" s="2960"/>
      <c r="G560" s="2960"/>
      <c r="H560" s="2960"/>
      <c r="I560" s="2960"/>
      <c r="J560" s="2960"/>
      <c r="K560" s="2961"/>
    </row>
    <row r="561" spans="2:11" s="840" customFormat="1" ht="16.5" x14ac:dyDescent="0.35">
      <c r="B561" s="2986"/>
      <c r="C561" s="2896" t="s">
        <v>4230</v>
      </c>
      <c r="D561" s="2896"/>
      <c r="E561" s="2896"/>
      <c r="F561" s="2896"/>
      <c r="G561" s="2896"/>
      <c r="H561" s="2896"/>
      <c r="I561" s="2896"/>
      <c r="J561" s="2896"/>
      <c r="K561" s="2897"/>
    </row>
    <row r="562" spans="2:11" s="840" customFormat="1" ht="16.5" x14ac:dyDescent="0.35">
      <c r="B562" s="2986"/>
      <c r="C562" s="2894" t="s">
        <v>4276</v>
      </c>
      <c r="D562" s="2894"/>
      <c r="E562" s="2894"/>
      <c r="F562" s="2894"/>
      <c r="G562" s="2894"/>
      <c r="H562" s="2894"/>
      <c r="I562" s="2894"/>
      <c r="J562" s="2894"/>
      <c r="K562" s="2895"/>
    </row>
    <row r="563" spans="2:11" s="840" customFormat="1" ht="16.5" x14ac:dyDescent="0.35">
      <c r="B563" s="2986"/>
      <c r="C563" s="2894" t="s">
        <v>4277</v>
      </c>
      <c r="D563" s="2894"/>
      <c r="E563" s="2894"/>
      <c r="F563" s="2894"/>
      <c r="G563" s="2894"/>
      <c r="H563" s="2894"/>
      <c r="I563" s="2894"/>
      <c r="J563" s="2894"/>
      <c r="K563" s="2895"/>
    </row>
    <row r="564" spans="2:11" s="840" customFormat="1" ht="17.25" thickBot="1" x14ac:dyDescent="0.4">
      <c r="B564" s="2986"/>
      <c r="C564" s="2890"/>
      <c r="D564" s="2890"/>
      <c r="E564" s="2890"/>
      <c r="F564" s="2890"/>
      <c r="G564" s="2890"/>
      <c r="H564" s="2890"/>
      <c r="I564" s="2890"/>
      <c r="J564" s="2890"/>
      <c r="K564" s="2891"/>
    </row>
    <row r="565" spans="2:11" s="840" customFormat="1" ht="16.5" x14ac:dyDescent="0.35">
      <c r="B565" s="2986"/>
      <c r="C565" s="2896" t="s">
        <v>4128</v>
      </c>
      <c r="D565" s="2896"/>
      <c r="E565" s="2896"/>
      <c r="F565" s="2896"/>
      <c r="G565" s="2896"/>
      <c r="H565" s="2896"/>
      <c r="I565" s="2896"/>
      <c r="J565" s="2896"/>
      <c r="K565" s="2897"/>
    </row>
    <row r="566" spans="2:11" s="840" customFormat="1" ht="28.9" customHeight="1" x14ac:dyDescent="0.35">
      <c r="B566" s="2986"/>
      <c r="C566" s="2894" t="s">
        <v>4278</v>
      </c>
      <c r="D566" s="2894"/>
      <c r="E566" s="2894"/>
      <c r="F566" s="2894"/>
      <c r="G566" s="2894"/>
      <c r="H566" s="2894"/>
      <c r="I566" s="2894"/>
      <c r="J566" s="2894"/>
      <c r="K566" s="2895"/>
    </row>
    <row r="567" spans="2:11" s="840" customFormat="1" ht="28.9" customHeight="1" x14ac:dyDescent="0.35">
      <c r="B567" s="2986"/>
      <c r="C567" s="2894" t="s">
        <v>4279</v>
      </c>
      <c r="D567" s="2894"/>
      <c r="E567" s="2894"/>
      <c r="F567" s="2894"/>
      <c r="G567" s="2894"/>
      <c r="H567" s="2894"/>
      <c r="I567" s="2894"/>
      <c r="J567" s="2894"/>
      <c r="K567" s="2895"/>
    </row>
    <row r="568" spans="2:11" s="840" customFormat="1" ht="16.5" x14ac:dyDescent="0.35">
      <c r="B568" s="2986"/>
      <c r="C568" s="2894" t="s">
        <v>4280</v>
      </c>
      <c r="D568" s="2894"/>
      <c r="E568" s="2894"/>
      <c r="F568" s="2894"/>
      <c r="G568" s="2894"/>
      <c r="H568" s="2894"/>
      <c r="I568" s="2894"/>
      <c r="J568" s="2894"/>
      <c r="K568" s="2895"/>
    </row>
    <row r="569" spans="2:11" s="840" customFormat="1" ht="17.25" thickBot="1" x14ac:dyDescent="0.4">
      <c r="B569" s="2986"/>
      <c r="C569" s="2943"/>
      <c r="D569" s="2943"/>
      <c r="E569" s="2943"/>
      <c r="F569" s="2943"/>
      <c r="G569" s="2943"/>
      <c r="H569" s="2943"/>
      <c r="I569" s="2943"/>
      <c r="J569" s="2943"/>
      <c r="K569" s="2944"/>
    </row>
    <row r="570" spans="2:11" s="840" customFormat="1" ht="18" thickTop="1" thickBot="1" x14ac:dyDescent="0.4">
      <c r="B570" s="2986"/>
      <c r="C570" s="2956" t="s">
        <v>4281</v>
      </c>
      <c r="D570" s="2956"/>
      <c r="E570" s="2956"/>
      <c r="F570" s="2956"/>
      <c r="G570" s="2956"/>
      <c r="H570" s="2956"/>
      <c r="I570" s="2956"/>
      <c r="J570" s="2956"/>
      <c r="K570" s="2957"/>
    </row>
    <row r="571" spans="2:11" s="840" customFormat="1" ht="120" customHeight="1" thickBot="1" x14ac:dyDescent="0.4">
      <c r="B571" s="2986"/>
      <c r="C571" s="2929" t="s">
        <v>4282</v>
      </c>
      <c r="D571" s="2930"/>
      <c r="E571" s="2901" t="s">
        <v>4283</v>
      </c>
      <c r="F571" s="2901" t="s">
        <v>4207</v>
      </c>
      <c r="G571" s="2900" t="s">
        <v>4284</v>
      </c>
      <c r="H571" s="2904" t="s">
        <v>4209</v>
      </c>
      <c r="I571" s="2918" t="s">
        <v>4210</v>
      </c>
      <c r="J571" s="2919"/>
      <c r="K571" s="2904" t="s">
        <v>4211</v>
      </c>
    </row>
    <row r="572" spans="2:11" s="840" customFormat="1" ht="17.25" thickBot="1" x14ac:dyDescent="0.4">
      <c r="B572" s="2986"/>
      <c r="C572" s="1329" t="s">
        <v>4121</v>
      </c>
      <c r="D572" s="1330">
        <v>50</v>
      </c>
      <c r="E572" s="2903"/>
      <c r="F572" s="2903"/>
      <c r="G572" s="2900"/>
      <c r="H572" s="2906"/>
      <c r="I572" s="2920"/>
      <c r="J572" s="2891"/>
      <c r="K572" s="2906"/>
    </row>
    <row r="573" spans="2:11" s="840" customFormat="1" ht="16.5" x14ac:dyDescent="0.35">
      <c r="B573" s="2986"/>
      <c r="C573" s="2896" t="s">
        <v>4122</v>
      </c>
      <c r="D573" s="2896"/>
      <c r="E573" s="2896"/>
      <c r="F573" s="2896"/>
      <c r="G573" s="2896"/>
      <c r="H573" s="2896"/>
      <c r="I573" s="2896"/>
      <c r="J573" s="2896"/>
      <c r="K573" s="2897"/>
    </row>
    <row r="574" spans="2:11" s="840" customFormat="1" ht="16.5" x14ac:dyDescent="0.35">
      <c r="B574" s="2986"/>
      <c r="C574" s="2894" t="s">
        <v>4285</v>
      </c>
      <c r="D574" s="2894"/>
      <c r="E574" s="2894"/>
      <c r="F574" s="2894"/>
      <c r="G574" s="2894"/>
      <c r="H574" s="2894"/>
      <c r="I574" s="2894"/>
      <c r="J574" s="2894"/>
      <c r="K574" s="2895"/>
    </row>
    <row r="575" spans="2:11" s="840" customFormat="1" ht="72" customHeight="1" x14ac:dyDescent="0.35">
      <c r="B575" s="2986"/>
      <c r="C575" s="2894" t="s">
        <v>4286</v>
      </c>
      <c r="D575" s="2894"/>
      <c r="E575" s="2894"/>
      <c r="F575" s="2894"/>
      <c r="G575" s="2894"/>
      <c r="H575" s="2894"/>
      <c r="I575" s="2894"/>
      <c r="J575" s="2894"/>
      <c r="K575" s="2895"/>
    </row>
    <row r="576" spans="2:11" s="840" customFormat="1" ht="17.25" thickBot="1" x14ac:dyDescent="0.4">
      <c r="B576" s="2986"/>
      <c r="C576" s="2890"/>
      <c r="D576" s="2890"/>
      <c r="E576" s="2890"/>
      <c r="F576" s="2890"/>
      <c r="G576" s="2890"/>
      <c r="H576" s="2890"/>
      <c r="I576" s="2890"/>
      <c r="J576" s="2890"/>
      <c r="K576" s="2891"/>
    </row>
    <row r="577" spans="2:11" s="840" customFormat="1" ht="16.5" x14ac:dyDescent="0.35">
      <c r="B577" s="2986"/>
      <c r="C577" s="2896" t="s">
        <v>4128</v>
      </c>
      <c r="D577" s="2896"/>
      <c r="E577" s="2896"/>
      <c r="F577" s="2896"/>
      <c r="G577" s="2896"/>
      <c r="H577" s="2896"/>
      <c r="I577" s="2896"/>
      <c r="J577" s="2896"/>
      <c r="K577" s="2897"/>
    </row>
    <row r="578" spans="2:11" s="840" customFormat="1" ht="43.15" customHeight="1" x14ac:dyDescent="0.35">
      <c r="B578" s="2986"/>
      <c r="C578" s="2894" t="s">
        <v>4287</v>
      </c>
      <c r="D578" s="2894"/>
      <c r="E578" s="2894"/>
      <c r="F578" s="2894"/>
      <c r="G578" s="2894"/>
      <c r="H578" s="2894"/>
      <c r="I578" s="2894"/>
      <c r="J578" s="2894"/>
      <c r="K578" s="2895"/>
    </row>
    <row r="579" spans="2:11" s="840" customFormat="1" ht="16.5" x14ac:dyDescent="0.35">
      <c r="B579" s="2986"/>
      <c r="C579" s="2894"/>
      <c r="D579" s="2894"/>
      <c r="E579" s="2894"/>
      <c r="F579" s="2894"/>
      <c r="G579" s="2894"/>
      <c r="H579" s="2894"/>
      <c r="I579" s="2894"/>
      <c r="J579" s="2894"/>
      <c r="K579" s="2895"/>
    </row>
    <row r="580" spans="2:11" s="840" customFormat="1" ht="17.25" thickBot="1" x14ac:dyDescent="0.4">
      <c r="B580" s="2986"/>
      <c r="C580" s="2890" t="s">
        <v>4288</v>
      </c>
      <c r="D580" s="2890"/>
      <c r="E580" s="2890"/>
      <c r="F580" s="2890"/>
      <c r="G580" s="2890"/>
      <c r="H580" s="2890"/>
      <c r="I580" s="2890"/>
      <c r="J580" s="2890"/>
      <c r="K580" s="2891"/>
    </row>
    <row r="581" spans="2:11" s="840" customFormat="1" ht="16.5" x14ac:dyDescent="0.35">
      <c r="B581" s="2986"/>
      <c r="C581" s="1333"/>
      <c r="D581" s="1333"/>
      <c r="E581" s="1333"/>
      <c r="F581" s="1333"/>
      <c r="G581" s="1333"/>
      <c r="H581" s="1333"/>
      <c r="I581" s="1333"/>
      <c r="J581" s="1333"/>
      <c r="K581" s="1333"/>
    </row>
    <row r="582" spans="2:11" s="840" customFormat="1" ht="16.5" x14ac:dyDescent="0.35">
      <c r="B582" s="2986"/>
      <c r="C582" s="106"/>
      <c r="D582" s="17"/>
      <c r="E582" s="17"/>
      <c r="F582" s="17"/>
      <c r="G582" s="17"/>
      <c r="H582" s="17"/>
      <c r="I582" s="17"/>
      <c r="J582" s="17"/>
      <c r="K582" s="17"/>
    </row>
    <row r="583" spans="2:11" s="840" customFormat="1" ht="16.5" x14ac:dyDescent="0.35">
      <c r="B583" s="2986"/>
      <c r="C583" s="106"/>
      <c r="D583" s="17"/>
      <c r="E583" s="17"/>
      <c r="F583" s="17"/>
      <c r="G583" s="17"/>
      <c r="H583" s="17"/>
      <c r="I583" s="17"/>
      <c r="J583" s="17"/>
      <c r="K583" s="17"/>
    </row>
    <row r="584" spans="2:11" s="840" customFormat="1" ht="16.5" x14ac:dyDescent="0.35">
      <c r="B584" s="2986"/>
      <c r="C584" s="106"/>
      <c r="D584" s="17"/>
      <c r="E584" s="17"/>
      <c r="F584" s="17"/>
      <c r="G584" s="17"/>
      <c r="H584" s="17"/>
      <c r="I584" s="17"/>
      <c r="J584" s="17"/>
      <c r="K584" s="17"/>
    </row>
    <row r="585" spans="2:11" s="840" customFormat="1" ht="17.25" thickBot="1" x14ac:dyDescent="0.4">
      <c r="B585" s="2986"/>
      <c r="C585" s="106"/>
      <c r="D585" s="17"/>
      <c r="E585" s="17"/>
      <c r="F585" s="17"/>
      <c r="G585" s="17"/>
      <c r="H585" s="17"/>
      <c r="I585" s="17"/>
      <c r="J585" s="17"/>
      <c r="K585" s="17"/>
    </row>
    <row r="586" spans="2:11" s="840" customFormat="1" ht="17.25" thickBot="1" x14ac:dyDescent="0.4">
      <c r="B586" s="2986"/>
      <c r="C586" s="2909"/>
      <c r="D586" s="2910"/>
      <c r="E586" s="1332" t="s">
        <v>3484</v>
      </c>
      <c r="F586" s="1332" t="s">
        <v>3485</v>
      </c>
      <c r="G586" s="1332" t="s">
        <v>4112</v>
      </c>
      <c r="H586" s="1332" t="s">
        <v>4113</v>
      </c>
      <c r="I586" s="1332" t="s">
        <v>3488</v>
      </c>
      <c r="J586" s="2974" t="s">
        <v>3489</v>
      </c>
      <c r="K586" s="2975"/>
    </row>
    <row r="587" spans="2:11" s="840" customFormat="1" ht="71.45" customHeight="1" thickBot="1" x14ac:dyDescent="0.4">
      <c r="B587" s="2986"/>
      <c r="C587" s="2929" t="s">
        <v>4289</v>
      </c>
      <c r="D587" s="2930"/>
      <c r="E587" s="2901" t="s">
        <v>4290</v>
      </c>
      <c r="F587" s="2904" t="s">
        <v>4291</v>
      </c>
      <c r="G587" s="1338" t="s">
        <v>4240</v>
      </c>
      <c r="H587" s="1338" t="s">
        <v>4241</v>
      </c>
      <c r="I587" s="1338" t="s">
        <v>4242</v>
      </c>
      <c r="J587" s="2915" t="s">
        <v>4292</v>
      </c>
      <c r="K587" s="2897"/>
    </row>
    <row r="588" spans="2:11" s="840" customFormat="1" ht="116.25" thickBot="1" x14ac:dyDescent="0.4">
      <c r="B588" s="2986"/>
      <c r="C588" s="1329" t="s">
        <v>4121</v>
      </c>
      <c r="D588" s="1330">
        <v>70</v>
      </c>
      <c r="E588" s="2903"/>
      <c r="F588" s="2906"/>
      <c r="G588" s="1339" t="s">
        <v>4293</v>
      </c>
      <c r="H588" s="1339" t="s">
        <v>4294</v>
      </c>
      <c r="I588" s="17" t="s">
        <v>4295</v>
      </c>
      <c r="J588" s="2916"/>
      <c r="K588" s="2917"/>
    </row>
    <row r="589" spans="2:11" s="840" customFormat="1" ht="16.5" x14ac:dyDescent="0.35">
      <c r="B589" s="2986"/>
      <c r="C589" s="2896" t="s">
        <v>4160</v>
      </c>
      <c r="D589" s="2896"/>
      <c r="E589" s="2896"/>
      <c r="F589" s="2896"/>
      <c r="G589" s="2896"/>
      <c r="H589" s="2896"/>
      <c r="I589" s="2896"/>
      <c r="J589" s="2896"/>
      <c r="K589" s="2897"/>
    </row>
    <row r="590" spans="2:11" s="840" customFormat="1" ht="43.15" customHeight="1" x14ac:dyDescent="0.35">
      <c r="B590" s="2986"/>
      <c r="C590" s="2894" t="s">
        <v>4296</v>
      </c>
      <c r="D590" s="2894"/>
      <c r="E590" s="2894"/>
      <c r="F590" s="2894"/>
      <c r="G590" s="2894"/>
      <c r="H590" s="2894"/>
      <c r="I590" s="2894"/>
      <c r="J590" s="2894"/>
      <c r="K590" s="2895"/>
    </row>
    <row r="591" spans="2:11" s="840" customFormat="1" ht="16.5" x14ac:dyDescent="0.35">
      <c r="B591" s="2986"/>
      <c r="C591" s="2970"/>
      <c r="D591" s="2970"/>
      <c r="E591" s="2970"/>
      <c r="F591" s="2970"/>
      <c r="G591" s="2970"/>
      <c r="H591" s="2970"/>
      <c r="I591" s="2970"/>
      <c r="J591" s="2970"/>
      <c r="K591" s="2971"/>
    </row>
    <row r="592" spans="2:11" s="840" customFormat="1" ht="17.25" thickBot="1" x14ac:dyDescent="0.4">
      <c r="B592" s="2986"/>
      <c r="C592" s="2972"/>
      <c r="D592" s="2972"/>
      <c r="E592" s="2972"/>
      <c r="F592" s="2972"/>
      <c r="G592" s="2972"/>
      <c r="H592" s="2972"/>
      <c r="I592" s="2972"/>
      <c r="J592" s="2972"/>
      <c r="K592" s="2973"/>
    </row>
    <row r="593" spans="2:11" s="840" customFormat="1" ht="16.5" x14ac:dyDescent="0.35">
      <c r="B593" s="2986"/>
      <c r="C593" s="2896" t="s">
        <v>4128</v>
      </c>
      <c r="D593" s="2896"/>
      <c r="E593" s="2896"/>
      <c r="F593" s="2896"/>
      <c r="G593" s="2896"/>
      <c r="H593" s="2896"/>
      <c r="I593" s="2896"/>
      <c r="J593" s="2896"/>
      <c r="K593" s="2897"/>
    </row>
    <row r="594" spans="2:11" s="840" customFormat="1" ht="43.15" customHeight="1" x14ac:dyDescent="0.35">
      <c r="B594" s="2986"/>
      <c r="C594" s="2894" t="s">
        <v>4297</v>
      </c>
      <c r="D594" s="2894"/>
      <c r="E594" s="2894"/>
      <c r="F594" s="2894"/>
      <c r="G594" s="2894"/>
      <c r="H594" s="2894"/>
      <c r="I594" s="2894"/>
      <c r="J594" s="2894"/>
      <c r="K594" s="2895"/>
    </row>
    <row r="595" spans="2:11" s="840" customFormat="1" ht="17.25" thickBot="1" x14ac:dyDescent="0.4">
      <c r="B595" s="2986"/>
      <c r="C595" s="2890"/>
      <c r="D595" s="2890"/>
      <c r="E595" s="2890"/>
      <c r="F595" s="2890"/>
      <c r="G595" s="2890"/>
      <c r="H595" s="2890"/>
      <c r="I595" s="2890"/>
      <c r="J595" s="2890"/>
      <c r="K595" s="2891"/>
    </row>
    <row r="596" spans="2:11" s="840" customFormat="1" ht="147.6" customHeight="1" x14ac:dyDescent="0.35">
      <c r="B596" s="2986"/>
      <c r="C596" s="2900" t="s">
        <v>4298</v>
      </c>
      <c r="D596" s="2900"/>
      <c r="E596" s="2904" t="s">
        <v>4299</v>
      </c>
      <c r="F596" s="2900" t="s">
        <v>4300</v>
      </c>
      <c r="G596" s="2901" t="s">
        <v>4301</v>
      </c>
      <c r="H596" s="2904" t="s">
        <v>4302</v>
      </c>
      <c r="I596" s="2900" t="s">
        <v>4303</v>
      </c>
      <c r="J596" s="2900"/>
      <c r="K596" s="2900" t="s">
        <v>4304</v>
      </c>
    </row>
    <row r="597" spans="2:11" s="840" customFormat="1" ht="17.25" thickBot="1" x14ac:dyDescent="0.4">
      <c r="B597" s="2986"/>
      <c r="C597" s="1329" t="s">
        <v>4121</v>
      </c>
      <c r="D597" s="1330">
        <v>30</v>
      </c>
      <c r="E597" s="2906"/>
      <c r="F597" s="2900"/>
      <c r="G597" s="2903"/>
      <c r="H597" s="2906"/>
      <c r="I597" s="2900"/>
      <c r="J597" s="2900"/>
      <c r="K597" s="2900"/>
    </row>
    <row r="598" spans="2:11" s="840" customFormat="1" ht="16.5" x14ac:dyDescent="0.35">
      <c r="B598" s="2986"/>
      <c r="C598" s="2896" t="s">
        <v>4122</v>
      </c>
      <c r="D598" s="2896"/>
      <c r="E598" s="2896"/>
      <c r="F598" s="2896"/>
      <c r="G598" s="2896"/>
      <c r="H598" s="2896"/>
      <c r="I598" s="2896"/>
      <c r="J598" s="2896"/>
      <c r="K598" s="2897"/>
    </row>
    <row r="599" spans="2:11" s="840" customFormat="1" ht="43.15" customHeight="1" x14ac:dyDescent="0.35">
      <c r="B599" s="2986"/>
      <c r="C599" s="2894" t="s">
        <v>4305</v>
      </c>
      <c r="D599" s="2894"/>
      <c r="E599" s="2894"/>
      <c r="F599" s="2894"/>
      <c r="G599" s="2894"/>
      <c r="H599" s="2894"/>
      <c r="I599" s="2894"/>
      <c r="J599" s="2894"/>
      <c r="K599" s="2895"/>
    </row>
    <row r="600" spans="2:11" s="840" customFormat="1" ht="16.5" x14ac:dyDescent="0.35">
      <c r="B600" s="2986"/>
      <c r="C600" s="2894"/>
      <c r="D600" s="2894"/>
      <c r="E600" s="2894"/>
      <c r="F600" s="2894"/>
      <c r="G600" s="2894"/>
      <c r="H600" s="2894"/>
      <c r="I600" s="2894"/>
      <c r="J600" s="2894"/>
      <c r="K600" s="2895"/>
    </row>
    <row r="601" spans="2:11" s="840" customFormat="1" ht="43.15" customHeight="1" x14ac:dyDescent="0.35">
      <c r="B601" s="2986"/>
      <c r="C601" s="2894" t="s">
        <v>4306</v>
      </c>
      <c r="D601" s="2894"/>
      <c r="E601" s="2894"/>
      <c r="F601" s="2894"/>
      <c r="G601" s="2894"/>
      <c r="H601" s="2894"/>
      <c r="I601" s="2894"/>
      <c r="J601" s="2894"/>
      <c r="K601" s="2895"/>
    </row>
    <row r="602" spans="2:11" s="840" customFormat="1" ht="16.5" x14ac:dyDescent="0.35">
      <c r="B602" s="2986"/>
      <c r="C602" s="2894"/>
      <c r="D602" s="2894"/>
      <c r="E602" s="2894"/>
      <c r="F602" s="2894"/>
      <c r="G602" s="2894"/>
      <c r="H602" s="2894"/>
      <c r="I602" s="2894"/>
      <c r="J602" s="2894"/>
      <c r="K602" s="2895"/>
    </row>
    <row r="603" spans="2:11" s="840" customFormat="1" ht="17.25" thickBot="1" x14ac:dyDescent="0.4">
      <c r="B603" s="2986"/>
      <c r="C603" s="2890" t="s">
        <v>4307</v>
      </c>
      <c r="D603" s="2890"/>
      <c r="E603" s="2890"/>
      <c r="F603" s="2890"/>
      <c r="G603" s="2890"/>
      <c r="H603" s="2890"/>
      <c r="I603" s="2890"/>
      <c r="J603" s="2890"/>
      <c r="K603" s="2891"/>
    </row>
    <row r="604" spans="2:11" s="840" customFormat="1" ht="16.5" x14ac:dyDescent="0.35">
      <c r="B604" s="2986"/>
      <c r="C604" s="2896" t="s">
        <v>4128</v>
      </c>
      <c r="D604" s="2896"/>
      <c r="E604" s="2896"/>
      <c r="F604" s="2896"/>
      <c r="G604" s="2896"/>
      <c r="H604" s="2896"/>
      <c r="I604" s="2896"/>
      <c r="J604" s="2896"/>
      <c r="K604" s="2897"/>
    </row>
    <row r="605" spans="2:11" s="840" customFormat="1" ht="28.9" customHeight="1" x14ac:dyDescent="0.35">
      <c r="B605" s="2986"/>
      <c r="C605" s="2894" t="s">
        <v>4308</v>
      </c>
      <c r="D605" s="2894"/>
      <c r="E605" s="2894"/>
      <c r="F605" s="2894"/>
      <c r="G605" s="2894"/>
      <c r="H605" s="2894"/>
      <c r="I605" s="2894"/>
      <c r="J605" s="2894"/>
      <c r="K605" s="2895"/>
    </row>
    <row r="606" spans="2:11" s="840" customFormat="1" ht="16.5" x14ac:dyDescent="0.35">
      <c r="B606" s="2986"/>
      <c r="C606" s="2894" t="s">
        <v>4309</v>
      </c>
      <c r="D606" s="2894"/>
      <c r="E606" s="2894"/>
      <c r="F606" s="2894"/>
      <c r="G606" s="2894"/>
      <c r="H606" s="2894"/>
      <c r="I606" s="2894"/>
      <c r="J606" s="2894"/>
      <c r="K606" s="2895"/>
    </row>
    <row r="607" spans="2:11" s="840" customFormat="1" ht="16.5" x14ac:dyDescent="0.35">
      <c r="B607" s="2986"/>
      <c r="C607" s="2894" t="s">
        <v>4310</v>
      </c>
      <c r="D607" s="2894"/>
      <c r="E607" s="2894"/>
      <c r="F607" s="2894"/>
      <c r="G607" s="2894"/>
      <c r="H607" s="2894"/>
      <c r="I607" s="2894"/>
      <c r="J607" s="2894"/>
      <c r="K607" s="2895"/>
    </row>
    <row r="608" spans="2:11" s="840" customFormat="1" ht="28.9" customHeight="1" thickBot="1" x14ac:dyDescent="0.4">
      <c r="B608" s="2986"/>
      <c r="C608" s="2890" t="s">
        <v>4311</v>
      </c>
      <c r="D608" s="2890"/>
      <c r="E608" s="2890"/>
      <c r="F608" s="2890"/>
      <c r="G608" s="2890"/>
      <c r="H608" s="2890"/>
      <c r="I608" s="2890"/>
      <c r="J608" s="2890"/>
      <c r="K608" s="2891"/>
    </row>
    <row r="609" spans="2:11" s="840" customFormat="1" ht="16.5" x14ac:dyDescent="0.35">
      <c r="B609" s="2986"/>
      <c r="C609" s="1333"/>
      <c r="D609" s="1333"/>
      <c r="E609" s="1333"/>
      <c r="F609" s="1333"/>
      <c r="G609" s="1333"/>
      <c r="H609" s="1333"/>
      <c r="I609" s="1333"/>
      <c r="J609" s="1333"/>
      <c r="K609" s="1333"/>
    </row>
    <row r="610" spans="2:11" s="840" customFormat="1" ht="16.5" x14ac:dyDescent="0.35">
      <c r="B610" s="2986"/>
      <c r="C610" s="106"/>
      <c r="D610" s="17"/>
      <c r="E610" s="17"/>
      <c r="F610" s="17"/>
      <c r="G610" s="17"/>
      <c r="H610" s="17"/>
      <c r="I610" s="17"/>
      <c r="J610" s="17"/>
      <c r="K610" s="17"/>
    </row>
    <row r="611" spans="2:11" s="840" customFormat="1" ht="16.5" x14ac:dyDescent="0.35">
      <c r="B611" s="2986"/>
      <c r="C611" s="106"/>
      <c r="D611" s="17"/>
      <c r="E611" s="17"/>
      <c r="F611" s="17"/>
      <c r="G611" s="17"/>
      <c r="H611" s="17"/>
      <c r="I611" s="17"/>
      <c r="J611" s="17"/>
      <c r="K611" s="17"/>
    </row>
    <row r="612" spans="2:11" s="840" customFormat="1" ht="16.5" x14ac:dyDescent="0.35">
      <c r="B612" s="2986"/>
      <c r="C612" s="106"/>
      <c r="D612" s="17"/>
      <c r="E612" s="17"/>
      <c r="F612" s="17"/>
      <c r="G612" s="17"/>
      <c r="H612" s="17"/>
      <c r="I612" s="17"/>
      <c r="J612" s="17"/>
      <c r="K612" s="17"/>
    </row>
    <row r="613" spans="2:11" s="840" customFormat="1" ht="17.25" thickBot="1" x14ac:dyDescent="0.4">
      <c r="B613" s="2986"/>
      <c r="C613" s="106"/>
      <c r="D613" s="17"/>
      <c r="E613" s="17"/>
      <c r="F613" s="17"/>
      <c r="G613" s="17"/>
      <c r="H613" s="17"/>
      <c r="I613" s="17"/>
      <c r="J613" s="17"/>
      <c r="K613" s="17"/>
    </row>
    <row r="614" spans="2:11" s="840" customFormat="1" ht="17.25" thickBot="1" x14ac:dyDescent="0.4">
      <c r="B614" s="2986"/>
      <c r="C614" s="2909"/>
      <c r="D614" s="2910"/>
      <c r="E614" s="1332" t="s">
        <v>3484</v>
      </c>
      <c r="F614" s="1332" t="s">
        <v>3485</v>
      </c>
      <c r="G614" s="1332" t="s">
        <v>4112</v>
      </c>
      <c r="H614" s="1332" t="s">
        <v>4113</v>
      </c>
      <c r="I614" s="1332" t="s">
        <v>3488</v>
      </c>
      <c r="J614" s="1332" t="s">
        <v>3489</v>
      </c>
      <c r="K614" s="17"/>
    </row>
    <row r="615" spans="2:11" s="840" customFormat="1" ht="183.6" customHeight="1" x14ac:dyDescent="0.35">
      <c r="B615" s="2986"/>
      <c r="C615" s="2900" t="s">
        <v>4312</v>
      </c>
      <c r="D615" s="2900"/>
      <c r="E615" s="2904" t="s">
        <v>4313</v>
      </c>
      <c r="F615" s="2901" t="s">
        <v>4314</v>
      </c>
      <c r="G615" s="2901" t="s">
        <v>4315</v>
      </c>
      <c r="H615" s="2900" t="s">
        <v>4316</v>
      </c>
      <c r="I615" s="2904" t="s">
        <v>4317</v>
      </c>
      <c r="J615" s="2900" t="s">
        <v>4318</v>
      </c>
      <c r="K615" s="17"/>
    </row>
    <row r="616" spans="2:11" s="840" customFormat="1" ht="17.25" thickBot="1" x14ac:dyDescent="0.4">
      <c r="B616" s="2986"/>
      <c r="C616" s="1329" t="s">
        <v>4121</v>
      </c>
      <c r="D616" s="1330">
        <v>30</v>
      </c>
      <c r="E616" s="2906"/>
      <c r="F616" s="2903"/>
      <c r="G616" s="2903"/>
      <c r="H616" s="2900"/>
      <c r="I616" s="2906"/>
      <c r="J616" s="2900"/>
      <c r="K616" s="17"/>
    </row>
    <row r="617" spans="2:11" s="840" customFormat="1" ht="16.5" x14ac:dyDescent="0.35">
      <c r="B617" s="2986"/>
      <c r="C617" s="2896" t="s">
        <v>4122</v>
      </c>
      <c r="D617" s="2896"/>
      <c r="E617" s="2896"/>
      <c r="F617" s="2896"/>
      <c r="G617" s="2896"/>
      <c r="H617" s="2896"/>
      <c r="I617" s="2896"/>
      <c r="J617" s="2897"/>
      <c r="K617" s="17"/>
    </row>
    <row r="618" spans="2:11" s="840" customFormat="1" ht="43.15" customHeight="1" x14ac:dyDescent="0.35">
      <c r="B618" s="2986"/>
      <c r="C618" s="2894" t="s">
        <v>4319</v>
      </c>
      <c r="D618" s="2894"/>
      <c r="E618" s="2894"/>
      <c r="F618" s="2894"/>
      <c r="G618" s="2894"/>
      <c r="H618" s="2894"/>
      <c r="I618" s="2894"/>
      <c r="J618" s="2895"/>
      <c r="K618" s="17"/>
    </row>
    <row r="619" spans="2:11" s="840" customFormat="1" ht="16.5" x14ac:dyDescent="0.35">
      <c r="B619" s="2986"/>
      <c r="C619" s="2894"/>
      <c r="D619" s="2894"/>
      <c r="E619" s="2894"/>
      <c r="F619" s="2894"/>
      <c r="G619" s="2894"/>
      <c r="H619" s="2894"/>
      <c r="I619" s="2894"/>
      <c r="J619" s="2895"/>
      <c r="K619" s="17"/>
    </row>
    <row r="620" spans="2:11" s="840" customFormat="1" ht="86.45" customHeight="1" x14ac:dyDescent="0.35">
      <c r="B620" s="2986"/>
      <c r="C620" s="2894" t="s">
        <v>4320</v>
      </c>
      <c r="D620" s="2894"/>
      <c r="E620" s="2894"/>
      <c r="F620" s="2894"/>
      <c r="G620" s="2894"/>
      <c r="H620" s="2894"/>
      <c r="I620" s="2894"/>
      <c r="J620" s="2895"/>
      <c r="K620" s="17"/>
    </row>
    <row r="621" spans="2:11" s="840" customFormat="1" ht="17.25" thickBot="1" x14ac:dyDescent="0.4">
      <c r="B621" s="2986"/>
      <c r="C621" s="2890"/>
      <c r="D621" s="2890"/>
      <c r="E621" s="2890"/>
      <c r="F621" s="2890"/>
      <c r="G621" s="2890"/>
      <c r="H621" s="2890"/>
      <c r="I621" s="2890"/>
      <c r="J621" s="2891"/>
      <c r="K621" s="17"/>
    </row>
    <row r="622" spans="2:11" s="840" customFormat="1" ht="16.5" x14ac:dyDescent="0.35">
      <c r="B622" s="2986"/>
      <c r="C622" s="2896" t="s">
        <v>4128</v>
      </c>
      <c r="D622" s="2896"/>
      <c r="E622" s="2896"/>
      <c r="F622" s="2896"/>
      <c r="G622" s="2896"/>
      <c r="H622" s="2896"/>
      <c r="I622" s="2896"/>
      <c r="J622" s="2897"/>
      <c r="K622" s="17"/>
    </row>
    <row r="623" spans="2:11" s="840" customFormat="1" ht="16.5" x14ac:dyDescent="0.35">
      <c r="B623" s="2986"/>
      <c r="C623" s="2894" t="s">
        <v>4321</v>
      </c>
      <c r="D623" s="2894"/>
      <c r="E623" s="2894"/>
      <c r="F623" s="2894"/>
      <c r="G623" s="2894"/>
      <c r="H623" s="2894"/>
      <c r="I623" s="2894"/>
      <c r="J623" s="2895"/>
      <c r="K623" s="17"/>
    </row>
    <row r="624" spans="2:11" s="840" customFormat="1" ht="16.5" x14ac:dyDescent="0.35">
      <c r="B624" s="2986"/>
      <c r="C624" s="2894" t="s">
        <v>4322</v>
      </c>
      <c r="D624" s="2894"/>
      <c r="E624" s="2894"/>
      <c r="F624" s="2894"/>
      <c r="G624" s="2894"/>
      <c r="H624" s="2894"/>
      <c r="I624" s="2894"/>
      <c r="J624" s="2895"/>
      <c r="K624" s="17"/>
    </row>
    <row r="625" spans="2:11" s="840" customFormat="1" ht="17.25" thickBot="1" x14ac:dyDescent="0.4">
      <c r="B625" s="2986"/>
      <c r="C625" s="2943"/>
      <c r="D625" s="2943"/>
      <c r="E625" s="2943"/>
      <c r="F625" s="2943"/>
      <c r="G625" s="2943"/>
      <c r="H625" s="2943"/>
      <c r="I625" s="2943"/>
      <c r="J625" s="2944"/>
      <c r="K625" s="17"/>
    </row>
    <row r="626" spans="2:11" s="840" customFormat="1" ht="106.15" customHeight="1" thickTop="1" x14ac:dyDescent="0.35">
      <c r="B626" s="2986"/>
      <c r="C626" s="2900" t="s">
        <v>4323</v>
      </c>
      <c r="D626" s="2900"/>
      <c r="E626" s="2969" t="s">
        <v>4324</v>
      </c>
      <c r="F626" s="2968" t="s">
        <v>4325</v>
      </c>
      <c r="G626" s="2968" t="s">
        <v>4326</v>
      </c>
      <c r="H626" s="2968" t="s">
        <v>4327</v>
      </c>
      <c r="I626" s="2968" t="s">
        <v>4328</v>
      </c>
      <c r="J626" s="2968" t="s">
        <v>4329</v>
      </c>
      <c r="K626" s="17"/>
    </row>
    <row r="627" spans="2:11" s="840" customFormat="1" ht="17.25" thickBot="1" x14ac:dyDescent="0.4">
      <c r="B627" s="2986"/>
      <c r="C627" s="1329" t="s">
        <v>4121</v>
      </c>
      <c r="D627" s="1330">
        <v>70</v>
      </c>
      <c r="E627" s="2903"/>
      <c r="F627" s="2906"/>
      <c r="G627" s="2906"/>
      <c r="H627" s="2906"/>
      <c r="I627" s="2906"/>
      <c r="J627" s="2906"/>
      <c r="K627" s="17"/>
    </row>
    <row r="628" spans="2:11" s="840" customFormat="1" ht="16.5" x14ac:dyDescent="0.35">
      <c r="B628" s="2986"/>
      <c r="C628" s="2896" t="s">
        <v>4122</v>
      </c>
      <c r="D628" s="2896"/>
      <c r="E628" s="2896"/>
      <c r="F628" s="2896"/>
      <c r="G628" s="2896"/>
      <c r="H628" s="2896"/>
      <c r="I628" s="2896"/>
      <c r="J628" s="2897"/>
      <c r="K628" s="17"/>
    </row>
    <row r="629" spans="2:11" s="840" customFormat="1" ht="63.6" customHeight="1" x14ac:dyDescent="0.35">
      <c r="B629" s="2986"/>
      <c r="C629" s="2894" t="s">
        <v>4330</v>
      </c>
      <c r="D629" s="2894"/>
      <c r="E629" s="2894"/>
      <c r="F629" s="2894"/>
      <c r="G629" s="2894"/>
      <c r="H629" s="2894"/>
      <c r="I629" s="2894"/>
      <c r="J629" s="2895"/>
      <c r="K629" s="17"/>
    </row>
    <row r="630" spans="2:11" s="840" customFormat="1" ht="16.5" x14ac:dyDescent="0.35">
      <c r="B630" s="2986"/>
      <c r="C630" s="2894"/>
      <c r="D630" s="2894"/>
      <c r="E630" s="2894"/>
      <c r="F630" s="2894"/>
      <c r="G630" s="2894"/>
      <c r="H630" s="2894"/>
      <c r="I630" s="2894"/>
      <c r="J630" s="2895"/>
      <c r="K630" s="17"/>
    </row>
    <row r="631" spans="2:11" s="840" customFormat="1" ht="43.15" customHeight="1" thickBot="1" x14ac:dyDescent="0.4">
      <c r="B631" s="2986"/>
      <c r="C631" s="2890" t="s">
        <v>4331</v>
      </c>
      <c r="D631" s="2890"/>
      <c r="E631" s="2890"/>
      <c r="F631" s="2890"/>
      <c r="G631" s="2890"/>
      <c r="H631" s="2890"/>
      <c r="I631" s="2890"/>
      <c r="J631" s="2891"/>
      <c r="K631" s="17"/>
    </row>
    <row r="632" spans="2:11" s="840" customFormat="1" ht="16.5" x14ac:dyDescent="0.35">
      <c r="B632" s="2986"/>
      <c r="C632" s="2896" t="s">
        <v>4128</v>
      </c>
      <c r="D632" s="2896"/>
      <c r="E632" s="2896"/>
      <c r="F632" s="2896"/>
      <c r="G632" s="2896"/>
      <c r="H632" s="2896"/>
      <c r="I632" s="2896"/>
      <c r="J632" s="2897"/>
      <c r="K632" s="17"/>
    </row>
    <row r="633" spans="2:11" s="840" customFormat="1" ht="16.5" x14ac:dyDescent="0.35">
      <c r="B633" s="2986"/>
      <c r="C633" s="2894" t="s">
        <v>4332</v>
      </c>
      <c r="D633" s="2894"/>
      <c r="E633" s="2894"/>
      <c r="F633" s="2894"/>
      <c r="G633" s="2894"/>
      <c r="H633" s="2894"/>
      <c r="I633" s="2894"/>
      <c r="J633" s="2895"/>
      <c r="K633" s="17"/>
    </row>
    <row r="634" spans="2:11" s="840" customFormat="1" ht="17.25" thickBot="1" x14ac:dyDescent="0.4">
      <c r="B634" s="2986"/>
      <c r="C634" s="2890" t="s">
        <v>4333</v>
      </c>
      <c r="D634" s="2890"/>
      <c r="E634" s="2890"/>
      <c r="F634" s="2890"/>
      <c r="G634" s="2890"/>
      <c r="H634" s="2890"/>
      <c r="I634" s="2890"/>
      <c r="J634" s="2891"/>
      <c r="K634" s="17"/>
    </row>
    <row r="635" spans="2:11" s="840" customFormat="1" ht="17.25" thickBot="1" x14ac:dyDescent="0.4">
      <c r="B635" s="2986"/>
      <c r="C635" s="106"/>
      <c r="D635" s="17"/>
      <c r="E635" s="17"/>
      <c r="F635" s="17"/>
      <c r="G635" s="17"/>
      <c r="H635" s="17"/>
      <c r="I635" s="17"/>
      <c r="J635" s="17"/>
      <c r="K635" s="17"/>
    </row>
    <row r="636" spans="2:11" s="840" customFormat="1" ht="17.25" thickBot="1" x14ac:dyDescent="0.4">
      <c r="B636" s="2986"/>
      <c r="C636" s="2909"/>
      <c r="D636" s="2910"/>
      <c r="E636" s="1332" t="s">
        <v>3484</v>
      </c>
      <c r="F636" s="1332" t="s">
        <v>3485</v>
      </c>
      <c r="G636" s="1332" t="s">
        <v>4112</v>
      </c>
      <c r="H636" s="1332" t="s">
        <v>4113</v>
      </c>
      <c r="I636" s="1332" t="s">
        <v>3488</v>
      </c>
      <c r="J636" s="1332" t="s">
        <v>3489</v>
      </c>
      <c r="K636" s="17"/>
    </row>
    <row r="637" spans="2:11" s="840" customFormat="1" ht="133.9" customHeight="1" thickBot="1" x14ac:dyDescent="0.4">
      <c r="B637" s="2986"/>
      <c r="C637" s="2929" t="s">
        <v>4334</v>
      </c>
      <c r="D637" s="2930"/>
      <c r="E637" s="2901" t="s">
        <v>4335</v>
      </c>
      <c r="F637" s="2901" t="s">
        <v>4207</v>
      </c>
      <c r="G637" s="2900" t="s">
        <v>4336</v>
      </c>
      <c r="H637" s="2904" t="s">
        <v>4209</v>
      </c>
      <c r="I637" s="2904" t="s">
        <v>4337</v>
      </c>
      <c r="J637" s="2904" t="s">
        <v>4338</v>
      </c>
      <c r="K637" s="17"/>
    </row>
    <row r="638" spans="2:11" s="840" customFormat="1" ht="17.25" thickBot="1" x14ac:dyDescent="0.4">
      <c r="B638" s="2986"/>
      <c r="C638" s="1329" t="s">
        <v>4121</v>
      </c>
      <c r="D638" s="1330">
        <v>30</v>
      </c>
      <c r="E638" s="2903"/>
      <c r="F638" s="2903"/>
      <c r="G638" s="2900"/>
      <c r="H638" s="2906"/>
      <c r="I638" s="2906"/>
      <c r="J638" s="2906"/>
      <c r="K638" s="17"/>
    </row>
    <row r="639" spans="2:11" s="840" customFormat="1" ht="16.5" x14ac:dyDescent="0.35">
      <c r="B639" s="2986"/>
      <c r="C639" s="2896" t="s">
        <v>4122</v>
      </c>
      <c r="D639" s="2896"/>
      <c r="E639" s="2896"/>
      <c r="F639" s="2896"/>
      <c r="G639" s="2896"/>
      <c r="H639" s="2896"/>
      <c r="I639" s="2896"/>
      <c r="J639" s="2897"/>
      <c r="K639" s="17"/>
    </row>
    <row r="640" spans="2:11" s="840" customFormat="1" ht="16.5" x14ac:dyDescent="0.35">
      <c r="B640" s="2986"/>
      <c r="C640" s="2894" t="s">
        <v>4339</v>
      </c>
      <c r="D640" s="2894"/>
      <c r="E640" s="2894"/>
      <c r="F640" s="2894"/>
      <c r="G640" s="2894"/>
      <c r="H640" s="2894"/>
      <c r="I640" s="2894"/>
      <c r="J640" s="2895"/>
      <c r="K640" s="17"/>
    </row>
    <row r="641" spans="2:11" s="840" customFormat="1" ht="86.45" customHeight="1" thickBot="1" x14ac:dyDescent="0.4">
      <c r="B641" s="2986"/>
      <c r="C641" s="2890" t="s">
        <v>4340</v>
      </c>
      <c r="D641" s="2890"/>
      <c r="E641" s="2890"/>
      <c r="F641" s="2890"/>
      <c r="G641" s="2890"/>
      <c r="H641" s="2890"/>
      <c r="I641" s="2890"/>
      <c r="J641" s="2891"/>
      <c r="K641" s="17"/>
    </row>
    <row r="642" spans="2:11" s="840" customFormat="1" ht="16.5" x14ac:dyDescent="0.35">
      <c r="B642" s="2986"/>
      <c r="C642" s="2896" t="s">
        <v>4128</v>
      </c>
      <c r="D642" s="2896"/>
      <c r="E642" s="2896"/>
      <c r="F642" s="2896"/>
      <c r="G642" s="2896"/>
      <c r="H642" s="2896"/>
      <c r="I642" s="2896"/>
      <c r="J642" s="2897"/>
      <c r="K642" s="17"/>
    </row>
    <row r="643" spans="2:11" s="840" customFormat="1" ht="16.5" x14ac:dyDescent="0.35">
      <c r="B643" s="2986"/>
      <c r="C643" s="2894" t="s">
        <v>4341</v>
      </c>
      <c r="D643" s="2894"/>
      <c r="E643" s="2894"/>
      <c r="F643" s="2894"/>
      <c r="G643" s="2894"/>
      <c r="H643" s="2894"/>
      <c r="I643" s="2894"/>
      <c r="J643" s="2895"/>
      <c r="K643" s="17"/>
    </row>
    <row r="644" spans="2:11" s="840" customFormat="1" ht="17.25" thickBot="1" x14ac:dyDescent="0.4">
      <c r="B644" s="2986"/>
      <c r="C644" s="2890" t="s">
        <v>4342</v>
      </c>
      <c r="D644" s="2890"/>
      <c r="E644" s="2890"/>
      <c r="F644" s="2890"/>
      <c r="G644" s="2890"/>
      <c r="H644" s="2890"/>
      <c r="I644" s="2890"/>
      <c r="J644" s="2891"/>
      <c r="K644" s="17"/>
    </row>
    <row r="645" spans="2:11" s="840" customFormat="1" ht="16.5" x14ac:dyDescent="0.35">
      <c r="B645" s="2986"/>
      <c r="C645" s="17"/>
      <c r="D645" s="17"/>
      <c r="E645" s="17"/>
      <c r="F645" s="17"/>
      <c r="G645" s="17"/>
      <c r="H645" s="17"/>
      <c r="I645" s="17"/>
      <c r="J645" s="17"/>
      <c r="K645" s="17"/>
    </row>
    <row r="646" spans="2:11" s="840" customFormat="1" ht="16.5" x14ac:dyDescent="0.35">
      <c r="B646" s="2986"/>
      <c r="C646" s="17"/>
      <c r="D646" s="17"/>
      <c r="E646" s="17"/>
      <c r="F646" s="17"/>
      <c r="G646" s="17"/>
      <c r="H646" s="17"/>
      <c r="I646" s="17"/>
      <c r="J646" s="17"/>
      <c r="K646" s="17"/>
    </row>
    <row r="647" spans="2:11" s="840" customFormat="1" ht="16.5" x14ac:dyDescent="0.35">
      <c r="B647" s="2986"/>
      <c r="C647" s="17" t="s">
        <v>4343</v>
      </c>
      <c r="D647" s="17"/>
      <c r="E647" s="17"/>
      <c r="F647" s="17"/>
      <c r="G647" s="17"/>
      <c r="H647" s="17"/>
      <c r="I647" s="17"/>
      <c r="J647" s="17"/>
      <c r="K647" s="17"/>
    </row>
    <row r="648" spans="2:11" s="840" customFormat="1" ht="16.5" x14ac:dyDescent="0.35">
      <c r="B648" s="2986"/>
      <c r="C648" s="17" t="s">
        <v>4344</v>
      </c>
      <c r="D648" s="17"/>
      <c r="E648" s="17"/>
      <c r="F648" s="17"/>
      <c r="G648" s="17"/>
      <c r="H648" s="17"/>
      <c r="I648" s="17"/>
      <c r="J648" s="17"/>
      <c r="K648" s="17"/>
    </row>
    <row r="649" spans="2:11" s="840" customFormat="1" ht="17.25" x14ac:dyDescent="0.35">
      <c r="B649" s="2986"/>
      <c r="C649" s="464" t="s">
        <v>4345</v>
      </c>
      <c r="D649" s="17"/>
      <c r="E649" s="17"/>
      <c r="F649" s="17"/>
      <c r="G649" s="17"/>
      <c r="H649" s="17"/>
      <c r="I649" s="17"/>
      <c r="J649" s="17"/>
      <c r="K649" s="17"/>
    </row>
    <row r="650" spans="2:11" s="840" customFormat="1" ht="16.5" x14ac:dyDescent="0.35">
      <c r="B650" s="2986"/>
      <c r="C650" s="17" t="s">
        <v>4346</v>
      </c>
      <c r="D650" s="17"/>
      <c r="E650" s="17"/>
      <c r="F650" s="17"/>
      <c r="G650" s="17"/>
      <c r="H650" s="17"/>
      <c r="I650" s="17"/>
      <c r="J650" s="17"/>
      <c r="K650" s="17"/>
    </row>
    <row r="651" spans="2:11" s="840" customFormat="1" ht="16.5" x14ac:dyDescent="0.35">
      <c r="B651" s="2986"/>
      <c r="C651" s="17" t="s">
        <v>4347</v>
      </c>
      <c r="D651" s="17"/>
      <c r="E651" s="17"/>
      <c r="F651" s="17"/>
      <c r="G651" s="17"/>
      <c r="H651" s="17"/>
      <c r="I651" s="17"/>
      <c r="J651" s="17"/>
      <c r="K651" s="17"/>
    </row>
    <row r="652" spans="2:11" s="840" customFormat="1" ht="16.5" x14ac:dyDescent="0.35">
      <c r="B652" s="2986"/>
      <c r="C652" s="17" t="s">
        <v>4348</v>
      </c>
      <c r="D652" s="17"/>
      <c r="E652" s="17"/>
      <c r="F652" s="17"/>
      <c r="G652" s="17"/>
      <c r="H652" s="17"/>
      <c r="I652" s="17"/>
      <c r="J652" s="17"/>
      <c r="K652" s="17"/>
    </row>
    <row r="653" spans="2:11" s="840" customFormat="1" ht="16.5" x14ac:dyDescent="0.35">
      <c r="B653" s="2986"/>
      <c r="C653" s="17" t="s">
        <v>4349</v>
      </c>
      <c r="D653" s="17"/>
      <c r="E653" s="17"/>
      <c r="F653" s="17"/>
      <c r="G653" s="17"/>
      <c r="H653" s="17"/>
      <c r="I653" s="17"/>
      <c r="J653" s="17"/>
      <c r="K653" s="17"/>
    </row>
    <row r="654" spans="2:11" s="840" customFormat="1" ht="16.5" x14ac:dyDescent="0.35">
      <c r="B654" s="2986"/>
      <c r="C654" s="17" t="s">
        <v>4350</v>
      </c>
      <c r="D654" s="17"/>
      <c r="E654" s="17"/>
      <c r="F654" s="17"/>
      <c r="G654" s="17"/>
      <c r="H654" s="17"/>
      <c r="I654" s="17"/>
      <c r="J654" s="17"/>
      <c r="K654" s="17"/>
    </row>
    <row r="655" spans="2:11" s="840" customFormat="1" ht="16.5" x14ac:dyDescent="0.35">
      <c r="B655" s="2986"/>
      <c r="C655" s="17" t="s">
        <v>4351</v>
      </c>
      <c r="D655" s="17"/>
      <c r="E655" s="17"/>
      <c r="F655" s="17"/>
      <c r="G655" s="17"/>
      <c r="H655" s="17"/>
      <c r="I655" s="17"/>
      <c r="J655" s="17"/>
      <c r="K655" s="17"/>
    </row>
    <row r="656" spans="2:11" s="840" customFormat="1" ht="16.5" x14ac:dyDescent="0.35">
      <c r="B656" s="2986"/>
      <c r="C656" s="17" t="s">
        <v>4352</v>
      </c>
      <c r="D656" s="17"/>
      <c r="E656" s="17"/>
      <c r="F656" s="17"/>
      <c r="G656" s="17"/>
      <c r="H656" s="17"/>
      <c r="I656" s="17"/>
      <c r="J656" s="17"/>
      <c r="K656" s="17"/>
    </row>
    <row r="657" spans="2:11" s="840" customFormat="1" ht="16.5" x14ac:dyDescent="0.35">
      <c r="B657" s="2986"/>
      <c r="C657" s="17" t="s">
        <v>4353</v>
      </c>
      <c r="D657" s="17"/>
      <c r="E657" s="17"/>
      <c r="F657" s="17"/>
      <c r="G657" s="17"/>
      <c r="H657" s="17"/>
      <c r="I657" s="17"/>
      <c r="J657" s="17"/>
      <c r="K657" s="17"/>
    </row>
    <row r="658" spans="2:11" s="840" customFormat="1" ht="16.5" x14ac:dyDescent="0.35">
      <c r="B658" s="2986"/>
      <c r="C658" s="17" t="s">
        <v>4354</v>
      </c>
      <c r="D658" s="17"/>
      <c r="E658" s="17"/>
      <c r="F658" s="17"/>
      <c r="G658" s="17"/>
      <c r="H658" s="17"/>
      <c r="I658" s="17"/>
      <c r="J658" s="17"/>
      <c r="K658" s="17"/>
    </row>
    <row r="659" spans="2:11" s="840" customFormat="1" ht="16.5" x14ac:dyDescent="0.35">
      <c r="B659" s="2986"/>
      <c r="C659" s="17" t="s">
        <v>4355</v>
      </c>
      <c r="D659" s="17"/>
      <c r="E659" s="17"/>
      <c r="F659" s="17"/>
      <c r="G659" s="17"/>
      <c r="H659" s="17"/>
      <c r="I659" s="17"/>
      <c r="J659" s="17"/>
      <c r="K659" s="17"/>
    </row>
    <row r="660" spans="2:11" s="840" customFormat="1" ht="16.5" x14ac:dyDescent="0.35">
      <c r="B660" s="2986"/>
      <c r="C660" s="17" t="s">
        <v>4356</v>
      </c>
      <c r="D660" s="17"/>
      <c r="E660" s="17"/>
      <c r="F660" s="17"/>
      <c r="G660" s="17"/>
      <c r="H660" s="17"/>
      <c r="I660" s="17"/>
      <c r="J660" s="17"/>
      <c r="K660" s="17"/>
    </row>
    <row r="661" spans="2:11" s="840" customFormat="1" ht="16.5" x14ac:dyDescent="0.35">
      <c r="B661" s="2986"/>
      <c r="C661" s="17" t="s">
        <v>4357</v>
      </c>
      <c r="D661" s="17"/>
      <c r="E661" s="17"/>
      <c r="F661" s="17"/>
      <c r="G661" s="17"/>
      <c r="H661" s="17"/>
      <c r="I661" s="17"/>
      <c r="J661" s="17"/>
      <c r="K661" s="17"/>
    </row>
    <row r="662" spans="2:11" s="840" customFormat="1" ht="16.5" x14ac:dyDescent="0.35">
      <c r="B662" s="2986"/>
      <c r="C662" s="17" t="s">
        <v>4358</v>
      </c>
      <c r="D662" s="17"/>
      <c r="E662" s="17"/>
      <c r="F662" s="17"/>
      <c r="G662" s="17"/>
      <c r="H662" s="17"/>
      <c r="I662" s="17"/>
      <c r="J662" s="17"/>
      <c r="K662" s="17"/>
    </row>
    <row r="663" spans="2:11" s="840" customFormat="1" ht="17.25" x14ac:dyDescent="0.35">
      <c r="B663" s="2986"/>
      <c r="C663" s="464" t="s">
        <v>4359</v>
      </c>
      <c r="D663" s="17"/>
      <c r="E663" s="17"/>
      <c r="F663" s="17"/>
      <c r="G663" s="17"/>
      <c r="H663" s="17"/>
      <c r="I663" s="17"/>
      <c r="J663" s="17"/>
      <c r="K663" s="17"/>
    </row>
    <row r="664" spans="2:11" s="840" customFormat="1" ht="17.25" x14ac:dyDescent="0.35">
      <c r="B664" s="2986"/>
      <c r="C664" s="464" t="s">
        <v>4360</v>
      </c>
      <c r="D664" s="17"/>
      <c r="E664" s="17"/>
      <c r="F664" s="17"/>
      <c r="G664" s="17"/>
      <c r="H664" s="17"/>
      <c r="I664" s="17"/>
      <c r="J664" s="17"/>
      <c r="K664" s="17"/>
    </row>
    <row r="665" spans="2:11" s="840" customFormat="1" ht="16.5" x14ac:dyDescent="0.35">
      <c r="B665" s="2986"/>
      <c r="C665" s="17" t="s">
        <v>4361</v>
      </c>
      <c r="D665" s="17"/>
      <c r="E665" s="17"/>
      <c r="F665" s="17"/>
      <c r="G665" s="17"/>
      <c r="H665" s="17"/>
      <c r="I665" s="17"/>
      <c r="J665" s="17"/>
      <c r="K665" s="17"/>
    </row>
    <row r="666" spans="2:11" s="840" customFormat="1" ht="16.5" x14ac:dyDescent="0.35">
      <c r="B666" s="2986"/>
      <c r="C666" s="17" t="s">
        <v>4362</v>
      </c>
      <c r="D666" s="17"/>
      <c r="E666" s="17"/>
      <c r="F666" s="17"/>
      <c r="G666" s="17"/>
      <c r="H666" s="17"/>
      <c r="I666" s="17"/>
      <c r="J666" s="17"/>
      <c r="K666" s="17"/>
    </row>
    <row r="667" spans="2:11" s="840" customFormat="1" ht="16.5" x14ac:dyDescent="0.35">
      <c r="B667" s="2986"/>
      <c r="C667" s="17" t="s">
        <v>4363</v>
      </c>
      <c r="D667" s="17"/>
      <c r="E667" s="17"/>
      <c r="F667" s="17"/>
      <c r="G667" s="17"/>
      <c r="H667" s="17"/>
      <c r="I667" s="17"/>
      <c r="J667" s="17"/>
      <c r="K667" s="17"/>
    </row>
    <row r="668" spans="2:11" s="840" customFormat="1" ht="16.5" x14ac:dyDescent="0.35">
      <c r="B668" s="2986"/>
      <c r="C668" s="17" t="s">
        <v>4364</v>
      </c>
      <c r="D668" s="17"/>
      <c r="E668" s="17"/>
      <c r="F668" s="17"/>
      <c r="G668" s="17"/>
      <c r="H668" s="17"/>
      <c r="I668" s="17"/>
      <c r="J668" s="17"/>
      <c r="K668" s="17"/>
    </row>
    <row r="669" spans="2:11" s="840" customFormat="1" ht="16.5" x14ac:dyDescent="0.35">
      <c r="B669" s="2986"/>
      <c r="C669" s="17" t="s">
        <v>4365</v>
      </c>
      <c r="D669" s="17"/>
      <c r="E669" s="17"/>
      <c r="F669" s="17"/>
      <c r="G669" s="17"/>
      <c r="H669" s="17"/>
      <c r="I669" s="17"/>
      <c r="J669" s="17"/>
      <c r="K669" s="17"/>
    </row>
    <row r="670" spans="2:11" s="840" customFormat="1" ht="17.25" thickBot="1" x14ac:dyDescent="0.4">
      <c r="B670" s="2986"/>
    </row>
    <row r="671" spans="2:11" s="840" customFormat="1" ht="17.25" thickBot="1" x14ac:dyDescent="0.4">
      <c r="B671" s="2986"/>
      <c r="C671" s="2931" t="s">
        <v>4366</v>
      </c>
      <c r="D671" s="2931"/>
      <c r="E671" s="2931"/>
      <c r="F671" s="2931"/>
      <c r="G671" s="2931"/>
      <c r="H671" s="2931"/>
      <c r="I671" s="2931"/>
      <c r="J671" s="2931"/>
      <c r="K671" s="2932"/>
    </row>
    <row r="672" spans="2:11" s="840" customFormat="1" ht="17.25" thickBot="1" x14ac:dyDescent="0.4">
      <c r="B672" s="2986"/>
      <c r="C672" s="2933"/>
      <c r="D672" s="2934"/>
      <c r="E672" s="2925" t="s">
        <v>4111</v>
      </c>
      <c r="F672" s="2928"/>
      <c r="G672" s="2928"/>
      <c r="H672" s="2928"/>
      <c r="I672" s="2928"/>
      <c r="J672" s="2928"/>
      <c r="K672" s="2926"/>
    </row>
    <row r="673" spans="2:11" s="840" customFormat="1" ht="17.25" thickBot="1" x14ac:dyDescent="0.4">
      <c r="B673" s="2986"/>
      <c r="C673" s="2909"/>
      <c r="D673" s="2910"/>
      <c r="E673" s="1340" t="s">
        <v>3484</v>
      </c>
      <c r="F673" s="1341" t="s">
        <v>3485</v>
      </c>
      <c r="G673" s="1341" t="s">
        <v>4112</v>
      </c>
      <c r="H673" s="2925" t="s">
        <v>4113</v>
      </c>
      <c r="I673" s="2926"/>
      <c r="J673" s="1341" t="s">
        <v>3488</v>
      </c>
      <c r="K673" s="1341" t="s">
        <v>3489</v>
      </c>
    </row>
    <row r="674" spans="2:11" s="840" customFormat="1" ht="17.25" thickBot="1" x14ac:dyDescent="0.4">
      <c r="B674" s="2986"/>
      <c r="C674" s="2921" t="s">
        <v>4367</v>
      </c>
      <c r="D674" s="2921"/>
      <c r="E674" s="2921"/>
      <c r="F674" s="2921"/>
      <c r="G674" s="2921"/>
      <c r="H674" s="2921"/>
      <c r="I674" s="2921"/>
      <c r="J674" s="2921"/>
      <c r="K674" s="2922"/>
    </row>
    <row r="675" spans="2:11" s="840" customFormat="1" ht="92.45" customHeight="1" x14ac:dyDescent="0.35">
      <c r="B675" s="2986"/>
      <c r="C675" s="2900" t="s">
        <v>4368</v>
      </c>
      <c r="D675" s="2900"/>
      <c r="E675" s="2901" t="s">
        <v>4369</v>
      </c>
      <c r="F675" s="2904" t="s">
        <v>4370</v>
      </c>
      <c r="G675" s="2904" t="s">
        <v>4371</v>
      </c>
      <c r="H675" s="2918" t="s">
        <v>4372</v>
      </c>
      <c r="I675" s="2919"/>
      <c r="J675" s="2904" t="s">
        <v>4373</v>
      </c>
      <c r="K675" s="2904" t="s">
        <v>4374</v>
      </c>
    </row>
    <row r="676" spans="2:11" s="840" customFormat="1" ht="17.25" thickBot="1" x14ac:dyDescent="0.4">
      <c r="B676" s="2986"/>
      <c r="C676" s="1329" t="s">
        <v>4121</v>
      </c>
      <c r="D676" s="1330">
        <v>60</v>
      </c>
      <c r="E676" s="2903"/>
      <c r="F676" s="2906"/>
      <c r="G676" s="2906"/>
      <c r="H676" s="2920"/>
      <c r="I676" s="2891"/>
      <c r="J676" s="2906"/>
      <c r="K676" s="2906"/>
    </row>
    <row r="677" spans="2:11" s="840" customFormat="1" ht="16.5" x14ac:dyDescent="0.35">
      <c r="B677" s="2986"/>
      <c r="C677" s="2896" t="s">
        <v>4122</v>
      </c>
      <c r="D677" s="2896"/>
      <c r="E677" s="2896"/>
      <c r="F677" s="2896"/>
      <c r="G677" s="2896"/>
      <c r="H677" s="2896"/>
      <c r="I677" s="2896"/>
      <c r="J677" s="2896"/>
      <c r="K677" s="2897"/>
    </row>
    <row r="678" spans="2:11" s="840" customFormat="1" ht="86.45" customHeight="1" x14ac:dyDescent="0.35">
      <c r="B678" s="2986"/>
      <c r="C678" s="2894" t="s">
        <v>4375</v>
      </c>
      <c r="D678" s="2894"/>
      <c r="E678" s="2894"/>
      <c r="F678" s="2894"/>
      <c r="G678" s="2894"/>
      <c r="H678" s="2894"/>
      <c r="I678" s="2894"/>
      <c r="J678" s="2894"/>
      <c r="K678" s="2895"/>
    </row>
    <row r="679" spans="2:11" s="840" customFormat="1" ht="16.5" x14ac:dyDescent="0.35">
      <c r="B679" s="2986"/>
      <c r="C679" s="2894" t="s">
        <v>4376</v>
      </c>
      <c r="D679" s="2894"/>
      <c r="E679" s="2894"/>
      <c r="F679" s="2894"/>
      <c r="G679" s="2894"/>
      <c r="H679" s="2894"/>
      <c r="I679" s="2894"/>
      <c r="J679" s="2894"/>
      <c r="K679" s="2895"/>
    </row>
    <row r="680" spans="2:11" s="840" customFormat="1" ht="28.9" customHeight="1" x14ac:dyDescent="0.35">
      <c r="B680" s="2986"/>
      <c r="C680" s="2894" t="s">
        <v>4377</v>
      </c>
      <c r="D680" s="2894"/>
      <c r="E680" s="2894"/>
      <c r="F680" s="2894"/>
      <c r="G680" s="2894"/>
      <c r="H680" s="2894"/>
      <c r="I680" s="2894"/>
      <c r="J680" s="2894"/>
      <c r="K680" s="2895"/>
    </row>
    <row r="681" spans="2:11" s="840" customFormat="1" ht="17.25" thickBot="1" x14ac:dyDescent="0.4">
      <c r="B681" s="2986"/>
      <c r="C681" s="2890" t="s">
        <v>626</v>
      </c>
      <c r="D681" s="2890"/>
      <c r="E681" s="2890"/>
      <c r="F681" s="2890"/>
      <c r="G681" s="2890"/>
      <c r="H681" s="2890"/>
      <c r="I681" s="2890"/>
      <c r="J681" s="2890"/>
      <c r="K681" s="2891"/>
    </row>
    <row r="682" spans="2:11" s="840" customFormat="1" ht="16.5" x14ac:dyDescent="0.35">
      <c r="B682" s="2986"/>
      <c r="C682" s="2896" t="s">
        <v>4164</v>
      </c>
      <c r="D682" s="2896"/>
      <c r="E682" s="2896"/>
      <c r="F682" s="2896"/>
      <c r="G682" s="2896"/>
      <c r="H682" s="2896"/>
      <c r="I682" s="2896"/>
      <c r="J682" s="2896"/>
      <c r="K682" s="2897"/>
    </row>
    <row r="683" spans="2:11" s="840" customFormat="1" ht="43.15" customHeight="1" x14ac:dyDescent="0.35">
      <c r="B683" s="2986"/>
      <c r="C683" s="2894" t="s">
        <v>4378</v>
      </c>
      <c r="D683" s="2894"/>
      <c r="E683" s="2894"/>
      <c r="F683" s="2894"/>
      <c r="G683" s="2894"/>
      <c r="H683" s="2894"/>
      <c r="I683" s="2894"/>
      <c r="J683" s="2894"/>
      <c r="K683" s="2895"/>
    </row>
    <row r="684" spans="2:11" s="840" customFormat="1" ht="17.25" thickBot="1" x14ac:dyDescent="0.4">
      <c r="B684" s="2986"/>
      <c r="C684" s="2890"/>
      <c r="D684" s="2890"/>
      <c r="E684" s="2890"/>
      <c r="F684" s="2890"/>
      <c r="G684" s="2890"/>
      <c r="H684" s="2890"/>
      <c r="I684" s="2890"/>
      <c r="J684" s="2890"/>
      <c r="K684" s="2891"/>
    </row>
    <row r="685" spans="2:11" s="840" customFormat="1" ht="115.5" x14ac:dyDescent="0.35">
      <c r="B685" s="2986"/>
      <c r="C685" s="2966" t="s">
        <v>4379</v>
      </c>
      <c r="D685" s="2967"/>
      <c r="E685" s="1338" t="s">
        <v>4380</v>
      </c>
      <c r="F685" s="1342" t="s">
        <v>4381</v>
      </c>
      <c r="G685" s="1338" t="s">
        <v>4382</v>
      </c>
      <c r="H685" s="1342" t="s">
        <v>4383</v>
      </c>
      <c r="I685" s="2918" t="s">
        <v>4384</v>
      </c>
      <c r="J685" s="2919"/>
      <c r="K685" s="1342" t="s">
        <v>4385</v>
      </c>
    </row>
    <row r="686" spans="2:11" s="840" customFormat="1" ht="86.45" customHeight="1" x14ac:dyDescent="0.35">
      <c r="B686" s="2986"/>
      <c r="C686" s="2900" t="s">
        <v>4386</v>
      </c>
      <c r="D686" s="2900"/>
      <c r="E686" s="1342"/>
      <c r="F686" s="1342"/>
      <c r="G686" s="1342"/>
      <c r="H686" s="1342"/>
      <c r="I686" s="2936"/>
      <c r="J686" s="2895"/>
      <c r="K686" s="1342"/>
    </row>
    <row r="687" spans="2:11" s="840" customFormat="1" ht="16.5" x14ac:dyDescent="0.35">
      <c r="B687" s="2986"/>
      <c r="C687" s="2962"/>
      <c r="D687" s="2963"/>
      <c r="E687" s="1342"/>
      <c r="F687" s="1342"/>
      <c r="G687" s="1342" t="s">
        <v>4112</v>
      </c>
      <c r="H687" s="1342" t="s">
        <v>4113</v>
      </c>
      <c r="I687" s="2936"/>
      <c r="J687" s="2895"/>
      <c r="K687" s="1342" t="s">
        <v>3489</v>
      </c>
    </row>
    <row r="688" spans="2:11" s="840" customFormat="1" ht="16.5" x14ac:dyDescent="0.35">
      <c r="B688" s="2986"/>
      <c r="C688" s="2962"/>
      <c r="D688" s="2963"/>
      <c r="E688" s="1342"/>
      <c r="F688" s="1342" t="s">
        <v>3485</v>
      </c>
      <c r="G688" s="1343"/>
      <c r="H688" s="1343"/>
      <c r="I688" s="2936" t="s">
        <v>3488</v>
      </c>
      <c r="J688" s="2895"/>
      <c r="K688" s="1343"/>
    </row>
    <row r="689" spans="2:11" s="840" customFormat="1" ht="17.25" thickBot="1" x14ac:dyDescent="0.4">
      <c r="B689" s="2986"/>
      <c r="C689" s="2964"/>
      <c r="D689" s="2965"/>
      <c r="E689" s="1342"/>
      <c r="F689" s="1343"/>
      <c r="G689" s="1343"/>
      <c r="H689" s="1343"/>
      <c r="I689" s="2937"/>
      <c r="J689" s="2938"/>
      <c r="K689" s="1343"/>
    </row>
    <row r="690" spans="2:11" s="840" customFormat="1" ht="17.25" thickBot="1" x14ac:dyDescent="0.4">
      <c r="B690" s="2986"/>
      <c r="C690" s="1329" t="s">
        <v>4121</v>
      </c>
      <c r="D690" s="1330">
        <v>80</v>
      </c>
      <c r="E690" s="1339" t="s">
        <v>3484</v>
      </c>
      <c r="F690" s="1344"/>
      <c r="G690" s="1344"/>
      <c r="H690" s="1344"/>
      <c r="I690" s="2935"/>
      <c r="J690" s="2910"/>
      <c r="K690" s="1344"/>
    </row>
    <row r="691" spans="2:11" s="840" customFormat="1" ht="16.5" x14ac:dyDescent="0.35">
      <c r="B691" s="2986"/>
      <c r="C691" s="2896" t="s">
        <v>4387</v>
      </c>
      <c r="D691" s="2896"/>
      <c r="E691" s="2896"/>
      <c r="F691" s="2896"/>
      <c r="G691" s="2896"/>
      <c r="H691" s="2896"/>
      <c r="I691" s="2896"/>
      <c r="J691" s="2896"/>
      <c r="K691" s="2897"/>
    </row>
    <row r="692" spans="2:11" s="840" customFormat="1" ht="43.15" customHeight="1" x14ac:dyDescent="0.35">
      <c r="B692" s="2986"/>
      <c r="C692" s="2894" t="s">
        <v>4388</v>
      </c>
      <c r="D692" s="2894"/>
      <c r="E692" s="2894"/>
      <c r="F692" s="2894"/>
      <c r="G692" s="2894"/>
      <c r="H692" s="2894"/>
      <c r="I692" s="2894"/>
      <c r="J692" s="2894"/>
      <c r="K692" s="2895"/>
    </row>
    <row r="693" spans="2:11" s="840" customFormat="1" ht="16.5" x14ac:dyDescent="0.35">
      <c r="B693" s="2986"/>
      <c r="C693" s="2894"/>
      <c r="D693" s="2894"/>
      <c r="E693" s="2894"/>
      <c r="F693" s="2894"/>
      <c r="G693" s="2894"/>
      <c r="H693" s="2894"/>
      <c r="I693" s="2894"/>
      <c r="J693" s="2894"/>
      <c r="K693" s="2895"/>
    </row>
    <row r="694" spans="2:11" s="840" customFormat="1" ht="72" customHeight="1" x14ac:dyDescent="0.35">
      <c r="B694" s="2986"/>
      <c r="C694" s="2894" t="s">
        <v>4389</v>
      </c>
      <c r="D694" s="2894"/>
      <c r="E694" s="2894"/>
      <c r="F694" s="2894"/>
      <c r="G694" s="2894"/>
      <c r="H694" s="2894"/>
      <c r="I694" s="2894"/>
      <c r="J694" s="2894"/>
      <c r="K694" s="2895"/>
    </row>
    <row r="695" spans="2:11" s="840" customFormat="1" ht="28.9" customHeight="1" x14ac:dyDescent="0.35">
      <c r="B695" s="2986"/>
      <c r="C695" s="2894" t="s">
        <v>4390</v>
      </c>
      <c r="D695" s="2894"/>
      <c r="E695" s="2894"/>
      <c r="F695" s="2894"/>
      <c r="G695" s="2894"/>
      <c r="H695" s="2894"/>
      <c r="I695" s="2894"/>
      <c r="J695" s="2894"/>
      <c r="K695" s="2895"/>
    </row>
    <row r="696" spans="2:11" s="840" customFormat="1" ht="17.25" thickBot="1" x14ac:dyDescent="0.4">
      <c r="B696" s="2986"/>
      <c r="C696" s="2890"/>
      <c r="D696" s="2890"/>
      <c r="E696" s="2890"/>
      <c r="F696" s="2890"/>
      <c r="G696" s="2890"/>
      <c r="H696" s="2890"/>
      <c r="I696" s="2890"/>
      <c r="J696" s="2890"/>
      <c r="K696" s="2891"/>
    </row>
    <row r="697" spans="2:11" s="840" customFormat="1" ht="16.5" x14ac:dyDescent="0.35">
      <c r="B697" s="2986"/>
      <c r="C697" s="2896" t="s">
        <v>4128</v>
      </c>
      <c r="D697" s="2896"/>
      <c r="E697" s="2896"/>
      <c r="F697" s="2896"/>
      <c r="G697" s="2896"/>
      <c r="H697" s="2896"/>
      <c r="I697" s="2896"/>
      <c r="J697" s="2896"/>
      <c r="K697" s="2897"/>
    </row>
    <row r="698" spans="2:11" s="840" customFormat="1" ht="28.9" customHeight="1" x14ac:dyDescent="0.35">
      <c r="B698" s="2986"/>
      <c r="C698" s="2894" t="s">
        <v>4391</v>
      </c>
      <c r="D698" s="2894"/>
      <c r="E698" s="2894"/>
      <c r="F698" s="2894"/>
      <c r="G698" s="2894"/>
      <c r="H698" s="2894"/>
      <c r="I698" s="2894"/>
      <c r="J698" s="2894"/>
      <c r="K698" s="2895"/>
    </row>
    <row r="699" spans="2:11" s="840" customFormat="1" ht="16.5" x14ac:dyDescent="0.35">
      <c r="B699" s="2986"/>
      <c r="C699" s="2894"/>
      <c r="D699" s="2894"/>
      <c r="E699" s="2894"/>
      <c r="F699" s="2894"/>
      <c r="G699" s="2894"/>
      <c r="H699" s="2894"/>
      <c r="I699" s="2894"/>
      <c r="J699" s="2894"/>
      <c r="K699" s="2895"/>
    </row>
    <row r="700" spans="2:11" s="840" customFormat="1" ht="57.6" customHeight="1" x14ac:dyDescent="0.35">
      <c r="B700" s="2986"/>
      <c r="C700" s="2894" t="s">
        <v>4392</v>
      </c>
      <c r="D700" s="2894"/>
      <c r="E700" s="2894"/>
      <c r="F700" s="2894"/>
      <c r="G700" s="2894"/>
      <c r="H700" s="2894"/>
      <c r="I700" s="2894"/>
      <c r="J700" s="2894"/>
      <c r="K700" s="2895"/>
    </row>
    <row r="701" spans="2:11" s="840" customFormat="1" ht="17.25" thickBot="1" x14ac:dyDescent="0.4">
      <c r="B701" s="2986"/>
      <c r="C701" s="2890"/>
      <c r="D701" s="2890"/>
      <c r="E701" s="2890"/>
      <c r="F701" s="2890"/>
      <c r="G701" s="2890"/>
      <c r="H701" s="2890"/>
      <c r="I701" s="2890"/>
      <c r="J701" s="2890"/>
      <c r="K701" s="2891"/>
    </row>
    <row r="702" spans="2:11" s="840" customFormat="1" ht="16.5" x14ac:dyDescent="0.35">
      <c r="B702" s="2986"/>
      <c r="C702" s="17"/>
      <c r="D702" s="17"/>
      <c r="E702" s="17"/>
      <c r="F702" s="17"/>
      <c r="G702" s="17"/>
      <c r="H702" s="17"/>
      <c r="I702" s="17"/>
      <c r="J702" s="17"/>
      <c r="K702" s="17"/>
    </row>
    <row r="703" spans="2:11" s="840" customFormat="1" ht="16.5" x14ac:dyDescent="0.35">
      <c r="B703" s="2986"/>
      <c r="C703" s="17"/>
      <c r="D703" s="17"/>
      <c r="E703" s="17"/>
      <c r="F703" s="17"/>
      <c r="G703" s="17"/>
      <c r="H703" s="17"/>
      <c r="I703" s="17"/>
      <c r="J703" s="17"/>
      <c r="K703" s="17"/>
    </row>
    <row r="704" spans="2:11" s="840" customFormat="1" ht="16.5" x14ac:dyDescent="0.35">
      <c r="B704" s="2986"/>
      <c r="C704" s="17" t="s">
        <v>4393</v>
      </c>
      <c r="D704" s="17"/>
      <c r="E704" s="17"/>
      <c r="F704" s="17"/>
      <c r="G704" s="17"/>
      <c r="H704" s="17"/>
      <c r="I704" s="17"/>
      <c r="J704" s="17"/>
      <c r="K704" s="17"/>
    </row>
    <row r="705" spans="2:17" s="840" customFormat="1" ht="16.5" x14ac:dyDescent="0.35">
      <c r="B705" s="2986"/>
      <c r="C705" s="17" t="s">
        <v>4394</v>
      </c>
      <c r="D705" s="17"/>
      <c r="E705" s="17"/>
      <c r="F705" s="17"/>
      <c r="G705" s="17"/>
      <c r="H705" s="17"/>
      <c r="I705" s="17"/>
      <c r="J705" s="17"/>
      <c r="K705" s="17"/>
    </row>
    <row r="706" spans="2:17" s="840" customFormat="1" ht="16.5" x14ac:dyDescent="0.35">
      <c r="B706" s="2986"/>
    </row>
    <row r="707" spans="2:17" s="840" customFormat="1" ht="17.25" thickBot="1" x14ac:dyDescent="0.4">
      <c r="B707" s="2986"/>
      <c r="C707" s="106"/>
      <c r="D707" s="17"/>
      <c r="E707" s="17"/>
      <c r="F707" s="17"/>
      <c r="G707" s="17"/>
      <c r="H707" s="17"/>
      <c r="I707" s="17"/>
      <c r="J707" s="17"/>
      <c r="K707" s="17"/>
      <c r="L707" s="17"/>
      <c r="M707" s="17"/>
      <c r="N707" s="17"/>
      <c r="O707" s="17"/>
      <c r="P707" s="17"/>
      <c r="Q707" s="17"/>
    </row>
    <row r="708" spans="2:17" s="840" customFormat="1" ht="17.25" thickBot="1" x14ac:dyDescent="0.4">
      <c r="B708" s="2986"/>
      <c r="C708" s="2909"/>
      <c r="D708" s="2909"/>
      <c r="E708" s="2910"/>
      <c r="F708" s="2925" t="s">
        <v>3484</v>
      </c>
      <c r="G708" s="2926"/>
      <c r="H708" s="2925" t="s">
        <v>3485</v>
      </c>
      <c r="I708" s="2926"/>
      <c r="J708" s="2925" t="s">
        <v>4112</v>
      </c>
      <c r="K708" s="2926"/>
      <c r="L708" s="2925" t="s">
        <v>4113</v>
      </c>
      <c r="M708" s="2926"/>
      <c r="N708" s="2925" t="s">
        <v>3488</v>
      </c>
      <c r="O708" s="2926"/>
      <c r="P708" s="2925" t="s">
        <v>3489</v>
      </c>
      <c r="Q708" s="2926"/>
    </row>
    <row r="709" spans="2:17" s="840" customFormat="1" ht="55.15" customHeight="1" x14ac:dyDescent="0.35">
      <c r="B709" s="2986"/>
      <c r="C709" s="2900" t="s">
        <v>4395</v>
      </c>
      <c r="D709" s="2900"/>
      <c r="E709" s="2900"/>
      <c r="F709" s="2915" t="s">
        <v>4380</v>
      </c>
      <c r="G709" s="2897"/>
      <c r="H709" s="2918" t="s">
        <v>4381</v>
      </c>
      <c r="I709" s="2919"/>
      <c r="J709" s="2915" t="s">
        <v>4396</v>
      </c>
      <c r="K709" s="2897"/>
      <c r="L709" s="2918" t="s">
        <v>4397</v>
      </c>
      <c r="M709" s="2919"/>
      <c r="N709" s="2918" t="s">
        <v>4398</v>
      </c>
      <c r="O709" s="2919"/>
      <c r="P709" s="2918" t="s">
        <v>4399</v>
      </c>
      <c r="Q709" s="2919"/>
    </row>
    <row r="710" spans="2:17" s="840" customFormat="1" ht="16.5" x14ac:dyDescent="0.35">
      <c r="B710" s="2986"/>
      <c r="C710" s="2900"/>
      <c r="D710" s="2900"/>
      <c r="E710" s="2900"/>
      <c r="F710" s="2936"/>
      <c r="G710" s="2895"/>
      <c r="H710" s="2936"/>
      <c r="I710" s="2895"/>
      <c r="J710" s="2936"/>
      <c r="K710" s="2895"/>
      <c r="L710" s="2936"/>
      <c r="M710" s="2895"/>
      <c r="N710" s="2936"/>
      <c r="O710" s="2895"/>
      <c r="P710" s="2936"/>
      <c r="Q710" s="2895"/>
    </row>
    <row r="711" spans="2:17" s="840" customFormat="1" ht="17.25" thickBot="1" x14ac:dyDescent="0.4">
      <c r="B711" s="2986"/>
      <c r="C711" s="2900"/>
      <c r="D711" s="2900"/>
      <c r="E711" s="2900"/>
      <c r="F711" s="2936"/>
      <c r="G711" s="2895"/>
      <c r="H711" s="2936" t="s">
        <v>3485</v>
      </c>
      <c r="I711" s="2895"/>
      <c r="J711" s="2936" t="s">
        <v>4112</v>
      </c>
      <c r="K711" s="2895"/>
      <c r="L711" s="2936"/>
      <c r="M711" s="2895"/>
      <c r="N711" s="2936"/>
      <c r="O711" s="2895"/>
      <c r="P711" s="2936" t="s">
        <v>3489</v>
      </c>
      <c r="Q711" s="2895"/>
    </row>
    <row r="712" spans="2:17" s="840" customFormat="1" ht="17.25" thickBot="1" x14ac:dyDescent="0.4">
      <c r="B712" s="2986"/>
      <c r="C712" s="1329" t="s">
        <v>4121</v>
      </c>
      <c r="D712" s="2939">
        <v>40</v>
      </c>
      <c r="E712" s="2940"/>
      <c r="F712" s="2920" t="s">
        <v>3484</v>
      </c>
      <c r="G712" s="2891"/>
      <c r="H712" s="2935"/>
      <c r="I712" s="2910"/>
      <c r="J712" s="2935"/>
      <c r="K712" s="2910"/>
      <c r="L712" s="2920" t="s">
        <v>4113</v>
      </c>
      <c r="M712" s="2891"/>
      <c r="N712" s="2920" t="s">
        <v>3488</v>
      </c>
      <c r="O712" s="2891"/>
      <c r="P712" s="2935"/>
      <c r="Q712" s="2910"/>
    </row>
    <row r="713" spans="2:17" s="840" customFormat="1" ht="16.5" x14ac:dyDescent="0.35">
      <c r="B713" s="2986"/>
      <c r="C713" s="2896" t="s">
        <v>4122</v>
      </c>
      <c r="D713" s="2896"/>
      <c r="E713" s="2896"/>
      <c r="F713" s="2896"/>
      <c r="G713" s="2896"/>
      <c r="H713" s="2896"/>
      <c r="I713" s="2896"/>
      <c r="J713" s="2896"/>
      <c r="K713" s="2896"/>
      <c r="L713" s="2896"/>
      <c r="M713" s="2896"/>
      <c r="N713" s="2896"/>
      <c r="O713" s="2896"/>
      <c r="P713" s="2896"/>
      <c r="Q713" s="2897"/>
    </row>
    <row r="714" spans="2:17" s="840" customFormat="1" ht="28.9" customHeight="1" x14ac:dyDescent="0.35">
      <c r="B714" s="2986"/>
      <c r="C714" s="2894" t="s">
        <v>4400</v>
      </c>
      <c r="D714" s="2894"/>
      <c r="E714" s="2894"/>
      <c r="F714" s="2894"/>
      <c r="G714" s="2894"/>
      <c r="H714" s="2894"/>
      <c r="I714" s="2894"/>
      <c r="J714" s="2894"/>
      <c r="K714" s="2894"/>
      <c r="L714" s="2894"/>
      <c r="M714" s="2894"/>
      <c r="N714" s="2894"/>
      <c r="O714" s="2894"/>
      <c r="P714" s="2894"/>
      <c r="Q714" s="2895"/>
    </row>
    <row r="715" spans="2:17" s="840" customFormat="1" ht="16.5" x14ac:dyDescent="0.35">
      <c r="B715" s="2986"/>
      <c r="C715" s="2894"/>
      <c r="D715" s="2894"/>
      <c r="E715" s="2894"/>
      <c r="F715" s="2894"/>
      <c r="G715" s="2894"/>
      <c r="H715" s="2894"/>
      <c r="I715" s="2894"/>
      <c r="J715" s="2894"/>
      <c r="K715" s="2894"/>
      <c r="L715" s="2894"/>
      <c r="M715" s="2894"/>
      <c r="N715" s="2894"/>
      <c r="O715" s="2894"/>
      <c r="P715" s="2894"/>
      <c r="Q715" s="2895"/>
    </row>
    <row r="716" spans="2:17" s="840" customFormat="1" ht="16.5" x14ac:dyDescent="0.35">
      <c r="B716" s="2986"/>
      <c r="C716" s="2894" t="s">
        <v>4401</v>
      </c>
      <c r="D716" s="2894"/>
      <c r="E716" s="2894"/>
      <c r="F716" s="2894"/>
      <c r="G716" s="2894"/>
      <c r="H716" s="2894"/>
      <c r="I716" s="2894"/>
      <c r="J716" s="2894"/>
      <c r="K716" s="2894"/>
      <c r="L716" s="2894"/>
      <c r="M716" s="2894"/>
      <c r="N716" s="2894"/>
      <c r="O716" s="2894"/>
      <c r="P716" s="2894"/>
      <c r="Q716" s="2895"/>
    </row>
    <row r="717" spans="2:17" s="840" customFormat="1" ht="17.25" thickBot="1" x14ac:dyDescent="0.4">
      <c r="B717" s="2986"/>
      <c r="C717" s="2890" t="s">
        <v>4402</v>
      </c>
      <c r="D717" s="2890"/>
      <c r="E717" s="2890"/>
      <c r="F717" s="2890"/>
      <c r="G717" s="2890"/>
      <c r="H717" s="2890"/>
      <c r="I717" s="2890"/>
      <c r="J717" s="2890"/>
      <c r="K717" s="2890"/>
      <c r="L717" s="2890"/>
      <c r="M717" s="2890"/>
      <c r="N717" s="2890"/>
      <c r="O717" s="2890"/>
      <c r="P717" s="2890"/>
      <c r="Q717" s="2891"/>
    </row>
    <row r="718" spans="2:17" s="840" customFormat="1" ht="16.5" x14ac:dyDescent="0.35">
      <c r="B718" s="2986"/>
      <c r="C718" s="2896" t="s">
        <v>4164</v>
      </c>
      <c r="D718" s="2896"/>
      <c r="E718" s="2896"/>
      <c r="F718" s="2896"/>
      <c r="G718" s="2896"/>
      <c r="H718" s="2896"/>
      <c r="I718" s="2896"/>
      <c r="J718" s="2896"/>
      <c r="K718" s="2896"/>
      <c r="L718" s="2896"/>
      <c r="M718" s="2896"/>
      <c r="N718" s="2896"/>
      <c r="O718" s="2896"/>
      <c r="P718" s="2896"/>
      <c r="Q718" s="2897"/>
    </row>
    <row r="719" spans="2:17" s="840" customFormat="1" ht="28.9" customHeight="1" x14ac:dyDescent="0.35">
      <c r="B719" s="2986"/>
      <c r="C719" s="2894" t="s">
        <v>4403</v>
      </c>
      <c r="D719" s="2894"/>
      <c r="E719" s="2894"/>
      <c r="F719" s="2894"/>
      <c r="G719" s="2894"/>
      <c r="H719" s="2894"/>
      <c r="I719" s="2894"/>
      <c r="J719" s="2894"/>
      <c r="K719" s="2894"/>
      <c r="L719" s="2894"/>
      <c r="M719" s="2894"/>
      <c r="N719" s="2894"/>
      <c r="O719" s="2894"/>
      <c r="P719" s="2894"/>
      <c r="Q719" s="2895"/>
    </row>
    <row r="720" spans="2:17" s="840" customFormat="1" ht="16.5" x14ac:dyDescent="0.35">
      <c r="B720" s="2986"/>
      <c r="C720" s="2894" t="s">
        <v>4404</v>
      </c>
      <c r="D720" s="2894"/>
      <c r="E720" s="2894"/>
      <c r="F720" s="2894"/>
      <c r="G720" s="2894"/>
      <c r="H720" s="2894"/>
      <c r="I720" s="2894"/>
      <c r="J720" s="2894"/>
      <c r="K720" s="2894"/>
      <c r="L720" s="2894"/>
      <c r="M720" s="2894"/>
      <c r="N720" s="2894"/>
      <c r="O720" s="2894"/>
      <c r="P720" s="2894"/>
      <c r="Q720" s="2895"/>
    </row>
    <row r="721" spans="2:17" s="840" customFormat="1" ht="16.5" x14ac:dyDescent="0.35">
      <c r="B721" s="2986"/>
      <c r="C721" s="2894"/>
      <c r="D721" s="2894"/>
      <c r="E721" s="2894"/>
      <c r="F721" s="2894"/>
      <c r="G721" s="2894"/>
      <c r="H721" s="2894"/>
      <c r="I721" s="2894"/>
      <c r="J721" s="2894"/>
      <c r="K721" s="2894"/>
      <c r="L721" s="2894"/>
      <c r="M721" s="2894"/>
      <c r="N721" s="2894"/>
      <c r="O721" s="2894"/>
      <c r="P721" s="2894"/>
      <c r="Q721" s="2895"/>
    </row>
    <row r="722" spans="2:17" s="840" customFormat="1" ht="16.5" x14ac:dyDescent="0.35">
      <c r="B722" s="2986"/>
      <c r="C722" s="2894" t="s">
        <v>4405</v>
      </c>
      <c r="D722" s="2894"/>
      <c r="E722" s="2894"/>
      <c r="F722" s="2894"/>
      <c r="G722" s="2894"/>
      <c r="H722" s="2894"/>
      <c r="I722" s="2894"/>
      <c r="J722" s="2894"/>
      <c r="K722" s="2894"/>
      <c r="L722" s="2894"/>
      <c r="M722" s="2894"/>
      <c r="N722" s="2894"/>
      <c r="O722" s="2894"/>
      <c r="P722" s="2894"/>
      <c r="Q722" s="2895"/>
    </row>
    <row r="723" spans="2:17" s="840" customFormat="1" ht="17.25" thickBot="1" x14ac:dyDescent="0.4">
      <c r="B723" s="2986"/>
      <c r="C723" s="2943"/>
      <c r="D723" s="2943"/>
      <c r="E723" s="2943"/>
      <c r="F723" s="2943"/>
      <c r="G723" s="2943"/>
      <c r="H723" s="2943"/>
      <c r="I723" s="2943"/>
      <c r="J723" s="2943"/>
      <c r="K723" s="2943"/>
      <c r="L723" s="2943"/>
      <c r="M723" s="2943"/>
      <c r="N723" s="2943"/>
      <c r="O723" s="2943"/>
      <c r="P723" s="2943"/>
      <c r="Q723" s="2944"/>
    </row>
    <row r="724" spans="2:17" s="840" customFormat="1" ht="69" customHeight="1" thickTop="1" x14ac:dyDescent="0.35">
      <c r="B724" s="2986"/>
      <c r="C724" s="2900" t="s">
        <v>4406</v>
      </c>
      <c r="D724" s="2900"/>
      <c r="E724" s="2900"/>
      <c r="F724" s="2951" t="s">
        <v>4380</v>
      </c>
      <c r="G724" s="2952"/>
      <c r="H724" s="2953" t="s">
        <v>4381</v>
      </c>
      <c r="I724" s="2954"/>
      <c r="J724" s="2951" t="s">
        <v>4407</v>
      </c>
      <c r="K724" s="2952"/>
      <c r="L724" s="2953" t="s">
        <v>4408</v>
      </c>
      <c r="M724" s="2954"/>
      <c r="N724" s="2953" t="s">
        <v>4409</v>
      </c>
      <c r="O724" s="2954"/>
      <c r="P724" s="2953" t="s">
        <v>4410</v>
      </c>
      <c r="Q724" s="2954"/>
    </row>
    <row r="725" spans="2:17" s="840" customFormat="1" ht="16.5" x14ac:dyDescent="0.35">
      <c r="B725" s="2986"/>
      <c r="C725" s="2900"/>
      <c r="D725" s="2900"/>
      <c r="E725" s="2900"/>
      <c r="F725" s="2936"/>
      <c r="G725" s="2895"/>
      <c r="H725" s="2936"/>
      <c r="I725" s="2895"/>
      <c r="J725" s="2936"/>
      <c r="K725" s="2895"/>
      <c r="L725" s="2936"/>
      <c r="M725" s="2895"/>
      <c r="N725" s="2936"/>
      <c r="O725" s="2895"/>
      <c r="P725" s="2936"/>
      <c r="Q725" s="2895"/>
    </row>
    <row r="726" spans="2:17" s="840" customFormat="1" ht="16.5" x14ac:dyDescent="0.35">
      <c r="B726" s="2986"/>
      <c r="C726" s="2900"/>
      <c r="D726" s="2900"/>
      <c r="E726" s="2900"/>
      <c r="F726" s="2936"/>
      <c r="G726" s="2895"/>
      <c r="H726" s="2936"/>
      <c r="I726" s="2895"/>
      <c r="J726" s="2936"/>
      <c r="K726" s="2895"/>
      <c r="L726" s="2936" t="s">
        <v>4113</v>
      </c>
      <c r="M726" s="2895"/>
      <c r="N726" s="2936" t="s">
        <v>3488</v>
      </c>
      <c r="O726" s="2895"/>
      <c r="P726" s="2936" t="s">
        <v>3489</v>
      </c>
      <c r="Q726" s="2895"/>
    </row>
    <row r="727" spans="2:17" s="840" customFormat="1" ht="16.5" x14ac:dyDescent="0.35">
      <c r="B727" s="2986"/>
      <c r="C727" s="2900"/>
      <c r="D727" s="2900"/>
      <c r="E727" s="2900"/>
      <c r="F727" s="2936"/>
      <c r="G727" s="2895"/>
      <c r="H727" s="2936"/>
      <c r="I727" s="2895"/>
      <c r="J727" s="2936" t="s">
        <v>4411</v>
      </c>
      <c r="K727" s="2895"/>
      <c r="L727" s="2937"/>
      <c r="M727" s="2938"/>
      <c r="N727" s="2937"/>
      <c r="O727" s="2938"/>
      <c r="P727" s="2937"/>
      <c r="Q727" s="2938"/>
    </row>
    <row r="728" spans="2:17" s="840" customFormat="1" ht="16.5" x14ac:dyDescent="0.35">
      <c r="B728" s="2986"/>
      <c r="C728" s="2900"/>
      <c r="D728" s="2900"/>
      <c r="E728" s="2900"/>
      <c r="F728" s="2936"/>
      <c r="G728" s="2895"/>
      <c r="H728" s="2936" t="s">
        <v>3485</v>
      </c>
      <c r="I728" s="2895"/>
      <c r="J728" s="2937"/>
      <c r="K728" s="2938"/>
      <c r="L728" s="2937"/>
      <c r="M728" s="2938"/>
      <c r="N728" s="2937"/>
      <c r="O728" s="2938"/>
      <c r="P728" s="2937"/>
      <c r="Q728" s="2938"/>
    </row>
    <row r="729" spans="2:17" s="840" customFormat="1" ht="16.5" x14ac:dyDescent="0.35">
      <c r="B729" s="2986"/>
      <c r="C729" s="2900"/>
      <c r="D729" s="2900"/>
      <c r="E729" s="2900"/>
      <c r="F729" s="2936"/>
      <c r="G729" s="2895"/>
      <c r="H729" s="2937"/>
      <c r="I729" s="2938"/>
      <c r="J729" s="2937"/>
      <c r="K729" s="2938"/>
      <c r="L729" s="2937"/>
      <c r="M729" s="2938"/>
      <c r="N729" s="2937"/>
      <c r="O729" s="2938"/>
      <c r="P729" s="2937"/>
      <c r="Q729" s="2938"/>
    </row>
    <row r="730" spans="2:17" s="840" customFormat="1" ht="17.25" thickBot="1" x14ac:dyDescent="0.4">
      <c r="B730" s="2986"/>
      <c r="C730" s="2900"/>
      <c r="D730" s="2900"/>
      <c r="E730" s="2900"/>
      <c r="F730" s="2936"/>
      <c r="G730" s="2895"/>
      <c r="H730" s="2937"/>
      <c r="I730" s="2938"/>
      <c r="J730" s="2937"/>
      <c r="K730" s="2938"/>
      <c r="L730" s="2937"/>
      <c r="M730" s="2938"/>
      <c r="N730" s="2937"/>
      <c r="O730" s="2938"/>
      <c r="P730" s="2937"/>
      <c r="Q730" s="2938"/>
    </row>
    <row r="731" spans="2:17" s="840" customFormat="1" ht="17.25" thickBot="1" x14ac:dyDescent="0.4">
      <c r="B731" s="2986"/>
      <c r="C731" s="1329" t="s">
        <v>4121</v>
      </c>
      <c r="D731" s="2913">
        <v>80</v>
      </c>
      <c r="E731" s="2914"/>
      <c r="F731" s="2920" t="s">
        <v>3484</v>
      </c>
      <c r="G731" s="2891"/>
      <c r="H731" s="2935"/>
      <c r="I731" s="2910"/>
      <c r="J731" s="2935"/>
      <c r="K731" s="2910"/>
      <c r="L731" s="2935"/>
      <c r="M731" s="2910"/>
      <c r="N731" s="2935"/>
      <c r="O731" s="2910"/>
      <c r="P731" s="2935"/>
      <c r="Q731" s="2910"/>
    </row>
    <row r="732" spans="2:17" s="840" customFormat="1" ht="16.5" x14ac:dyDescent="0.35">
      <c r="B732" s="2986"/>
      <c r="C732" s="2896" t="s">
        <v>4122</v>
      </c>
      <c r="D732" s="2896"/>
      <c r="E732" s="2896"/>
      <c r="F732" s="2896"/>
      <c r="G732" s="2896"/>
      <c r="H732" s="2896"/>
      <c r="I732" s="2896"/>
      <c r="J732" s="2896"/>
      <c r="K732" s="2896"/>
      <c r="L732" s="2896"/>
      <c r="M732" s="2896"/>
      <c r="N732" s="2896"/>
      <c r="O732" s="2896"/>
      <c r="P732" s="2896"/>
      <c r="Q732" s="2897"/>
    </row>
    <row r="733" spans="2:17" s="840" customFormat="1" ht="28.9" customHeight="1" x14ac:dyDescent="0.35">
      <c r="B733" s="2986"/>
      <c r="C733" s="2894" t="s">
        <v>4412</v>
      </c>
      <c r="D733" s="2894"/>
      <c r="E733" s="2894"/>
      <c r="F733" s="2894"/>
      <c r="G733" s="2894"/>
      <c r="H733" s="2894"/>
      <c r="I733" s="2894"/>
      <c r="J733" s="2894"/>
      <c r="K733" s="2894"/>
      <c r="L733" s="2894"/>
      <c r="M733" s="2894"/>
      <c r="N733" s="2894"/>
      <c r="O733" s="2894"/>
      <c r="P733" s="2894"/>
      <c r="Q733" s="2895"/>
    </row>
    <row r="734" spans="2:17" s="840" customFormat="1" ht="16.5" x14ac:dyDescent="0.35">
      <c r="B734" s="2986"/>
      <c r="C734" s="2894"/>
      <c r="D734" s="2894"/>
      <c r="E734" s="2894"/>
      <c r="F734" s="2894"/>
      <c r="G734" s="2894"/>
      <c r="H734" s="2894"/>
      <c r="I734" s="2894"/>
      <c r="J734" s="2894"/>
      <c r="K734" s="2894"/>
      <c r="L734" s="2894"/>
      <c r="M734" s="2894"/>
      <c r="N734" s="2894"/>
      <c r="O734" s="2894"/>
      <c r="P734" s="2894"/>
      <c r="Q734" s="2895"/>
    </row>
    <row r="735" spans="2:17" s="840" customFormat="1" ht="16.5" x14ac:dyDescent="0.35">
      <c r="B735" s="2986"/>
      <c r="C735" s="2894" t="s">
        <v>4413</v>
      </c>
      <c r="D735" s="2894"/>
      <c r="E735" s="2894"/>
      <c r="F735" s="2894"/>
      <c r="G735" s="2894"/>
      <c r="H735" s="2894"/>
      <c r="I735" s="2894"/>
      <c r="J735" s="2894"/>
      <c r="K735" s="2894"/>
      <c r="L735" s="2894"/>
      <c r="M735" s="2894"/>
      <c r="N735" s="2894"/>
      <c r="O735" s="2894"/>
      <c r="P735" s="2894"/>
      <c r="Q735" s="2895"/>
    </row>
    <row r="736" spans="2:17" s="840" customFormat="1" ht="16.5" x14ac:dyDescent="0.35">
      <c r="B736" s="2986"/>
      <c r="C736" s="2894" t="s">
        <v>4414</v>
      </c>
      <c r="D736" s="2894"/>
      <c r="E736" s="2894"/>
      <c r="F736" s="2894"/>
      <c r="G736" s="2894"/>
      <c r="H736" s="2894"/>
      <c r="I736" s="2894"/>
      <c r="J736" s="2894"/>
      <c r="K736" s="2894"/>
      <c r="L736" s="2894"/>
      <c r="M736" s="2894"/>
      <c r="N736" s="2894"/>
      <c r="O736" s="2894"/>
      <c r="P736" s="2894"/>
      <c r="Q736" s="2895"/>
    </row>
    <row r="737" spans="2:17" s="840" customFormat="1" ht="16.5" x14ac:dyDescent="0.35">
      <c r="B737" s="2986"/>
      <c r="C737" s="2894" t="s">
        <v>4415</v>
      </c>
      <c r="D737" s="2894"/>
      <c r="E737" s="2894"/>
      <c r="F737" s="2894"/>
      <c r="G737" s="2894"/>
      <c r="H737" s="2894"/>
      <c r="I737" s="2894"/>
      <c r="J737" s="2894"/>
      <c r="K737" s="2894"/>
      <c r="L737" s="2894"/>
      <c r="M737" s="2894"/>
      <c r="N737" s="2894"/>
      <c r="O737" s="2894"/>
      <c r="P737" s="2894"/>
      <c r="Q737" s="2895"/>
    </row>
    <row r="738" spans="2:17" s="840" customFormat="1" ht="16.5" x14ac:dyDescent="0.35">
      <c r="B738" s="2986"/>
      <c r="C738" s="2894" t="s">
        <v>4416</v>
      </c>
      <c r="D738" s="2894"/>
      <c r="E738" s="2894"/>
      <c r="F738" s="2894"/>
      <c r="G738" s="2894"/>
      <c r="H738" s="2894"/>
      <c r="I738" s="2894"/>
      <c r="J738" s="2894"/>
      <c r="K738" s="2894"/>
      <c r="L738" s="2894"/>
      <c r="M738" s="2894"/>
      <c r="N738" s="2894"/>
      <c r="O738" s="2894"/>
      <c r="P738" s="2894"/>
      <c r="Q738" s="2895"/>
    </row>
    <row r="739" spans="2:17" s="840" customFormat="1" ht="17.25" thickBot="1" x14ac:dyDescent="0.4">
      <c r="B739" s="2986"/>
      <c r="C739" s="2960"/>
      <c r="D739" s="2960"/>
      <c r="E739" s="2960"/>
      <c r="F739" s="2960"/>
      <c r="G739" s="2960"/>
      <c r="H739" s="2960"/>
      <c r="I739" s="2960"/>
      <c r="J739" s="2960"/>
      <c r="K739" s="2960"/>
      <c r="L739" s="2960"/>
      <c r="M739" s="2960"/>
      <c r="N739" s="2960"/>
      <c r="O739" s="2960"/>
      <c r="P739" s="2960"/>
      <c r="Q739" s="2961"/>
    </row>
    <row r="740" spans="2:17" s="840" customFormat="1" ht="16.5" x14ac:dyDescent="0.35">
      <c r="B740" s="2986"/>
      <c r="C740" s="2896" t="s">
        <v>4128</v>
      </c>
      <c r="D740" s="2896"/>
      <c r="E740" s="2896"/>
      <c r="F740" s="2896"/>
      <c r="G740" s="2896"/>
      <c r="H740" s="2896"/>
      <c r="I740" s="2896"/>
      <c r="J740" s="2896"/>
      <c r="K740" s="2896"/>
      <c r="L740" s="2896"/>
      <c r="M740" s="2896"/>
      <c r="N740" s="2896"/>
      <c r="O740" s="2896"/>
      <c r="P740" s="2896"/>
      <c r="Q740" s="2897"/>
    </row>
    <row r="741" spans="2:17" s="840" customFormat="1" ht="16.5" x14ac:dyDescent="0.35">
      <c r="B741" s="2986"/>
      <c r="C741" s="2894" t="s">
        <v>4417</v>
      </c>
      <c r="D741" s="2894"/>
      <c r="E741" s="2894"/>
      <c r="F741" s="2894"/>
      <c r="G741" s="2894"/>
      <c r="H741" s="2894"/>
      <c r="I741" s="2894"/>
      <c r="J741" s="2894"/>
      <c r="K741" s="2894"/>
      <c r="L741" s="2894"/>
      <c r="M741" s="2894"/>
      <c r="N741" s="2894"/>
      <c r="O741" s="2894"/>
      <c r="P741" s="2894"/>
      <c r="Q741" s="2895"/>
    </row>
    <row r="742" spans="2:17" s="840" customFormat="1" ht="16.5" x14ac:dyDescent="0.35">
      <c r="B742" s="2986"/>
      <c r="C742" s="2894"/>
      <c r="D742" s="2894"/>
      <c r="E742" s="2894"/>
      <c r="F742" s="2894"/>
      <c r="G742" s="2894"/>
      <c r="H742" s="2894"/>
      <c r="I742" s="2894"/>
      <c r="J742" s="2894"/>
      <c r="K742" s="2894"/>
      <c r="L742" s="2894"/>
      <c r="M742" s="2894"/>
      <c r="N742" s="2894"/>
      <c r="O742" s="2894"/>
      <c r="P742" s="2894"/>
      <c r="Q742" s="2895"/>
    </row>
    <row r="743" spans="2:17" s="840" customFormat="1" ht="16.5" x14ac:dyDescent="0.35">
      <c r="B743" s="2986"/>
      <c r="C743" s="2894" t="s">
        <v>4418</v>
      </c>
      <c r="D743" s="2894"/>
      <c r="E743" s="2894"/>
      <c r="F743" s="2894"/>
      <c r="G743" s="2894"/>
      <c r="H743" s="2894"/>
      <c r="I743" s="2894"/>
      <c r="J743" s="2894"/>
      <c r="K743" s="2894"/>
      <c r="L743" s="2894"/>
      <c r="M743" s="2894"/>
      <c r="N743" s="2894"/>
      <c r="O743" s="2894"/>
      <c r="P743" s="2894"/>
      <c r="Q743" s="2895"/>
    </row>
    <row r="744" spans="2:17" s="840" customFormat="1" ht="17.25" thickBot="1" x14ac:dyDescent="0.4">
      <c r="B744" s="2986"/>
      <c r="C744" s="2890" t="s">
        <v>4419</v>
      </c>
      <c r="D744" s="2890"/>
      <c r="E744" s="2890"/>
      <c r="F744" s="2890"/>
      <c r="G744" s="2890"/>
      <c r="H744" s="2890"/>
      <c r="I744" s="2890"/>
      <c r="J744" s="2890"/>
      <c r="K744" s="2890"/>
      <c r="L744" s="2890"/>
      <c r="M744" s="2890"/>
      <c r="N744" s="2890"/>
      <c r="O744" s="2890"/>
      <c r="P744" s="2890"/>
      <c r="Q744" s="2891"/>
    </row>
    <row r="745" spans="2:17" s="840" customFormat="1" ht="17.25" thickBot="1" x14ac:dyDescent="0.4">
      <c r="B745" s="2986"/>
      <c r="C745" s="2958"/>
      <c r="D745" s="2958"/>
      <c r="E745" s="2958"/>
      <c r="F745" s="2959"/>
      <c r="G745" s="2925" t="s">
        <v>3484</v>
      </c>
      <c r="H745" s="2926"/>
      <c r="I745" s="2925" t="s">
        <v>3485</v>
      </c>
      <c r="J745" s="2926"/>
      <c r="K745" s="2925" t="s">
        <v>4112</v>
      </c>
      <c r="L745" s="2926"/>
      <c r="M745" s="2925" t="s">
        <v>4113</v>
      </c>
      <c r="N745" s="2926"/>
      <c r="O745" s="2925" t="s">
        <v>3488</v>
      </c>
      <c r="P745" s="2926"/>
      <c r="Q745" s="1340" t="s">
        <v>3489</v>
      </c>
    </row>
    <row r="746" spans="2:17" s="840" customFormat="1" ht="66" x14ac:dyDescent="0.35">
      <c r="B746" s="2986"/>
      <c r="C746" s="2900" t="s">
        <v>4420</v>
      </c>
      <c r="D746" s="2900"/>
      <c r="E746" s="2900"/>
      <c r="F746" s="2900"/>
      <c r="G746" s="2915" t="s">
        <v>4380</v>
      </c>
      <c r="H746" s="2897"/>
      <c r="I746" s="2918" t="s">
        <v>4381</v>
      </c>
      <c r="J746" s="2919"/>
      <c r="K746" s="2915" t="s">
        <v>4421</v>
      </c>
      <c r="L746" s="2897"/>
      <c r="M746" s="2918" t="s">
        <v>4422</v>
      </c>
      <c r="N746" s="2919"/>
      <c r="O746" s="2918" t="s">
        <v>4423</v>
      </c>
      <c r="P746" s="2919"/>
      <c r="Q746" s="1342" t="s">
        <v>4424</v>
      </c>
    </row>
    <row r="747" spans="2:17" s="840" customFormat="1" ht="16.5" x14ac:dyDescent="0.35">
      <c r="B747" s="2986"/>
      <c r="C747" s="2900"/>
      <c r="D747" s="2900"/>
      <c r="E747" s="2900"/>
      <c r="F747" s="2900"/>
      <c r="G747" s="2936"/>
      <c r="H747" s="2895"/>
      <c r="I747" s="2936"/>
      <c r="J747" s="2895"/>
      <c r="K747" s="2936"/>
      <c r="L747" s="2895"/>
      <c r="M747" s="2936"/>
      <c r="N747" s="2895"/>
      <c r="O747" s="2936"/>
      <c r="P747" s="2895"/>
      <c r="Q747" s="1342"/>
    </row>
    <row r="748" spans="2:17" s="840" customFormat="1" ht="16.5" x14ac:dyDescent="0.35">
      <c r="B748" s="2986"/>
      <c r="C748" s="2900"/>
      <c r="D748" s="2900"/>
      <c r="E748" s="2900"/>
      <c r="F748" s="2900"/>
      <c r="G748" s="2936"/>
      <c r="H748" s="2895"/>
      <c r="I748" s="2936" t="s">
        <v>3485</v>
      </c>
      <c r="J748" s="2895"/>
      <c r="K748" s="2936"/>
      <c r="L748" s="2895"/>
      <c r="M748" s="2936"/>
      <c r="N748" s="2895"/>
      <c r="O748" s="2936"/>
      <c r="P748" s="2895"/>
      <c r="Q748" s="1342"/>
    </row>
    <row r="749" spans="2:17" s="840" customFormat="1" ht="16.5" x14ac:dyDescent="0.35">
      <c r="B749" s="2986"/>
      <c r="C749" s="2900"/>
      <c r="D749" s="2900"/>
      <c r="E749" s="2900"/>
      <c r="F749" s="2900"/>
      <c r="G749" s="2936"/>
      <c r="H749" s="2895"/>
      <c r="I749" s="2937"/>
      <c r="J749" s="2938"/>
      <c r="K749" s="2936"/>
      <c r="L749" s="2895"/>
      <c r="M749" s="2936"/>
      <c r="N749" s="2895"/>
      <c r="O749" s="2936"/>
      <c r="P749" s="2895"/>
      <c r="Q749" s="1342"/>
    </row>
    <row r="750" spans="2:17" s="840" customFormat="1" ht="17.25" thickBot="1" x14ac:dyDescent="0.4">
      <c r="B750" s="2986"/>
      <c r="C750" s="2900"/>
      <c r="D750" s="2900"/>
      <c r="E750" s="2900"/>
      <c r="F750" s="2900"/>
      <c r="G750" s="2936" t="s">
        <v>3484</v>
      </c>
      <c r="H750" s="2895"/>
      <c r="I750" s="2937"/>
      <c r="J750" s="2938"/>
      <c r="K750" s="2936"/>
      <c r="L750" s="2895"/>
      <c r="M750" s="2936"/>
      <c r="N750" s="2895"/>
      <c r="O750" s="2936"/>
      <c r="P750" s="2895"/>
      <c r="Q750" s="1342" t="s">
        <v>3489</v>
      </c>
    </row>
    <row r="751" spans="2:17" s="840" customFormat="1" ht="17.25" thickBot="1" x14ac:dyDescent="0.4">
      <c r="B751" s="2986"/>
      <c r="C751" s="2911" t="s">
        <v>4121</v>
      </c>
      <c r="D751" s="2912"/>
      <c r="E751" s="2939">
        <v>70</v>
      </c>
      <c r="F751" s="2940"/>
      <c r="G751" s="2935"/>
      <c r="H751" s="2910"/>
      <c r="I751" s="2935"/>
      <c r="J751" s="2910"/>
      <c r="K751" s="2920" t="s">
        <v>4112</v>
      </c>
      <c r="L751" s="2891"/>
      <c r="M751" s="2920" t="s">
        <v>4113</v>
      </c>
      <c r="N751" s="2891"/>
      <c r="O751" s="2920" t="s">
        <v>3488</v>
      </c>
      <c r="P751" s="2891"/>
      <c r="Q751" s="1344"/>
    </row>
    <row r="752" spans="2:17" s="840" customFormat="1" ht="16.5" x14ac:dyDescent="0.35">
      <c r="B752" s="2986"/>
      <c r="C752" s="2896" t="s">
        <v>4122</v>
      </c>
      <c r="D752" s="2896"/>
      <c r="E752" s="2896"/>
      <c r="F752" s="2896"/>
      <c r="G752" s="2896"/>
      <c r="H752" s="2896"/>
      <c r="I752" s="2896"/>
      <c r="J752" s="2896"/>
      <c r="K752" s="2896"/>
      <c r="L752" s="2896"/>
      <c r="M752" s="2896"/>
      <c r="N752" s="2896"/>
      <c r="O752" s="2896"/>
      <c r="P752" s="2896"/>
      <c r="Q752" s="2897"/>
    </row>
    <row r="753" spans="2:17" s="840" customFormat="1" ht="16.5" x14ac:dyDescent="0.35">
      <c r="B753" s="2986"/>
      <c r="C753" s="2894" t="s">
        <v>4425</v>
      </c>
      <c r="D753" s="2894"/>
      <c r="E753" s="2894"/>
      <c r="F753" s="2894"/>
      <c r="G753" s="2894"/>
      <c r="H753" s="2894"/>
      <c r="I753" s="2894"/>
      <c r="J753" s="2894"/>
      <c r="K753" s="2894"/>
      <c r="L753" s="2894"/>
      <c r="M753" s="2894"/>
      <c r="N753" s="2894"/>
      <c r="O753" s="2894"/>
      <c r="P753" s="2894"/>
      <c r="Q753" s="2895"/>
    </row>
    <row r="754" spans="2:17" s="840" customFormat="1" ht="16.5" x14ac:dyDescent="0.35">
      <c r="B754" s="2986"/>
      <c r="C754" s="2894" t="s">
        <v>4426</v>
      </c>
      <c r="D754" s="2894"/>
      <c r="E754" s="2894"/>
      <c r="F754" s="2894"/>
      <c r="G754" s="2894"/>
      <c r="H754" s="2894"/>
      <c r="I754" s="2894"/>
      <c r="J754" s="2894"/>
      <c r="K754" s="2894"/>
      <c r="L754" s="2894"/>
      <c r="M754" s="2894"/>
      <c r="N754" s="2894"/>
      <c r="O754" s="2894"/>
      <c r="P754" s="2894"/>
      <c r="Q754" s="2895"/>
    </row>
    <row r="755" spans="2:17" s="840" customFormat="1" ht="16.5" x14ac:dyDescent="0.35">
      <c r="B755" s="2986"/>
      <c r="C755" s="2894" t="s">
        <v>4427</v>
      </c>
      <c r="D755" s="2894"/>
      <c r="E755" s="2894"/>
      <c r="F755" s="2894"/>
      <c r="G755" s="2894"/>
      <c r="H755" s="2894"/>
      <c r="I755" s="2894"/>
      <c r="J755" s="2894"/>
      <c r="K755" s="2894"/>
      <c r="L755" s="2894"/>
      <c r="M755" s="2894"/>
      <c r="N755" s="2894"/>
      <c r="O755" s="2894"/>
      <c r="P755" s="2894"/>
      <c r="Q755" s="2895"/>
    </row>
    <row r="756" spans="2:17" s="840" customFormat="1" ht="17.25" thickBot="1" x14ac:dyDescent="0.4">
      <c r="B756" s="2986"/>
      <c r="C756" s="2890" t="s">
        <v>4428</v>
      </c>
      <c r="D756" s="2890"/>
      <c r="E756" s="2890"/>
      <c r="F756" s="2890"/>
      <c r="G756" s="2890"/>
      <c r="H756" s="2890"/>
      <c r="I756" s="2890"/>
      <c r="J756" s="2890"/>
      <c r="K756" s="2890"/>
      <c r="L756" s="2890"/>
      <c r="M756" s="2890"/>
      <c r="N756" s="2890"/>
      <c r="O756" s="2890"/>
      <c r="P756" s="2890"/>
      <c r="Q756" s="2891"/>
    </row>
    <row r="757" spans="2:17" s="840" customFormat="1" ht="16.5" x14ac:dyDescent="0.35">
      <c r="B757" s="2986"/>
      <c r="C757" s="2896" t="s">
        <v>4151</v>
      </c>
      <c r="D757" s="2896"/>
      <c r="E757" s="2896"/>
      <c r="F757" s="2896"/>
      <c r="G757" s="2896"/>
      <c r="H757" s="2896"/>
      <c r="I757" s="2896"/>
      <c r="J757" s="2896"/>
      <c r="K757" s="2896"/>
      <c r="L757" s="2896"/>
      <c r="M757" s="2896"/>
      <c r="N757" s="2896"/>
      <c r="O757" s="2896"/>
      <c r="P757" s="2896"/>
      <c r="Q757" s="2897"/>
    </row>
    <row r="758" spans="2:17" s="840" customFormat="1" ht="16.5" x14ac:dyDescent="0.35">
      <c r="B758" s="2986"/>
      <c r="C758" s="2955" t="s">
        <v>4429</v>
      </c>
      <c r="D758" s="2955"/>
      <c r="E758" s="2955"/>
      <c r="F758" s="2955"/>
      <c r="G758" s="2955"/>
      <c r="H758" s="2955"/>
      <c r="I758" s="2955"/>
      <c r="J758" s="2955"/>
      <c r="K758" s="2955"/>
      <c r="L758" s="2955"/>
      <c r="M758" s="2955"/>
      <c r="N758" s="2955"/>
      <c r="O758" s="2955"/>
      <c r="P758" s="2955"/>
      <c r="Q758" s="2942"/>
    </row>
    <row r="759" spans="2:17" s="840" customFormat="1" ht="28.9" customHeight="1" thickBot="1" x14ac:dyDescent="0.4">
      <c r="B759" s="2986"/>
      <c r="C759" s="2890" t="s">
        <v>4430</v>
      </c>
      <c r="D759" s="2890"/>
      <c r="E759" s="2890"/>
      <c r="F759" s="2890"/>
      <c r="G759" s="2890"/>
      <c r="H759" s="2890"/>
      <c r="I759" s="2890"/>
      <c r="J759" s="2890"/>
      <c r="K759" s="2890"/>
      <c r="L759" s="2890"/>
      <c r="M759" s="2890"/>
      <c r="N759" s="2890"/>
      <c r="O759" s="2890"/>
      <c r="P759" s="2890"/>
      <c r="Q759" s="2891"/>
    </row>
    <row r="760" spans="2:17" s="840" customFormat="1" ht="16.5" x14ac:dyDescent="0.35">
      <c r="B760" s="2986"/>
      <c r="C760" s="2896" t="s">
        <v>4128</v>
      </c>
      <c r="D760" s="2896"/>
      <c r="E760" s="2896"/>
      <c r="F760" s="2896"/>
      <c r="G760" s="2896"/>
      <c r="H760" s="2896"/>
      <c r="I760" s="2896"/>
      <c r="J760" s="2896"/>
      <c r="K760" s="2896"/>
      <c r="L760" s="2896"/>
      <c r="M760" s="2896"/>
      <c r="N760" s="2896"/>
      <c r="O760" s="2896"/>
      <c r="P760" s="2896"/>
      <c r="Q760" s="2897"/>
    </row>
    <row r="761" spans="2:17" s="840" customFormat="1" ht="16.5" x14ac:dyDescent="0.35">
      <c r="B761" s="2986"/>
      <c r="C761" s="2894" t="s">
        <v>4431</v>
      </c>
      <c r="D761" s="2894"/>
      <c r="E761" s="2894"/>
      <c r="F761" s="2894"/>
      <c r="G761" s="2894"/>
      <c r="H761" s="2894"/>
      <c r="I761" s="2894"/>
      <c r="J761" s="2894"/>
      <c r="K761" s="2894"/>
      <c r="L761" s="2894"/>
      <c r="M761" s="2894"/>
      <c r="N761" s="2894"/>
      <c r="O761" s="2894"/>
      <c r="P761" s="2894"/>
      <c r="Q761" s="2895"/>
    </row>
    <row r="762" spans="2:17" s="840" customFormat="1" ht="16.5" x14ac:dyDescent="0.35">
      <c r="B762" s="2986"/>
      <c r="C762" s="2894" t="s">
        <v>4432</v>
      </c>
      <c r="D762" s="2894"/>
      <c r="E762" s="2894"/>
      <c r="F762" s="2894"/>
      <c r="G762" s="2894"/>
      <c r="H762" s="2894"/>
      <c r="I762" s="2894"/>
      <c r="J762" s="2894"/>
      <c r="K762" s="2894"/>
      <c r="L762" s="2894"/>
      <c r="M762" s="2894"/>
      <c r="N762" s="2894"/>
      <c r="O762" s="2894"/>
      <c r="P762" s="2894"/>
      <c r="Q762" s="2895"/>
    </row>
    <row r="763" spans="2:17" s="840" customFormat="1" ht="16.5" x14ac:dyDescent="0.35">
      <c r="B763" s="2986"/>
      <c r="C763" s="2894" t="s">
        <v>4433</v>
      </c>
      <c r="D763" s="2894"/>
      <c r="E763" s="2894"/>
      <c r="F763" s="2894"/>
      <c r="G763" s="2894"/>
      <c r="H763" s="2894"/>
      <c r="I763" s="2894"/>
      <c r="J763" s="2894"/>
      <c r="K763" s="2894"/>
      <c r="L763" s="2894"/>
      <c r="M763" s="2894"/>
      <c r="N763" s="2894"/>
      <c r="O763" s="2894"/>
      <c r="P763" s="2894"/>
      <c r="Q763" s="2895"/>
    </row>
    <row r="764" spans="2:17" s="840" customFormat="1" ht="16.5" x14ac:dyDescent="0.35">
      <c r="B764" s="2986"/>
      <c r="C764" s="2894" t="s">
        <v>4434</v>
      </c>
      <c r="D764" s="2894"/>
      <c r="E764" s="2894"/>
      <c r="F764" s="2894"/>
      <c r="G764" s="2894"/>
      <c r="H764" s="2894"/>
      <c r="I764" s="2894"/>
      <c r="J764" s="2894"/>
      <c r="K764" s="2894"/>
      <c r="L764" s="2894"/>
      <c r="M764" s="2894"/>
      <c r="N764" s="2894"/>
      <c r="O764" s="2894"/>
      <c r="P764" s="2894"/>
      <c r="Q764" s="2895"/>
    </row>
    <row r="765" spans="2:17" s="840" customFormat="1" ht="17.25" thickBot="1" x14ac:dyDescent="0.4">
      <c r="B765" s="2986"/>
      <c r="C765" s="2943" t="s">
        <v>4435</v>
      </c>
      <c r="D765" s="2943"/>
      <c r="E765" s="2943"/>
      <c r="F765" s="2943"/>
      <c r="G765" s="2943"/>
      <c r="H765" s="2943"/>
      <c r="I765" s="2943"/>
      <c r="J765" s="2943"/>
      <c r="K765" s="2943"/>
      <c r="L765" s="2943"/>
      <c r="M765" s="2943"/>
      <c r="N765" s="2943"/>
      <c r="O765" s="2943"/>
      <c r="P765" s="2943"/>
      <c r="Q765" s="2944"/>
    </row>
    <row r="766" spans="2:17" s="840" customFormat="1" ht="18" thickTop="1" thickBot="1" x14ac:dyDescent="0.4">
      <c r="B766" s="2986"/>
      <c r="C766" s="2956" t="s">
        <v>3982</v>
      </c>
      <c r="D766" s="2956"/>
      <c r="E766" s="2956"/>
      <c r="F766" s="2956"/>
      <c r="G766" s="2956"/>
      <c r="H766" s="2956"/>
      <c r="I766" s="2956"/>
      <c r="J766" s="2956"/>
      <c r="K766" s="2956"/>
      <c r="L766" s="2956"/>
      <c r="M766" s="2956"/>
      <c r="N766" s="2956"/>
      <c r="O766" s="2956"/>
      <c r="P766" s="2956"/>
      <c r="Q766" s="2957"/>
    </row>
    <row r="767" spans="2:17" s="840" customFormat="1" ht="17.25" thickBot="1" x14ac:dyDescent="0.4">
      <c r="B767" s="2986"/>
      <c r="C767" s="2933"/>
      <c r="D767" s="2933"/>
      <c r="E767" s="2933"/>
      <c r="F767" s="2934"/>
      <c r="G767" s="2925" t="s">
        <v>4111</v>
      </c>
      <c r="H767" s="2928"/>
      <c r="I767" s="2928"/>
      <c r="J767" s="2928"/>
      <c r="K767" s="2928"/>
      <c r="L767" s="2928"/>
      <c r="M767" s="2928"/>
      <c r="N767" s="2928"/>
      <c r="O767" s="2928"/>
      <c r="P767" s="2928"/>
      <c r="Q767" s="2926"/>
    </row>
    <row r="768" spans="2:17" s="840" customFormat="1" ht="17.25" thickBot="1" x14ac:dyDescent="0.4">
      <c r="B768" s="2986"/>
      <c r="C768" s="2890"/>
      <c r="D768" s="2890"/>
      <c r="E768" s="2890"/>
      <c r="F768" s="2891"/>
      <c r="G768" s="2925" t="s">
        <v>3484</v>
      </c>
      <c r="H768" s="2926"/>
      <c r="I768" s="2925" t="s">
        <v>3485</v>
      </c>
      <c r="J768" s="2926"/>
      <c r="K768" s="2925" t="s">
        <v>4112</v>
      </c>
      <c r="L768" s="2926"/>
      <c r="M768" s="2925" t="s">
        <v>4113</v>
      </c>
      <c r="N768" s="2926"/>
      <c r="O768" s="2925" t="s">
        <v>3488</v>
      </c>
      <c r="P768" s="2926"/>
      <c r="Q768" s="1341" t="s">
        <v>3489</v>
      </c>
    </row>
    <row r="769" spans="2:17" s="840" customFormat="1" ht="115.5" x14ac:dyDescent="0.35">
      <c r="B769" s="2986"/>
      <c r="C769" s="2900" t="s">
        <v>4436</v>
      </c>
      <c r="D769" s="2900"/>
      <c r="E769" s="2900"/>
      <c r="F769" s="2900"/>
      <c r="G769" s="2915" t="s">
        <v>4437</v>
      </c>
      <c r="H769" s="2897"/>
      <c r="I769" s="2918" t="s">
        <v>4438</v>
      </c>
      <c r="J769" s="2919"/>
      <c r="K769" s="2915" t="s">
        <v>4439</v>
      </c>
      <c r="L769" s="2897"/>
      <c r="M769" s="2918" t="s">
        <v>4440</v>
      </c>
      <c r="N769" s="2919"/>
      <c r="O769" s="2918" t="s">
        <v>4441</v>
      </c>
      <c r="P769" s="2919"/>
      <c r="Q769" s="1342" t="s">
        <v>4442</v>
      </c>
    </row>
    <row r="770" spans="2:17" s="840" customFormat="1" ht="16.5" x14ac:dyDescent="0.35">
      <c r="B770" s="2986"/>
      <c r="C770" s="2900"/>
      <c r="D770" s="2900"/>
      <c r="E770" s="2900"/>
      <c r="F770" s="2900"/>
      <c r="G770" s="2936"/>
      <c r="H770" s="2895"/>
      <c r="I770" s="2936"/>
      <c r="J770" s="2895"/>
      <c r="K770" s="2936"/>
      <c r="L770" s="2895"/>
      <c r="M770" s="2936"/>
      <c r="N770" s="2895"/>
      <c r="O770" s="2936"/>
      <c r="P770" s="2895"/>
      <c r="Q770" s="1342"/>
    </row>
    <row r="771" spans="2:17" s="840" customFormat="1" ht="17.25" thickBot="1" x14ac:dyDescent="0.4">
      <c r="B771" s="2986"/>
      <c r="C771" s="2900"/>
      <c r="D771" s="2900"/>
      <c r="E771" s="2900"/>
      <c r="F771" s="2900"/>
      <c r="G771" s="2936"/>
      <c r="H771" s="2895"/>
      <c r="I771" s="2936" t="s">
        <v>3485</v>
      </c>
      <c r="J771" s="2895"/>
      <c r="K771" s="2936" t="s">
        <v>4112</v>
      </c>
      <c r="L771" s="2895"/>
      <c r="M771" s="2936"/>
      <c r="N771" s="2895"/>
      <c r="O771" s="2936"/>
      <c r="P771" s="2895"/>
      <c r="Q771" s="1342" t="s">
        <v>3489</v>
      </c>
    </row>
    <row r="772" spans="2:17" s="840" customFormat="1" ht="17.25" thickBot="1" x14ac:dyDescent="0.4">
      <c r="B772" s="2986"/>
      <c r="C772" s="2911" t="s">
        <v>4121</v>
      </c>
      <c r="D772" s="2912"/>
      <c r="E772" s="2939">
        <v>20</v>
      </c>
      <c r="F772" s="2940"/>
      <c r="G772" s="2920" t="s">
        <v>3484</v>
      </c>
      <c r="H772" s="2891"/>
      <c r="I772" s="2935"/>
      <c r="J772" s="2910"/>
      <c r="K772" s="2935"/>
      <c r="L772" s="2910"/>
      <c r="M772" s="2920" t="s">
        <v>4113</v>
      </c>
      <c r="N772" s="2891"/>
      <c r="O772" s="2920" t="s">
        <v>3488</v>
      </c>
      <c r="P772" s="2891"/>
      <c r="Q772" s="1344"/>
    </row>
    <row r="773" spans="2:17" s="840" customFormat="1" ht="16.5" x14ac:dyDescent="0.35">
      <c r="B773" s="2986"/>
      <c r="C773" s="2896" t="s">
        <v>4122</v>
      </c>
      <c r="D773" s="2896"/>
      <c r="E773" s="2896"/>
      <c r="F773" s="2896"/>
      <c r="G773" s="2896"/>
      <c r="H773" s="2896"/>
      <c r="I773" s="2896"/>
      <c r="J773" s="2896"/>
      <c r="K773" s="2896"/>
      <c r="L773" s="2896"/>
      <c r="M773" s="2896"/>
      <c r="N773" s="2896"/>
      <c r="O773" s="2896"/>
      <c r="P773" s="2896"/>
      <c r="Q773" s="2897"/>
    </row>
    <row r="774" spans="2:17" s="840" customFormat="1" ht="57.6" customHeight="1" x14ac:dyDescent="0.35">
      <c r="B774" s="2986"/>
      <c r="C774" s="2894" t="s">
        <v>4443</v>
      </c>
      <c r="D774" s="2894"/>
      <c r="E774" s="2894"/>
      <c r="F774" s="2894"/>
      <c r="G774" s="2894"/>
      <c r="H774" s="2894"/>
      <c r="I774" s="2894"/>
      <c r="J774" s="2894"/>
      <c r="K774" s="2894"/>
      <c r="L774" s="2894"/>
      <c r="M774" s="2894"/>
      <c r="N774" s="2894"/>
      <c r="O774" s="2894"/>
      <c r="P774" s="2894"/>
      <c r="Q774" s="2895"/>
    </row>
    <row r="775" spans="2:17" s="840" customFormat="1" ht="16.5" x14ac:dyDescent="0.35">
      <c r="B775" s="2986"/>
      <c r="C775" s="2894"/>
      <c r="D775" s="2894"/>
      <c r="E775" s="2894"/>
      <c r="F775" s="2894"/>
      <c r="G775" s="2894"/>
      <c r="H775" s="2894"/>
      <c r="I775" s="2894"/>
      <c r="J775" s="2894"/>
      <c r="K775" s="2894"/>
      <c r="L775" s="2894"/>
      <c r="M775" s="2894"/>
      <c r="N775" s="2894"/>
      <c r="O775" s="2894"/>
      <c r="P775" s="2894"/>
      <c r="Q775" s="2895"/>
    </row>
    <row r="776" spans="2:17" s="840" customFormat="1" ht="17.25" thickBot="1" x14ac:dyDescent="0.4">
      <c r="B776" s="2986"/>
      <c r="C776" s="2890" t="s">
        <v>4444</v>
      </c>
      <c r="D776" s="2890"/>
      <c r="E776" s="2890"/>
      <c r="F776" s="2890"/>
      <c r="G776" s="2890"/>
      <c r="H776" s="2890"/>
      <c r="I776" s="2890"/>
      <c r="J776" s="2890"/>
      <c r="K776" s="2890"/>
      <c r="L776" s="2890"/>
      <c r="M776" s="2890"/>
      <c r="N776" s="2890"/>
      <c r="O776" s="2890"/>
      <c r="P776" s="2890"/>
      <c r="Q776" s="2891"/>
    </row>
    <row r="777" spans="2:17" s="840" customFormat="1" ht="16.5" x14ac:dyDescent="0.35">
      <c r="B777" s="2986"/>
      <c r="C777" s="2896" t="s">
        <v>4445</v>
      </c>
      <c r="D777" s="2896"/>
      <c r="E777" s="2896"/>
      <c r="F777" s="2896"/>
      <c r="G777" s="2896"/>
      <c r="H777" s="2896"/>
      <c r="I777" s="2896"/>
      <c r="J777" s="2896"/>
      <c r="K777" s="2896"/>
      <c r="L777" s="2896"/>
      <c r="M777" s="2896"/>
      <c r="N777" s="2896"/>
      <c r="O777" s="2896"/>
      <c r="P777" s="2896"/>
      <c r="Q777" s="2897"/>
    </row>
    <row r="778" spans="2:17" s="840" customFormat="1" ht="16.5" x14ac:dyDescent="0.35">
      <c r="B778" s="2986"/>
      <c r="C778" s="2894" t="s">
        <v>4446</v>
      </c>
      <c r="D778" s="2894"/>
      <c r="E778" s="2894"/>
      <c r="F778" s="2894"/>
      <c r="G778" s="2894"/>
      <c r="H778" s="2894"/>
      <c r="I778" s="2894"/>
      <c r="J778" s="2894"/>
      <c r="K778" s="2894"/>
      <c r="L778" s="2894"/>
      <c r="M778" s="2894"/>
      <c r="N778" s="2894"/>
      <c r="O778" s="2894"/>
      <c r="P778" s="2894"/>
      <c r="Q778" s="2895"/>
    </row>
    <row r="779" spans="2:17" s="840" customFormat="1" ht="16.5" x14ac:dyDescent="0.35">
      <c r="B779" s="2986"/>
      <c r="C779" s="2894" t="s">
        <v>4447</v>
      </c>
      <c r="D779" s="2894"/>
      <c r="E779" s="2894"/>
      <c r="F779" s="2894"/>
      <c r="G779" s="2894"/>
      <c r="H779" s="2894"/>
      <c r="I779" s="2894"/>
      <c r="J779" s="2894"/>
      <c r="K779" s="2894"/>
      <c r="L779" s="2894"/>
      <c r="M779" s="2894"/>
      <c r="N779" s="2894"/>
      <c r="O779" s="2894"/>
      <c r="P779" s="2894"/>
      <c r="Q779" s="2895"/>
    </row>
    <row r="780" spans="2:17" s="840" customFormat="1" ht="17.25" thickBot="1" x14ac:dyDescent="0.4">
      <c r="B780" s="2986"/>
      <c r="C780" s="2890" t="s">
        <v>4448</v>
      </c>
      <c r="D780" s="2890"/>
      <c r="E780" s="2890"/>
      <c r="F780" s="2890"/>
      <c r="G780" s="2890"/>
      <c r="H780" s="2890"/>
      <c r="I780" s="2890"/>
      <c r="J780" s="2890"/>
      <c r="K780" s="2890"/>
      <c r="L780" s="2890"/>
      <c r="M780" s="2890"/>
      <c r="N780" s="2890"/>
      <c r="O780" s="2890"/>
      <c r="P780" s="2890"/>
      <c r="Q780" s="2891"/>
    </row>
    <row r="781" spans="2:17" s="840" customFormat="1" ht="115.5" x14ac:dyDescent="0.35">
      <c r="B781" s="2986"/>
      <c r="C781" s="2900" t="s">
        <v>4449</v>
      </c>
      <c r="D781" s="2900"/>
      <c r="E781" s="2900"/>
      <c r="F781" s="2900"/>
      <c r="G781" s="2915" t="s">
        <v>4450</v>
      </c>
      <c r="H781" s="2897"/>
      <c r="I781" s="2918" t="s">
        <v>4451</v>
      </c>
      <c r="J781" s="2919"/>
      <c r="K781" s="2915" t="s">
        <v>4452</v>
      </c>
      <c r="L781" s="2897"/>
      <c r="M781" s="2918" t="s">
        <v>4453</v>
      </c>
      <c r="N781" s="2919"/>
      <c r="O781" s="1342" t="s">
        <v>4454</v>
      </c>
      <c r="P781" s="2918" t="s">
        <v>4455</v>
      </c>
      <c r="Q781" s="2919"/>
    </row>
    <row r="782" spans="2:17" s="840" customFormat="1" ht="16.5" x14ac:dyDescent="0.35">
      <c r="B782" s="2986"/>
      <c r="C782" s="2900"/>
      <c r="D782" s="2900"/>
      <c r="E782" s="2900"/>
      <c r="F782" s="2900"/>
      <c r="G782" s="2936"/>
      <c r="H782" s="2895"/>
      <c r="I782" s="2936"/>
      <c r="J782" s="2895"/>
      <c r="K782" s="2936"/>
      <c r="L782" s="2895"/>
      <c r="M782" s="2936"/>
      <c r="N782" s="2895"/>
      <c r="O782" s="1342"/>
      <c r="P782" s="2936"/>
      <c r="Q782" s="2895"/>
    </row>
    <row r="783" spans="2:17" s="840" customFormat="1" ht="16.5" x14ac:dyDescent="0.35">
      <c r="B783" s="2986"/>
      <c r="C783" s="2900"/>
      <c r="D783" s="2900"/>
      <c r="E783" s="2900"/>
      <c r="F783" s="2900"/>
      <c r="G783" s="2936"/>
      <c r="H783" s="2895"/>
      <c r="I783" s="2936"/>
      <c r="J783" s="2895"/>
      <c r="K783" s="2936" t="s">
        <v>4112</v>
      </c>
      <c r="L783" s="2895"/>
      <c r="M783" s="2936"/>
      <c r="N783" s="2895"/>
      <c r="O783" s="1342" t="s">
        <v>3488</v>
      </c>
      <c r="P783" s="2936" t="s">
        <v>3489</v>
      </c>
      <c r="Q783" s="2895"/>
    </row>
    <row r="784" spans="2:17" s="840" customFormat="1" ht="16.5" x14ac:dyDescent="0.35">
      <c r="B784" s="2986"/>
      <c r="C784" s="2900"/>
      <c r="D784" s="2900"/>
      <c r="E784" s="2900"/>
      <c r="F784" s="2900"/>
      <c r="G784" s="2936"/>
      <c r="H784" s="2895"/>
      <c r="I784" s="2936" t="s">
        <v>3485</v>
      </c>
      <c r="J784" s="2895"/>
      <c r="K784" s="2937"/>
      <c r="L784" s="2938"/>
      <c r="M784" s="2936" t="s">
        <v>4113</v>
      </c>
      <c r="N784" s="2895"/>
      <c r="O784" s="1343"/>
      <c r="P784" s="2937"/>
      <c r="Q784" s="2938"/>
    </row>
    <row r="785" spans="2:17" s="840" customFormat="1" ht="16.5" x14ac:dyDescent="0.35">
      <c r="B785" s="2986"/>
      <c r="C785" s="2900"/>
      <c r="D785" s="2900"/>
      <c r="E785" s="2900"/>
      <c r="F785" s="2900"/>
      <c r="G785" s="2936"/>
      <c r="H785" s="2895"/>
      <c r="I785" s="2937"/>
      <c r="J785" s="2938"/>
      <c r="K785" s="2937"/>
      <c r="L785" s="2938"/>
      <c r="M785" s="2937"/>
      <c r="N785" s="2938"/>
      <c r="O785" s="1343"/>
      <c r="P785" s="2937"/>
      <c r="Q785" s="2938"/>
    </row>
    <row r="786" spans="2:17" s="840" customFormat="1" ht="16.5" x14ac:dyDescent="0.35">
      <c r="B786" s="2986"/>
      <c r="C786" s="2900"/>
      <c r="D786" s="2900"/>
      <c r="E786" s="2900"/>
      <c r="F786" s="2900"/>
      <c r="G786" s="2936" t="s">
        <v>3484</v>
      </c>
      <c r="H786" s="2895"/>
      <c r="I786" s="2937"/>
      <c r="J786" s="2938"/>
      <c r="K786" s="2937"/>
      <c r="L786" s="2938"/>
      <c r="M786" s="2937"/>
      <c r="N786" s="2938"/>
      <c r="O786" s="1343"/>
      <c r="P786" s="2937"/>
      <c r="Q786" s="2938"/>
    </row>
    <row r="787" spans="2:17" s="840" customFormat="1" ht="16.5" x14ac:dyDescent="0.35">
      <c r="B787" s="2986"/>
      <c r="C787" s="2900"/>
      <c r="D787" s="2900"/>
      <c r="E787" s="2900"/>
      <c r="F787" s="2900"/>
      <c r="G787" s="2937"/>
      <c r="H787" s="2938"/>
      <c r="I787" s="2937"/>
      <c r="J787" s="2938"/>
      <c r="K787" s="2937"/>
      <c r="L787" s="2938"/>
      <c r="M787" s="2937"/>
      <c r="N787" s="2938"/>
      <c r="O787" s="1343"/>
      <c r="P787" s="2937"/>
      <c r="Q787" s="2938"/>
    </row>
    <row r="788" spans="2:17" s="840" customFormat="1" ht="16.5" x14ac:dyDescent="0.35">
      <c r="B788" s="2986"/>
      <c r="C788" s="2900"/>
      <c r="D788" s="2900"/>
      <c r="E788" s="2900"/>
      <c r="F788" s="2900"/>
      <c r="G788" s="2937"/>
      <c r="H788" s="2938"/>
      <c r="I788" s="2937"/>
      <c r="J788" s="2938"/>
      <c r="K788" s="2937"/>
      <c r="L788" s="2938"/>
      <c r="M788" s="2937"/>
      <c r="N788" s="2938"/>
      <c r="O788" s="1343"/>
      <c r="P788" s="2937"/>
      <c r="Q788" s="2938"/>
    </row>
    <row r="789" spans="2:17" s="840" customFormat="1" ht="17.25" thickBot="1" x14ac:dyDescent="0.4">
      <c r="B789" s="2986"/>
      <c r="C789" s="2900"/>
      <c r="D789" s="2900"/>
      <c r="E789" s="2900"/>
      <c r="F789" s="2900"/>
      <c r="G789" s="2937"/>
      <c r="H789" s="2938"/>
      <c r="I789" s="2937"/>
      <c r="J789" s="2938"/>
      <c r="K789" s="2937"/>
      <c r="L789" s="2938"/>
      <c r="M789" s="2937"/>
      <c r="N789" s="2938"/>
      <c r="O789" s="1343"/>
      <c r="P789" s="2937"/>
      <c r="Q789" s="2938"/>
    </row>
    <row r="790" spans="2:17" s="840" customFormat="1" ht="17.25" thickBot="1" x14ac:dyDescent="0.4">
      <c r="B790" s="2986"/>
      <c r="C790" s="2911" t="s">
        <v>4121</v>
      </c>
      <c r="D790" s="2912"/>
      <c r="E790" s="2939">
        <v>50</v>
      </c>
      <c r="F790" s="2940"/>
      <c r="G790" s="2935"/>
      <c r="H790" s="2910"/>
      <c r="I790" s="2935"/>
      <c r="J790" s="2910"/>
      <c r="K790" s="2935"/>
      <c r="L790" s="2910"/>
      <c r="M790" s="2935"/>
      <c r="N790" s="2910"/>
      <c r="O790" s="1344"/>
      <c r="P790" s="2935"/>
      <c r="Q790" s="2910"/>
    </row>
    <row r="791" spans="2:17" s="840" customFormat="1" ht="16.5" x14ac:dyDescent="0.35">
      <c r="B791" s="2986"/>
      <c r="C791" s="2896" t="s">
        <v>4160</v>
      </c>
      <c r="D791" s="2896"/>
      <c r="E791" s="2896"/>
      <c r="F791" s="2896"/>
      <c r="G791" s="2896"/>
      <c r="H791" s="2896"/>
      <c r="I791" s="2896"/>
      <c r="J791" s="2896"/>
      <c r="K791" s="2896"/>
      <c r="L791" s="2896"/>
      <c r="M791" s="2896"/>
      <c r="N791" s="2896"/>
      <c r="O791" s="2896"/>
      <c r="P791" s="2896"/>
      <c r="Q791" s="2897"/>
    </row>
    <row r="792" spans="2:17" s="840" customFormat="1" ht="43.15" customHeight="1" x14ac:dyDescent="0.35">
      <c r="B792" s="2986"/>
      <c r="C792" s="2894" t="s">
        <v>4456</v>
      </c>
      <c r="D792" s="2894"/>
      <c r="E792" s="2894"/>
      <c r="F792" s="2894"/>
      <c r="G792" s="2894"/>
      <c r="H792" s="2894"/>
      <c r="I792" s="2894"/>
      <c r="J792" s="2894"/>
      <c r="K792" s="2894"/>
      <c r="L792" s="2894"/>
      <c r="M792" s="2894"/>
      <c r="N792" s="2894"/>
      <c r="O792" s="2894"/>
      <c r="P792" s="2894"/>
      <c r="Q792" s="2895"/>
    </row>
    <row r="793" spans="2:17" s="840" customFormat="1" ht="16.5" x14ac:dyDescent="0.35">
      <c r="B793" s="2986"/>
      <c r="C793" s="2894" t="s">
        <v>4457</v>
      </c>
      <c r="D793" s="2894"/>
      <c r="E793" s="2894"/>
      <c r="F793" s="2894"/>
      <c r="G793" s="2894"/>
      <c r="H793" s="2894"/>
      <c r="I793" s="2894"/>
      <c r="J793" s="2894"/>
      <c r="K793" s="2894"/>
      <c r="L793" s="2894"/>
      <c r="M793" s="2894"/>
      <c r="N793" s="2894"/>
      <c r="O793" s="2894"/>
      <c r="P793" s="2894"/>
      <c r="Q793" s="2895"/>
    </row>
    <row r="794" spans="2:17" s="840" customFormat="1" ht="17.25" thickBot="1" x14ac:dyDescent="0.4">
      <c r="B794" s="2986"/>
      <c r="C794" s="2890" t="s">
        <v>4458</v>
      </c>
      <c r="D794" s="2890"/>
      <c r="E794" s="2890"/>
      <c r="F794" s="2890"/>
      <c r="G794" s="2890"/>
      <c r="H794" s="2890"/>
      <c r="I794" s="2890"/>
      <c r="J794" s="2890"/>
      <c r="K794" s="2890"/>
      <c r="L794" s="2890"/>
      <c r="M794" s="2890"/>
      <c r="N794" s="2890"/>
      <c r="O794" s="2890"/>
      <c r="P794" s="2890"/>
      <c r="Q794" s="2891"/>
    </row>
    <row r="795" spans="2:17" s="840" customFormat="1" ht="16.5" x14ac:dyDescent="0.35">
      <c r="B795" s="2986"/>
      <c r="C795" s="2896" t="s">
        <v>4128</v>
      </c>
      <c r="D795" s="2896"/>
      <c r="E795" s="2896"/>
      <c r="F795" s="2896"/>
      <c r="G795" s="2896"/>
      <c r="H795" s="2896"/>
      <c r="I795" s="2896"/>
      <c r="J795" s="2896"/>
      <c r="K795" s="2896"/>
      <c r="L795" s="2896"/>
      <c r="M795" s="2896"/>
      <c r="N795" s="2896"/>
      <c r="O795" s="2896"/>
      <c r="P795" s="2896"/>
      <c r="Q795" s="2897"/>
    </row>
    <row r="796" spans="2:17" s="840" customFormat="1" ht="16.5" x14ac:dyDescent="0.35">
      <c r="B796" s="2986"/>
      <c r="C796" s="2894" t="s">
        <v>4459</v>
      </c>
      <c r="D796" s="2894"/>
      <c r="E796" s="2894"/>
      <c r="F796" s="2894"/>
      <c r="G796" s="2894"/>
      <c r="H796" s="2894"/>
      <c r="I796" s="2894"/>
      <c r="J796" s="2894"/>
      <c r="K796" s="2894"/>
      <c r="L796" s="2894"/>
      <c r="M796" s="2894"/>
      <c r="N796" s="2894"/>
      <c r="O796" s="2894"/>
      <c r="P796" s="2894"/>
      <c r="Q796" s="2895"/>
    </row>
    <row r="797" spans="2:17" s="840" customFormat="1" ht="16.5" x14ac:dyDescent="0.35">
      <c r="B797" s="2986"/>
      <c r="C797" s="2894" t="s">
        <v>4460</v>
      </c>
      <c r="D797" s="2894"/>
      <c r="E797" s="2894"/>
      <c r="F797" s="2894"/>
      <c r="G797" s="2894"/>
      <c r="H797" s="2894"/>
      <c r="I797" s="2894"/>
      <c r="J797" s="2894"/>
      <c r="K797" s="2894"/>
      <c r="L797" s="2894"/>
      <c r="M797" s="2894"/>
      <c r="N797" s="2894"/>
      <c r="O797" s="2894"/>
      <c r="P797" s="2894"/>
      <c r="Q797" s="2895"/>
    </row>
    <row r="798" spans="2:17" s="840" customFormat="1" ht="16.5" x14ac:dyDescent="0.35">
      <c r="B798" s="2986"/>
      <c r="C798" s="2894" t="s">
        <v>4461</v>
      </c>
      <c r="D798" s="2894"/>
      <c r="E798" s="2894"/>
      <c r="F798" s="2894"/>
      <c r="G798" s="2894"/>
      <c r="H798" s="2894"/>
      <c r="I798" s="2894"/>
      <c r="J798" s="2894"/>
      <c r="K798" s="2894"/>
      <c r="L798" s="2894"/>
      <c r="M798" s="2894"/>
      <c r="N798" s="2894"/>
      <c r="O798" s="2894"/>
      <c r="P798" s="2894"/>
      <c r="Q798" s="2895"/>
    </row>
    <row r="799" spans="2:17" s="840" customFormat="1" ht="17.25" thickBot="1" x14ac:dyDescent="0.4">
      <c r="B799" s="2986"/>
      <c r="C799" s="2890"/>
      <c r="D799" s="2890"/>
      <c r="E799" s="2890"/>
      <c r="F799" s="2890"/>
      <c r="G799" s="2890"/>
      <c r="H799" s="2890"/>
      <c r="I799" s="2890"/>
      <c r="J799" s="2890"/>
      <c r="K799" s="2890"/>
      <c r="L799" s="2890"/>
      <c r="M799" s="2890"/>
      <c r="N799" s="2890"/>
      <c r="O799" s="2890"/>
      <c r="P799" s="2890"/>
      <c r="Q799" s="2891"/>
    </row>
    <row r="800" spans="2:17" s="840" customFormat="1" ht="99" x14ac:dyDescent="0.35">
      <c r="B800" s="2986"/>
      <c r="C800" s="2900" t="s">
        <v>4462</v>
      </c>
      <c r="D800" s="2900"/>
      <c r="E800" s="2900"/>
      <c r="F800" s="2900"/>
      <c r="G800" s="2915" t="s">
        <v>4463</v>
      </c>
      <c r="H800" s="2897"/>
      <c r="I800" s="2918" t="s">
        <v>4464</v>
      </c>
      <c r="J800" s="2919"/>
      <c r="K800" s="2915" t="s">
        <v>4465</v>
      </c>
      <c r="L800" s="2897"/>
      <c r="M800" s="2918" t="s">
        <v>4466</v>
      </c>
      <c r="N800" s="2919"/>
      <c r="O800" s="1342" t="s">
        <v>4467</v>
      </c>
      <c r="P800" s="2900" t="s">
        <v>4468</v>
      </c>
      <c r="Q800" s="2900"/>
    </row>
    <row r="801" spans="2:17" s="840" customFormat="1" ht="16.5" x14ac:dyDescent="0.35">
      <c r="B801" s="2986"/>
      <c r="C801" s="2900"/>
      <c r="D801" s="2900"/>
      <c r="E801" s="2900"/>
      <c r="F801" s="2900"/>
      <c r="G801" s="2936"/>
      <c r="H801" s="2895"/>
      <c r="I801" s="2936"/>
      <c r="J801" s="2895"/>
      <c r="K801" s="2936"/>
      <c r="L801" s="2895"/>
      <c r="M801" s="2936"/>
      <c r="N801" s="2895"/>
      <c r="O801" s="1342"/>
      <c r="P801" s="2936"/>
      <c r="Q801" s="2895"/>
    </row>
    <row r="802" spans="2:17" s="840" customFormat="1" ht="16.5" x14ac:dyDescent="0.35">
      <c r="B802" s="2986"/>
      <c r="C802" s="2900"/>
      <c r="D802" s="2900"/>
      <c r="E802" s="2900"/>
      <c r="F802" s="2900"/>
      <c r="G802" s="2936"/>
      <c r="H802" s="2895"/>
      <c r="I802" s="2936"/>
      <c r="J802" s="2895"/>
      <c r="K802" s="2936"/>
      <c r="L802" s="2895"/>
      <c r="M802" s="2936" t="s">
        <v>4113</v>
      </c>
      <c r="N802" s="2895"/>
      <c r="O802" s="1342"/>
      <c r="P802" s="2936"/>
      <c r="Q802" s="2895"/>
    </row>
    <row r="803" spans="2:17" s="840" customFormat="1" ht="16.5" x14ac:dyDescent="0.35">
      <c r="B803" s="2986"/>
      <c r="C803" s="2900"/>
      <c r="D803" s="2900"/>
      <c r="E803" s="2900"/>
      <c r="F803" s="2900"/>
      <c r="G803" s="2936"/>
      <c r="H803" s="2895"/>
      <c r="I803" s="2936"/>
      <c r="J803" s="2895"/>
      <c r="K803" s="2936" t="s">
        <v>4112</v>
      </c>
      <c r="L803" s="2895"/>
      <c r="M803" s="2936"/>
      <c r="N803" s="2895"/>
      <c r="O803" s="1342"/>
      <c r="P803" s="2936"/>
      <c r="Q803" s="2895"/>
    </row>
    <row r="804" spans="2:17" s="840" customFormat="1" ht="16.5" x14ac:dyDescent="0.35">
      <c r="B804" s="2986"/>
      <c r="C804" s="2900"/>
      <c r="D804" s="2900"/>
      <c r="E804" s="2900"/>
      <c r="F804" s="2900"/>
      <c r="G804" s="2936"/>
      <c r="H804" s="2895"/>
      <c r="I804" s="2936" t="s">
        <v>3485</v>
      </c>
      <c r="J804" s="2895"/>
      <c r="K804" s="2937"/>
      <c r="L804" s="2938"/>
      <c r="M804" s="2936"/>
      <c r="N804" s="2895"/>
      <c r="O804" s="1342" t="s">
        <v>3488</v>
      </c>
      <c r="P804" s="2936" t="s">
        <v>3489</v>
      </c>
      <c r="Q804" s="2895"/>
    </row>
    <row r="805" spans="2:17" s="840" customFormat="1" ht="16.5" x14ac:dyDescent="0.35">
      <c r="B805" s="2986"/>
      <c r="C805" s="2900"/>
      <c r="D805" s="2900"/>
      <c r="E805" s="2900"/>
      <c r="F805" s="2900"/>
      <c r="G805" s="2936"/>
      <c r="H805" s="2895"/>
      <c r="I805" s="2937"/>
      <c r="J805" s="2938"/>
      <c r="K805" s="2937"/>
      <c r="L805" s="2938"/>
      <c r="M805" s="2936"/>
      <c r="N805" s="2895"/>
      <c r="O805" s="1343"/>
      <c r="P805" s="2937"/>
      <c r="Q805" s="2938"/>
    </row>
    <row r="806" spans="2:17" s="840" customFormat="1" ht="16.5" x14ac:dyDescent="0.35">
      <c r="B806" s="2986"/>
      <c r="C806" s="2900"/>
      <c r="D806" s="2900"/>
      <c r="E806" s="2900"/>
      <c r="F806" s="2900"/>
      <c r="G806" s="2936"/>
      <c r="H806" s="2895"/>
      <c r="I806" s="2937"/>
      <c r="J806" s="2938"/>
      <c r="K806" s="2937"/>
      <c r="L806" s="2938"/>
      <c r="M806" s="2936"/>
      <c r="N806" s="2895"/>
      <c r="O806" s="1343"/>
      <c r="P806" s="2937"/>
      <c r="Q806" s="2938"/>
    </row>
    <row r="807" spans="2:17" s="840" customFormat="1" ht="16.5" x14ac:dyDescent="0.35">
      <c r="B807" s="2986"/>
      <c r="C807" s="2900"/>
      <c r="D807" s="2900"/>
      <c r="E807" s="2900"/>
      <c r="F807" s="2900"/>
      <c r="G807" s="2936" t="s">
        <v>3484</v>
      </c>
      <c r="H807" s="2895"/>
      <c r="I807" s="2937"/>
      <c r="J807" s="2938"/>
      <c r="K807" s="2937"/>
      <c r="L807" s="2938"/>
      <c r="M807" s="2937"/>
      <c r="N807" s="2938"/>
      <c r="O807" s="1343"/>
      <c r="P807" s="2937"/>
      <c r="Q807" s="2938"/>
    </row>
    <row r="808" spans="2:17" s="840" customFormat="1" ht="16.5" x14ac:dyDescent="0.35">
      <c r="B808" s="2986"/>
      <c r="C808" s="2900"/>
      <c r="D808" s="2900"/>
      <c r="E808" s="2900"/>
      <c r="F808" s="2900"/>
      <c r="G808" s="2937"/>
      <c r="H808" s="2938"/>
      <c r="I808" s="2937"/>
      <c r="J808" s="2938"/>
      <c r="K808" s="2937"/>
      <c r="L808" s="2938"/>
      <c r="M808" s="2937"/>
      <c r="N808" s="2938"/>
      <c r="O808" s="1343"/>
      <c r="P808" s="2937"/>
      <c r="Q808" s="2938"/>
    </row>
    <row r="809" spans="2:17" s="840" customFormat="1" ht="17.25" thickBot="1" x14ac:dyDescent="0.4">
      <c r="B809" s="2986"/>
      <c r="C809" s="2900"/>
      <c r="D809" s="2900"/>
      <c r="E809" s="2900"/>
      <c r="F809" s="2900"/>
      <c r="G809" s="2937"/>
      <c r="H809" s="2938"/>
      <c r="I809" s="2937"/>
      <c r="J809" s="2938"/>
      <c r="K809" s="2937"/>
      <c r="L809" s="2938"/>
      <c r="M809" s="2937"/>
      <c r="N809" s="2938"/>
      <c r="O809" s="1343"/>
      <c r="P809" s="2937"/>
      <c r="Q809" s="2938"/>
    </row>
    <row r="810" spans="2:17" s="840" customFormat="1" ht="17.25" thickBot="1" x14ac:dyDescent="0.4">
      <c r="B810" s="2986"/>
      <c r="C810" s="2911" t="s">
        <v>4121</v>
      </c>
      <c r="D810" s="2912"/>
      <c r="E810" s="2939">
        <v>60</v>
      </c>
      <c r="F810" s="2940"/>
      <c r="G810" s="2935"/>
      <c r="H810" s="2910"/>
      <c r="I810" s="2935"/>
      <c r="J810" s="2910"/>
      <c r="K810" s="2935"/>
      <c r="L810" s="2910"/>
      <c r="M810" s="2935"/>
      <c r="N810" s="2910"/>
      <c r="O810" s="1344"/>
      <c r="P810" s="2935"/>
      <c r="Q810" s="2910"/>
    </row>
    <row r="811" spans="2:17" s="840" customFormat="1" ht="16.5" x14ac:dyDescent="0.35">
      <c r="B811" s="2986"/>
      <c r="C811" s="2896"/>
      <c r="D811" s="2896"/>
      <c r="E811" s="2896"/>
      <c r="F811" s="2896"/>
      <c r="G811" s="2896"/>
      <c r="H811" s="2896"/>
      <c r="I811" s="2896"/>
      <c r="J811" s="2896"/>
      <c r="K811" s="2896"/>
      <c r="L811" s="2896"/>
      <c r="M811" s="2896"/>
      <c r="N811" s="2896"/>
      <c r="O811" s="2896"/>
      <c r="P811" s="2896"/>
      <c r="Q811" s="2897"/>
    </row>
    <row r="812" spans="2:17" s="840" customFormat="1" ht="16.5" x14ac:dyDescent="0.35">
      <c r="B812" s="2986"/>
      <c r="C812" s="2955" t="s">
        <v>4469</v>
      </c>
      <c r="D812" s="2955"/>
      <c r="E812" s="2955"/>
      <c r="F812" s="2955"/>
      <c r="G812" s="2955"/>
      <c r="H812" s="2955"/>
      <c r="I812" s="2955"/>
      <c r="J812" s="2955"/>
      <c r="K812" s="2955"/>
      <c r="L812" s="2955"/>
      <c r="M812" s="2955"/>
      <c r="N812" s="2955"/>
      <c r="O812" s="2955"/>
      <c r="P812" s="2955"/>
      <c r="Q812" s="2942"/>
    </row>
    <row r="813" spans="2:17" s="840" customFormat="1" ht="16.5" x14ac:dyDescent="0.35">
      <c r="B813" s="2986"/>
      <c r="C813" s="2894" t="s">
        <v>4470</v>
      </c>
      <c r="D813" s="2894"/>
      <c r="E813" s="2894"/>
      <c r="F813" s="2894"/>
      <c r="G813" s="2894"/>
      <c r="H813" s="2894"/>
      <c r="I813" s="2894"/>
      <c r="J813" s="2894"/>
      <c r="K813" s="2894"/>
      <c r="L813" s="2894"/>
      <c r="M813" s="2894"/>
      <c r="N813" s="2894"/>
      <c r="O813" s="2894"/>
      <c r="P813" s="2894"/>
      <c r="Q813" s="2895"/>
    </row>
    <row r="814" spans="2:17" s="840" customFormat="1" ht="43.15" customHeight="1" x14ac:dyDescent="0.35">
      <c r="B814" s="2986"/>
      <c r="C814" s="2894" t="s">
        <v>4471</v>
      </c>
      <c r="D814" s="2894"/>
      <c r="E814" s="2894"/>
      <c r="F814" s="2894"/>
      <c r="G814" s="2894"/>
      <c r="H814" s="2894"/>
      <c r="I814" s="2894"/>
      <c r="J814" s="2894"/>
      <c r="K814" s="2894"/>
      <c r="L814" s="2894"/>
      <c r="M814" s="2894"/>
      <c r="N814" s="2894"/>
      <c r="O814" s="2894"/>
      <c r="P814" s="2894"/>
      <c r="Q814" s="2895"/>
    </row>
    <row r="815" spans="2:17" s="840" customFormat="1" ht="16.5" x14ac:dyDescent="0.35">
      <c r="B815" s="2986"/>
      <c r="C815" s="2894"/>
      <c r="D815" s="2894"/>
      <c r="E815" s="2894"/>
      <c r="F815" s="2894"/>
      <c r="G815" s="2894"/>
      <c r="H815" s="2894"/>
      <c r="I815" s="2894"/>
      <c r="J815" s="2894"/>
      <c r="K815" s="2894"/>
      <c r="L815" s="2894"/>
      <c r="M815" s="2894"/>
      <c r="N815" s="2894"/>
      <c r="O815" s="2894"/>
      <c r="P815" s="2894"/>
      <c r="Q815" s="2895"/>
    </row>
    <row r="816" spans="2:17" s="840" customFormat="1" ht="16.5" x14ac:dyDescent="0.35">
      <c r="B816" s="2986"/>
      <c r="C816" s="2894" t="s">
        <v>4472</v>
      </c>
      <c r="D816" s="2894"/>
      <c r="E816" s="2894"/>
      <c r="F816" s="2894"/>
      <c r="G816" s="2894"/>
      <c r="H816" s="2894"/>
      <c r="I816" s="2894"/>
      <c r="J816" s="2894"/>
      <c r="K816" s="2894"/>
      <c r="L816" s="2894"/>
      <c r="M816" s="2894"/>
      <c r="N816" s="2894"/>
      <c r="O816" s="2894"/>
      <c r="P816" s="2894"/>
      <c r="Q816" s="2895"/>
    </row>
    <row r="817" spans="2:17" s="840" customFormat="1" ht="16.5" x14ac:dyDescent="0.35">
      <c r="B817" s="2986"/>
      <c r="C817" s="2894"/>
      <c r="D817" s="2894"/>
      <c r="E817" s="2894"/>
      <c r="F817" s="2894"/>
      <c r="G817" s="2894"/>
      <c r="H817" s="2894"/>
      <c r="I817" s="2894"/>
      <c r="J817" s="2894"/>
      <c r="K817" s="2894"/>
      <c r="L817" s="2894"/>
      <c r="M817" s="2894"/>
      <c r="N817" s="2894"/>
      <c r="O817" s="2894"/>
      <c r="P817" s="2894"/>
      <c r="Q817" s="2895"/>
    </row>
    <row r="818" spans="2:17" s="840" customFormat="1" ht="17.25" thickBot="1" x14ac:dyDescent="0.4">
      <c r="B818" s="2986"/>
      <c r="C818" s="2890" t="s">
        <v>4473</v>
      </c>
      <c r="D818" s="2890"/>
      <c r="E818" s="2890"/>
      <c r="F818" s="2890"/>
      <c r="G818" s="2890"/>
      <c r="H818" s="2890"/>
      <c r="I818" s="2890"/>
      <c r="J818" s="2890"/>
      <c r="K818" s="2890"/>
      <c r="L818" s="2890"/>
      <c r="M818" s="2890"/>
      <c r="N818" s="2890"/>
      <c r="O818" s="2890"/>
      <c r="P818" s="2890"/>
      <c r="Q818" s="2891"/>
    </row>
    <row r="819" spans="2:17" s="840" customFormat="1" ht="16.5" x14ac:dyDescent="0.35">
      <c r="B819" s="2986"/>
      <c r="C819" s="2896" t="s">
        <v>4128</v>
      </c>
      <c r="D819" s="2896"/>
      <c r="E819" s="2896"/>
      <c r="F819" s="2896"/>
      <c r="G819" s="2896"/>
      <c r="H819" s="2896"/>
      <c r="I819" s="2896"/>
      <c r="J819" s="2896"/>
      <c r="K819" s="2896"/>
      <c r="L819" s="2896"/>
      <c r="M819" s="2896"/>
      <c r="N819" s="2896"/>
      <c r="O819" s="2896"/>
      <c r="P819" s="2896"/>
      <c r="Q819" s="2897"/>
    </row>
    <row r="820" spans="2:17" s="840" customFormat="1" ht="16.5" x14ac:dyDescent="0.35">
      <c r="B820" s="2986"/>
      <c r="C820" s="2894" t="s">
        <v>4474</v>
      </c>
      <c r="D820" s="2894"/>
      <c r="E820" s="2894"/>
      <c r="F820" s="2894"/>
      <c r="G820" s="2894"/>
      <c r="H820" s="2894"/>
      <c r="I820" s="2894"/>
      <c r="J820" s="2894"/>
      <c r="K820" s="2894"/>
      <c r="L820" s="2894"/>
      <c r="M820" s="2894"/>
      <c r="N820" s="2894"/>
      <c r="O820" s="2894"/>
      <c r="P820" s="2894"/>
      <c r="Q820" s="2895"/>
    </row>
    <row r="821" spans="2:17" s="840" customFormat="1" ht="16.5" x14ac:dyDescent="0.35">
      <c r="B821" s="2986"/>
      <c r="C821" s="2894" t="s">
        <v>4475</v>
      </c>
      <c r="D821" s="2894"/>
      <c r="E821" s="2894"/>
      <c r="F821" s="2894"/>
      <c r="G821" s="2894"/>
      <c r="H821" s="2894"/>
      <c r="I821" s="2894"/>
      <c r="J821" s="2894"/>
      <c r="K821" s="2894"/>
      <c r="L821" s="2894"/>
      <c r="M821" s="2894"/>
      <c r="N821" s="2894"/>
      <c r="O821" s="2894"/>
      <c r="P821" s="2894"/>
      <c r="Q821" s="2895"/>
    </row>
    <row r="822" spans="2:17" s="840" customFormat="1" ht="17.25" thickBot="1" x14ac:dyDescent="0.4">
      <c r="B822" s="2986"/>
      <c r="C822" s="2943"/>
      <c r="D822" s="2943"/>
      <c r="E822" s="2943"/>
      <c r="F822" s="2943"/>
      <c r="G822" s="2943"/>
      <c r="H822" s="2943"/>
      <c r="I822" s="2943"/>
      <c r="J822" s="2943"/>
      <c r="K822" s="2943"/>
      <c r="L822" s="2943"/>
      <c r="M822" s="2943"/>
      <c r="N822" s="2943"/>
      <c r="O822" s="2943"/>
      <c r="P822" s="2943"/>
      <c r="Q822" s="2944"/>
    </row>
    <row r="823" spans="2:17" s="840" customFormat="1" ht="17.25" thickTop="1" x14ac:dyDescent="0.35">
      <c r="B823" s="2986"/>
      <c r="C823" s="2945" t="s">
        <v>4476</v>
      </c>
      <c r="D823" s="2945"/>
      <c r="E823" s="2945"/>
      <c r="F823" s="2946"/>
      <c r="G823" s="2951" t="s">
        <v>4463</v>
      </c>
      <c r="H823" s="2952"/>
      <c r="I823" s="2953" t="s">
        <v>4477</v>
      </c>
      <c r="J823" s="2954"/>
      <c r="K823" s="2951" t="s">
        <v>4478</v>
      </c>
      <c r="L823" s="2952"/>
      <c r="M823" s="2953" t="s">
        <v>4479</v>
      </c>
      <c r="N823" s="2954"/>
      <c r="O823" s="17" t="s">
        <v>4480</v>
      </c>
      <c r="P823" s="2953" t="s">
        <v>4015</v>
      </c>
      <c r="Q823" s="2954"/>
    </row>
    <row r="824" spans="2:17" s="840" customFormat="1" ht="16.5" x14ac:dyDescent="0.35">
      <c r="B824" s="2986"/>
      <c r="C824" s="2947"/>
      <c r="D824" s="2947"/>
      <c r="E824" s="2947"/>
      <c r="F824" s="2948"/>
      <c r="G824" s="2936"/>
      <c r="H824" s="2895"/>
      <c r="I824" s="2936"/>
      <c r="J824" s="2895"/>
      <c r="K824" s="2936"/>
      <c r="L824" s="2895"/>
      <c r="M824" s="2941"/>
      <c r="N824" s="2942"/>
      <c r="O824" s="1338"/>
      <c r="P824" s="2936"/>
      <c r="Q824" s="2895"/>
    </row>
    <row r="825" spans="2:17" s="840" customFormat="1" ht="16.5" x14ac:dyDescent="0.35">
      <c r="B825" s="2986"/>
      <c r="C825" s="2947"/>
      <c r="D825" s="2947"/>
      <c r="E825" s="2947"/>
      <c r="F825" s="2948"/>
      <c r="G825" s="2936"/>
      <c r="H825" s="2895"/>
      <c r="I825" s="2936" t="s">
        <v>3485</v>
      </c>
      <c r="J825" s="2895"/>
      <c r="K825" s="2936"/>
      <c r="L825" s="2895"/>
      <c r="M825" s="2941"/>
      <c r="N825" s="2942"/>
      <c r="O825" s="1338"/>
      <c r="P825" s="2936"/>
      <c r="Q825" s="2895"/>
    </row>
    <row r="826" spans="2:17" s="840" customFormat="1" ht="16.5" x14ac:dyDescent="0.35">
      <c r="B826" s="2986"/>
      <c r="C826" s="2947"/>
      <c r="D826" s="2947"/>
      <c r="E826" s="2947"/>
      <c r="F826" s="2948"/>
      <c r="G826" s="2936"/>
      <c r="H826" s="2895"/>
      <c r="I826" s="2937"/>
      <c r="J826" s="2938"/>
      <c r="K826" s="2936"/>
      <c r="L826" s="2895"/>
      <c r="M826" s="2941"/>
      <c r="N826" s="2942"/>
      <c r="O826" s="1338"/>
      <c r="P826" s="2936"/>
      <c r="Q826" s="2895"/>
    </row>
    <row r="827" spans="2:17" s="840" customFormat="1" ht="16.5" x14ac:dyDescent="0.35">
      <c r="B827" s="2986"/>
      <c r="C827" s="2947"/>
      <c r="D827" s="2947"/>
      <c r="E827" s="2947"/>
      <c r="F827" s="2948"/>
      <c r="G827" s="2936"/>
      <c r="H827" s="2895"/>
      <c r="I827" s="2937"/>
      <c r="J827" s="2938"/>
      <c r="K827" s="2936"/>
      <c r="L827" s="2895"/>
      <c r="M827" s="2941"/>
      <c r="N827" s="2942"/>
      <c r="O827" s="1338"/>
      <c r="P827" s="2936"/>
      <c r="Q827" s="2895"/>
    </row>
    <row r="828" spans="2:17" s="840" customFormat="1" ht="17.25" thickBot="1" x14ac:dyDescent="0.4">
      <c r="B828" s="2986"/>
      <c r="C828" s="2949"/>
      <c r="D828" s="2949"/>
      <c r="E828" s="2949"/>
      <c r="F828" s="2950"/>
      <c r="G828" s="2936"/>
      <c r="H828" s="2895"/>
      <c r="I828" s="2937"/>
      <c r="J828" s="2938"/>
      <c r="K828" s="2936" t="s">
        <v>4112</v>
      </c>
      <c r="L828" s="2895"/>
      <c r="M828" s="2936" t="s">
        <v>4113</v>
      </c>
      <c r="N828" s="2895"/>
      <c r="O828" s="1338"/>
      <c r="P828" s="2936" t="s">
        <v>3489</v>
      </c>
      <c r="Q828" s="2895"/>
    </row>
    <row r="829" spans="2:17" s="840" customFormat="1" ht="17.25" thickBot="1" x14ac:dyDescent="0.4">
      <c r="B829" s="2986"/>
      <c r="C829" s="2911" t="s">
        <v>4121</v>
      </c>
      <c r="D829" s="2912"/>
      <c r="E829" s="2939">
        <v>70</v>
      </c>
      <c r="F829" s="2940"/>
      <c r="G829" s="2920" t="s">
        <v>3484</v>
      </c>
      <c r="H829" s="2891"/>
      <c r="I829" s="2935"/>
      <c r="J829" s="2910"/>
      <c r="K829" s="2920"/>
      <c r="L829" s="2891"/>
      <c r="M829" s="2935"/>
      <c r="N829" s="2910"/>
      <c r="O829" s="1339" t="s">
        <v>3488</v>
      </c>
      <c r="P829" s="2935"/>
      <c r="Q829" s="2910"/>
    </row>
    <row r="830" spans="2:17" s="840" customFormat="1" ht="16.5" x14ac:dyDescent="0.35">
      <c r="B830" s="2986"/>
      <c r="C830" s="2896" t="s">
        <v>4122</v>
      </c>
      <c r="D830" s="2896"/>
      <c r="E830" s="2896"/>
      <c r="F830" s="2896"/>
      <c r="G830" s="2896"/>
      <c r="H830" s="2896"/>
      <c r="I830" s="2896"/>
      <c r="J830" s="2896"/>
      <c r="K830" s="2896"/>
      <c r="L830" s="2896"/>
      <c r="M830" s="2896"/>
      <c r="N830" s="2896"/>
      <c r="O830" s="2896"/>
      <c r="P830" s="2896"/>
      <c r="Q830" s="2897"/>
    </row>
    <row r="831" spans="2:17" s="840" customFormat="1" ht="28.9" customHeight="1" x14ac:dyDescent="0.35">
      <c r="B831" s="2986"/>
      <c r="C831" s="2894" t="s">
        <v>4481</v>
      </c>
      <c r="D831" s="2894"/>
      <c r="E831" s="2894"/>
      <c r="F831" s="2894"/>
      <c r="G831" s="2894"/>
      <c r="H831" s="2894"/>
      <c r="I831" s="2894"/>
      <c r="J831" s="2894"/>
      <c r="K831" s="2894"/>
      <c r="L831" s="2894"/>
      <c r="M831" s="2894"/>
      <c r="N831" s="2894"/>
      <c r="O831" s="2894"/>
      <c r="P831" s="2894"/>
      <c r="Q831" s="2895"/>
    </row>
    <row r="832" spans="2:17" s="840" customFormat="1" ht="16.5" x14ac:dyDescent="0.35">
      <c r="B832" s="2986"/>
      <c r="C832" s="2894"/>
      <c r="D832" s="2894"/>
      <c r="E832" s="2894"/>
      <c r="F832" s="2894"/>
      <c r="G832" s="2894"/>
      <c r="H832" s="2894"/>
      <c r="I832" s="2894"/>
      <c r="J832" s="2894"/>
      <c r="K832" s="2894"/>
      <c r="L832" s="2894"/>
      <c r="M832" s="2894"/>
      <c r="N832" s="2894"/>
      <c r="O832" s="2894"/>
      <c r="P832" s="2894"/>
      <c r="Q832" s="2895"/>
    </row>
    <row r="833" spans="2:17" s="840" customFormat="1" ht="17.25" thickBot="1" x14ac:dyDescent="0.4">
      <c r="B833" s="2986"/>
      <c r="C833" s="2890" t="s">
        <v>4482</v>
      </c>
      <c r="D833" s="2890"/>
      <c r="E833" s="2890"/>
      <c r="F833" s="2890"/>
      <c r="G833" s="2890"/>
      <c r="H833" s="2890"/>
      <c r="I833" s="2890"/>
      <c r="J833" s="2890"/>
      <c r="K833" s="2890"/>
      <c r="L833" s="2890"/>
      <c r="M833" s="2890"/>
      <c r="N833" s="2890"/>
      <c r="O833" s="2890"/>
      <c r="P833" s="2890"/>
      <c r="Q833" s="2891"/>
    </row>
    <row r="834" spans="2:17" s="840" customFormat="1" ht="16.5" x14ac:dyDescent="0.35">
      <c r="B834" s="2986"/>
      <c r="C834" s="2896" t="s">
        <v>4128</v>
      </c>
      <c r="D834" s="2896"/>
      <c r="E834" s="2896"/>
      <c r="F834" s="2896"/>
      <c r="G834" s="2896"/>
      <c r="H834" s="2896"/>
      <c r="I834" s="2896"/>
      <c r="J834" s="2896"/>
      <c r="K834" s="2896"/>
      <c r="L834" s="2896"/>
      <c r="M834" s="2896"/>
      <c r="N834" s="2896"/>
      <c r="O834" s="2896"/>
      <c r="P834" s="2896"/>
      <c r="Q834" s="2897"/>
    </row>
    <row r="835" spans="2:17" s="840" customFormat="1" ht="16.5" x14ac:dyDescent="0.35">
      <c r="B835" s="2986"/>
      <c r="C835" s="2894" t="s">
        <v>4483</v>
      </c>
      <c r="D835" s="2894"/>
      <c r="E835" s="2894"/>
      <c r="F835" s="2894"/>
      <c r="G835" s="2894"/>
      <c r="H835" s="2894"/>
      <c r="I835" s="2894"/>
      <c r="J835" s="2894"/>
      <c r="K835" s="2894"/>
      <c r="L835" s="2894"/>
      <c r="M835" s="2894"/>
      <c r="N835" s="2894"/>
      <c r="O835" s="2894"/>
      <c r="P835" s="2894"/>
      <c r="Q835" s="2895"/>
    </row>
    <row r="836" spans="2:17" s="840" customFormat="1" ht="16.5" x14ac:dyDescent="0.35">
      <c r="B836" s="2986"/>
      <c r="C836" s="2894"/>
      <c r="D836" s="2894"/>
      <c r="E836" s="2894"/>
      <c r="F836" s="2894"/>
      <c r="G836" s="2894"/>
      <c r="H836" s="2894"/>
      <c r="I836" s="2894"/>
      <c r="J836" s="2894"/>
      <c r="K836" s="2894"/>
      <c r="L836" s="2894"/>
      <c r="M836" s="2894"/>
      <c r="N836" s="2894"/>
      <c r="O836" s="2894"/>
      <c r="P836" s="2894"/>
      <c r="Q836" s="2895"/>
    </row>
    <row r="837" spans="2:17" s="840" customFormat="1" ht="17.25" thickBot="1" x14ac:dyDescent="0.4">
      <c r="B837" s="2986"/>
      <c r="C837" s="2890" t="s">
        <v>4484</v>
      </c>
      <c r="D837" s="2890"/>
      <c r="E837" s="2890"/>
      <c r="F837" s="2890"/>
      <c r="G837" s="2890"/>
      <c r="H837" s="2890"/>
      <c r="I837" s="2890"/>
      <c r="J837" s="2890"/>
      <c r="K837" s="2890"/>
      <c r="L837" s="2890"/>
      <c r="M837" s="2890"/>
      <c r="N837" s="2890"/>
      <c r="O837" s="2890"/>
      <c r="P837" s="2890"/>
      <c r="Q837" s="2891"/>
    </row>
    <row r="838" spans="2:17" s="840" customFormat="1" ht="16.5" x14ac:dyDescent="0.35">
      <c r="B838" s="2986"/>
      <c r="C838" s="17"/>
      <c r="D838" s="17"/>
      <c r="E838" s="17"/>
      <c r="F838" s="17"/>
      <c r="G838" s="17"/>
      <c r="H838" s="17"/>
      <c r="I838" s="17"/>
      <c r="J838" s="17"/>
      <c r="K838" s="17"/>
      <c r="L838" s="17"/>
      <c r="M838" s="17"/>
      <c r="N838" s="17"/>
      <c r="O838" s="17"/>
      <c r="P838" s="17"/>
      <c r="Q838" s="17"/>
    </row>
    <row r="839" spans="2:17" s="840" customFormat="1" ht="16.5" x14ac:dyDescent="0.35">
      <c r="B839" s="2986"/>
      <c r="C839" s="17"/>
      <c r="D839" s="17"/>
      <c r="E839" s="17"/>
      <c r="F839" s="17"/>
      <c r="G839" s="17"/>
      <c r="H839" s="17"/>
      <c r="I839" s="17"/>
      <c r="J839" s="17"/>
      <c r="K839" s="17"/>
      <c r="L839" s="17"/>
      <c r="M839" s="17"/>
      <c r="N839" s="17"/>
      <c r="O839" s="17"/>
      <c r="P839" s="17"/>
      <c r="Q839" s="17"/>
    </row>
    <row r="840" spans="2:17" s="840" customFormat="1" ht="16.5" x14ac:dyDescent="0.35">
      <c r="B840" s="2986"/>
      <c r="C840" s="17" t="s">
        <v>4485</v>
      </c>
      <c r="D840" s="17"/>
      <c r="E840" s="17"/>
      <c r="F840" s="17"/>
      <c r="G840" s="17"/>
      <c r="H840" s="17"/>
      <c r="I840" s="17"/>
      <c r="J840" s="17"/>
      <c r="K840" s="17"/>
      <c r="L840" s="17"/>
      <c r="M840" s="17"/>
      <c r="N840" s="17"/>
      <c r="O840" s="17"/>
      <c r="P840" s="17"/>
      <c r="Q840" s="17"/>
    </row>
    <row r="841" spans="2:17" s="840" customFormat="1" ht="16.5" x14ac:dyDescent="0.35">
      <c r="B841" s="2986"/>
      <c r="C841" s="17" t="s">
        <v>4486</v>
      </c>
      <c r="D841" s="17"/>
      <c r="E841" s="17"/>
      <c r="F841" s="17"/>
      <c r="G841" s="17"/>
      <c r="H841" s="17"/>
      <c r="I841" s="17"/>
      <c r="J841" s="17"/>
      <c r="K841" s="17"/>
      <c r="L841" s="17"/>
      <c r="M841" s="17"/>
      <c r="N841" s="17"/>
      <c r="O841" s="17"/>
      <c r="P841" s="17"/>
      <c r="Q841" s="17"/>
    </row>
    <row r="842" spans="2:17" s="840" customFormat="1" ht="16.5" x14ac:dyDescent="0.35">
      <c r="B842" s="2986"/>
      <c r="C842" s="17" t="s">
        <v>4487</v>
      </c>
      <c r="D842" s="17"/>
      <c r="E842" s="17"/>
      <c r="F842" s="17"/>
      <c r="G842" s="17"/>
      <c r="H842" s="17"/>
      <c r="I842" s="17"/>
      <c r="J842" s="17"/>
      <c r="K842" s="17"/>
      <c r="L842" s="17"/>
      <c r="M842" s="17"/>
      <c r="N842" s="17"/>
      <c r="O842" s="17"/>
      <c r="P842" s="17"/>
      <c r="Q842" s="17"/>
    </row>
    <row r="843" spans="2:17" s="840" customFormat="1" ht="16.5" x14ac:dyDescent="0.35">
      <c r="B843" s="2986"/>
      <c r="C843" s="17" t="s">
        <v>4488</v>
      </c>
      <c r="D843" s="17"/>
      <c r="E843" s="17"/>
      <c r="F843" s="17"/>
      <c r="G843" s="17"/>
      <c r="H843" s="17"/>
      <c r="I843" s="17"/>
      <c r="J843" s="17"/>
      <c r="K843" s="17"/>
      <c r="L843" s="17"/>
      <c r="M843" s="17"/>
      <c r="N843" s="17"/>
      <c r="O843" s="17"/>
      <c r="P843" s="17"/>
      <c r="Q843" s="17"/>
    </row>
    <row r="844" spans="2:17" s="840" customFormat="1" ht="16.5" x14ac:dyDescent="0.35">
      <c r="B844" s="2986"/>
      <c r="C844" s="17" t="s">
        <v>4489</v>
      </c>
      <c r="D844" s="17"/>
      <c r="E844" s="17"/>
      <c r="F844" s="17"/>
      <c r="G844" s="17"/>
      <c r="H844" s="17"/>
      <c r="I844" s="17"/>
      <c r="J844" s="17"/>
      <c r="K844" s="17"/>
      <c r="L844" s="17"/>
      <c r="M844" s="17"/>
      <c r="N844" s="17"/>
      <c r="O844" s="17"/>
      <c r="P844" s="17"/>
      <c r="Q844" s="17"/>
    </row>
    <row r="845" spans="2:17" s="840" customFormat="1" ht="16.5" x14ac:dyDescent="0.35">
      <c r="B845" s="2986"/>
      <c r="C845" s="17" t="s">
        <v>4490</v>
      </c>
      <c r="D845" s="17"/>
      <c r="E845" s="17"/>
      <c r="F845" s="17"/>
      <c r="G845" s="17"/>
      <c r="H845" s="17"/>
      <c r="I845" s="17"/>
      <c r="J845" s="17"/>
      <c r="K845" s="17"/>
      <c r="L845" s="17"/>
      <c r="M845" s="17"/>
      <c r="N845" s="17"/>
      <c r="O845" s="17"/>
      <c r="P845" s="17"/>
      <c r="Q845" s="17"/>
    </row>
    <row r="846" spans="2:17" s="840" customFormat="1" ht="17.25" x14ac:dyDescent="0.35">
      <c r="B846" s="2986"/>
      <c r="C846" s="464" t="s">
        <v>4491</v>
      </c>
      <c r="D846" s="17"/>
      <c r="E846" s="17"/>
      <c r="F846" s="17"/>
      <c r="G846" s="17"/>
      <c r="H846" s="17"/>
      <c r="I846" s="17"/>
      <c r="J846" s="17"/>
      <c r="K846" s="17"/>
      <c r="L846" s="17"/>
      <c r="M846" s="17"/>
      <c r="N846" s="17"/>
      <c r="O846" s="17"/>
      <c r="P846" s="17"/>
      <c r="Q846" s="17"/>
    </row>
    <row r="847" spans="2:17" s="840" customFormat="1" ht="16.5" x14ac:dyDescent="0.35">
      <c r="B847" s="2986"/>
      <c r="C847" s="17" t="s">
        <v>4492</v>
      </c>
      <c r="D847" s="17"/>
      <c r="E847" s="17"/>
      <c r="F847" s="17"/>
      <c r="G847" s="17"/>
      <c r="H847" s="17"/>
      <c r="I847" s="17"/>
      <c r="J847" s="17"/>
      <c r="K847" s="17"/>
      <c r="L847" s="17"/>
      <c r="M847" s="17"/>
      <c r="N847" s="17"/>
      <c r="O847" s="17"/>
      <c r="P847" s="17"/>
      <c r="Q847" s="17"/>
    </row>
    <row r="848" spans="2:17" s="840" customFormat="1" ht="17.25" thickBot="1" x14ac:dyDescent="0.4">
      <c r="B848" s="2986"/>
    </row>
    <row r="849" spans="2:17" s="840" customFormat="1" ht="17.25" thickBot="1" x14ac:dyDescent="0.4">
      <c r="B849" s="2986"/>
      <c r="C849" s="2931" t="s">
        <v>4493</v>
      </c>
      <c r="D849" s="2931"/>
      <c r="E849" s="2931"/>
      <c r="F849" s="2931"/>
      <c r="G849" s="2931"/>
      <c r="H849" s="2931"/>
      <c r="I849" s="2931"/>
      <c r="J849" s="2931"/>
      <c r="K849" s="2931"/>
      <c r="L849" s="2931"/>
      <c r="M849" s="2931"/>
      <c r="N849" s="2931"/>
      <c r="O849" s="2931"/>
      <c r="P849" s="2931"/>
      <c r="Q849" s="2932"/>
    </row>
    <row r="850" spans="2:17" s="840" customFormat="1" ht="17.25" thickBot="1" x14ac:dyDescent="0.4">
      <c r="B850" s="2986"/>
      <c r="C850" s="2933"/>
      <c r="D850" s="2934"/>
      <c r="E850" s="2925" t="s">
        <v>4111</v>
      </c>
      <c r="F850" s="2928"/>
      <c r="G850" s="2928"/>
      <c r="H850" s="2928"/>
      <c r="I850" s="2928"/>
      <c r="J850" s="2928"/>
      <c r="K850" s="2928"/>
      <c r="L850" s="2928"/>
      <c r="M850" s="2928"/>
      <c r="N850" s="2928"/>
      <c r="O850" s="2928"/>
      <c r="P850" s="2928"/>
      <c r="Q850" s="2926"/>
    </row>
    <row r="851" spans="2:17" s="840" customFormat="1" ht="17.25" thickBot="1" x14ac:dyDescent="0.4">
      <c r="B851" s="2986"/>
      <c r="C851" s="2909"/>
      <c r="D851" s="2910"/>
      <c r="E851" s="2925" t="s">
        <v>3484</v>
      </c>
      <c r="F851" s="2926"/>
      <c r="G851" s="2925" t="s">
        <v>3485</v>
      </c>
      <c r="H851" s="2926"/>
      <c r="I851" s="2925" t="s">
        <v>4112</v>
      </c>
      <c r="J851" s="2926"/>
      <c r="K851" s="2925" t="s">
        <v>4113</v>
      </c>
      <c r="L851" s="2926"/>
      <c r="M851" s="2925" t="s">
        <v>3488</v>
      </c>
      <c r="N851" s="2926"/>
      <c r="O851" s="2925" t="s">
        <v>3489</v>
      </c>
      <c r="P851" s="2928"/>
      <c r="Q851" s="2926"/>
    </row>
    <row r="852" spans="2:17" s="840" customFormat="1" ht="17.25" thickBot="1" x14ac:dyDescent="0.4">
      <c r="B852" s="2986"/>
      <c r="C852" s="2921" t="s">
        <v>4494</v>
      </c>
      <c r="D852" s="2921"/>
      <c r="E852" s="2921"/>
      <c r="F852" s="2921"/>
      <c r="G852" s="2921"/>
      <c r="H852" s="2921"/>
      <c r="I852" s="2921"/>
      <c r="J852" s="2921"/>
      <c r="K852" s="2921"/>
      <c r="L852" s="2921"/>
      <c r="M852" s="2921"/>
      <c r="N852" s="2921"/>
      <c r="O852" s="2921"/>
      <c r="P852" s="2921"/>
      <c r="Q852" s="2922"/>
    </row>
    <row r="853" spans="2:17" s="840" customFormat="1" ht="57.6" customHeight="1" thickBot="1" x14ac:dyDescent="0.4">
      <c r="B853" s="2986"/>
      <c r="C853" s="2929" t="s">
        <v>4495</v>
      </c>
      <c r="D853" s="2930"/>
      <c r="E853" s="2915" t="s">
        <v>4496</v>
      </c>
      <c r="F853" s="2897"/>
      <c r="G853" s="2918" t="s">
        <v>4497</v>
      </c>
      <c r="H853" s="2919"/>
      <c r="I853" s="2918" t="s">
        <v>4498</v>
      </c>
      <c r="J853" s="2919"/>
      <c r="K853" s="2918" t="s">
        <v>4499</v>
      </c>
      <c r="L853" s="2919"/>
      <c r="M853" s="2900" t="s">
        <v>4500</v>
      </c>
      <c r="N853" s="2900"/>
      <c r="O853" s="2918" t="s">
        <v>4501</v>
      </c>
      <c r="P853" s="2927"/>
      <c r="Q853" s="2919"/>
    </row>
    <row r="854" spans="2:17" s="840" customFormat="1" ht="17.25" thickBot="1" x14ac:dyDescent="0.4">
      <c r="B854" s="2986"/>
      <c r="C854" s="1329" t="s">
        <v>4121</v>
      </c>
      <c r="D854" s="1330">
        <v>30</v>
      </c>
      <c r="E854" s="2916"/>
      <c r="F854" s="2917"/>
      <c r="G854" s="2920"/>
      <c r="H854" s="2891"/>
      <c r="I854" s="2920"/>
      <c r="J854" s="2891"/>
      <c r="K854" s="2920"/>
      <c r="L854" s="2891"/>
      <c r="M854" s="2900"/>
      <c r="N854" s="2900"/>
      <c r="O854" s="2920"/>
      <c r="P854" s="2890"/>
      <c r="Q854" s="2891"/>
    </row>
    <row r="855" spans="2:17" s="840" customFormat="1" ht="16.5" x14ac:dyDescent="0.35">
      <c r="B855" s="2986"/>
      <c r="C855" s="2896" t="s">
        <v>4122</v>
      </c>
      <c r="D855" s="2896"/>
      <c r="E855" s="2896"/>
      <c r="F855" s="2896"/>
      <c r="G855" s="2896"/>
      <c r="H855" s="2896"/>
      <c r="I855" s="2896"/>
      <c r="J855" s="2896"/>
      <c r="K855" s="2896"/>
      <c r="L855" s="2896"/>
      <c r="M855" s="2896"/>
      <c r="N855" s="2896"/>
      <c r="O855" s="2896"/>
      <c r="P855" s="2896"/>
      <c r="Q855" s="2897"/>
    </row>
    <row r="856" spans="2:17" s="840" customFormat="1" ht="57.6" customHeight="1" x14ac:dyDescent="0.35">
      <c r="B856" s="2986"/>
      <c r="C856" s="2894" t="s">
        <v>4502</v>
      </c>
      <c r="D856" s="2894"/>
      <c r="E856" s="2894"/>
      <c r="F856" s="2894"/>
      <c r="G856" s="2894"/>
      <c r="H856" s="2894"/>
      <c r="I856" s="2894"/>
      <c r="J856" s="2894"/>
      <c r="K856" s="2894"/>
      <c r="L856" s="2894"/>
      <c r="M856" s="2894"/>
      <c r="N856" s="2894"/>
      <c r="O856" s="2894"/>
      <c r="P856" s="2894"/>
      <c r="Q856" s="2895"/>
    </row>
    <row r="857" spans="2:17" s="840" customFormat="1" ht="16.5" x14ac:dyDescent="0.35">
      <c r="B857" s="2986"/>
      <c r="C857" s="2894"/>
      <c r="D857" s="2894"/>
      <c r="E857" s="2894"/>
      <c r="F857" s="2894"/>
      <c r="G857" s="2894"/>
      <c r="H857" s="2894"/>
      <c r="I857" s="2894"/>
      <c r="J857" s="2894"/>
      <c r="K857" s="2894"/>
      <c r="L857" s="2894"/>
      <c r="M857" s="2894"/>
      <c r="N857" s="2894"/>
      <c r="O857" s="2894"/>
      <c r="P857" s="2894"/>
      <c r="Q857" s="2895"/>
    </row>
    <row r="858" spans="2:17" s="840" customFormat="1" ht="16.5" x14ac:dyDescent="0.35">
      <c r="B858" s="2986"/>
      <c r="C858" s="2894" t="s">
        <v>4503</v>
      </c>
      <c r="D858" s="2894"/>
      <c r="E858" s="2894"/>
      <c r="F858" s="2894"/>
      <c r="G858" s="2894"/>
      <c r="H858" s="2894"/>
      <c r="I858" s="2894"/>
      <c r="J858" s="2894"/>
      <c r="K858" s="2894"/>
      <c r="L858" s="2894"/>
      <c r="M858" s="2894"/>
      <c r="N858" s="2894"/>
      <c r="O858" s="2894"/>
      <c r="P858" s="2894"/>
      <c r="Q858" s="2895"/>
    </row>
    <row r="859" spans="2:17" s="840" customFormat="1" ht="28.9" customHeight="1" x14ac:dyDescent="0.35">
      <c r="B859" s="2986"/>
      <c r="C859" s="2894" t="s">
        <v>4504</v>
      </c>
      <c r="D859" s="2894"/>
      <c r="E859" s="2894"/>
      <c r="F859" s="2894"/>
      <c r="G859" s="2894"/>
      <c r="H859" s="2894"/>
      <c r="I859" s="2894"/>
      <c r="J859" s="2894"/>
      <c r="K859" s="2894"/>
      <c r="L859" s="2894"/>
      <c r="M859" s="2894"/>
      <c r="N859" s="2894"/>
      <c r="O859" s="2894"/>
      <c r="P859" s="2894"/>
      <c r="Q859" s="2895"/>
    </row>
    <row r="860" spans="2:17" s="840" customFormat="1" ht="16.5" x14ac:dyDescent="0.35">
      <c r="B860" s="2986"/>
      <c r="C860" s="2894"/>
      <c r="D860" s="2894"/>
      <c r="E860" s="2894"/>
      <c r="F860" s="2894"/>
      <c r="G860" s="2894"/>
      <c r="H860" s="2894"/>
      <c r="I860" s="2894"/>
      <c r="J860" s="2894"/>
      <c r="K860" s="2894"/>
      <c r="L860" s="2894"/>
      <c r="M860" s="2894"/>
      <c r="N860" s="2894"/>
      <c r="O860" s="2894"/>
      <c r="P860" s="2894"/>
      <c r="Q860" s="2895"/>
    </row>
    <row r="861" spans="2:17" s="840" customFormat="1" ht="16.5" x14ac:dyDescent="0.35">
      <c r="B861" s="2986"/>
      <c r="C861" s="2894" t="s">
        <v>4505</v>
      </c>
      <c r="D861" s="2894"/>
      <c r="E861" s="2894"/>
      <c r="F861" s="2894"/>
      <c r="G861" s="2894"/>
      <c r="H861" s="2894"/>
      <c r="I861" s="2894"/>
      <c r="J861" s="2894"/>
      <c r="K861" s="2894"/>
      <c r="L861" s="2894"/>
      <c r="M861" s="2894"/>
      <c r="N861" s="2894"/>
      <c r="O861" s="2894"/>
      <c r="P861" s="2894"/>
      <c r="Q861" s="2895"/>
    </row>
    <row r="862" spans="2:17" s="840" customFormat="1" ht="28.9" customHeight="1" x14ac:dyDescent="0.35">
      <c r="B862" s="2986"/>
      <c r="C862" s="2894" t="s">
        <v>4506</v>
      </c>
      <c r="D862" s="2894"/>
      <c r="E862" s="2894"/>
      <c r="F862" s="2894"/>
      <c r="G862" s="2894"/>
      <c r="H862" s="2894"/>
      <c r="I862" s="2894"/>
      <c r="J862" s="2894"/>
      <c r="K862" s="2894"/>
      <c r="L862" s="2894"/>
      <c r="M862" s="2894"/>
      <c r="N862" s="2894"/>
      <c r="O862" s="2894"/>
      <c r="P862" s="2894"/>
      <c r="Q862" s="2895"/>
    </row>
    <row r="863" spans="2:17" s="840" customFormat="1" ht="16.5" x14ac:dyDescent="0.35">
      <c r="B863" s="2986"/>
      <c r="C863" s="2894"/>
      <c r="D863" s="2894"/>
      <c r="E863" s="2894"/>
      <c r="F863" s="2894"/>
      <c r="G863" s="2894"/>
      <c r="H863" s="2894"/>
      <c r="I863" s="2894"/>
      <c r="J863" s="2894"/>
      <c r="K863" s="2894"/>
      <c r="L863" s="2894"/>
      <c r="M863" s="2894"/>
      <c r="N863" s="2894"/>
      <c r="O863" s="2894"/>
      <c r="P863" s="2894"/>
      <c r="Q863" s="2895"/>
    </row>
    <row r="864" spans="2:17" s="840" customFormat="1" ht="16.5" x14ac:dyDescent="0.35">
      <c r="B864" s="2986"/>
      <c r="C864" s="2894" t="s">
        <v>4507</v>
      </c>
      <c r="D864" s="2894"/>
      <c r="E864" s="2894"/>
      <c r="F864" s="2894"/>
      <c r="G864" s="2894"/>
      <c r="H864" s="2894"/>
      <c r="I864" s="2894"/>
      <c r="J864" s="2894"/>
      <c r="K864" s="2894"/>
      <c r="L864" s="2894"/>
      <c r="M864" s="2894"/>
      <c r="N864" s="2894"/>
      <c r="O864" s="2894"/>
      <c r="P864" s="2894"/>
      <c r="Q864" s="2895"/>
    </row>
    <row r="865" spans="2:17" s="840" customFormat="1" ht="16.5" x14ac:dyDescent="0.35">
      <c r="B865" s="2986"/>
      <c r="C865" s="2894"/>
      <c r="D865" s="2894"/>
      <c r="E865" s="2894"/>
      <c r="F865" s="2894"/>
      <c r="G865" s="2894"/>
      <c r="H865" s="2894"/>
      <c r="I865" s="2894"/>
      <c r="J865" s="2894"/>
      <c r="K865" s="2894"/>
      <c r="L865" s="2894"/>
      <c r="M865" s="2894"/>
      <c r="N865" s="2894"/>
      <c r="O865" s="2894"/>
      <c r="P865" s="2894"/>
      <c r="Q865" s="2895"/>
    </row>
    <row r="866" spans="2:17" s="840" customFormat="1" ht="43.15" customHeight="1" x14ac:dyDescent="0.35">
      <c r="B866" s="2986"/>
      <c r="C866" s="2894" t="s">
        <v>4508</v>
      </c>
      <c r="D866" s="2894"/>
      <c r="E866" s="2894"/>
      <c r="F866" s="2894"/>
      <c r="G866" s="2894"/>
      <c r="H866" s="2894"/>
      <c r="I866" s="2894"/>
      <c r="J866" s="2894"/>
      <c r="K866" s="2894"/>
      <c r="L866" s="2894"/>
      <c r="M866" s="2894"/>
      <c r="N866" s="2894"/>
      <c r="O866" s="2894"/>
      <c r="P866" s="2894"/>
      <c r="Q866" s="2895"/>
    </row>
    <row r="867" spans="2:17" s="840" customFormat="1" ht="17.25" thickBot="1" x14ac:dyDescent="0.4">
      <c r="B867" s="2986"/>
      <c r="C867" s="2890"/>
      <c r="D867" s="2890"/>
      <c r="E867" s="2890"/>
      <c r="F867" s="2890"/>
      <c r="G867" s="2890"/>
      <c r="H867" s="2890"/>
      <c r="I867" s="2890"/>
      <c r="J867" s="2890"/>
      <c r="K867" s="2890"/>
      <c r="L867" s="2890"/>
      <c r="M867" s="2890"/>
      <c r="N867" s="2890"/>
      <c r="O867" s="2890"/>
      <c r="P867" s="2890"/>
      <c r="Q867" s="2891"/>
    </row>
    <row r="868" spans="2:17" s="840" customFormat="1" ht="16.5" x14ac:dyDescent="0.35">
      <c r="B868" s="2986"/>
      <c r="C868" s="2896" t="s">
        <v>4128</v>
      </c>
      <c r="D868" s="2896"/>
      <c r="E868" s="2896"/>
      <c r="F868" s="2896"/>
      <c r="G868" s="2896"/>
      <c r="H868" s="2896"/>
      <c r="I868" s="2896"/>
      <c r="J868" s="2896"/>
      <c r="K868" s="2896"/>
      <c r="L868" s="2896"/>
      <c r="M868" s="2896"/>
      <c r="N868" s="2896"/>
      <c r="O868" s="2896"/>
      <c r="P868" s="2896"/>
      <c r="Q868" s="2897"/>
    </row>
    <row r="869" spans="2:17" s="840" customFormat="1" ht="16.5" x14ac:dyDescent="0.35">
      <c r="B869" s="2986"/>
      <c r="C869" s="2894" t="s">
        <v>4509</v>
      </c>
      <c r="D869" s="2894"/>
      <c r="E869" s="2894"/>
      <c r="F869" s="2894"/>
      <c r="G869" s="2894"/>
      <c r="H869" s="2894"/>
      <c r="I869" s="2894"/>
      <c r="J869" s="2894"/>
      <c r="K869" s="2894"/>
      <c r="L869" s="2894"/>
      <c r="M869" s="2894"/>
      <c r="N869" s="2894"/>
      <c r="O869" s="2894"/>
      <c r="P869" s="2894"/>
      <c r="Q869" s="2895"/>
    </row>
    <row r="870" spans="2:17" s="840" customFormat="1" ht="16.5" x14ac:dyDescent="0.35">
      <c r="B870" s="2986"/>
      <c r="C870" s="2894"/>
      <c r="D870" s="2894"/>
      <c r="E870" s="2894"/>
      <c r="F870" s="2894"/>
      <c r="G870" s="2894"/>
      <c r="H870" s="2894"/>
      <c r="I870" s="2894"/>
      <c r="J870" s="2894"/>
      <c r="K870" s="2894"/>
      <c r="L870" s="2894"/>
      <c r="M870" s="2894"/>
      <c r="N870" s="2894"/>
      <c r="O870" s="2894"/>
      <c r="P870" s="2894"/>
      <c r="Q870" s="2895"/>
    </row>
    <row r="871" spans="2:17" s="840" customFormat="1" ht="17.25" thickBot="1" x14ac:dyDescent="0.4">
      <c r="B871" s="2986"/>
      <c r="C871" s="2890" t="s">
        <v>4510</v>
      </c>
      <c r="D871" s="2890"/>
      <c r="E871" s="2890"/>
      <c r="F871" s="2890"/>
      <c r="G871" s="2890"/>
      <c r="H871" s="2890"/>
      <c r="I871" s="2890"/>
      <c r="J871" s="2890"/>
      <c r="K871" s="2890"/>
      <c r="L871" s="2890"/>
      <c r="M871" s="2890"/>
      <c r="N871" s="2890"/>
      <c r="O871" s="2890"/>
      <c r="P871" s="2890"/>
      <c r="Q871" s="2891"/>
    </row>
    <row r="872" spans="2:17" s="840" customFormat="1" ht="57.6" customHeight="1" x14ac:dyDescent="0.35">
      <c r="B872" s="2986"/>
      <c r="C872" s="2900" t="s">
        <v>4511</v>
      </c>
      <c r="D872" s="2900"/>
      <c r="E872" s="2915" t="s">
        <v>4512</v>
      </c>
      <c r="F872" s="2897"/>
      <c r="G872" s="2918" t="s">
        <v>4513</v>
      </c>
      <c r="H872" s="2919"/>
      <c r="I872" s="2918" t="s">
        <v>4514</v>
      </c>
      <c r="J872" s="2919"/>
      <c r="K872" s="2918" t="s">
        <v>4515</v>
      </c>
      <c r="L872" s="2919"/>
      <c r="M872" s="2918" t="s">
        <v>4516</v>
      </c>
      <c r="N872" s="2919"/>
      <c r="O872" s="2918" t="s">
        <v>4517</v>
      </c>
      <c r="P872" s="2927"/>
      <c r="Q872" s="2919"/>
    </row>
    <row r="873" spans="2:17" s="840" customFormat="1" ht="17.25" thickBot="1" x14ac:dyDescent="0.4">
      <c r="B873" s="2986"/>
      <c r="C873" s="1329" t="s">
        <v>4121</v>
      </c>
      <c r="D873" s="1330">
        <v>30</v>
      </c>
      <c r="E873" s="2916"/>
      <c r="F873" s="2917"/>
      <c r="G873" s="2920"/>
      <c r="H873" s="2891"/>
      <c r="I873" s="2920"/>
      <c r="J873" s="2891"/>
      <c r="K873" s="2920"/>
      <c r="L873" s="2891"/>
      <c r="M873" s="2920"/>
      <c r="N873" s="2891"/>
      <c r="O873" s="2920"/>
      <c r="P873" s="2890"/>
      <c r="Q873" s="2891"/>
    </row>
    <row r="874" spans="2:17" s="840" customFormat="1" ht="16.5" x14ac:dyDescent="0.35">
      <c r="B874" s="2986"/>
      <c r="C874" s="2896" t="s">
        <v>4122</v>
      </c>
      <c r="D874" s="2896"/>
      <c r="E874" s="2896"/>
      <c r="F874" s="2896"/>
      <c r="G874" s="2896"/>
      <c r="H874" s="2896"/>
      <c r="I874" s="2896"/>
      <c r="J874" s="2896"/>
      <c r="K874" s="2896"/>
      <c r="L874" s="2896"/>
      <c r="M874" s="2896"/>
      <c r="N874" s="2896"/>
      <c r="O874" s="2896"/>
      <c r="P874" s="2896"/>
      <c r="Q874" s="2897"/>
    </row>
    <row r="875" spans="2:17" s="840" customFormat="1" ht="16.5" x14ac:dyDescent="0.35">
      <c r="B875" s="2986"/>
      <c r="C875" s="2894" t="s">
        <v>4518</v>
      </c>
      <c r="D875" s="2894"/>
      <c r="E875" s="2894"/>
      <c r="F875" s="2894"/>
      <c r="G875" s="2894"/>
      <c r="H875" s="2894"/>
      <c r="I875" s="2894"/>
      <c r="J875" s="2894"/>
      <c r="K875" s="2894"/>
      <c r="L875" s="2894"/>
      <c r="M875" s="2894"/>
      <c r="N875" s="2894"/>
      <c r="O875" s="2894"/>
      <c r="P875" s="2894"/>
      <c r="Q875" s="2895"/>
    </row>
    <row r="876" spans="2:17" s="840" customFormat="1" ht="43.15" customHeight="1" x14ac:dyDescent="0.35">
      <c r="B876" s="2986"/>
      <c r="C876" s="2894" t="s">
        <v>4519</v>
      </c>
      <c r="D876" s="2894"/>
      <c r="E876" s="2894"/>
      <c r="F876" s="2894"/>
      <c r="G876" s="2894"/>
      <c r="H876" s="2894"/>
      <c r="I876" s="2894"/>
      <c r="J876" s="2894"/>
      <c r="K876" s="2894"/>
      <c r="L876" s="2894"/>
      <c r="M876" s="2894"/>
      <c r="N876" s="2894"/>
      <c r="O876" s="2894"/>
      <c r="P876" s="2894"/>
      <c r="Q876" s="2895"/>
    </row>
    <row r="877" spans="2:17" s="840" customFormat="1" ht="16.5" x14ac:dyDescent="0.35">
      <c r="B877" s="2986"/>
      <c r="C877" s="2894" t="s">
        <v>4520</v>
      </c>
      <c r="D877" s="2894"/>
      <c r="E877" s="2894"/>
      <c r="F877" s="2894"/>
      <c r="G877" s="2894"/>
      <c r="H877" s="2894"/>
      <c r="I877" s="2894"/>
      <c r="J877" s="2894"/>
      <c r="K877" s="2894"/>
      <c r="L877" s="2894"/>
      <c r="M877" s="2894"/>
      <c r="N877" s="2894"/>
      <c r="O877" s="2894"/>
      <c r="P877" s="2894"/>
      <c r="Q877" s="2895"/>
    </row>
    <row r="878" spans="2:17" s="840" customFormat="1" ht="16.5" x14ac:dyDescent="0.35">
      <c r="B878" s="2986"/>
      <c r="C878" s="2894" t="s">
        <v>4521</v>
      </c>
      <c r="D878" s="2894"/>
      <c r="E878" s="2894"/>
      <c r="F878" s="2894"/>
      <c r="G878" s="2894"/>
      <c r="H878" s="2894"/>
      <c r="I878" s="2894"/>
      <c r="J878" s="2894"/>
      <c r="K878" s="2894"/>
      <c r="L878" s="2894"/>
      <c r="M878" s="2894"/>
      <c r="N878" s="2894"/>
      <c r="O878" s="2894"/>
      <c r="P878" s="2894"/>
      <c r="Q878" s="2895"/>
    </row>
    <row r="879" spans="2:17" s="840" customFormat="1" ht="17.25" thickBot="1" x14ac:dyDescent="0.4">
      <c r="B879" s="2986"/>
      <c r="C879" s="2890"/>
      <c r="D879" s="2890"/>
      <c r="E879" s="2890"/>
      <c r="F879" s="2890"/>
      <c r="G879" s="2890"/>
      <c r="H879" s="2890"/>
      <c r="I879" s="2890"/>
      <c r="J879" s="2890"/>
      <c r="K879" s="2890"/>
      <c r="L879" s="2890"/>
      <c r="M879" s="2890"/>
      <c r="N879" s="2890"/>
      <c r="O879" s="2890"/>
      <c r="P879" s="2890"/>
      <c r="Q879" s="2891"/>
    </row>
    <row r="880" spans="2:17" s="840" customFormat="1" ht="16.5" x14ac:dyDescent="0.35">
      <c r="B880" s="2986"/>
      <c r="C880" s="2896" t="s">
        <v>4230</v>
      </c>
      <c r="D880" s="2896"/>
      <c r="E880" s="2896"/>
      <c r="F880" s="2896"/>
      <c r="G880" s="2896"/>
      <c r="H880" s="2896"/>
      <c r="I880" s="2896"/>
      <c r="J880" s="2896"/>
      <c r="K880" s="2896"/>
      <c r="L880" s="2896"/>
      <c r="M880" s="2896"/>
      <c r="N880" s="2896"/>
      <c r="O880" s="2896"/>
      <c r="P880" s="2896"/>
      <c r="Q880" s="2897"/>
    </row>
    <row r="881" spans="2:17" s="840" customFormat="1" ht="16.5" x14ac:dyDescent="0.35">
      <c r="B881" s="2986"/>
      <c r="C881" s="2894" t="s">
        <v>4522</v>
      </c>
      <c r="D881" s="2894"/>
      <c r="E881" s="2894"/>
      <c r="F881" s="2894"/>
      <c r="G881" s="2894"/>
      <c r="H881" s="2894"/>
      <c r="I881" s="2894"/>
      <c r="J881" s="2894"/>
      <c r="K881" s="2894"/>
      <c r="L881" s="2894"/>
      <c r="M881" s="2894"/>
      <c r="N881" s="2894"/>
      <c r="O881" s="2894"/>
      <c r="P881" s="2894"/>
      <c r="Q881" s="2895"/>
    </row>
    <row r="882" spans="2:17" s="840" customFormat="1" ht="16.5" x14ac:dyDescent="0.35">
      <c r="B882" s="2986"/>
      <c r="C882" s="2894" t="s">
        <v>4523</v>
      </c>
      <c r="D882" s="2894"/>
      <c r="E882" s="2894"/>
      <c r="F882" s="2894"/>
      <c r="G882" s="2894"/>
      <c r="H882" s="2894"/>
      <c r="I882" s="2894"/>
      <c r="J882" s="2894"/>
      <c r="K882" s="2894"/>
      <c r="L882" s="2894"/>
      <c r="M882" s="2894"/>
      <c r="N882" s="2894"/>
      <c r="O882" s="2894"/>
      <c r="P882" s="2894"/>
      <c r="Q882" s="2895"/>
    </row>
    <row r="883" spans="2:17" s="840" customFormat="1" ht="16.5" x14ac:dyDescent="0.35">
      <c r="B883" s="2986"/>
      <c r="C883" s="2894" t="s">
        <v>4524</v>
      </c>
      <c r="D883" s="2894"/>
      <c r="E883" s="2894"/>
      <c r="F883" s="2894"/>
      <c r="G883" s="2894"/>
      <c r="H883" s="2894"/>
      <c r="I883" s="2894"/>
      <c r="J883" s="2894"/>
      <c r="K883" s="2894"/>
      <c r="L883" s="2894"/>
      <c r="M883" s="2894"/>
      <c r="N883" s="2894"/>
      <c r="O883" s="2894"/>
      <c r="P883" s="2894"/>
      <c r="Q883" s="2895"/>
    </row>
    <row r="884" spans="2:17" s="840" customFormat="1" ht="17.25" thickBot="1" x14ac:dyDescent="0.4">
      <c r="B884" s="2986"/>
      <c r="C884" s="2890"/>
      <c r="D884" s="2890"/>
      <c r="E884" s="2890"/>
      <c r="F884" s="2890"/>
      <c r="G884" s="2890"/>
      <c r="H884" s="2890"/>
      <c r="I884" s="2890"/>
      <c r="J884" s="2890"/>
      <c r="K884" s="2890"/>
      <c r="L884" s="2890"/>
      <c r="M884" s="2890"/>
      <c r="N884" s="2890"/>
      <c r="O884" s="2890"/>
      <c r="P884" s="2890"/>
      <c r="Q884" s="2891"/>
    </row>
    <row r="885" spans="2:17" s="840" customFormat="1" ht="16.5" x14ac:dyDescent="0.35">
      <c r="B885" s="2986"/>
      <c r="C885" s="2896" t="s">
        <v>4128</v>
      </c>
      <c r="D885" s="2896"/>
      <c r="E885" s="2896"/>
      <c r="F885" s="2896"/>
      <c r="G885" s="2896"/>
      <c r="H885" s="2896"/>
      <c r="I885" s="2896"/>
      <c r="J885" s="2896"/>
      <c r="K885" s="2896"/>
      <c r="L885" s="2896"/>
      <c r="M885" s="2896"/>
      <c r="N885" s="2896"/>
      <c r="O885" s="2896"/>
      <c r="P885" s="2896"/>
      <c r="Q885" s="2897"/>
    </row>
    <row r="886" spans="2:17" s="840" customFormat="1" ht="16.5" x14ac:dyDescent="0.35">
      <c r="B886" s="2986"/>
      <c r="C886" s="2894" t="s">
        <v>4525</v>
      </c>
      <c r="D886" s="2894"/>
      <c r="E886" s="2894"/>
      <c r="F886" s="2894"/>
      <c r="G886" s="2894"/>
      <c r="H886" s="2894"/>
      <c r="I886" s="2894"/>
      <c r="J886" s="2894"/>
      <c r="K886" s="2894"/>
      <c r="L886" s="2894"/>
      <c r="M886" s="2894"/>
      <c r="N886" s="2894"/>
      <c r="O886" s="2894"/>
      <c r="P886" s="2894"/>
      <c r="Q886" s="2895"/>
    </row>
    <row r="887" spans="2:17" s="840" customFormat="1" ht="16.5" x14ac:dyDescent="0.35">
      <c r="B887" s="2986"/>
      <c r="C887" s="2894" t="s">
        <v>4526</v>
      </c>
      <c r="D887" s="2894"/>
      <c r="E887" s="2894"/>
      <c r="F887" s="2894"/>
      <c r="G887" s="2894"/>
      <c r="H887" s="2894"/>
      <c r="I887" s="2894"/>
      <c r="J887" s="2894"/>
      <c r="K887" s="2894"/>
      <c r="L887" s="2894"/>
      <c r="M887" s="2894"/>
      <c r="N887" s="2894"/>
      <c r="O887" s="2894"/>
      <c r="P887" s="2894"/>
      <c r="Q887" s="2895"/>
    </row>
    <row r="888" spans="2:17" s="840" customFormat="1" ht="16.5" x14ac:dyDescent="0.35">
      <c r="B888" s="2986"/>
      <c r="C888" s="2894"/>
      <c r="D888" s="2894"/>
      <c r="E888" s="2894"/>
      <c r="F888" s="2894"/>
      <c r="G888" s="2894"/>
      <c r="H888" s="2894"/>
      <c r="I888" s="2894"/>
      <c r="J888" s="2894"/>
      <c r="K888" s="2894"/>
      <c r="L888" s="2894"/>
      <c r="M888" s="2894"/>
      <c r="N888" s="2894"/>
      <c r="O888" s="2894"/>
      <c r="P888" s="2894"/>
      <c r="Q888" s="2895"/>
    </row>
    <row r="889" spans="2:17" s="840" customFormat="1" ht="16.5" x14ac:dyDescent="0.35">
      <c r="B889" s="2986"/>
      <c r="C889" s="2894" t="s">
        <v>4527</v>
      </c>
      <c r="D889" s="2894"/>
      <c r="E889" s="2894"/>
      <c r="F889" s="2894"/>
      <c r="G889" s="2894"/>
      <c r="H889" s="2894"/>
      <c r="I889" s="2894"/>
      <c r="J889" s="2894"/>
      <c r="K889" s="2894"/>
      <c r="L889" s="2894"/>
      <c r="M889" s="2894"/>
      <c r="N889" s="2894"/>
      <c r="O889" s="2894"/>
      <c r="P889" s="2894"/>
      <c r="Q889" s="2895"/>
    </row>
    <row r="890" spans="2:17" s="840" customFormat="1" ht="17.25" thickBot="1" x14ac:dyDescent="0.4">
      <c r="B890" s="2986"/>
      <c r="C890" s="2890"/>
      <c r="D890" s="2890"/>
      <c r="E890" s="2890"/>
      <c r="F890" s="2890"/>
      <c r="G890" s="2890"/>
      <c r="H890" s="2890"/>
      <c r="I890" s="2890"/>
      <c r="J890" s="2890"/>
      <c r="K890" s="2890"/>
      <c r="L890" s="2890"/>
      <c r="M890" s="2890"/>
      <c r="N890" s="2890"/>
      <c r="O890" s="2890"/>
      <c r="P890" s="2890"/>
      <c r="Q890" s="2891"/>
    </row>
    <row r="891" spans="2:17" s="840" customFormat="1" ht="17.25" thickBot="1" x14ac:dyDescent="0.4">
      <c r="B891" s="2986"/>
      <c r="C891" s="2923"/>
      <c r="D891" s="2923"/>
      <c r="E891" s="2923"/>
      <c r="F891" s="2924"/>
      <c r="G891" s="2925" t="s">
        <v>3484</v>
      </c>
      <c r="H891" s="2926"/>
      <c r="I891" s="2925" t="s">
        <v>3485</v>
      </c>
      <c r="J891" s="2926"/>
      <c r="K891" s="2925" t="s">
        <v>4112</v>
      </c>
      <c r="L891" s="2926"/>
      <c r="M891" s="2925" t="s">
        <v>4113</v>
      </c>
      <c r="N891" s="2926"/>
      <c r="O891" s="2925" t="s">
        <v>3488</v>
      </c>
      <c r="P891" s="2926"/>
      <c r="Q891" s="1340" t="s">
        <v>3489</v>
      </c>
    </row>
    <row r="892" spans="2:17" s="840" customFormat="1" ht="17.25" thickBot="1" x14ac:dyDescent="0.4">
      <c r="B892" s="2986"/>
      <c r="C892" s="2921" t="s">
        <v>4036</v>
      </c>
      <c r="D892" s="2921"/>
      <c r="E892" s="2921"/>
      <c r="F892" s="2921"/>
      <c r="G892" s="2921"/>
      <c r="H892" s="2921"/>
      <c r="I892" s="2921"/>
      <c r="J892" s="2921"/>
      <c r="K892" s="2921"/>
      <c r="L892" s="2921"/>
      <c r="M892" s="2921"/>
      <c r="N892" s="2921"/>
      <c r="O892" s="2921"/>
      <c r="P892" s="2921"/>
      <c r="Q892" s="2922"/>
    </row>
    <row r="893" spans="2:17" s="840" customFormat="1" ht="17.25" thickBot="1" x14ac:dyDescent="0.4">
      <c r="B893" s="2986"/>
      <c r="C893" s="2900" t="s">
        <v>4528</v>
      </c>
      <c r="D893" s="2900"/>
      <c r="E893" s="2900"/>
      <c r="F893" s="2900"/>
      <c r="G893" s="2915" t="s">
        <v>4529</v>
      </c>
      <c r="H893" s="2897"/>
      <c r="I893" s="2918" t="s">
        <v>4530</v>
      </c>
      <c r="J893" s="2919"/>
      <c r="K893" s="2918" t="s">
        <v>4531</v>
      </c>
      <c r="L893" s="2919"/>
      <c r="M893" s="2918" t="s">
        <v>4532</v>
      </c>
      <c r="N893" s="2919"/>
      <c r="O893" s="2918" t="s">
        <v>4533</v>
      </c>
      <c r="P893" s="2919"/>
      <c r="Q893" s="2904" t="s">
        <v>4534</v>
      </c>
    </row>
    <row r="894" spans="2:17" s="840" customFormat="1" ht="17.25" thickBot="1" x14ac:dyDescent="0.4">
      <c r="B894" s="2986"/>
      <c r="C894" s="2911" t="s">
        <v>4121</v>
      </c>
      <c r="D894" s="2912"/>
      <c r="E894" s="2913">
        <v>20</v>
      </c>
      <c r="F894" s="2914"/>
      <c r="G894" s="2916"/>
      <c r="H894" s="2917"/>
      <c r="I894" s="2920"/>
      <c r="J894" s="2891"/>
      <c r="K894" s="2920"/>
      <c r="L894" s="2891"/>
      <c r="M894" s="2920"/>
      <c r="N894" s="2891"/>
      <c r="O894" s="2920"/>
      <c r="P894" s="2891"/>
      <c r="Q894" s="2906"/>
    </row>
    <row r="895" spans="2:17" s="840" customFormat="1" ht="16.5" x14ac:dyDescent="0.35">
      <c r="B895" s="2986"/>
      <c r="C895" s="2896" t="s">
        <v>4122</v>
      </c>
      <c r="D895" s="2896"/>
      <c r="E895" s="2896"/>
      <c r="F895" s="2896"/>
      <c r="G895" s="2896"/>
      <c r="H895" s="2896"/>
      <c r="I895" s="2896"/>
      <c r="J895" s="2896"/>
      <c r="K895" s="2896"/>
      <c r="L895" s="2896"/>
      <c r="M895" s="2896"/>
      <c r="N895" s="2896"/>
      <c r="O895" s="2896"/>
      <c r="P895" s="2896"/>
      <c r="Q895" s="2897"/>
    </row>
    <row r="896" spans="2:17" s="840" customFormat="1" ht="16.5" x14ac:dyDescent="0.35">
      <c r="B896" s="2986"/>
      <c r="C896" s="2894" t="s">
        <v>4535</v>
      </c>
      <c r="D896" s="2894"/>
      <c r="E896" s="2894"/>
      <c r="F896" s="2894"/>
      <c r="G896" s="2894"/>
      <c r="H896" s="2894"/>
      <c r="I896" s="2894"/>
      <c r="J896" s="2894"/>
      <c r="K896" s="2894"/>
      <c r="L896" s="2894"/>
      <c r="M896" s="2894"/>
      <c r="N896" s="2894"/>
      <c r="O896" s="2894"/>
      <c r="P896" s="2894"/>
      <c r="Q896" s="2895"/>
    </row>
    <row r="897" spans="2:17" s="840" customFormat="1" ht="16.5" x14ac:dyDescent="0.35">
      <c r="B897" s="2986"/>
      <c r="C897" s="2894" t="s">
        <v>4536</v>
      </c>
      <c r="D897" s="2894"/>
      <c r="E897" s="2894"/>
      <c r="F897" s="2894"/>
      <c r="G897" s="2894"/>
      <c r="H897" s="2894"/>
      <c r="I897" s="2894"/>
      <c r="J897" s="2894"/>
      <c r="K897" s="2894"/>
      <c r="L897" s="2894"/>
      <c r="M897" s="2894"/>
      <c r="N897" s="2894"/>
      <c r="O897" s="2894"/>
      <c r="P897" s="2894"/>
      <c r="Q897" s="2895"/>
    </row>
    <row r="898" spans="2:17" s="840" customFormat="1" ht="16.5" x14ac:dyDescent="0.35">
      <c r="B898" s="2986"/>
      <c r="C898" s="2894"/>
      <c r="D898" s="2894"/>
      <c r="E898" s="2894"/>
      <c r="F898" s="2894"/>
      <c r="G898" s="2894"/>
      <c r="H898" s="2894"/>
      <c r="I898" s="2894"/>
      <c r="J898" s="2894"/>
      <c r="K898" s="2894"/>
      <c r="L898" s="2894"/>
      <c r="M898" s="2894"/>
      <c r="N898" s="2894"/>
      <c r="O898" s="2894"/>
      <c r="P898" s="2894"/>
      <c r="Q898" s="2895"/>
    </row>
    <row r="899" spans="2:17" s="840" customFormat="1" ht="135" customHeight="1" x14ac:dyDescent="0.35">
      <c r="B899" s="2986"/>
      <c r="C899" s="2894" t="s">
        <v>4537</v>
      </c>
      <c r="D899" s="2894"/>
      <c r="E899" s="2894"/>
      <c r="F899" s="2894"/>
      <c r="G899" s="2894"/>
      <c r="H899" s="2894"/>
      <c r="I899" s="2894"/>
      <c r="J899" s="2894"/>
      <c r="K899" s="2894"/>
      <c r="L899" s="2894"/>
      <c r="M899" s="2894"/>
      <c r="N899" s="2894"/>
      <c r="O899" s="2894"/>
      <c r="P899" s="2894"/>
      <c r="Q899" s="2895"/>
    </row>
    <row r="900" spans="2:17" s="840" customFormat="1" ht="16.5" x14ac:dyDescent="0.35">
      <c r="B900" s="2986"/>
      <c r="C900" s="2894"/>
      <c r="D900" s="2894"/>
      <c r="E900" s="2894"/>
      <c r="F900" s="2894"/>
      <c r="G900" s="2894"/>
      <c r="H900" s="2894"/>
      <c r="I900" s="2894"/>
      <c r="J900" s="2894"/>
      <c r="K900" s="2894"/>
      <c r="L900" s="2894"/>
      <c r="M900" s="2894"/>
      <c r="N900" s="2894"/>
      <c r="O900" s="2894"/>
      <c r="P900" s="2894"/>
      <c r="Q900" s="2895"/>
    </row>
    <row r="901" spans="2:17" s="840" customFormat="1" ht="16.5" x14ac:dyDescent="0.35">
      <c r="B901" s="2986"/>
      <c r="C901" s="2894" t="s">
        <v>4538</v>
      </c>
      <c r="D901" s="2894"/>
      <c r="E901" s="2894"/>
      <c r="F901" s="2894"/>
      <c r="G901" s="2894"/>
      <c r="H901" s="2894"/>
      <c r="I901" s="2894"/>
      <c r="J901" s="2894"/>
      <c r="K901" s="2894"/>
      <c r="L901" s="2894"/>
      <c r="M901" s="2894"/>
      <c r="N901" s="2894"/>
      <c r="O901" s="2894"/>
      <c r="P901" s="2894"/>
      <c r="Q901" s="2895"/>
    </row>
    <row r="902" spans="2:17" s="840" customFormat="1" ht="17.25" thickBot="1" x14ac:dyDescent="0.4">
      <c r="B902" s="2986"/>
      <c r="C902" s="2890"/>
      <c r="D902" s="2890"/>
      <c r="E902" s="2890"/>
      <c r="F902" s="2890"/>
      <c r="G902" s="2890"/>
      <c r="H902" s="2890"/>
      <c r="I902" s="2890"/>
      <c r="J902" s="2890"/>
      <c r="K902" s="2890"/>
      <c r="L902" s="2890"/>
      <c r="M902" s="2890"/>
      <c r="N902" s="2890"/>
      <c r="O902" s="2890"/>
      <c r="P902" s="2890"/>
      <c r="Q902" s="2891"/>
    </row>
    <row r="903" spans="2:17" s="840" customFormat="1" ht="16.5" x14ac:dyDescent="0.35">
      <c r="B903" s="2986"/>
      <c r="C903" s="2896" t="s">
        <v>4128</v>
      </c>
      <c r="D903" s="2896"/>
      <c r="E903" s="2896"/>
      <c r="F903" s="2896"/>
      <c r="G903" s="2896"/>
      <c r="H903" s="2896"/>
      <c r="I903" s="2896"/>
      <c r="J903" s="2896"/>
      <c r="K903" s="2896"/>
      <c r="L903" s="2896"/>
      <c r="M903" s="2896"/>
      <c r="N903" s="2896"/>
      <c r="O903" s="2896"/>
      <c r="P903" s="2896"/>
      <c r="Q903" s="2897"/>
    </row>
    <row r="904" spans="2:17" s="840" customFormat="1" ht="16.5" x14ac:dyDescent="0.35">
      <c r="B904" s="2986"/>
      <c r="C904" s="2894" t="s">
        <v>4539</v>
      </c>
      <c r="D904" s="2894"/>
      <c r="E904" s="2894"/>
      <c r="F904" s="2894"/>
      <c r="G904" s="2894"/>
      <c r="H904" s="2894"/>
      <c r="I904" s="2894"/>
      <c r="J904" s="2894"/>
      <c r="K904" s="2894"/>
      <c r="L904" s="2894"/>
      <c r="M904" s="2894"/>
      <c r="N904" s="2894"/>
      <c r="O904" s="2894"/>
      <c r="P904" s="2894"/>
      <c r="Q904" s="2895"/>
    </row>
    <row r="905" spans="2:17" s="840" customFormat="1" ht="16.5" x14ac:dyDescent="0.35">
      <c r="B905" s="2986"/>
      <c r="C905" s="2894" t="s">
        <v>4540</v>
      </c>
      <c r="D905" s="2894"/>
      <c r="E905" s="2894"/>
      <c r="F905" s="2894"/>
      <c r="G905" s="2894"/>
      <c r="H905" s="2894"/>
      <c r="I905" s="2894"/>
      <c r="J905" s="2894"/>
      <c r="K905" s="2894"/>
      <c r="L905" s="2894"/>
      <c r="M905" s="2894"/>
      <c r="N905" s="2894"/>
      <c r="O905" s="2894"/>
      <c r="P905" s="2894"/>
      <c r="Q905" s="2895"/>
    </row>
    <row r="906" spans="2:17" s="840" customFormat="1" ht="17.25" thickBot="1" x14ac:dyDescent="0.4">
      <c r="B906" s="2986"/>
      <c r="C906" s="2890"/>
      <c r="D906" s="2890"/>
      <c r="E906" s="2890"/>
      <c r="F906" s="2890"/>
      <c r="G906" s="2890"/>
      <c r="H906" s="2890"/>
      <c r="I906" s="2890"/>
      <c r="J906" s="2890"/>
      <c r="K906" s="2890"/>
      <c r="L906" s="2890"/>
      <c r="M906" s="2890"/>
      <c r="N906" s="2890"/>
      <c r="O906" s="2890"/>
      <c r="P906" s="2890"/>
      <c r="Q906" s="2891"/>
    </row>
    <row r="907" spans="2:17" s="840" customFormat="1" ht="17.25" thickBot="1" x14ac:dyDescent="0.4">
      <c r="B907" s="2986"/>
      <c r="C907" s="2900" t="s">
        <v>4541</v>
      </c>
      <c r="D907" s="2900"/>
      <c r="E907" s="2900"/>
      <c r="F907" s="2900"/>
      <c r="G907" s="2915" t="s">
        <v>4542</v>
      </c>
      <c r="H907" s="2897"/>
      <c r="I907" s="2915" t="s">
        <v>4543</v>
      </c>
      <c r="J907" s="2897"/>
      <c r="K907" s="2915" t="s">
        <v>4544</v>
      </c>
      <c r="L907" s="2897"/>
      <c r="M907" s="2918" t="s">
        <v>4545</v>
      </c>
      <c r="N907" s="2919"/>
      <c r="O907" s="2918" t="s">
        <v>4546</v>
      </c>
      <c r="P907" s="2919"/>
      <c r="Q907" s="2904" t="s">
        <v>4547</v>
      </c>
    </row>
    <row r="908" spans="2:17" s="840" customFormat="1" ht="17.25" thickBot="1" x14ac:dyDescent="0.4">
      <c r="B908" s="2986"/>
      <c r="C908" s="2911" t="s">
        <v>4121</v>
      </c>
      <c r="D908" s="2912"/>
      <c r="E908" s="2913">
        <v>70</v>
      </c>
      <c r="F908" s="2914"/>
      <c r="G908" s="2916"/>
      <c r="H908" s="2917"/>
      <c r="I908" s="2916"/>
      <c r="J908" s="2917"/>
      <c r="K908" s="2916"/>
      <c r="L908" s="2917"/>
      <c r="M908" s="2920"/>
      <c r="N908" s="2891"/>
      <c r="O908" s="2920"/>
      <c r="P908" s="2891"/>
      <c r="Q908" s="2906"/>
    </row>
    <row r="909" spans="2:17" s="840" customFormat="1" ht="16.5" x14ac:dyDescent="0.35">
      <c r="B909" s="2986"/>
      <c r="C909" s="2896" t="s">
        <v>4122</v>
      </c>
      <c r="D909" s="2896"/>
      <c r="E909" s="2896"/>
      <c r="F909" s="2896"/>
      <c r="G909" s="2896"/>
      <c r="H909" s="2896"/>
      <c r="I909" s="2896"/>
      <c r="J909" s="2896"/>
      <c r="K909" s="2896"/>
      <c r="L909" s="2896"/>
      <c r="M909" s="2896"/>
      <c r="N909" s="2896"/>
      <c r="O909" s="2896"/>
      <c r="P909" s="2896"/>
      <c r="Q909" s="2897"/>
    </row>
    <row r="910" spans="2:17" s="840" customFormat="1" ht="16.5" x14ac:dyDescent="0.35">
      <c r="B910" s="2986"/>
      <c r="C910" s="2894" t="s">
        <v>4548</v>
      </c>
      <c r="D910" s="2894"/>
      <c r="E910" s="2894"/>
      <c r="F910" s="2894"/>
      <c r="G910" s="2894"/>
      <c r="H910" s="2894"/>
      <c r="I910" s="2894"/>
      <c r="J910" s="2894"/>
      <c r="K910" s="2894"/>
      <c r="L910" s="2894"/>
      <c r="M910" s="2894"/>
      <c r="N910" s="2894"/>
      <c r="O910" s="2894"/>
      <c r="P910" s="2894"/>
      <c r="Q910" s="2895"/>
    </row>
    <row r="911" spans="2:17" s="840" customFormat="1" ht="116.45" customHeight="1" x14ac:dyDescent="0.35">
      <c r="B911" s="2986"/>
      <c r="C911" s="2894" t="s">
        <v>4549</v>
      </c>
      <c r="D911" s="2894"/>
      <c r="E911" s="2894"/>
      <c r="F911" s="2894"/>
      <c r="G911" s="2894"/>
      <c r="H911" s="2894"/>
      <c r="I911" s="2894"/>
      <c r="J911" s="2894"/>
      <c r="K911" s="2894"/>
      <c r="L911" s="2894"/>
      <c r="M911" s="2894"/>
      <c r="N911" s="2894"/>
      <c r="O911" s="2894"/>
      <c r="P911" s="2894"/>
      <c r="Q911" s="2895"/>
    </row>
    <row r="912" spans="2:17" s="840" customFormat="1" ht="16.5" x14ac:dyDescent="0.35">
      <c r="B912" s="2986"/>
      <c r="C912" s="2894" t="s">
        <v>4550</v>
      </c>
      <c r="D912" s="2894"/>
      <c r="E912" s="2894"/>
      <c r="F912" s="2894"/>
      <c r="G912" s="2894"/>
      <c r="H912" s="2894"/>
      <c r="I912" s="2894"/>
      <c r="J912" s="2894"/>
      <c r="K912" s="2894"/>
      <c r="L912" s="2894"/>
      <c r="M912" s="2894"/>
      <c r="N912" s="2894"/>
      <c r="O912" s="2894"/>
      <c r="P912" s="2894"/>
      <c r="Q912" s="2895"/>
    </row>
    <row r="913" spans="2:17" s="840" customFormat="1" ht="17.25" thickBot="1" x14ac:dyDescent="0.4">
      <c r="B913" s="2986"/>
      <c r="C913" s="2890" t="s">
        <v>4551</v>
      </c>
      <c r="D913" s="2890"/>
      <c r="E913" s="2890"/>
      <c r="F913" s="2890"/>
      <c r="G913" s="2890"/>
      <c r="H913" s="2890"/>
      <c r="I913" s="2890"/>
      <c r="J913" s="2890"/>
      <c r="K913" s="2890"/>
      <c r="L913" s="2890"/>
      <c r="M913" s="2890"/>
      <c r="N913" s="2890"/>
      <c r="O913" s="2890"/>
      <c r="P913" s="2890"/>
      <c r="Q913" s="2891"/>
    </row>
    <row r="914" spans="2:17" s="840" customFormat="1" ht="16.5" x14ac:dyDescent="0.35">
      <c r="B914" s="2986"/>
      <c r="C914" s="2896" t="s">
        <v>4128</v>
      </c>
      <c r="D914" s="2896"/>
      <c r="E914" s="2896"/>
      <c r="F914" s="2896"/>
      <c r="G914" s="2896"/>
      <c r="H914" s="2896"/>
      <c r="I914" s="2896"/>
      <c r="J914" s="2896"/>
      <c r="K914" s="2896"/>
      <c r="L914" s="2896"/>
      <c r="M914" s="2896"/>
      <c r="N914" s="2896"/>
      <c r="O914" s="2896"/>
      <c r="P914" s="2896"/>
      <c r="Q914" s="2897"/>
    </row>
    <row r="915" spans="2:17" s="840" customFormat="1" ht="16.5" x14ac:dyDescent="0.35">
      <c r="B915" s="2986"/>
      <c r="C915" s="2894" t="s">
        <v>4552</v>
      </c>
      <c r="D915" s="2894"/>
      <c r="E915" s="2894"/>
      <c r="F915" s="2894"/>
      <c r="G915" s="2894"/>
      <c r="H915" s="2894"/>
      <c r="I915" s="2894"/>
      <c r="J915" s="2894"/>
      <c r="K915" s="2894"/>
      <c r="L915" s="2894"/>
      <c r="M915" s="2894"/>
      <c r="N915" s="2894"/>
      <c r="O915" s="2894"/>
      <c r="P915" s="2894"/>
      <c r="Q915" s="2895"/>
    </row>
    <row r="916" spans="2:17" s="840" customFormat="1" ht="16.5" x14ac:dyDescent="0.35">
      <c r="B916" s="2986"/>
      <c r="C916" s="2894" t="s">
        <v>4553</v>
      </c>
      <c r="D916" s="2894"/>
      <c r="E916" s="2894"/>
      <c r="F916" s="2894"/>
      <c r="G916" s="2894"/>
      <c r="H916" s="2894"/>
      <c r="I916" s="2894"/>
      <c r="J916" s="2894"/>
      <c r="K916" s="2894"/>
      <c r="L916" s="2894"/>
      <c r="M916" s="2894"/>
      <c r="N916" s="2894"/>
      <c r="O916" s="2894"/>
      <c r="P916" s="2894"/>
      <c r="Q916" s="2895"/>
    </row>
    <row r="917" spans="2:17" s="840" customFormat="1" ht="17.25" thickBot="1" x14ac:dyDescent="0.4">
      <c r="B917" s="2986"/>
      <c r="C917" s="2890" t="s">
        <v>4554</v>
      </c>
      <c r="D917" s="2890"/>
      <c r="E917" s="2890"/>
      <c r="F917" s="2890"/>
      <c r="G917" s="2890"/>
      <c r="H917" s="2890"/>
      <c r="I917" s="2890"/>
      <c r="J917" s="2890"/>
      <c r="K917" s="2890"/>
      <c r="L917" s="2890"/>
      <c r="M917" s="2890"/>
      <c r="N917" s="2890"/>
      <c r="O917" s="2890"/>
      <c r="P917" s="2890"/>
      <c r="Q917" s="2891"/>
    </row>
    <row r="918" spans="2:17" s="840" customFormat="1" ht="16.5" x14ac:dyDescent="0.35">
      <c r="B918" s="2986"/>
      <c r="C918" s="17"/>
      <c r="D918" s="17"/>
      <c r="E918" s="17"/>
      <c r="F918" s="17"/>
      <c r="G918" s="17"/>
      <c r="H918" s="17"/>
      <c r="I918" s="17"/>
      <c r="J918" s="17"/>
      <c r="K918" s="17"/>
      <c r="L918" s="17"/>
      <c r="M918" s="17"/>
      <c r="N918" s="17"/>
      <c r="O918" s="17"/>
      <c r="P918" s="17"/>
      <c r="Q918" s="17"/>
    </row>
    <row r="919" spans="2:17" s="840" customFormat="1" ht="16.5" x14ac:dyDescent="0.35">
      <c r="B919" s="2986"/>
      <c r="C919" s="17"/>
      <c r="D919" s="17"/>
      <c r="E919" s="17"/>
      <c r="F919" s="17"/>
      <c r="G919" s="17"/>
      <c r="H919" s="17"/>
      <c r="I919" s="17"/>
      <c r="J919" s="17"/>
      <c r="K919" s="17"/>
      <c r="L919" s="17"/>
      <c r="M919" s="17"/>
      <c r="N919" s="17"/>
      <c r="O919" s="17"/>
      <c r="P919" s="17"/>
      <c r="Q919" s="17"/>
    </row>
    <row r="920" spans="2:17" s="840" customFormat="1" ht="16.5" x14ac:dyDescent="0.35">
      <c r="B920" s="2986"/>
      <c r="C920" s="17" t="s">
        <v>4555</v>
      </c>
      <c r="D920" s="17"/>
      <c r="E920" s="17"/>
      <c r="F920" s="17"/>
      <c r="G920" s="17"/>
      <c r="H920" s="17"/>
      <c r="I920" s="17"/>
      <c r="J920" s="17"/>
      <c r="K920" s="17"/>
      <c r="L920" s="17"/>
      <c r="M920" s="17"/>
      <c r="N920" s="17"/>
      <c r="O920" s="17"/>
      <c r="P920" s="17"/>
      <c r="Q920" s="17"/>
    </row>
    <row r="921" spans="2:17" s="840" customFormat="1" ht="17.25" x14ac:dyDescent="0.35">
      <c r="B921" s="2986"/>
      <c r="C921" s="464" t="s">
        <v>4556</v>
      </c>
      <c r="D921" s="17"/>
      <c r="E921" s="17"/>
      <c r="F921" s="17"/>
      <c r="G921" s="17"/>
      <c r="H921" s="17"/>
      <c r="I921" s="17"/>
      <c r="J921" s="17"/>
      <c r="K921" s="17"/>
      <c r="L921" s="17"/>
      <c r="M921" s="17"/>
      <c r="N921" s="17"/>
      <c r="O921" s="17"/>
      <c r="P921" s="17"/>
      <c r="Q921" s="17"/>
    </row>
    <row r="922" spans="2:17" s="840" customFormat="1" ht="16.5" x14ac:dyDescent="0.35">
      <c r="B922" s="2986"/>
      <c r="C922" s="17" t="s">
        <v>4557</v>
      </c>
      <c r="D922" s="17"/>
      <c r="E922" s="17"/>
      <c r="F922" s="17"/>
      <c r="G922" s="17"/>
      <c r="H922" s="17"/>
      <c r="I922" s="17"/>
      <c r="J922" s="17"/>
      <c r="K922" s="17"/>
      <c r="L922" s="17"/>
      <c r="M922" s="17"/>
      <c r="N922" s="17"/>
      <c r="O922" s="17"/>
      <c r="P922" s="17"/>
      <c r="Q922" s="17"/>
    </row>
    <row r="923" spans="2:17" s="840" customFormat="1" ht="16.5" x14ac:dyDescent="0.35">
      <c r="B923" s="2986"/>
      <c r="C923" s="17" t="s">
        <v>4558</v>
      </c>
      <c r="D923" s="17"/>
      <c r="E923" s="17"/>
      <c r="F923" s="17"/>
      <c r="G923" s="17"/>
      <c r="H923" s="17"/>
      <c r="I923" s="17"/>
      <c r="J923" s="17"/>
      <c r="K923" s="17"/>
      <c r="L923" s="17"/>
      <c r="M923" s="17"/>
      <c r="N923" s="17"/>
      <c r="O923" s="17"/>
      <c r="P923" s="17"/>
      <c r="Q923" s="17"/>
    </row>
    <row r="924" spans="2:17" s="840" customFormat="1" ht="16.5" x14ac:dyDescent="0.35">
      <c r="B924" s="2986"/>
      <c r="C924" s="17" t="s">
        <v>4559</v>
      </c>
      <c r="D924" s="17"/>
      <c r="E924" s="17"/>
      <c r="F924" s="17"/>
      <c r="G924" s="17"/>
      <c r="H924" s="17"/>
      <c r="I924" s="17"/>
      <c r="J924" s="17"/>
      <c r="K924" s="17"/>
      <c r="L924" s="17"/>
      <c r="M924" s="17"/>
      <c r="N924" s="17"/>
      <c r="O924" s="17"/>
      <c r="P924" s="17"/>
      <c r="Q924" s="17"/>
    </row>
    <row r="925" spans="2:17" s="840" customFormat="1" ht="17.25" thickBot="1" x14ac:dyDescent="0.4">
      <c r="B925" s="2986"/>
      <c r="C925" s="17" t="s">
        <v>4560</v>
      </c>
      <c r="D925" s="17"/>
      <c r="E925" s="17"/>
      <c r="F925" s="17"/>
      <c r="G925" s="17"/>
      <c r="H925" s="17"/>
      <c r="I925" s="17"/>
      <c r="J925" s="17"/>
      <c r="K925" s="17"/>
      <c r="L925" s="17"/>
      <c r="M925" s="17"/>
      <c r="N925" s="17"/>
      <c r="O925" s="17"/>
      <c r="P925" s="17"/>
      <c r="Q925" s="17"/>
    </row>
    <row r="926" spans="2:17" s="840" customFormat="1" ht="17.25" thickBot="1" x14ac:dyDescent="0.4">
      <c r="B926" s="2986"/>
      <c r="C926" s="2909"/>
      <c r="D926" s="2910"/>
      <c r="E926" s="1341" t="s">
        <v>3484</v>
      </c>
      <c r="F926" s="1341" t="s">
        <v>3485</v>
      </c>
      <c r="G926" s="1341" t="s">
        <v>4112</v>
      </c>
      <c r="H926" s="1341" t="s">
        <v>4113</v>
      </c>
      <c r="I926" s="1341" t="s">
        <v>3488</v>
      </c>
      <c r="J926" s="1341" t="s">
        <v>3489</v>
      </c>
    </row>
    <row r="927" spans="2:17" s="840" customFormat="1" ht="147.6" customHeight="1" x14ac:dyDescent="0.35">
      <c r="B927" s="2986"/>
      <c r="C927" s="2900" t="s">
        <v>4561</v>
      </c>
      <c r="D927" s="2900"/>
      <c r="E927" s="2901" t="s">
        <v>4562</v>
      </c>
      <c r="F927" s="2904" t="s">
        <v>4563</v>
      </c>
      <c r="G927" s="2904" t="s">
        <v>4564</v>
      </c>
      <c r="H927" s="2904" t="s">
        <v>4565</v>
      </c>
      <c r="I927" s="2904" t="s">
        <v>4566</v>
      </c>
      <c r="J927" s="2904" t="s">
        <v>4567</v>
      </c>
    </row>
    <row r="928" spans="2:17" s="840" customFormat="1" ht="17.25" thickBot="1" x14ac:dyDescent="0.4">
      <c r="B928" s="2986"/>
      <c r="C928" s="1329" t="s">
        <v>4121</v>
      </c>
      <c r="D928" s="1330">
        <v>30</v>
      </c>
      <c r="E928" s="2903"/>
      <c r="F928" s="2906"/>
      <c r="G928" s="2906"/>
      <c r="H928" s="2906"/>
      <c r="I928" s="2906"/>
      <c r="J928" s="2906"/>
    </row>
    <row r="929" spans="2:10" s="840" customFormat="1" ht="16.5" x14ac:dyDescent="0.35">
      <c r="B929" s="2986"/>
      <c r="C929" s="2896" t="s">
        <v>4122</v>
      </c>
      <c r="D929" s="2896"/>
      <c r="E929" s="2896"/>
      <c r="F929" s="2896"/>
      <c r="G929" s="2896"/>
      <c r="H929" s="2896"/>
      <c r="I929" s="2896"/>
      <c r="J929" s="2897"/>
    </row>
    <row r="930" spans="2:10" s="840" customFormat="1" ht="28.9" customHeight="1" x14ac:dyDescent="0.35">
      <c r="B930" s="2986"/>
      <c r="C930" s="2894" t="s">
        <v>4568</v>
      </c>
      <c r="D930" s="2894"/>
      <c r="E930" s="2894"/>
      <c r="F930" s="2894"/>
      <c r="G930" s="2894"/>
      <c r="H930" s="2894"/>
      <c r="I930" s="2894"/>
      <c r="J930" s="2895"/>
    </row>
    <row r="931" spans="2:10" s="840" customFormat="1" ht="17.25" thickBot="1" x14ac:dyDescent="0.4">
      <c r="B931" s="2986"/>
      <c r="C931" s="2890"/>
      <c r="D931" s="2890"/>
      <c r="E931" s="2890"/>
      <c r="F931" s="2890"/>
      <c r="G931" s="2890"/>
      <c r="H931" s="2890"/>
      <c r="I931" s="2890"/>
      <c r="J931" s="2891"/>
    </row>
    <row r="932" spans="2:10" s="840" customFormat="1" ht="16.5" x14ac:dyDescent="0.35">
      <c r="B932" s="2986"/>
      <c r="C932" s="2896" t="s">
        <v>4128</v>
      </c>
      <c r="D932" s="2896"/>
      <c r="E932" s="2896"/>
      <c r="F932" s="2896"/>
      <c r="G932" s="2896"/>
      <c r="H932" s="2896"/>
      <c r="I932" s="2896"/>
      <c r="J932" s="2897"/>
    </row>
    <row r="933" spans="2:10" s="840" customFormat="1" ht="16.5" x14ac:dyDescent="0.35">
      <c r="B933" s="2986"/>
      <c r="C933" s="2894" t="s">
        <v>4569</v>
      </c>
      <c r="D933" s="2894"/>
      <c r="E933" s="2894"/>
      <c r="F933" s="2894"/>
      <c r="G933" s="2894"/>
      <c r="H933" s="2894"/>
      <c r="I933" s="2894"/>
      <c r="J933" s="2895"/>
    </row>
    <row r="934" spans="2:10" s="840" customFormat="1" ht="17.25" thickBot="1" x14ac:dyDescent="0.4">
      <c r="B934" s="2986"/>
      <c r="C934" s="2890"/>
      <c r="D934" s="2890"/>
      <c r="E934" s="2890"/>
      <c r="F934" s="2890"/>
      <c r="G934" s="2890"/>
      <c r="H934" s="2890"/>
      <c r="I934" s="2890"/>
      <c r="J934" s="2891"/>
    </row>
    <row r="935" spans="2:10" s="840" customFormat="1" ht="157.9" customHeight="1" thickBot="1" x14ac:dyDescent="0.4">
      <c r="B935" s="2986"/>
      <c r="C935" s="2900" t="s">
        <v>4570</v>
      </c>
      <c r="D935" s="2900"/>
      <c r="E935" s="2901" t="s">
        <v>4571</v>
      </c>
      <c r="F935" s="2904" t="s">
        <v>4572</v>
      </c>
      <c r="G935" s="2904" t="s">
        <v>4573</v>
      </c>
      <c r="H935" s="2904" t="s">
        <v>4574</v>
      </c>
      <c r="I935" s="2904" t="s">
        <v>4516</v>
      </c>
      <c r="J935" s="2904" t="s">
        <v>4575</v>
      </c>
    </row>
    <row r="936" spans="2:10" s="840" customFormat="1" ht="16.5" x14ac:dyDescent="0.35">
      <c r="B936" s="2986"/>
      <c r="C936" s="2907" t="s">
        <v>4121</v>
      </c>
      <c r="D936" s="2898">
        <v>60</v>
      </c>
      <c r="E936" s="2902"/>
      <c r="F936" s="2905"/>
      <c r="G936" s="2905"/>
      <c r="H936" s="2905"/>
      <c r="I936" s="2905"/>
      <c r="J936" s="2905"/>
    </row>
    <row r="937" spans="2:10" s="840" customFormat="1" ht="17.25" thickBot="1" x14ac:dyDescent="0.4">
      <c r="B937" s="2986"/>
      <c r="C937" s="2908"/>
      <c r="D937" s="2899"/>
      <c r="E937" s="2903"/>
      <c r="F937" s="2906"/>
      <c r="G937" s="2906"/>
      <c r="H937" s="2906"/>
      <c r="I937" s="2906"/>
      <c r="J937" s="2906"/>
    </row>
    <row r="938" spans="2:10" s="840" customFormat="1" ht="16.5" x14ac:dyDescent="0.35">
      <c r="B938" s="2986"/>
      <c r="C938" s="2896" t="s">
        <v>4122</v>
      </c>
      <c r="D938" s="2896"/>
      <c r="E938" s="2896"/>
      <c r="F938" s="2896"/>
      <c r="G938" s="2896"/>
      <c r="H938" s="2896"/>
      <c r="I938" s="2896"/>
      <c r="J938" s="2897"/>
    </row>
    <row r="939" spans="2:10" s="840" customFormat="1" ht="16.5" x14ac:dyDescent="0.35">
      <c r="B939" s="2986"/>
      <c r="C939" s="2894" t="s">
        <v>4576</v>
      </c>
      <c r="D939" s="2894"/>
      <c r="E939" s="2894"/>
      <c r="F939" s="2894"/>
      <c r="G939" s="2894"/>
      <c r="H939" s="2894"/>
      <c r="I939" s="2894"/>
      <c r="J939" s="2895"/>
    </row>
    <row r="940" spans="2:10" s="840" customFormat="1" ht="57.6" customHeight="1" x14ac:dyDescent="0.35">
      <c r="B940" s="2986"/>
      <c r="C940" s="2894" t="s">
        <v>4577</v>
      </c>
      <c r="D940" s="2894"/>
      <c r="E940" s="2894"/>
      <c r="F940" s="2894"/>
      <c r="G940" s="2894"/>
      <c r="H940" s="2894"/>
      <c r="I940" s="2894"/>
      <c r="J940" s="2895"/>
    </row>
    <row r="941" spans="2:10" s="840" customFormat="1" ht="16.5" x14ac:dyDescent="0.35">
      <c r="B941" s="2986"/>
      <c r="C941" s="2894"/>
      <c r="D941" s="2894"/>
      <c r="E941" s="2894"/>
      <c r="F941" s="2894"/>
      <c r="G941" s="2894"/>
      <c r="H941" s="2894"/>
      <c r="I941" s="2894"/>
      <c r="J941" s="2895"/>
    </row>
    <row r="942" spans="2:10" s="840" customFormat="1" ht="16.5" x14ac:dyDescent="0.35">
      <c r="B942" s="2986"/>
      <c r="C942" s="2894" t="s">
        <v>4578</v>
      </c>
      <c r="D942" s="2894"/>
      <c r="E942" s="2894"/>
      <c r="F942" s="2894"/>
      <c r="G942" s="2894"/>
      <c r="H942" s="2894"/>
      <c r="I942" s="2894"/>
      <c r="J942" s="2895"/>
    </row>
    <row r="943" spans="2:10" s="840" customFormat="1" ht="16.5" x14ac:dyDescent="0.35">
      <c r="B943" s="2986"/>
      <c r="C943" s="2894"/>
      <c r="D943" s="2894"/>
      <c r="E943" s="2894"/>
      <c r="F943" s="2894"/>
      <c r="G943" s="2894"/>
      <c r="H943" s="2894"/>
      <c r="I943" s="2894"/>
      <c r="J943" s="2895"/>
    </row>
    <row r="944" spans="2:10" s="840" customFormat="1" ht="16.5" x14ac:dyDescent="0.35">
      <c r="B944" s="2986"/>
      <c r="C944" s="2894" t="s">
        <v>4579</v>
      </c>
      <c r="D944" s="2894"/>
      <c r="E944" s="2894"/>
      <c r="F944" s="2894"/>
      <c r="G944" s="2894"/>
      <c r="H944" s="2894"/>
      <c r="I944" s="2894"/>
      <c r="J944" s="2895"/>
    </row>
    <row r="945" spans="2:17" s="840" customFormat="1" ht="16.5" x14ac:dyDescent="0.35">
      <c r="B945" s="2986"/>
      <c r="C945" s="2894"/>
      <c r="D945" s="2894"/>
      <c r="E945" s="2894"/>
      <c r="F945" s="2894"/>
      <c r="G945" s="2894"/>
      <c r="H945" s="2894"/>
      <c r="I945" s="2894"/>
      <c r="J945" s="2895"/>
    </row>
    <row r="946" spans="2:17" s="840" customFormat="1" ht="28.9" customHeight="1" thickBot="1" x14ac:dyDescent="0.4">
      <c r="B946" s="2986"/>
      <c r="C946" s="2890" t="s">
        <v>4580</v>
      </c>
      <c r="D946" s="2890"/>
      <c r="E946" s="2890"/>
      <c r="F946" s="2890"/>
      <c r="G946" s="2890"/>
      <c r="H946" s="2890"/>
      <c r="I946" s="2890"/>
      <c r="J946" s="2891"/>
    </row>
    <row r="947" spans="2:17" s="840" customFormat="1" ht="16.5" x14ac:dyDescent="0.35">
      <c r="B947" s="2986"/>
      <c r="C947" s="2896" t="s">
        <v>4128</v>
      </c>
      <c r="D947" s="2896"/>
      <c r="E947" s="2896"/>
      <c r="F947" s="2896"/>
      <c r="G947" s="2896"/>
      <c r="H947" s="2896"/>
      <c r="I947" s="2896"/>
      <c r="J947" s="2897"/>
    </row>
    <row r="948" spans="2:17" s="840" customFormat="1" ht="16.5" x14ac:dyDescent="0.35">
      <c r="B948" s="2986"/>
      <c r="C948" s="2894" t="s">
        <v>4581</v>
      </c>
      <c r="D948" s="2894"/>
      <c r="E948" s="2894"/>
      <c r="F948" s="2894"/>
      <c r="G948" s="2894"/>
      <c r="H948" s="2894"/>
      <c r="I948" s="2894"/>
      <c r="J948" s="2895"/>
    </row>
    <row r="949" spans="2:17" s="840" customFormat="1" ht="17.25" thickBot="1" x14ac:dyDescent="0.4">
      <c r="B949" s="2986"/>
      <c r="C949" s="2890"/>
      <c r="D949" s="2890"/>
      <c r="E949" s="2890"/>
      <c r="F949" s="2890"/>
      <c r="G949" s="2890"/>
      <c r="H949" s="2890"/>
      <c r="I949" s="2890"/>
      <c r="J949" s="2891"/>
    </row>
    <row r="950" spans="2:17" s="840" customFormat="1" ht="17.25" thickBot="1" x14ac:dyDescent="0.4">
      <c r="B950" s="2986"/>
      <c r="C950" s="2892"/>
      <c r="D950" s="2892"/>
      <c r="E950" s="2892"/>
      <c r="F950" s="2892"/>
      <c r="G950" s="2892"/>
      <c r="H950" s="2892"/>
      <c r="I950" s="2892"/>
      <c r="J950" s="2893"/>
    </row>
    <row r="951" spans="2:17" s="840" customFormat="1" ht="16.5" x14ac:dyDescent="0.35">
      <c r="B951" s="2986"/>
      <c r="C951" s="17"/>
      <c r="D951" s="17"/>
      <c r="E951" s="17"/>
      <c r="F951" s="17"/>
      <c r="G951" s="17"/>
      <c r="H951" s="17"/>
      <c r="I951" s="17"/>
      <c r="J951" s="17"/>
    </row>
    <row r="952" spans="2:17" s="840" customFormat="1" ht="16.5" x14ac:dyDescent="0.35">
      <c r="B952" s="2986"/>
      <c r="C952" s="17"/>
      <c r="D952" s="17"/>
      <c r="E952" s="17"/>
      <c r="F952" s="17"/>
      <c r="G952" s="17"/>
      <c r="H952" s="17"/>
      <c r="I952" s="17"/>
      <c r="J952" s="17"/>
    </row>
    <row r="953" spans="2:17" s="840" customFormat="1" ht="16.5" x14ac:dyDescent="0.35">
      <c r="B953" s="2986"/>
      <c r="C953" s="17" t="s">
        <v>4582</v>
      </c>
      <c r="D953" s="17"/>
      <c r="E953" s="17"/>
      <c r="F953" s="17"/>
      <c r="G953" s="17"/>
      <c r="H953" s="17"/>
      <c r="I953" s="17"/>
      <c r="J953" s="17"/>
    </row>
    <row r="954" spans="2:17" s="840" customFormat="1" ht="16.5" x14ac:dyDescent="0.35">
      <c r="B954" s="2987"/>
      <c r="C954" s="17" t="s">
        <v>4583</v>
      </c>
      <c r="D954" s="17"/>
      <c r="E954" s="17"/>
      <c r="F954" s="17"/>
      <c r="G954" s="17"/>
      <c r="H954" s="17"/>
      <c r="I954" s="17"/>
      <c r="J954" s="17"/>
    </row>
    <row r="955" spans="2:17" x14ac:dyDescent="0.4">
      <c r="B955" s="840"/>
      <c r="C955" s="840"/>
      <c r="D955" s="840"/>
      <c r="E955" s="840"/>
      <c r="F955" s="840"/>
      <c r="G955" s="840"/>
      <c r="H955" s="840"/>
      <c r="I955" s="840"/>
      <c r="J955" s="840"/>
      <c r="K955" s="840"/>
      <c r="L955" s="840"/>
      <c r="M955" s="840"/>
      <c r="N955" s="840"/>
      <c r="O955" s="840"/>
      <c r="P955" s="840"/>
      <c r="Q955" s="840"/>
    </row>
  </sheetData>
  <mergeCells count="1425">
    <mergeCell ref="A6:B6"/>
    <mergeCell ref="C6:L6"/>
    <mergeCell ref="C9:H9"/>
    <mergeCell ref="C10:H10"/>
    <mergeCell ref="C11:C12"/>
    <mergeCell ref="D11:D12"/>
    <mergeCell ref="E11:H11"/>
    <mergeCell ref="C1:D1"/>
    <mergeCell ref="A3:B3"/>
    <mergeCell ref="C3:L3"/>
    <mergeCell ref="A4:B4"/>
    <mergeCell ref="C4:L4"/>
    <mergeCell ref="A5:B5"/>
    <mergeCell ref="C5:L5"/>
    <mergeCell ref="D33:E33"/>
    <mergeCell ref="C34:D34"/>
    <mergeCell ref="G34:K34"/>
    <mergeCell ref="D35:E35"/>
    <mergeCell ref="C36:D36"/>
    <mergeCell ref="G36:K36"/>
    <mergeCell ref="D28:E28"/>
    <mergeCell ref="C29:D29"/>
    <mergeCell ref="G29:K29"/>
    <mergeCell ref="C30:K30"/>
    <mergeCell ref="D31:E31"/>
    <mergeCell ref="C32:D32"/>
    <mergeCell ref="B20:B146"/>
    <mergeCell ref="C20:K20"/>
    <mergeCell ref="F21:K21"/>
    <mergeCell ref="C23:K23"/>
    <mergeCell ref="D24:E24"/>
    <mergeCell ref="C25:D25"/>
    <mergeCell ref="G25:K25"/>
    <mergeCell ref="D26:E26"/>
    <mergeCell ref="C27:D27"/>
    <mergeCell ref="G27:K27"/>
    <mergeCell ref="D49:E49"/>
    <mergeCell ref="C50:D50"/>
    <mergeCell ref="G50:K50"/>
    <mergeCell ref="D51:E51"/>
    <mergeCell ref="C52:D52"/>
    <mergeCell ref="G52:K52"/>
    <mergeCell ref="C44:K44"/>
    <mergeCell ref="D45:E45"/>
    <mergeCell ref="C46:D46"/>
    <mergeCell ref="G46:K46"/>
    <mergeCell ref="D47:E47"/>
    <mergeCell ref="C48:D48"/>
    <mergeCell ref="G48:K48"/>
    <mergeCell ref="D37:E37"/>
    <mergeCell ref="C38:D38"/>
    <mergeCell ref="C39:F39"/>
    <mergeCell ref="H39:K39"/>
    <mergeCell ref="C41:K41"/>
    <mergeCell ref="F42:K42"/>
    <mergeCell ref="D62:E62"/>
    <mergeCell ref="C63:D63"/>
    <mergeCell ref="G63:K63"/>
    <mergeCell ref="D64:E64"/>
    <mergeCell ref="C65:D65"/>
    <mergeCell ref="G65:K65"/>
    <mergeCell ref="C57:K57"/>
    <mergeCell ref="D58:E58"/>
    <mergeCell ref="C59:D59"/>
    <mergeCell ref="G59:K59"/>
    <mergeCell ref="D60:E60"/>
    <mergeCell ref="C61:D61"/>
    <mergeCell ref="G61:K61"/>
    <mergeCell ref="D53:E53"/>
    <mergeCell ref="C54:D54"/>
    <mergeCell ref="G54:K54"/>
    <mergeCell ref="D55:E55"/>
    <mergeCell ref="C56:D56"/>
    <mergeCell ref="G56:K56"/>
    <mergeCell ref="C77:D77"/>
    <mergeCell ref="G77:K77"/>
    <mergeCell ref="D78:E78"/>
    <mergeCell ref="C79:D79"/>
    <mergeCell ref="G79:K79"/>
    <mergeCell ref="D80:E80"/>
    <mergeCell ref="C70:F70"/>
    <mergeCell ref="H70:K70"/>
    <mergeCell ref="C72:K72"/>
    <mergeCell ref="F73:K73"/>
    <mergeCell ref="C75:K75"/>
    <mergeCell ref="D76:E76"/>
    <mergeCell ref="D66:E66"/>
    <mergeCell ref="C67:D67"/>
    <mergeCell ref="G67:K67"/>
    <mergeCell ref="D68:E68"/>
    <mergeCell ref="C69:D69"/>
    <mergeCell ref="G69:K69"/>
    <mergeCell ref="D89:E89"/>
    <mergeCell ref="C90:D90"/>
    <mergeCell ref="G90:K90"/>
    <mergeCell ref="D91:E91"/>
    <mergeCell ref="C92:D92"/>
    <mergeCell ref="G92:K92"/>
    <mergeCell ref="C85:D85"/>
    <mergeCell ref="G85:K85"/>
    <mergeCell ref="C86:K86"/>
    <mergeCell ref="D87:E87"/>
    <mergeCell ref="C88:D88"/>
    <mergeCell ref="G88:K88"/>
    <mergeCell ref="C81:D81"/>
    <mergeCell ref="G81:K81"/>
    <mergeCell ref="D82:E82"/>
    <mergeCell ref="C83:D83"/>
    <mergeCell ref="G83:K83"/>
    <mergeCell ref="D84:E84"/>
    <mergeCell ref="C104:D104"/>
    <mergeCell ref="G104:K104"/>
    <mergeCell ref="C105:K105"/>
    <mergeCell ref="D106:E106"/>
    <mergeCell ref="C107:D107"/>
    <mergeCell ref="G107:K107"/>
    <mergeCell ref="F98:K98"/>
    <mergeCell ref="C100:K100"/>
    <mergeCell ref="D101:E101"/>
    <mergeCell ref="C102:D102"/>
    <mergeCell ref="G102:K102"/>
    <mergeCell ref="D103:E103"/>
    <mergeCell ref="D93:E93"/>
    <mergeCell ref="C94:D94"/>
    <mergeCell ref="G94:K94"/>
    <mergeCell ref="C95:F95"/>
    <mergeCell ref="H95:K95"/>
    <mergeCell ref="C97:K97"/>
    <mergeCell ref="H154:H155"/>
    <mergeCell ref="I154:I155"/>
    <mergeCell ref="J154:J155"/>
    <mergeCell ref="K154:K155"/>
    <mergeCell ref="C155:D155"/>
    <mergeCell ref="C156:K156"/>
    <mergeCell ref="C112:F112"/>
    <mergeCell ref="H112:K112"/>
    <mergeCell ref="B150:B352"/>
    <mergeCell ref="C150:K150"/>
    <mergeCell ref="C151:E152"/>
    <mergeCell ref="F151:K151"/>
    <mergeCell ref="C153:K153"/>
    <mergeCell ref="C154:E154"/>
    <mergeCell ref="F154:F155"/>
    <mergeCell ref="G154:G155"/>
    <mergeCell ref="D108:E108"/>
    <mergeCell ref="C109:D109"/>
    <mergeCell ref="G109:K109"/>
    <mergeCell ref="D110:E110"/>
    <mergeCell ref="C111:D111"/>
    <mergeCell ref="G111:K111"/>
    <mergeCell ref="K161:K162"/>
    <mergeCell ref="C162:D162"/>
    <mergeCell ref="C163:K163"/>
    <mergeCell ref="C164:K164"/>
    <mergeCell ref="C165:K165"/>
    <mergeCell ref="C166:E166"/>
    <mergeCell ref="F166:F167"/>
    <mergeCell ref="G166:G167"/>
    <mergeCell ref="H166:H167"/>
    <mergeCell ref="I166:I167"/>
    <mergeCell ref="K157:K158"/>
    <mergeCell ref="C158:D158"/>
    <mergeCell ref="C159:K159"/>
    <mergeCell ref="C160:K160"/>
    <mergeCell ref="C161:E161"/>
    <mergeCell ref="F161:F162"/>
    <mergeCell ref="G161:G162"/>
    <mergeCell ref="H161:H162"/>
    <mergeCell ref="I161:I162"/>
    <mergeCell ref="J161:J162"/>
    <mergeCell ref="C157:E157"/>
    <mergeCell ref="F157:F158"/>
    <mergeCell ref="G157:G158"/>
    <mergeCell ref="H157:H158"/>
    <mergeCell ref="I157:I158"/>
    <mergeCell ref="J157:J158"/>
    <mergeCell ref="J170:J171"/>
    <mergeCell ref="K170:K171"/>
    <mergeCell ref="C171:D171"/>
    <mergeCell ref="C172:K172"/>
    <mergeCell ref="C173:K173"/>
    <mergeCell ref="C174:E174"/>
    <mergeCell ref="F174:F175"/>
    <mergeCell ref="G174:G175"/>
    <mergeCell ref="H174:H175"/>
    <mergeCell ref="I174:I175"/>
    <mergeCell ref="J166:J167"/>
    <mergeCell ref="K166:K167"/>
    <mergeCell ref="C167:D167"/>
    <mergeCell ref="C168:K168"/>
    <mergeCell ref="C169:K169"/>
    <mergeCell ref="C170:E170"/>
    <mergeCell ref="F170:F171"/>
    <mergeCell ref="G170:G171"/>
    <mergeCell ref="H170:H171"/>
    <mergeCell ref="I170:I171"/>
    <mergeCell ref="J178:J179"/>
    <mergeCell ref="K178:K179"/>
    <mergeCell ref="C179:D179"/>
    <mergeCell ref="C180:K180"/>
    <mergeCell ref="C181:K181"/>
    <mergeCell ref="C182:F182"/>
    <mergeCell ref="H182:K182"/>
    <mergeCell ref="J174:J175"/>
    <mergeCell ref="K174:K175"/>
    <mergeCell ref="C175:D175"/>
    <mergeCell ref="C176:K176"/>
    <mergeCell ref="C177:K177"/>
    <mergeCell ref="C178:E178"/>
    <mergeCell ref="F178:F179"/>
    <mergeCell ref="G178:G179"/>
    <mergeCell ref="H178:H179"/>
    <mergeCell ref="I178:I179"/>
    <mergeCell ref="C189:D189"/>
    <mergeCell ref="C190:K190"/>
    <mergeCell ref="C191:K191"/>
    <mergeCell ref="C192:E192"/>
    <mergeCell ref="F192:F193"/>
    <mergeCell ref="G192:G193"/>
    <mergeCell ref="H192:H193"/>
    <mergeCell ref="I192:I193"/>
    <mergeCell ref="J192:J193"/>
    <mergeCell ref="K192:K193"/>
    <mergeCell ref="C184:K184"/>
    <mergeCell ref="F185:K185"/>
    <mergeCell ref="C187:K187"/>
    <mergeCell ref="C188:E188"/>
    <mergeCell ref="F188:F189"/>
    <mergeCell ref="G188:G189"/>
    <mergeCell ref="H188:H189"/>
    <mergeCell ref="I188:I189"/>
    <mergeCell ref="J188:J189"/>
    <mergeCell ref="K188:K189"/>
    <mergeCell ref="C197:D197"/>
    <mergeCell ref="C198:K198"/>
    <mergeCell ref="C199:K199"/>
    <mergeCell ref="C200:E200"/>
    <mergeCell ref="F200:F201"/>
    <mergeCell ref="G200:G201"/>
    <mergeCell ref="H200:H201"/>
    <mergeCell ref="I200:I201"/>
    <mergeCell ref="J200:J201"/>
    <mergeCell ref="K200:K201"/>
    <mergeCell ref="C193:D193"/>
    <mergeCell ref="C194:K194"/>
    <mergeCell ref="C195:K195"/>
    <mergeCell ref="C196:E196"/>
    <mergeCell ref="F196:F197"/>
    <mergeCell ref="G196:G197"/>
    <mergeCell ref="H196:H197"/>
    <mergeCell ref="I196:I197"/>
    <mergeCell ref="J196:J197"/>
    <mergeCell ref="K196:K197"/>
    <mergeCell ref="C205:D205"/>
    <mergeCell ref="C206:K206"/>
    <mergeCell ref="C207:K207"/>
    <mergeCell ref="C208:K208"/>
    <mergeCell ref="C209:E209"/>
    <mergeCell ref="F209:F210"/>
    <mergeCell ref="G209:G210"/>
    <mergeCell ref="H209:H210"/>
    <mergeCell ref="I209:I210"/>
    <mergeCell ref="J209:J210"/>
    <mergeCell ref="C201:D201"/>
    <mergeCell ref="C202:K202"/>
    <mergeCell ref="C203:K203"/>
    <mergeCell ref="C204:E204"/>
    <mergeCell ref="F204:F205"/>
    <mergeCell ref="G204:G205"/>
    <mergeCell ref="H204:H205"/>
    <mergeCell ref="I204:I205"/>
    <mergeCell ref="J204:J205"/>
    <mergeCell ref="K204:K205"/>
    <mergeCell ref="K213:K214"/>
    <mergeCell ref="C214:D214"/>
    <mergeCell ref="C215:K215"/>
    <mergeCell ref="C216:K216"/>
    <mergeCell ref="C217:E217"/>
    <mergeCell ref="F217:F218"/>
    <mergeCell ref="G217:G218"/>
    <mergeCell ref="H217:H218"/>
    <mergeCell ref="I217:I218"/>
    <mergeCell ref="J217:J218"/>
    <mergeCell ref="K209:K210"/>
    <mergeCell ref="C210:D210"/>
    <mergeCell ref="C211:K211"/>
    <mergeCell ref="C212:K212"/>
    <mergeCell ref="C213:E213"/>
    <mergeCell ref="F213:F214"/>
    <mergeCell ref="G213:G214"/>
    <mergeCell ref="H213:H214"/>
    <mergeCell ref="I213:I214"/>
    <mergeCell ref="J213:J214"/>
    <mergeCell ref="K221:K222"/>
    <mergeCell ref="C222:D222"/>
    <mergeCell ref="C223:K223"/>
    <mergeCell ref="C224:K224"/>
    <mergeCell ref="C225:E225"/>
    <mergeCell ref="F225:F226"/>
    <mergeCell ref="G225:G226"/>
    <mergeCell ref="H225:H226"/>
    <mergeCell ref="I225:I226"/>
    <mergeCell ref="J225:J226"/>
    <mergeCell ref="K217:K218"/>
    <mergeCell ref="C218:D218"/>
    <mergeCell ref="C219:K219"/>
    <mergeCell ref="C220:K220"/>
    <mergeCell ref="C221:E221"/>
    <mergeCell ref="F221:F222"/>
    <mergeCell ref="G221:G222"/>
    <mergeCell ref="H221:H222"/>
    <mergeCell ref="I221:I222"/>
    <mergeCell ref="J221:J222"/>
    <mergeCell ref="C235:K235"/>
    <mergeCell ref="F236:K236"/>
    <mergeCell ref="C238:K238"/>
    <mergeCell ref="C239:E239"/>
    <mergeCell ref="F239:F240"/>
    <mergeCell ref="G239:G240"/>
    <mergeCell ref="H239:H240"/>
    <mergeCell ref="I239:I240"/>
    <mergeCell ref="J239:J240"/>
    <mergeCell ref="K239:K240"/>
    <mergeCell ref="K229:K230"/>
    <mergeCell ref="C230:D230"/>
    <mergeCell ref="C231:K231"/>
    <mergeCell ref="C232:K232"/>
    <mergeCell ref="C233:F233"/>
    <mergeCell ref="H233:K233"/>
    <mergeCell ref="K225:K226"/>
    <mergeCell ref="C226:D226"/>
    <mergeCell ref="C227:K227"/>
    <mergeCell ref="C228:K228"/>
    <mergeCell ref="C229:E229"/>
    <mergeCell ref="F229:F230"/>
    <mergeCell ref="G229:G230"/>
    <mergeCell ref="H229:H230"/>
    <mergeCell ref="I229:I230"/>
    <mergeCell ref="J229:J230"/>
    <mergeCell ref="C244:D244"/>
    <mergeCell ref="C245:K245"/>
    <mergeCell ref="C246:K246"/>
    <mergeCell ref="C247:E247"/>
    <mergeCell ref="F247:F248"/>
    <mergeCell ref="G247:G248"/>
    <mergeCell ref="H247:H248"/>
    <mergeCell ref="I247:I248"/>
    <mergeCell ref="J247:J248"/>
    <mergeCell ref="K247:K248"/>
    <mergeCell ref="C240:D240"/>
    <mergeCell ref="C241:K241"/>
    <mergeCell ref="C242:K242"/>
    <mergeCell ref="C243:E243"/>
    <mergeCell ref="F243:F244"/>
    <mergeCell ref="G243:G244"/>
    <mergeCell ref="H243:H244"/>
    <mergeCell ref="I243:I244"/>
    <mergeCell ref="J243:J244"/>
    <mergeCell ref="K243:K244"/>
    <mergeCell ref="C252:D252"/>
    <mergeCell ref="C253:K253"/>
    <mergeCell ref="C254:K254"/>
    <mergeCell ref="C255:E255"/>
    <mergeCell ref="F255:F256"/>
    <mergeCell ref="G255:G256"/>
    <mergeCell ref="H255:H256"/>
    <mergeCell ref="I255:I256"/>
    <mergeCell ref="J255:J256"/>
    <mergeCell ref="K255:K256"/>
    <mergeCell ref="C248:D248"/>
    <mergeCell ref="C249:K249"/>
    <mergeCell ref="C250:K250"/>
    <mergeCell ref="C251:E251"/>
    <mergeCell ref="F251:F252"/>
    <mergeCell ref="G251:G252"/>
    <mergeCell ref="H251:H252"/>
    <mergeCell ref="I251:I252"/>
    <mergeCell ref="J251:J252"/>
    <mergeCell ref="K251:K252"/>
    <mergeCell ref="K260:K261"/>
    <mergeCell ref="C261:D261"/>
    <mergeCell ref="C262:K262"/>
    <mergeCell ref="C263:K263"/>
    <mergeCell ref="C264:E264"/>
    <mergeCell ref="F264:F265"/>
    <mergeCell ref="G264:G265"/>
    <mergeCell ref="H264:H265"/>
    <mergeCell ref="I264:I265"/>
    <mergeCell ref="J264:J265"/>
    <mergeCell ref="C256:D256"/>
    <mergeCell ref="C257:K257"/>
    <mergeCell ref="C258:K258"/>
    <mergeCell ref="C259:K259"/>
    <mergeCell ref="C260:E260"/>
    <mergeCell ref="F260:F261"/>
    <mergeCell ref="G260:G261"/>
    <mergeCell ref="H260:H261"/>
    <mergeCell ref="I260:I261"/>
    <mergeCell ref="J260:J261"/>
    <mergeCell ref="K272:K273"/>
    <mergeCell ref="C273:D273"/>
    <mergeCell ref="C274:K274"/>
    <mergeCell ref="C275:K275"/>
    <mergeCell ref="C276:F276"/>
    <mergeCell ref="H276:K276"/>
    <mergeCell ref="K268:K269"/>
    <mergeCell ref="C269:D269"/>
    <mergeCell ref="C270:K270"/>
    <mergeCell ref="C271:K271"/>
    <mergeCell ref="C272:E272"/>
    <mergeCell ref="F272:F273"/>
    <mergeCell ref="G272:G273"/>
    <mergeCell ref="H272:H273"/>
    <mergeCell ref="I272:I273"/>
    <mergeCell ref="J272:J273"/>
    <mergeCell ref="K264:K265"/>
    <mergeCell ref="C265:D265"/>
    <mergeCell ref="C266:K266"/>
    <mergeCell ref="C267:K267"/>
    <mergeCell ref="C268:E268"/>
    <mergeCell ref="F268:F269"/>
    <mergeCell ref="G268:G269"/>
    <mergeCell ref="H268:H269"/>
    <mergeCell ref="I268:I269"/>
    <mergeCell ref="J268:J269"/>
    <mergeCell ref="C283:D283"/>
    <mergeCell ref="C284:K284"/>
    <mergeCell ref="C285:K285"/>
    <mergeCell ref="C286:E286"/>
    <mergeCell ref="F286:F287"/>
    <mergeCell ref="G286:G287"/>
    <mergeCell ref="H286:H287"/>
    <mergeCell ref="I286:I287"/>
    <mergeCell ref="J286:J287"/>
    <mergeCell ref="K286:K287"/>
    <mergeCell ref="C278:K278"/>
    <mergeCell ref="F279:K279"/>
    <mergeCell ref="C281:K281"/>
    <mergeCell ref="C282:E282"/>
    <mergeCell ref="F282:F283"/>
    <mergeCell ref="G282:G283"/>
    <mergeCell ref="H282:H283"/>
    <mergeCell ref="I282:I283"/>
    <mergeCell ref="J282:J283"/>
    <mergeCell ref="K282:K283"/>
    <mergeCell ref="K291:K292"/>
    <mergeCell ref="C292:D292"/>
    <mergeCell ref="C293:K293"/>
    <mergeCell ref="C294:K294"/>
    <mergeCell ref="C295:E295"/>
    <mergeCell ref="F295:F296"/>
    <mergeCell ref="G295:G296"/>
    <mergeCell ref="H295:H296"/>
    <mergeCell ref="I295:I296"/>
    <mergeCell ref="J295:J296"/>
    <mergeCell ref="C287:D287"/>
    <mergeCell ref="C288:K288"/>
    <mergeCell ref="C289:K289"/>
    <mergeCell ref="C290:K290"/>
    <mergeCell ref="C291:E291"/>
    <mergeCell ref="F291:F292"/>
    <mergeCell ref="G291:G292"/>
    <mergeCell ref="H291:H292"/>
    <mergeCell ref="I291:I292"/>
    <mergeCell ref="J291:J292"/>
    <mergeCell ref="K303:K304"/>
    <mergeCell ref="C304:D304"/>
    <mergeCell ref="C305:K305"/>
    <mergeCell ref="C306:K306"/>
    <mergeCell ref="C307:F307"/>
    <mergeCell ref="H307:K307"/>
    <mergeCell ref="K299:K300"/>
    <mergeCell ref="C300:D300"/>
    <mergeCell ref="C301:K301"/>
    <mergeCell ref="C302:K302"/>
    <mergeCell ref="C303:E303"/>
    <mergeCell ref="F303:F304"/>
    <mergeCell ref="G303:G304"/>
    <mergeCell ref="H303:H304"/>
    <mergeCell ref="I303:I304"/>
    <mergeCell ref="J303:J304"/>
    <mergeCell ref="K295:K296"/>
    <mergeCell ref="C296:D296"/>
    <mergeCell ref="C297:K297"/>
    <mergeCell ref="C298:K298"/>
    <mergeCell ref="C299:E299"/>
    <mergeCell ref="F299:F300"/>
    <mergeCell ref="G299:G300"/>
    <mergeCell ref="H299:H300"/>
    <mergeCell ref="I299:I300"/>
    <mergeCell ref="J299:J300"/>
    <mergeCell ref="B356:B954"/>
    <mergeCell ref="C356:P356"/>
    <mergeCell ref="C357:D357"/>
    <mergeCell ref="E357:P357"/>
    <mergeCell ref="C358:D358"/>
    <mergeCell ref="E358:F358"/>
    <mergeCell ref="G358:H358"/>
    <mergeCell ref="I358:J358"/>
    <mergeCell ref="K358:L358"/>
    <mergeCell ref="M358:N358"/>
    <mergeCell ref="C377:P377"/>
    <mergeCell ref="C378:P378"/>
    <mergeCell ref="C379:P379"/>
    <mergeCell ref="C380:P380"/>
    <mergeCell ref="C381:P381"/>
    <mergeCell ref="C382:P382"/>
    <mergeCell ref="C374:P374"/>
    <mergeCell ref="C368:P368"/>
    <mergeCell ref="C369:P369"/>
    <mergeCell ref="C370:P370"/>
    <mergeCell ref="C371:P371"/>
    <mergeCell ref="C372:P372"/>
    <mergeCell ref="C373:P373"/>
    <mergeCell ref="C393:P393"/>
    <mergeCell ref="C394:P394"/>
    <mergeCell ref="C395:P395"/>
    <mergeCell ref="C396:P396"/>
    <mergeCell ref="C362:P362"/>
    <mergeCell ref="C363:P363"/>
    <mergeCell ref="C364:P364"/>
    <mergeCell ref="C365:P365"/>
    <mergeCell ref="C366:P366"/>
    <mergeCell ref="C367:P367"/>
    <mergeCell ref="O358:P358"/>
    <mergeCell ref="C359:P359"/>
    <mergeCell ref="C360:D360"/>
    <mergeCell ref="E360:F361"/>
    <mergeCell ref="G360:H361"/>
    <mergeCell ref="I360:J361"/>
    <mergeCell ref="K360:L361"/>
    <mergeCell ref="M360:N361"/>
    <mergeCell ref="O360:P361"/>
    <mergeCell ref="C383:P383"/>
    <mergeCell ref="C384:P384"/>
    <mergeCell ref="C385:P385"/>
    <mergeCell ref="C386:P386"/>
    <mergeCell ref="C387:P387"/>
    <mergeCell ref="C388:E388"/>
    <mergeCell ref="F388:G389"/>
    <mergeCell ref="H388:I389"/>
    <mergeCell ref="J388:K389"/>
    <mergeCell ref="L388:M389"/>
    <mergeCell ref="C375:D375"/>
    <mergeCell ref="E375:F376"/>
    <mergeCell ref="G375:H376"/>
    <mergeCell ref="I375:J376"/>
    <mergeCell ref="K375:L376"/>
    <mergeCell ref="M375:N376"/>
    <mergeCell ref="O375:P376"/>
    <mergeCell ref="C399:P399"/>
    <mergeCell ref="C400:P400"/>
    <mergeCell ref="C401:P401"/>
    <mergeCell ref="C402:P402"/>
    <mergeCell ref="C403:P403"/>
    <mergeCell ref="C404:E404"/>
    <mergeCell ref="F404:G404"/>
    <mergeCell ref="H404:I404"/>
    <mergeCell ref="J404:K404"/>
    <mergeCell ref="L404:M404"/>
    <mergeCell ref="C397:P397"/>
    <mergeCell ref="C398:P398"/>
    <mergeCell ref="N388:O389"/>
    <mergeCell ref="P388:P389"/>
    <mergeCell ref="D389:E389"/>
    <mergeCell ref="C390:P390"/>
    <mergeCell ref="C391:P391"/>
    <mergeCell ref="C392:P392"/>
    <mergeCell ref="C408:O408"/>
    <mergeCell ref="P408:P438"/>
    <mergeCell ref="C409:O409"/>
    <mergeCell ref="C410:O410"/>
    <mergeCell ref="C411:O411"/>
    <mergeCell ref="C412:O412"/>
    <mergeCell ref="C413:O413"/>
    <mergeCell ref="C414:O414"/>
    <mergeCell ref="C415:O415"/>
    <mergeCell ref="C416:J416"/>
    <mergeCell ref="C433:J433"/>
    <mergeCell ref="C434:J434"/>
    <mergeCell ref="C435:J435"/>
    <mergeCell ref="C437:O437"/>
    <mergeCell ref="C438:O438"/>
    <mergeCell ref="O404:P404"/>
    <mergeCell ref="C405:O405"/>
    <mergeCell ref="C406:E406"/>
    <mergeCell ref="F406:G407"/>
    <mergeCell ref="H406:I407"/>
    <mergeCell ref="J406:K407"/>
    <mergeCell ref="L406:M407"/>
    <mergeCell ref="N406:N407"/>
    <mergeCell ref="O406:O407"/>
    <mergeCell ref="D407:E407"/>
    <mergeCell ref="C427:J427"/>
    <mergeCell ref="C428:J428"/>
    <mergeCell ref="C429:J429"/>
    <mergeCell ref="C430:J430"/>
    <mergeCell ref="C431:J431"/>
    <mergeCell ref="C432:J432"/>
    <mergeCell ref="C421:J421"/>
    <mergeCell ref="C422:J422"/>
    <mergeCell ref="C423:J423"/>
    <mergeCell ref="C424:J424"/>
    <mergeCell ref="C425:J425"/>
    <mergeCell ref="C426:J426"/>
    <mergeCell ref="C417:J417"/>
    <mergeCell ref="C418:J418"/>
    <mergeCell ref="C419:D419"/>
    <mergeCell ref="E419:E420"/>
    <mergeCell ref="F419:F420"/>
    <mergeCell ref="G419:G420"/>
    <mergeCell ref="H419:H420"/>
    <mergeCell ref="I419:I420"/>
    <mergeCell ref="J419:J420"/>
    <mergeCell ref="C446:O446"/>
    <mergeCell ref="P446:P449"/>
    <mergeCell ref="C447:O447"/>
    <mergeCell ref="C448:O448"/>
    <mergeCell ref="C449:O449"/>
    <mergeCell ref="O440:O441"/>
    <mergeCell ref="C442:O442"/>
    <mergeCell ref="P442:P445"/>
    <mergeCell ref="C443:O443"/>
    <mergeCell ref="C444:O444"/>
    <mergeCell ref="C445:O445"/>
    <mergeCell ref="M439:N439"/>
    <mergeCell ref="C440:D440"/>
    <mergeCell ref="E440:F441"/>
    <mergeCell ref="G440:H441"/>
    <mergeCell ref="I440:J441"/>
    <mergeCell ref="K440:L441"/>
    <mergeCell ref="M440:N441"/>
    <mergeCell ref="C439:D439"/>
    <mergeCell ref="E439:F439"/>
    <mergeCell ref="G439:H439"/>
    <mergeCell ref="I439:J439"/>
    <mergeCell ref="K439:L439"/>
    <mergeCell ref="C469:K469"/>
    <mergeCell ref="C470:D470"/>
    <mergeCell ref="E470:K470"/>
    <mergeCell ref="C471:D471"/>
    <mergeCell ref="G471:H471"/>
    <mergeCell ref="C472:K472"/>
    <mergeCell ref="C455:O455"/>
    <mergeCell ref="P455:P460"/>
    <mergeCell ref="C456:O456"/>
    <mergeCell ref="C457:O457"/>
    <mergeCell ref="C458:O458"/>
    <mergeCell ref="C459:O459"/>
    <mergeCell ref="C460:O460"/>
    <mergeCell ref="M450:N451"/>
    <mergeCell ref="O450:O451"/>
    <mergeCell ref="C452:O452"/>
    <mergeCell ref="P452:P454"/>
    <mergeCell ref="C453:O453"/>
    <mergeCell ref="C454:O454"/>
    <mergeCell ref="C450:D450"/>
    <mergeCell ref="E450:F451"/>
    <mergeCell ref="G450:H451"/>
    <mergeCell ref="I450:J451"/>
    <mergeCell ref="K450:L451"/>
    <mergeCell ref="C486:K486"/>
    <mergeCell ref="C487:K487"/>
    <mergeCell ref="C488:K488"/>
    <mergeCell ref="C489:K489"/>
    <mergeCell ref="C490:K490"/>
    <mergeCell ref="C491:K491"/>
    <mergeCell ref="C480:K480"/>
    <mergeCell ref="C481:K481"/>
    <mergeCell ref="C482:K482"/>
    <mergeCell ref="C483:K483"/>
    <mergeCell ref="C484:K484"/>
    <mergeCell ref="C485:K485"/>
    <mergeCell ref="K473:K474"/>
    <mergeCell ref="C475:K475"/>
    <mergeCell ref="C476:K476"/>
    <mergeCell ref="C477:K477"/>
    <mergeCell ref="C478:K478"/>
    <mergeCell ref="C479:K479"/>
    <mergeCell ref="C473:D473"/>
    <mergeCell ref="E473:E474"/>
    <mergeCell ref="F473:F474"/>
    <mergeCell ref="G473:H474"/>
    <mergeCell ref="I473:I474"/>
    <mergeCell ref="J473:J474"/>
    <mergeCell ref="C501:K501"/>
    <mergeCell ref="C502:K502"/>
    <mergeCell ref="C503:K503"/>
    <mergeCell ref="C504:K504"/>
    <mergeCell ref="C505:K505"/>
    <mergeCell ref="C506:K506"/>
    <mergeCell ref="C495:K495"/>
    <mergeCell ref="C496:K496"/>
    <mergeCell ref="C497:K497"/>
    <mergeCell ref="C498:K498"/>
    <mergeCell ref="C499:K499"/>
    <mergeCell ref="C500:K500"/>
    <mergeCell ref="C492:K492"/>
    <mergeCell ref="C493:D493"/>
    <mergeCell ref="E493:E494"/>
    <mergeCell ref="F493:G494"/>
    <mergeCell ref="H493:H494"/>
    <mergeCell ref="I493:I494"/>
    <mergeCell ref="J493:J494"/>
    <mergeCell ref="C527:J527"/>
    <mergeCell ref="C528:J528"/>
    <mergeCell ref="C529:J529"/>
    <mergeCell ref="C530:J530"/>
    <mergeCell ref="C531:J531"/>
    <mergeCell ref="C532:J532"/>
    <mergeCell ref="C521:J521"/>
    <mergeCell ref="C522:J522"/>
    <mergeCell ref="C523:J523"/>
    <mergeCell ref="C524:J524"/>
    <mergeCell ref="C525:J525"/>
    <mergeCell ref="C526:J526"/>
    <mergeCell ref="C507:K507"/>
    <mergeCell ref="C508:K508"/>
    <mergeCell ref="C509:K509"/>
    <mergeCell ref="C510:K510"/>
    <mergeCell ref="C518:D518"/>
    <mergeCell ref="C519:D519"/>
    <mergeCell ref="E519:E520"/>
    <mergeCell ref="F519:F520"/>
    <mergeCell ref="J519:J520"/>
    <mergeCell ref="C544:J544"/>
    <mergeCell ref="C545:J545"/>
    <mergeCell ref="C546:J546"/>
    <mergeCell ref="C547:J547"/>
    <mergeCell ref="C548:J548"/>
    <mergeCell ref="C551:D551"/>
    <mergeCell ref="J551:K551"/>
    <mergeCell ref="C538:J538"/>
    <mergeCell ref="C539:J539"/>
    <mergeCell ref="C540:J540"/>
    <mergeCell ref="C541:J541"/>
    <mergeCell ref="C542:J542"/>
    <mergeCell ref="C543:J543"/>
    <mergeCell ref="C533:J533"/>
    <mergeCell ref="C534:J534"/>
    <mergeCell ref="C535:J535"/>
    <mergeCell ref="C536:D536"/>
    <mergeCell ref="E536:E537"/>
    <mergeCell ref="F536:F537"/>
    <mergeCell ref="G536:G537"/>
    <mergeCell ref="H536:H537"/>
    <mergeCell ref="I536:I537"/>
    <mergeCell ref="J536:J537"/>
    <mergeCell ref="C565:K565"/>
    <mergeCell ref="C566:K566"/>
    <mergeCell ref="C567:K567"/>
    <mergeCell ref="C568:K568"/>
    <mergeCell ref="C569:K569"/>
    <mergeCell ref="C570:K570"/>
    <mergeCell ref="C559:K559"/>
    <mergeCell ref="C560:K560"/>
    <mergeCell ref="C561:K561"/>
    <mergeCell ref="C562:K562"/>
    <mergeCell ref="C563:K563"/>
    <mergeCell ref="C564:K564"/>
    <mergeCell ref="J552:K553"/>
    <mergeCell ref="C554:K554"/>
    <mergeCell ref="C555:K555"/>
    <mergeCell ref="C556:K556"/>
    <mergeCell ref="C557:K557"/>
    <mergeCell ref="C558:K558"/>
    <mergeCell ref="C552:D552"/>
    <mergeCell ref="E552:E553"/>
    <mergeCell ref="F552:F553"/>
    <mergeCell ref="G552:G553"/>
    <mergeCell ref="H552:H553"/>
    <mergeCell ref="I552:I553"/>
    <mergeCell ref="C589:K589"/>
    <mergeCell ref="C590:K590"/>
    <mergeCell ref="C591:K591"/>
    <mergeCell ref="C592:K592"/>
    <mergeCell ref="C593:K593"/>
    <mergeCell ref="C594:K594"/>
    <mergeCell ref="C578:K578"/>
    <mergeCell ref="C579:K579"/>
    <mergeCell ref="C580:K580"/>
    <mergeCell ref="C586:D586"/>
    <mergeCell ref="J586:K586"/>
    <mergeCell ref="C587:D587"/>
    <mergeCell ref="E587:E588"/>
    <mergeCell ref="F587:F588"/>
    <mergeCell ref="J587:K588"/>
    <mergeCell ref="K571:K572"/>
    <mergeCell ref="C573:K573"/>
    <mergeCell ref="C574:K574"/>
    <mergeCell ref="C575:K575"/>
    <mergeCell ref="C576:K576"/>
    <mergeCell ref="C577:K577"/>
    <mergeCell ref="C571:D571"/>
    <mergeCell ref="E571:E572"/>
    <mergeCell ref="F571:F572"/>
    <mergeCell ref="G571:G572"/>
    <mergeCell ref="H571:H572"/>
    <mergeCell ref="I571:J572"/>
    <mergeCell ref="C604:K604"/>
    <mergeCell ref="C605:K605"/>
    <mergeCell ref="C606:K606"/>
    <mergeCell ref="C607:K607"/>
    <mergeCell ref="C608:K608"/>
    <mergeCell ref="C614:D614"/>
    <mergeCell ref="C598:K598"/>
    <mergeCell ref="C599:K599"/>
    <mergeCell ref="C600:K600"/>
    <mergeCell ref="C601:K601"/>
    <mergeCell ref="C602:K602"/>
    <mergeCell ref="C603:K603"/>
    <mergeCell ref="C595:K595"/>
    <mergeCell ref="C596:D596"/>
    <mergeCell ref="E596:E597"/>
    <mergeCell ref="F596:F597"/>
    <mergeCell ref="G596:G597"/>
    <mergeCell ref="H596:H597"/>
    <mergeCell ref="I596:J597"/>
    <mergeCell ref="K596:K597"/>
    <mergeCell ref="J626:J627"/>
    <mergeCell ref="C628:J628"/>
    <mergeCell ref="C629:J629"/>
    <mergeCell ref="C630:J630"/>
    <mergeCell ref="C631:J631"/>
    <mergeCell ref="C632:J632"/>
    <mergeCell ref="C622:J622"/>
    <mergeCell ref="C623:J623"/>
    <mergeCell ref="C624:J624"/>
    <mergeCell ref="C625:J625"/>
    <mergeCell ref="C626:D626"/>
    <mergeCell ref="E626:E627"/>
    <mergeCell ref="F626:F627"/>
    <mergeCell ref="G626:G627"/>
    <mergeCell ref="H626:H627"/>
    <mergeCell ref="I626:I627"/>
    <mergeCell ref="J615:J616"/>
    <mergeCell ref="C617:J617"/>
    <mergeCell ref="C618:J618"/>
    <mergeCell ref="C619:J619"/>
    <mergeCell ref="C620:J620"/>
    <mergeCell ref="C621:J621"/>
    <mergeCell ref="C615:D615"/>
    <mergeCell ref="E615:E616"/>
    <mergeCell ref="F615:F616"/>
    <mergeCell ref="G615:G616"/>
    <mergeCell ref="H615:H616"/>
    <mergeCell ref="I615:I616"/>
    <mergeCell ref="C671:K671"/>
    <mergeCell ref="C672:D672"/>
    <mergeCell ref="E672:K672"/>
    <mergeCell ref="C673:D673"/>
    <mergeCell ref="H673:I673"/>
    <mergeCell ref="C674:K674"/>
    <mergeCell ref="C639:J639"/>
    <mergeCell ref="C640:J640"/>
    <mergeCell ref="C641:J641"/>
    <mergeCell ref="C642:J642"/>
    <mergeCell ref="C643:J643"/>
    <mergeCell ref="C644:J644"/>
    <mergeCell ref="C633:J633"/>
    <mergeCell ref="C634:J634"/>
    <mergeCell ref="C636:D636"/>
    <mergeCell ref="C637:D637"/>
    <mergeCell ref="E637:E638"/>
    <mergeCell ref="F637:F638"/>
    <mergeCell ref="G637:G638"/>
    <mergeCell ref="H637:H638"/>
    <mergeCell ref="I637:I638"/>
    <mergeCell ref="J637:J638"/>
    <mergeCell ref="C682:K682"/>
    <mergeCell ref="C683:K683"/>
    <mergeCell ref="C684:K684"/>
    <mergeCell ref="C685:D685"/>
    <mergeCell ref="I685:J685"/>
    <mergeCell ref="C686:D686"/>
    <mergeCell ref="I686:J686"/>
    <mergeCell ref="K675:K676"/>
    <mergeCell ref="C677:K677"/>
    <mergeCell ref="C678:K678"/>
    <mergeCell ref="C679:K679"/>
    <mergeCell ref="C680:K680"/>
    <mergeCell ref="C681:K681"/>
    <mergeCell ref="C675:D675"/>
    <mergeCell ref="E675:E676"/>
    <mergeCell ref="F675:F676"/>
    <mergeCell ref="G675:G676"/>
    <mergeCell ref="H675:I676"/>
    <mergeCell ref="J675:J676"/>
    <mergeCell ref="C696:K696"/>
    <mergeCell ref="C697:K697"/>
    <mergeCell ref="C698:K698"/>
    <mergeCell ref="C699:K699"/>
    <mergeCell ref="C700:K700"/>
    <mergeCell ref="C701:K701"/>
    <mergeCell ref="I690:J690"/>
    <mergeCell ref="C691:K691"/>
    <mergeCell ref="C692:K692"/>
    <mergeCell ref="C693:K693"/>
    <mergeCell ref="C694:K694"/>
    <mergeCell ref="C695:K695"/>
    <mergeCell ref="C687:D687"/>
    <mergeCell ref="I687:J687"/>
    <mergeCell ref="C688:D688"/>
    <mergeCell ref="I688:J688"/>
    <mergeCell ref="C689:D689"/>
    <mergeCell ref="I689:J689"/>
    <mergeCell ref="J710:K710"/>
    <mergeCell ref="L710:M710"/>
    <mergeCell ref="N710:O710"/>
    <mergeCell ref="P710:Q710"/>
    <mergeCell ref="F711:G711"/>
    <mergeCell ref="H711:I711"/>
    <mergeCell ref="J711:K711"/>
    <mergeCell ref="L711:M711"/>
    <mergeCell ref="N711:O711"/>
    <mergeCell ref="P711:Q711"/>
    <mergeCell ref="P708:Q708"/>
    <mergeCell ref="C709:E711"/>
    <mergeCell ref="F709:G709"/>
    <mergeCell ref="H709:I709"/>
    <mergeCell ref="J709:K709"/>
    <mergeCell ref="L709:M709"/>
    <mergeCell ref="N709:O709"/>
    <mergeCell ref="P709:Q709"/>
    <mergeCell ref="F710:G710"/>
    <mergeCell ref="H710:I710"/>
    <mergeCell ref="C708:E708"/>
    <mergeCell ref="F708:G708"/>
    <mergeCell ref="H708:I708"/>
    <mergeCell ref="J708:K708"/>
    <mergeCell ref="L708:M708"/>
    <mergeCell ref="N708:O708"/>
    <mergeCell ref="C718:Q718"/>
    <mergeCell ref="C719:Q719"/>
    <mergeCell ref="C720:Q720"/>
    <mergeCell ref="C721:Q721"/>
    <mergeCell ref="C722:Q722"/>
    <mergeCell ref="C723:Q723"/>
    <mergeCell ref="P712:Q712"/>
    <mergeCell ref="C713:Q713"/>
    <mergeCell ref="C714:Q714"/>
    <mergeCell ref="C715:Q715"/>
    <mergeCell ref="C716:Q716"/>
    <mergeCell ref="C717:Q717"/>
    <mergeCell ref="D712:E712"/>
    <mergeCell ref="F712:G712"/>
    <mergeCell ref="H712:I712"/>
    <mergeCell ref="J712:K712"/>
    <mergeCell ref="L712:M712"/>
    <mergeCell ref="N712:O712"/>
    <mergeCell ref="N726:O726"/>
    <mergeCell ref="P726:Q726"/>
    <mergeCell ref="F727:G727"/>
    <mergeCell ref="H727:I727"/>
    <mergeCell ref="J727:K727"/>
    <mergeCell ref="L727:M727"/>
    <mergeCell ref="N727:O727"/>
    <mergeCell ref="P727:Q727"/>
    <mergeCell ref="P724:Q724"/>
    <mergeCell ref="F725:G725"/>
    <mergeCell ref="H725:I725"/>
    <mergeCell ref="J725:K725"/>
    <mergeCell ref="L725:M725"/>
    <mergeCell ref="N725:O725"/>
    <mergeCell ref="P725:Q725"/>
    <mergeCell ref="C724:E730"/>
    <mergeCell ref="F724:G724"/>
    <mergeCell ref="H724:I724"/>
    <mergeCell ref="J724:K724"/>
    <mergeCell ref="L724:M724"/>
    <mergeCell ref="N724:O724"/>
    <mergeCell ref="F726:G726"/>
    <mergeCell ref="H726:I726"/>
    <mergeCell ref="J726:K726"/>
    <mergeCell ref="L726:M726"/>
    <mergeCell ref="F730:G730"/>
    <mergeCell ref="H730:I730"/>
    <mergeCell ref="J730:K730"/>
    <mergeCell ref="L730:M730"/>
    <mergeCell ref="N730:O730"/>
    <mergeCell ref="P730:Q730"/>
    <mergeCell ref="F729:G729"/>
    <mergeCell ref="H729:I729"/>
    <mergeCell ref="J729:K729"/>
    <mergeCell ref="L729:M729"/>
    <mergeCell ref="N729:O729"/>
    <mergeCell ref="P729:Q729"/>
    <mergeCell ref="F728:G728"/>
    <mergeCell ref="H728:I728"/>
    <mergeCell ref="J728:K728"/>
    <mergeCell ref="L728:M728"/>
    <mergeCell ref="N728:O728"/>
    <mergeCell ref="P728:Q728"/>
    <mergeCell ref="C743:Q743"/>
    <mergeCell ref="C744:Q744"/>
    <mergeCell ref="C745:F745"/>
    <mergeCell ref="G745:H745"/>
    <mergeCell ref="I745:J745"/>
    <mergeCell ref="K745:L745"/>
    <mergeCell ref="M745:N745"/>
    <mergeCell ref="O745:P745"/>
    <mergeCell ref="C737:Q737"/>
    <mergeCell ref="C738:Q738"/>
    <mergeCell ref="C739:Q739"/>
    <mergeCell ref="C740:Q740"/>
    <mergeCell ref="C741:Q741"/>
    <mergeCell ref="C742:Q742"/>
    <mergeCell ref="P731:Q731"/>
    <mergeCell ref="C732:Q732"/>
    <mergeCell ref="C733:Q733"/>
    <mergeCell ref="C734:Q734"/>
    <mergeCell ref="C735:Q735"/>
    <mergeCell ref="C736:Q736"/>
    <mergeCell ref="D731:E731"/>
    <mergeCell ref="F731:G731"/>
    <mergeCell ref="H731:I731"/>
    <mergeCell ref="J731:K731"/>
    <mergeCell ref="L731:M731"/>
    <mergeCell ref="N731:O731"/>
    <mergeCell ref="G749:H749"/>
    <mergeCell ref="I749:J749"/>
    <mergeCell ref="K749:L749"/>
    <mergeCell ref="M749:N749"/>
    <mergeCell ref="O749:P749"/>
    <mergeCell ref="G750:H750"/>
    <mergeCell ref="I750:J750"/>
    <mergeCell ref="K750:L750"/>
    <mergeCell ref="M750:N750"/>
    <mergeCell ref="O750:P750"/>
    <mergeCell ref="O747:P747"/>
    <mergeCell ref="G748:H748"/>
    <mergeCell ref="I748:J748"/>
    <mergeCell ref="K748:L748"/>
    <mergeCell ref="M748:N748"/>
    <mergeCell ref="O748:P748"/>
    <mergeCell ref="C746:F750"/>
    <mergeCell ref="G746:H746"/>
    <mergeCell ref="I746:J746"/>
    <mergeCell ref="K746:L746"/>
    <mergeCell ref="M746:N746"/>
    <mergeCell ref="O746:P746"/>
    <mergeCell ref="G747:H747"/>
    <mergeCell ref="I747:J747"/>
    <mergeCell ref="K747:L747"/>
    <mergeCell ref="M747:N747"/>
    <mergeCell ref="C763:Q763"/>
    <mergeCell ref="C764:Q764"/>
    <mergeCell ref="C765:Q765"/>
    <mergeCell ref="C766:Q766"/>
    <mergeCell ref="C767:F767"/>
    <mergeCell ref="G767:Q767"/>
    <mergeCell ref="C757:Q757"/>
    <mergeCell ref="C758:Q758"/>
    <mergeCell ref="C759:Q759"/>
    <mergeCell ref="C760:Q760"/>
    <mergeCell ref="C761:Q761"/>
    <mergeCell ref="C762:Q762"/>
    <mergeCell ref="O751:P751"/>
    <mergeCell ref="C752:Q752"/>
    <mergeCell ref="C753:Q753"/>
    <mergeCell ref="C754:Q754"/>
    <mergeCell ref="C755:Q755"/>
    <mergeCell ref="C756:Q756"/>
    <mergeCell ref="C751:D751"/>
    <mergeCell ref="E751:F751"/>
    <mergeCell ref="G751:H751"/>
    <mergeCell ref="I751:J751"/>
    <mergeCell ref="K751:L751"/>
    <mergeCell ref="M751:N751"/>
    <mergeCell ref="O770:P770"/>
    <mergeCell ref="G771:H771"/>
    <mergeCell ref="I771:J771"/>
    <mergeCell ref="K771:L771"/>
    <mergeCell ref="M771:N771"/>
    <mergeCell ref="O771:P771"/>
    <mergeCell ref="C769:F771"/>
    <mergeCell ref="G769:H769"/>
    <mergeCell ref="I769:J769"/>
    <mergeCell ref="K769:L769"/>
    <mergeCell ref="M769:N769"/>
    <mergeCell ref="O769:P769"/>
    <mergeCell ref="G770:H770"/>
    <mergeCell ref="I770:J770"/>
    <mergeCell ref="K770:L770"/>
    <mergeCell ref="M770:N770"/>
    <mergeCell ref="C768:F768"/>
    <mergeCell ref="G768:H768"/>
    <mergeCell ref="I768:J768"/>
    <mergeCell ref="K768:L768"/>
    <mergeCell ref="M768:N768"/>
    <mergeCell ref="O768:P768"/>
    <mergeCell ref="C778:Q778"/>
    <mergeCell ref="C779:Q779"/>
    <mergeCell ref="C780:Q780"/>
    <mergeCell ref="C781:F789"/>
    <mergeCell ref="G781:H781"/>
    <mergeCell ref="I781:J781"/>
    <mergeCell ref="K781:L781"/>
    <mergeCell ref="M781:N781"/>
    <mergeCell ref="P781:Q781"/>
    <mergeCell ref="G782:H782"/>
    <mergeCell ref="O772:P772"/>
    <mergeCell ref="C773:Q773"/>
    <mergeCell ref="C774:Q774"/>
    <mergeCell ref="C775:Q775"/>
    <mergeCell ref="C776:Q776"/>
    <mergeCell ref="C777:Q777"/>
    <mergeCell ref="C772:D772"/>
    <mergeCell ref="E772:F772"/>
    <mergeCell ref="G772:H772"/>
    <mergeCell ref="I772:J772"/>
    <mergeCell ref="K772:L772"/>
    <mergeCell ref="M772:N772"/>
    <mergeCell ref="G784:H784"/>
    <mergeCell ref="I784:J784"/>
    <mergeCell ref="K784:L784"/>
    <mergeCell ref="M784:N784"/>
    <mergeCell ref="P784:Q784"/>
    <mergeCell ref="G785:H785"/>
    <mergeCell ref="I785:J785"/>
    <mergeCell ref="K785:L785"/>
    <mergeCell ref="M785:N785"/>
    <mergeCell ref="P785:Q785"/>
    <mergeCell ref="I782:J782"/>
    <mergeCell ref="K782:L782"/>
    <mergeCell ref="M782:N782"/>
    <mergeCell ref="P782:Q782"/>
    <mergeCell ref="G783:H783"/>
    <mergeCell ref="I783:J783"/>
    <mergeCell ref="K783:L783"/>
    <mergeCell ref="M783:N783"/>
    <mergeCell ref="P783:Q783"/>
    <mergeCell ref="G788:H788"/>
    <mergeCell ref="I788:J788"/>
    <mergeCell ref="K788:L788"/>
    <mergeCell ref="M788:N788"/>
    <mergeCell ref="P788:Q788"/>
    <mergeCell ref="G789:H789"/>
    <mergeCell ref="I789:J789"/>
    <mergeCell ref="K789:L789"/>
    <mergeCell ref="M789:N789"/>
    <mergeCell ref="P789:Q789"/>
    <mergeCell ref="G786:H786"/>
    <mergeCell ref="I786:J786"/>
    <mergeCell ref="K786:L786"/>
    <mergeCell ref="M786:N786"/>
    <mergeCell ref="P786:Q786"/>
    <mergeCell ref="G787:H787"/>
    <mergeCell ref="I787:J787"/>
    <mergeCell ref="K787:L787"/>
    <mergeCell ref="M787:N787"/>
    <mergeCell ref="P787:Q787"/>
    <mergeCell ref="C796:Q796"/>
    <mergeCell ref="C797:Q797"/>
    <mergeCell ref="C798:Q798"/>
    <mergeCell ref="C799:Q799"/>
    <mergeCell ref="C800:F809"/>
    <mergeCell ref="G800:H800"/>
    <mergeCell ref="I800:J800"/>
    <mergeCell ref="K800:L800"/>
    <mergeCell ref="M800:N800"/>
    <mergeCell ref="P800:Q800"/>
    <mergeCell ref="P790:Q790"/>
    <mergeCell ref="C791:Q791"/>
    <mergeCell ref="C792:Q792"/>
    <mergeCell ref="C793:Q793"/>
    <mergeCell ref="C794:Q794"/>
    <mergeCell ref="C795:Q795"/>
    <mergeCell ref="C790:D790"/>
    <mergeCell ref="E790:F790"/>
    <mergeCell ref="G790:H790"/>
    <mergeCell ref="I790:J790"/>
    <mergeCell ref="K790:L790"/>
    <mergeCell ref="M790:N790"/>
    <mergeCell ref="G803:H803"/>
    <mergeCell ref="I803:J803"/>
    <mergeCell ref="K803:L803"/>
    <mergeCell ref="M803:N803"/>
    <mergeCell ref="P803:Q803"/>
    <mergeCell ref="G804:H804"/>
    <mergeCell ref="I804:J804"/>
    <mergeCell ref="K804:L804"/>
    <mergeCell ref="M804:N804"/>
    <mergeCell ref="P804:Q804"/>
    <mergeCell ref="G801:H801"/>
    <mergeCell ref="I801:J801"/>
    <mergeCell ref="K801:L801"/>
    <mergeCell ref="M801:N801"/>
    <mergeCell ref="P801:Q801"/>
    <mergeCell ref="G802:H802"/>
    <mergeCell ref="I802:J802"/>
    <mergeCell ref="K802:L802"/>
    <mergeCell ref="M802:N802"/>
    <mergeCell ref="P802:Q802"/>
    <mergeCell ref="G807:H807"/>
    <mergeCell ref="I807:J807"/>
    <mergeCell ref="K807:L807"/>
    <mergeCell ref="M807:N807"/>
    <mergeCell ref="P807:Q807"/>
    <mergeCell ref="G808:H808"/>
    <mergeCell ref="I808:J808"/>
    <mergeCell ref="K808:L808"/>
    <mergeCell ref="M808:N808"/>
    <mergeCell ref="P808:Q808"/>
    <mergeCell ref="G805:H805"/>
    <mergeCell ref="I805:J805"/>
    <mergeCell ref="K805:L805"/>
    <mergeCell ref="M805:N805"/>
    <mergeCell ref="P805:Q805"/>
    <mergeCell ref="G806:H806"/>
    <mergeCell ref="I806:J806"/>
    <mergeCell ref="K806:L806"/>
    <mergeCell ref="M806:N806"/>
    <mergeCell ref="P806:Q806"/>
    <mergeCell ref="C815:Q815"/>
    <mergeCell ref="C816:Q816"/>
    <mergeCell ref="C817:Q817"/>
    <mergeCell ref="C818:Q818"/>
    <mergeCell ref="C819:Q819"/>
    <mergeCell ref="C820:Q820"/>
    <mergeCell ref="M810:N810"/>
    <mergeCell ref="P810:Q810"/>
    <mergeCell ref="C811:Q811"/>
    <mergeCell ref="C812:Q812"/>
    <mergeCell ref="C813:Q813"/>
    <mergeCell ref="C814:Q814"/>
    <mergeCell ref="G809:H809"/>
    <mergeCell ref="I809:J809"/>
    <mergeCell ref="K809:L809"/>
    <mergeCell ref="M809:N809"/>
    <mergeCell ref="P809:Q809"/>
    <mergeCell ref="C810:D810"/>
    <mergeCell ref="E810:F810"/>
    <mergeCell ref="G810:H810"/>
    <mergeCell ref="I810:J810"/>
    <mergeCell ref="K810:L810"/>
    <mergeCell ref="K824:L824"/>
    <mergeCell ref="M824:N824"/>
    <mergeCell ref="P824:Q824"/>
    <mergeCell ref="G825:H825"/>
    <mergeCell ref="I825:J825"/>
    <mergeCell ref="K825:L825"/>
    <mergeCell ref="M825:N825"/>
    <mergeCell ref="P825:Q825"/>
    <mergeCell ref="C821:Q821"/>
    <mergeCell ref="C822:Q822"/>
    <mergeCell ref="C823:F828"/>
    <mergeCell ref="G823:H823"/>
    <mergeCell ref="I823:J823"/>
    <mergeCell ref="K823:L823"/>
    <mergeCell ref="M823:N823"/>
    <mergeCell ref="P823:Q823"/>
    <mergeCell ref="G824:H824"/>
    <mergeCell ref="I824:J824"/>
    <mergeCell ref="M829:N829"/>
    <mergeCell ref="P829:Q829"/>
    <mergeCell ref="C830:Q830"/>
    <mergeCell ref="C831:Q831"/>
    <mergeCell ref="C832:Q832"/>
    <mergeCell ref="C833:Q833"/>
    <mergeCell ref="G828:H828"/>
    <mergeCell ref="I828:J828"/>
    <mergeCell ref="K828:L828"/>
    <mergeCell ref="M828:N828"/>
    <mergeCell ref="P828:Q828"/>
    <mergeCell ref="C829:D829"/>
    <mergeCell ref="E829:F829"/>
    <mergeCell ref="G829:H829"/>
    <mergeCell ref="I829:J829"/>
    <mergeCell ref="K829:L829"/>
    <mergeCell ref="G826:H826"/>
    <mergeCell ref="I826:J826"/>
    <mergeCell ref="K826:L826"/>
    <mergeCell ref="M826:N826"/>
    <mergeCell ref="P826:Q826"/>
    <mergeCell ref="G827:H827"/>
    <mergeCell ref="I827:J827"/>
    <mergeCell ref="K827:L827"/>
    <mergeCell ref="M827:N827"/>
    <mergeCell ref="P827:Q827"/>
    <mergeCell ref="O851:Q851"/>
    <mergeCell ref="C852:Q852"/>
    <mergeCell ref="C853:D853"/>
    <mergeCell ref="E853:F854"/>
    <mergeCell ref="G853:H854"/>
    <mergeCell ref="I853:J854"/>
    <mergeCell ref="K853:L854"/>
    <mergeCell ref="M853:N854"/>
    <mergeCell ref="O853:Q854"/>
    <mergeCell ref="C851:D851"/>
    <mergeCell ref="E851:F851"/>
    <mergeCell ref="G851:H851"/>
    <mergeCell ref="I851:J851"/>
    <mergeCell ref="K851:L851"/>
    <mergeCell ref="M851:N851"/>
    <mergeCell ref="C834:Q834"/>
    <mergeCell ref="C835:Q835"/>
    <mergeCell ref="C836:Q836"/>
    <mergeCell ref="C837:Q837"/>
    <mergeCell ref="C849:Q849"/>
    <mergeCell ref="C850:D850"/>
    <mergeCell ref="E850:Q850"/>
    <mergeCell ref="C867:Q867"/>
    <mergeCell ref="C868:Q868"/>
    <mergeCell ref="C869:Q869"/>
    <mergeCell ref="C870:Q870"/>
    <mergeCell ref="C871:Q871"/>
    <mergeCell ref="C872:D872"/>
    <mergeCell ref="E872:F873"/>
    <mergeCell ref="G872:H873"/>
    <mergeCell ref="I872:J873"/>
    <mergeCell ref="K872:L873"/>
    <mergeCell ref="C861:Q861"/>
    <mergeCell ref="C862:Q862"/>
    <mergeCell ref="C863:Q863"/>
    <mergeCell ref="C864:Q864"/>
    <mergeCell ref="C865:Q865"/>
    <mergeCell ref="C866:Q866"/>
    <mergeCell ref="C855:Q855"/>
    <mergeCell ref="C856:Q856"/>
    <mergeCell ref="C857:Q857"/>
    <mergeCell ref="C858:Q858"/>
    <mergeCell ref="C859:Q859"/>
    <mergeCell ref="C860:Q860"/>
    <mergeCell ref="C884:Q884"/>
    <mergeCell ref="C885:Q885"/>
    <mergeCell ref="C886:Q886"/>
    <mergeCell ref="C887:Q887"/>
    <mergeCell ref="C888:Q888"/>
    <mergeCell ref="C889:Q889"/>
    <mergeCell ref="C878:Q878"/>
    <mergeCell ref="C879:Q879"/>
    <mergeCell ref="C880:Q880"/>
    <mergeCell ref="C881:Q881"/>
    <mergeCell ref="C882:Q882"/>
    <mergeCell ref="C883:Q883"/>
    <mergeCell ref="M872:N873"/>
    <mergeCell ref="O872:Q873"/>
    <mergeCell ref="C874:Q874"/>
    <mergeCell ref="C875:Q875"/>
    <mergeCell ref="C876:Q876"/>
    <mergeCell ref="C877:Q877"/>
    <mergeCell ref="C895:Q895"/>
    <mergeCell ref="C896:Q896"/>
    <mergeCell ref="C897:Q897"/>
    <mergeCell ref="C898:Q898"/>
    <mergeCell ref="C899:Q899"/>
    <mergeCell ref="C900:Q900"/>
    <mergeCell ref="C892:Q892"/>
    <mergeCell ref="C893:F893"/>
    <mergeCell ref="G893:H894"/>
    <mergeCell ref="I893:J894"/>
    <mergeCell ref="K893:L894"/>
    <mergeCell ref="M893:N894"/>
    <mergeCell ref="O893:P894"/>
    <mergeCell ref="Q893:Q894"/>
    <mergeCell ref="C894:D894"/>
    <mergeCell ref="E894:F894"/>
    <mergeCell ref="C890:Q890"/>
    <mergeCell ref="C891:F891"/>
    <mergeCell ref="G891:H891"/>
    <mergeCell ref="I891:J891"/>
    <mergeCell ref="K891:L891"/>
    <mergeCell ref="M891:N891"/>
    <mergeCell ref="O891:P891"/>
    <mergeCell ref="Q907:Q908"/>
    <mergeCell ref="C908:D908"/>
    <mergeCell ref="E908:F908"/>
    <mergeCell ref="C909:Q909"/>
    <mergeCell ref="C910:Q910"/>
    <mergeCell ref="C911:Q911"/>
    <mergeCell ref="C907:F907"/>
    <mergeCell ref="G907:H908"/>
    <mergeCell ref="I907:J908"/>
    <mergeCell ref="K907:L908"/>
    <mergeCell ref="M907:N908"/>
    <mergeCell ref="O907:P908"/>
    <mergeCell ref="C901:Q901"/>
    <mergeCell ref="C902:Q902"/>
    <mergeCell ref="C903:Q903"/>
    <mergeCell ref="C904:Q904"/>
    <mergeCell ref="C905:Q905"/>
    <mergeCell ref="C906:Q906"/>
    <mergeCell ref="I927:I928"/>
    <mergeCell ref="J927:J928"/>
    <mergeCell ref="C929:J929"/>
    <mergeCell ref="C930:J930"/>
    <mergeCell ref="C931:J931"/>
    <mergeCell ref="C932:J932"/>
    <mergeCell ref="C926:D926"/>
    <mergeCell ref="C927:D927"/>
    <mergeCell ref="E927:E928"/>
    <mergeCell ref="F927:F928"/>
    <mergeCell ref="G927:G928"/>
    <mergeCell ref="H927:H928"/>
    <mergeCell ref="C912:Q912"/>
    <mergeCell ref="C913:Q913"/>
    <mergeCell ref="C914:Q914"/>
    <mergeCell ref="C915:Q915"/>
    <mergeCell ref="C916:Q916"/>
    <mergeCell ref="C917:Q917"/>
    <mergeCell ref="C949:J949"/>
    <mergeCell ref="C950:J950"/>
    <mergeCell ref="C943:J943"/>
    <mergeCell ref="C944:J944"/>
    <mergeCell ref="C945:J945"/>
    <mergeCell ref="C946:J946"/>
    <mergeCell ref="C947:J947"/>
    <mergeCell ref="C948:J948"/>
    <mergeCell ref="D936:D937"/>
    <mergeCell ref="C938:J938"/>
    <mergeCell ref="C939:J939"/>
    <mergeCell ref="C940:J940"/>
    <mergeCell ref="C941:J941"/>
    <mergeCell ref="C942:J942"/>
    <mergeCell ref="C933:J933"/>
    <mergeCell ref="C934:J934"/>
    <mergeCell ref="C935:D935"/>
    <mergeCell ref="E935:E937"/>
    <mergeCell ref="F935:F937"/>
    <mergeCell ref="G935:G937"/>
    <mergeCell ref="H935:H937"/>
    <mergeCell ref="I935:I937"/>
    <mergeCell ref="J935:J937"/>
    <mergeCell ref="C936:C937"/>
  </mergeCells>
  <hyperlinks>
    <hyperlink ref="A1" location="'ODS 6.'!A1" display="REGRESAR" xr:uid="{3236EC77-7E52-4A3D-BCB0-3F0CFCE69130}"/>
    <hyperlink ref="C1" location="'Metadato 6.5.1'!A1" display="VER METADATO" xr:uid="{3121E2E2-20C0-4B56-8507-4D8E1F00C232}"/>
  </hyperlinks>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2C23-14AB-4576-85B7-31005ACBDAE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43"/>
    <col min="2" max="2" width="26.42578125" style="243" customWidth="1"/>
    <col min="3" max="3" width="21.42578125" style="243" customWidth="1"/>
    <col min="4" max="4" width="85.7109375" style="243" customWidth="1"/>
    <col min="5" max="5" width="11.42578125" style="243"/>
    <col min="6" max="6" width="7.28515625" style="243" customWidth="1"/>
    <col min="7" max="7" width="5.42578125" style="243" customWidth="1"/>
    <col min="8" max="8" width="13.7109375" style="243" customWidth="1"/>
    <col min="9" max="9" width="11.42578125" style="243"/>
    <col min="10" max="10" width="23.7109375" style="243" customWidth="1"/>
    <col min="11" max="11" width="25.7109375" style="243" customWidth="1"/>
    <col min="12" max="13" width="23.7109375" style="243" customWidth="1"/>
    <col min="14" max="14" width="22.5703125" style="243" customWidth="1"/>
    <col min="15" max="15" width="23.7109375" style="243" customWidth="1"/>
    <col min="16" max="16384" width="11.42578125" style="243"/>
  </cols>
  <sheetData>
    <row r="1" spans="1:6" x14ac:dyDescent="0.25">
      <c r="B1" s="223" t="s">
        <v>39</v>
      </c>
    </row>
    <row r="2" spans="1:6" ht="19.5" thickBot="1" x14ac:dyDescent="0.3"/>
    <row r="3" spans="1:6" ht="23.25" customHeight="1" thickBot="1" x14ac:dyDescent="0.3">
      <c r="B3" s="2809" t="s">
        <v>75</v>
      </c>
      <c r="C3" s="2809"/>
      <c r="D3" s="2809"/>
      <c r="F3" s="1046" t="s">
        <v>265</v>
      </c>
    </row>
    <row r="4" spans="1:6" x14ac:dyDescent="0.25">
      <c r="A4" s="1079"/>
      <c r="B4" s="2445" t="s">
        <v>234</v>
      </c>
      <c r="C4" s="2445"/>
      <c r="D4" s="49" t="s">
        <v>2803</v>
      </c>
    </row>
    <row r="5" spans="1:6" ht="37.5" x14ac:dyDescent="0.25">
      <c r="B5" s="2445" t="s">
        <v>79</v>
      </c>
      <c r="C5" s="2445"/>
      <c r="D5" s="49" t="s">
        <v>2785</v>
      </c>
    </row>
    <row r="6" spans="1:6" x14ac:dyDescent="0.25">
      <c r="B6" s="2445" t="s">
        <v>80</v>
      </c>
      <c r="C6" s="2445"/>
      <c r="D6" s="50" t="s">
        <v>2786</v>
      </c>
    </row>
    <row r="7" spans="1:6" ht="15" customHeight="1" x14ac:dyDescent="0.25">
      <c r="B7" s="2446" t="s">
        <v>81</v>
      </c>
      <c r="C7" s="2446"/>
      <c r="D7" s="667" t="s">
        <v>2787</v>
      </c>
    </row>
    <row r="8" spans="1:6" ht="15" customHeight="1" x14ac:dyDescent="0.25">
      <c r="B8" s="2446" t="s">
        <v>82</v>
      </c>
      <c r="C8" s="2446"/>
      <c r="D8" s="1345" t="s">
        <v>4584</v>
      </c>
    </row>
    <row r="9" spans="1:6" x14ac:dyDescent="0.4">
      <c r="B9" s="115"/>
      <c r="C9" s="115"/>
      <c r="D9" s="115"/>
    </row>
    <row r="10" spans="1:6" ht="23.25" customHeight="1" x14ac:dyDescent="0.25">
      <c r="B10" s="2809" t="s">
        <v>85</v>
      </c>
      <c r="C10" s="2809"/>
      <c r="D10" s="2809"/>
    </row>
    <row r="11" spans="1:6" x14ac:dyDescent="0.25">
      <c r="B11" s="2487" t="s">
        <v>86</v>
      </c>
      <c r="C11" s="2456"/>
      <c r="D11" s="49" t="s">
        <v>1754</v>
      </c>
    </row>
    <row r="12" spans="1:6" ht="19.5" customHeight="1" x14ac:dyDescent="0.25">
      <c r="B12" s="2446" t="s">
        <v>88</v>
      </c>
      <c r="C12" s="2446"/>
      <c r="D12" s="184" t="s">
        <v>4585</v>
      </c>
    </row>
    <row r="13" spans="1:6" x14ac:dyDescent="0.25">
      <c r="B13" s="2445" t="s">
        <v>90</v>
      </c>
      <c r="C13" s="2445"/>
      <c r="D13" s="54" t="s">
        <v>2786</v>
      </c>
    </row>
    <row r="14" spans="1:6" x14ac:dyDescent="0.25">
      <c r="B14" s="2445" t="s">
        <v>91</v>
      </c>
      <c r="C14" s="2456"/>
      <c r="D14" s="54" t="s">
        <v>92</v>
      </c>
    </row>
    <row r="15" spans="1:6" ht="409.5" x14ac:dyDescent="0.25">
      <c r="B15" s="2445" t="s">
        <v>93</v>
      </c>
      <c r="C15" s="2445"/>
      <c r="D15" s="55" t="s">
        <v>4586</v>
      </c>
    </row>
    <row r="16" spans="1:6" ht="249.75" customHeight="1" x14ac:dyDescent="0.25">
      <c r="B16" s="2445" t="s">
        <v>95</v>
      </c>
      <c r="C16" s="2445"/>
      <c r="D16" s="55" t="s">
        <v>4587</v>
      </c>
    </row>
    <row r="17" spans="2:4" x14ac:dyDescent="0.25">
      <c r="B17" s="2445" t="s">
        <v>97</v>
      </c>
      <c r="C17" s="2445"/>
      <c r="D17" s="55" t="s">
        <v>4588</v>
      </c>
    </row>
    <row r="18" spans="2:4" x14ac:dyDescent="0.25">
      <c r="B18" s="2446" t="s">
        <v>99</v>
      </c>
      <c r="C18" s="2446"/>
      <c r="D18" s="49"/>
    </row>
    <row r="19" spans="2:4" ht="15" customHeight="1" x14ac:dyDescent="0.25">
      <c r="B19" s="2457" t="s">
        <v>100</v>
      </c>
      <c r="C19" s="2458"/>
      <c r="D19" s="55" t="s">
        <v>4589</v>
      </c>
    </row>
    <row r="20" spans="2:4" x14ac:dyDescent="0.25">
      <c r="B20" s="2445" t="s">
        <v>102</v>
      </c>
      <c r="C20" s="2445"/>
      <c r="D20" s="55" t="s">
        <v>140</v>
      </c>
    </row>
    <row r="21" spans="2:4" x14ac:dyDescent="0.25">
      <c r="B21" s="2451" t="s">
        <v>104</v>
      </c>
      <c r="C21" s="95" t="s">
        <v>105</v>
      </c>
      <c r="D21" s="55" t="s">
        <v>1581</v>
      </c>
    </row>
    <row r="22" spans="2:4" x14ac:dyDescent="0.25">
      <c r="B22" s="2452"/>
      <c r="C22" s="96" t="s">
        <v>107</v>
      </c>
      <c r="D22" s="55" t="s">
        <v>1581</v>
      </c>
    </row>
    <row r="23" spans="2:4" x14ac:dyDescent="0.25">
      <c r="B23" s="2445" t="s">
        <v>109</v>
      </c>
      <c r="C23" s="2445"/>
      <c r="D23" s="55" t="s">
        <v>515</v>
      </c>
    </row>
    <row r="24" spans="2:4" x14ac:dyDescent="0.25">
      <c r="B24" s="2445" t="s">
        <v>111</v>
      </c>
      <c r="C24" s="2445"/>
      <c r="D24" s="50" t="s">
        <v>4590</v>
      </c>
    </row>
    <row r="25" spans="2:4" x14ac:dyDescent="0.25">
      <c r="B25" s="2445" t="s">
        <v>113</v>
      </c>
      <c r="C25" s="2445"/>
      <c r="D25" s="55" t="s">
        <v>220</v>
      </c>
    </row>
    <row r="26" spans="2:4" ht="15" customHeight="1" x14ac:dyDescent="0.25">
      <c r="B26" s="2446" t="s">
        <v>115</v>
      </c>
      <c r="C26" s="2446"/>
      <c r="D26" s="50" t="s">
        <v>4591</v>
      </c>
    </row>
    <row r="27" spans="2:4" x14ac:dyDescent="0.25">
      <c r="B27" s="2447" t="s">
        <v>117</v>
      </c>
      <c r="C27" s="2448"/>
      <c r="D27" s="49"/>
    </row>
    <row r="28" spans="2:4" ht="75" x14ac:dyDescent="0.25">
      <c r="B28" s="97" t="s">
        <v>118</v>
      </c>
      <c r="C28" s="98"/>
      <c r="D28" s="55" t="s">
        <v>4592</v>
      </c>
    </row>
    <row r="29" spans="2:4" x14ac:dyDescent="0.25">
      <c r="B29" s="2449" t="s">
        <v>120</v>
      </c>
      <c r="C29" s="2450"/>
      <c r="D29" s="62"/>
    </row>
    <row r="30" spans="2:4" x14ac:dyDescent="0.25">
      <c r="B30" s="63"/>
      <c r="C30" s="63"/>
      <c r="D30" s="64"/>
    </row>
    <row r="31" spans="2:4" ht="23.25" customHeight="1" x14ac:dyDescent="0.25">
      <c r="B31" s="2809" t="s">
        <v>121</v>
      </c>
      <c r="C31" s="2809"/>
      <c r="D31" s="2809"/>
    </row>
    <row r="32" spans="2:4" x14ac:dyDescent="0.25">
      <c r="B32" s="2447" t="s">
        <v>122</v>
      </c>
      <c r="C32" s="2448"/>
      <c r="D32" s="50" t="s">
        <v>4593</v>
      </c>
    </row>
    <row r="33" spans="2:4" ht="37.5" x14ac:dyDescent="0.25">
      <c r="B33" s="2447" t="s">
        <v>124</v>
      </c>
      <c r="C33" s="2448"/>
      <c r="D33" s="50" t="s">
        <v>4594</v>
      </c>
    </row>
    <row r="34" spans="2:4" x14ac:dyDescent="0.25">
      <c r="B34" s="2447" t="s">
        <v>126</v>
      </c>
      <c r="C34" s="2448"/>
      <c r="D34" s="50" t="s">
        <v>4595</v>
      </c>
    </row>
    <row r="35" spans="2:4" x14ac:dyDescent="0.25">
      <c r="B35" s="2447" t="s">
        <v>128</v>
      </c>
      <c r="C35" s="2448"/>
      <c r="D35" s="50" t="s">
        <v>3330</v>
      </c>
    </row>
    <row r="36" spans="2:4" x14ac:dyDescent="0.25">
      <c r="B36" s="2447" t="s">
        <v>130</v>
      </c>
      <c r="C36" s="2448"/>
      <c r="D36" s="1312" t="s">
        <v>3331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97B8E24-D006-4FFE-8101-A9A1FECB25F1}">
      <formula1>Tipo_operación</formula1>
    </dataValidation>
    <dataValidation type="list" allowBlank="1" showInputMessage="1" showErrorMessage="1" sqref="D14" xr:uid="{E8D611DC-6170-4A78-8DBE-2F0FF34DF09C}">
      <formula1>Tipo_indicador</formula1>
    </dataValidation>
    <dataValidation type="list" allowBlank="1" showInputMessage="1" showErrorMessage="1" sqref="D7" xr:uid="{41B8241B-B7B1-4BE6-98DB-7CC538056C13}">
      <formula1>Nombre_indicador_ODS</formula1>
    </dataValidation>
    <dataValidation type="list" allowBlank="1" showInputMessage="1" showErrorMessage="1" sqref="D6" xr:uid="{9EA13CFC-6EF5-4797-B3BB-777F4C29C9C7}">
      <formula1>Numero_indicador</formula1>
    </dataValidation>
    <dataValidation type="list" allowBlank="1" showInputMessage="1" showErrorMessage="1" sqref="D5" xr:uid="{45A25ACA-7F80-4B5A-AF25-F2F011B6EE7A}">
      <formula1>Metas_ODS</formula1>
    </dataValidation>
    <dataValidation type="list" allowBlank="1" showInputMessage="1" showErrorMessage="1" sqref="D4" xr:uid="{1B6B3921-DB43-4B94-AD77-25D14F063C5C}">
      <formula1>ODS</formula1>
    </dataValidation>
    <dataValidation allowBlank="1" showDropDown="1" showInputMessage="1" showErrorMessage="1" sqref="D13" xr:uid="{24B42B03-5B37-4DA1-8B71-B0C44BDFDC86}"/>
  </dataValidations>
  <hyperlinks>
    <hyperlink ref="B1" location="'6.5.1'!A1" display="REGRESAR" xr:uid="{E0FDD575-F827-4151-B69F-2063B9C91952}"/>
    <hyperlink ref="D8" r:id="rId1" xr:uid="{832F518F-0BED-4DEA-B463-046BFB1867A9}"/>
    <hyperlink ref="D36" r:id="rId2" xr:uid="{321FDB1A-6188-4CCC-9106-53C20FD644F5}"/>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682F-E0E4-48D1-8FAA-EBE1EA817527}">
  <dimension ref="A1:Y42"/>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7109375" style="115" customWidth="1"/>
    <col min="3" max="3" width="15.42578125" style="1048" customWidth="1"/>
    <col min="4" max="5" width="12.140625" style="1048" customWidth="1"/>
    <col min="6" max="6" width="31.42578125" style="1048" customWidth="1"/>
    <col min="7" max="7" width="16.5703125" style="115" customWidth="1"/>
    <col min="8" max="8" width="22.28515625" style="115" customWidth="1"/>
    <col min="9" max="9" width="16" style="115" customWidth="1"/>
    <col min="10" max="17" width="13.7109375" style="115" customWidth="1"/>
    <col min="18" max="16384" width="11.42578125" style="115"/>
  </cols>
  <sheetData>
    <row r="1" spans="1:25" s="1032" customFormat="1" ht="19.5" x14ac:dyDescent="0.4">
      <c r="A1" s="15" t="s">
        <v>39</v>
      </c>
      <c r="B1" s="1080"/>
      <c r="C1" s="2421" t="s">
        <v>149</v>
      </c>
      <c r="D1" s="2421"/>
      <c r="E1" s="1061"/>
      <c r="F1" s="1061"/>
    </row>
    <row r="2" spans="1:25" s="1032" customFormat="1" ht="19.5" x14ac:dyDescent="0.4">
      <c r="C2" s="1061"/>
      <c r="D2" s="1061"/>
      <c r="E2" s="1061"/>
      <c r="F2" s="1061"/>
    </row>
    <row r="3" spans="1:25" s="1032" customFormat="1" ht="19.5" x14ac:dyDescent="0.4">
      <c r="A3" s="2804" t="s">
        <v>41</v>
      </c>
      <c r="B3" s="2804"/>
      <c r="C3" s="2853" t="s">
        <v>2768</v>
      </c>
      <c r="D3" s="2857"/>
      <c r="E3" s="2857"/>
      <c r="F3" s="2857"/>
      <c r="G3" s="2857"/>
      <c r="H3" s="2857"/>
      <c r="I3" s="2857"/>
      <c r="J3" s="2857"/>
      <c r="K3" s="2857"/>
      <c r="L3" s="2857"/>
      <c r="M3" s="2857"/>
      <c r="N3" s="2857"/>
      <c r="O3" s="2857"/>
      <c r="P3" s="2857"/>
      <c r="Q3" s="2857"/>
      <c r="R3" s="2857"/>
      <c r="S3" s="2857"/>
      <c r="T3" s="2857"/>
      <c r="U3" s="2857"/>
      <c r="V3" s="2857"/>
      <c r="W3" s="2857"/>
      <c r="X3" s="2857"/>
      <c r="Y3" s="2857"/>
    </row>
    <row r="4" spans="1:25" s="1032" customFormat="1" ht="19.5" x14ac:dyDescent="0.4">
      <c r="A4" s="2804" t="s">
        <v>42</v>
      </c>
      <c r="B4" s="2804"/>
      <c r="C4" s="2853" t="s">
        <v>2785</v>
      </c>
      <c r="D4" s="2857"/>
      <c r="E4" s="2857"/>
      <c r="F4" s="2857"/>
      <c r="G4" s="2857"/>
      <c r="H4" s="2857"/>
      <c r="I4" s="2857"/>
      <c r="J4" s="2857"/>
      <c r="K4" s="2857"/>
      <c r="L4" s="2857"/>
      <c r="M4" s="2857"/>
      <c r="N4" s="2857"/>
      <c r="O4" s="2857"/>
      <c r="P4" s="2857"/>
      <c r="Q4" s="2857"/>
      <c r="R4" s="2857"/>
      <c r="S4" s="2857"/>
      <c r="T4" s="2857"/>
      <c r="U4" s="2857"/>
      <c r="V4" s="2857"/>
      <c r="W4" s="2857"/>
      <c r="X4" s="2857"/>
      <c r="Y4" s="2857"/>
    </row>
    <row r="5" spans="1:25" s="1032" customFormat="1" ht="19.5" x14ac:dyDescent="0.4">
      <c r="A5" s="2804" t="s">
        <v>43</v>
      </c>
      <c r="B5" s="2804"/>
      <c r="C5" s="2853" t="s">
        <v>2789</v>
      </c>
      <c r="D5" s="2857"/>
      <c r="E5" s="2857"/>
      <c r="F5" s="2857"/>
      <c r="G5" s="2857"/>
      <c r="H5" s="2857"/>
      <c r="I5" s="2857"/>
      <c r="J5" s="2857"/>
      <c r="K5" s="2857"/>
      <c r="L5" s="2857"/>
      <c r="M5" s="2857"/>
      <c r="N5" s="2857"/>
      <c r="O5" s="2857"/>
      <c r="P5" s="2857"/>
      <c r="Q5" s="2857"/>
      <c r="R5" s="2857"/>
      <c r="S5" s="2857"/>
      <c r="T5" s="2857"/>
      <c r="U5" s="2857"/>
      <c r="V5" s="2857"/>
      <c r="W5" s="2857"/>
      <c r="X5" s="2857"/>
      <c r="Y5" s="2857"/>
    </row>
    <row r="6" spans="1:25" s="1032" customFormat="1" ht="19.5" x14ac:dyDescent="0.4">
      <c r="A6" s="2804" t="s">
        <v>132</v>
      </c>
      <c r="B6" s="2804"/>
      <c r="C6" s="2853" t="s">
        <v>4596</v>
      </c>
      <c r="D6" s="2857"/>
      <c r="E6" s="2857"/>
      <c r="F6" s="2857"/>
      <c r="G6" s="2857"/>
      <c r="H6" s="2857"/>
      <c r="I6" s="2857"/>
      <c r="J6" s="2857"/>
      <c r="K6" s="2857"/>
      <c r="L6" s="2857"/>
      <c r="M6" s="2857"/>
      <c r="N6" s="2857"/>
      <c r="O6" s="2857"/>
      <c r="P6" s="2857"/>
      <c r="Q6" s="2857"/>
      <c r="R6" s="2857"/>
      <c r="S6" s="2857"/>
      <c r="T6" s="2857"/>
      <c r="U6" s="2857"/>
      <c r="V6" s="2857"/>
      <c r="W6" s="2857"/>
      <c r="X6" s="2857"/>
      <c r="Y6" s="2857"/>
    </row>
    <row r="7" spans="1:25" s="1032" customFormat="1" ht="19.5" x14ac:dyDescent="0.4">
      <c r="A7" s="1084"/>
      <c r="C7" s="1061"/>
      <c r="D7" s="1061"/>
      <c r="E7" s="1061"/>
      <c r="F7" s="1061"/>
    </row>
    <row r="8" spans="1:25" s="1032" customFormat="1" ht="19.5" x14ac:dyDescent="0.4">
      <c r="A8" s="1084"/>
      <c r="C8" s="1061"/>
      <c r="D8" s="1061"/>
      <c r="E8" s="1061"/>
      <c r="F8" s="1061"/>
    </row>
    <row r="9" spans="1:25" s="1032" customFormat="1" ht="19.5" x14ac:dyDescent="0.4">
      <c r="A9" s="1084"/>
      <c r="C9" s="138" t="s">
        <v>4597</v>
      </c>
      <c r="D9" s="138"/>
      <c r="E9" s="138"/>
      <c r="F9" s="138"/>
      <c r="G9" s="138"/>
    </row>
    <row r="10" spans="1:25" x14ac:dyDescent="0.4">
      <c r="A10" s="536"/>
      <c r="C10" s="1055"/>
      <c r="D10" s="1055"/>
      <c r="E10" s="1055"/>
      <c r="F10" s="1055"/>
      <c r="G10" s="1293">
        <v>2020</v>
      </c>
      <c r="H10" s="1293">
        <v>2023</v>
      </c>
    </row>
    <row r="11" spans="1:25" x14ac:dyDescent="0.4">
      <c r="A11" s="536"/>
      <c r="C11" s="2815" t="s">
        <v>4598</v>
      </c>
      <c r="D11" s="2815"/>
      <c r="E11" s="2815"/>
      <c r="F11" s="2815"/>
      <c r="G11" s="1346">
        <v>0.13639999999999999</v>
      </c>
      <c r="H11" s="1346">
        <v>0.13639999999999999</v>
      </c>
    </row>
    <row r="12" spans="1:25" x14ac:dyDescent="0.4">
      <c r="A12" s="536"/>
      <c r="C12" s="2815" t="s">
        <v>4599</v>
      </c>
      <c r="D12" s="2815"/>
      <c r="E12" s="2815"/>
      <c r="F12" s="2815"/>
      <c r="G12" s="1346">
        <v>0.13750000000000001</v>
      </c>
      <c r="H12" s="1346">
        <v>0.13750000000000001</v>
      </c>
    </row>
    <row r="13" spans="1:25" x14ac:dyDescent="0.4">
      <c r="A13" s="536"/>
      <c r="C13" s="2815" t="s">
        <v>4600</v>
      </c>
      <c r="D13" s="2815"/>
      <c r="E13" s="2815"/>
      <c r="F13" s="2815"/>
      <c r="G13" s="1087">
        <v>0</v>
      </c>
      <c r="H13" s="1087">
        <v>0</v>
      </c>
    </row>
    <row r="14" spans="1:25" x14ac:dyDescent="0.4">
      <c r="A14" s="536"/>
      <c r="C14" s="2815" t="s">
        <v>4601</v>
      </c>
      <c r="D14" s="2815"/>
      <c r="E14" s="2815"/>
      <c r="F14" s="2815"/>
      <c r="G14" s="1347">
        <v>2300</v>
      </c>
      <c r="H14" s="1347">
        <v>2300</v>
      </c>
    </row>
    <row r="15" spans="1:25" x14ac:dyDescent="0.4">
      <c r="A15" s="536"/>
      <c r="C15" s="2815" t="s">
        <v>4602</v>
      </c>
      <c r="D15" s="2815"/>
      <c r="E15" s="2815"/>
      <c r="F15" s="2815"/>
      <c r="G15" s="1347">
        <v>16719.13</v>
      </c>
      <c r="H15" s="1347">
        <v>16719.13</v>
      </c>
    </row>
    <row r="16" spans="1:25" x14ac:dyDescent="0.4">
      <c r="A16" s="536"/>
      <c r="C16" s="2815" t="s">
        <v>4603</v>
      </c>
      <c r="D16" s="2815"/>
      <c r="E16" s="2815"/>
      <c r="F16" s="2815"/>
      <c r="G16" s="1347">
        <v>0</v>
      </c>
      <c r="H16" s="1347">
        <v>0</v>
      </c>
    </row>
    <row r="17" spans="1:23" x14ac:dyDescent="0.4">
      <c r="A17" s="536"/>
      <c r="C17" s="3069" t="s">
        <v>4604</v>
      </c>
      <c r="D17" s="3069"/>
      <c r="E17" s="3069"/>
      <c r="F17" s="3069"/>
      <c r="G17" s="1348">
        <v>137.6</v>
      </c>
      <c r="H17" s="1348">
        <v>137.6</v>
      </c>
    </row>
    <row r="18" spans="1:23" x14ac:dyDescent="0.4">
      <c r="A18" s="536"/>
      <c r="C18" s="2526" t="s">
        <v>4605</v>
      </c>
      <c r="D18" s="2526"/>
      <c r="E18" s="2526"/>
      <c r="F18" s="2526"/>
      <c r="G18" s="2526"/>
    </row>
    <row r="19" spans="1:23" x14ac:dyDescent="0.4">
      <c r="A19" s="536"/>
    </row>
    <row r="20" spans="1:23" x14ac:dyDescent="0.4">
      <c r="A20" s="536"/>
    </row>
    <row r="22" spans="1:23" ht="17.45" customHeight="1" x14ac:dyDescent="0.4">
      <c r="H22" s="226" t="s">
        <v>4606</v>
      </c>
      <c r="I22" s="226"/>
      <c r="J22" s="226"/>
      <c r="K22" s="226"/>
      <c r="L22" s="226"/>
      <c r="M22" s="226"/>
      <c r="N22" s="226"/>
      <c r="O22" s="226"/>
      <c r="P22" s="226"/>
      <c r="Q22" s="226"/>
      <c r="R22" s="226"/>
      <c r="S22" s="226"/>
      <c r="T22" s="226"/>
      <c r="U22" s="226"/>
      <c r="V22" s="226"/>
      <c r="W22" s="226"/>
    </row>
    <row r="23" spans="1:23" ht="52.15" customHeight="1" x14ac:dyDescent="0.4">
      <c r="H23" s="2806" t="s">
        <v>4607</v>
      </c>
      <c r="I23" s="2806" t="s">
        <v>4608</v>
      </c>
      <c r="J23" s="2802" t="s">
        <v>4609</v>
      </c>
      <c r="K23" s="2802"/>
      <c r="L23" s="2802" t="s">
        <v>4610</v>
      </c>
      <c r="M23" s="2802"/>
      <c r="N23" s="2802" t="s">
        <v>4611</v>
      </c>
      <c r="O23" s="2802"/>
      <c r="P23" s="2802" t="s">
        <v>4612</v>
      </c>
      <c r="Q23" s="2802"/>
      <c r="R23" s="2802" t="s">
        <v>4613</v>
      </c>
      <c r="S23" s="2802"/>
      <c r="T23" s="2802" t="s">
        <v>4614</v>
      </c>
      <c r="U23" s="2802"/>
      <c r="V23" s="2806" t="s">
        <v>4615</v>
      </c>
      <c r="W23" s="2806"/>
    </row>
    <row r="24" spans="1:23" x14ac:dyDescent="0.4">
      <c r="H24" s="2808"/>
      <c r="I24" s="2808"/>
      <c r="J24" s="1038">
        <v>2020</v>
      </c>
      <c r="K24" s="1038">
        <v>2023</v>
      </c>
      <c r="L24" s="1038">
        <v>2020</v>
      </c>
      <c r="M24" s="1038">
        <v>2023</v>
      </c>
      <c r="N24" s="1038">
        <v>2020</v>
      </c>
      <c r="O24" s="1038">
        <v>2023</v>
      </c>
      <c r="P24" s="1038">
        <v>2020</v>
      </c>
      <c r="Q24" s="1038">
        <v>2023</v>
      </c>
      <c r="R24" s="1038">
        <v>2020</v>
      </c>
      <c r="S24" s="1038">
        <v>2023</v>
      </c>
      <c r="T24" s="1038">
        <v>2020</v>
      </c>
      <c r="U24" s="1038">
        <v>2023</v>
      </c>
      <c r="V24" s="1038">
        <v>2020</v>
      </c>
      <c r="W24" s="1038">
        <v>2023</v>
      </c>
    </row>
    <row r="25" spans="1:23" x14ac:dyDescent="0.4">
      <c r="H25" s="1048" t="s">
        <v>3088</v>
      </c>
      <c r="I25" s="115" t="s">
        <v>4616</v>
      </c>
      <c r="J25" s="1349">
        <v>2300</v>
      </c>
      <c r="K25" s="1349">
        <v>2300</v>
      </c>
      <c r="L25" s="536" t="s">
        <v>2014</v>
      </c>
      <c r="M25" s="536" t="s">
        <v>4617</v>
      </c>
      <c r="N25" s="536" t="s">
        <v>2014</v>
      </c>
      <c r="O25" s="536" t="s">
        <v>4617</v>
      </c>
      <c r="P25" s="536" t="s">
        <v>2014</v>
      </c>
      <c r="Q25" s="536" t="s">
        <v>4617</v>
      </c>
      <c r="R25" s="232" t="s">
        <v>4618</v>
      </c>
      <c r="S25" s="232" t="s">
        <v>4617</v>
      </c>
      <c r="T25" s="536" t="s">
        <v>2014</v>
      </c>
      <c r="U25" s="536" t="s">
        <v>4617</v>
      </c>
      <c r="V25" s="115">
        <v>2300</v>
      </c>
      <c r="W25" s="115">
        <v>2300</v>
      </c>
    </row>
    <row r="26" spans="1:23" x14ac:dyDescent="0.4">
      <c r="H26" s="1048" t="s">
        <v>4619</v>
      </c>
      <c r="I26" s="115" t="s">
        <v>4616</v>
      </c>
      <c r="J26" s="1349">
        <v>253</v>
      </c>
      <c r="K26" s="1349">
        <v>253</v>
      </c>
      <c r="L26" s="536" t="s">
        <v>4620</v>
      </c>
      <c r="M26" s="536" t="s">
        <v>4620</v>
      </c>
      <c r="N26" s="536" t="s">
        <v>4620</v>
      </c>
      <c r="O26" s="536" t="s">
        <v>4620</v>
      </c>
      <c r="P26" s="536" t="s">
        <v>4620</v>
      </c>
      <c r="Q26" s="536" t="s">
        <v>4620</v>
      </c>
      <c r="R26" s="536" t="s">
        <v>4620</v>
      </c>
      <c r="S26" s="536" t="s">
        <v>4620</v>
      </c>
      <c r="T26" s="536" t="s">
        <v>4620</v>
      </c>
      <c r="U26" s="536" t="s">
        <v>4620</v>
      </c>
      <c r="V26" s="536" t="s">
        <v>2903</v>
      </c>
      <c r="W26" s="536" t="s">
        <v>2903</v>
      </c>
    </row>
    <row r="27" spans="1:23" x14ac:dyDescent="0.4">
      <c r="H27" s="1048" t="s">
        <v>4621</v>
      </c>
      <c r="I27" s="115" t="s">
        <v>4616</v>
      </c>
      <c r="J27" s="1349">
        <v>42.09</v>
      </c>
      <c r="K27" s="1349">
        <v>42.09</v>
      </c>
      <c r="L27" s="536" t="s">
        <v>2903</v>
      </c>
      <c r="M27" s="536" t="s">
        <v>4620</v>
      </c>
      <c r="N27" s="536" t="s">
        <v>2903</v>
      </c>
      <c r="O27" s="536" t="s">
        <v>4620</v>
      </c>
      <c r="P27" s="536" t="s">
        <v>2903</v>
      </c>
      <c r="Q27" s="536" t="s">
        <v>4620</v>
      </c>
      <c r="R27" s="536" t="s">
        <v>2903</v>
      </c>
      <c r="S27" s="536" t="s">
        <v>4620</v>
      </c>
      <c r="T27" s="536" t="s">
        <v>2903</v>
      </c>
      <c r="U27" s="536" t="s">
        <v>4620</v>
      </c>
      <c r="V27" s="536" t="s">
        <v>2903</v>
      </c>
      <c r="W27" s="536" t="s">
        <v>2903</v>
      </c>
    </row>
    <row r="28" spans="1:23" x14ac:dyDescent="0.4">
      <c r="H28" s="1048" t="s">
        <v>4622</v>
      </c>
      <c r="I28" s="115" t="s">
        <v>4616</v>
      </c>
      <c r="J28" s="1349">
        <v>1116.22</v>
      </c>
      <c r="K28" s="1349">
        <v>1116.22</v>
      </c>
      <c r="L28" s="536" t="s">
        <v>2903</v>
      </c>
      <c r="M28" s="536" t="s">
        <v>4620</v>
      </c>
      <c r="N28" s="536" t="s">
        <v>2903</v>
      </c>
      <c r="O28" s="536" t="s">
        <v>4620</v>
      </c>
      <c r="P28" s="536" t="s">
        <v>2903</v>
      </c>
      <c r="Q28" s="536" t="s">
        <v>4620</v>
      </c>
      <c r="R28" s="536" t="s">
        <v>2903</v>
      </c>
      <c r="S28" s="536" t="s">
        <v>4620</v>
      </c>
      <c r="T28" s="536" t="s">
        <v>2903</v>
      </c>
      <c r="U28" s="536" t="s">
        <v>4620</v>
      </c>
      <c r="V28" s="536" t="s">
        <v>2903</v>
      </c>
      <c r="W28" s="536" t="s">
        <v>2903</v>
      </c>
    </row>
    <row r="29" spans="1:23" x14ac:dyDescent="0.4">
      <c r="H29" s="1048" t="s">
        <v>4623</v>
      </c>
      <c r="I29" s="115" t="s">
        <v>4624</v>
      </c>
      <c r="J29" s="1349">
        <v>7</v>
      </c>
      <c r="K29" s="1349">
        <v>7</v>
      </c>
      <c r="L29" s="536" t="s">
        <v>2903</v>
      </c>
      <c r="M29" s="536" t="s">
        <v>4620</v>
      </c>
      <c r="N29" s="536" t="s">
        <v>2903</v>
      </c>
      <c r="O29" s="536" t="s">
        <v>4620</v>
      </c>
      <c r="P29" s="536" t="s">
        <v>2903</v>
      </c>
      <c r="Q29" s="536" t="s">
        <v>4620</v>
      </c>
      <c r="R29" s="536" t="s">
        <v>2903</v>
      </c>
      <c r="S29" s="536" t="s">
        <v>4620</v>
      </c>
      <c r="T29" s="536" t="s">
        <v>2903</v>
      </c>
      <c r="U29" s="536" t="s">
        <v>4620</v>
      </c>
      <c r="V29" s="536" t="s">
        <v>2903</v>
      </c>
      <c r="W29" s="536" t="s">
        <v>2903</v>
      </c>
    </row>
    <row r="30" spans="1:23" x14ac:dyDescent="0.4">
      <c r="H30" s="1048" t="s">
        <v>2936</v>
      </c>
      <c r="I30" s="115" t="s">
        <v>4624</v>
      </c>
      <c r="J30" s="1349">
        <v>13001</v>
      </c>
      <c r="K30" s="1349">
        <v>13001</v>
      </c>
      <c r="L30" s="536" t="s">
        <v>2903</v>
      </c>
      <c r="M30" s="536" t="s">
        <v>4620</v>
      </c>
      <c r="N30" s="536" t="s">
        <v>2903</v>
      </c>
      <c r="O30" s="536" t="s">
        <v>4620</v>
      </c>
      <c r="P30" s="536" t="s">
        <v>2903</v>
      </c>
      <c r="Q30" s="536" t="s">
        <v>4620</v>
      </c>
      <c r="R30" s="536" t="s">
        <v>2903</v>
      </c>
      <c r="S30" s="536" t="s">
        <v>4620</v>
      </c>
      <c r="T30" s="536" t="s">
        <v>2903</v>
      </c>
      <c r="U30" s="536" t="s">
        <v>4620</v>
      </c>
      <c r="V30" s="536" t="s">
        <v>2903</v>
      </c>
      <c r="W30" s="536" t="s">
        <v>2903</v>
      </c>
    </row>
    <row r="31" spans="1:23" ht="64.150000000000006" customHeight="1" x14ac:dyDescent="0.4">
      <c r="H31" s="2526" t="s">
        <v>4625</v>
      </c>
      <c r="I31" s="2526"/>
      <c r="J31" s="1350"/>
      <c r="K31" s="1350"/>
      <c r="L31" s="1351"/>
      <c r="M31" s="1351"/>
      <c r="N31" s="1351"/>
      <c r="O31" s="1351"/>
      <c r="P31" s="1351"/>
      <c r="Q31" s="1351"/>
      <c r="R31" s="1351"/>
      <c r="S31" s="1351"/>
      <c r="T31" s="1351"/>
      <c r="U31" s="1351"/>
      <c r="V31" s="155">
        <v>2300</v>
      </c>
      <c r="W31" s="155">
        <v>2300</v>
      </c>
    </row>
    <row r="32" spans="1:23" ht="58.9" customHeight="1" x14ac:dyDescent="0.4">
      <c r="H32" s="2529" t="s">
        <v>4602</v>
      </c>
      <c r="I32" s="2529"/>
      <c r="J32" s="1352">
        <v>16719.13</v>
      </c>
      <c r="K32" s="1352">
        <v>16719.13</v>
      </c>
      <c r="L32" s="1353"/>
      <c r="M32" s="1353"/>
      <c r="N32" s="1353"/>
      <c r="O32" s="1353"/>
      <c r="P32" s="1353"/>
      <c r="Q32" s="1353"/>
      <c r="R32" s="1353"/>
      <c r="S32" s="1353"/>
      <c r="T32" s="1353"/>
      <c r="U32" s="1353"/>
      <c r="V32" s="1353"/>
      <c r="W32" s="1353"/>
    </row>
    <row r="33" spans="8:23" x14ac:dyDescent="0.4">
      <c r="H33" s="115" t="s">
        <v>4605</v>
      </c>
    </row>
    <row r="34" spans="8:23" x14ac:dyDescent="0.4">
      <c r="H34" s="1048"/>
    </row>
    <row r="35" spans="8:23" x14ac:dyDescent="0.4">
      <c r="H35" s="1048"/>
    </row>
    <row r="36" spans="8:23" ht="17.45" customHeight="1" x14ac:dyDescent="0.4">
      <c r="H36" s="226" t="s">
        <v>4606</v>
      </c>
      <c r="I36" s="226"/>
      <c r="J36" s="226"/>
      <c r="K36" s="226"/>
      <c r="L36" s="226"/>
      <c r="M36" s="226"/>
      <c r="N36" s="226"/>
      <c r="O36" s="226"/>
      <c r="P36" s="226"/>
      <c r="Q36" s="226"/>
      <c r="R36" s="226"/>
      <c r="S36" s="226"/>
      <c r="T36" s="226"/>
      <c r="U36" s="226"/>
      <c r="V36" s="226"/>
      <c r="W36" s="226"/>
    </row>
    <row r="37" spans="8:23" ht="73.900000000000006" customHeight="1" x14ac:dyDescent="0.4">
      <c r="H37" s="2806" t="s">
        <v>4626</v>
      </c>
      <c r="I37" s="2806" t="s">
        <v>4608</v>
      </c>
      <c r="J37" s="2802" t="s">
        <v>4627</v>
      </c>
      <c r="K37" s="2802"/>
      <c r="L37" s="2802" t="s">
        <v>4610</v>
      </c>
      <c r="M37" s="2802"/>
      <c r="N37" s="2802" t="s">
        <v>4628</v>
      </c>
      <c r="O37" s="2802"/>
      <c r="P37" s="2802" t="s">
        <v>4612</v>
      </c>
      <c r="Q37" s="2802"/>
      <c r="R37" s="2802" t="s">
        <v>4629</v>
      </c>
      <c r="S37" s="2802"/>
      <c r="T37" s="2802" t="s">
        <v>4614</v>
      </c>
      <c r="U37" s="2802"/>
      <c r="V37" s="2802" t="s">
        <v>4615</v>
      </c>
      <c r="W37" s="2802"/>
    </row>
    <row r="38" spans="8:23" x14ac:dyDescent="0.4">
      <c r="H38" s="2808"/>
      <c r="I38" s="2808"/>
      <c r="J38" s="1038">
        <v>2020</v>
      </c>
      <c r="K38" s="1038">
        <v>2023</v>
      </c>
      <c r="L38" s="1038">
        <v>2020</v>
      </c>
      <c r="M38" s="1038">
        <v>2023</v>
      </c>
      <c r="N38" s="1038">
        <v>2020</v>
      </c>
      <c r="O38" s="1038">
        <v>2023</v>
      </c>
      <c r="P38" s="1038">
        <v>2020</v>
      </c>
      <c r="Q38" s="1038">
        <v>2023</v>
      </c>
      <c r="R38" s="1038">
        <v>2020</v>
      </c>
      <c r="S38" s="1038">
        <v>2023</v>
      </c>
      <c r="T38" s="1038">
        <v>2020</v>
      </c>
      <c r="U38" s="1038">
        <v>2023</v>
      </c>
      <c r="V38" s="1038">
        <v>2020</v>
      </c>
      <c r="W38" s="1038">
        <v>2023</v>
      </c>
    </row>
    <row r="39" spans="8:23" ht="24" customHeight="1" x14ac:dyDescent="0.4">
      <c r="H39" s="141" t="s">
        <v>4630</v>
      </c>
      <c r="I39" s="232" t="s">
        <v>4616</v>
      </c>
      <c r="J39" s="536">
        <v>137.6</v>
      </c>
      <c r="K39" s="536">
        <v>137.6</v>
      </c>
      <c r="L39" s="536" t="s">
        <v>4631</v>
      </c>
      <c r="M39" s="536" t="s">
        <v>4620</v>
      </c>
      <c r="N39" s="536" t="s">
        <v>4631</v>
      </c>
      <c r="O39" s="536" t="s">
        <v>4620</v>
      </c>
      <c r="P39" s="536" t="s">
        <v>4631</v>
      </c>
      <c r="Q39" s="536" t="s">
        <v>4631</v>
      </c>
      <c r="R39" s="536" t="s">
        <v>4631</v>
      </c>
      <c r="S39" s="536" t="s">
        <v>4631</v>
      </c>
      <c r="T39" s="536" t="s">
        <v>4631</v>
      </c>
      <c r="U39" s="536" t="s">
        <v>4631</v>
      </c>
      <c r="V39" s="536">
        <v>0</v>
      </c>
      <c r="W39" s="536">
        <v>0</v>
      </c>
    </row>
    <row r="40" spans="8:23" ht="58.9" customHeight="1" x14ac:dyDescent="0.4">
      <c r="H40" s="3068" t="s">
        <v>4632</v>
      </c>
      <c r="I40" s="3068"/>
      <c r="J40" s="1351"/>
      <c r="K40" s="1351"/>
      <c r="L40" s="1351"/>
      <c r="M40" s="1351"/>
      <c r="N40" s="1351"/>
      <c r="O40" s="1351"/>
      <c r="P40" s="1351"/>
      <c r="Q40" s="1351"/>
      <c r="R40" s="1351"/>
      <c r="S40" s="1351"/>
      <c r="T40" s="1351"/>
      <c r="U40" s="1351"/>
      <c r="V40" s="232">
        <v>0</v>
      </c>
      <c r="W40" s="232">
        <v>0</v>
      </c>
    </row>
    <row r="41" spans="8:23" ht="33.6" customHeight="1" x14ac:dyDescent="0.4">
      <c r="H41" s="2529" t="s">
        <v>4604</v>
      </c>
      <c r="I41" s="2529"/>
      <c r="J41" s="795">
        <v>137.6</v>
      </c>
      <c r="K41" s="795">
        <v>137.6</v>
      </c>
      <c r="L41" s="1354"/>
      <c r="M41" s="1354"/>
      <c r="N41" s="1354"/>
      <c r="O41" s="1354"/>
      <c r="P41" s="1354"/>
      <c r="Q41" s="1354"/>
      <c r="R41" s="1354"/>
      <c r="S41" s="1354"/>
      <c r="T41" s="1354"/>
      <c r="U41" s="1354"/>
      <c r="V41" s="1354"/>
      <c r="W41" s="1354"/>
    </row>
    <row r="42" spans="8:23" x14ac:dyDescent="0.4">
      <c r="H42" s="115" t="s">
        <v>4605</v>
      </c>
    </row>
  </sheetData>
  <mergeCells count="39">
    <mergeCell ref="C14:F14"/>
    <mergeCell ref="C1:D1"/>
    <mergeCell ref="A3:B3"/>
    <mergeCell ref="C3:Y3"/>
    <mergeCell ref="A4:B4"/>
    <mergeCell ref="C4:Y4"/>
    <mergeCell ref="A5:B5"/>
    <mergeCell ref="C5:Y5"/>
    <mergeCell ref="A6:B6"/>
    <mergeCell ref="C6:Y6"/>
    <mergeCell ref="C11:F11"/>
    <mergeCell ref="C12:F12"/>
    <mergeCell ref="C13:F13"/>
    <mergeCell ref="N23:O23"/>
    <mergeCell ref="P23:Q23"/>
    <mergeCell ref="R23:S23"/>
    <mergeCell ref="T23:U23"/>
    <mergeCell ref="C15:F15"/>
    <mergeCell ref="C16:F16"/>
    <mergeCell ref="C17:F17"/>
    <mergeCell ref="C18:G18"/>
    <mergeCell ref="H23:H24"/>
    <mergeCell ref="I23:I24"/>
    <mergeCell ref="T37:U37"/>
    <mergeCell ref="V37:W37"/>
    <mergeCell ref="H40:I40"/>
    <mergeCell ref="H41:I41"/>
    <mergeCell ref="V23:W23"/>
    <mergeCell ref="H31:I31"/>
    <mergeCell ref="H32:I32"/>
    <mergeCell ref="H37:H38"/>
    <mergeCell ref="I37:I38"/>
    <mergeCell ref="J37:K37"/>
    <mergeCell ref="L37:M37"/>
    <mergeCell ref="N37:O37"/>
    <mergeCell ref="P37:Q37"/>
    <mergeCell ref="R37:S37"/>
    <mergeCell ref="J23:K23"/>
    <mergeCell ref="L23:M23"/>
  </mergeCells>
  <hyperlinks>
    <hyperlink ref="A1" location="'ODS 6.'!A1" display="REGRESAR" xr:uid="{16D77B92-2932-49CB-876D-ED308046A856}"/>
    <hyperlink ref="C1" location="'Metadato 6.5.2'!A1" display="VER METADATO" xr:uid="{6C9681A5-0DFB-4E26-AE7B-42EB51E6144A}"/>
  </hyperlinks>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8BBC-B60A-4CC7-A4DC-2E8C74E7573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68.4257812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2809" t="s">
        <v>75</v>
      </c>
      <c r="C3" s="2809"/>
      <c r="D3" s="2809"/>
      <c r="F3" s="1046" t="s">
        <v>244</v>
      </c>
    </row>
    <row r="4" spans="1:6" ht="37.5" x14ac:dyDescent="0.4">
      <c r="A4" s="283"/>
      <c r="B4" s="2445" t="s">
        <v>234</v>
      </c>
      <c r="C4" s="2445"/>
      <c r="D4" s="49" t="s">
        <v>2803</v>
      </c>
    </row>
    <row r="5" spans="1:6" ht="37.5" x14ac:dyDescent="0.4">
      <c r="B5" s="2445" t="s">
        <v>79</v>
      </c>
      <c r="C5" s="2445"/>
      <c r="D5" s="49" t="s">
        <v>2785</v>
      </c>
    </row>
    <row r="6" spans="1:6" x14ac:dyDescent="0.4">
      <c r="B6" s="2445" t="s">
        <v>80</v>
      </c>
      <c r="C6" s="2445"/>
      <c r="D6" s="50" t="s">
        <v>2788</v>
      </c>
    </row>
    <row r="7" spans="1:6" ht="37.5" x14ac:dyDescent="0.4">
      <c r="B7" s="2446" t="s">
        <v>81</v>
      </c>
      <c r="C7" s="2446"/>
      <c r="D7" s="93" t="s">
        <v>2789</v>
      </c>
    </row>
    <row r="8" spans="1:6" x14ac:dyDescent="0.4">
      <c r="B8" s="2446" t="s">
        <v>82</v>
      </c>
      <c r="C8" s="2446"/>
      <c r="D8" s="1047" t="s">
        <v>4633</v>
      </c>
    </row>
    <row r="10" spans="1:6" ht="23.25" customHeight="1" x14ac:dyDescent="0.4">
      <c r="B10" s="2809" t="s">
        <v>85</v>
      </c>
      <c r="C10" s="2809"/>
      <c r="D10" s="2809"/>
    </row>
    <row r="11" spans="1:6" x14ac:dyDescent="0.4">
      <c r="B11" s="2487" t="s">
        <v>86</v>
      </c>
      <c r="C11" s="2456"/>
      <c r="D11" s="49"/>
    </row>
    <row r="12" spans="1:6" ht="37.5" x14ac:dyDescent="0.4">
      <c r="B12" s="2446" t="s">
        <v>88</v>
      </c>
      <c r="C12" s="2446"/>
      <c r="D12" s="184" t="s">
        <v>4598</v>
      </c>
    </row>
    <row r="13" spans="1:6" x14ac:dyDescent="0.4">
      <c r="B13" s="2445" t="s">
        <v>90</v>
      </c>
      <c r="C13" s="2445"/>
      <c r="D13" s="54" t="s">
        <v>2788</v>
      </c>
    </row>
    <row r="14" spans="1:6" x14ac:dyDescent="0.4">
      <c r="B14" s="2445" t="s">
        <v>91</v>
      </c>
      <c r="C14" s="2456"/>
      <c r="D14" s="54" t="s">
        <v>92</v>
      </c>
    </row>
    <row r="15" spans="1:6" ht="409.5" x14ac:dyDescent="0.4">
      <c r="B15" s="2445" t="s">
        <v>93</v>
      </c>
      <c r="C15" s="2445"/>
      <c r="D15" s="49" t="s">
        <v>4634</v>
      </c>
    </row>
    <row r="16" spans="1:6" ht="375" x14ac:dyDescent="0.4">
      <c r="B16" s="2445" t="s">
        <v>95</v>
      </c>
      <c r="C16" s="2445"/>
      <c r="D16" s="49" t="s">
        <v>4635</v>
      </c>
    </row>
    <row r="17" spans="2:4" x14ac:dyDescent="0.4">
      <c r="B17" s="2445" t="s">
        <v>97</v>
      </c>
      <c r="C17" s="2445"/>
      <c r="D17" s="55" t="s">
        <v>98</v>
      </c>
    </row>
    <row r="18" spans="2:4" x14ac:dyDescent="0.4">
      <c r="B18" s="2446" t="s">
        <v>99</v>
      </c>
      <c r="C18" s="2446"/>
      <c r="D18" s="49"/>
    </row>
    <row r="19" spans="2:4" ht="131.25" x14ac:dyDescent="0.4">
      <c r="B19" s="2457" t="s">
        <v>100</v>
      </c>
      <c r="C19" s="2458"/>
      <c r="D19" s="55" t="s">
        <v>4636</v>
      </c>
    </row>
    <row r="20" spans="2:4" x14ac:dyDescent="0.4">
      <c r="B20" s="2445" t="s">
        <v>102</v>
      </c>
      <c r="C20" s="2445"/>
      <c r="D20" s="49" t="s">
        <v>140</v>
      </c>
    </row>
    <row r="21" spans="2:4" x14ac:dyDescent="0.4">
      <c r="B21" s="2451" t="s">
        <v>104</v>
      </c>
      <c r="C21" s="95" t="s">
        <v>105</v>
      </c>
      <c r="D21" s="49" t="s">
        <v>4637</v>
      </c>
    </row>
    <row r="22" spans="2:4" x14ac:dyDescent="0.4">
      <c r="B22" s="2452"/>
      <c r="C22" s="96" t="s">
        <v>107</v>
      </c>
      <c r="D22" s="55" t="s">
        <v>4638</v>
      </c>
    </row>
    <row r="23" spans="2:4" x14ac:dyDescent="0.4">
      <c r="B23" s="2445" t="s">
        <v>109</v>
      </c>
      <c r="C23" s="2445"/>
      <c r="D23" s="49" t="s">
        <v>515</v>
      </c>
    </row>
    <row r="24" spans="2:4" x14ac:dyDescent="0.4">
      <c r="B24" s="2445" t="s">
        <v>111</v>
      </c>
      <c r="C24" s="2445"/>
      <c r="D24" s="49" t="s">
        <v>3329</v>
      </c>
    </row>
    <row r="25" spans="2:4" x14ac:dyDescent="0.4">
      <c r="B25" s="2445" t="s">
        <v>113</v>
      </c>
      <c r="C25" s="2445"/>
      <c r="D25" s="55" t="s">
        <v>1701</v>
      </c>
    </row>
    <row r="26" spans="2:4" x14ac:dyDescent="0.4">
      <c r="B26" s="2446" t="s">
        <v>115</v>
      </c>
      <c r="C26" s="2446"/>
      <c r="D26" s="49"/>
    </row>
    <row r="27" spans="2:4" x14ac:dyDescent="0.4">
      <c r="B27" s="2447" t="s">
        <v>117</v>
      </c>
      <c r="C27" s="2448"/>
      <c r="D27" s="49"/>
    </row>
    <row r="28" spans="2:4" ht="112.5" x14ac:dyDescent="0.4">
      <c r="B28" s="97" t="s">
        <v>118</v>
      </c>
      <c r="C28" s="98"/>
      <c r="D28" s="594" t="s">
        <v>4639</v>
      </c>
    </row>
    <row r="29" spans="2:4" x14ac:dyDescent="0.4">
      <c r="B29" s="2449" t="s">
        <v>120</v>
      </c>
      <c r="C29" s="2450"/>
      <c r="D29" s="62"/>
    </row>
    <row r="30" spans="2:4" x14ac:dyDescent="0.4">
      <c r="B30" s="63"/>
      <c r="C30" s="63"/>
      <c r="D30" s="64"/>
    </row>
    <row r="31" spans="2:4" ht="23.25" customHeight="1" x14ac:dyDescent="0.4">
      <c r="B31" s="2809" t="s">
        <v>121</v>
      </c>
      <c r="C31" s="2809"/>
      <c r="D31" s="2809"/>
    </row>
    <row r="32" spans="2:4" x14ac:dyDescent="0.4">
      <c r="B32" s="2447" t="s">
        <v>122</v>
      </c>
      <c r="C32" s="2448"/>
      <c r="D32" s="55" t="s">
        <v>4593</v>
      </c>
    </row>
    <row r="33" spans="2:4" x14ac:dyDescent="0.4">
      <c r="B33" s="2447" t="s">
        <v>124</v>
      </c>
      <c r="C33" s="2448"/>
      <c r="D33" s="55" t="s">
        <v>4640</v>
      </c>
    </row>
    <row r="34" spans="2:4" x14ac:dyDescent="0.4">
      <c r="B34" s="2447" t="s">
        <v>126</v>
      </c>
      <c r="C34" s="2448"/>
      <c r="D34" s="55" t="s">
        <v>4641</v>
      </c>
    </row>
    <row r="35" spans="2:4" x14ac:dyDescent="0.4">
      <c r="B35" s="2447" t="s">
        <v>128</v>
      </c>
      <c r="C35" s="2448"/>
      <c r="D35" s="246" t="s">
        <v>3330</v>
      </c>
    </row>
    <row r="36" spans="2:4" x14ac:dyDescent="0.4">
      <c r="B36" s="2447" t="s">
        <v>130</v>
      </c>
      <c r="C36" s="2448"/>
      <c r="D36" s="247" t="s">
        <v>3331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72CC013-3741-4808-B909-EFCD8FB6CAF9}">
      <formula1>Tipo_operación</formula1>
    </dataValidation>
    <dataValidation type="list" allowBlank="1" showInputMessage="1" showErrorMessage="1" sqref="D14" xr:uid="{F7F4FC42-08E3-40F4-B9A1-5AD355FFC354}">
      <formula1>Tipo_indicador</formula1>
    </dataValidation>
    <dataValidation type="list" allowBlank="1" showInputMessage="1" showErrorMessage="1" sqref="D7" xr:uid="{B7D96BCA-582E-46B4-83E0-DF51FC738615}">
      <formula1>Nombre_indicador_ODS</formula1>
    </dataValidation>
    <dataValidation type="list" allowBlank="1" showInputMessage="1" showErrorMessage="1" sqref="D6" xr:uid="{C3DDA04E-5E3F-48E3-A92F-C6F164BDF348}">
      <formula1>Numero_indicador</formula1>
    </dataValidation>
    <dataValidation type="list" allowBlank="1" showInputMessage="1" showErrorMessage="1" sqref="D5" xr:uid="{EE3EC9DB-706A-42F1-B9C7-EF83390017BE}">
      <formula1>Metas_ODS</formula1>
    </dataValidation>
    <dataValidation type="list" allowBlank="1" showInputMessage="1" showErrorMessage="1" sqref="D4" xr:uid="{9B77E784-AA85-4251-81E8-DEEDBAB4301D}">
      <formula1>ODS</formula1>
    </dataValidation>
    <dataValidation allowBlank="1" showDropDown="1" showInputMessage="1" showErrorMessage="1" sqref="D13" xr:uid="{18193126-B609-4210-852E-4909C3BE1475}"/>
  </dataValidations>
  <hyperlinks>
    <hyperlink ref="B1" location="'6.5.2'!A1" display="REGRESAR" xr:uid="{2167B7B8-BD3B-41A5-9BB4-0B4DE4A639C6}"/>
    <hyperlink ref="D8" r:id="rId1" xr:uid="{AC61EEB6-2CFA-4417-83A0-4A74F8402958}"/>
    <hyperlink ref="D36" r:id="rId2" xr:uid="{69FBDED1-D85D-46FA-97B8-31B547F3E849}"/>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B8ED-BCFD-4B9B-A830-E432ABE9721B}">
  <sheetPr>
    <tabColor theme="5"/>
  </sheetPr>
  <dimension ref="A1:P10"/>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28515625" style="270" customWidth="1"/>
    <col min="3" max="3" width="17.28515625" style="270" customWidth="1"/>
    <col min="4" max="6" width="11.42578125" style="270"/>
    <col min="7" max="7" width="0.7109375" style="270" customWidth="1"/>
    <col min="8" max="8" width="11.42578125" style="270"/>
    <col min="9" max="16" width="11.7109375" style="270" customWidth="1"/>
    <col min="17" max="16384" width="11.42578125" style="270"/>
  </cols>
  <sheetData>
    <row r="1" spans="1:16" s="1032" customFormat="1" ht="19.5" x14ac:dyDescent="0.4">
      <c r="A1" s="15" t="s">
        <v>39</v>
      </c>
      <c r="C1" s="2421" t="s">
        <v>149</v>
      </c>
      <c r="D1" s="2421"/>
    </row>
    <row r="2" spans="1:16" s="1032" customFormat="1" ht="19.5" x14ac:dyDescent="0.4"/>
    <row r="3" spans="1:16" s="1032" customFormat="1" ht="19.5" x14ac:dyDescent="0.4">
      <c r="A3" s="2804" t="s">
        <v>41</v>
      </c>
      <c r="B3" s="2804"/>
      <c r="C3" s="2853" t="s">
        <v>2768</v>
      </c>
      <c r="D3" s="2857"/>
      <c r="E3" s="2857"/>
      <c r="F3" s="2857"/>
      <c r="G3" s="2857"/>
      <c r="H3" s="2857"/>
      <c r="I3" s="2857"/>
      <c r="J3" s="2857"/>
      <c r="K3" s="2857"/>
      <c r="L3" s="2857"/>
      <c r="M3" s="2857"/>
      <c r="N3" s="2857"/>
      <c r="O3" s="2857"/>
      <c r="P3" s="2857"/>
    </row>
    <row r="4" spans="1:16" s="1032" customFormat="1" ht="19.5" x14ac:dyDescent="0.4">
      <c r="A4" s="2804" t="s">
        <v>42</v>
      </c>
      <c r="B4" s="2804"/>
      <c r="C4" s="2853" t="s">
        <v>2790</v>
      </c>
      <c r="D4" s="2857"/>
      <c r="E4" s="2857"/>
      <c r="F4" s="2857"/>
      <c r="G4" s="2857"/>
      <c r="H4" s="2857"/>
      <c r="I4" s="2857"/>
      <c r="J4" s="2857"/>
      <c r="K4" s="2857"/>
      <c r="L4" s="2857"/>
      <c r="M4" s="2857"/>
      <c r="N4" s="2857"/>
      <c r="O4" s="2857"/>
      <c r="P4" s="2857"/>
    </row>
    <row r="5" spans="1:16" s="1032" customFormat="1" ht="19.5" x14ac:dyDescent="0.4">
      <c r="A5" s="2804" t="s">
        <v>43</v>
      </c>
      <c r="B5" s="2804"/>
      <c r="C5" s="2853" t="s">
        <v>2792</v>
      </c>
      <c r="D5" s="2857"/>
      <c r="E5" s="2857"/>
      <c r="F5" s="2857"/>
      <c r="G5" s="2857"/>
      <c r="H5" s="2857"/>
      <c r="I5" s="2857"/>
      <c r="J5" s="2857"/>
      <c r="K5" s="2857"/>
      <c r="L5" s="2857"/>
      <c r="M5" s="2857"/>
      <c r="N5" s="2857"/>
      <c r="O5" s="2857"/>
      <c r="P5" s="2857"/>
    </row>
    <row r="6" spans="1:16" s="1032" customFormat="1" ht="19.5" x14ac:dyDescent="0.4">
      <c r="A6" s="2804" t="s">
        <v>132</v>
      </c>
      <c r="B6" s="2804"/>
      <c r="C6" s="2853"/>
      <c r="D6" s="2857"/>
      <c r="E6" s="2857"/>
      <c r="F6" s="2857"/>
      <c r="G6" s="2857"/>
      <c r="H6" s="2857"/>
      <c r="I6" s="2857"/>
      <c r="J6" s="2857"/>
      <c r="K6" s="2857"/>
      <c r="L6" s="2857"/>
      <c r="M6" s="2857"/>
      <c r="N6" s="2857"/>
      <c r="O6" s="2857"/>
      <c r="P6" s="2857"/>
    </row>
    <row r="7" spans="1:16" s="1032" customFormat="1" ht="19.5" x14ac:dyDescent="0.4"/>
    <row r="8" spans="1:16" s="1032" customFormat="1" ht="19.5" x14ac:dyDescent="0.4"/>
    <row r="9" spans="1:16" s="1032" customFormat="1" ht="19.5" x14ac:dyDescent="0.4">
      <c r="C9" s="2506" t="s">
        <v>243</v>
      </c>
      <c r="D9" s="2506"/>
      <c r="E9" s="2506"/>
      <c r="F9" s="2506"/>
      <c r="G9" s="2506"/>
      <c r="H9" s="2506"/>
      <c r="I9" s="2506"/>
      <c r="J9" s="2506"/>
      <c r="K9" s="2506"/>
      <c r="L9" s="2506"/>
      <c r="M9" s="2506"/>
      <c r="N9" s="2506"/>
      <c r="O9" s="2506"/>
      <c r="P9" s="2506"/>
    </row>
    <row r="10" spans="1:16" s="1032" customFormat="1" ht="19.5"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6.'!A1" display="REGRESAR" xr:uid="{A1FEDD71-ECA1-40C8-AE5C-673E303385BD}"/>
    <hyperlink ref="C1" location="'Metadato 6.6.1'!A1" display="VER METADATO" xr:uid="{78A7BE1F-FC99-4576-B5FD-DAF853F57779}"/>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F45C-81D9-46B0-A5E5-1EC23472CBAC}">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3.28515625" style="115" customWidth="1"/>
    <col min="2" max="2" width="26.42578125" style="115" customWidth="1"/>
    <col min="3" max="3" width="12.5703125" style="115" customWidth="1"/>
    <col min="4" max="4" width="82.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2809" t="s">
        <v>75</v>
      </c>
      <c r="C3" s="2809"/>
      <c r="D3" s="2809"/>
      <c r="F3" s="1046" t="s">
        <v>265</v>
      </c>
    </row>
    <row r="4" spans="1:6" x14ac:dyDescent="0.4">
      <c r="A4" s="283"/>
      <c r="B4" s="2445" t="s">
        <v>234</v>
      </c>
      <c r="C4" s="2445"/>
      <c r="D4" s="49" t="s">
        <v>2803</v>
      </c>
    </row>
    <row r="5" spans="1:6" ht="37.5" x14ac:dyDescent="0.4">
      <c r="B5" s="2445" t="s">
        <v>79</v>
      </c>
      <c r="C5" s="2445"/>
      <c r="D5" s="49" t="s">
        <v>2790</v>
      </c>
    </row>
    <row r="6" spans="1:6" x14ac:dyDescent="0.4">
      <c r="B6" s="2445" t="s">
        <v>80</v>
      </c>
      <c r="C6" s="2445"/>
      <c r="D6" s="50" t="s">
        <v>2791</v>
      </c>
    </row>
    <row r="7" spans="1:6" ht="37.5" x14ac:dyDescent="0.4">
      <c r="B7" s="2446" t="s">
        <v>81</v>
      </c>
      <c r="C7" s="2446"/>
      <c r="D7" s="93" t="s">
        <v>2792</v>
      </c>
    </row>
    <row r="8" spans="1:6" x14ac:dyDescent="0.4">
      <c r="B8" s="2474" t="s">
        <v>82</v>
      </c>
      <c r="C8" s="2474"/>
      <c r="D8" s="1047" t="s">
        <v>4642</v>
      </c>
    </row>
    <row r="9" spans="1:6" x14ac:dyDescent="0.4">
      <c r="B9" s="2474"/>
      <c r="C9" s="2474"/>
      <c r="D9" s="1047" t="s">
        <v>4643</v>
      </c>
    </row>
    <row r="11" spans="1:6" ht="23.25" customHeight="1" x14ac:dyDescent="0.4">
      <c r="B11" s="2809" t="s">
        <v>85</v>
      </c>
      <c r="C11" s="2809"/>
      <c r="D11" s="2809"/>
    </row>
    <row r="12" spans="1:6" x14ac:dyDescent="0.4">
      <c r="B12" s="2487" t="s">
        <v>86</v>
      </c>
      <c r="C12" s="2456"/>
      <c r="D12" s="49"/>
    </row>
    <row r="13" spans="1:6" x14ac:dyDescent="0.4">
      <c r="B13" s="2446" t="s">
        <v>88</v>
      </c>
      <c r="C13" s="2446"/>
      <c r="D13" s="184"/>
    </row>
    <row r="14" spans="1:6" ht="15" customHeight="1" x14ac:dyDescent="0.4">
      <c r="B14" s="2445" t="s">
        <v>90</v>
      </c>
      <c r="C14" s="2445"/>
      <c r="D14" s="54"/>
    </row>
    <row r="15" spans="1:6" ht="15" customHeight="1" x14ac:dyDescent="0.4">
      <c r="B15" s="2445" t="s">
        <v>91</v>
      </c>
      <c r="C15" s="2456"/>
      <c r="D15" s="54"/>
    </row>
    <row r="16" spans="1:6" ht="15" customHeight="1" x14ac:dyDescent="0.4">
      <c r="B16" s="2445" t="s">
        <v>93</v>
      </c>
      <c r="C16" s="2445"/>
      <c r="D16" s="49"/>
    </row>
    <row r="17" spans="2:4" ht="15" customHeight="1" x14ac:dyDescent="0.4">
      <c r="B17" s="2445" t="s">
        <v>95</v>
      </c>
      <c r="C17" s="2445"/>
      <c r="D17" s="49"/>
    </row>
    <row r="18" spans="2:4" ht="15" customHeight="1" x14ac:dyDescent="0.4">
      <c r="B18" s="2445" t="s">
        <v>97</v>
      </c>
      <c r="C18" s="2445"/>
      <c r="D18" s="55"/>
    </row>
    <row r="19" spans="2:4" ht="15" customHeight="1" x14ac:dyDescent="0.4">
      <c r="B19" s="2446" t="s">
        <v>99</v>
      </c>
      <c r="C19" s="2446"/>
      <c r="D19" s="49"/>
    </row>
    <row r="20" spans="2:4" ht="15" customHeight="1" x14ac:dyDescent="0.4">
      <c r="B20" s="2457" t="s">
        <v>100</v>
      </c>
      <c r="C20" s="2458"/>
      <c r="D20" s="55"/>
    </row>
    <row r="21" spans="2:4" x14ac:dyDescent="0.4">
      <c r="B21" s="2445" t="s">
        <v>102</v>
      </c>
      <c r="C21" s="2445"/>
      <c r="D21" s="49"/>
    </row>
    <row r="22" spans="2:4" ht="15" customHeight="1" x14ac:dyDescent="0.4">
      <c r="B22" s="2451" t="s">
        <v>104</v>
      </c>
      <c r="C22" s="95" t="s">
        <v>105</v>
      </c>
      <c r="D22" s="49"/>
    </row>
    <row r="23" spans="2:4" ht="15" customHeight="1" x14ac:dyDescent="0.4">
      <c r="B23" s="2452"/>
      <c r="C23" s="96" t="s">
        <v>107</v>
      </c>
      <c r="D23" s="55"/>
    </row>
    <row r="24" spans="2:4" ht="22.5" customHeight="1" x14ac:dyDescent="0.4">
      <c r="B24" s="2445" t="s">
        <v>109</v>
      </c>
      <c r="C24" s="2445"/>
      <c r="D24" s="49"/>
    </row>
    <row r="25" spans="2:4" ht="15" customHeight="1" x14ac:dyDescent="0.4">
      <c r="B25" s="2445" t="s">
        <v>111</v>
      </c>
      <c r="C25" s="2445"/>
      <c r="D25" s="49"/>
    </row>
    <row r="26" spans="2:4" x14ac:dyDescent="0.4">
      <c r="B26" s="2445" t="s">
        <v>113</v>
      </c>
      <c r="C26" s="2445"/>
      <c r="D26" s="55"/>
    </row>
    <row r="27" spans="2:4" x14ac:dyDescent="0.4">
      <c r="B27" s="2446" t="s">
        <v>115</v>
      </c>
      <c r="C27" s="2446"/>
      <c r="D27" s="49"/>
    </row>
    <row r="28" spans="2:4" x14ac:dyDescent="0.4">
      <c r="B28" s="2447" t="s">
        <v>117</v>
      </c>
      <c r="C28" s="2448"/>
      <c r="D28" s="49"/>
    </row>
    <row r="29" spans="2:4" ht="37.5" x14ac:dyDescent="0.4">
      <c r="B29" s="97" t="s">
        <v>118</v>
      </c>
      <c r="C29" s="98"/>
      <c r="D29" s="594" t="s">
        <v>4644</v>
      </c>
    </row>
    <row r="30" spans="2:4" x14ac:dyDescent="0.4">
      <c r="B30" s="2449" t="s">
        <v>120</v>
      </c>
      <c r="C30" s="2450"/>
      <c r="D30" s="62"/>
    </row>
    <row r="31" spans="2:4" x14ac:dyDescent="0.4">
      <c r="B31" s="63"/>
      <c r="C31" s="63"/>
      <c r="D31" s="64"/>
    </row>
    <row r="32" spans="2:4" ht="23.25" customHeight="1" x14ac:dyDescent="0.4">
      <c r="B32" s="2809" t="s">
        <v>121</v>
      </c>
      <c r="C32" s="2809"/>
      <c r="D32" s="2809"/>
    </row>
    <row r="33" spans="2:4" ht="37.5" x14ac:dyDescent="0.4">
      <c r="B33" s="2447" t="s">
        <v>122</v>
      </c>
      <c r="C33" s="2448"/>
      <c r="D33" s="55" t="s">
        <v>4645</v>
      </c>
    </row>
    <row r="34" spans="2:4" x14ac:dyDescent="0.4">
      <c r="B34" s="2447" t="s">
        <v>124</v>
      </c>
      <c r="C34" s="2448"/>
      <c r="D34" s="55" t="s">
        <v>4646</v>
      </c>
    </row>
    <row r="35" spans="2:4" x14ac:dyDescent="0.4">
      <c r="B35" s="2447" t="s">
        <v>126</v>
      </c>
      <c r="C35" s="2448"/>
      <c r="D35" s="55" t="s">
        <v>4641</v>
      </c>
    </row>
    <row r="36" spans="2:4" ht="37.5" x14ac:dyDescent="0.4">
      <c r="B36" s="2447" t="s">
        <v>128</v>
      </c>
      <c r="C36" s="2448"/>
      <c r="D36" s="246" t="s">
        <v>4647</v>
      </c>
    </row>
    <row r="37" spans="2:4" ht="37.5" x14ac:dyDescent="0.4">
      <c r="B37" s="2447" t="s">
        <v>130</v>
      </c>
      <c r="C37" s="2448"/>
      <c r="D37" s="55" t="s">
        <v>4648</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5CB207E2-290E-43AC-877E-CDBC809803DE}">
      <formula1>Tipo_operación</formula1>
    </dataValidation>
    <dataValidation type="list" allowBlank="1" showInputMessage="1" showErrorMessage="1" sqref="D15" xr:uid="{731C7251-F74C-4EE6-ABEA-84CDA717BF8C}">
      <formula1>Tipo_indicador</formula1>
    </dataValidation>
    <dataValidation type="list" allowBlank="1" showInputMessage="1" showErrorMessage="1" sqref="D7" xr:uid="{760A8EF6-1D01-43B8-9099-5BCD772E4D17}">
      <formula1>Nombre_indicador_ODS</formula1>
    </dataValidation>
    <dataValidation type="list" allowBlank="1" showInputMessage="1" showErrorMessage="1" sqref="D6" xr:uid="{9D423B0A-4246-4F9D-A443-87CBA6B95E15}">
      <formula1>Numero_indicador</formula1>
    </dataValidation>
    <dataValidation type="list" allowBlank="1" showInputMessage="1" showErrorMessage="1" sqref="D5" xr:uid="{FA3FB62B-6134-493C-8269-5E860A10231A}">
      <formula1>Metas_ODS</formula1>
    </dataValidation>
    <dataValidation type="list" allowBlank="1" showInputMessage="1" showErrorMessage="1" sqref="D4" xr:uid="{84C94A1C-C2BA-4818-94A2-21836953A704}">
      <formula1>ODS</formula1>
    </dataValidation>
    <dataValidation allowBlank="1" showDropDown="1" showInputMessage="1" showErrorMessage="1" sqref="D14" xr:uid="{B1623F9D-CA53-490C-97F1-3D6A1E70406E}"/>
  </dataValidations>
  <hyperlinks>
    <hyperlink ref="B1" location="'6.6.1'!A1" display="REGRESAR" xr:uid="{B55A9C40-1110-48A1-B7A8-0D2DAE05F2E8}"/>
    <hyperlink ref="D8" r:id="rId1" xr:uid="{0064C6B4-CF24-4DFE-AE29-E8F8FA922C81}"/>
    <hyperlink ref="D9" r:id="rId2" xr:uid="{EA09FEF8-0A01-445C-ADA6-4ACDF083E6D6}"/>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7E6AA-DC6F-404F-BBBD-AC4F3EA8D2D4}">
  <sheetPr>
    <tabColor rgb="FF7030A0"/>
  </sheetPr>
  <dimension ref="A1:P27"/>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7109375" style="1032" customWidth="1"/>
    <col min="3" max="3" width="11.5703125" style="1061" customWidth="1"/>
    <col min="4" max="8" width="11.5703125" style="1032" customWidth="1"/>
    <col min="9" max="16384" width="11.42578125" style="1032"/>
  </cols>
  <sheetData>
    <row r="1" spans="1:16" x14ac:dyDescent="0.4">
      <c r="A1" s="15" t="s">
        <v>39</v>
      </c>
      <c r="B1" s="1080"/>
      <c r="C1" s="2421" t="s">
        <v>149</v>
      </c>
      <c r="D1" s="2421"/>
    </row>
    <row r="3" spans="1:16" x14ac:dyDescent="0.4">
      <c r="A3" s="2804" t="s">
        <v>41</v>
      </c>
      <c r="B3" s="2804"/>
      <c r="C3" s="2853" t="s">
        <v>2768</v>
      </c>
      <c r="D3" s="2857"/>
      <c r="E3" s="2857"/>
      <c r="F3" s="2857"/>
      <c r="G3" s="2857"/>
      <c r="H3" s="2857"/>
      <c r="I3" s="2857"/>
      <c r="J3" s="2857"/>
      <c r="K3" s="2857"/>
      <c r="L3" s="2857"/>
      <c r="M3" s="2857"/>
      <c r="N3" s="2857"/>
      <c r="O3" s="2857"/>
      <c r="P3" s="2857"/>
    </row>
    <row r="4" spans="1:16" x14ac:dyDescent="0.4">
      <c r="A4" s="2804" t="s">
        <v>42</v>
      </c>
      <c r="B4" s="2804"/>
      <c r="C4" s="2853" t="s">
        <v>2793</v>
      </c>
      <c r="D4" s="2857"/>
      <c r="E4" s="2857"/>
      <c r="F4" s="2857"/>
      <c r="G4" s="2857"/>
      <c r="H4" s="2857"/>
      <c r="I4" s="2857"/>
      <c r="J4" s="2857"/>
      <c r="K4" s="2857"/>
      <c r="L4" s="2857"/>
      <c r="M4" s="2857"/>
      <c r="N4" s="2857"/>
      <c r="O4" s="2857"/>
      <c r="P4" s="2857"/>
    </row>
    <row r="5" spans="1:16" x14ac:dyDescent="0.4">
      <c r="A5" s="2804" t="s">
        <v>43</v>
      </c>
      <c r="B5" s="2804"/>
      <c r="C5" s="2853" t="s">
        <v>2795</v>
      </c>
      <c r="D5" s="2857"/>
      <c r="E5" s="2857"/>
      <c r="F5" s="2857"/>
      <c r="G5" s="2857"/>
      <c r="H5" s="2857"/>
      <c r="I5" s="2857"/>
      <c r="J5" s="2857"/>
      <c r="K5" s="2857"/>
      <c r="L5" s="2857"/>
      <c r="M5" s="2857"/>
      <c r="N5" s="2857"/>
      <c r="O5" s="2857"/>
      <c r="P5" s="2857"/>
    </row>
    <row r="6" spans="1:16" x14ac:dyDescent="0.4">
      <c r="A6" s="2804" t="s">
        <v>132</v>
      </c>
      <c r="B6" s="2804"/>
      <c r="C6" s="2853"/>
      <c r="D6" s="2857"/>
      <c r="E6" s="2857"/>
      <c r="F6" s="2857"/>
      <c r="G6" s="2857"/>
      <c r="H6" s="2857"/>
      <c r="I6" s="2857"/>
      <c r="J6" s="2857"/>
      <c r="K6" s="2857"/>
      <c r="L6" s="2857"/>
      <c r="M6" s="2857"/>
      <c r="N6" s="2857"/>
      <c r="O6" s="2857"/>
      <c r="P6" s="2857"/>
    </row>
    <row r="7" spans="1:16" x14ac:dyDescent="0.4">
      <c r="A7" s="1084"/>
    </row>
    <row r="8" spans="1:16" x14ac:dyDescent="0.4">
      <c r="A8" s="1084"/>
    </row>
    <row r="9" spans="1:16" ht="11.25" customHeight="1" x14ac:dyDescent="0.4">
      <c r="A9" s="1084"/>
      <c r="C9" s="2506" t="s">
        <v>650</v>
      </c>
      <c r="D9" s="2506"/>
      <c r="E9" s="2506"/>
      <c r="F9" s="2506"/>
      <c r="G9" s="2506"/>
      <c r="H9" s="2506"/>
      <c r="I9" s="2506"/>
      <c r="J9" s="2506"/>
      <c r="K9" s="2506"/>
      <c r="L9" s="2506"/>
      <c r="M9" s="2506"/>
      <c r="N9" s="2506"/>
      <c r="O9" s="2506"/>
      <c r="P9" s="2506"/>
    </row>
    <row r="10" spans="1:16" ht="11.25" customHeight="1" x14ac:dyDescent="0.4">
      <c r="A10" s="1084"/>
      <c r="C10" s="2506"/>
      <c r="D10" s="2506"/>
      <c r="E10" s="2506"/>
      <c r="F10" s="2506"/>
      <c r="G10" s="2506"/>
      <c r="H10" s="2506"/>
      <c r="I10" s="2506"/>
      <c r="J10" s="2506"/>
      <c r="K10" s="2506"/>
      <c r="L10" s="2506"/>
      <c r="M10" s="2506"/>
      <c r="N10" s="2506"/>
      <c r="O10" s="2506"/>
      <c r="P10" s="2506"/>
    </row>
    <row r="12" spans="1:16" ht="11.25" customHeight="1" x14ac:dyDescent="0.4"/>
    <row r="13" spans="1:16" ht="11.25" customHeight="1" x14ac:dyDescent="0.4">
      <c r="C13" s="3070" t="s">
        <v>4649</v>
      </c>
      <c r="D13" s="3070"/>
      <c r="E13" s="3070"/>
      <c r="F13" s="3070"/>
      <c r="G13" s="3070"/>
      <c r="H13" s="3070"/>
      <c r="I13" s="3070"/>
      <c r="J13" s="3070"/>
      <c r="K13" s="3070"/>
      <c r="L13" s="3070"/>
      <c r="M13" s="3070"/>
      <c r="N13" s="3070"/>
      <c r="O13" s="654"/>
    </row>
    <row r="14" spans="1:16" ht="11.25" customHeight="1" x14ac:dyDescent="0.4">
      <c r="C14" s="3070"/>
      <c r="D14" s="3070"/>
      <c r="E14" s="3070"/>
      <c r="F14" s="3070"/>
      <c r="G14" s="3070"/>
      <c r="H14" s="3070"/>
      <c r="I14" s="3070"/>
      <c r="J14" s="3070"/>
      <c r="K14" s="3070"/>
      <c r="L14" s="3070"/>
      <c r="M14" s="3070"/>
      <c r="N14" s="3070"/>
      <c r="O14" s="654"/>
    </row>
    <row r="15" spans="1:16" ht="11.25" customHeight="1" x14ac:dyDescent="0.4">
      <c r="C15" s="3070"/>
      <c r="D15" s="3070"/>
      <c r="E15" s="3070"/>
      <c r="F15" s="3070"/>
      <c r="G15" s="3070"/>
      <c r="H15" s="3070"/>
      <c r="I15" s="3070"/>
      <c r="J15" s="3070"/>
      <c r="K15" s="3070"/>
      <c r="L15" s="3070"/>
      <c r="M15" s="3070"/>
      <c r="N15" s="3070"/>
      <c r="O15" s="654"/>
    </row>
    <row r="16" spans="1:16" x14ac:dyDescent="0.4">
      <c r="C16" s="3070"/>
      <c r="D16" s="3070"/>
      <c r="E16" s="3070"/>
      <c r="F16" s="3070"/>
      <c r="G16" s="3070"/>
      <c r="H16" s="3070"/>
      <c r="I16" s="3070"/>
      <c r="J16" s="3070"/>
      <c r="K16" s="3070"/>
      <c r="L16" s="3070"/>
      <c r="M16" s="3070"/>
      <c r="N16" s="3070"/>
      <c r="O16" s="654"/>
    </row>
    <row r="17" spans="1:15" x14ac:dyDescent="0.4">
      <c r="C17" s="3070"/>
      <c r="D17" s="3070"/>
      <c r="E17" s="3070"/>
      <c r="F17" s="3070"/>
      <c r="G17" s="3070"/>
      <c r="H17" s="3070"/>
      <c r="I17" s="3070"/>
      <c r="J17" s="3070"/>
      <c r="K17" s="3070"/>
      <c r="L17" s="3070"/>
      <c r="M17" s="3070"/>
      <c r="N17" s="3070"/>
      <c r="O17" s="654"/>
    </row>
    <row r="18" spans="1:15" x14ac:dyDescent="0.4">
      <c r="C18" s="3070"/>
      <c r="D18" s="3070"/>
      <c r="E18" s="3070"/>
      <c r="F18" s="3070"/>
      <c r="G18" s="3070"/>
      <c r="H18" s="3070"/>
      <c r="I18" s="3070"/>
      <c r="J18" s="3070"/>
      <c r="K18" s="3070"/>
      <c r="L18" s="3070"/>
      <c r="M18" s="3070"/>
      <c r="N18" s="3070"/>
      <c r="O18" s="654"/>
    </row>
    <row r="19" spans="1:15" x14ac:dyDescent="0.4">
      <c r="C19" s="3070"/>
      <c r="D19" s="3070"/>
      <c r="E19" s="3070"/>
      <c r="F19" s="3070"/>
      <c r="G19" s="3070"/>
      <c r="H19" s="3070"/>
      <c r="I19" s="3070"/>
      <c r="J19" s="3070"/>
      <c r="K19" s="3070"/>
      <c r="L19" s="3070"/>
      <c r="M19" s="3070"/>
      <c r="N19" s="3070"/>
      <c r="O19" s="654"/>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21"/>
      <c r="B26" s="220"/>
      <c r="C26" s="220"/>
      <c r="D26" s="220"/>
      <c r="E26" s="220"/>
      <c r="F26" s="220"/>
      <c r="G26" s="220"/>
      <c r="H26" s="220"/>
      <c r="I26" s="220"/>
      <c r="J26" s="220"/>
      <c r="K26" s="220"/>
      <c r="L26" s="220"/>
      <c r="M26" s="220"/>
      <c r="N26" s="220"/>
      <c r="O26" s="220"/>
    </row>
    <row r="27" spans="1:15" x14ac:dyDescent="0.4">
      <c r="A27" s="2494" t="s">
        <v>652</v>
      </c>
      <c r="B27" s="2494"/>
      <c r="C27" s="2494"/>
      <c r="D27" s="2494"/>
      <c r="E27" s="2494"/>
      <c r="F27" s="2494"/>
      <c r="G27" s="2494"/>
      <c r="H27" s="2494"/>
      <c r="I27" s="2494"/>
      <c r="J27" s="2494"/>
      <c r="K27" s="2494"/>
      <c r="L27" s="2494"/>
      <c r="M27" s="2494"/>
      <c r="N27" s="2494"/>
      <c r="O27" s="2494"/>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6.'!A1" display="REGRESAR" xr:uid="{9182B99C-B172-4264-B1D2-164BA4558E9A}"/>
    <hyperlink ref="C1" location="'Metadato 6.a.1'!A1" display="VER METADATO" xr:uid="{372517C3-BA90-4A2A-89BC-FA139BDC8604}"/>
  </hyperlink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26DAC-2276-48BB-BB10-DC509F3CC85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2809" t="s">
        <v>75</v>
      </c>
      <c r="C3" s="2809"/>
      <c r="D3" s="2809"/>
      <c r="F3" s="1046" t="s">
        <v>317</v>
      </c>
    </row>
    <row r="4" spans="1:6" x14ac:dyDescent="0.25">
      <c r="A4" s="1079"/>
      <c r="B4" s="2445" t="s">
        <v>234</v>
      </c>
      <c r="C4" s="2445"/>
      <c r="D4" s="49" t="s">
        <v>2803</v>
      </c>
    </row>
    <row r="5" spans="1:6" ht="75" x14ac:dyDescent="0.25">
      <c r="B5" s="2445" t="s">
        <v>79</v>
      </c>
      <c r="C5" s="2445"/>
      <c r="D5" s="49" t="s">
        <v>2793</v>
      </c>
    </row>
    <row r="6" spans="1:6" x14ac:dyDescent="0.25">
      <c r="B6" s="2445" t="s">
        <v>80</v>
      </c>
      <c r="C6" s="2445"/>
      <c r="D6" s="50" t="s">
        <v>2794</v>
      </c>
    </row>
    <row r="7" spans="1:6" ht="37.5" x14ac:dyDescent="0.25">
      <c r="B7" s="2446" t="s">
        <v>81</v>
      </c>
      <c r="C7" s="2446"/>
      <c r="D7" s="93" t="s">
        <v>2795</v>
      </c>
    </row>
    <row r="8" spans="1:6" x14ac:dyDescent="0.25">
      <c r="B8" s="2446" t="s">
        <v>82</v>
      </c>
      <c r="C8" s="2446"/>
      <c r="D8" s="1047" t="s">
        <v>4650</v>
      </c>
    </row>
    <row r="9" spans="1:6" x14ac:dyDescent="0.4">
      <c r="B9" s="115"/>
      <c r="C9" s="115"/>
      <c r="D9" s="115"/>
    </row>
    <row r="10" spans="1:6" ht="23.25" customHeight="1" x14ac:dyDescent="0.25">
      <c r="B10" s="2809" t="s">
        <v>85</v>
      </c>
      <c r="C10" s="2809"/>
      <c r="D10" s="2809"/>
    </row>
    <row r="11" spans="1:6" x14ac:dyDescent="0.25">
      <c r="B11" s="2487" t="s">
        <v>86</v>
      </c>
      <c r="C11" s="2456"/>
      <c r="D11" s="49"/>
    </row>
    <row r="12" spans="1:6" ht="15" customHeight="1" x14ac:dyDescent="0.25">
      <c r="B12" s="2446" t="s">
        <v>88</v>
      </c>
      <c r="C12" s="2446"/>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ht="15" customHeight="1"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5" t="s">
        <v>109</v>
      </c>
      <c r="C23" s="2445"/>
      <c r="D23" s="49"/>
    </row>
    <row r="24" spans="2:4" x14ac:dyDescent="0.25">
      <c r="B24" s="2445" t="s">
        <v>111</v>
      </c>
      <c r="C24" s="2445"/>
      <c r="D24" s="50" t="s">
        <v>321</v>
      </c>
    </row>
    <row r="25" spans="2:4" x14ac:dyDescent="0.25">
      <c r="B25" s="2445" t="s">
        <v>113</v>
      </c>
      <c r="C25" s="2445"/>
      <c r="D25" s="55"/>
    </row>
    <row r="26" spans="2:4" ht="15" customHeight="1" x14ac:dyDescent="0.25">
      <c r="B26" s="2446" t="s">
        <v>115</v>
      </c>
      <c r="C26" s="2446"/>
      <c r="D26" s="49"/>
    </row>
    <row r="27" spans="2:4" x14ac:dyDescent="0.25">
      <c r="B27" s="2447" t="s">
        <v>117</v>
      </c>
      <c r="C27" s="2448"/>
      <c r="D27" s="49"/>
    </row>
    <row r="28" spans="2:4" ht="337.5" x14ac:dyDescent="0.25">
      <c r="B28" s="97" t="s">
        <v>118</v>
      </c>
      <c r="C28" s="98"/>
      <c r="D28" s="55" t="s">
        <v>4651</v>
      </c>
    </row>
    <row r="29" spans="2:4" x14ac:dyDescent="0.25">
      <c r="B29" s="2449" t="s">
        <v>120</v>
      </c>
      <c r="C29" s="2450"/>
      <c r="D29" s="62"/>
    </row>
    <row r="30" spans="2:4" x14ac:dyDescent="0.25">
      <c r="B30" s="63"/>
      <c r="C30" s="63"/>
      <c r="D30" s="64"/>
    </row>
    <row r="31" spans="2:4" ht="23.25" customHeight="1" x14ac:dyDescent="0.25">
      <c r="B31" s="2809" t="s">
        <v>121</v>
      </c>
      <c r="C31" s="2809"/>
      <c r="D31" s="2809"/>
    </row>
    <row r="32" spans="2:4" x14ac:dyDescent="0.25">
      <c r="B32" s="2447" t="s">
        <v>122</v>
      </c>
      <c r="C32" s="2448"/>
      <c r="D32" s="55"/>
    </row>
    <row r="33" spans="2:4" x14ac:dyDescent="0.25">
      <c r="B33" s="2447" t="s">
        <v>124</v>
      </c>
      <c r="C33" s="2448"/>
      <c r="D33" s="55"/>
    </row>
    <row r="34" spans="2:4" x14ac:dyDescent="0.25">
      <c r="B34" s="2447" t="s">
        <v>126</v>
      </c>
      <c r="C34" s="2448"/>
      <c r="D34" s="55"/>
    </row>
    <row r="35" spans="2:4" x14ac:dyDescent="0.25">
      <c r="B35" s="2447" t="s">
        <v>128</v>
      </c>
      <c r="C35" s="2448"/>
      <c r="D35" s="246"/>
    </row>
    <row r="36" spans="2:4" x14ac:dyDescent="0.25">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E67213D-0B78-45B1-B5E4-F5C81695C69F}">
      <formula1>Tipo_operación</formula1>
    </dataValidation>
    <dataValidation type="list" allowBlank="1" showInputMessage="1" showErrorMessage="1" sqref="D14" xr:uid="{8C2F4184-28BE-400D-9D35-8596E4D41497}">
      <formula1>Tipo_indicador</formula1>
    </dataValidation>
    <dataValidation type="list" allowBlank="1" showInputMessage="1" showErrorMessage="1" sqref="D7" xr:uid="{842D3198-0557-44EB-AA54-32264D70C7AC}">
      <formula1>Nombre_indicador_ODS</formula1>
    </dataValidation>
    <dataValidation type="list" allowBlank="1" showInputMessage="1" showErrorMessage="1" sqref="D6" xr:uid="{9BB10AB7-1F96-432F-BEA5-B9EE025A10F5}">
      <formula1>Numero_indicador</formula1>
    </dataValidation>
    <dataValidation type="list" allowBlank="1" showInputMessage="1" showErrorMessage="1" sqref="D5" xr:uid="{37AF8CDA-90AC-4BDB-ACA7-8E1F122FAF2C}">
      <formula1>Metas_ODS</formula1>
    </dataValidation>
    <dataValidation type="list" allowBlank="1" showInputMessage="1" showErrorMessage="1" sqref="D4" xr:uid="{A30C6EBA-5017-4094-B20E-41B670394C68}">
      <formula1>ODS</formula1>
    </dataValidation>
    <dataValidation allowBlank="1" showDropDown="1" showInputMessage="1" showErrorMessage="1" sqref="D13" xr:uid="{2407C5BF-2BC5-4EC1-ABA9-116E6AA83A69}"/>
  </dataValidations>
  <hyperlinks>
    <hyperlink ref="B1" location="'6.a.1'!A1" display="REGRESAR" xr:uid="{8595F845-DD51-46D2-A41F-146582850FBF}"/>
    <hyperlink ref="D8" r:id="rId1" xr:uid="{AB026880-FBEE-42D6-A8B4-AACD4AB712D6}"/>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1F867-787E-4696-9B1A-34BDAE483434}">
  <dimension ref="A1:AK2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2" width="15.7109375" style="115" customWidth="1"/>
    <col min="3" max="3" width="14.28515625" style="1048" customWidth="1"/>
    <col min="4" max="4" width="11.7109375" style="115" customWidth="1"/>
    <col min="5" max="9" width="11" style="115" customWidth="1"/>
    <col min="10" max="18" width="11.42578125" style="115"/>
    <col min="19" max="21" width="14.28515625" style="115" customWidth="1"/>
    <col min="22" max="22" width="13.28515625" style="115" customWidth="1"/>
    <col min="23" max="25" width="11.42578125" style="115"/>
    <col min="26" max="27" width="9" style="115" customWidth="1"/>
    <col min="28" max="29" width="11.42578125" style="115"/>
    <col min="30" max="31" width="7.5703125" style="115" customWidth="1"/>
    <col min="32" max="33" width="11.42578125" style="115"/>
    <col min="34" max="35" width="9.5703125" style="115" customWidth="1"/>
    <col min="36" max="16384" width="11.42578125" style="115"/>
  </cols>
  <sheetData>
    <row r="1" spans="1:37" x14ac:dyDescent="0.4">
      <c r="A1" s="90" t="s">
        <v>39</v>
      </c>
      <c r="B1" s="1311"/>
      <c r="C1" s="2541" t="s">
        <v>149</v>
      </c>
      <c r="D1" s="2541"/>
    </row>
    <row r="3" spans="1:37" x14ac:dyDescent="0.4">
      <c r="A3" s="2810" t="s">
        <v>41</v>
      </c>
      <c r="B3" s="2810"/>
      <c r="C3" s="3071" t="s">
        <v>2768</v>
      </c>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5"/>
    </row>
    <row r="4" spans="1:37" x14ac:dyDescent="0.4">
      <c r="A4" s="2810" t="s">
        <v>42</v>
      </c>
      <c r="B4" s="2810"/>
      <c r="C4" s="3071" t="s">
        <v>2796</v>
      </c>
      <c r="D4" s="3072"/>
      <c r="E4" s="3072"/>
      <c r="F4" s="3072"/>
      <c r="G4" s="3072"/>
      <c r="H4" s="3072"/>
      <c r="I4" s="3072"/>
      <c r="J4" s="3072"/>
      <c r="K4" s="3072"/>
      <c r="L4" s="3072"/>
      <c r="M4" s="3072"/>
      <c r="N4" s="3072"/>
      <c r="O4" s="3072"/>
      <c r="P4" s="3072"/>
      <c r="Q4" s="3072"/>
      <c r="R4" s="3072"/>
      <c r="S4" s="3072"/>
      <c r="T4" s="3072"/>
      <c r="U4" s="3072"/>
      <c r="V4" s="3072"/>
      <c r="W4" s="3072"/>
      <c r="X4" s="3072"/>
      <c r="Y4" s="3073"/>
      <c r="Z4" s="3073"/>
      <c r="AA4" s="3073"/>
      <c r="AB4" s="3074"/>
    </row>
    <row r="5" spans="1:37" x14ac:dyDescent="0.4">
      <c r="A5" s="2810" t="s">
        <v>43</v>
      </c>
      <c r="B5" s="2810"/>
      <c r="C5" s="3071" t="s">
        <v>2798</v>
      </c>
      <c r="D5" s="3072"/>
      <c r="E5" s="3072"/>
      <c r="F5" s="3072"/>
      <c r="G5" s="3072"/>
      <c r="H5" s="3072"/>
      <c r="I5" s="3072"/>
      <c r="J5" s="3072"/>
      <c r="K5" s="3072"/>
      <c r="L5" s="3072"/>
      <c r="M5" s="3072"/>
      <c r="N5" s="3072"/>
      <c r="O5" s="3072"/>
      <c r="P5" s="3072"/>
      <c r="Q5" s="3072"/>
      <c r="R5" s="3072"/>
      <c r="S5" s="3072"/>
      <c r="T5" s="3072"/>
      <c r="U5" s="3072"/>
      <c r="V5" s="3072"/>
      <c r="W5" s="3072"/>
      <c r="X5" s="3072"/>
      <c r="Y5" s="3073"/>
      <c r="Z5" s="3073"/>
      <c r="AA5" s="3073"/>
      <c r="AB5" s="3074"/>
    </row>
    <row r="6" spans="1:37" x14ac:dyDescent="0.4">
      <c r="A6" s="2810" t="s">
        <v>132</v>
      </c>
      <c r="B6" s="2810"/>
      <c r="C6" s="3071" t="s">
        <v>4652</v>
      </c>
      <c r="D6" s="3072"/>
      <c r="E6" s="3072"/>
      <c r="F6" s="3072"/>
      <c r="G6" s="3072"/>
      <c r="H6" s="3072"/>
      <c r="I6" s="3072"/>
      <c r="J6" s="3072"/>
      <c r="K6" s="3072"/>
      <c r="L6" s="3072"/>
      <c r="M6" s="3072"/>
      <c r="N6" s="3072"/>
      <c r="O6" s="3072"/>
      <c r="P6" s="3072"/>
      <c r="Q6" s="3072"/>
      <c r="R6" s="3072"/>
      <c r="S6" s="3072"/>
      <c r="T6" s="3072"/>
      <c r="U6" s="3072"/>
      <c r="V6" s="3072"/>
      <c r="W6" s="3072"/>
      <c r="X6" s="3072"/>
      <c r="Y6" s="3073"/>
      <c r="Z6" s="3073"/>
      <c r="AA6" s="3073"/>
      <c r="AB6" s="3074"/>
    </row>
    <row r="7" spans="1:37" x14ac:dyDescent="0.4">
      <c r="A7" s="536"/>
    </row>
    <row r="8" spans="1:37" x14ac:dyDescent="0.4">
      <c r="A8" s="536"/>
    </row>
    <row r="10" spans="1:37" ht="30.6" customHeight="1" x14ac:dyDescent="0.4">
      <c r="C10" s="2811" t="s">
        <v>4652</v>
      </c>
      <c r="D10" s="2811"/>
      <c r="E10" s="2811"/>
      <c r="F10" s="2811"/>
      <c r="G10" s="575"/>
      <c r="H10" s="1355"/>
      <c r="I10" s="470"/>
      <c r="K10" s="1356"/>
      <c r="L10" s="1356"/>
      <c r="M10" s="1356"/>
      <c r="O10" s="1356"/>
      <c r="P10" s="1356"/>
      <c r="Q10" s="1356"/>
      <c r="S10" s="1356"/>
      <c r="T10" s="1356"/>
      <c r="U10" s="1356"/>
      <c r="W10" s="470"/>
      <c r="Y10" s="1357"/>
      <c r="Z10" s="1357"/>
      <c r="AA10" s="1357"/>
      <c r="AC10" s="1357"/>
      <c r="AD10" s="1357"/>
      <c r="AE10" s="1357"/>
      <c r="AG10" s="1357"/>
      <c r="AH10" s="1357"/>
      <c r="AI10" s="1357"/>
      <c r="AK10" s="470"/>
    </row>
    <row r="11" spans="1:37" x14ac:dyDescent="0.4">
      <c r="C11" s="1303" t="s">
        <v>4653</v>
      </c>
      <c r="D11" s="1055">
        <v>2019</v>
      </c>
      <c r="E11" s="1055">
        <v>2020</v>
      </c>
      <c r="F11" s="1055">
        <v>2021</v>
      </c>
      <c r="G11" s="1055">
        <v>2022</v>
      </c>
      <c r="H11" s="1055">
        <v>2023</v>
      </c>
      <c r="Y11" s="1357"/>
      <c r="Z11" s="1357"/>
      <c r="AA11" s="1357"/>
    </row>
    <row r="12" spans="1:37" x14ac:dyDescent="0.4">
      <c r="C12" s="115" t="s">
        <v>60</v>
      </c>
      <c r="D12" s="1358">
        <v>11.238095238095239</v>
      </c>
      <c r="E12" s="1358">
        <v>10.902255639097744</v>
      </c>
      <c r="F12" s="1358">
        <v>10.707635009310987</v>
      </c>
      <c r="G12" s="1358">
        <v>10.724106324472961</v>
      </c>
      <c r="H12" s="115">
        <v>11</v>
      </c>
      <c r="Y12" s="1357"/>
      <c r="Z12" s="1357"/>
      <c r="AA12" s="1357"/>
    </row>
    <row r="13" spans="1:37" x14ac:dyDescent="0.4">
      <c r="C13" s="115" t="s">
        <v>4654</v>
      </c>
      <c r="D13" s="1358">
        <v>14.000000000000002</v>
      </c>
      <c r="E13" s="1358">
        <v>13.533834586466165</v>
      </c>
      <c r="F13" s="1358">
        <v>13.407821229050279</v>
      </c>
      <c r="G13" s="1358">
        <v>13.290559120073327</v>
      </c>
      <c r="H13" s="115">
        <v>13</v>
      </c>
      <c r="Y13" s="1357"/>
      <c r="Z13" s="1357"/>
      <c r="AA13" s="1357"/>
    </row>
    <row r="14" spans="1:37" x14ac:dyDescent="0.4">
      <c r="C14" s="115" t="s">
        <v>58</v>
      </c>
      <c r="D14" s="1358">
        <v>19.61904761904762</v>
      </c>
      <c r="E14" s="1358">
        <v>19.830827067669173</v>
      </c>
      <c r="F14" s="1358">
        <v>19.739292364990689</v>
      </c>
      <c r="G14" s="1358">
        <v>20.348304307974335</v>
      </c>
      <c r="H14" s="115">
        <v>19</v>
      </c>
      <c r="Y14" s="1357"/>
      <c r="Z14" s="1357"/>
      <c r="AA14" s="1357"/>
    </row>
    <row r="15" spans="1:37" x14ac:dyDescent="0.4">
      <c r="C15" s="115" t="s">
        <v>61</v>
      </c>
      <c r="D15" s="1358">
        <v>7.6190476190476195</v>
      </c>
      <c r="E15" s="1358">
        <v>7.8007518796992485</v>
      </c>
      <c r="F15" s="1358">
        <v>7.8212290502793298</v>
      </c>
      <c r="G15" s="1358">
        <v>7.516040329972502</v>
      </c>
      <c r="H15" s="115">
        <v>8</v>
      </c>
      <c r="Y15" s="1357"/>
      <c r="Z15" s="1357"/>
      <c r="AA15" s="1357"/>
    </row>
    <row r="16" spans="1:37" x14ac:dyDescent="0.4">
      <c r="C16" s="115" t="s">
        <v>62</v>
      </c>
      <c r="D16" s="1358">
        <v>13.333333333333334</v>
      </c>
      <c r="E16" s="1358">
        <v>14.003759398496241</v>
      </c>
      <c r="F16" s="1358">
        <v>14.059590316573555</v>
      </c>
      <c r="G16" s="1358">
        <v>13.565536205316223</v>
      </c>
      <c r="H16" s="115">
        <v>14</v>
      </c>
    </row>
    <row r="17" spans="3:8" x14ac:dyDescent="0.4">
      <c r="C17" s="115" t="s">
        <v>4655</v>
      </c>
      <c r="D17" s="1358">
        <v>20.761904761904763</v>
      </c>
      <c r="E17" s="1358">
        <v>20.394736842105264</v>
      </c>
      <c r="F17" s="1358">
        <v>20.763500931098697</v>
      </c>
      <c r="G17" s="1358">
        <v>21.173235563703024</v>
      </c>
      <c r="H17" s="115">
        <v>21</v>
      </c>
    </row>
    <row r="18" spans="3:8" x14ac:dyDescent="0.4">
      <c r="C18" s="115" t="s">
        <v>4656</v>
      </c>
      <c r="D18" s="1358">
        <v>13.428571428571429</v>
      </c>
      <c r="E18" s="1358">
        <v>13.533834586466165</v>
      </c>
      <c r="F18" s="1358">
        <v>13.500931098696462</v>
      </c>
      <c r="G18" s="1358">
        <v>13.382218148487626</v>
      </c>
      <c r="H18" s="115">
        <v>14</v>
      </c>
    </row>
    <row r="19" spans="3:8" x14ac:dyDescent="0.4">
      <c r="C19" s="120" t="s">
        <v>4657</v>
      </c>
      <c r="D19" s="1359">
        <v>82.48</v>
      </c>
      <c r="E19" s="1359">
        <v>75.95</v>
      </c>
      <c r="F19" s="1359">
        <v>76.66</v>
      </c>
      <c r="G19" s="1359">
        <v>87.98</v>
      </c>
      <c r="H19" s="120">
        <v>78</v>
      </c>
    </row>
    <row r="20" spans="3:8" x14ac:dyDescent="0.4">
      <c r="C20" s="629" t="s">
        <v>4658</v>
      </c>
      <c r="D20" s="629"/>
      <c r="E20" s="629"/>
      <c r="F20" s="629"/>
      <c r="G20" s="127"/>
    </row>
  </sheetData>
  <mergeCells count="10">
    <mergeCell ref="A6:B6"/>
    <mergeCell ref="C6:AB6"/>
    <mergeCell ref="C10:F10"/>
    <mergeCell ref="C1:D1"/>
    <mergeCell ref="A3:B3"/>
    <mergeCell ref="C3:AB3"/>
    <mergeCell ref="A4:B4"/>
    <mergeCell ref="C4:AB4"/>
    <mergeCell ref="A5:B5"/>
    <mergeCell ref="C5:AB5"/>
  </mergeCells>
  <hyperlinks>
    <hyperlink ref="A1" location="'ODS 6.'!A1" display="REGRESAR" xr:uid="{7F647704-35FA-462D-80B8-FABA91830A3F}"/>
    <hyperlink ref="C1" location="'Metadato 6.b.1'!A1" display="VER METADATO" xr:uid="{CF53EC1C-2FF6-4DC5-BB98-50A73862D368}"/>
  </hyperlinks>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DBCA-B7E7-45EF-8D18-E0861B67DB1E}">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2809" t="s">
        <v>75</v>
      </c>
      <c r="C3" s="2809"/>
      <c r="D3" s="2809"/>
      <c r="F3" s="1046" t="s">
        <v>265</v>
      </c>
    </row>
    <row r="4" spans="1:6" ht="29.25" customHeight="1" x14ac:dyDescent="0.25">
      <c r="A4" s="1079"/>
      <c r="B4" s="2445" t="s">
        <v>234</v>
      </c>
      <c r="C4" s="2445"/>
      <c r="D4" s="49" t="s">
        <v>2803</v>
      </c>
    </row>
    <row r="5" spans="1:6" ht="37.5" x14ac:dyDescent="0.25">
      <c r="B5" s="2445" t="s">
        <v>79</v>
      </c>
      <c r="C5" s="2445"/>
      <c r="D5" s="49" t="s">
        <v>2796</v>
      </c>
    </row>
    <row r="6" spans="1:6" x14ac:dyDescent="0.25">
      <c r="B6" s="2445" t="s">
        <v>80</v>
      </c>
      <c r="C6" s="2445"/>
      <c r="D6" s="50" t="s">
        <v>2797</v>
      </c>
    </row>
    <row r="7" spans="1:6" ht="56.25" x14ac:dyDescent="0.25">
      <c r="B7" s="2446" t="s">
        <v>81</v>
      </c>
      <c r="C7" s="2446"/>
      <c r="D7" s="93" t="s">
        <v>2798</v>
      </c>
    </row>
    <row r="8" spans="1:6" x14ac:dyDescent="0.25">
      <c r="B8" s="2446" t="s">
        <v>82</v>
      </c>
      <c r="C8" s="2446"/>
      <c r="D8" s="1047" t="s">
        <v>4659</v>
      </c>
    </row>
    <row r="9" spans="1:6" x14ac:dyDescent="0.4">
      <c r="B9" s="115"/>
      <c r="C9" s="115"/>
      <c r="D9" s="115"/>
    </row>
    <row r="10" spans="1:6" ht="23.25" customHeight="1" x14ac:dyDescent="0.25">
      <c r="B10" s="2809" t="s">
        <v>85</v>
      </c>
      <c r="C10" s="2809"/>
      <c r="D10" s="2809"/>
    </row>
    <row r="11" spans="1:6" ht="37.5" x14ac:dyDescent="0.25">
      <c r="B11" s="2487" t="s">
        <v>86</v>
      </c>
      <c r="C11" s="2456"/>
      <c r="D11" s="49" t="s">
        <v>4660</v>
      </c>
    </row>
    <row r="12" spans="1:6" ht="36" customHeight="1" x14ac:dyDescent="0.25">
      <c r="B12" s="2446" t="s">
        <v>88</v>
      </c>
      <c r="C12" s="2446"/>
      <c r="D12" s="184" t="s">
        <v>4661</v>
      </c>
    </row>
    <row r="13" spans="1:6" x14ac:dyDescent="0.25">
      <c r="B13" s="2445" t="s">
        <v>90</v>
      </c>
      <c r="C13" s="2445"/>
      <c r="D13" s="54" t="s">
        <v>4662</v>
      </c>
    </row>
    <row r="14" spans="1:6" x14ac:dyDescent="0.25">
      <c r="B14" s="2445" t="s">
        <v>91</v>
      </c>
      <c r="C14" s="2456"/>
      <c r="D14" s="54" t="s">
        <v>4663</v>
      </c>
    </row>
    <row r="15" spans="1:6" ht="56.25" x14ac:dyDescent="0.25">
      <c r="B15" s="2445" t="s">
        <v>93</v>
      </c>
      <c r="C15" s="2445"/>
      <c r="D15" s="49" t="s">
        <v>4664</v>
      </c>
    </row>
    <row r="16" spans="1:6" ht="56.25" x14ac:dyDescent="0.25">
      <c r="B16" s="2445" t="s">
        <v>95</v>
      </c>
      <c r="C16" s="2445"/>
      <c r="D16" s="49" t="s">
        <v>4665</v>
      </c>
    </row>
    <row r="17" spans="2:4" x14ac:dyDescent="0.25">
      <c r="B17" s="2445" t="s">
        <v>97</v>
      </c>
      <c r="C17" s="2445"/>
      <c r="D17" s="55" t="s">
        <v>98</v>
      </c>
    </row>
    <row r="18" spans="2:4" ht="56.25" x14ac:dyDescent="0.25">
      <c r="B18" s="2446" t="s">
        <v>99</v>
      </c>
      <c r="C18" s="2446"/>
      <c r="D18" s="49" t="s">
        <v>4666</v>
      </c>
    </row>
    <row r="19" spans="2:4" ht="15" customHeight="1" x14ac:dyDescent="0.25">
      <c r="B19" s="2457" t="s">
        <v>100</v>
      </c>
      <c r="C19" s="2458"/>
      <c r="D19" s="55" t="s">
        <v>4667</v>
      </c>
    </row>
    <row r="20" spans="2:4" x14ac:dyDescent="0.25">
      <c r="B20" s="2445" t="s">
        <v>102</v>
      </c>
      <c r="C20" s="2445"/>
      <c r="D20" s="49" t="s">
        <v>140</v>
      </c>
    </row>
    <row r="21" spans="2:4" ht="37.5" x14ac:dyDescent="0.25">
      <c r="B21" s="2451" t="s">
        <v>104</v>
      </c>
      <c r="C21" s="95" t="s">
        <v>105</v>
      </c>
      <c r="D21" s="49" t="s">
        <v>4668</v>
      </c>
    </row>
    <row r="22" spans="2:4" x14ac:dyDescent="0.25">
      <c r="B22" s="2452"/>
      <c r="C22" s="96" t="s">
        <v>107</v>
      </c>
      <c r="D22" s="55"/>
    </row>
    <row r="23" spans="2:4" x14ac:dyDescent="0.25">
      <c r="B23" s="2445" t="s">
        <v>109</v>
      </c>
      <c r="C23" s="2445"/>
      <c r="D23" s="49" t="s">
        <v>4669</v>
      </c>
    </row>
    <row r="24" spans="2:4" ht="37.5" x14ac:dyDescent="0.25">
      <c r="B24" s="2445" t="s">
        <v>111</v>
      </c>
      <c r="C24" s="2445"/>
      <c r="D24" s="50" t="s">
        <v>4670</v>
      </c>
    </row>
    <row r="25" spans="2:4" x14ac:dyDescent="0.25">
      <c r="B25" s="2445" t="s">
        <v>113</v>
      </c>
      <c r="C25" s="2445"/>
      <c r="D25" s="55" t="s">
        <v>4663</v>
      </c>
    </row>
    <row r="26" spans="2:4" ht="15" customHeight="1" x14ac:dyDescent="0.25">
      <c r="B26" s="2446" t="s">
        <v>115</v>
      </c>
      <c r="C26" s="2446"/>
      <c r="D26" s="50" t="s">
        <v>4671</v>
      </c>
    </row>
    <row r="27" spans="2:4" ht="112.5" x14ac:dyDescent="0.25">
      <c r="B27" s="2447" t="s">
        <v>117</v>
      </c>
      <c r="C27" s="2448"/>
      <c r="D27" s="49" t="s">
        <v>4672</v>
      </c>
    </row>
    <row r="28" spans="2:4" ht="150" x14ac:dyDescent="0.25">
      <c r="B28" s="97" t="s">
        <v>118</v>
      </c>
      <c r="C28" s="98"/>
      <c r="D28" s="55" t="s">
        <v>4673</v>
      </c>
    </row>
    <row r="29" spans="2:4" x14ac:dyDescent="0.25">
      <c r="B29" s="2449" t="s">
        <v>120</v>
      </c>
      <c r="C29" s="2450"/>
      <c r="D29" s="62"/>
    </row>
    <row r="30" spans="2:4" x14ac:dyDescent="0.25">
      <c r="B30" s="63"/>
      <c r="C30" s="63"/>
      <c r="D30" s="64"/>
    </row>
    <row r="31" spans="2:4" ht="23.25" customHeight="1" x14ac:dyDescent="0.25">
      <c r="B31" s="2809" t="s">
        <v>121</v>
      </c>
      <c r="C31" s="2809"/>
      <c r="D31" s="2809"/>
    </row>
    <row r="32" spans="2:4" x14ac:dyDescent="0.25">
      <c r="B32" s="2447" t="s">
        <v>122</v>
      </c>
      <c r="C32" s="2448"/>
      <c r="D32" s="50" t="s">
        <v>4674</v>
      </c>
    </row>
    <row r="33" spans="2:4" x14ac:dyDescent="0.25">
      <c r="B33" s="2447" t="s">
        <v>124</v>
      </c>
      <c r="C33" s="2448"/>
      <c r="D33" s="50" t="s">
        <v>4675</v>
      </c>
    </row>
    <row r="34" spans="2:4" x14ac:dyDescent="0.25">
      <c r="B34" s="2447" t="s">
        <v>126</v>
      </c>
      <c r="C34" s="2448"/>
      <c r="D34" s="50" t="s">
        <v>4676</v>
      </c>
    </row>
    <row r="35" spans="2:4" x14ac:dyDescent="0.25">
      <c r="B35" s="2447" t="s">
        <v>128</v>
      </c>
      <c r="C35" s="2448"/>
      <c r="D35" s="50" t="s">
        <v>4677</v>
      </c>
    </row>
    <row r="36" spans="2:4" x14ac:dyDescent="0.25">
      <c r="B36" s="2447" t="s">
        <v>130</v>
      </c>
      <c r="C36" s="2448"/>
      <c r="D36" s="1360" t="s">
        <v>4678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51199423-8DCE-4931-A068-06D8789304E1}">
      <formula1>Nombre_indicador_ODS</formula1>
    </dataValidation>
    <dataValidation type="list" allowBlank="1" showInputMessage="1" showErrorMessage="1" sqref="D6" xr:uid="{AE0C046F-66FC-40B4-B6C0-627198EA22BF}">
      <formula1>Numero_indicador</formula1>
    </dataValidation>
    <dataValidation type="list" allowBlank="1" showInputMessage="1" showErrorMessage="1" sqref="D5" xr:uid="{28B9259A-A91E-417C-9A77-9E2BF9238682}">
      <formula1>Metas_ODS</formula1>
    </dataValidation>
    <dataValidation type="list" allowBlank="1" showInputMessage="1" showErrorMessage="1" sqref="D4" xr:uid="{9D2E63AC-C344-47BE-9AE6-D0B83CE622B8}">
      <formula1>ODS</formula1>
    </dataValidation>
    <dataValidation allowBlank="1" showDropDown="1" showInputMessage="1" showErrorMessage="1" sqref="D13" xr:uid="{6BC0C6E2-168E-476C-9489-087CA5B4ADBB}"/>
  </dataValidations>
  <hyperlinks>
    <hyperlink ref="B1" location="'6.b.1'!A1" display="REGRESAR" xr:uid="{26F03EFA-B2D5-487B-AF89-BB8EE098AF8A}"/>
    <hyperlink ref="D8" r:id="rId1" xr:uid="{1425A219-7664-48E1-8909-0FBF01C2E4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F315-A862-456F-B953-B7E3FF834527}">
  <sheetPr>
    <tabColor rgb="FFE5243B"/>
  </sheetPr>
  <dimension ref="A1:E17"/>
  <sheetViews>
    <sheetView showGridLines="0" workbookViewId="0">
      <pane ySplit="4" topLeftCell="A14" activePane="bottomLeft" state="frozen"/>
      <selection activeCell="R16" sqref="R16"/>
      <selection pane="bottomLeft" sqref="A1:B1"/>
    </sheetView>
  </sheetViews>
  <sheetFormatPr baseColWidth="10" defaultColWidth="11.5703125" defaultRowHeight="18.75" x14ac:dyDescent="0.4"/>
  <cols>
    <col min="1" max="2" width="11.42578125" style="5" customWidth="1"/>
    <col min="3" max="3" width="69" style="3" customWidth="1"/>
    <col min="4" max="4" width="14" style="4" customWidth="1"/>
    <col min="5" max="5" width="79.5703125" style="5" customWidth="1"/>
    <col min="6" max="16384" width="11.5703125" style="5"/>
  </cols>
  <sheetData>
    <row r="1" spans="1:5" ht="19.5" x14ac:dyDescent="0.4">
      <c r="A1" s="2410" t="s">
        <v>1</v>
      </c>
      <c r="B1" s="2410"/>
    </row>
    <row r="3" spans="1:5" ht="52.5" customHeight="1" x14ac:dyDescent="0.4">
      <c r="C3" s="2411" t="s">
        <v>2</v>
      </c>
      <c r="D3" s="2411"/>
      <c r="E3" s="2411"/>
    </row>
    <row r="4" spans="1:5" s="6" customFormat="1" ht="55.15" customHeight="1" x14ac:dyDescent="0.25">
      <c r="C4" s="7" t="s">
        <v>3</v>
      </c>
      <c r="D4" s="8" t="s">
        <v>4</v>
      </c>
      <c r="E4" s="8" t="s">
        <v>5</v>
      </c>
    </row>
    <row r="5" spans="1:5" s="9" customFormat="1" ht="78" x14ac:dyDescent="0.25">
      <c r="C5" s="10" t="s">
        <v>6</v>
      </c>
      <c r="D5" s="11" t="s">
        <v>7</v>
      </c>
      <c r="E5" s="12" t="s">
        <v>8</v>
      </c>
    </row>
    <row r="6" spans="1:5" s="9" customFormat="1" ht="45" customHeight="1" x14ac:dyDescent="0.25">
      <c r="C6" s="2408" t="s">
        <v>9</v>
      </c>
      <c r="D6" s="11" t="s">
        <v>10</v>
      </c>
      <c r="E6" s="12" t="s">
        <v>11</v>
      </c>
    </row>
    <row r="7" spans="1:5" s="9" customFormat="1" ht="55.15" customHeight="1" x14ac:dyDescent="0.25">
      <c r="C7" s="2409"/>
      <c r="D7" s="11" t="s">
        <v>12</v>
      </c>
      <c r="E7" s="12" t="s">
        <v>13</v>
      </c>
    </row>
    <row r="8" spans="1:5" s="9" customFormat="1" ht="78" customHeight="1" x14ac:dyDescent="0.25">
      <c r="C8" s="10" t="s">
        <v>14</v>
      </c>
      <c r="D8" s="11" t="s">
        <v>15</v>
      </c>
      <c r="E8" s="12" t="s">
        <v>16</v>
      </c>
    </row>
    <row r="9" spans="1:5" s="9" customFormat="1" ht="48" customHeight="1" x14ac:dyDescent="0.25">
      <c r="C9" s="2408" t="s">
        <v>17</v>
      </c>
      <c r="D9" s="11" t="s">
        <v>18</v>
      </c>
      <c r="E9" s="12" t="s">
        <v>19</v>
      </c>
    </row>
    <row r="10" spans="1:5" s="9" customFormat="1" ht="64.900000000000006" customHeight="1" x14ac:dyDescent="0.25">
      <c r="C10" s="2409"/>
      <c r="D10" s="13" t="s">
        <v>20</v>
      </c>
      <c r="E10" s="14" t="s">
        <v>21</v>
      </c>
    </row>
    <row r="11" spans="1:5" s="9" customFormat="1" ht="47.25" customHeight="1" x14ac:dyDescent="0.25">
      <c r="C11" s="2408" t="s">
        <v>22</v>
      </c>
      <c r="D11" s="11" t="s">
        <v>23</v>
      </c>
      <c r="E11" s="12" t="s">
        <v>24</v>
      </c>
    </row>
    <row r="12" spans="1:5" s="9" customFormat="1" ht="47.25" customHeight="1" x14ac:dyDescent="0.25">
      <c r="C12" s="2412"/>
      <c r="D12" s="11" t="s">
        <v>25</v>
      </c>
      <c r="E12" s="12" t="s">
        <v>26</v>
      </c>
    </row>
    <row r="13" spans="1:5" s="9" customFormat="1" ht="61.15" customHeight="1" x14ac:dyDescent="0.25">
      <c r="C13" s="2412"/>
      <c r="D13" s="13" t="s">
        <v>27</v>
      </c>
      <c r="E13" s="14" t="s">
        <v>28</v>
      </c>
    </row>
    <row r="14" spans="1:5" s="9" customFormat="1" ht="62.45" customHeight="1" x14ac:dyDescent="0.25">
      <c r="C14" s="2409"/>
      <c r="D14" s="11" t="s">
        <v>29</v>
      </c>
      <c r="E14" s="12" t="s">
        <v>30</v>
      </c>
    </row>
    <row r="15" spans="1:5" s="9" customFormat="1" ht="54.75" customHeight="1" x14ac:dyDescent="0.25">
      <c r="C15" s="2408" t="s">
        <v>31</v>
      </c>
      <c r="D15" s="11" t="s">
        <v>32</v>
      </c>
      <c r="E15" s="12" t="s">
        <v>33</v>
      </c>
    </row>
    <row r="16" spans="1:5" s="9" customFormat="1" ht="57" customHeight="1" x14ac:dyDescent="0.25">
      <c r="C16" s="2409"/>
      <c r="D16" s="11" t="s">
        <v>34</v>
      </c>
      <c r="E16" s="12" t="s">
        <v>35</v>
      </c>
    </row>
    <row r="17" spans="3:5" s="9" customFormat="1" ht="78.599999999999994" customHeight="1" x14ac:dyDescent="0.25">
      <c r="C17" s="10" t="s">
        <v>36</v>
      </c>
      <c r="D17" s="13" t="s">
        <v>37</v>
      </c>
      <c r="E17" s="14" t="s">
        <v>38</v>
      </c>
    </row>
  </sheetData>
  <mergeCells count="6">
    <mergeCell ref="C15:C16"/>
    <mergeCell ref="A1:B1"/>
    <mergeCell ref="C3:E3"/>
    <mergeCell ref="C6:C7"/>
    <mergeCell ref="C9:C10"/>
    <mergeCell ref="C11:C14"/>
  </mergeCells>
  <hyperlinks>
    <hyperlink ref="A1" location="Objetivos!A1" display="REGRESAR A INICIO" xr:uid="{8D09F74F-14AD-4207-BBDA-19B941431F2C}"/>
    <hyperlink ref="A1:B1" location="'Lista de Objetivos'!A1" display="REGRESAR A INICIO" xr:uid="{AB5AD8A8-CE9A-4692-8F6D-20CE8022F509}"/>
    <hyperlink ref="D5" location="'1.1.1'!A1" display="1.1.1" xr:uid="{8F0D0E48-85AD-4086-8967-08BB43860B99}"/>
    <hyperlink ref="E5" location="'1.1.1'!A1" display="1.1.1 Proporción de la población que vive por debajo del umbral internacional de pobreza, desglosada por sexo, edad, situación laboral y ubicación geográfica (urbana o rural)" xr:uid="{AE5D5032-E8DA-42FA-A23C-1A0961F58385}"/>
    <hyperlink ref="D6" location="'1.2.1'!A1" display="1.2.1" xr:uid="{C487E544-3338-462A-BCF4-666D6E260779}"/>
    <hyperlink ref="E6" location="'1.2.1'!A1" display="1.2.1 Proporción de la población que vive por debajo del umbral nacional de pobreza, desglosada por sexo y edad" xr:uid="{4BDEA8FF-4902-417D-BD54-64AFCE347563}"/>
    <hyperlink ref="D7" location="'1.2.2'!A1" display="1.2.2" xr:uid="{E7A9A653-73B4-40AF-B9D0-82318BC77D45}"/>
    <hyperlink ref="E7" location="'1.2.2'!A1" display="1.2.2 Proporción de hombres, mujeres y niños de todas las edades que viven en la pobreza, en todas sus dimensiones, con arreglo a las definiciones nacionales" xr:uid="{50B4F3B0-D116-401D-8438-D6CB3DB7574E}"/>
    <hyperlink ref="D8" location="'1.3.1'!A1" display="1.3.1" xr:uid="{5CC06F68-2A7E-40E9-8F1B-F79CEFE89ED8}"/>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216595D1-B8FD-4909-83C2-54F1E4A1615E}"/>
    <hyperlink ref="D9" location="'1.4.1'!A1" display="1.4.1" xr:uid="{1ECB073C-3D17-459A-ABA5-06DAE082D7BF}"/>
    <hyperlink ref="E9" location="'1.4.1'!A1" display="1.4.1 Proporción de la población que vive en hogares con acceso a los servicios básicos" xr:uid="{7BB0AFF7-BF36-400B-86E6-36D39EA942FF}"/>
    <hyperlink ref="D10" location="'1.4.2'!A1" display="1.4.2 " xr:uid="{24A7E047-CCC0-4C59-8349-A810B9E7E11C}"/>
    <hyperlink ref="E10" location="'1.4.2'!A1" display="1.4.2 Proporción del total de la población adulta con derechos seguros de tenencia de la tierra: a) que posee documentación reconocida legalmente al respecto y b) considera seguros sus derechos, desglosada por sexo y tipo de tenencia" xr:uid="{85A368C5-5677-4328-8662-328C44576D26}"/>
    <hyperlink ref="D11" location="'1.5.1'!A1" display="1.5.1" xr:uid="{BF95C45C-D866-4671-842D-2326700B3EB1}"/>
    <hyperlink ref="E11" location="'1.5.1'!A1" display="1.5.1 Número de personas muertas, desaparecidas y afectadas directamente atribuido a desastres por cada 100.000 habitantes" xr:uid="{C6CC34C3-8C47-45D9-BBFC-5B25ED467F41}"/>
    <hyperlink ref="D12" location="'1.5.2'!A1" display="1.5.2" xr:uid="{48A2289E-516F-4DD5-88E5-C50DEDEB78AB}"/>
    <hyperlink ref="E12" location="'1.5.2'!A1" display="1.5.2 Pérdidas económicas directas atribuidas a los desastres en relación con el producto interno bruto (PIB) mundial" xr:uid="{60CD9012-F7E0-4078-97C8-318AD3BDBBC4}"/>
    <hyperlink ref="D13" location="'1.5.3'!A1" display="1.5.3" xr:uid="{D9C73AF8-892E-4FC8-9080-D03913BB5B5E}"/>
    <hyperlink ref="E13" location="'1.5.3'!A1" display="1.5.3 Número de países que adoptan y aplican estrategias nacionales de reducción del riesgo de desastres en consonancia con el Marco de Sendái para la Reducción del Riesgo de Desastres 2015‑2030" xr:uid="{8998CC52-EA0F-4367-8B87-002D848B19AA}"/>
    <hyperlink ref="D14" location="'1.5.4'!A1" display="1.5.4" xr:uid="{73FC78EB-91B5-41AF-8F27-3E0C9112B49B}"/>
    <hyperlink ref="E14" location="'1.5.4'!A1" display="1.5.4 Proporción de gobiernos locales que adoptan y aplican estrategias locales de reducción del riesgo de desastres en consonancia con las estrategias nacionales de reducción del riesgo de desastres" xr:uid="{BE0AEAAE-BE3E-4AF2-852D-1C8F08A0C812}"/>
    <hyperlink ref="D15" location="'1.a.1'!A1" display="1.a.1" xr:uid="{0AAA4195-008E-445F-88AD-1B2FD8D5B1D9}"/>
    <hyperlink ref="E15" location="'1.a.1'!A1" display="1.a.1 Total de las subvenciones de asistencia oficial para el desarrollo de todos los donantes que se centran en la reducción de la pobreza como porcentaje del ingreso nacional bruto del país receptor" xr:uid="{D836D94D-EC73-4553-ABBD-A7034E5EF1E0}"/>
    <hyperlink ref="D16" location="'1.a.2'!A1" display="1.a.2" xr:uid="{0E203437-0B97-4DB3-A8C5-C55082A0E018}"/>
    <hyperlink ref="E16" location="'1.a.2'!A1" display="1.a.2 Proporción del gasto público total que se dedica a servicios esenciales (educación, salud y protección social)" xr:uid="{462527EC-1C05-4792-8E18-6E10A3998F07}"/>
    <hyperlink ref="D17" location="'1.b.1'!A1" display="1.b.1" xr:uid="{27401B2B-04EC-4541-BABF-79D215DDF831}"/>
    <hyperlink ref="E17" location="'1.b.1'!A1" display="1.b.1 Gasto público social en favor de los pobres" xr:uid="{3079BE2F-BD3B-4F27-B092-4D0EFC279B0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34745-C635-4640-B7EE-B84C0CB1CADF}">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431" t="s">
        <v>75</v>
      </c>
      <c r="C3" s="2431"/>
      <c r="D3" s="2431"/>
      <c r="F3" s="91" t="s">
        <v>317</v>
      </c>
    </row>
    <row r="4" spans="1:6" x14ac:dyDescent="0.25">
      <c r="A4" s="224"/>
      <c r="B4" s="2445" t="s">
        <v>234</v>
      </c>
      <c r="C4" s="2445"/>
      <c r="D4" s="49" t="s">
        <v>78</v>
      </c>
    </row>
    <row r="5" spans="1:6" ht="56.25" x14ac:dyDescent="0.25">
      <c r="B5" s="2445" t="s">
        <v>79</v>
      </c>
      <c r="C5" s="2445"/>
      <c r="D5" s="49" t="s">
        <v>22</v>
      </c>
    </row>
    <row r="6" spans="1:6" x14ac:dyDescent="0.25">
      <c r="B6" s="2445" t="s">
        <v>80</v>
      </c>
      <c r="C6" s="2445"/>
      <c r="D6" s="50" t="s">
        <v>318</v>
      </c>
    </row>
    <row r="7" spans="1:6" ht="56.25" x14ac:dyDescent="0.25">
      <c r="B7" s="2446" t="s">
        <v>81</v>
      </c>
      <c r="C7" s="2446"/>
      <c r="D7" s="93" t="s">
        <v>319</v>
      </c>
    </row>
    <row r="8" spans="1:6" x14ac:dyDescent="0.25">
      <c r="B8" s="2446" t="s">
        <v>82</v>
      </c>
      <c r="C8" s="2446"/>
      <c r="D8" s="94" t="s">
        <v>320</v>
      </c>
    </row>
    <row r="9" spans="1:6" x14ac:dyDescent="0.4">
      <c r="B9" s="5"/>
      <c r="C9" s="5"/>
      <c r="D9" s="5"/>
    </row>
    <row r="10" spans="1:6" ht="23.25" customHeight="1" x14ac:dyDescent="0.25">
      <c r="B10" s="2431" t="s">
        <v>85</v>
      </c>
      <c r="C10" s="2431"/>
      <c r="D10" s="2431"/>
    </row>
    <row r="11" spans="1:6" x14ac:dyDescent="0.25">
      <c r="B11" s="2453" t="s">
        <v>86</v>
      </c>
      <c r="C11" s="2454"/>
      <c r="D11" s="49"/>
    </row>
    <row r="12" spans="1:6" ht="15" customHeight="1"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ht="15" customHeight="1" x14ac:dyDescent="0.25">
      <c r="B18" s="2446" t="s">
        <v>99</v>
      </c>
      <c r="C18" s="2446"/>
      <c r="D18" s="49"/>
    </row>
    <row r="19" spans="2:4" ht="15" customHeight="1"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t="s">
        <v>321</v>
      </c>
    </row>
    <row r="25" spans="2:4" x14ac:dyDescent="0.25">
      <c r="B25" s="2445" t="s">
        <v>113</v>
      </c>
      <c r="C25" s="2445"/>
      <c r="D25" s="56"/>
    </row>
    <row r="26" spans="2:4" ht="15" customHeight="1" x14ac:dyDescent="0.25">
      <c r="B26" s="2446" t="s">
        <v>115</v>
      </c>
      <c r="C26" s="2446"/>
      <c r="D26" s="49"/>
    </row>
    <row r="27" spans="2:4" x14ac:dyDescent="0.25">
      <c r="B27" s="2447" t="s">
        <v>117</v>
      </c>
      <c r="C27" s="2448"/>
      <c r="D27" s="49"/>
    </row>
    <row r="28" spans="2:4" x14ac:dyDescent="0.25">
      <c r="B28" s="97" t="s">
        <v>118</v>
      </c>
      <c r="C28" s="98"/>
      <c r="D28" s="56" t="s">
        <v>322</v>
      </c>
    </row>
    <row r="29" spans="2:4" x14ac:dyDescent="0.25">
      <c r="B29" s="2449" t="s">
        <v>120</v>
      </c>
      <c r="C29" s="2450"/>
      <c r="D29" s="62"/>
    </row>
    <row r="30" spans="2:4" x14ac:dyDescent="0.25">
      <c r="B30" s="63"/>
      <c r="C30" s="63"/>
      <c r="D30" s="64"/>
    </row>
    <row r="31" spans="2:4" ht="23.25" customHeight="1" x14ac:dyDescent="0.25">
      <c r="B31" s="2431" t="s">
        <v>121</v>
      </c>
      <c r="C31" s="2431"/>
      <c r="D31" s="2431"/>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708AF79-C995-4C5D-A10C-AEEFACE9B3C6}">
      <formula1>Tipo_operación</formula1>
    </dataValidation>
    <dataValidation type="list" allowBlank="1" showInputMessage="1" showErrorMessage="1" sqref="D14" xr:uid="{61A6F04D-444C-4044-9288-07311C63D701}">
      <formula1>Tipo_indicador</formula1>
    </dataValidation>
    <dataValidation type="list" allowBlank="1" showInputMessage="1" showErrorMessage="1" sqref="D7" xr:uid="{F7CB54E3-3FC8-4BAE-98D8-B951F3C086B8}">
      <formula1>Nombre_indicador_ODS</formula1>
    </dataValidation>
    <dataValidation type="list" allowBlank="1" showInputMessage="1" showErrorMessage="1" sqref="D6" xr:uid="{87BB491A-DF82-43C0-902E-FBCBA0D0A17E}">
      <formula1>Numero_indicador</formula1>
    </dataValidation>
    <dataValidation type="list" allowBlank="1" showInputMessage="1" showErrorMessage="1" sqref="D5" xr:uid="{63576384-6280-4667-BB09-00796EF3F21E}">
      <formula1>Metas_ODS</formula1>
    </dataValidation>
    <dataValidation type="list" allowBlank="1" showInputMessage="1" showErrorMessage="1" sqref="D4" xr:uid="{C358B1B1-1E36-4724-9CFF-B6494DE901AF}">
      <formula1>ODS</formula1>
    </dataValidation>
    <dataValidation allowBlank="1" showDropDown="1" showInputMessage="1" showErrorMessage="1" sqref="D13" xr:uid="{D34FDA17-E9F5-401D-88DC-8C1A9D862A7B}"/>
  </dataValidations>
  <hyperlinks>
    <hyperlink ref="B1" location="'1.5.3'!A1" display="REGRESAR" xr:uid="{9AF22865-0E06-46A6-AE2D-896717EDF7EC}"/>
    <hyperlink ref="D8" r:id="rId1" xr:uid="{4A1A44F7-52E3-48CC-B3F7-23988AAB5A6A}"/>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46D8-B6AF-4C8B-979E-5852AD69AF96}">
  <sheetPr>
    <tabColor rgb="FFFCC30B"/>
  </sheetPr>
  <dimension ref="A1:E10"/>
  <sheetViews>
    <sheetView showGridLines="0" workbookViewId="0">
      <pane ySplit="4" topLeftCell="A5" activePane="bottomLeft" state="frozen"/>
      <selection sqref="A1:B1"/>
      <selection pane="bottomLeft" sqref="A1:B1"/>
    </sheetView>
  </sheetViews>
  <sheetFormatPr baseColWidth="10" defaultColWidth="11.5703125" defaultRowHeight="18.75" x14ac:dyDescent="0.4"/>
  <cols>
    <col min="1" max="2" width="11.5703125" style="5"/>
    <col min="3" max="3" width="64.7109375" style="5" customWidth="1"/>
    <col min="4" max="4" width="15.5703125" style="5" customWidth="1"/>
    <col min="5" max="5" width="77.42578125" style="5" customWidth="1"/>
    <col min="6" max="16384" width="11.5703125" style="5"/>
  </cols>
  <sheetData>
    <row r="1" spans="1:5" ht="19.5" x14ac:dyDescent="0.4">
      <c r="A1" s="2410" t="s">
        <v>1</v>
      </c>
      <c r="B1" s="2410"/>
    </row>
    <row r="3" spans="1:5" ht="52.5" customHeight="1" x14ac:dyDescent="0.4">
      <c r="C3" s="3076" t="s">
        <v>4679</v>
      </c>
      <c r="D3" s="3076"/>
      <c r="E3" s="3076"/>
    </row>
    <row r="4" spans="1:5" s="263" customFormat="1" ht="48" customHeight="1" x14ac:dyDescent="0.4">
      <c r="C4" s="8" t="s">
        <v>3</v>
      </c>
      <c r="D4" s="8" t="s">
        <v>4</v>
      </c>
      <c r="E4" s="8" t="s">
        <v>5</v>
      </c>
    </row>
    <row r="5" spans="1:5" s="3" customFormat="1" ht="30" customHeight="1" x14ac:dyDescent="0.25">
      <c r="C5" s="2408" t="s">
        <v>4680</v>
      </c>
      <c r="D5" s="11" t="s">
        <v>4681</v>
      </c>
      <c r="E5" s="12" t="s">
        <v>4682</v>
      </c>
    </row>
    <row r="6" spans="1:5" s="3" customFormat="1" ht="39" x14ac:dyDescent="0.25">
      <c r="C6" s="2409"/>
      <c r="D6" s="11" t="s">
        <v>4683</v>
      </c>
      <c r="E6" s="12" t="s">
        <v>4684</v>
      </c>
    </row>
    <row r="7" spans="1:5" s="3" customFormat="1" ht="39" x14ac:dyDescent="0.25">
      <c r="C7" s="10" t="s">
        <v>4685</v>
      </c>
      <c r="D7" s="11" t="s">
        <v>4686</v>
      </c>
      <c r="E7" s="12" t="s">
        <v>4687</v>
      </c>
    </row>
    <row r="8" spans="1:5" s="3" customFormat="1" ht="39" x14ac:dyDescent="0.25">
      <c r="C8" s="10" t="s">
        <v>4688</v>
      </c>
      <c r="D8" s="11" t="s">
        <v>4689</v>
      </c>
      <c r="E8" s="12" t="s">
        <v>4690</v>
      </c>
    </row>
    <row r="9" spans="1:5" s="3" customFormat="1" ht="117" x14ac:dyDescent="0.25">
      <c r="C9" s="10" t="s">
        <v>4691</v>
      </c>
      <c r="D9" s="13" t="s">
        <v>4692</v>
      </c>
      <c r="E9" s="14" t="s">
        <v>4693</v>
      </c>
    </row>
    <row r="10" spans="1:5" s="3" customFormat="1" ht="117" x14ac:dyDescent="0.25">
      <c r="C10" s="10" t="s">
        <v>4694</v>
      </c>
      <c r="D10" s="11" t="s">
        <v>4695</v>
      </c>
      <c r="E10" s="12" t="s">
        <v>4696</v>
      </c>
    </row>
  </sheetData>
  <mergeCells count="3">
    <mergeCell ref="A1:B1"/>
    <mergeCell ref="C3:E3"/>
    <mergeCell ref="C5:C6"/>
  </mergeCells>
  <hyperlinks>
    <hyperlink ref="A1" location="Objetivos!A1" display="REGRESAR A INICIO" xr:uid="{1807B1F1-B7A5-4160-8AD7-6BCFCB66377C}"/>
    <hyperlink ref="A1:B1" location="'Lista de Objetivos'!A1" display="REGRESAR A INICIO" xr:uid="{DD1C5E0D-E487-4A6B-90B0-34E38DE1BC3C}"/>
    <hyperlink ref="D5" location="'7.1.1'!A1" display="7.1.1" xr:uid="{57488C6A-69E3-4894-A4F1-A60269702C3B}"/>
    <hyperlink ref="E5" location="'7.1.1'!A1" display="7.1.1 Proporción de la población que tiene acceso a la electricidad" xr:uid="{A4BCE63E-5CCC-49F2-A353-74F1C77C6DA4}"/>
    <hyperlink ref="D6" location="'7.1.2'!A1" display="7.1.2" xr:uid="{9E0DEE90-5DFB-47A3-A352-D320DA5DC69A}"/>
    <hyperlink ref="E6" location="'7.1.2'!A1" display="7.1.2 Proporción de la población cuya fuente primaria de energía son los combustibles y tecnologías limpios" xr:uid="{28DB30BC-CB03-47D3-B791-EA2F0F3CE0B5}"/>
    <hyperlink ref="D7" location="'7.2.1'!A1" display="7.2.1" xr:uid="{63422134-B0BE-428E-A5B2-3D99689809D9}"/>
    <hyperlink ref="E7" location="'7.2.1'!A1" display="7.2.1 Proporción de energía renovable en el consumo final total de energía" xr:uid="{954BCD6E-8CC4-4909-8735-186545CD3CD8}"/>
    <hyperlink ref="D8" location="'7.3.1'!A1" display="7.3.1" xr:uid="{A8286CF5-734F-43BE-BEB0-8ACA6D17BA40}"/>
    <hyperlink ref="E8" location="'7.3.1'!A1" display="7.3.1 Intensidad energética medida en función de la energía primaria y el PIB" xr:uid="{B0F74514-D13C-41F8-9AB6-19FED42721C6}"/>
    <hyperlink ref="D9" location="'7.a.1'!A1" display="7.a.1" xr:uid="{73A2532B-E5BF-472E-B6C7-6163D867DE76}"/>
    <hyperlink ref="E9" location="'7.a.1'!A1" display="7.a.1 Corrientes financieras internacionales hacia los países en desarrollo para apoyar la investigación y el desarrollo de energías limpias y la producción de energía renovable, incluidos los sistemas híbridos" xr:uid="{9C7706D1-DEFA-40CF-9A5D-ABB53B9E6F02}"/>
    <hyperlink ref="D10" location="'7.b.1'!A1" display="7.b.1" xr:uid="{571506A1-C856-4225-BE30-F9B94F77DCF1}"/>
    <hyperlink ref="E10" location="'7.b.1'!A1" display="7.b.1 Capacidad instalada de generación de energía renovable en los países en desarrollo (expresada en vatios per cápita)" xr:uid="{FD39EF81-E600-4671-AD59-CA2832CE931E}"/>
  </hyperlinks>
  <pageMargins left="0.7" right="0.7" top="0.75" bottom="0.75" header="0.3" footer="0.3"/>
  <pageSetup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E853-2C51-40AA-B362-DBF459C4D4D4}">
  <dimension ref="A1:X47"/>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2" width="15.28515625" style="115" customWidth="1"/>
    <col min="3" max="3" width="8.42578125" style="115" customWidth="1"/>
    <col min="4" max="4" width="7.5703125" style="115" customWidth="1"/>
    <col min="5" max="6" width="11.42578125" style="115"/>
    <col min="7" max="7" width="0.7109375" style="115" customWidth="1"/>
    <col min="8" max="9" width="11.42578125" style="115"/>
    <col min="10" max="10" width="0.5703125" style="115" customWidth="1"/>
    <col min="11" max="16" width="11.42578125" style="115"/>
    <col min="17" max="17" width="0.7109375" style="115" customWidth="1"/>
    <col min="18" max="16384" width="11.42578125" style="115"/>
  </cols>
  <sheetData>
    <row r="1" spans="1:24" s="1032" customFormat="1" ht="19.5" x14ac:dyDescent="0.4">
      <c r="A1" s="15" t="s">
        <v>39</v>
      </c>
      <c r="C1" s="2421" t="s">
        <v>149</v>
      </c>
      <c r="D1" s="2421"/>
    </row>
    <row r="2" spans="1:24" s="1032" customFormat="1" ht="19.5" x14ac:dyDescent="0.4"/>
    <row r="3" spans="1:24" s="1032" customFormat="1" ht="19.5" x14ac:dyDescent="0.4">
      <c r="A3" s="3077" t="s">
        <v>41</v>
      </c>
      <c r="B3" s="3083"/>
      <c r="C3" s="3077" t="s">
        <v>4679</v>
      </c>
      <c r="D3" s="3079"/>
      <c r="E3" s="3079"/>
      <c r="F3" s="3079"/>
      <c r="G3" s="3079"/>
      <c r="H3" s="3079"/>
      <c r="I3" s="3079"/>
      <c r="J3" s="3079"/>
      <c r="K3" s="3079"/>
      <c r="L3" s="3079"/>
      <c r="M3" s="3079"/>
      <c r="N3" s="3079"/>
      <c r="O3" s="3079"/>
      <c r="P3" s="3079"/>
      <c r="Q3" s="3079"/>
      <c r="R3" s="3079"/>
      <c r="S3" s="3079"/>
      <c r="T3" s="3079"/>
      <c r="U3" s="3079"/>
      <c r="V3" s="3078"/>
    </row>
    <row r="4" spans="1:24" s="1032" customFormat="1" ht="19.5" x14ac:dyDescent="0.4">
      <c r="A4" s="3077" t="s">
        <v>42</v>
      </c>
      <c r="B4" s="3078"/>
      <c r="C4" s="3077" t="s">
        <v>4680</v>
      </c>
      <c r="D4" s="3079"/>
      <c r="E4" s="3079"/>
      <c r="F4" s="3079"/>
      <c r="G4" s="3079"/>
      <c r="H4" s="3079"/>
      <c r="I4" s="3079"/>
      <c r="J4" s="3079"/>
      <c r="K4" s="3079"/>
      <c r="L4" s="3079"/>
      <c r="M4" s="3079"/>
      <c r="N4" s="3079"/>
      <c r="O4" s="3079"/>
      <c r="P4" s="3079"/>
      <c r="Q4" s="3079"/>
      <c r="R4" s="3079"/>
      <c r="S4" s="3079"/>
      <c r="T4" s="3079"/>
      <c r="U4" s="3079"/>
      <c r="V4" s="3078"/>
    </row>
    <row r="5" spans="1:24" s="1032" customFormat="1" ht="19.5" x14ac:dyDescent="0.4">
      <c r="A5" s="3077" t="s">
        <v>43</v>
      </c>
      <c r="B5" s="3078"/>
      <c r="C5" s="3077" t="s">
        <v>4682</v>
      </c>
      <c r="D5" s="3079"/>
      <c r="E5" s="3079"/>
      <c r="F5" s="3079"/>
      <c r="G5" s="3079"/>
      <c r="H5" s="3079"/>
      <c r="I5" s="3079"/>
      <c r="J5" s="3079"/>
      <c r="K5" s="3079"/>
      <c r="L5" s="3079"/>
      <c r="M5" s="3079"/>
      <c r="N5" s="3079"/>
      <c r="O5" s="3079"/>
      <c r="P5" s="3079"/>
      <c r="Q5" s="3079"/>
      <c r="R5" s="3079"/>
      <c r="S5" s="3079"/>
      <c r="T5" s="3079"/>
      <c r="U5" s="3079"/>
      <c r="V5" s="3078"/>
    </row>
    <row r="6" spans="1:24" s="1032" customFormat="1" ht="19.5" x14ac:dyDescent="0.4">
      <c r="A6" s="3077" t="s">
        <v>132</v>
      </c>
      <c r="B6" s="3078"/>
      <c r="C6" s="3077" t="s">
        <v>4697</v>
      </c>
      <c r="D6" s="3079"/>
      <c r="E6" s="3079"/>
      <c r="F6" s="3079"/>
      <c r="G6" s="3079"/>
      <c r="H6" s="3079"/>
      <c r="I6" s="3079"/>
      <c r="J6" s="3079"/>
      <c r="K6" s="3079"/>
      <c r="L6" s="3079"/>
      <c r="M6" s="3079"/>
      <c r="N6" s="3079"/>
      <c r="O6" s="3079"/>
      <c r="P6" s="3079"/>
      <c r="Q6" s="3079"/>
      <c r="R6" s="3079"/>
      <c r="S6" s="3079"/>
      <c r="T6" s="3079"/>
      <c r="U6" s="3079"/>
      <c r="V6" s="3078"/>
    </row>
    <row r="7" spans="1:24" s="1032" customFormat="1" ht="19.5" x14ac:dyDescent="0.4"/>
    <row r="8" spans="1:24" s="1032" customFormat="1" ht="19.5" x14ac:dyDescent="0.4"/>
    <row r="9" spans="1:24" s="1032" customFormat="1" ht="19.5" x14ac:dyDescent="0.4">
      <c r="C9" s="800" t="s">
        <v>4697</v>
      </c>
      <c r="D9" s="800"/>
      <c r="E9" s="800"/>
      <c r="F9" s="800"/>
      <c r="G9" s="800"/>
      <c r="H9" s="800"/>
      <c r="I9" s="800"/>
      <c r="J9" s="800"/>
      <c r="K9" s="800"/>
      <c r="L9" s="800"/>
      <c r="M9" s="800"/>
      <c r="N9" s="800"/>
      <c r="O9" s="800"/>
      <c r="P9" s="800"/>
      <c r="Q9" s="800"/>
      <c r="R9" s="800"/>
      <c r="S9" s="800"/>
      <c r="T9" s="800"/>
      <c r="U9" s="800"/>
      <c r="V9" s="800"/>
      <c r="W9" s="800"/>
      <c r="X9" s="800"/>
    </row>
    <row r="10" spans="1:24" s="1032" customFormat="1" ht="19.5" x14ac:dyDescent="0.4">
      <c r="C10" s="800"/>
      <c r="D10" s="800"/>
      <c r="E10" s="800"/>
      <c r="F10" s="800"/>
      <c r="G10" s="800"/>
      <c r="H10" s="800"/>
      <c r="I10" s="800"/>
      <c r="J10" s="800"/>
      <c r="K10" s="800"/>
      <c r="L10" s="800"/>
      <c r="M10" s="800"/>
      <c r="N10" s="800"/>
      <c r="O10" s="800"/>
      <c r="P10" s="800"/>
      <c r="Q10" s="800"/>
      <c r="R10" s="800"/>
      <c r="S10" s="800"/>
      <c r="T10" s="800"/>
      <c r="U10" s="800"/>
      <c r="V10" s="800"/>
      <c r="W10" s="800"/>
      <c r="X10" s="800"/>
    </row>
    <row r="11" spans="1:24" x14ac:dyDescent="0.4">
      <c r="C11" s="3080" t="s">
        <v>46</v>
      </c>
      <c r="D11" s="3080" t="s">
        <v>47</v>
      </c>
      <c r="E11" s="3082" t="s">
        <v>48</v>
      </c>
      <c r="F11" s="3082"/>
      <c r="G11" s="1361"/>
      <c r="H11" s="3082" t="s">
        <v>49</v>
      </c>
      <c r="I11" s="3082"/>
      <c r="J11" s="1361"/>
      <c r="K11" s="3082" t="s">
        <v>50</v>
      </c>
      <c r="L11" s="3082"/>
      <c r="M11" s="3082"/>
      <c r="N11" s="3082"/>
      <c r="O11" s="3082"/>
      <c r="P11" s="3082"/>
      <c r="Q11" s="1361"/>
      <c r="R11" s="3082" t="s">
        <v>52</v>
      </c>
      <c r="S11" s="3082"/>
      <c r="T11" s="3082"/>
      <c r="U11" s="3082"/>
      <c r="V11" s="3082"/>
      <c r="W11" s="3082"/>
      <c r="X11" s="3082"/>
    </row>
    <row r="12" spans="1:24" ht="37.5" x14ac:dyDescent="0.4">
      <c r="C12" s="3081"/>
      <c r="D12" s="3081"/>
      <c r="E12" s="1362" t="s">
        <v>53</v>
      </c>
      <c r="F12" s="1362" t="s">
        <v>54</v>
      </c>
      <c r="G12" s="1362"/>
      <c r="H12" s="1362" t="s">
        <v>55</v>
      </c>
      <c r="I12" s="1362" t="s">
        <v>56</v>
      </c>
      <c r="J12" s="1362"/>
      <c r="K12" s="1362" t="s">
        <v>57</v>
      </c>
      <c r="L12" s="1362" t="s">
        <v>58</v>
      </c>
      <c r="M12" s="1362" t="s">
        <v>59</v>
      </c>
      <c r="N12" s="1362" t="s">
        <v>60</v>
      </c>
      <c r="O12" s="1363" t="s">
        <v>61</v>
      </c>
      <c r="P12" s="1363" t="s">
        <v>62</v>
      </c>
      <c r="Q12" s="1363"/>
      <c r="R12" s="1362" t="s">
        <v>66</v>
      </c>
      <c r="S12" s="1363" t="s">
        <v>67</v>
      </c>
      <c r="T12" s="1362" t="s">
        <v>68</v>
      </c>
      <c r="U12" s="1362" t="s">
        <v>69</v>
      </c>
      <c r="V12" s="1362" t="s">
        <v>70</v>
      </c>
      <c r="W12" s="1362" t="s">
        <v>71</v>
      </c>
      <c r="X12" s="1362" t="s">
        <v>72</v>
      </c>
    </row>
    <row r="13" spans="1:24" x14ac:dyDescent="0.4">
      <c r="C13" s="198">
        <v>2010</v>
      </c>
      <c r="D13" s="1364">
        <v>99.141816540837794</v>
      </c>
      <c r="E13" s="1365">
        <v>99.02135755481693</v>
      </c>
      <c r="F13" s="1365">
        <v>99.255804897629758</v>
      </c>
      <c r="G13" s="1365"/>
      <c r="H13" s="1365">
        <v>99.758583496154046</v>
      </c>
      <c r="I13" s="1366">
        <v>97.490395515935617</v>
      </c>
      <c r="J13" s="1366"/>
      <c r="K13" s="1366">
        <v>99.782580865709392</v>
      </c>
      <c r="L13" s="1366">
        <v>98.256946641163381</v>
      </c>
      <c r="M13" s="1366">
        <v>99.076329284330285</v>
      </c>
      <c r="N13" s="1366">
        <v>98.865175320306435</v>
      </c>
      <c r="O13" s="1366">
        <v>97.790032075006167</v>
      </c>
      <c r="P13" s="1366">
        <v>96.665009897519724</v>
      </c>
      <c r="Q13" s="1366"/>
      <c r="R13" s="1365">
        <v>98.822102043187016</v>
      </c>
      <c r="S13" s="1365">
        <v>98.958518027428525</v>
      </c>
      <c r="T13" s="1365">
        <v>98.960548453183478</v>
      </c>
      <c r="U13" s="1365">
        <v>99.205448715398518</v>
      </c>
      <c r="V13" s="1365">
        <v>99.254259316517917</v>
      </c>
      <c r="W13" s="1365">
        <v>99.21585314803859</v>
      </c>
      <c r="X13" s="1365">
        <v>99.324201728994012</v>
      </c>
    </row>
    <row r="14" spans="1:24" x14ac:dyDescent="0.4">
      <c r="C14" s="198">
        <v>2011</v>
      </c>
      <c r="D14" s="1364">
        <v>99.486471620387491</v>
      </c>
      <c r="E14" s="1365">
        <v>99.355628368433159</v>
      </c>
      <c r="F14" s="1365">
        <v>99.610915605903998</v>
      </c>
      <c r="G14" s="1365"/>
      <c r="H14" s="1365">
        <v>99.965273218412904</v>
      </c>
      <c r="I14" s="1366">
        <v>98.204954747599288</v>
      </c>
      <c r="J14" s="1366"/>
      <c r="K14" s="1366">
        <v>99.947952309564087</v>
      </c>
      <c r="L14" s="1366">
        <v>98.944540171139863</v>
      </c>
      <c r="M14" s="1366">
        <v>99.724401913875596</v>
      </c>
      <c r="N14" s="1366">
        <v>98.998472930532742</v>
      </c>
      <c r="O14" s="1366">
        <v>97.519491272329077</v>
      </c>
      <c r="P14" s="1366">
        <v>98.857594562814015</v>
      </c>
      <c r="Q14" s="1366"/>
      <c r="R14" s="1365">
        <v>99.227518886075416</v>
      </c>
      <c r="S14" s="1365">
        <v>99.286374611396937</v>
      </c>
      <c r="T14" s="1365">
        <v>99.179102178554757</v>
      </c>
      <c r="U14" s="1365">
        <v>99.59365913202339</v>
      </c>
      <c r="V14" s="1365">
        <v>99.654195054109039</v>
      </c>
      <c r="W14" s="1365">
        <v>99.582576126426673</v>
      </c>
      <c r="X14" s="1365">
        <v>99.453531144381259</v>
      </c>
    </row>
    <row r="15" spans="1:24" x14ac:dyDescent="0.4">
      <c r="C15" s="198">
        <v>2012</v>
      </c>
      <c r="D15" s="1364">
        <v>99.700053706962947</v>
      </c>
      <c r="E15" s="1365">
        <v>99.642973762476728</v>
      </c>
      <c r="F15" s="1365">
        <v>99.7542921307233</v>
      </c>
      <c r="G15" s="1365"/>
      <c r="H15" s="1365">
        <v>99.986262620294397</v>
      </c>
      <c r="I15" s="1366">
        <v>98.934957879266278</v>
      </c>
      <c r="J15" s="1366"/>
      <c r="K15" s="1366">
        <v>99.95202119734455</v>
      </c>
      <c r="L15" s="1366">
        <v>99.40483528329095</v>
      </c>
      <c r="M15" s="1366">
        <v>99.855245199592432</v>
      </c>
      <c r="N15" s="1366">
        <v>98.764120663856815</v>
      </c>
      <c r="O15" s="1366">
        <v>98.777735087887805</v>
      </c>
      <c r="P15" s="1366">
        <v>99.813095980873399</v>
      </c>
      <c r="Q15" s="1366"/>
      <c r="R15" s="1365">
        <v>99.704075919832974</v>
      </c>
      <c r="S15" s="1365">
        <v>99.670663047754857</v>
      </c>
      <c r="T15" s="1365">
        <v>99.570819660873951</v>
      </c>
      <c r="U15" s="1365">
        <v>99.73389673263776</v>
      </c>
      <c r="V15" s="1365">
        <v>99.76540510624082</v>
      </c>
      <c r="W15" s="1365">
        <v>99.719546239370032</v>
      </c>
      <c r="X15" s="1365">
        <v>99.6072963695201</v>
      </c>
    </row>
    <row r="16" spans="1:24" x14ac:dyDescent="0.4">
      <c r="C16" s="198">
        <v>2013</v>
      </c>
      <c r="D16" s="1364">
        <v>99.721539919685668</v>
      </c>
      <c r="E16" s="1365">
        <v>99.62524838494879</v>
      </c>
      <c r="F16" s="1365">
        <v>99.811561554779374</v>
      </c>
      <c r="G16" s="1365"/>
      <c r="H16" s="1365">
        <v>99.977651662354546</v>
      </c>
      <c r="I16" s="1366">
        <v>99.038100710193874</v>
      </c>
      <c r="J16" s="1366"/>
      <c r="K16" s="1366">
        <v>99.968793766911872</v>
      </c>
      <c r="L16" s="1366">
        <v>99.27324678551463</v>
      </c>
      <c r="M16" s="1366">
        <v>99.711520016526734</v>
      </c>
      <c r="N16" s="1366">
        <v>99.119704338559558</v>
      </c>
      <c r="O16" s="1366">
        <v>99.225242658730622</v>
      </c>
      <c r="P16" s="1366">
        <v>99.332544801509215</v>
      </c>
      <c r="Q16" s="1366"/>
      <c r="R16" s="1365">
        <v>99.476577829213397</v>
      </c>
      <c r="S16" s="1365">
        <v>99.631027408805181</v>
      </c>
      <c r="T16" s="1365">
        <v>99.782771027085744</v>
      </c>
      <c r="U16" s="1365">
        <v>99.808635797798345</v>
      </c>
      <c r="V16" s="1365">
        <v>99.735172406891266</v>
      </c>
      <c r="W16" s="1365">
        <v>99.76184529420108</v>
      </c>
      <c r="X16" s="1365">
        <v>99.673019138261694</v>
      </c>
    </row>
    <row r="17" spans="3:24" x14ac:dyDescent="0.4">
      <c r="C17" s="198">
        <v>2014</v>
      </c>
      <c r="D17" s="1364">
        <v>99.432786166587533</v>
      </c>
      <c r="E17" s="1365">
        <v>99.352681086315783</v>
      </c>
      <c r="F17" s="1365">
        <v>99.508922367635876</v>
      </c>
      <c r="G17" s="1365"/>
      <c r="H17" s="1365">
        <v>99.744596377545463</v>
      </c>
      <c r="I17" s="1366">
        <v>98.60200753131393</v>
      </c>
      <c r="J17" s="1366"/>
      <c r="K17" s="1366">
        <v>99.875818397092772</v>
      </c>
      <c r="L17" s="1366">
        <v>99.098703011650912</v>
      </c>
      <c r="M17" s="1366">
        <v>99.950632162420177</v>
      </c>
      <c r="N17" s="1366">
        <v>98.929089333247305</v>
      </c>
      <c r="O17" s="1366">
        <v>98.368030495196592</v>
      </c>
      <c r="P17" s="1366">
        <v>97.562256205732538</v>
      </c>
      <c r="Q17" s="1366"/>
      <c r="R17" s="1365">
        <v>98.749881907048348</v>
      </c>
      <c r="S17" s="1365">
        <v>99.450129029958845</v>
      </c>
      <c r="T17" s="1365">
        <v>99.43887832971987</v>
      </c>
      <c r="U17" s="1365">
        <v>99.311399279090523</v>
      </c>
      <c r="V17" s="1365">
        <v>99.584511756086087</v>
      </c>
      <c r="W17" s="1365">
        <v>99.536967969013318</v>
      </c>
      <c r="X17" s="1365">
        <v>99.4638400631991</v>
      </c>
    </row>
    <row r="18" spans="3:24" x14ac:dyDescent="0.4">
      <c r="C18" s="198">
        <v>2015</v>
      </c>
      <c r="D18" s="1364">
        <v>99.389232215471552</v>
      </c>
      <c r="E18" s="1365">
        <v>99.312405673844566</v>
      </c>
      <c r="F18" s="1365">
        <v>99.461935012637255</v>
      </c>
      <c r="G18" s="1365"/>
      <c r="H18" s="1365">
        <v>99.73934454091075</v>
      </c>
      <c r="I18" s="1366">
        <v>98.458294002811357</v>
      </c>
      <c r="J18" s="1366"/>
      <c r="K18" s="1366">
        <v>99.870486463210582</v>
      </c>
      <c r="L18" s="1366">
        <v>98.242713272570754</v>
      </c>
      <c r="M18" s="1366">
        <v>99.439890905456153</v>
      </c>
      <c r="N18" s="1366">
        <v>98.873708819456255</v>
      </c>
      <c r="O18" s="1366">
        <v>98.491989776045614</v>
      </c>
      <c r="P18" s="1366">
        <v>98.172303427223099</v>
      </c>
      <c r="Q18" s="1366"/>
      <c r="R18" s="1365">
        <v>98.901210910425235</v>
      </c>
      <c r="S18" s="1365">
        <v>99.332486680708712</v>
      </c>
      <c r="T18" s="1365">
        <v>99.187954071915541</v>
      </c>
      <c r="U18" s="1365">
        <v>99.494270038419032</v>
      </c>
      <c r="V18" s="1365">
        <v>99.467208612545306</v>
      </c>
      <c r="W18" s="1365">
        <v>99.459543788096596</v>
      </c>
      <c r="X18" s="1365">
        <v>99.519124549672426</v>
      </c>
    </row>
    <row r="19" spans="3:24" x14ac:dyDescent="0.4">
      <c r="C19" s="198">
        <v>2016</v>
      </c>
      <c r="D19" s="1364">
        <v>99.536725918357575</v>
      </c>
      <c r="E19" s="1365">
        <v>99.476939631291955</v>
      </c>
      <c r="F19" s="1365">
        <v>99.593121617212404</v>
      </c>
      <c r="G19" s="1365"/>
      <c r="H19" s="1365">
        <v>99.819073983142857</v>
      </c>
      <c r="I19" s="1366">
        <v>98.787250548192347</v>
      </c>
      <c r="J19" s="1366"/>
      <c r="K19" s="1366">
        <v>99.837220529023412</v>
      </c>
      <c r="L19" s="1366">
        <v>99.352071595012461</v>
      </c>
      <c r="M19" s="1366">
        <v>99.660241590364492</v>
      </c>
      <c r="N19" s="1366">
        <v>99.443231199006746</v>
      </c>
      <c r="O19" s="1366">
        <v>98.528762019285523</v>
      </c>
      <c r="P19" s="1366">
        <v>98.507869403555233</v>
      </c>
      <c r="Q19" s="1366"/>
      <c r="R19" s="1365">
        <v>99.237561303342403</v>
      </c>
      <c r="S19" s="1365">
        <v>99.404387555029402</v>
      </c>
      <c r="T19" s="1365">
        <v>99.423386477165948</v>
      </c>
      <c r="U19" s="1365">
        <v>99.505086700986851</v>
      </c>
      <c r="V19" s="1365">
        <v>99.53522223631478</v>
      </c>
      <c r="W19" s="1365">
        <v>99.665781888923121</v>
      </c>
      <c r="X19" s="1365">
        <v>99.616828457209365</v>
      </c>
    </row>
    <row r="20" spans="3:24" x14ac:dyDescent="0.4">
      <c r="C20" s="198">
        <v>2017</v>
      </c>
      <c r="D20" s="1364">
        <v>99.684537166191603</v>
      </c>
      <c r="E20" s="1365">
        <v>99.641259109857018</v>
      </c>
      <c r="F20" s="1365">
        <v>99.725508684551031</v>
      </c>
      <c r="G20" s="1365"/>
      <c r="H20" s="1365">
        <v>99.856767824680475</v>
      </c>
      <c r="I20" s="1366">
        <v>99.227833430530836</v>
      </c>
      <c r="J20" s="1366"/>
      <c r="K20" s="1366">
        <v>99.8613018039552</v>
      </c>
      <c r="L20" s="1366">
        <v>99.668381750658057</v>
      </c>
      <c r="M20" s="1366">
        <v>99.520235212729162</v>
      </c>
      <c r="N20" s="1366">
        <v>99.680581440737143</v>
      </c>
      <c r="O20" s="1366">
        <v>99.227040305131069</v>
      </c>
      <c r="P20" s="1366">
        <v>98.971412268473912</v>
      </c>
      <c r="Q20" s="1366"/>
      <c r="R20" s="1365">
        <v>99.544552080696107</v>
      </c>
      <c r="S20" s="1365">
        <v>99.552391790666675</v>
      </c>
      <c r="T20" s="1365">
        <v>99.617825103931139</v>
      </c>
      <c r="U20" s="1365">
        <v>99.721879176464626</v>
      </c>
      <c r="V20" s="1365">
        <v>99.793019882160124</v>
      </c>
      <c r="W20" s="1365">
        <v>99.71979275680097</v>
      </c>
      <c r="X20" s="1365">
        <v>99.637779275827427</v>
      </c>
    </row>
    <row r="21" spans="3:24" x14ac:dyDescent="0.4">
      <c r="C21" s="198">
        <v>2018</v>
      </c>
      <c r="D21" s="1364">
        <v>99.668343634765904</v>
      </c>
      <c r="E21" s="1365">
        <v>99.581658259946721</v>
      </c>
      <c r="F21" s="1365">
        <v>99.750319828595195</v>
      </c>
      <c r="G21" s="1365"/>
      <c r="H21" s="1365">
        <v>99.909362263965946</v>
      </c>
      <c r="I21" s="1366">
        <v>99.030839892623121</v>
      </c>
      <c r="J21" s="1366"/>
      <c r="K21" s="1366">
        <v>99.931480955669855</v>
      </c>
      <c r="L21" s="1366">
        <v>99.272941895417503</v>
      </c>
      <c r="M21" s="1366">
        <v>99.757664869574697</v>
      </c>
      <c r="N21" s="1366">
        <v>99.763382403510775</v>
      </c>
      <c r="O21" s="1366">
        <v>99.162035988255624</v>
      </c>
      <c r="P21" s="1366">
        <v>98.44586287371807</v>
      </c>
      <c r="Q21" s="1366"/>
      <c r="R21" s="1365">
        <v>99.530660490631888</v>
      </c>
      <c r="S21" s="1365">
        <v>99.580913501968098</v>
      </c>
      <c r="T21" s="1365">
        <v>99.509529941572012</v>
      </c>
      <c r="U21" s="1365">
        <v>99.807745078154696</v>
      </c>
      <c r="V21" s="1365">
        <v>99.773549044226158</v>
      </c>
      <c r="W21" s="1365">
        <v>99.703449664828895</v>
      </c>
      <c r="X21" s="1365">
        <v>99.538984887931946</v>
      </c>
    </row>
    <row r="22" spans="3:24" x14ac:dyDescent="0.4">
      <c r="C22" s="198">
        <v>2019</v>
      </c>
      <c r="D22" s="1364">
        <v>99.713660610348782</v>
      </c>
      <c r="E22" s="1365">
        <v>99.644651565649539</v>
      </c>
      <c r="F22" s="1365">
        <v>99.77856090668071</v>
      </c>
      <c r="G22" s="1365"/>
      <c r="H22" s="1365">
        <v>99.920630466021493</v>
      </c>
      <c r="I22" s="1366">
        <v>99.167000106508837</v>
      </c>
      <c r="J22" s="1366"/>
      <c r="K22" s="1366">
        <v>99.975019309786404</v>
      </c>
      <c r="L22" s="1366">
        <v>99.111824670279063</v>
      </c>
      <c r="M22" s="1366">
        <v>99.876554391543976</v>
      </c>
      <c r="N22" s="1366">
        <v>99.878630232204529</v>
      </c>
      <c r="O22" s="1366">
        <v>99.423918584008575</v>
      </c>
      <c r="P22" s="1366">
        <v>98.357986027463255</v>
      </c>
      <c r="Q22" s="1366"/>
      <c r="R22" s="1365">
        <v>99.552328139647386</v>
      </c>
      <c r="S22" s="1365">
        <v>99.567435091103434</v>
      </c>
      <c r="T22" s="1365">
        <v>99.558068364541725</v>
      </c>
      <c r="U22" s="1365">
        <v>99.845037081634331</v>
      </c>
      <c r="V22" s="1365">
        <v>99.784193697698342</v>
      </c>
      <c r="W22" s="1365">
        <v>99.767265602615652</v>
      </c>
      <c r="X22" s="1365">
        <v>99.647654238831578</v>
      </c>
    </row>
    <row r="23" spans="3:24" x14ac:dyDescent="0.4">
      <c r="C23" s="198">
        <v>2020</v>
      </c>
      <c r="D23" s="1364">
        <v>99.895547310377481</v>
      </c>
      <c r="E23" s="1365">
        <v>99.858896667920831</v>
      </c>
      <c r="F23" s="1365">
        <v>99.930082206605562</v>
      </c>
      <c r="G23" s="1365"/>
      <c r="H23" s="1365">
        <v>99.942296953527332</v>
      </c>
      <c r="I23" s="1366">
        <v>99.77216010024955</v>
      </c>
      <c r="J23" s="1366"/>
      <c r="K23" s="1366">
        <v>99.991431236463086</v>
      </c>
      <c r="L23" s="1366">
        <v>99.964193931760235</v>
      </c>
      <c r="M23" s="1366">
        <v>99.498611106523668</v>
      </c>
      <c r="N23" s="1366">
        <v>99.953782659578209</v>
      </c>
      <c r="O23" s="1366">
        <v>99.824411953895094</v>
      </c>
      <c r="P23" s="1366">
        <v>99.424237470056795</v>
      </c>
      <c r="Q23" s="1366"/>
      <c r="R23" s="1365">
        <v>99.792063442505224</v>
      </c>
      <c r="S23" s="1365">
        <v>99.7476834650207</v>
      </c>
      <c r="T23" s="1365">
        <v>99.917947733968887</v>
      </c>
      <c r="U23" s="1365">
        <v>99.972796378325384</v>
      </c>
      <c r="V23" s="1365">
        <v>99.958461867383406</v>
      </c>
      <c r="W23" s="1365">
        <v>99.945980086072822</v>
      </c>
      <c r="X23" s="1365">
        <v>99.756505300201027</v>
      </c>
    </row>
    <row r="24" spans="3:24" x14ac:dyDescent="0.4">
      <c r="C24" s="198">
        <v>2021</v>
      </c>
      <c r="D24" s="1364">
        <v>99.739029204133004</v>
      </c>
      <c r="E24" s="1365">
        <v>99.739453149704474</v>
      </c>
      <c r="F24" s="1365">
        <v>99.738636643388773</v>
      </c>
      <c r="G24" s="1365"/>
      <c r="H24" s="1365">
        <v>99.922338573364669</v>
      </c>
      <c r="I24" s="1366">
        <v>99.255901459047124</v>
      </c>
      <c r="J24" s="1366"/>
      <c r="K24" s="1366">
        <v>99.93408633092173</v>
      </c>
      <c r="L24" s="1366">
        <v>99.473406133328652</v>
      </c>
      <c r="M24" s="1366">
        <v>99.581135133551825</v>
      </c>
      <c r="N24" s="1366">
        <v>99.796633695859768</v>
      </c>
      <c r="O24" s="1366">
        <v>99.369366657492776</v>
      </c>
      <c r="P24" s="1366">
        <v>99.000295742931868</v>
      </c>
      <c r="Q24" s="1366"/>
      <c r="R24" s="1365">
        <v>99.22499546140314</v>
      </c>
      <c r="S24" s="1365">
        <v>99.47079881354199</v>
      </c>
      <c r="T24" s="1365">
        <v>99.826822433233815</v>
      </c>
      <c r="U24" s="1365">
        <v>99.748935070536078</v>
      </c>
      <c r="V24" s="1365">
        <v>99.781117829543987</v>
      </c>
      <c r="W24" s="1365">
        <v>99.820184691476598</v>
      </c>
      <c r="X24" s="1365">
        <v>99.839922584029338</v>
      </c>
    </row>
    <row r="25" spans="3:24" x14ac:dyDescent="0.4">
      <c r="C25" s="198">
        <v>2022</v>
      </c>
      <c r="D25" s="1364">
        <v>99.836040418300257</v>
      </c>
      <c r="E25" s="1365">
        <v>99.814282514933993</v>
      </c>
      <c r="F25" s="1365">
        <v>99.855888913056162</v>
      </c>
      <c r="G25" s="1365"/>
      <c r="H25" s="1365">
        <v>99.943845584624128</v>
      </c>
      <c r="I25" s="1366">
        <v>99.552560402953233</v>
      </c>
      <c r="J25" s="1366"/>
      <c r="K25" s="1366">
        <v>99.949165110787405</v>
      </c>
      <c r="L25" s="1366">
        <v>99.526346073586751</v>
      </c>
      <c r="M25" s="1366">
        <v>99.74638575656239</v>
      </c>
      <c r="N25" s="1366">
        <v>99.857044953204976</v>
      </c>
      <c r="O25" s="1366">
        <v>99.702672963671617</v>
      </c>
      <c r="P25" s="1366">
        <v>99.479815086049058</v>
      </c>
      <c r="Q25" s="1366"/>
      <c r="R25" s="1365">
        <v>99.600557481419969</v>
      </c>
      <c r="S25" s="1365">
        <v>99.746137159814566</v>
      </c>
      <c r="T25" s="1365">
        <v>99.881529017714357</v>
      </c>
      <c r="U25" s="1365">
        <v>99.773330178222267</v>
      </c>
      <c r="V25" s="1365">
        <v>99.925897589201568</v>
      </c>
      <c r="W25" s="1365">
        <v>99.851691234498531</v>
      </c>
      <c r="X25" s="1365">
        <v>99.882181873463054</v>
      </c>
    </row>
    <row r="26" spans="3:24" x14ac:dyDescent="0.4">
      <c r="C26" s="2285">
        <v>2023</v>
      </c>
      <c r="D26" s="1364">
        <v>99.830078871454603</v>
      </c>
      <c r="E26" s="1365">
        <v>99.783984033497902</v>
      </c>
      <c r="F26" s="1365">
        <v>99.871635954942491</v>
      </c>
      <c r="G26" s="1365"/>
      <c r="H26" s="1365">
        <v>99.929952562479087</v>
      </c>
      <c r="I26" s="1366">
        <v>99.567918499729259</v>
      </c>
      <c r="J26" s="1366"/>
      <c r="K26" s="1366">
        <v>99.884319257865911</v>
      </c>
      <c r="L26" s="1366">
        <v>99.276233781123537</v>
      </c>
      <c r="M26" s="1366">
        <v>100</v>
      </c>
      <c r="N26" s="1366">
        <v>99.850848432710009</v>
      </c>
      <c r="O26" s="1366">
        <v>99.682004843634829</v>
      </c>
      <c r="P26" s="1366">
        <v>99.965140651847321</v>
      </c>
      <c r="Q26" s="1366"/>
      <c r="R26" s="1365">
        <v>99.77432795200933</v>
      </c>
      <c r="S26" s="1365">
        <v>99.696548158361239</v>
      </c>
      <c r="T26" s="1365">
        <v>99.965361967440245</v>
      </c>
      <c r="U26" s="1365">
        <v>99.811288095157451</v>
      </c>
      <c r="V26" s="1365">
        <v>99.871643985836926</v>
      </c>
      <c r="W26" s="1365">
        <v>99.837448335332198</v>
      </c>
      <c r="X26" s="1365">
        <v>99.816644942241112</v>
      </c>
    </row>
    <row r="27" spans="3:24" s="2279" customFormat="1" x14ac:dyDescent="0.4">
      <c r="C27" s="606">
        <v>2024</v>
      </c>
      <c r="D27" s="1367">
        <v>99.833132493478118</v>
      </c>
      <c r="E27" s="1368">
        <v>99.812331973717789</v>
      </c>
      <c r="F27" s="1368">
        <v>99.852083942902254</v>
      </c>
      <c r="G27" s="1368"/>
      <c r="H27" s="1368">
        <v>99.950822449005614</v>
      </c>
      <c r="I27" s="1369">
        <v>99.524807359862137</v>
      </c>
      <c r="J27" s="1369"/>
      <c r="K27" s="1369">
        <v>99.953306096754062</v>
      </c>
      <c r="L27" s="1369">
        <v>98.991669475610351</v>
      </c>
      <c r="M27" s="1369">
        <v>99.947571270304422</v>
      </c>
      <c r="N27" s="1369">
        <v>99.967646809232861</v>
      </c>
      <c r="O27" s="1369">
        <v>99.442202829647698</v>
      </c>
      <c r="P27" s="1369">
        <v>99.959497324167472</v>
      </c>
      <c r="Q27" s="1369"/>
      <c r="R27" s="1368">
        <v>99.64000206302542</v>
      </c>
      <c r="S27" s="1368">
        <v>99.667753877777898</v>
      </c>
      <c r="T27" s="1368">
        <v>99.858792001649149</v>
      </c>
      <c r="U27" s="1368">
        <v>99.871357004148308</v>
      </c>
      <c r="V27" s="1368">
        <v>99.857836082627614</v>
      </c>
      <c r="W27" s="1368">
        <v>99.852349046262646</v>
      </c>
      <c r="X27" s="1368">
        <v>99.89089314793938</v>
      </c>
    </row>
    <row r="28" spans="3:24" x14ac:dyDescent="0.4">
      <c r="C28" s="2285" t="s">
        <v>8115</v>
      </c>
      <c r="D28" s="1364"/>
      <c r="E28" s="1365"/>
      <c r="F28" s="1365"/>
      <c r="G28" s="1365"/>
      <c r="H28" s="1365"/>
      <c r="I28" s="1366"/>
      <c r="J28" s="1366"/>
      <c r="K28" s="1366"/>
      <c r="L28" s="1366"/>
      <c r="M28" s="1366"/>
      <c r="N28" s="1366"/>
      <c r="O28" s="1366"/>
      <c r="P28" s="1366"/>
      <c r="Q28" s="1366"/>
      <c r="R28" s="1365"/>
      <c r="S28" s="1365"/>
      <c r="T28" s="1365"/>
      <c r="U28" s="1365"/>
      <c r="V28" s="1365"/>
      <c r="W28" s="1365"/>
      <c r="X28" s="1365"/>
    </row>
    <row r="29" spans="3:24" x14ac:dyDescent="0.4">
      <c r="C29" s="226"/>
    </row>
    <row r="30" spans="3:24" x14ac:dyDescent="0.4">
      <c r="C30" s="226"/>
    </row>
    <row r="32" spans="3:24" ht="19.5" x14ac:dyDescent="0.4">
      <c r="C32" s="532" t="s">
        <v>8126</v>
      </c>
    </row>
    <row r="34" spans="3:5" x14ac:dyDescent="0.4">
      <c r="C34" s="649"/>
      <c r="D34" s="649"/>
      <c r="E34" s="649"/>
    </row>
    <row r="47" spans="3:5" x14ac:dyDescent="0.4">
      <c r="C47" s="155" t="s">
        <v>8105</v>
      </c>
    </row>
  </sheetData>
  <mergeCells count="15">
    <mergeCell ref="A5:B5"/>
    <mergeCell ref="C5:V5"/>
    <mergeCell ref="C1:D1"/>
    <mergeCell ref="A3:B3"/>
    <mergeCell ref="C3:V3"/>
    <mergeCell ref="A4:B4"/>
    <mergeCell ref="C4:V4"/>
    <mergeCell ref="A6:B6"/>
    <mergeCell ref="C6:V6"/>
    <mergeCell ref="C11:C12"/>
    <mergeCell ref="D11:D12"/>
    <mergeCell ref="E11:F11"/>
    <mergeCell ref="H11:I11"/>
    <mergeCell ref="K11:P11"/>
    <mergeCell ref="R11:X11"/>
  </mergeCells>
  <hyperlinks>
    <hyperlink ref="A1" location="'ODS 7.'!A1" display="REGRESAR" xr:uid="{16370C23-6975-4C43-9D13-0FCE377DA4B6}"/>
    <hyperlink ref="C1:D1" location="'Metadato 7.1.1'!A1" display="VER METADATO" xr:uid="{E5833D2E-5247-457F-AE00-D58A8665F1BE}"/>
  </hyperlink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38C0-7923-46AD-BAF0-56584B554C57}">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11" style="243" customWidth="1"/>
    <col min="2" max="2" width="26.42578125" style="243" customWidth="1"/>
    <col min="3" max="3" width="24" style="243" customWidth="1"/>
    <col min="4" max="4" width="85.7109375" style="243" customWidth="1"/>
    <col min="5" max="5" width="11.42578125" style="243"/>
    <col min="6" max="6" width="7.28515625" style="243" customWidth="1"/>
    <col min="7" max="7" width="0.5703125" style="243" customWidth="1"/>
    <col min="8" max="13" width="11.42578125" style="243"/>
    <col min="14" max="14" width="0.7109375" style="243" customWidth="1"/>
    <col min="15" max="16384" width="11.42578125" style="243"/>
  </cols>
  <sheetData>
    <row r="1" spans="1:6" x14ac:dyDescent="0.25">
      <c r="B1" s="223" t="s">
        <v>39</v>
      </c>
    </row>
    <row r="2" spans="1:6" ht="19.5" thickBot="1" x14ac:dyDescent="0.3"/>
    <row r="3" spans="1:6" ht="23.25" customHeight="1" thickBot="1" x14ac:dyDescent="0.3">
      <c r="B3" s="3084" t="s">
        <v>75</v>
      </c>
      <c r="C3" s="3084"/>
      <c r="D3" s="3084"/>
      <c r="F3" s="1046" t="s">
        <v>76</v>
      </c>
    </row>
    <row r="4" spans="1:6" ht="19.5" customHeight="1" x14ac:dyDescent="0.25">
      <c r="A4" s="1079"/>
      <c r="B4" s="2445" t="s">
        <v>234</v>
      </c>
      <c r="C4" s="2445"/>
      <c r="D4" s="49" t="s">
        <v>4698</v>
      </c>
    </row>
    <row r="5" spans="1:6" x14ac:dyDescent="0.25">
      <c r="B5" s="2445" t="s">
        <v>79</v>
      </c>
      <c r="C5" s="2445"/>
      <c r="D5" s="49" t="s">
        <v>4680</v>
      </c>
    </row>
    <row r="6" spans="1:6" x14ac:dyDescent="0.25">
      <c r="B6" s="2445" t="s">
        <v>80</v>
      </c>
      <c r="C6" s="2445"/>
      <c r="D6" s="50" t="s">
        <v>4681</v>
      </c>
    </row>
    <row r="7" spans="1:6" ht="15" customHeight="1" x14ac:dyDescent="0.25">
      <c r="B7" s="2446" t="s">
        <v>81</v>
      </c>
      <c r="C7" s="2446"/>
      <c r="D7" s="93" t="s">
        <v>4682</v>
      </c>
    </row>
    <row r="8" spans="1:6" ht="15" customHeight="1" x14ac:dyDescent="0.25">
      <c r="B8" s="2446" t="s">
        <v>82</v>
      </c>
      <c r="C8" s="2446"/>
      <c r="D8" s="1370" t="s">
        <v>4699</v>
      </c>
    </row>
    <row r="9" spans="1:6" x14ac:dyDescent="0.4">
      <c r="B9" s="115"/>
      <c r="C9" s="115"/>
      <c r="D9" s="115"/>
    </row>
    <row r="10" spans="1:6" ht="23.25" customHeight="1" x14ac:dyDescent="0.25">
      <c r="B10" s="3084" t="s">
        <v>85</v>
      </c>
      <c r="C10" s="3084"/>
      <c r="D10" s="3084"/>
    </row>
    <row r="11" spans="1:6" x14ac:dyDescent="0.25">
      <c r="B11" s="2487" t="s">
        <v>86</v>
      </c>
      <c r="C11" s="2456"/>
      <c r="D11" s="49" t="s">
        <v>167</v>
      </c>
    </row>
    <row r="12" spans="1:6" ht="37.5" x14ac:dyDescent="0.25">
      <c r="B12" s="2446" t="s">
        <v>88</v>
      </c>
      <c r="C12" s="2446"/>
      <c r="D12" s="184" t="s">
        <v>4700</v>
      </c>
    </row>
    <row r="13" spans="1:6" x14ac:dyDescent="0.25">
      <c r="B13" s="2445" t="s">
        <v>90</v>
      </c>
      <c r="C13" s="2445"/>
      <c r="D13" s="54" t="s">
        <v>4681</v>
      </c>
    </row>
    <row r="14" spans="1:6" x14ac:dyDescent="0.25">
      <c r="B14" s="2445" t="s">
        <v>91</v>
      </c>
      <c r="C14" s="2456"/>
      <c r="D14" s="54" t="s">
        <v>92</v>
      </c>
    </row>
    <row r="15" spans="1:6" ht="243.75" x14ac:dyDescent="0.25">
      <c r="B15" s="2445" t="s">
        <v>93</v>
      </c>
      <c r="C15" s="2445"/>
      <c r="D15" s="55" t="s">
        <v>4701</v>
      </c>
    </row>
    <row r="16" spans="1:6" ht="42.75" customHeight="1" x14ac:dyDescent="0.25">
      <c r="B16" s="2445" t="s">
        <v>95</v>
      </c>
      <c r="C16" s="2445"/>
      <c r="D16" s="55"/>
    </row>
    <row r="17" spans="2:4" x14ac:dyDescent="0.25">
      <c r="B17" s="2445" t="s">
        <v>97</v>
      </c>
      <c r="C17" s="2445"/>
      <c r="D17" s="55" t="s">
        <v>238</v>
      </c>
    </row>
    <row r="18" spans="2:4" ht="15" customHeight="1" x14ac:dyDescent="0.25">
      <c r="B18" s="2446" t="s">
        <v>99</v>
      </c>
      <c r="C18" s="2446"/>
      <c r="D18" s="49"/>
    </row>
    <row r="19" spans="2:4" ht="37.5" x14ac:dyDescent="0.25">
      <c r="B19" s="2457" t="s">
        <v>100</v>
      </c>
      <c r="C19" s="2458"/>
      <c r="D19" s="55" t="s">
        <v>4702</v>
      </c>
    </row>
    <row r="20" spans="2:4" x14ac:dyDescent="0.25">
      <c r="B20" s="2445" t="s">
        <v>102</v>
      </c>
      <c r="C20" s="2445"/>
      <c r="D20" s="55" t="s">
        <v>140</v>
      </c>
    </row>
    <row r="21" spans="2:4" x14ac:dyDescent="0.25">
      <c r="B21" s="2451" t="s">
        <v>104</v>
      </c>
      <c r="C21" s="95" t="s">
        <v>105</v>
      </c>
      <c r="D21" s="49" t="s">
        <v>1457</v>
      </c>
    </row>
    <row r="22" spans="2:4" x14ac:dyDescent="0.25">
      <c r="B22" s="2452"/>
      <c r="C22" s="96" t="s">
        <v>107</v>
      </c>
      <c r="D22" s="55" t="s">
        <v>1788</v>
      </c>
    </row>
    <row r="23" spans="2:4" x14ac:dyDescent="0.25">
      <c r="B23" s="2445" t="s">
        <v>109</v>
      </c>
      <c r="C23" s="2445"/>
      <c r="D23" s="55" t="s">
        <v>143</v>
      </c>
    </row>
    <row r="24" spans="2:4" x14ac:dyDescent="0.25">
      <c r="B24" s="2445" t="s">
        <v>111</v>
      </c>
      <c r="C24" s="2445"/>
      <c r="D24" s="49" t="s">
        <v>127</v>
      </c>
    </row>
    <row r="25" spans="2:4" x14ac:dyDescent="0.25">
      <c r="B25" s="2445" t="s">
        <v>113</v>
      </c>
      <c r="C25" s="2445"/>
      <c r="D25" s="55" t="s">
        <v>144</v>
      </c>
    </row>
    <row r="26" spans="2:4" ht="15" customHeight="1" x14ac:dyDescent="0.25">
      <c r="B26" s="2446" t="s">
        <v>115</v>
      </c>
      <c r="C26" s="2446"/>
      <c r="D26" s="50" t="s">
        <v>116</v>
      </c>
    </row>
    <row r="27" spans="2:4" x14ac:dyDescent="0.25">
      <c r="B27" s="2447" t="s">
        <v>117</v>
      </c>
      <c r="C27" s="2448"/>
      <c r="D27" s="49"/>
    </row>
    <row r="28" spans="2:4" ht="37.5" x14ac:dyDescent="0.25">
      <c r="B28" s="97" t="s">
        <v>118</v>
      </c>
      <c r="C28" s="98"/>
      <c r="D28" s="55" t="s">
        <v>4703</v>
      </c>
    </row>
    <row r="29" spans="2:4" x14ac:dyDescent="0.25">
      <c r="B29" s="2449" t="s">
        <v>120</v>
      </c>
      <c r="C29" s="2450"/>
      <c r="D29" s="62"/>
    </row>
    <row r="30" spans="2:4" x14ac:dyDescent="0.25">
      <c r="B30" s="63"/>
      <c r="C30" s="63"/>
      <c r="D30" s="64"/>
    </row>
    <row r="31" spans="2:4" ht="23.25" customHeight="1" x14ac:dyDescent="0.25">
      <c r="B31" s="3084" t="s">
        <v>121</v>
      </c>
      <c r="C31" s="3084"/>
      <c r="D31" s="3084"/>
    </row>
    <row r="32" spans="2:4" x14ac:dyDescent="0.25">
      <c r="B32" s="2447" t="s">
        <v>122</v>
      </c>
      <c r="C32" s="2448"/>
      <c r="D32" s="50" t="s">
        <v>123</v>
      </c>
    </row>
    <row r="33" spans="2:4" x14ac:dyDescent="0.25">
      <c r="B33" s="2447" t="s">
        <v>124</v>
      </c>
      <c r="C33" s="2448"/>
      <c r="D33" s="50" t="s">
        <v>4704</v>
      </c>
    </row>
    <row r="34" spans="2:4" x14ac:dyDescent="0.25">
      <c r="B34" s="2447" t="s">
        <v>126</v>
      </c>
      <c r="C34" s="2448"/>
      <c r="D34" s="50" t="s">
        <v>127</v>
      </c>
    </row>
    <row r="35" spans="2:4" x14ac:dyDescent="0.25">
      <c r="B35" s="2447" t="s">
        <v>128</v>
      </c>
      <c r="C35" s="2448"/>
      <c r="D35" s="50" t="s">
        <v>4705</v>
      </c>
    </row>
    <row r="36" spans="2:4" x14ac:dyDescent="0.25">
      <c r="B36" s="2447" t="s">
        <v>130</v>
      </c>
      <c r="C36" s="2448"/>
      <c r="D36" s="1312"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FAF347E-3E62-430E-9991-BCFDF43BEBFD}">
      <formula1>Tipo_operación</formula1>
    </dataValidation>
    <dataValidation type="list" allowBlank="1" showInputMessage="1" showErrorMessage="1" sqref="D14" xr:uid="{CB05C73E-76AD-4FD2-873D-C3F29634D9A2}">
      <formula1>Tipo_indicador</formula1>
    </dataValidation>
    <dataValidation type="list" allowBlank="1" showInputMessage="1" showErrorMessage="1" sqref="D7" xr:uid="{E5ABACD3-20B3-401B-A02B-900FFB575C23}">
      <formula1>Nombre_indicador_ODS</formula1>
    </dataValidation>
    <dataValidation type="list" allowBlank="1" showInputMessage="1" showErrorMessage="1" sqref="D6" xr:uid="{1E13A228-46BD-4F89-B94A-CBD287F48565}">
      <formula1>Numero_indicador</formula1>
    </dataValidation>
    <dataValidation type="list" allowBlank="1" showInputMessage="1" showErrorMessage="1" sqref="D5" xr:uid="{06BECE57-FF54-4F4D-80A9-E812F660AD42}">
      <formula1>Metas_ODS</formula1>
    </dataValidation>
    <dataValidation type="list" allowBlank="1" showInputMessage="1" showErrorMessage="1" sqref="D4" xr:uid="{62266C16-1C23-44C5-ADF7-4D913BD23A9D}">
      <formula1>ODS</formula1>
    </dataValidation>
    <dataValidation allowBlank="1" showDropDown="1" showInputMessage="1" showErrorMessage="1" sqref="D13" xr:uid="{9A601EFC-B1AE-4961-AA4E-D3DF78F8FEF2}"/>
  </dataValidations>
  <hyperlinks>
    <hyperlink ref="B1" location="'7.1.1'!A1" display="REGRESAR" xr:uid="{C3D6C0C0-6B4E-4302-8DB1-00FFAA84877A}"/>
    <hyperlink ref="D8" r:id="rId1" xr:uid="{B0F356DB-427D-46BB-A6EA-CBB639B20B9C}"/>
    <hyperlink ref="D36" r:id="rId2" xr:uid="{D57D0BA8-AED9-4E59-B870-E77C1C9A5F4A}"/>
  </hyperlinks>
  <pageMargins left="0.7" right="0.7" top="0.75" bottom="0.75" header="0.3" footer="0.3"/>
  <pageSetup orientation="portrait" r:id="rId3"/>
  <drawing r:id="rId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CB5F-82AD-4822-B74A-73F2E02D94CF}">
  <dimension ref="A1:X94"/>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2" width="15.42578125" style="115" customWidth="1"/>
    <col min="3" max="3" width="8" style="115" customWidth="1"/>
    <col min="4" max="4" width="10.5703125" style="115" customWidth="1"/>
    <col min="5" max="6" width="11.42578125" style="115"/>
    <col min="7" max="7" width="0.7109375" style="115" customWidth="1"/>
    <col min="8" max="9" width="11.42578125" style="115"/>
    <col min="10" max="10" width="0.7109375" style="115" customWidth="1"/>
    <col min="11" max="16" width="11.42578125" style="115"/>
    <col min="17" max="17" width="0.7109375" style="115" customWidth="1"/>
    <col min="18" max="16384" width="11.42578125" style="115"/>
  </cols>
  <sheetData>
    <row r="1" spans="1:24" s="1032" customFormat="1" ht="18" customHeight="1" x14ac:dyDescent="0.4">
      <c r="A1" s="15" t="s">
        <v>39</v>
      </c>
      <c r="C1" s="2421" t="s">
        <v>149</v>
      </c>
      <c r="D1" s="2421"/>
    </row>
    <row r="2" spans="1:24" s="1032" customFormat="1" ht="19.5" x14ac:dyDescent="0.4"/>
    <row r="3" spans="1:24" s="1032" customFormat="1" ht="19.5" x14ac:dyDescent="0.4">
      <c r="A3" s="3077" t="s">
        <v>41</v>
      </c>
      <c r="B3" s="3083"/>
      <c r="C3" s="3077" t="s">
        <v>4679</v>
      </c>
      <c r="D3" s="3086"/>
      <c r="E3" s="3086"/>
      <c r="F3" s="3086"/>
      <c r="G3" s="3086"/>
      <c r="H3" s="3086"/>
      <c r="I3" s="3086"/>
      <c r="J3" s="3086"/>
      <c r="K3" s="3086"/>
      <c r="L3" s="3086"/>
      <c r="M3" s="3086"/>
      <c r="N3" s="3086"/>
      <c r="O3" s="3086"/>
      <c r="P3" s="3086"/>
      <c r="Q3" s="3086"/>
      <c r="R3" s="3086"/>
      <c r="S3" s="3086"/>
      <c r="T3" s="3086"/>
      <c r="U3" s="3086"/>
      <c r="V3" s="1371"/>
    </row>
    <row r="4" spans="1:24" s="1032" customFormat="1" ht="19.5" x14ac:dyDescent="0.4">
      <c r="A4" s="3077" t="s">
        <v>42</v>
      </c>
      <c r="B4" s="3078"/>
      <c r="C4" s="3077" t="s">
        <v>4680</v>
      </c>
      <c r="D4" s="3086"/>
      <c r="E4" s="3086"/>
      <c r="F4" s="3086"/>
      <c r="G4" s="3086"/>
      <c r="H4" s="3086"/>
      <c r="I4" s="3086"/>
      <c r="J4" s="3086"/>
      <c r="K4" s="3086"/>
      <c r="L4" s="3086"/>
      <c r="M4" s="3086"/>
      <c r="N4" s="3086"/>
      <c r="O4" s="3086"/>
      <c r="P4" s="3086"/>
      <c r="Q4" s="3086"/>
      <c r="R4" s="3086"/>
      <c r="S4" s="3086"/>
      <c r="T4" s="3086"/>
      <c r="U4" s="3086"/>
      <c r="V4" s="1371"/>
    </row>
    <row r="5" spans="1:24" s="1032" customFormat="1" ht="19.5" x14ac:dyDescent="0.4">
      <c r="A5" s="3077" t="s">
        <v>43</v>
      </c>
      <c r="B5" s="3078"/>
      <c r="C5" s="3077" t="s">
        <v>4684</v>
      </c>
      <c r="D5" s="3086"/>
      <c r="E5" s="3086"/>
      <c r="F5" s="3086"/>
      <c r="G5" s="3086"/>
      <c r="H5" s="3086"/>
      <c r="I5" s="3086"/>
      <c r="J5" s="3086"/>
      <c r="K5" s="3086"/>
      <c r="L5" s="3086"/>
      <c r="M5" s="3086"/>
      <c r="N5" s="3086"/>
      <c r="O5" s="3086"/>
      <c r="P5" s="3086"/>
      <c r="Q5" s="3086"/>
      <c r="R5" s="3086"/>
      <c r="S5" s="3086"/>
      <c r="T5" s="3086"/>
      <c r="U5" s="3086"/>
      <c r="V5" s="1371"/>
    </row>
    <row r="6" spans="1:24" s="1032" customFormat="1" ht="73.150000000000006" customHeight="1" x14ac:dyDescent="0.4">
      <c r="A6" s="3077" t="s">
        <v>132</v>
      </c>
      <c r="B6" s="3078"/>
      <c r="C6" s="3085" t="s">
        <v>4706</v>
      </c>
      <c r="D6" s="3086"/>
      <c r="E6" s="3086"/>
      <c r="F6" s="3086"/>
      <c r="G6" s="3086"/>
      <c r="H6" s="3086"/>
      <c r="I6" s="3086"/>
      <c r="J6" s="3086"/>
      <c r="K6" s="3086"/>
      <c r="L6" s="3086"/>
      <c r="M6" s="3086"/>
      <c r="N6" s="3086"/>
      <c r="O6" s="3086"/>
      <c r="P6" s="3086"/>
      <c r="Q6" s="3086"/>
      <c r="R6" s="3086"/>
      <c r="S6" s="3086"/>
      <c r="T6" s="3086"/>
      <c r="U6" s="3086"/>
      <c r="V6" s="1371"/>
    </row>
    <row r="10" spans="1:24" ht="12.75" customHeight="1" x14ac:dyDescent="0.4">
      <c r="C10" s="163" t="s">
        <v>4707</v>
      </c>
      <c r="D10" s="1372"/>
      <c r="E10" s="1372"/>
      <c r="F10" s="1372"/>
      <c r="G10" s="1372"/>
      <c r="H10" s="1372"/>
      <c r="I10" s="1372"/>
      <c r="J10" s="1372"/>
      <c r="K10" s="1372"/>
      <c r="L10" s="1372"/>
      <c r="M10" s="1372"/>
      <c r="N10" s="1372"/>
      <c r="O10" s="1372"/>
      <c r="P10" s="1372"/>
      <c r="Q10" s="1372"/>
      <c r="R10" s="1372"/>
      <c r="S10" s="1372"/>
      <c r="T10" s="1372"/>
      <c r="U10" s="1372"/>
      <c r="V10" s="1372"/>
      <c r="W10" s="1372"/>
      <c r="X10" s="1372"/>
    </row>
    <row r="11" spans="1:24" ht="12.75" customHeight="1" x14ac:dyDescent="0.4">
      <c r="C11" s="226"/>
      <c r="D11" s="226"/>
      <c r="E11" s="226"/>
      <c r="F11" s="226"/>
      <c r="G11" s="226"/>
      <c r="H11" s="226"/>
      <c r="I11" s="226"/>
      <c r="J11" s="226"/>
      <c r="K11" s="226"/>
      <c r="L11" s="226"/>
      <c r="M11" s="226"/>
      <c r="N11" s="226"/>
      <c r="O11" s="226"/>
      <c r="P11" s="226"/>
      <c r="Q11" s="226"/>
      <c r="R11" s="226"/>
      <c r="S11" s="226"/>
      <c r="T11" s="226"/>
      <c r="U11" s="226"/>
      <c r="V11" s="226"/>
      <c r="W11" s="226"/>
      <c r="X11" s="226"/>
    </row>
    <row r="12" spans="1:24" ht="12.75" customHeight="1" x14ac:dyDescent="0.4">
      <c r="C12" s="3080" t="s">
        <v>46</v>
      </c>
      <c r="D12" s="3080" t="s">
        <v>47</v>
      </c>
      <c r="E12" s="3082" t="s">
        <v>48</v>
      </c>
      <c r="F12" s="3082"/>
      <c r="G12" s="1361"/>
      <c r="H12" s="3082" t="s">
        <v>49</v>
      </c>
      <c r="I12" s="3082"/>
      <c r="J12" s="1361"/>
      <c r="K12" s="3082" t="s">
        <v>50</v>
      </c>
      <c r="L12" s="3082"/>
      <c r="M12" s="3082"/>
      <c r="N12" s="3082"/>
      <c r="O12" s="3082"/>
      <c r="P12" s="3082"/>
      <c r="Q12" s="1361"/>
      <c r="R12" s="3082" t="s">
        <v>52</v>
      </c>
      <c r="S12" s="3082"/>
      <c r="T12" s="3082"/>
      <c r="U12" s="3082"/>
      <c r="V12" s="3082"/>
      <c r="W12" s="3082"/>
      <c r="X12" s="3082"/>
    </row>
    <row r="13" spans="1:24" ht="37.5" x14ac:dyDescent="0.4">
      <c r="C13" s="3081"/>
      <c r="D13" s="3081"/>
      <c r="E13" s="1362" t="s">
        <v>53</v>
      </c>
      <c r="F13" s="1362" t="s">
        <v>54</v>
      </c>
      <c r="G13" s="1362"/>
      <c r="H13" s="1362" t="s">
        <v>55</v>
      </c>
      <c r="I13" s="1362" t="s">
        <v>56</v>
      </c>
      <c r="J13" s="1362"/>
      <c r="K13" s="1362" t="s">
        <v>57</v>
      </c>
      <c r="L13" s="1362" t="s">
        <v>58</v>
      </c>
      <c r="M13" s="1362" t="s">
        <v>59</v>
      </c>
      <c r="N13" s="1362" t="s">
        <v>60</v>
      </c>
      <c r="O13" s="1363" t="s">
        <v>61</v>
      </c>
      <c r="P13" s="1363" t="s">
        <v>62</v>
      </c>
      <c r="Q13" s="1363"/>
      <c r="R13" s="1362" t="s">
        <v>66</v>
      </c>
      <c r="S13" s="1363" t="s">
        <v>67</v>
      </c>
      <c r="T13" s="1362" t="s">
        <v>68</v>
      </c>
      <c r="U13" s="1362" t="s">
        <v>69</v>
      </c>
      <c r="V13" s="1362" t="s">
        <v>70</v>
      </c>
      <c r="W13" s="1362" t="s">
        <v>71</v>
      </c>
      <c r="X13" s="1362" t="s">
        <v>72</v>
      </c>
    </row>
    <row r="14" spans="1:24" x14ac:dyDescent="0.4">
      <c r="C14" s="198">
        <v>2010</v>
      </c>
      <c r="D14" s="1373">
        <v>92.482438935929196</v>
      </c>
      <c r="E14" s="1374">
        <v>91.725545042297256</v>
      </c>
      <c r="F14" s="1374">
        <v>93.198675175756222</v>
      </c>
      <c r="G14" s="1374"/>
      <c r="H14" s="1374">
        <v>97.707859700603578</v>
      </c>
      <c r="I14" s="1375">
        <v>78.491141833575213</v>
      </c>
      <c r="J14" s="1375"/>
      <c r="K14" s="1375">
        <v>96.450321380790868</v>
      </c>
      <c r="L14" s="1375">
        <v>79.701824352489382</v>
      </c>
      <c r="M14" s="1375">
        <v>93.093479834097224</v>
      </c>
      <c r="N14" s="1375">
        <v>80.590166585332753</v>
      </c>
      <c r="O14" s="1375">
        <v>91.720207253886016</v>
      </c>
      <c r="P14" s="1375">
        <v>84.757819615189035</v>
      </c>
      <c r="R14" s="1375">
        <v>93.436761877718538</v>
      </c>
      <c r="S14" s="1374">
        <v>91.602810690800879</v>
      </c>
      <c r="T14" s="1374">
        <v>90.659357009602502</v>
      </c>
      <c r="U14" s="1374">
        <v>93.568319793763578</v>
      </c>
      <c r="V14" s="1374">
        <v>94.593904107076412</v>
      </c>
      <c r="W14" s="1374">
        <v>92.258582336111374</v>
      </c>
      <c r="X14" s="1374">
        <v>89.447386271329805</v>
      </c>
    </row>
    <row r="15" spans="1:24" x14ac:dyDescent="0.4">
      <c r="C15" s="198">
        <v>2011</v>
      </c>
      <c r="D15" s="1373">
        <v>93.12085805381389</v>
      </c>
      <c r="E15" s="1374">
        <v>92.29907777800112</v>
      </c>
      <c r="F15" s="1374">
        <v>93.902446796171688</v>
      </c>
      <c r="G15" s="1374"/>
      <c r="H15" s="1374">
        <v>98.229622094249265</v>
      </c>
      <c r="I15" s="1375">
        <v>79.44720419820591</v>
      </c>
      <c r="J15" s="1375"/>
      <c r="K15" s="1375">
        <v>96.92135823597296</v>
      </c>
      <c r="L15" s="1375">
        <v>78.613650302269207</v>
      </c>
      <c r="M15" s="1375">
        <v>94.529377990430618</v>
      </c>
      <c r="N15" s="1375">
        <v>82.176506180309445</v>
      </c>
      <c r="O15" s="1375">
        <v>92.062420632704544</v>
      </c>
      <c r="P15" s="1375">
        <v>87.241685842724451</v>
      </c>
      <c r="R15" s="1375">
        <v>94.202852963842531</v>
      </c>
      <c r="S15" s="1374">
        <v>92.63302219084359</v>
      </c>
      <c r="T15" s="1374">
        <v>91.346921751659451</v>
      </c>
      <c r="U15" s="1374">
        <v>93.667258840758265</v>
      </c>
      <c r="V15" s="1374">
        <v>95.222358867570534</v>
      </c>
      <c r="W15" s="1374">
        <v>92.899920455706649</v>
      </c>
      <c r="X15" s="1374">
        <v>90.160031490505347</v>
      </c>
    </row>
    <row r="16" spans="1:24" x14ac:dyDescent="0.4">
      <c r="C16" s="198">
        <v>2012</v>
      </c>
      <c r="D16" s="1373">
        <v>93.366115077380599</v>
      </c>
      <c r="E16" s="1374">
        <v>92.724889904775353</v>
      </c>
      <c r="F16" s="1374">
        <v>93.975419149951406</v>
      </c>
      <c r="G16" s="1374"/>
      <c r="H16" s="1374">
        <v>98.112247686433236</v>
      </c>
      <c r="I16" s="1375">
        <v>80.678717558505838</v>
      </c>
      <c r="J16" s="1375"/>
      <c r="K16" s="1375">
        <v>96.99477289001608</v>
      </c>
      <c r="L16" s="1375">
        <v>79.963074559001868</v>
      </c>
      <c r="M16" s="1375">
        <v>93.907514842066874</v>
      </c>
      <c r="N16" s="1375">
        <v>83.031216804303881</v>
      </c>
      <c r="O16" s="1375">
        <v>93.17572759581212</v>
      </c>
      <c r="P16" s="1375">
        <v>86.958958417306704</v>
      </c>
      <c r="R16" s="1375">
        <v>93.690997895712272</v>
      </c>
      <c r="S16" s="1374">
        <v>93.187977703349091</v>
      </c>
      <c r="T16" s="1374">
        <v>92.501851606605939</v>
      </c>
      <c r="U16" s="1374">
        <v>93.422345278234687</v>
      </c>
      <c r="V16" s="1374">
        <v>95.019034346587148</v>
      </c>
      <c r="W16" s="1374">
        <v>93.589517677623405</v>
      </c>
      <c r="X16" s="1374">
        <v>89.964541099865244</v>
      </c>
    </row>
    <row r="17" spans="3:24" x14ac:dyDescent="0.4">
      <c r="C17" s="198">
        <v>2013</v>
      </c>
      <c r="D17" s="1373">
        <v>93.741577330662693</v>
      </c>
      <c r="E17" s="1374">
        <v>93.062658891698007</v>
      </c>
      <c r="F17" s="1374">
        <v>94.376288867225838</v>
      </c>
      <c r="G17" s="1374"/>
      <c r="H17" s="1374">
        <v>98.023747588655226</v>
      </c>
      <c r="I17" s="1375">
        <v>82.314521993276429</v>
      </c>
      <c r="J17" s="1375"/>
      <c r="K17" s="1375">
        <v>96.872407979005487</v>
      </c>
      <c r="L17" s="1375">
        <v>82.393598698959281</v>
      </c>
      <c r="M17" s="1375">
        <v>93.663031769688203</v>
      </c>
      <c r="N17" s="1375">
        <v>82.549966556700554</v>
      </c>
      <c r="O17" s="1375">
        <v>95.112286586880458</v>
      </c>
      <c r="P17" s="1375">
        <v>88.869250777479749</v>
      </c>
      <c r="R17" s="1375">
        <v>93.488861320877774</v>
      </c>
      <c r="S17" s="1374">
        <v>93.721710388377062</v>
      </c>
      <c r="T17" s="1374">
        <v>93.495495408128619</v>
      </c>
      <c r="U17" s="1374">
        <v>93.994158184643666</v>
      </c>
      <c r="V17" s="1374">
        <v>95.103754372094656</v>
      </c>
      <c r="W17" s="1374">
        <v>94.005655468270504</v>
      </c>
      <c r="X17" s="1374">
        <v>90.456695247548765</v>
      </c>
    </row>
    <row r="18" spans="3:24" x14ac:dyDescent="0.4">
      <c r="C18" s="198">
        <v>2014</v>
      </c>
      <c r="D18" s="1373">
        <v>93.688080169351096</v>
      </c>
      <c r="E18" s="1374">
        <v>93.188552006116694</v>
      </c>
      <c r="F18" s="1374">
        <v>94.162858754383521</v>
      </c>
      <c r="G18" s="1374"/>
      <c r="H18" s="1374">
        <v>98.0516179309367</v>
      </c>
      <c r="I18" s="1375">
        <v>82.061988979463962</v>
      </c>
      <c r="J18" s="1375"/>
      <c r="K18" s="1375">
        <v>96.902013489583709</v>
      </c>
      <c r="L18" s="1375">
        <v>79.587111926115355</v>
      </c>
      <c r="M18" s="1375">
        <v>93.44750855769685</v>
      </c>
      <c r="N18" s="1375">
        <v>84.11501210314178</v>
      </c>
      <c r="O18" s="1375">
        <v>95.17719960853286</v>
      </c>
      <c r="P18" s="1375">
        <v>89.302619122751665</v>
      </c>
      <c r="R18" s="1375">
        <v>93.852497735393982</v>
      </c>
      <c r="S18" s="1374">
        <v>93.310567040025489</v>
      </c>
      <c r="T18" s="1374">
        <v>92.793526327351216</v>
      </c>
      <c r="U18" s="1374">
        <v>94.003136233615137</v>
      </c>
      <c r="V18" s="1374">
        <v>95.773477497904466</v>
      </c>
      <c r="W18" s="1374">
        <v>93.648934295742521</v>
      </c>
      <c r="X18" s="1374">
        <v>90.629432464944244</v>
      </c>
    </row>
    <row r="19" spans="3:24" x14ac:dyDescent="0.4">
      <c r="C19" s="198">
        <v>2015</v>
      </c>
      <c r="D19" s="1373">
        <v>93.970025768802373</v>
      </c>
      <c r="E19" s="1374">
        <v>93.434069873369467</v>
      </c>
      <c r="F19" s="1374">
        <v>94.477213674573562</v>
      </c>
      <c r="G19" s="1374"/>
      <c r="H19" s="1374">
        <v>97.571457487054772</v>
      </c>
      <c r="I19" s="1375">
        <v>84.393926433819885</v>
      </c>
      <c r="J19" s="1375"/>
      <c r="K19" s="1375">
        <v>96.718735671443625</v>
      </c>
      <c r="L19" s="1375">
        <v>83.60312102868231</v>
      </c>
      <c r="M19" s="1375">
        <v>93.104482300695395</v>
      </c>
      <c r="N19" s="1375">
        <v>85.973745879507462</v>
      </c>
      <c r="O19" s="1375">
        <v>94.481231115300673</v>
      </c>
      <c r="P19" s="1375">
        <v>89.84474572927455</v>
      </c>
      <c r="R19" s="1375">
        <v>94.392913931585596</v>
      </c>
      <c r="S19" s="1374">
        <v>93.79200997398091</v>
      </c>
      <c r="T19" s="1374">
        <v>93.258725888501573</v>
      </c>
      <c r="U19" s="1374">
        <v>94.820173938213784</v>
      </c>
      <c r="V19" s="1374">
        <v>95.773663580629247</v>
      </c>
      <c r="W19" s="1374">
        <v>93.824127005352565</v>
      </c>
      <c r="X19" s="1374">
        <v>90.334696527686972</v>
      </c>
    </row>
    <row r="20" spans="3:24" x14ac:dyDescent="0.4">
      <c r="C20" s="198">
        <v>2016</v>
      </c>
      <c r="D20" s="1373">
        <v>95.050515751073362</v>
      </c>
      <c r="E20" s="1374">
        <v>94.478942975676333</v>
      </c>
      <c r="F20" s="1374">
        <v>95.589673603099229</v>
      </c>
      <c r="G20" s="1374"/>
      <c r="H20" s="1374">
        <v>98.022427393088662</v>
      </c>
      <c r="I20" s="1375">
        <v>87.161761210851139</v>
      </c>
      <c r="J20" s="1375"/>
      <c r="K20" s="1375">
        <v>97.136988625825566</v>
      </c>
      <c r="L20" s="1375">
        <v>87.190767558375455</v>
      </c>
      <c r="M20" s="1375">
        <v>95.356166597567224</v>
      </c>
      <c r="N20" s="1375">
        <v>90.328185970202199</v>
      </c>
      <c r="O20" s="1375">
        <v>95.599495315268541</v>
      </c>
      <c r="P20" s="1375">
        <v>89.835226404522999</v>
      </c>
      <c r="R20" s="1375">
        <v>95.552692566096894</v>
      </c>
      <c r="S20" s="1374">
        <v>95.076023824497796</v>
      </c>
      <c r="T20" s="1374">
        <v>94.240414335483763</v>
      </c>
      <c r="U20" s="1374">
        <v>95.319373220317644</v>
      </c>
      <c r="V20" s="1374">
        <v>96.680531371017352</v>
      </c>
      <c r="W20" s="1374">
        <v>94.970572047091963</v>
      </c>
      <c r="X20" s="1374">
        <v>92.32837633159464</v>
      </c>
    </row>
    <row r="21" spans="3:24" x14ac:dyDescent="0.4">
      <c r="C21" s="198">
        <v>2017</v>
      </c>
      <c r="D21" s="1373">
        <v>95.425475569571631</v>
      </c>
      <c r="E21" s="1374">
        <v>94.869381735225105</v>
      </c>
      <c r="F21" s="1374">
        <v>95.951931946617634</v>
      </c>
      <c r="G21" s="1374"/>
      <c r="H21" s="1374">
        <v>98.086896970270615</v>
      </c>
      <c r="I21" s="1375">
        <v>88.368189099606525</v>
      </c>
      <c r="J21" s="1375"/>
      <c r="K21" s="1375">
        <v>97.289950498867668</v>
      </c>
      <c r="L21" s="1375">
        <v>88.075262232896208</v>
      </c>
      <c r="M21" s="1375">
        <v>95.269802836388791</v>
      </c>
      <c r="N21" s="1375">
        <v>92.353196659574593</v>
      </c>
      <c r="O21" s="1375">
        <v>96.36756226119418</v>
      </c>
      <c r="P21" s="1375">
        <v>89.889057678495007</v>
      </c>
      <c r="R21" s="1375">
        <v>96.293522725758535</v>
      </c>
      <c r="S21" s="1374">
        <v>95.511641321038567</v>
      </c>
      <c r="T21" s="1374">
        <v>94.576131086961809</v>
      </c>
      <c r="U21" s="1374">
        <v>96.090575358224356</v>
      </c>
      <c r="V21" s="1374">
        <v>96.898315435285838</v>
      </c>
      <c r="W21" s="1374">
        <v>95.238527734188679</v>
      </c>
      <c r="X21" s="1374">
        <v>92.899820810214393</v>
      </c>
    </row>
    <row r="22" spans="3:24" x14ac:dyDescent="0.4">
      <c r="C22" s="198">
        <v>2018</v>
      </c>
      <c r="D22" s="1373">
        <v>95.453479873684785</v>
      </c>
      <c r="E22" s="1374">
        <v>94.985244551462728</v>
      </c>
      <c r="F22" s="1374">
        <v>95.89627832281495</v>
      </c>
      <c r="G22" s="1374"/>
      <c r="H22" s="1374">
        <v>98.278544001577544</v>
      </c>
      <c r="I22" s="1375">
        <v>87.981074278720953</v>
      </c>
      <c r="J22" s="1375"/>
      <c r="K22" s="1375">
        <v>97.156685263925624</v>
      </c>
      <c r="L22" s="1375">
        <v>88.765333117444428</v>
      </c>
      <c r="M22" s="1375">
        <v>96.487161683820716</v>
      </c>
      <c r="N22" s="1375">
        <v>92.371197607078344</v>
      </c>
      <c r="O22" s="1375">
        <v>94.947563396985728</v>
      </c>
      <c r="P22" s="1375">
        <v>91.354698117513678</v>
      </c>
      <c r="R22" s="1375">
        <v>95.645468565726205</v>
      </c>
      <c r="S22" s="1374">
        <v>95.857893552424301</v>
      </c>
      <c r="T22" s="1374">
        <v>95.122629825602431</v>
      </c>
      <c r="U22" s="1374">
        <v>96.014119146919924</v>
      </c>
      <c r="V22" s="1374">
        <v>96.877083330839824</v>
      </c>
      <c r="W22" s="1374">
        <v>95.490066164539371</v>
      </c>
      <c r="X22" s="1374">
        <v>92.295664846773803</v>
      </c>
    </row>
    <row r="23" spans="3:24" x14ac:dyDescent="0.4">
      <c r="C23" s="198">
        <v>2019</v>
      </c>
      <c r="D23" s="1373">
        <v>95.641012465092018</v>
      </c>
      <c r="E23" s="1374">
        <v>95.316243387171156</v>
      </c>
      <c r="F23" s="1374">
        <v>95.946445028147764</v>
      </c>
      <c r="G23" s="1374"/>
      <c r="H23" s="1374">
        <v>98.498245587266425</v>
      </c>
      <c r="I23" s="1375">
        <v>88.094326533079638</v>
      </c>
      <c r="J23" s="1375"/>
      <c r="K23" s="1375">
        <v>97.474302271456196</v>
      </c>
      <c r="L23" s="1375">
        <v>89.373543078561838</v>
      </c>
      <c r="M23" s="1375">
        <v>96.85549148460116</v>
      </c>
      <c r="N23" s="1375">
        <v>91.298032017724879</v>
      </c>
      <c r="O23" s="1375">
        <v>96.057950890267691</v>
      </c>
      <c r="P23" s="1375">
        <v>90.190074680799796</v>
      </c>
      <c r="R23" s="1375">
        <v>95.833754676913742</v>
      </c>
      <c r="S23" s="1374">
        <v>95.65869507652998</v>
      </c>
      <c r="T23" s="1374">
        <v>95.723844597748837</v>
      </c>
      <c r="U23" s="1374">
        <v>96.316124353465966</v>
      </c>
      <c r="V23" s="1374">
        <v>96.785279240096642</v>
      </c>
      <c r="W23" s="1374">
        <v>95.667409309264201</v>
      </c>
      <c r="X23" s="1374">
        <v>92.978827732343305</v>
      </c>
    </row>
    <row r="24" spans="3:24" x14ac:dyDescent="0.4">
      <c r="C24" s="198">
        <v>2020</v>
      </c>
      <c r="D24" s="1373">
        <v>95.350867325128803</v>
      </c>
      <c r="E24" s="1374">
        <v>95.038114836900434</v>
      </c>
      <c r="F24" s="1374">
        <v>95.645565425955155</v>
      </c>
      <c r="G24" s="1374"/>
      <c r="H24" s="1374">
        <v>98.339155792830141</v>
      </c>
      <c r="I24" s="1375">
        <v>87.463821515918539</v>
      </c>
      <c r="J24" s="1375"/>
      <c r="K24" s="1375">
        <v>97.124341928446086</v>
      </c>
      <c r="L24" s="1375">
        <v>89.377025201377393</v>
      </c>
      <c r="M24" s="1375">
        <v>95.424083181672543</v>
      </c>
      <c r="N24" s="1375">
        <v>91.683581492522791</v>
      </c>
      <c r="O24" s="1375">
        <v>95.508379548338866</v>
      </c>
      <c r="P24" s="1375">
        <v>90.625733030998774</v>
      </c>
      <c r="R24" s="1375">
        <v>95.773517749539479</v>
      </c>
      <c r="S24" s="1374">
        <v>95.464558152231604</v>
      </c>
      <c r="T24" s="1374">
        <v>95.072319604937277</v>
      </c>
      <c r="U24" s="1374">
        <v>95.370764832389767</v>
      </c>
      <c r="V24" s="1374">
        <v>96.414648300296264</v>
      </c>
      <c r="W24" s="1374">
        <v>95.490887607570613</v>
      </c>
      <c r="X24" s="1374">
        <v>93.395306060862495</v>
      </c>
    </row>
    <row r="25" spans="3:24" x14ac:dyDescent="0.4">
      <c r="C25" s="198">
        <v>2021</v>
      </c>
      <c r="D25" s="1373">
        <v>95.63616158536999</v>
      </c>
      <c r="E25" s="1374">
        <v>95.238333096338295</v>
      </c>
      <c r="F25" s="1374">
        <v>96.004538703187166</v>
      </c>
      <c r="G25" s="1374"/>
      <c r="H25" s="1374">
        <v>98.293746131288145</v>
      </c>
      <c r="I25" s="1375">
        <v>88.631866963517481</v>
      </c>
      <c r="J25" s="1375"/>
      <c r="K25" s="1375">
        <v>97.300799207155407</v>
      </c>
      <c r="L25" s="1375">
        <v>88.885188514594631</v>
      </c>
      <c r="M25" s="1375">
        <v>96.445344155907549</v>
      </c>
      <c r="N25" s="1375">
        <v>92.666169907705054</v>
      </c>
      <c r="O25" s="1375">
        <v>95.766177583597084</v>
      </c>
      <c r="P25" s="1375">
        <v>91.397839446518276</v>
      </c>
      <c r="R25" s="1375">
        <v>95.871754903249638</v>
      </c>
      <c r="S25" s="1374">
        <v>95.667178070982914</v>
      </c>
      <c r="T25" s="1374">
        <v>96.280115349991618</v>
      </c>
      <c r="U25" s="1374">
        <v>95.945138804506499</v>
      </c>
      <c r="V25" s="1374">
        <v>96.566149301447638</v>
      </c>
      <c r="W25" s="1374">
        <v>95.878686015499028</v>
      </c>
      <c r="X25" s="1374">
        <v>93.000758182111426</v>
      </c>
    </row>
    <row r="26" spans="3:24" x14ac:dyDescent="0.4">
      <c r="C26" s="198">
        <v>2022</v>
      </c>
      <c r="D26" s="1373">
        <v>96.11754528644974</v>
      </c>
      <c r="E26" s="1374">
        <v>95.780807531308412</v>
      </c>
      <c r="F26" s="1374">
        <v>96.424731942007853</v>
      </c>
      <c r="G26" s="1374"/>
      <c r="H26" s="1374">
        <v>98.492964812812005</v>
      </c>
      <c r="I26" s="1375">
        <v>89.871240153300448</v>
      </c>
      <c r="J26" s="1375"/>
      <c r="K26" s="1375">
        <v>97.744796419482654</v>
      </c>
      <c r="L26" s="1375">
        <v>89.023724678159809</v>
      </c>
      <c r="M26" s="1375">
        <v>95.560307928090253</v>
      </c>
      <c r="N26" s="1375">
        <v>93.960550832030492</v>
      </c>
      <c r="O26" s="1375">
        <v>95.549246253615493</v>
      </c>
      <c r="P26" s="1375">
        <v>93.566688026363963</v>
      </c>
      <c r="R26" s="1375">
        <v>97.026873050665799</v>
      </c>
      <c r="S26" s="1374">
        <v>95.942709498410537</v>
      </c>
      <c r="T26" s="1374">
        <v>95.783405362667054</v>
      </c>
      <c r="U26" s="1374">
        <v>96.975541365463286</v>
      </c>
      <c r="V26" s="1374">
        <v>97.128246572288489</v>
      </c>
      <c r="W26" s="1374">
        <v>96.14096618244271</v>
      </c>
      <c r="X26" s="1374">
        <v>94.156952888233249</v>
      </c>
    </row>
    <row r="27" spans="3:24" x14ac:dyDescent="0.4">
      <c r="C27" s="2368">
        <v>2023</v>
      </c>
      <c r="D27" s="1373">
        <v>96.628545115190406</v>
      </c>
      <c r="E27" s="1374">
        <v>96.297144011579633</v>
      </c>
      <c r="F27" s="1374">
        <v>96.927321809961938</v>
      </c>
      <c r="G27" s="1374"/>
      <c r="H27" s="1374">
        <v>98.744185130994481</v>
      </c>
      <c r="I27" s="1375">
        <v>91.075160962759156</v>
      </c>
      <c r="J27" s="1375"/>
      <c r="K27" s="1375">
        <v>98.286696930649569</v>
      </c>
      <c r="L27" s="1375">
        <v>89.137652187276643</v>
      </c>
      <c r="M27" s="1375">
        <v>98.499748534700629</v>
      </c>
      <c r="N27" s="1375">
        <v>94.180691796930134</v>
      </c>
      <c r="O27" s="1375">
        <v>97.128566915868163</v>
      </c>
      <c r="P27" s="1375">
        <v>91.651748364984115</v>
      </c>
      <c r="Q27" s="2296"/>
      <c r="R27" s="1375">
        <v>96.774573833494443</v>
      </c>
      <c r="S27" s="1374">
        <v>96.098417700741905</v>
      </c>
      <c r="T27" s="1374">
        <v>96.531392929290377</v>
      </c>
      <c r="U27" s="1374">
        <v>97.399049479019666</v>
      </c>
      <c r="V27" s="1374">
        <v>97.427233557757702</v>
      </c>
      <c r="W27" s="1374">
        <v>96.646479864408121</v>
      </c>
      <c r="X27" s="1374">
        <v>95.502024517112915</v>
      </c>
    </row>
    <row r="28" spans="3:24" x14ac:dyDescent="0.4">
      <c r="C28" s="606">
        <v>2024</v>
      </c>
      <c r="D28" s="1376">
        <v>97.337257101943976</v>
      </c>
      <c r="E28" s="1377">
        <v>97.064620844225658</v>
      </c>
      <c r="F28" s="1377">
        <v>97.585657252943292</v>
      </c>
      <c r="G28" s="1377"/>
      <c r="H28" s="1377">
        <v>99.201762481795853</v>
      </c>
      <c r="I28" s="1378">
        <v>92.452610253417902</v>
      </c>
      <c r="J28" s="1378"/>
      <c r="K28" s="1378">
        <v>98.515838112696727</v>
      </c>
      <c r="L28" s="1378">
        <v>90.933933644724803</v>
      </c>
      <c r="M28" s="1378">
        <v>98.729851607970417</v>
      </c>
      <c r="N28" s="1378">
        <v>95.462067209775967</v>
      </c>
      <c r="O28" s="1378">
        <v>96.356072690876104</v>
      </c>
      <c r="P28" s="1378">
        <v>96.323109543138671</v>
      </c>
      <c r="Q28" s="120"/>
      <c r="R28" s="1378">
        <v>97.535716127701278</v>
      </c>
      <c r="S28" s="1377">
        <v>97.616176023324357</v>
      </c>
      <c r="T28" s="1377">
        <v>97.861265718408575</v>
      </c>
      <c r="U28" s="1377">
        <v>97.995360540413927</v>
      </c>
      <c r="V28" s="1377">
        <v>97.806399501863638</v>
      </c>
      <c r="W28" s="1377">
        <v>97.283972299043256</v>
      </c>
      <c r="X28" s="1377">
        <v>96.072529124389334</v>
      </c>
    </row>
    <row r="29" spans="3:24" x14ac:dyDescent="0.4">
      <c r="C29" s="2285" t="s">
        <v>8127</v>
      </c>
      <c r="D29" s="1373"/>
      <c r="E29" s="1374"/>
      <c r="F29" s="1374"/>
      <c r="G29" s="1374"/>
      <c r="H29" s="1374"/>
      <c r="I29" s="1375"/>
      <c r="J29" s="1375"/>
      <c r="K29" s="1375"/>
      <c r="L29" s="1375"/>
      <c r="M29" s="1375"/>
      <c r="N29" s="1375"/>
      <c r="O29" s="1375"/>
      <c r="P29" s="1375"/>
      <c r="Q29" s="2279"/>
      <c r="R29" s="1375"/>
      <c r="S29" s="1374"/>
      <c r="T29" s="1374"/>
      <c r="U29" s="1374"/>
      <c r="V29" s="1374"/>
      <c r="W29" s="1374"/>
      <c r="X29" s="1374"/>
    </row>
    <row r="32" spans="3:24" ht="32.450000000000003" customHeight="1" x14ac:dyDescent="0.4">
      <c r="C32" s="2628" t="s">
        <v>4708</v>
      </c>
      <c r="D32" s="2628"/>
      <c r="E32" s="2628"/>
      <c r="F32" s="2628"/>
      <c r="M32" s="800" t="s">
        <v>8128</v>
      </c>
    </row>
    <row r="33" spans="3:13" x14ac:dyDescent="0.4">
      <c r="C33" s="575"/>
      <c r="D33" s="575"/>
      <c r="E33" s="575"/>
      <c r="F33" s="575"/>
    </row>
    <row r="34" spans="3:13" ht="56.25" x14ac:dyDescent="0.4">
      <c r="C34" s="1379" t="s">
        <v>247</v>
      </c>
      <c r="D34" s="1380" t="s">
        <v>4709</v>
      </c>
      <c r="E34" s="1380" t="s">
        <v>4710</v>
      </c>
      <c r="F34" s="1380" t="s">
        <v>4711</v>
      </c>
    </row>
    <row r="35" spans="3:13" x14ac:dyDescent="0.4">
      <c r="C35" s="198">
        <v>2010</v>
      </c>
      <c r="D35" s="1373">
        <v>92.482438935929196</v>
      </c>
      <c r="E35" s="1373">
        <v>36.521680882320211</v>
      </c>
      <c r="F35" s="1373">
        <v>55.960758053608984</v>
      </c>
    </row>
    <row r="36" spans="3:13" x14ac:dyDescent="0.4">
      <c r="C36" s="198">
        <v>2011</v>
      </c>
      <c r="D36" s="1373">
        <v>93.12085805381389</v>
      </c>
      <c r="E36" s="1373">
        <v>37.825677769053115</v>
      </c>
      <c r="F36" s="1373">
        <v>55.295180284760768</v>
      </c>
    </row>
    <row r="37" spans="3:13" x14ac:dyDescent="0.4">
      <c r="C37" s="198">
        <v>2012</v>
      </c>
      <c r="D37" s="1373">
        <v>93.366115077380599</v>
      </c>
      <c r="E37" s="1373">
        <v>38.557815395107376</v>
      </c>
      <c r="F37" s="1373">
        <v>54.808299682273223</v>
      </c>
    </row>
    <row r="38" spans="3:13" x14ac:dyDescent="0.4">
      <c r="C38" s="198">
        <v>2013</v>
      </c>
      <c r="D38" s="1373">
        <v>93.741577330662693</v>
      </c>
      <c r="E38" s="1373">
        <v>39.766501852934198</v>
      </c>
      <c r="F38" s="1373">
        <v>53.975075477728495</v>
      </c>
    </row>
    <row r="39" spans="3:13" x14ac:dyDescent="0.4">
      <c r="C39" s="198">
        <v>2014</v>
      </c>
      <c r="D39" s="1373">
        <v>93.688080169351096</v>
      </c>
      <c r="E39" s="1373">
        <v>40.791932604904595</v>
      </c>
      <c r="F39" s="1373">
        <v>52.896147564446494</v>
      </c>
    </row>
    <row r="40" spans="3:13" x14ac:dyDescent="0.4">
      <c r="C40" s="198">
        <v>2015</v>
      </c>
      <c r="D40" s="1373">
        <v>93.970025768802373</v>
      </c>
      <c r="E40" s="1373">
        <v>42.798016944187452</v>
      </c>
      <c r="F40" s="1373">
        <v>51.172008824614913</v>
      </c>
    </row>
    <row r="41" spans="3:13" x14ac:dyDescent="0.4">
      <c r="C41" s="198">
        <v>2016</v>
      </c>
      <c r="D41" s="1373">
        <v>95.050515751073362</v>
      </c>
      <c r="E41" s="1373">
        <v>44.874678972105393</v>
      </c>
      <c r="F41" s="1373">
        <v>50.175836778967977</v>
      </c>
    </row>
    <row r="42" spans="3:13" x14ac:dyDescent="0.4">
      <c r="C42" s="198">
        <v>2017</v>
      </c>
      <c r="D42" s="1373">
        <v>95.425475569571631</v>
      </c>
      <c r="E42" s="1373">
        <v>45.440960640426951</v>
      </c>
      <c r="F42" s="1373">
        <v>49.98451492914468</v>
      </c>
    </row>
    <row r="43" spans="3:13" x14ac:dyDescent="0.4">
      <c r="C43" s="198">
        <v>2018</v>
      </c>
      <c r="D43" s="1373">
        <v>95.453479873684785</v>
      </c>
      <c r="E43" s="1373">
        <v>46.796623200596841</v>
      </c>
      <c r="F43" s="1373">
        <v>48.656856673087951</v>
      </c>
    </row>
    <row r="44" spans="3:13" x14ac:dyDescent="0.4">
      <c r="C44" s="198">
        <v>2019</v>
      </c>
      <c r="D44" s="1373">
        <v>95.641012465092018</v>
      </c>
      <c r="E44" s="1373">
        <v>47.573862636939126</v>
      </c>
      <c r="F44" s="1373">
        <v>48.067149828152886</v>
      </c>
    </row>
    <row r="45" spans="3:13" x14ac:dyDescent="0.4">
      <c r="C45" s="198">
        <v>2020</v>
      </c>
      <c r="D45" s="1373">
        <v>95.350867325128803</v>
      </c>
      <c r="E45" s="1373">
        <v>48.857681987633541</v>
      </c>
      <c r="F45" s="1373">
        <v>46.493185337495269</v>
      </c>
    </row>
    <row r="46" spans="3:13" x14ac:dyDescent="0.4">
      <c r="C46" s="198">
        <v>2021</v>
      </c>
      <c r="D46" s="1373">
        <v>95.63616158536999</v>
      </c>
      <c r="E46" s="1373">
        <v>50.407317795419424</v>
      </c>
      <c r="F46" s="1373">
        <v>45.22884378995056</v>
      </c>
      <c r="I46" s="155"/>
    </row>
    <row r="47" spans="3:13" x14ac:dyDescent="0.4">
      <c r="C47" s="198">
        <v>2022</v>
      </c>
      <c r="D47" s="1373">
        <v>96.11754528644974</v>
      </c>
      <c r="E47" s="1373">
        <v>50.93536371099534</v>
      </c>
      <c r="F47" s="1373">
        <v>45.182181575454401</v>
      </c>
      <c r="I47" s="155"/>
      <c r="M47" s="155" t="s">
        <v>8105</v>
      </c>
    </row>
    <row r="48" spans="3:13" x14ac:dyDescent="0.4">
      <c r="C48" s="2285">
        <v>2023</v>
      </c>
      <c r="D48" s="1373">
        <v>96.628545115190406</v>
      </c>
      <c r="E48" s="1373">
        <v>51.491385259147307</v>
      </c>
      <c r="F48" s="1373">
        <v>45.137159856043105</v>
      </c>
      <c r="I48" s="155"/>
    </row>
    <row r="49" spans="3:24" s="2279" customFormat="1" x14ac:dyDescent="0.4">
      <c r="C49" s="606">
        <v>2024</v>
      </c>
      <c r="D49" s="1376">
        <v>97.337257101943976</v>
      </c>
      <c r="E49" s="1376">
        <v>52.880785491923945</v>
      </c>
      <c r="F49" s="1376">
        <v>44.456471610020039</v>
      </c>
      <c r="I49" s="2282"/>
    </row>
    <row r="50" spans="3:24" x14ac:dyDescent="0.4">
      <c r="C50" s="2285" t="s">
        <v>8127</v>
      </c>
      <c r="D50" s="1373"/>
      <c r="E50" s="1373"/>
      <c r="F50" s="1373"/>
      <c r="I50" s="226"/>
    </row>
    <row r="51" spans="3:24" x14ac:dyDescent="0.4">
      <c r="C51" s="226"/>
      <c r="I51" s="226"/>
    </row>
    <row r="53" spans="3:24" ht="12.75" customHeight="1" x14ac:dyDescent="0.4">
      <c r="C53" s="138" t="s">
        <v>4712</v>
      </c>
      <c r="D53" s="226"/>
      <c r="E53" s="226"/>
      <c r="F53" s="226"/>
      <c r="G53" s="226"/>
      <c r="H53" s="226"/>
      <c r="I53" s="226"/>
      <c r="J53" s="226"/>
      <c r="K53" s="226"/>
      <c r="L53" s="226"/>
      <c r="M53" s="226"/>
      <c r="N53" s="226"/>
      <c r="O53" s="226"/>
      <c r="P53" s="226"/>
      <c r="Q53" s="226"/>
      <c r="R53" s="226"/>
      <c r="S53" s="226"/>
      <c r="T53" s="226"/>
      <c r="U53" s="226"/>
      <c r="V53" s="226"/>
      <c r="W53" s="226"/>
      <c r="X53" s="226"/>
    </row>
    <row r="54" spans="3:24" ht="12.75" customHeight="1" x14ac:dyDescent="0.4">
      <c r="C54" s="226"/>
      <c r="D54" s="226"/>
      <c r="E54" s="226"/>
      <c r="F54" s="226"/>
      <c r="G54" s="226"/>
      <c r="H54" s="226"/>
      <c r="I54" s="226"/>
      <c r="J54" s="226"/>
      <c r="K54" s="226"/>
      <c r="L54" s="226"/>
      <c r="M54" s="226"/>
      <c r="N54" s="226"/>
      <c r="O54" s="226"/>
      <c r="P54" s="226"/>
      <c r="Q54" s="226"/>
      <c r="R54" s="226"/>
      <c r="S54" s="226"/>
      <c r="T54" s="226"/>
      <c r="U54" s="226"/>
      <c r="V54" s="226"/>
      <c r="W54" s="226"/>
      <c r="X54" s="226"/>
    </row>
    <row r="55" spans="3:24" ht="12.75" customHeight="1" x14ac:dyDescent="0.4">
      <c r="C55" s="3080" t="s">
        <v>46</v>
      </c>
      <c r="D55" s="3080" t="s">
        <v>47</v>
      </c>
      <c r="E55" s="3082" t="s">
        <v>48</v>
      </c>
      <c r="F55" s="3082"/>
      <c r="G55" s="1361"/>
      <c r="H55" s="3082" t="s">
        <v>49</v>
      </c>
      <c r="I55" s="3082"/>
      <c r="J55" s="1361"/>
      <c r="K55" s="3082" t="s">
        <v>50</v>
      </c>
      <c r="L55" s="3082"/>
      <c r="M55" s="3082"/>
      <c r="N55" s="3082"/>
      <c r="O55" s="3082"/>
      <c r="P55" s="3082"/>
      <c r="Q55" s="1361"/>
      <c r="R55" s="3082" t="s">
        <v>52</v>
      </c>
      <c r="S55" s="3082"/>
      <c r="T55" s="3082"/>
      <c r="U55" s="3082"/>
      <c r="V55" s="3082"/>
      <c r="W55" s="3082"/>
      <c r="X55" s="3082"/>
    </row>
    <row r="56" spans="3:24" ht="37.5" x14ac:dyDescent="0.4">
      <c r="C56" s="3081"/>
      <c r="D56" s="3081"/>
      <c r="E56" s="1362" t="s">
        <v>53</v>
      </c>
      <c r="F56" s="1362" t="s">
        <v>54</v>
      </c>
      <c r="G56" s="1362"/>
      <c r="H56" s="1362" t="s">
        <v>55</v>
      </c>
      <c r="I56" s="1362" t="s">
        <v>56</v>
      </c>
      <c r="J56" s="1362"/>
      <c r="K56" s="1362" t="s">
        <v>57</v>
      </c>
      <c r="L56" s="1362" t="s">
        <v>58</v>
      </c>
      <c r="M56" s="1362" t="s">
        <v>59</v>
      </c>
      <c r="N56" s="1362" t="s">
        <v>60</v>
      </c>
      <c r="O56" s="1363" t="s">
        <v>61</v>
      </c>
      <c r="P56" s="1363" t="s">
        <v>62</v>
      </c>
      <c r="Q56" s="1363"/>
      <c r="R56" s="1362" t="s">
        <v>66</v>
      </c>
      <c r="S56" s="1363" t="s">
        <v>67</v>
      </c>
      <c r="T56" s="1362" t="s">
        <v>68</v>
      </c>
      <c r="U56" s="1362" t="s">
        <v>69</v>
      </c>
      <c r="V56" s="1362" t="s">
        <v>70</v>
      </c>
      <c r="W56" s="1362" t="s">
        <v>71</v>
      </c>
      <c r="X56" s="1362" t="s">
        <v>72</v>
      </c>
    </row>
    <row r="57" spans="3:24" x14ac:dyDescent="0.4">
      <c r="C57" s="198">
        <v>2010</v>
      </c>
      <c r="D57" s="1373">
        <v>55.960758053608984</v>
      </c>
      <c r="E57" s="1374">
        <v>55.088904458864299</v>
      </c>
      <c r="F57" s="1374">
        <v>56.785778767388528</v>
      </c>
      <c r="G57" s="1374"/>
      <c r="H57" s="1374">
        <v>63.205122617914874</v>
      </c>
      <c r="I57" s="1375">
        <v>36.563648901713776</v>
      </c>
      <c r="J57" s="1375"/>
      <c r="K57" s="1375">
        <v>68.835734955454058</v>
      </c>
      <c r="L57" s="1375">
        <v>43.473749249830753</v>
      </c>
      <c r="M57" s="1375">
        <v>26.426553782225369</v>
      </c>
      <c r="N57" s="1375">
        <v>27.424063480879791</v>
      </c>
      <c r="O57" s="1375">
        <v>31.345916604983966</v>
      </c>
      <c r="P57" s="1375">
        <v>41.783622118730015</v>
      </c>
      <c r="R57" s="1375">
        <v>52.328045742607486</v>
      </c>
      <c r="S57" s="1374">
        <v>53.068555878475784</v>
      </c>
      <c r="T57" s="1374">
        <v>53.722774770237947</v>
      </c>
      <c r="U57" s="1374">
        <v>56.29888368170208</v>
      </c>
      <c r="V57" s="1374">
        <v>55.869104953961127</v>
      </c>
      <c r="W57" s="1374">
        <v>57.738546218167606</v>
      </c>
      <c r="X57" s="1374">
        <v>59.237165834363822</v>
      </c>
    </row>
    <row r="58" spans="3:24" x14ac:dyDescent="0.4">
      <c r="C58" s="198">
        <v>2011</v>
      </c>
      <c r="D58" s="1373">
        <v>55.295180284760768</v>
      </c>
      <c r="E58" s="1374">
        <v>54.038501484176606</v>
      </c>
      <c r="F58" s="1374">
        <v>56.490397585790383</v>
      </c>
      <c r="G58" s="1374"/>
      <c r="H58" s="1374">
        <v>62.875305728782337</v>
      </c>
      <c r="I58" s="1375">
        <v>35.006904943939858</v>
      </c>
      <c r="J58" s="1375"/>
      <c r="K58" s="1375">
        <v>68.541067750019394</v>
      </c>
      <c r="L58" s="1375">
        <v>41.696212143336936</v>
      </c>
      <c r="M58" s="1375">
        <v>22.517129186602872</v>
      </c>
      <c r="N58" s="1375">
        <v>25.708358544385856</v>
      </c>
      <c r="O58" s="1375">
        <v>30.385260688938477</v>
      </c>
      <c r="P58" s="1375">
        <v>43.128688695221648</v>
      </c>
      <c r="R58" s="1375">
        <v>50.047706672118849</v>
      </c>
      <c r="S58" s="1374">
        <v>52.437911275632196</v>
      </c>
      <c r="T58" s="1374">
        <v>52.456413501209788</v>
      </c>
      <c r="U58" s="1374">
        <v>55.413516847705068</v>
      </c>
      <c r="V58" s="1374">
        <v>55.781481453537651</v>
      </c>
      <c r="W58" s="1374">
        <v>57.447209237556926</v>
      </c>
      <c r="X58" s="1374">
        <v>57.9639759477692</v>
      </c>
    </row>
    <row r="59" spans="3:24" x14ac:dyDescent="0.4">
      <c r="C59" s="198">
        <v>2012</v>
      </c>
      <c r="D59" s="1373">
        <v>54.808299682273223</v>
      </c>
      <c r="E59" s="1374">
        <v>54.10864788061177</v>
      </c>
      <c r="F59" s="1374">
        <v>55.473121823303337</v>
      </c>
      <c r="G59" s="1374"/>
      <c r="H59" s="1374">
        <v>62.678080016543944</v>
      </c>
      <c r="I59" s="1375">
        <v>33.770743484060297</v>
      </c>
      <c r="J59" s="1375"/>
      <c r="K59" s="1375">
        <v>68.62210381718667</v>
      </c>
      <c r="L59" s="1375">
        <v>39.308106682415406</v>
      </c>
      <c r="M59" s="1375">
        <v>22.006865513390757</v>
      </c>
      <c r="N59" s="1375">
        <v>26.812128065426215</v>
      </c>
      <c r="O59" s="1375">
        <v>28.596196330803959</v>
      </c>
      <c r="P59" s="1375">
        <v>40.139087510836013</v>
      </c>
      <c r="R59" s="1375">
        <v>47.872683697699628</v>
      </c>
      <c r="S59" s="1374">
        <v>51.394139839385822</v>
      </c>
      <c r="T59" s="1374">
        <v>53.235774511102285</v>
      </c>
      <c r="U59" s="1374">
        <v>54.435081253949349</v>
      </c>
      <c r="V59" s="1374">
        <v>54.536207640164832</v>
      </c>
      <c r="W59" s="1374">
        <v>57.234383824692195</v>
      </c>
      <c r="X59" s="1374">
        <v>58.637512663892913</v>
      </c>
    </row>
    <row r="60" spans="3:24" x14ac:dyDescent="0.4">
      <c r="C60" s="198">
        <v>2013</v>
      </c>
      <c r="D60" s="1373">
        <v>53.975075477728495</v>
      </c>
      <c r="E60" s="1374">
        <v>53.330598390307401</v>
      </c>
      <c r="F60" s="1374">
        <v>54.577588267130075</v>
      </c>
      <c r="G60" s="1374"/>
      <c r="H60" s="1374">
        <v>61.774743927729091</v>
      </c>
      <c r="I60" s="1375">
        <v>33.161507211714387</v>
      </c>
      <c r="J60" s="1375"/>
      <c r="K60" s="1375">
        <v>67.924615531049852</v>
      </c>
      <c r="L60" s="1375">
        <v>39.69162398567952</v>
      </c>
      <c r="M60" s="1375">
        <v>22.842671427939027</v>
      </c>
      <c r="N60" s="1375">
        <v>23.313097302996294</v>
      </c>
      <c r="O60" s="1375">
        <v>26.644555525853235</v>
      </c>
      <c r="P60" s="1375">
        <v>39.992908626844908</v>
      </c>
      <c r="R60" s="1375">
        <v>47.53650217445</v>
      </c>
      <c r="S60" s="1374">
        <v>49.766077543855317</v>
      </c>
      <c r="T60" s="1374">
        <v>50.695084224715615</v>
      </c>
      <c r="U60" s="1374">
        <v>53.656829960864712</v>
      </c>
      <c r="V60" s="1374">
        <v>53.268000020015315</v>
      </c>
      <c r="W60" s="1374">
        <v>56.088665091101234</v>
      </c>
      <c r="X60" s="1374">
        <v>60.966659629990616</v>
      </c>
    </row>
    <row r="61" spans="3:24" x14ac:dyDescent="0.4">
      <c r="C61" s="198">
        <v>2014</v>
      </c>
      <c r="D61" s="1373">
        <v>52.896147564446494</v>
      </c>
      <c r="E61" s="1374">
        <v>52.333366875401531</v>
      </c>
      <c r="F61" s="1374">
        <v>53.431044771239158</v>
      </c>
      <c r="G61" s="1374"/>
      <c r="H61" s="1374">
        <v>60.581727718181035</v>
      </c>
      <c r="I61" s="1375">
        <v>32.418897086376674</v>
      </c>
      <c r="J61" s="1375"/>
      <c r="K61" s="1375">
        <v>67.29580864404781</v>
      </c>
      <c r="L61" s="1375">
        <v>36.157898105300653</v>
      </c>
      <c r="M61" s="1375">
        <v>22.515363924452689</v>
      </c>
      <c r="N61" s="1375">
        <v>24.565030194744178</v>
      </c>
      <c r="O61" s="1375">
        <v>25.817444579137792</v>
      </c>
      <c r="P61" s="1375">
        <v>34.950717428025172</v>
      </c>
      <c r="R61" s="1375">
        <v>46.031798958559101</v>
      </c>
      <c r="S61" s="1374">
        <v>47.958685257043193</v>
      </c>
      <c r="T61" s="1374">
        <v>48.886830116235757</v>
      </c>
      <c r="U61" s="1374">
        <v>52.701778776411999</v>
      </c>
      <c r="V61" s="1374">
        <v>53.902634641709234</v>
      </c>
      <c r="W61" s="1374">
        <v>54.661170693792904</v>
      </c>
      <c r="X61" s="1374">
        <v>59.436998402068333</v>
      </c>
    </row>
    <row r="62" spans="3:24" x14ac:dyDescent="0.4">
      <c r="C62" s="198">
        <v>2015</v>
      </c>
      <c r="D62" s="1373">
        <v>51.172008824614913</v>
      </c>
      <c r="E62" s="1374">
        <v>50.477848272270329</v>
      </c>
      <c r="F62" s="1374">
        <v>51.828909587929118</v>
      </c>
      <c r="G62" s="1374"/>
      <c r="H62" s="1374">
        <v>58.383235834261157</v>
      </c>
      <c r="I62" s="1375">
        <v>31.997571663554286</v>
      </c>
      <c r="J62" s="1375"/>
      <c r="K62" s="1375">
        <v>65.802113416379697</v>
      </c>
      <c r="L62" s="1375">
        <v>37.026823902379029</v>
      </c>
      <c r="M62" s="1375">
        <v>22.096999900044267</v>
      </c>
      <c r="N62" s="1375">
        <v>23.954168141173717</v>
      </c>
      <c r="O62" s="1375">
        <v>21.947621824316695</v>
      </c>
      <c r="P62" s="1375">
        <v>29.719472846726319</v>
      </c>
      <c r="R62" s="1375">
        <v>44.477514575773633</v>
      </c>
      <c r="S62" s="1374">
        <v>46.678888923305664</v>
      </c>
      <c r="T62" s="1374">
        <v>48.689687066440577</v>
      </c>
      <c r="U62" s="1374">
        <v>50.703910320509451</v>
      </c>
      <c r="V62" s="1374">
        <v>52.530262410568405</v>
      </c>
      <c r="W62" s="1374">
        <v>52.961118106706984</v>
      </c>
      <c r="X62" s="1374">
        <v>56.084100224092914</v>
      </c>
    </row>
    <row r="63" spans="3:24" x14ac:dyDescent="0.4">
      <c r="C63" s="198">
        <v>2016</v>
      </c>
      <c r="D63" s="1373">
        <v>50.175836778967977</v>
      </c>
      <c r="E63" s="1374">
        <v>49.554440199011509</v>
      </c>
      <c r="F63" s="1374">
        <v>50.761992837700511</v>
      </c>
      <c r="G63" s="1374"/>
      <c r="H63" s="1374">
        <v>57.610549006004966</v>
      </c>
      <c r="I63" s="1375">
        <v>30.440855763007519</v>
      </c>
      <c r="J63" s="1375"/>
      <c r="K63" s="1375">
        <v>64.73203539450509</v>
      </c>
      <c r="L63" s="1375">
        <v>36.618179665595754</v>
      </c>
      <c r="M63" s="1375">
        <v>21.349968729577604</v>
      </c>
      <c r="N63" s="1375">
        <v>22.544286537779353</v>
      </c>
      <c r="O63" s="1375">
        <v>20.582755997686103</v>
      </c>
      <c r="P63" s="1375">
        <v>29.656445780064178</v>
      </c>
      <c r="R63" s="1375">
        <v>43.529965350558243</v>
      </c>
      <c r="S63" s="1374">
        <v>44.627902856174877</v>
      </c>
      <c r="T63" s="1374">
        <v>45.983731891085796</v>
      </c>
      <c r="U63" s="1374">
        <v>50.801706506137521</v>
      </c>
      <c r="V63" s="1374">
        <v>50.749085202144542</v>
      </c>
      <c r="W63" s="1374">
        <v>51.887844021902616</v>
      </c>
      <c r="X63" s="1374">
        <v>57.43077598539579</v>
      </c>
    </row>
    <row r="64" spans="3:24" x14ac:dyDescent="0.4">
      <c r="C64" s="198">
        <v>2017</v>
      </c>
      <c r="D64" s="1373">
        <v>49.98451492914468</v>
      </c>
      <c r="E64" s="1374">
        <v>49.00105419107463</v>
      </c>
      <c r="F64" s="1374">
        <v>50.915561355400726</v>
      </c>
      <c r="G64" s="1374"/>
      <c r="H64" s="1374">
        <v>57.124137335853696</v>
      </c>
      <c r="I64" s="1375">
        <v>31.052390689708631</v>
      </c>
      <c r="J64" s="1375"/>
      <c r="K64" s="1375">
        <v>63.867004636398875</v>
      </c>
      <c r="L64" s="1375">
        <v>35.845255420275102</v>
      </c>
      <c r="M64" s="1375">
        <v>21.64614320304393</v>
      </c>
      <c r="N64" s="1375">
        <v>23.328275414666866</v>
      </c>
      <c r="O64" s="1375">
        <v>22.915902075260561</v>
      </c>
      <c r="P64" s="1375">
        <v>31.432239593369989</v>
      </c>
      <c r="R64" s="1375">
        <v>44.913454235345853</v>
      </c>
      <c r="S64" s="1374">
        <v>43.813770042013203</v>
      </c>
      <c r="T64" s="1374">
        <v>45.562686893734956</v>
      </c>
      <c r="U64" s="1374">
        <v>49.8641538799885</v>
      </c>
      <c r="V64" s="1374">
        <v>50.127325961703249</v>
      </c>
      <c r="W64" s="1374">
        <v>51.445041995928733</v>
      </c>
      <c r="X64" s="1374">
        <v>58.336358241289709</v>
      </c>
    </row>
    <row r="65" spans="3:24" x14ac:dyDescent="0.4">
      <c r="C65" s="198">
        <v>2018</v>
      </c>
      <c r="D65" s="1373">
        <v>48.656856673087951</v>
      </c>
      <c r="E65" s="1374">
        <v>47.664971342316129</v>
      </c>
      <c r="F65" s="1374">
        <v>49.594857856117962</v>
      </c>
      <c r="G65" s="1374"/>
      <c r="H65" s="1374">
        <v>56.576289652976719</v>
      </c>
      <c r="I65" s="1375">
        <v>27.709645343056017</v>
      </c>
      <c r="J65" s="1375"/>
      <c r="K65" s="1375">
        <v>63.351109824812333</v>
      </c>
      <c r="L65" s="1375">
        <v>36.750645708032899</v>
      </c>
      <c r="M65" s="1375">
        <v>19.442969558351031</v>
      </c>
      <c r="N65" s="1375">
        <v>21.698406720267236</v>
      </c>
      <c r="O65" s="1375">
        <v>18.644643737590449</v>
      </c>
      <c r="P65" s="1375">
        <v>26.424257594608985</v>
      </c>
      <c r="R65" s="1375">
        <v>42.325405168871505</v>
      </c>
      <c r="S65" s="1374">
        <v>41.531017928137423</v>
      </c>
      <c r="T65" s="1374">
        <v>43.850534666532063</v>
      </c>
      <c r="U65" s="1374">
        <v>48.379894362056241</v>
      </c>
      <c r="V65" s="1374">
        <v>48.768822538812039</v>
      </c>
      <c r="W65" s="1374">
        <v>50.498865979617378</v>
      </c>
      <c r="X65" s="1374">
        <v>57.416338024043093</v>
      </c>
    </row>
    <row r="66" spans="3:24" x14ac:dyDescent="0.4">
      <c r="C66" s="198">
        <v>2019</v>
      </c>
      <c r="D66" s="1373">
        <v>48.067149828152886</v>
      </c>
      <c r="E66" s="1374">
        <v>47.340208405291321</v>
      </c>
      <c r="F66" s="1374">
        <v>48.750809687020727</v>
      </c>
      <c r="G66" s="1374"/>
      <c r="H66" s="1374">
        <v>55.839559650305404</v>
      </c>
      <c r="I66" s="1375">
        <v>27.538220841765281</v>
      </c>
      <c r="J66" s="1375"/>
      <c r="K66" s="1375">
        <v>61.525812901330099</v>
      </c>
      <c r="L66" s="1375">
        <v>36.510901503105522</v>
      </c>
      <c r="M66" s="1375">
        <v>22.405377934768389</v>
      </c>
      <c r="N66" s="1375">
        <v>19.158774464018073</v>
      </c>
      <c r="O66" s="1375">
        <v>21.694233033940908</v>
      </c>
      <c r="P66" s="1375">
        <v>30.256082871597208</v>
      </c>
      <c r="R66" s="1375">
        <v>42.555063912127316</v>
      </c>
      <c r="S66" s="1374">
        <v>42.0247052934116</v>
      </c>
      <c r="T66" s="1374">
        <v>43.027646662171279</v>
      </c>
      <c r="U66" s="1374">
        <v>48.352535508059439</v>
      </c>
      <c r="V66" s="1374">
        <v>48.04040064445941</v>
      </c>
      <c r="W66" s="1374">
        <v>49.638220048222429</v>
      </c>
      <c r="X66" s="1374">
        <v>55.297970334308175</v>
      </c>
    </row>
    <row r="67" spans="3:24" x14ac:dyDescent="0.4">
      <c r="C67" s="198">
        <v>2020</v>
      </c>
      <c r="D67" s="1373">
        <v>46.493185337495269</v>
      </c>
      <c r="E67" s="1374">
        <v>45.36554796202671</v>
      </c>
      <c r="F67" s="1374">
        <v>47.555727141251424</v>
      </c>
      <c r="G67" s="1374"/>
      <c r="H67" s="1374">
        <v>54.579663385407251</v>
      </c>
      <c r="I67" s="1375">
        <v>25.150392133827459</v>
      </c>
      <c r="J67" s="1375"/>
      <c r="K67" s="1375">
        <v>60.703018038670095</v>
      </c>
      <c r="L67" s="1375">
        <v>34.839304397289908</v>
      </c>
      <c r="M67" s="1375">
        <v>18.615796722805928</v>
      </c>
      <c r="N67" s="1375">
        <v>17.688268093007668</v>
      </c>
      <c r="O67" s="1375">
        <v>17.428200135602651</v>
      </c>
      <c r="P67" s="1375">
        <v>27.824494312271796</v>
      </c>
      <c r="R67" s="1375">
        <v>41.325049174185899</v>
      </c>
      <c r="S67" s="1374">
        <v>40.078140402493212</v>
      </c>
      <c r="T67" s="1374">
        <v>42.858044530395944</v>
      </c>
      <c r="U67" s="1374">
        <v>45.543311074269312</v>
      </c>
      <c r="V67" s="1374">
        <v>45.856632356983603</v>
      </c>
      <c r="W67" s="1374">
        <v>47.935356713674324</v>
      </c>
      <c r="X67" s="1374">
        <v>54.32390702813521</v>
      </c>
    </row>
    <row r="68" spans="3:24" x14ac:dyDescent="0.4">
      <c r="C68" s="198">
        <v>2021</v>
      </c>
      <c r="D68" s="1373">
        <v>45.22884378995056</v>
      </c>
      <c r="E68" s="1374">
        <v>44.381465080558847</v>
      </c>
      <c r="F68" s="1374">
        <v>46.013490780479401</v>
      </c>
      <c r="G68" s="1374"/>
      <c r="H68" s="1374">
        <v>53.296042312787741</v>
      </c>
      <c r="I68" s="1375">
        <v>23.967042236463925</v>
      </c>
      <c r="J68" s="1375"/>
      <c r="K68" s="1375">
        <v>59.560005102589308</v>
      </c>
      <c r="L68" s="1375">
        <v>31.144408915286746</v>
      </c>
      <c r="M68" s="1375">
        <v>16.89356536342304</v>
      </c>
      <c r="N68" s="1375">
        <v>19.233717918024013</v>
      </c>
      <c r="O68" s="1375">
        <v>17.712991949910556</v>
      </c>
      <c r="P68" s="1375">
        <v>24.428366171665964</v>
      </c>
      <c r="R68" s="1375">
        <v>39.609743271921424</v>
      </c>
      <c r="S68" s="1374">
        <v>39.192185742047663</v>
      </c>
      <c r="T68" s="1374">
        <v>40.700796972825614</v>
      </c>
      <c r="U68" s="1374">
        <v>42.951784238188225</v>
      </c>
      <c r="V68" s="1374">
        <v>46.226165286405255</v>
      </c>
      <c r="W68" s="1374">
        <v>46.330207543886836</v>
      </c>
      <c r="X68" s="1374">
        <v>52.695766992398582</v>
      </c>
    </row>
    <row r="69" spans="3:24" x14ac:dyDescent="0.4">
      <c r="C69" s="198">
        <v>2022</v>
      </c>
      <c r="D69" s="1373">
        <v>45.182181575454401</v>
      </c>
      <c r="E69" s="1374">
        <v>44.423952127588997</v>
      </c>
      <c r="F69" s="1374">
        <v>45.873871071744141</v>
      </c>
      <c r="G69" s="1374"/>
      <c r="H69" s="1374">
        <v>52.870692610836137</v>
      </c>
      <c r="I69" s="1375">
        <v>24.964790325780861</v>
      </c>
      <c r="J69" s="1375"/>
      <c r="K69" s="1375">
        <v>59.606845765080628</v>
      </c>
      <c r="L69" s="1375">
        <v>30.352869705657916</v>
      </c>
      <c r="M69" s="1375">
        <v>17.695605195404802</v>
      </c>
      <c r="N69" s="1375">
        <v>18.822146788597863</v>
      </c>
      <c r="O69" s="1375">
        <v>18.204842791255988</v>
      </c>
      <c r="P69" s="1375">
        <v>23.912028560966679</v>
      </c>
      <c r="R69" s="1375">
        <v>38.494542668894013</v>
      </c>
      <c r="S69" s="1374">
        <v>38.359352393226764</v>
      </c>
      <c r="T69" s="1374">
        <v>39.384053242855273</v>
      </c>
      <c r="U69" s="1374">
        <v>45.036304534641872</v>
      </c>
      <c r="V69" s="1374">
        <v>45.279613096746083</v>
      </c>
      <c r="W69" s="1374">
        <v>46.583421515317177</v>
      </c>
      <c r="X69" s="1374">
        <v>52.111928627834068</v>
      </c>
    </row>
    <row r="70" spans="3:24" x14ac:dyDescent="0.4">
      <c r="C70" s="2285">
        <v>2023</v>
      </c>
      <c r="D70" s="1373">
        <v>45.137159856043105</v>
      </c>
      <c r="E70" s="1374">
        <v>44.392343358360833</v>
      </c>
      <c r="F70" s="1374">
        <v>45.808653731483524</v>
      </c>
      <c r="G70" s="1374"/>
      <c r="H70" s="1374">
        <v>52.996096082303765</v>
      </c>
      <c r="I70" s="1375">
        <v>24.508087061115557</v>
      </c>
      <c r="J70" s="1375"/>
      <c r="K70" s="1375">
        <v>59.843292553480353</v>
      </c>
      <c r="L70" s="1375">
        <v>30.603089727983917</v>
      </c>
      <c r="M70" s="1375">
        <v>17.710748480928178</v>
      </c>
      <c r="N70" s="1375">
        <v>16.524129261140423</v>
      </c>
      <c r="O70" s="1375">
        <v>19.596293566389384</v>
      </c>
      <c r="P70" s="1375">
        <v>22.287492915680858</v>
      </c>
      <c r="Q70" s="2279"/>
      <c r="R70" s="1375">
        <v>38.420497758436603</v>
      </c>
      <c r="S70" s="1374">
        <v>38.494887072418095</v>
      </c>
      <c r="T70" s="1374">
        <v>37.968340332575679</v>
      </c>
      <c r="U70" s="1374">
        <v>43.965922731600124</v>
      </c>
      <c r="V70" s="1374">
        <v>44.064130328405696</v>
      </c>
      <c r="W70" s="1374">
        <v>47.372411810766074</v>
      </c>
      <c r="X70" s="1374">
        <v>51.979731722599695</v>
      </c>
    </row>
    <row r="71" spans="3:24" s="2279" customFormat="1" x14ac:dyDescent="0.4">
      <c r="C71" s="606">
        <v>2024</v>
      </c>
      <c r="D71" s="1376">
        <v>44.456471610020039</v>
      </c>
      <c r="E71" s="1377">
        <v>43.757302699717727</v>
      </c>
      <c r="F71" s="1377">
        <v>45.093487626695861</v>
      </c>
      <c r="G71" s="1377"/>
      <c r="H71" s="1377">
        <v>53.087504556729428</v>
      </c>
      <c r="I71" s="1378">
        <v>21.844819030064404</v>
      </c>
      <c r="J71" s="1378"/>
      <c r="K71" s="1378">
        <v>59.453586413268297</v>
      </c>
      <c r="L71" s="1378">
        <v>27.94698319449126</v>
      </c>
      <c r="M71" s="1378">
        <v>16.298157192566354</v>
      </c>
      <c r="N71" s="1378">
        <v>16.560325441276309</v>
      </c>
      <c r="O71" s="1378">
        <v>17.813643614525667</v>
      </c>
      <c r="P71" s="1378">
        <v>22.758519948121162</v>
      </c>
      <c r="Q71" s="120"/>
      <c r="R71" s="1378">
        <v>36.332972303883643</v>
      </c>
      <c r="S71" s="1377">
        <v>37.06704701576281</v>
      </c>
      <c r="T71" s="1377">
        <v>36.102092352092349</v>
      </c>
      <c r="U71" s="1377">
        <v>43.013608577710947</v>
      </c>
      <c r="V71" s="1377">
        <v>43.622441643399881</v>
      </c>
      <c r="W71" s="1377">
        <v>46.314942000258505</v>
      </c>
      <c r="X71" s="1377">
        <v>52.963672804710008</v>
      </c>
    </row>
    <row r="72" spans="3:24" x14ac:dyDescent="0.4">
      <c r="C72" s="2285" t="s">
        <v>8127</v>
      </c>
      <c r="D72" s="1373"/>
      <c r="E72" s="1374"/>
      <c r="F72" s="1374"/>
      <c r="G72" s="1374"/>
      <c r="H72" s="1374"/>
      <c r="I72" s="1375"/>
      <c r="J72" s="1375"/>
      <c r="K72" s="1375"/>
      <c r="L72" s="1375"/>
      <c r="M72" s="1375"/>
      <c r="N72" s="1375"/>
      <c r="O72" s="1375"/>
      <c r="P72" s="1375"/>
      <c r="Q72" s="2279"/>
      <c r="R72" s="1375"/>
      <c r="S72" s="1374"/>
      <c r="T72" s="1374"/>
      <c r="U72" s="1374"/>
      <c r="V72" s="1374"/>
      <c r="W72" s="1374"/>
      <c r="X72" s="1374"/>
    </row>
    <row r="73" spans="3:24" x14ac:dyDescent="0.4">
      <c r="C73" s="226"/>
    </row>
    <row r="74" spans="3:24" x14ac:dyDescent="0.4">
      <c r="C74" s="226"/>
    </row>
    <row r="75" spans="3:24" ht="12.75" customHeight="1" x14ac:dyDescent="0.4">
      <c r="C75" s="138" t="s">
        <v>4713</v>
      </c>
      <c r="D75" s="138"/>
      <c r="E75" s="138"/>
      <c r="F75" s="138"/>
      <c r="G75" s="138"/>
      <c r="H75" s="138"/>
      <c r="I75" s="138"/>
      <c r="J75" s="138"/>
      <c r="K75" s="138"/>
      <c r="L75" s="138"/>
      <c r="M75" s="138"/>
      <c r="N75" s="138"/>
      <c r="O75" s="138"/>
      <c r="P75" s="138"/>
      <c r="Q75" s="138"/>
      <c r="R75" s="138"/>
      <c r="S75" s="138"/>
      <c r="T75" s="138"/>
      <c r="U75" s="138"/>
      <c r="V75" s="138"/>
      <c r="W75" s="138"/>
      <c r="X75" s="138"/>
    </row>
    <row r="76" spans="3:24" ht="12.75" customHeight="1" x14ac:dyDescent="0.4">
      <c r="C76" s="575"/>
      <c r="D76" s="575"/>
      <c r="E76" s="575"/>
      <c r="F76" s="575"/>
      <c r="G76" s="575"/>
      <c r="H76" s="575"/>
      <c r="I76" s="575"/>
      <c r="J76" s="575"/>
      <c r="K76" s="575"/>
      <c r="L76" s="575"/>
      <c r="M76" s="575"/>
      <c r="N76" s="575"/>
      <c r="O76" s="575"/>
      <c r="P76" s="575"/>
      <c r="Q76" s="575"/>
      <c r="R76" s="575"/>
      <c r="S76" s="575"/>
      <c r="T76" s="575"/>
      <c r="U76" s="575"/>
      <c r="V76" s="575"/>
      <c r="W76" s="575"/>
      <c r="X76" s="575"/>
    </row>
    <row r="77" spans="3:24" ht="12.75" customHeight="1" x14ac:dyDescent="0.4">
      <c r="C77" s="3080" t="s">
        <v>46</v>
      </c>
      <c r="D77" s="3080" t="s">
        <v>47</v>
      </c>
      <c r="E77" s="3082" t="s">
        <v>48</v>
      </c>
      <c r="F77" s="3082"/>
      <c r="G77" s="1361"/>
      <c r="H77" s="3082" t="s">
        <v>49</v>
      </c>
      <c r="I77" s="3082"/>
      <c r="J77" s="1361"/>
      <c r="K77" s="3082" t="s">
        <v>50</v>
      </c>
      <c r="L77" s="3082"/>
      <c r="M77" s="3082"/>
      <c r="N77" s="3082"/>
      <c r="O77" s="3082"/>
      <c r="P77" s="3082"/>
      <c r="Q77" s="1361"/>
      <c r="R77" s="3082" t="s">
        <v>52</v>
      </c>
      <c r="S77" s="3082"/>
      <c r="T77" s="3082"/>
      <c r="U77" s="3082"/>
      <c r="V77" s="3082"/>
      <c r="W77" s="3082"/>
      <c r="X77" s="3082"/>
    </row>
    <row r="78" spans="3:24" ht="37.5" x14ac:dyDescent="0.4">
      <c r="C78" s="3081"/>
      <c r="D78" s="3081"/>
      <c r="E78" s="1362" t="s">
        <v>53</v>
      </c>
      <c r="F78" s="1362" t="s">
        <v>54</v>
      </c>
      <c r="G78" s="1362"/>
      <c r="H78" s="1362" t="s">
        <v>55</v>
      </c>
      <c r="I78" s="1362" t="s">
        <v>56</v>
      </c>
      <c r="J78" s="1362"/>
      <c r="K78" s="1362" t="s">
        <v>57</v>
      </c>
      <c r="L78" s="1362" t="s">
        <v>58</v>
      </c>
      <c r="M78" s="1362" t="s">
        <v>59</v>
      </c>
      <c r="N78" s="1362" t="s">
        <v>60</v>
      </c>
      <c r="O78" s="1363" t="s">
        <v>61</v>
      </c>
      <c r="P78" s="1363" t="s">
        <v>62</v>
      </c>
      <c r="Q78" s="1363"/>
      <c r="R78" s="1362" t="s">
        <v>66</v>
      </c>
      <c r="S78" s="1363" t="s">
        <v>67</v>
      </c>
      <c r="T78" s="1362" t="s">
        <v>68</v>
      </c>
      <c r="U78" s="1362" t="s">
        <v>69</v>
      </c>
      <c r="V78" s="1362" t="s">
        <v>70</v>
      </c>
      <c r="W78" s="1362" t="s">
        <v>71</v>
      </c>
      <c r="X78" s="1362" t="s">
        <v>72</v>
      </c>
    </row>
    <row r="79" spans="3:24" x14ac:dyDescent="0.4">
      <c r="C79" s="198">
        <v>2010</v>
      </c>
      <c r="D79" s="1373">
        <v>36.521680882320211</v>
      </c>
      <c r="E79" s="1374">
        <v>36.636640583432964</v>
      </c>
      <c r="F79" s="1374">
        <v>36.412896408367679</v>
      </c>
      <c r="G79" s="1374"/>
      <c r="H79" s="1374">
        <v>34.502737082688704</v>
      </c>
      <c r="I79" s="1375">
        <v>41.927492931861444</v>
      </c>
      <c r="J79" s="1375"/>
      <c r="K79" s="1375">
        <v>27.614586425336817</v>
      </c>
      <c r="L79" s="1375">
        <v>36.228075102658629</v>
      </c>
      <c r="M79" s="1375">
        <v>66.666926051871854</v>
      </c>
      <c r="N79" s="1375">
        <v>53.166103104452958</v>
      </c>
      <c r="O79" s="1375">
        <v>60.374290648902054</v>
      </c>
      <c r="P79" s="1375">
        <v>42.974197496459013</v>
      </c>
      <c r="R79" s="1375">
        <v>41.108716135111067</v>
      </c>
      <c r="S79" s="1374">
        <v>38.534254812325102</v>
      </c>
      <c r="T79" s="1374">
        <v>36.936582239364562</v>
      </c>
      <c r="U79" s="1374">
        <v>37.269436112061491</v>
      </c>
      <c r="V79" s="1374">
        <v>38.724799153115285</v>
      </c>
      <c r="W79" s="1374">
        <v>34.520036117943768</v>
      </c>
      <c r="X79" s="1374">
        <v>30.210220436965969</v>
      </c>
    </row>
    <row r="80" spans="3:24" x14ac:dyDescent="0.4">
      <c r="C80" s="198">
        <v>2011</v>
      </c>
      <c r="D80" s="1373">
        <v>37.825677769053115</v>
      </c>
      <c r="E80" s="1374">
        <v>38.260576293824528</v>
      </c>
      <c r="F80" s="1374">
        <v>37.412049210381305</v>
      </c>
      <c r="G80" s="1374"/>
      <c r="H80" s="1374">
        <v>35.354316365466921</v>
      </c>
      <c r="I80" s="1375">
        <v>44.440299254266051</v>
      </c>
      <c r="J80" s="1375"/>
      <c r="K80" s="1375">
        <v>28.380290485953559</v>
      </c>
      <c r="L80" s="1375">
        <v>36.917438158932278</v>
      </c>
      <c r="M80" s="1375">
        <v>72.012248803827745</v>
      </c>
      <c r="N80" s="1375">
        <v>56.468147635923593</v>
      </c>
      <c r="O80" s="1375">
        <v>61.677159943766071</v>
      </c>
      <c r="P80" s="1375">
        <v>44.112997147502796</v>
      </c>
      <c r="R80" s="1375">
        <v>44.155146291723682</v>
      </c>
      <c r="S80" s="1374">
        <v>40.195110915211394</v>
      </c>
      <c r="T80" s="1374">
        <v>38.89050825044967</v>
      </c>
      <c r="U80" s="1374">
        <v>38.253741993053197</v>
      </c>
      <c r="V80" s="1374">
        <v>39.44087741403289</v>
      </c>
      <c r="W80" s="1374">
        <v>35.452711218149723</v>
      </c>
      <c r="X80" s="1374">
        <v>32.196055542736147</v>
      </c>
    </row>
    <row r="81" spans="3:24" x14ac:dyDescent="0.4">
      <c r="C81" s="198">
        <v>2012</v>
      </c>
      <c r="D81" s="1373">
        <v>38.557815395107376</v>
      </c>
      <c r="E81" s="1374">
        <v>38.616242024163583</v>
      </c>
      <c r="F81" s="1374">
        <v>38.502297326648069</v>
      </c>
      <c r="G81" s="1374"/>
      <c r="H81" s="1374">
        <v>35.434167669889291</v>
      </c>
      <c r="I81" s="1375">
        <v>46.907974074445548</v>
      </c>
      <c r="J81" s="1375"/>
      <c r="K81" s="1375">
        <v>28.372669072829414</v>
      </c>
      <c r="L81" s="1375">
        <v>40.654967876586461</v>
      </c>
      <c r="M81" s="1375">
        <v>71.90064932867611</v>
      </c>
      <c r="N81" s="1375">
        <v>56.219088738877652</v>
      </c>
      <c r="O81" s="1375">
        <v>64.579531265008157</v>
      </c>
      <c r="P81" s="1375">
        <v>46.81987090647069</v>
      </c>
      <c r="R81" s="1375">
        <v>45.818314198012651</v>
      </c>
      <c r="S81" s="1374">
        <v>41.793837863963269</v>
      </c>
      <c r="T81" s="1374">
        <v>39.266077095503661</v>
      </c>
      <c r="U81" s="1374">
        <v>38.987264024285338</v>
      </c>
      <c r="V81" s="1374">
        <v>40.482826706422316</v>
      </c>
      <c r="W81" s="1374">
        <v>36.35513385293121</v>
      </c>
      <c r="X81" s="1374">
        <v>31.327028435972341</v>
      </c>
    </row>
    <row r="82" spans="3:24" x14ac:dyDescent="0.4">
      <c r="C82" s="198">
        <v>2013</v>
      </c>
      <c r="D82" s="1373">
        <v>39.766501852934198</v>
      </c>
      <c r="E82" s="1374">
        <v>39.732060501390606</v>
      </c>
      <c r="F82" s="1374">
        <v>39.798700600095756</v>
      </c>
      <c r="G82" s="1374"/>
      <c r="H82" s="1374">
        <v>36.249003660926121</v>
      </c>
      <c r="I82" s="1375">
        <v>49.153014781562057</v>
      </c>
      <c r="J82" s="1375"/>
      <c r="K82" s="1375">
        <v>28.947792447955617</v>
      </c>
      <c r="L82" s="1375">
        <v>42.70197471327976</v>
      </c>
      <c r="M82" s="1375">
        <v>70.820360341749179</v>
      </c>
      <c r="N82" s="1375">
        <v>59.23686925370427</v>
      </c>
      <c r="O82" s="1375">
        <v>68.467731061027223</v>
      </c>
      <c r="P82" s="1375">
        <v>48.876342150634841</v>
      </c>
      <c r="R82" s="1375">
        <v>45.952359146427767</v>
      </c>
      <c r="S82" s="1374">
        <v>43.955632844521737</v>
      </c>
      <c r="T82" s="1374">
        <v>42.800411183413019</v>
      </c>
      <c r="U82" s="1374">
        <v>40.337328223778954</v>
      </c>
      <c r="V82" s="1374">
        <v>41.835754352079341</v>
      </c>
      <c r="W82" s="1374">
        <v>37.916990377169277</v>
      </c>
      <c r="X82" s="1374">
        <v>29.490035617558153</v>
      </c>
    </row>
    <row r="83" spans="3:24" x14ac:dyDescent="0.4">
      <c r="C83" s="198">
        <v>2014</v>
      </c>
      <c r="D83" s="1373">
        <v>40.791932604904595</v>
      </c>
      <c r="E83" s="1374">
        <v>40.855185130715164</v>
      </c>
      <c r="F83" s="1374">
        <v>40.731813983144363</v>
      </c>
      <c r="G83" s="1374"/>
      <c r="H83" s="1374">
        <v>37.469890212755658</v>
      </c>
      <c r="I83" s="1375">
        <v>49.643091893087288</v>
      </c>
      <c r="J83" s="1375"/>
      <c r="K83" s="1375">
        <v>29.606204845535899</v>
      </c>
      <c r="L83" s="1375">
        <v>43.429213820814702</v>
      </c>
      <c r="M83" s="1375">
        <v>70.93214463324415</v>
      </c>
      <c r="N83" s="1375">
        <v>59.549981908397584</v>
      </c>
      <c r="O83" s="1375">
        <v>69.359755029395075</v>
      </c>
      <c r="P83" s="1375">
        <v>54.351901694726493</v>
      </c>
      <c r="R83" s="1375">
        <v>47.820698776834888</v>
      </c>
      <c r="S83" s="1374">
        <v>45.351881782982304</v>
      </c>
      <c r="T83" s="1374">
        <v>43.906696211115467</v>
      </c>
      <c r="U83" s="1374">
        <v>41.301357457203139</v>
      </c>
      <c r="V83" s="1374">
        <v>41.870842856195239</v>
      </c>
      <c r="W83" s="1374">
        <v>38.987763601949624</v>
      </c>
      <c r="X83" s="1374">
        <v>31.192434062875918</v>
      </c>
    </row>
    <row r="84" spans="3:24" x14ac:dyDescent="0.4">
      <c r="C84" s="198">
        <v>2015</v>
      </c>
      <c r="D84" s="1373">
        <v>42.798016944187452</v>
      </c>
      <c r="E84" s="1374">
        <v>42.956221601099131</v>
      </c>
      <c r="F84" s="1374">
        <v>42.648304086644451</v>
      </c>
      <c r="G84" s="1374"/>
      <c r="H84" s="1374">
        <v>39.188221652793601</v>
      </c>
      <c r="I84" s="1375">
        <v>52.396354770265596</v>
      </c>
      <c r="J84" s="1375"/>
      <c r="K84" s="1375">
        <v>30.91662225506392</v>
      </c>
      <c r="L84" s="1375">
        <v>46.576297126303274</v>
      </c>
      <c r="M84" s="1375">
        <v>71.007482400651142</v>
      </c>
      <c r="N84" s="1375">
        <v>62.019577738333744</v>
      </c>
      <c r="O84" s="1375">
        <v>72.533609290983975</v>
      </c>
      <c r="P84" s="1375">
        <v>60.125272882548231</v>
      </c>
      <c r="R84" s="1375">
        <v>49.915399355811964</v>
      </c>
      <c r="S84" s="1374">
        <v>47.113121050675254</v>
      </c>
      <c r="T84" s="1374">
        <v>44.569038822060996</v>
      </c>
      <c r="U84" s="1374">
        <v>44.116263617704334</v>
      </c>
      <c r="V84" s="1374">
        <v>43.243401170060842</v>
      </c>
      <c r="W84" s="1374">
        <v>40.863008898645582</v>
      </c>
      <c r="X84" s="1374">
        <v>34.250596303594058</v>
      </c>
    </row>
    <row r="85" spans="3:24" x14ac:dyDescent="0.4">
      <c r="C85" s="198">
        <v>2016</v>
      </c>
      <c r="D85" s="1373">
        <v>44.874678972105393</v>
      </c>
      <c r="E85" s="1374">
        <v>44.924502776664809</v>
      </c>
      <c r="F85" s="1374">
        <v>44.827680765398725</v>
      </c>
      <c r="G85" s="1374"/>
      <c r="H85" s="1374">
        <v>40.411878387083696</v>
      </c>
      <c r="I85" s="1375">
        <v>56.720905447843627</v>
      </c>
      <c r="J85" s="1375"/>
      <c r="K85" s="1375">
        <v>32.404953231320484</v>
      </c>
      <c r="L85" s="1375">
        <v>50.572587892779687</v>
      </c>
      <c r="M85" s="1375">
        <v>74.006197867989627</v>
      </c>
      <c r="N85" s="1375">
        <v>67.783899432422842</v>
      </c>
      <c r="O85" s="1375">
        <v>75.016739317582434</v>
      </c>
      <c r="P85" s="1375">
        <v>60.178780624458817</v>
      </c>
      <c r="R85" s="1375">
        <v>52.022727215538659</v>
      </c>
      <c r="S85" s="1374">
        <v>50.448120968322918</v>
      </c>
      <c r="T85" s="1374">
        <v>48.256682444397981</v>
      </c>
      <c r="U85" s="1374">
        <v>44.517666714180109</v>
      </c>
      <c r="V85" s="1374">
        <v>45.93144616887281</v>
      </c>
      <c r="W85" s="1374">
        <v>43.08272802518934</v>
      </c>
      <c r="X85" s="1374">
        <v>34.89760034619885</v>
      </c>
    </row>
    <row r="86" spans="3:24" x14ac:dyDescent="0.4">
      <c r="C86" s="198">
        <v>2017</v>
      </c>
      <c r="D86" s="1373">
        <v>45.440960640426951</v>
      </c>
      <c r="E86" s="1374">
        <v>45.868327544150489</v>
      </c>
      <c r="F86" s="1374">
        <v>45.036370591216908</v>
      </c>
      <c r="G86" s="1374"/>
      <c r="H86" s="1374">
        <v>40.962759634416926</v>
      </c>
      <c r="I86" s="1375">
        <v>57.315798409897909</v>
      </c>
      <c r="J86" s="1375"/>
      <c r="K86" s="1375">
        <v>33.422945862468794</v>
      </c>
      <c r="L86" s="1375">
        <v>52.230006812621113</v>
      </c>
      <c r="M86" s="1375">
        <v>73.623659633344857</v>
      </c>
      <c r="N86" s="1375">
        <v>69.024921244907716</v>
      </c>
      <c r="O86" s="1375">
        <v>73.451660185933619</v>
      </c>
      <c r="P86" s="1375">
        <v>58.456818085125015</v>
      </c>
      <c r="R86" s="1375">
        <v>51.380068490412675</v>
      </c>
      <c r="S86" s="1374">
        <v>51.697871279025357</v>
      </c>
      <c r="T86" s="1374">
        <v>49.013444193226853</v>
      </c>
      <c r="U86" s="1374">
        <v>46.226421478235864</v>
      </c>
      <c r="V86" s="1374">
        <v>46.770989473582581</v>
      </c>
      <c r="W86" s="1374">
        <v>43.793485738259953</v>
      </c>
      <c r="X86" s="1374">
        <v>34.563462568924692</v>
      </c>
    </row>
    <row r="87" spans="3:24" x14ac:dyDescent="0.4">
      <c r="C87" s="198">
        <v>2018</v>
      </c>
      <c r="D87" s="1373">
        <v>46.796623200596841</v>
      </c>
      <c r="E87" s="1374">
        <v>47.320273209146613</v>
      </c>
      <c r="F87" s="1374">
        <v>46.301420466696996</v>
      </c>
      <c r="G87" s="1374"/>
      <c r="H87" s="1374">
        <v>41.702254348600832</v>
      </c>
      <c r="I87" s="1375">
        <v>60.271428935664929</v>
      </c>
      <c r="J87" s="1375"/>
      <c r="K87" s="1375">
        <v>33.805575439113291</v>
      </c>
      <c r="L87" s="1375">
        <v>52.014687409411543</v>
      </c>
      <c r="M87" s="1375">
        <v>77.044192125469692</v>
      </c>
      <c r="N87" s="1375">
        <v>70.6727908868111</v>
      </c>
      <c r="O87" s="1375">
        <v>76.302919659395286</v>
      </c>
      <c r="P87" s="1375">
        <v>64.930440522904689</v>
      </c>
      <c r="R87" s="1375">
        <v>53.3200633968547</v>
      </c>
      <c r="S87" s="1374">
        <v>54.326875624286885</v>
      </c>
      <c r="T87" s="1374">
        <v>51.272095159070375</v>
      </c>
      <c r="U87" s="1374">
        <v>47.634224784863676</v>
      </c>
      <c r="V87" s="1374">
        <v>48.108260792027778</v>
      </c>
      <c r="W87" s="1374">
        <v>44.991200184921993</v>
      </c>
      <c r="X87" s="1374">
        <v>34.879326822730718</v>
      </c>
    </row>
    <row r="88" spans="3:24" x14ac:dyDescent="0.4">
      <c r="C88" s="198">
        <v>2019</v>
      </c>
      <c r="D88" s="1373">
        <v>47.573862636939126</v>
      </c>
      <c r="E88" s="1374">
        <v>47.976034981879842</v>
      </c>
      <c r="F88" s="1374">
        <v>47.195635341127037</v>
      </c>
      <c r="G88" s="1374"/>
      <c r="H88" s="1374">
        <v>42.658685936961028</v>
      </c>
      <c r="I88" s="1375">
        <v>60.556105691314343</v>
      </c>
      <c r="J88" s="1375"/>
      <c r="K88" s="1375">
        <v>35.94848937012609</v>
      </c>
      <c r="L88" s="1375">
        <v>52.862641575456301</v>
      </c>
      <c r="M88" s="1375">
        <v>74.450113549832778</v>
      </c>
      <c r="N88" s="1375">
        <v>72.139257553706798</v>
      </c>
      <c r="O88" s="1375">
        <v>74.363717856326801</v>
      </c>
      <c r="P88" s="1375">
        <v>59.933991809202602</v>
      </c>
      <c r="R88" s="1375">
        <v>53.278690764786433</v>
      </c>
      <c r="S88" s="1374">
        <v>53.633989783118373</v>
      </c>
      <c r="T88" s="1374">
        <v>52.696197935577572</v>
      </c>
      <c r="U88" s="1374">
        <v>47.963588845406527</v>
      </c>
      <c r="V88" s="1374">
        <v>48.744878595637232</v>
      </c>
      <c r="W88" s="1374">
        <v>46.029189261041758</v>
      </c>
      <c r="X88" s="1374">
        <v>37.68085739803513</v>
      </c>
    </row>
    <row r="89" spans="3:24" x14ac:dyDescent="0.4">
      <c r="C89" s="198">
        <v>2020</v>
      </c>
      <c r="D89" s="1373">
        <v>48.857681987633541</v>
      </c>
      <c r="E89" s="1374">
        <v>49.672566874873723</v>
      </c>
      <c r="F89" s="1374">
        <v>48.089838284703731</v>
      </c>
      <c r="G89" s="1374"/>
      <c r="H89" s="1374">
        <v>43.759492407422897</v>
      </c>
      <c r="I89" s="1375">
        <v>62.313429382091066</v>
      </c>
      <c r="J89" s="1375"/>
      <c r="K89" s="1375">
        <v>36.421323889775984</v>
      </c>
      <c r="L89" s="1375">
        <v>54.537720804087478</v>
      </c>
      <c r="M89" s="1375">
        <v>76.808286458866633</v>
      </c>
      <c r="N89" s="1375">
        <v>73.995313399515126</v>
      </c>
      <c r="O89" s="1375">
        <v>78.080179412736214</v>
      </c>
      <c r="P89" s="1375">
        <v>62.801238718726971</v>
      </c>
      <c r="R89" s="1375">
        <v>54.44846857535358</v>
      </c>
      <c r="S89" s="1374">
        <v>55.386417749738392</v>
      </c>
      <c r="T89" s="1374">
        <v>52.214275074541327</v>
      </c>
      <c r="U89" s="1374">
        <v>49.827453758120456</v>
      </c>
      <c r="V89" s="1374">
        <v>50.558015943312661</v>
      </c>
      <c r="W89" s="1374">
        <v>47.55553089389629</v>
      </c>
      <c r="X89" s="1374">
        <v>39.071399032727285</v>
      </c>
    </row>
    <row r="90" spans="3:24" x14ac:dyDescent="0.4">
      <c r="C90" s="198">
        <v>2021</v>
      </c>
      <c r="D90" s="1373">
        <v>50.407317795419424</v>
      </c>
      <c r="E90" s="1374">
        <v>50.85686801577944</v>
      </c>
      <c r="F90" s="1374">
        <v>49.991047922707764</v>
      </c>
      <c r="G90" s="1374"/>
      <c r="H90" s="1374">
        <v>44.997703818500412</v>
      </c>
      <c r="I90" s="1375">
        <v>64.664824727053556</v>
      </c>
      <c r="J90" s="1375"/>
      <c r="K90" s="1375">
        <v>37.740794104566092</v>
      </c>
      <c r="L90" s="1375">
        <v>57.740779599307892</v>
      </c>
      <c r="M90" s="1375">
        <v>79.551778792484512</v>
      </c>
      <c r="N90" s="1375">
        <v>73.432451989681041</v>
      </c>
      <c r="O90" s="1375">
        <v>78.053185633686525</v>
      </c>
      <c r="P90" s="1375">
        <v>66.969473274852305</v>
      </c>
      <c r="R90" s="1375">
        <v>56.262011631328214</v>
      </c>
      <c r="S90" s="1374">
        <v>56.474992328935258</v>
      </c>
      <c r="T90" s="1374">
        <v>55.57931837716599</v>
      </c>
      <c r="U90" s="1374">
        <v>52.993354566318274</v>
      </c>
      <c r="V90" s="1374">
        <v>50.339984015042383</v>
      </c>
      <c r="W90" s="1374">
        <v>49.548478471612192</v>
      </c>
      <c r="X90" s="1374">
        <v>40.304991189712844</v>
      </c>
    </row>
    <row r="91" spans="3:24" x14ac:dyDescent="0.4">
      <c r="C91" s="198">
        <v>2022</v>
      </c>
      <c r="D91" s="1373">
        <v>50.93536371099534</v>
      </c>
      <c r="E91" s="1374">
        <v>51.356855403719415</v>
      </c>
      <c r="F91" s="1374">
        <v>50.550860870263712</v>
      </c>
      <c r="G91" s="1374"/>
      <c r="H91" s="1374">
        <v>45.622272201975861</v>
      </c>
      <c r="I91" s="1375">
        <v>64.90644982751958</v>
      </c>
      <c r="J91" s="1375"/>
      <c r="K91" s="1375">
        <v>38.137950654402033</v>
      </c>
      <c r="L91" s="1375">
        <v>58.670854972501893</v>
      </c>
      <c r="M91" s="1375">
        <v>77.864702732685458</v>
      </c>
      <c r="N91" s="1375">
        <v>75.138404043432644</v>
      </c>
      <c r="O91" s="1375">
        <v>77.344403462359494</v>
      </c>
      <c r="P91" s="1375">
        <v>69.654659465397302</v>
      </c>
      <c r="R91" s="1375">
        <v>58.532330381771771</v>
      </c>
      <c r="S91" s="1374">
        <v>57.583357105183765</v>
      </c>
      <c r="T91" s="1374">
        <v>56.399352119811773</v>
      </c>
      <c r="U91" s="1374">
        <v>51.9392368308214</v>
      </c>
      <c r="V91" s="1374">
        <v>51.848633475542407</v>
      </c>
      <c r="W91" s="1374">
        <v>49.557544667125534</v>
      </c>
      <c r="X91" s="1374">
        <v>42.045024260399174</v>
      </c>
    </row>
    <row r="92" spans="3:24" x14ac:dyDescent="0.4">
      <c r="C92" s="2285">
        <v>2023</v>
      </c>
      <c r="D92" s="1373">
        <v>51.491385259147307</v>
      </c>
      <c r="E92" s="1374">
        <v>51.904800653218821</v>
      </c>
      <c r="F92" s="1374">
        <v>51.118668078478422</v>
      </c>
      <c r="G92" s="1374"/>
      <c r="H92" s="1374">
        <v>45.748089048690709</v>
      </c>
      <c r="I92" s="1375">
        <v>66.567073901643596</v>
      </c>
      <c r="J92" s="1375"/>
      <c r="K92" s="1375">
        <v>38.443404377169202</v>
      </c>
      <c r="L92" s="1375">
        <v>58.534562459292729</v>
      </c>
      <c r="M92" s="1375">
        <v>80.789000053772455</v>
      </c>
      <c r="N92" s="1375">
        <v>77.656562535789718</v>
      </c>
      <c r="O92" s="1375">
        <v>77.532273349478785</v>
      </c>
      <c r="P92" s="1375">
        <v>69.364255449303258</v>
      </c>
      <c r="Q92" s="2279"/>
      <c r="R92" s="1375">
        <v>58.354076075057847</v>
      </c>
      <c r="S92" s="1374">
        <v>57.603530628323817</v>
      </c>
      <c r="T92" s="1374">
        <v>58.563052596714691</v>
      </c>
      <c r="U92" s="1374">
        <v>53.433126747419557</v>
      </c>
      <c r="V92" s="1374">
        <v>53.363103229351992</v>
      </c>
      <c r="W92" s="1374">
        <v>49.274068053642054</v>
      </c>
      <c r="X92" s="1374">
        <v>43.522292794513213</v>
      </c>
    </row>
    <row r="93" spans="3:24" s="2279" customFormat="1" x14ac:dyDescent="0.4">
      <c r="C93" s="606">
        <v>2024</v>
      </c>
      <c r="D93" s="1376">
        <v>52.880785491923945</v>
      </c>
      <c r="E93" s="1377">
        <v>53.307318144507931</v>
      </c>
      <c r="F93" s="1377">
        <v>52.492169626247431</v>
      </c>
      <c r="G93" s="1377"/>
      <c r="H93" s="1377">
        <v>46.114257925066418</v>
      </c>
      <c r="I93" s="1378">
        <v>70.607791223353487</v>
      </c>
      <c r="J93" s="1378"/>
      <c r="K93" s="1378">
        <v>39.062251699428437</v>
      </c>
      <c r="L93" s="1378">
        <v>62.98695045023355</v>
      </c>
      <c r="M93" s="1378">
        <v>82.431694415404053</v>
      </c>
      <c r="N93" s="1378">
        <v>78.901741768499662</v>
      </c>
      <c r="O93" s="1378">
        <v>78.542429076350444</v>
      </c>
      <c r="P93" s="1378">
        <v>73.564589595017509</v>
      </c>
      <c r="Q93" s="120"/>
      <c r="R93" s="1378">
        <v>61.202743823817627</v>
      </c>
      <c r="S93" s="1377">
        <v>60.549129007561532</v>
      </c>
      <c r="T93" s="1377">
        <v>61.759173366316219</v>
      </c>
      <c r="U93" s="1377">
        <v>54.981751962702972</v>
      </c>
      <c r="V93" s="1377">
        <v>54.183957858463749</v>
      </c>
      <c r="W93" s="1377">
        <v>50.969030298784759</v>
      </c>
      <c r="X93" s="1377">
        <v>43.108856319679319</v>
      </c>
    </row>
    <row r="94" spans="3:24" x14ac:dyDescent="0.4">
      <c r="C94" s="2285" t="s">
        <v>8127</v>
      </c>
      <c r="D94" s="1373"/>
      <c r="E94" s="1374"/>
      <c r="F94" s="1374"/>
      <c r="G94" s="1374"/>
      <c r="H94" s="1374"/>
      <c r="I94" s="1375"/>
      <c r="J94" s="1375"/>
      <c r="K94" s="1375"/>
      <c r="L94" s="1375"/>
      <c r="M94" s="1375"/>
      <c r="N94" s="1375"/>
      <c r="O94" s="1375"/>
      <c r="P94" s="1375"/>
      <c r="Q94" s="2279"/>
      <c r="R94" s="1375"/>
      <c r="S94" s="1374"/>
      <c r="T94" s="1374"/>
      <c r="U94" s="1374"/>
      <c r="V94" s="1374"/>
      <c r="W94" s="1374"/>
      <c r="X94" s="1374"/>
    </row>
  </sheetData>
  <mergeCells count="28">
    <mergeCell ref="A5:B5"/>
    <mergeCell ref="C5:U5"/>
    <mergeCell ref="C1:D1"/>
    <mergeCell ref="A3:B3"/>
    <mergeCell ref="C3:U3"/>
    <mergeCell ref="A4:B4"/>
    <mergeCell ref="C4:U4"/>
    <mergeCell ref="A6:B6"/>
    <mergeCell ref="C6:U6"/>
    <mergeCell ref="C12:C13"/>
    <mergeCell ref="D12:D13"/>
    <mergeCell ref="E12:F12"/>
    <mergeCell ref="H12:I12"/>
    <mergeCell ref="K12:P12"/>
    <mergeCell ref="R12:X12"/>
    <mergeCell ref="C32:F32"/>
    <mergeCell ref="C55:C56"/>
    <mergeCell ref="D55:D56"/>
    <mergeCell ref="E55:F55"/>
    <mergeCell ref="H55:I55"/>
    <mergeCell ref="R55:X55"/>
    <mergeCell ref="C77:C78"/>
    <mergeCell ref="D77:D78"/>
    <mergeCell ref="E77:F77"/>
    <mergeCell ref="H77:I77"/>
    <mergeCell ref="K77:P77"/>
    <mergeCell ref="R77:X77"/>
    <mergeCell ref="K55:P55"/>
  </mergeCells>
  <hyperlinks>
    <hyperlink ref="A1" location="'ODS 7.'!A1" display="REGRESAR" xr:uid="{5B19A009-1364-49BC-91B2-5E15A341DD24}"/>
    <hyperlink ref="C1:D1" location="'Metadato 7.1.2'!A1" display="VER METADATO" xr:uid="{8131CF9E-4F34-4516-A0DB-461A317448D1}"/>
  </hyperlinks>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1C648-2C02-44CC-8E63-5C8C812ABB48}">
  <sheetPr>
    <tabColor theme="0" tint="-0.499984740745262"/>
  </sheetPr>
  <dimension ref="B1:G36"/>
  <sheetViews>
    <sheetView showGridLines="0" zoomScaleNormal="100" workbookViewId="0">
      <pane ySplit="1" topLeftCell="A2" activePane="bottomLeft" state="frozen"/>
      <selection sqref="A1:B1"/>
      <selection pane="bottomLeft" activeCell="C1" sqref="C1"/>
    </sheetView>
  </sheetViews>
  <sheetFormatPr baseColWidth="10" defaultColWidth="11.42578125" defaultRowHeight="18.75" x14ac:dyDescent="0.25"/>
  <cols>
    <col min="1" max="1" width="3.7109375" style="243" customWidth="1"/>
    <col min="2" max="2" width="8" style="243" customWidth="1"/>
    <col min="3" max="3" width="26.42578125" style="243" customWidth="1"/>
    <col min="4" max="4" width="24" style="243" customWidth="1"/>
    <col min="5" max="5" width="85.7109375" style="243" customWidth="1"/>
    <col min="6" max="6" width="11.42578125" style="243"/>
    <col min="7" max="7" width="7.28515625" style="243" customWidth="1"/>
    <col min="8" max="8" width="0.7109375" style="243" customWidth="1"/>
    <col min="9" max="14" width="11.42578125" style="243"/>
    <col min="15" max="15" width="0.7109375" style="243" customWidth="1"/>
    <col min="16" max="16384" width="11.42578125" style="243"/>
  </cols>
  <sheetData>
    <row r="1" spans="2:7" x14ac:dyDescent="0.25">
      <c r="C1" s="223" t="s">
        <v>39</v>
      </c>
    </row>
    <row r="2" spans="2:7" ht="19.5" thickBot="1" x14ac:dyDescent="0.3"/>
    <row r="3" spans="2:7" ht="23.25" customHeight="1" thickBot="1" x14ac:dyDescent="0.3">
      <c r="C3" s="3084" t="s">
        <v>75</v>
      </c>
      <c r="D3" s="3084"/>
      <c r="E3" s="3084"/>
      <c r="G3" s="1046" t="s">
        <v>76</v>
      </c>
    </row>
    <row r="4" spans="2:7" ht="19.5" customHeight="1" x14ac:dyDescent="0.25">
      <c r="B4" s="1079"/>
      <c r="C4" s="2445" t="s">
        <v>234</v>
      </c>
      <c r="D4" s="2445"/>
      <c r="E4" s="49" t="s">
        <v>4698</v>
      </c>
    </row>
    <row r="5" spans="2:7" x14ac:dyDescent="0.25">
      <c r="C5" s="2445" t="s">
        <v>79</v>
      </c>
      <c r="D5" s="2445"/>
      <c r="E5" s="49" t="s">
        <v>4680</v>
      </c>
    </row>
    <row r="6" spans="2:7" ht="17.25" customHeight="1" x14ac:dyDescent="0.25">
      <c r="C6" s="2445" t="s">
        <v>80</v>
      </c>
      <c r="D6" s="2445"/>
      <c r="E6" s="50" t="s">
        <v>4683</v>
      </c>
    </row>
    <row r="7" spans="2:7" ht="37.5" x14ac:dyDescent="0.25">
      <c r="C7" s="2446" t="s">
        <v>81</v>
      </c>
      <c r="D7" s="2446"/>
      <c r="E7" s="93" t="s">
        <v>4684</v>
      </c>
    </row>
    <row r="8" spans="2:7" x14ac:dyDescent="0.25">
      <c r="C8" s="2446" t="s">
        <v>82</v>
      </c>
      <c r="D8" s="2446"/>
      <c r="E8" s="1047" t="s">
        <v>4714</v>
      </c>
    </row>
    <row r="9" spans="2:7" x14ac:dyDescent="0.4">
      <c r="C9" s="115"/>
      <c r="D9" s="115"/>
      <c r="E9" s="115"/>
    </row>
    <row r="10" spans="2:7" ht="23.25" customHeight="1" x14ac:dyDescent="0.25">
      <c r="C10" s="3084" t="s">
        <v>85</v>
      </c>
      <c r="D10" s="3084"/>
      <c r="E10" s="3084"/>
    </row>
    <row r="11" spans="2:7" x14ac:dyDescent="0.25">
      <c r="C11" s="2487" t="s">
        <v>86</v>
      </c>
      <c r="D11" s="2456"/>
      <c r="E11" s="49" t="s">
        <v>167</v>
      </c>
    </row>
    <row r="12" spans="2:7" ht="37.5" x14ac:dyDescent="0.25">
      <c r="C12" s="2446" t="s">
        <v>88</v>
      </c>
      <c r="D12" s="2446"/>
      <c r="E12" s="184" t="s">
        <v>4715</v>
      </c>
    </row>
    <row r="13" spans="2:7" x14ac:dyDescent="0.25">
      <c r="C13" s="2445" t="s">
        <v>90</v>
      </c>
      <c r="D13" s="2445"/>
      <c r="E13" s="54" t="s">
        <v>4683</v>
      </c>
    </row>
    <row r="14" spans="2:7" x14ac:dyDescent="0.25">
      <c r="C14" s="2445" t="s">
        <v>91</v>
      </c>
      <c r="D14" s="2456"/>
      <c r="E14" s="54" t="s">
        <v>92</v>
      </c>
    </row>
    <row r="15" spans="2:7" ht="268.5" customHeight="1" x14ac:dyDescent="0.25">
      <c r="C15" s="2445" t="s">
        <v>93</v>
      </c>
      <c r="D15" s="2445"/>
      <c r="E15" s="55" t="s">
        <v>4716</v>
      </c>
    </row>
    <row r="16" spans="2:7" ht="59.25" customHeight="1" x14ac:dyDescent="0.25">
      <c r="C16" s="2445" t="s">
        <v>95</v>
      </c>
      <c r="D16" s="2445"/>
      <c r="E16" s="55"/>
    </row>
    <row r="17" spans="3:5" x14ac:dyDescent="0.25">
      <c r="C17" s="2445" t="s">
        <v>97</v>
      </c>
      <c r="D17" s="2445"/>
      <c r="E17" s="55" t="s">
        <v>98</v>
      </c>
    </row>
    <row r="18" spans="3:5" x14ac:dyDescent="0.25">
      <c r="C18" s="2446" t="s">
        <v>99</v>
      </c>
      <c r="D18" s="2446"/>
      <c r="E18" s="49"/>
    </row>
    <row r="19" spans="3:5" ht="30.75" customHeight="1" x14ac:dyDescent="0.25">
      <c r="C19" s="3087" t="s">
        <v>100</v>
      </c>
      <c r="D19" s="3088"/>
      <c r="E19" s="160" t="s">
        <v>4717</v>
      </c>
    </row>
    <row r="20" spans="3:5" x14ac:dyDescent="0.25">
      <c r="C20" s="2445" t="s">
        <v>102</v>
      </c>
      <c r="D20" s="2445"/>
      <c r="E20" s="55" t="s">
        <v>140</v>
      </c>
    </row>
    <row r="21" spans="3:5" x14ac:dyDescent="0.25">
      <c r="C21" s="2451" t="s">
        <v>104</v>
      </c>
      <c r="D21" s="95" t="s">
        <v>105</v>
      </c>
      <c r="E21" s="49" t="s">
        <v>1457</v>
      </c>
    </row>
    <row r="22" spans="3:5" x14ac:dyDescent="0.25">
      <c r="C22" s="2452"/>
      <c r="D22" s="96" t="s">
        <v>107</v>
      </c>
      <c r="E22" s="55" t="s">
        <v>4718</v>
      </c>
    </row>
    <row r="23" spans="3:5" x14ac:dyDescent="0.25">
      <c r="C23" s="2445" t="s">
        <v>109</v>
      </c>
      <c r="D23" s="2445"/>
      <c r="E23" s="55" t="s">
        <v>143</v>
      </c>
    </row>
    <row r="24" spans="3:5" x14ac:dyDescent="0.25">
      <c r="C24" s="2445" t="s">
        <v>111</v>
      </c>
      <c r="D24" s="2445"/>
      <c r="E24" s="50" t="s">
        <v>127</v>
      </c>
    </row>
    <row r="25" spans="3:5" x14ac:dyDescent="0.25">
      <c r="C25" s="2445" t="s">
        <v>113</v>
      </c>
      <c r="D25" s="2445"/>
      <c r="E25" s="55" t="s">
        <v>144</v>
      </c>
    </row>
    <row r="26" spans="3:5" ht="15" customHeight="1" x14ac:dyDescent="0.25">
      <c r="C26" s="2446" t="s">
        <v>115</v>
      </c>
      <c r="D26" s="2446"/>
      <c r="E26" s="49" t="s">
        <v>116</v>
      </c>
    </row>
    <row r="27" spans="3:5" x14ac:dyDescent="0.25">
      <c r="C27" s="2447" t="s">
        <v>117</v>
      </c>
      <c r="D27" s="2448"/>
      <c r="E27" s="49"/>
    </row>
    <row r="28" spans="3:5" ht="150" x14ac:dyDescent="0.25">
      <c r="C28" s="97" t="s">
        <v>118</v>
      </c>
      <c r="D28" s="98"/>
      <c r="E28" s="55" t="s">
        <v>4719</v>
      </c>
    </row>
    <row r="29" spans="3:5" x14ac:dyDescent="0.25">
      <c r="C29" s="2449" t="s">
        <v>120</v>
      </c>
      <c r="D29" s="2450"/>
      <c r="E29" s="62"/>
    </row>
    <row r="30" spans="3:5" x14ac:dyDescent="0.25">
      <c r="C30" s="63"/>
      <c r="D30" s="63"/>
      <c r="E30" s="64"/>
    </row>
    <row r="31" spans="3:5" ht="23.25" customHeight="1" x14ac:dyDescent="0.25">
      <c r="C31" s="3084" t="s">
        <v>121</v>
      </c>
      <c r="D31" s="3084"/>
      <c r="E31" s="3084"/>
    </row>
    <row r="32" spans="3:5" x14ac:dyDescent="0.25">
      <c r="C32" s="2447" t="s">
        <v>122</v>
      </c>
      <c r="D32" s="2448"/>
      <c r="E32" s="50" t="s">
        <v>123</v>
      </c>
    </row>
    <row r="33" spans="3:5" x14ac:dyDescent="0.25">
      <c r="C33" s="2447" t="s">
        <v>124</v>
      </c>
      <c r="D33" s="2448"/>
      <c r="E33" s="50" t="s">
        <v>125</v>
      </c>
    </row>
    <row r="34" spans="3:5" x14ac:dyDescent="0.25">
      <c r="C34" s="2447" t="s">
        <v>126</v>
      </c>
      <c r="D34" s="2448"/>
      <c r="E34" s="50" t="s">
        <v>127</v>
      </c>
    </row>
    <row r="35" spans="3:5" x14ac:dyDescent="0.25">
      <c r="C35" s="2447" t="s">
        <v>128</v>
      </c>
      <c r="D35" s="2448"/>
      <c r="E35" s="50" t="s">
        <v>2812</v>
      </c>
    </row>
    <row r="36" spans="3:5" x14ac:dyDescent="0.25">
      <c r="C36" s="2447" t="s">
        <v>130</v>
      </c>
      <c r="D36" s="2448"/>
      <c r="E36" s="50" t="s">
        <v>131</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5">
    <dataValidation type="list" allowBlank="1" showInputMessage="1" showErrorMessage="1" sqref="E7" xr:uid="{042FA214-1741-4AF1-8A2C-715EE2C14F34}">
      <formula1>Nombre_indicador_ODS</formula1>
    </dataValidation>
    <dataValidation type="list" allowBlank="1" showInputMessage="1" showErrorMessage="1" sqref="E6" xr:uid="{6C4B9D23-E730-4C48-A0E7-2508CBE409FD}">
      <formula1>Numero_indicador</formula1>
    </dataValidation>
    <dataValidation type="list" allowBlank="1" showInputMessage="1" showErrorMessage="1" sqref="E5" xr:uid="{F73B6A3D-878A-44C1-B846-D27CBEC35933}">
      <formula1>Metas_ODS</formula1>
    </dataValidation>
    <dataValidation type="list" allowBlank="1" showInputMessage="1" showErrorMessage="1" sqref="E4" xr:uid="{CDB51B25-D1CF-4C51-AD70-E887C2BB822E}">
      <formula1>ODS</formula1>
    </dataValidation>
    <dataValidation allowBlank="1" showDropDown="1" showInputMessage="1" showErrorMessage="1" sqref="E13" xr:uid="{DB9843AC-4045-42BE-A857-ADF4DCCF0168}"/>
  </dataValidations>
  <hyperlinks>
    <hyperlink ref="C1" location="'7.1.2'!A1" display="REGRESAR" xr:uid="{503E8780-BF97-4421-BB8E-CB173AF5B95F}"/>
    <hyperlink ref="E8" r:id="rId1" xr:uid="{C677A85C-167B-48A0-8197-3D68C387EFA0}"/>
  </hyperlinks>
  <pageMargins left="0.7" right="0.7" top="0.75" bottom="0.75" header="0.3" footer="0.3"/>
  <pageSetup paperSize="9" orientation="portrait" r:id="rId2"/>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5D2-9DB4-40CE-8A9F-E9AA3AE04392}">
  <dimension ref="A1:V92"/>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9" style="115" customWidth="1"/>
    <col min="3" max="3" width="11.42578125" style="115"/>
    <col min="4" max="4" width="20.7109375" style="115" customWidth="1"/>
    <col min="5" max="5" width="22.85546875" style="115" customWidth="1"/>
    <col min="6" max="10" width="11.42578125" style="115"/>
    <col min="11" max="12" width="17.42578125" style="115" customWidth="1"/>
    <col min="13" max="14" width="11.42578125" style="115"/>
    <col min="15" max="15" width="13.42578125" style="115" customWidth="1"/>
    <col min="16" max="16384" width="11.42578125" style="115"/>
  </cols>
  <sheetData>
    <row r="1" spans="1:19" s="1032" customFormat="1" ht="19.5" x14ac:dyDescent="0.4">
      <c r="A1" s="15" t="s">
        <v>39</v>
      </c>
      <c r="C1" s="2421" t="s">
        <v>149</v>
      </c>
      <c r="D1" s="2421"/>
    </row>
    <row r="2" spans="1:19" s="1032" customFormat="1" ht="19.5" x14ac:dyDescent="0.4"/>
    <row r="3" spans="1:19" s="1032" customFormat="1" ht="19.5" x14ac:dyDescent="0.4">
      <c r="A3" s="3077" t="s">
        <v>41</v>
      </c>
      <c r="B3" s="3083"/>
      <c r="C3" s="3077" t="s">
        <v>4679</v>
      </c>
      <c r="D3" s="3086"/>
      <c r="E3" s="3086"/>
      <c r="F3" s="3086"/>
      <c r="G3" s="3086"/>
      <c r="H3" s="3086"/>
      <c r="I3" s="3086"/>
      <c r="J3" s="3086"/>
      <c r="K3" s="3086"/>
      <c r="L3" s="3086"/>
      <c r="M3" s="3086"/>
      <c r="N3" s="3086"/>
      <c r="O3" s="3086"/>
      <c r="P3" s="3086"/>
      <c r="Q3" s="3086"/>
      <c r="R3" s="3086"/>
      <c r="S3" s="3086"/>
    </row>
    <row r="4" spans="1:19" s="1032" customFormat="1" ht="19.5" x14ac:dyDescent="0.4">
      <c r="A4" s="3077" t="s">
        <v>42</v>
      </c>
      <c r="B4" s="3078"/>
      <c r="C4" s="3077" t="s">
        <v>4685</v>
      </c>
      <c r="D4" s="3086"/>
      <c r="E4" s="3086"/>
      <c r="F4" s="3086"/>
      <c r="G4" s="3086"/>
      <c r="H4" s="3086"/>
      <c r="I4" s="3086"/>
      <c r="J4" s="3086"/>
      <c r="K4" s="3086"/>
      <c r="L4" s="3086"/>
      <c r="M4" s="3086"/>
      <c r="N4" s="3086"/>
      <c r="O4" s="3086"/>
      <c r="P4" s="3086"/>
      <c r="Q4" s="3086"/>
      <c r="R4" s="3086"/>
      <c r="S4" s="3086"/>
    </row>
    <row r="5" spans="1:19" s="1032" customFormat="1" ht="19.5" x14ac:dyDescent="0.4">
      <c r="A5" s="3077" t="s">
        <v>43</v>
      </c>
      <c r="B5" s="3078"/>
      <c r="C5" s="3077" t="s">
        <v>4687</v>
      </c>
      <c r="D5" s="3086"/>
      <c r="E5" s="3086"/>
      <c r="F5" s="3086"/>
      <c r="G5" s="3086"/>
      <c r="H5" s="3086"/>
      <c r="I5" s="3086"/>
      <c r="J5" s="3086"/>
      <c r="K5" s="3086"/>
      <c r="L5" s="3086"/>
      <c r="M5" s="3086"/>
      <c r="N5" s="3086"/>
      <c r="O5" s="3086"/>
      <c r="P5" s="3086"/>
      <c r="Q5" s="3086"/>
      <c r="R5" s="3086"/>
      <c r="S5" s="3086"/>
    </row>
    <row r="6" spans="1:19" s="1032" customFormat="1" ht="33.6" customHeight="1" x14ac:dyDescent="0.4">
      <c r="A6" s="3077" t="s">
        <v>132</v>
      </c>
      <c r="B6" s="3078"/>
      <c r="C6" s="3085" t="s">
        <v>4720</v>
      </c>
      <c r="D6" s="3086"/>
      <c r="E6" s="3086"/>
      <c r="F6" s="3086"/>
      <c r="G6" s="3086"/>
      <c r="H6" s="3086"/>
      <c r="I6" s="3086"/>
      <c r="J6" s="3086"/>
      <c r="K6" s="3086"/>
      <c r="L6" s="3086"/>
      <c r="M6" s="3086"/>
      <c r="N6" s="3086"/>
      <c r="O6" s="3086"/>
      <c r="P6" s="3086"/>
      <c r="Q6" s="3086"/>
      <c r="R6" s="3086"/>
      <c r="S6" s="3086"/>
    </row>
    <row r="7" spans="1:19" s="1032" customFormat="1" ht="19.5" x14ac:dyDescent="0.4"/>
    <row r="8" spans="1:19" s="1032" customFormat="1" ht="11.25" customHeight="1" x14ac:dyDescent="0.4"/>
    <row r="9" spans="1:19" s="1032" customFormat="1" ht="29.25" customHeight="1" x14ac:dyDescent="0.4">
      <c r="C9" s="138" t="s">
        <v>4721</v>
      </c>
      <c r="D9" s="138"/>
      <c r="E9" s="138"/>
      <c r="K9" s="2648" t="s">
        <v>4722</v>
      </c>
      <c r="L9" s="2648"/>
      <c r="M9" s="2648"/>
    </row>
    <row r="10" spans="1:19" ht="71.25" customHeight="1" x14ac:dyDescent="0.4">
      <c r="C10" s="1381" t="s">
        <v>247</v>
      </c>
      <c r="D10" s="1380" t="s">
        <v>4723</v>
      </c>
      <c r="E10" s="1380" t="s">
        <v>4724</v>
      </c>
      <c r="H10" s="532" t="s">
        <v>4725</v>
      </c>
    </row>
    <row r="11" spans="1:19" x14ac:dyDescent="0.4">
      <c r="C11" s="536">
        <v>2000</v>
      </c>
      <c r="D11" s="1382">
        <v>37.790864325169359</v>
      </c>
      <c r="E11" s="1382">
        <v>30.539021472981265</v>
      </c>
    </row>
    <row r="12" spans="1:19" x14ac:dyDescent="0.4">
      <c r="C12" s="536">
        <v>2001</v>
      </c>
      <c r="D12" s="1382">
        <v>37.945573647865359</v>
      </c>
      <c r="E12" s="1382">
        <v>30.767219958416074</v>
      </c>
    </row>
    <row r="13" spans="1:19" x14ac:dyDescent="0.4">
      <c r="C13" s="536">
        <v>2002</v>
      </c>
      <c r="D13" s="1382">
        <v>38.254225712634074</v>
      </c>
      <c r="E13" s="1382">
        <v>30.610717321014349</v>
      </c>
    </row>
    <row r="14" spans="1:19" x14ac:dyDescent="0.4">
      <c r="C14" s="536">
        <v>2003</v>
      </c>
      <c r="D14" s="1382">
        <v>38.215947514149022</v>
      </c>
      <c r="E14" s="1382">
        <v>30.189903618822122</v>
      </c>
    </row>
    <row r="15" spans="1:19" x14ac:dyDescent="0.4">
      <c r="C15" s="536">
        <v>2004</v>
      </c>
      <c r="D15" s="1382">
        <v>39.257815467165784</v>
      </c>
      <c r="E15" s="1382">
        <v>30.825171979783235</v>
      </c>
    </row>
    <row r="16" spans="1:19" x14ac:dyDescent="0.4">
      <c r="C16" s="536">
        <v>2005</v>
      </c>
      <c r="D16" s="1382">
        <v>39.061262422981471</v>
      </c>
      <c r="E16" s="1382">
        <v>30.095601531888338</v>
      </c>
    </row>
    <row r="17" spans="3:15" x14ac:dyDescent="0.4">
      <c r="C17" s="536">
        <v>2006</v>
      </c>
      <c r="D17" s="1382">
        <v>40.060019174682424</v>
      </c>
      <c r="E17" s="1382">
        <v>29.958994347059033</v>
      </c>
    </row>
    <row r="18" spans="3:15" x14ac:dyDescent="0.4">
      <c r="C18" s="536">
        <v>2007</v>
      </c>
      <c r="D18" s="1382">
        <v>39.179274284041902</v>
      </c>
      <c r="E18" s="1382">
        <v>31.515561368832561</v>
      </c>
    </row>
    <row r="19" spans="3:15" x14ac:dyDescent="0.4">
      <c r="C19" s="536">
        <v>2008</v>
      </c>
      <c r="D19" s="1382">
        <v>38.653984415904567</v>
      </c>
      <c r="E19" s="1382">
        <v>31.783421109283143</v>
      </c>
    </row>
    <row r="20" spans="3:15" x14ac:dyDescent="0.4">
      <c r="C20" s="536">
        <v>2009</v>
      </c>
      <c r="D20" s="1382">
        <v>38.871331904373257</v>
      </c>
      <c r="E20" s="1382">
        <v>32.979978694076465</v>
      </c>
    </row>
    <row r="21" spans="3:15" x14ac:dyDescent="0.4">
      <c r="C21" s="536">
        <v>2010</v>
      </c>
      <c r="D21" s="1382">
        <v>38.505013508801881</v>
      </c>
      <c r="E21" s="1382">
        <v>32.347776849516528</v>
      </c>
    </row>
    <row r="22" spans="3:15" x14ac:dyDescent="0.4">
      <c r="C22" s="536">
        <v>2011</v>
      </c>
      <c r="D22" s="1382">
        <v>36.205420149607392</v>
      </c>
      <c r="E22" s="1382">
        <v>30.94444731123302</v>
      </c>
    </row>
    <row r="23" spans="3:15" x14ac:dyDescent="0.4">
      <c r="C23" s="536">
        <v>2012</v>
      </c>
      <c r="D23" s="1382">
        <v>36.195157070157848</v>
      </c>
      <c r="E23" s="1382">
        <v>31.657439524740088</v>
      </c>
    </row>
    <row r="24" spans="3:15" x14ac:dyDescent="0.4">
      <c r="C24" s="536">
        <v>2013</v>
      </c>
      <c r="D24" s="1382">
        <v>36.13857970570696</v>
      </c>
      <c r="E24" s="1382">
        <v>31.854744841122656</v>
      </c>
    </row>
    <row r="25" spans="3:15" x14ac:dyDescent="0.4">
      <c r="C25" s="536">
        <v>2014</v>
      </c>
      <c r="D25" s="1382">
        <v>35.999860404764931</v>
      </c>
      <c r="E25" s="1382">
        <v>32.503850038375951</v>
      </c>
    </row>
    <row r="26" spans="3:15" x14ac:dyDescent="0.4">
      <c r="C26" s="536">
        <v>2015</v>
      </c>
      <c r="D26" s="1382">
        <v>36.517284156947724</v>
      </c>
      <c r="E26" s="1382">
        <v>33.313721489692192</v>
      </c>
    </row>
    <row r="27" spans="3:15" x14ac:dyDescent="0.4">
      <c r="C27" s="536">
        <v>2016</v>
      </c>
      <c r="D27" s="1382">
        <v>32.613801165258046</v>
      </c>
      <c r="E27" s="1382">
        <v>30.596411904617089</v>
      </c>
    </row>
    <row r="28" spans="3:15" x14ac:dyDescent="0.4">
      <c r="C28" s="536">
        <v>2017</v>
      </c>
      <c r="D28" s="1382">
        <v>31.29488850468654</v>
      </c>
      <c r="E28" s="1382">
        <v>29.555854982005481</v>
      </c>
    </row>
    <row r="29" spans="3:15" x14ac:dyDescent="0.4">
      <c r="C29" s="232">
        <v>2018</v>
      </c>
      <c r="D29" s="1382">
        <v>30.711308131085392</v>
      </c>
      <c r="E29" s="1382">
        <v>29.101369408661743</v>
      </c>
      <c r="H29" s="3068" t="s">
        <v>4726</v>
      </c>
      <c r="I29" s="3068"/>
      <c r="J29" s="3068"/>
      <c r="K29" s="3068"/>
      <c r="L29" s="3068"/>
      <c r="M29" s="3068"/>
      <c r="N29" s="3068"/>
      <c r="O29" s="3068"/>
    </row>
    <row r="30" spans="3:15" x14ac:dyDescent="0.4">
      <c r="C30" s="232">
        <v>2019</v>
      </c>
      <c r="D30" s="1382">
        <v>30.78163001989212</v>
      </c>
      <c r="E30" s="1382">
        <v>29.167713134534022</v>
      </c>
      <c r="H30" s="243" t="s">
        <v>4727</v>
      </c>
      <c r="I30" s="545"/>
      <c r="J30" s="545"/>
      <c r="K30" s="545"/>
      <c r="L30" s="545"/>
      <c r="M30" s="545"/>
      <c r="N30" s="545"/>
      <c r="O30" s="545"/>
    </row>
    <row r="31" spans="3:15" x14ac:dyDescent="0.4">
      <c r="C31" s="232">
        <v>2020</v>
      </c>
      <c r="D31" s="1382">
        <v>34.792862510472972</v>
      </c>
      <c r="E31" s="1382">
        <v>32.908140131865764</v>
      </c>
      <c r="H31" s="243"/>
      <c r="I31" s="575"/>
      <c r="J31" s="575"/>
      <c r="K31" s="575"/>
      <c r="L31" s="575"/>
      <c r="M31" s="575"/>
      <c r="N31" s="575"/>
      <c r="O31" s="575"/>
    </row>
    <row r="32" spans="3:15" x14ac:dyDescent="0.4">
      <c r="C32" s="232">
        <v>2021</v>
      </c>
      <c r="D32" s="1382">
        <v>31.946531651739441</v>
      </c>
      <c r="E32" s="1382">
        <v>30.300072509838603</v>
      </c>
    </row>
    <row r="33" spans="3:12" ht="32.1" customHeight="1" x14ac:dyDescent="0.4">
      <c r="C33" s="3091" t="s">
        <v>4728</v>
      </c>
      <c r="D33" s="3091"/>
      <c r="E33" s="3091"/>
    </row>
    <row r="34" spans="3:12" ht="28.5" customHeight="1" x14ac:dyDescent="0.4">
      <c r="C34" s="2526" t="s">
        <v>4729</v>
      </c>
      <c r="D34" s="2526"/>
      <c r="E34" s="2526"/>
    </row>
    <row r="37" spans="3:12" ht="131.25" x14ac:dyDescent="0.4">
      <c r="C37" s="1383" t="s">
        <v>247</v>
      </c>
      <c r="D37" s="1383" t="s">
        <v>4730</v>
      </c>
      <c r="E37" s="1383" t="s">
        <v>4731</v>
      </c>
      <c r="F37" s="1383" t="s">
        <v>4732</v>
      </c>
      <c r="G37" s="1383" t="s">
        <v>4733</v>
      </c>
      <c r="H37" s="1383" t="s">
        <v>4734</v>
      </c>
      <c r="I37" s="1383" t="s">
        <v>4735</v>
      </c>
      <c r="J37" s="1383" t="s">
        <v>4736</v>
      </c>
      <c r="K37" s="1383" t="s">
        <v>4723</v>
      </c>
      <c r="L37" s="1383" t="s">
        <v>4724</v>
      </c>
    </row>
    <row r="38" spans="3:12" x14ac:dyDescent="0.4">
      <c r="C38" s="1384">
        <v>2000</v>
      </c>
      <c r="D38" s="1385">
        <v>108732.25289000422</v>
      </c>
      <c r="E38" s="1385">
        <v>41090.858167361534</v>
      </c>
      <c r="F38" s="1385">
        <v>98.795855977112751</v>
      </c>
      <c r="G38" s="1385">
        <v>20710.576799999999</v>
      </c>
      <c r="H38" s="1385">
        <v>20461.191627357326</v>
      </c>
      <c r="I38" s="1385">
        <v>7885.0921092268527</v>
      </c>
      <c r="J38" s="1385">
        <v>33205.766058134679</v>
      </c>
      <c r="K38" s="1382">
        <v>37.790864325169359</v>
      </c>
      <c r="L38" s="1382">
        <v>30.539021472981265</v>
      </c>
    </row>
    <row r="39" spans="3:12" x14ac:dyDescent="0.4">
      <c r="C39" s="1384">
        <v>2001</v>
      </c>
      <c r="D39" s="1385">
        <v>111272.57806675156</v>
      </c>
      <c r="E39" s="1385">
        <v>42223.01806019769</v>
      </c>
      <c r="F39" s="1385">
        <v>98.557598863924227</v>
      </c>
      <c r="G39" s="1385">
        <v>21690.972000000002</v>
      </c>
      <c r="H39" s="1385">
        <v>21378.101173446124</v>
      </c>
      <c r="I39" s="1385">
        <v>7987.539213</v>
      </c>
      <c r="J39" s="1385">
        <v>34235.478847197694</v>
      </c>
      <c r="K39" s="1382">
        <v>37.945573647865359</v>
      </c>
      <c r="L39" s="1382">
        <v>30.767219958416074</v>
      </c>
    </row>
    <row r="40" spans="3:12" x14ac:dyDescent="0.4">
      <c r="C40" s="1384">
        <v>2002</v>
      </c>
      <c r="D40" s="1385">
        <v>115341.23605352253</v>
      </c>
      <c r="E40" s="1385">
        <v>44122.896779656585</v>
      </c>
      <c r="F40" s="1385">
        <v>98.205763409228297</v>
      </c>
      <c r="G40" s="1385">
        <v>22858.549200000001</v>
      </c>
      <c r="H40" s="1385">
        <v>22448.41274613405</v>
      </c>
      <c r="I40" s="1385">
        <v>8816.1170567489207</v>
      </c>
      <c r="J40" s="1385">
        <v>35306.779722907668</v>
      </c>
      <c r="K40" s="1382">
        <v>38.254225712634074</v>
      </c>
      <c r="L40" s="1382">
        <v>30.610717321014349</v>
      </c>
    </row>
    <row r="41" spans="3:12" x14ac:dyDescent="0.4">
      <c r="C41" s="1384">
        <v>2003</v>
      </c>
      <c r="D41" s="1385">
        <v>121238.39042951258</v>
      </c>
      <c r="E41" s="1385">
        <v>46332.399653541601</v>
      </c>
      <c r="F41" s="1385">
        <v>97.768715784543488</v>
      </c>
      <c r="G41" s="1385">
        <v>24148.285199999998</v>
      </c>
      <c r="H41" s="1385">
        <v>23609.468324028978</v>
      </c>
      <c r="I41" s="1385">
        <v>9730.6464338604874</v>
      </c>
      <c r="J41" s="1385">
        <v>36601.753219681115</v>
      </c>
      <c r="K41" s="1382">
        <v>38.215947514149022</v>
      </c>
      <c r="L41" s="1382">
        <v>30.189903618822122</v>
      </c>
    </row>
    <row r="42" spans="3:12" x14ac:dyDescent="0.4">
      <c r="C42" s="1384">
        <v>2004</v>
      </c>
      <c r="D42" s="1385">
        <v>127362.71182457119</v>
      </c>
      <c r="E42" s="1385">
        <v>49999.818382068297</v>
      </c>
      <c r="F42" s="1385">
        <v>99.010389810088924</v>
      </c>
      <c r="G42" s="1385">
        <v>25200.727199999998</v>
      </c>
      <c r="H42" s="1385">
        <v>24951.338235697105</v>
      </c>
      <c r="I42" s="1385">
        <v>10740.043424028509</v>
      </c>
      <c r="J42" s="1385">
        <v>39259.774958039787</v>
      </c>
      <c r="K42" s="1382">
        <v>39.257815467165784</v>
      </c>
      <c r="L42" s="1382">
        <v>30.825171979783235</v>
      </c>
    </row>
    <row r="43" spans="3:12" x14ac:dyDescent="0.4">
      <c r="C43" s="1384">
        <v>2005</v>
      </c>
      <c r="D43" s="1385">
        <v>132217.23584934071</v>
      </c>
      <c r="E43" s="1385">
        <v>51645.72146352331</v>
      </c>
      <c r="F43" s="1385">
        <v>96.720948849732437</v>
      </c>
      <c r="G43" s="1385">
        <v>26491</v>
      </c>
      <c r="H43" s="1385">
        <v>25622.346559782618</v>
      </c>
      <c r="I43" s="1385">
        <v>11854.149005828711</v>
      </c>
      <c r="J43" s="1385">
        <v>39791.572457694601</v>
      </c>
      <c r="K43" s="1382">
        <v>39.061262422981471</v>
      </c>
      <c r="L43" s="1382">
        <v>30.095601531888338</v>
      </c>
    </row>
    <row r="44" spans="3:12" x14ac:dyDescent="0.4">
      <c r="C44" s="1384">
        <v>2006</v>
      </c>
      <c r="D44" s="1385">
        <v>140641.20137542998</v>
      </c>
      <c r="E44" s="1385">
        <v>56340.892238500972</v>
      </c>
      <c r="F44" s="1385">
        <v>93.869785954758129</v>
      </c>
      <c r="G44" s="1385">
        <v>28117.555199999999</v>
      </c>
      <c r="H44" s="1385">
        <v>26393.888881950963</v>
      </c>
      <c r="I44" s="1385">
        <v>14206.202668800001</v>
      </c>
      <c r="J44" s="1385">
        <v>42134.689569700975</v>
      </c>
      <c r="K44" s="1382">
        <v>40.060019174682424</v>
      </c>
      <c r="L44" s="1382">
        <v>29.958994347059033</v>
      </c>
    </row>
    <row r="45" spans="3:12" x14ac:dyDescent="0.4">
      <c r="C45" s="1384">
        <v>2007</v>
      </c>
      <c r="D45" s="1385">
        <v>149814.88156141882</v>
      </c>
      <c r="E45" s="1385">
        <v>58696.383365260801</v>
      </c>
      <c r="F45" s="1385">
        <v>92.019030888187771</v>
      </c>
      <c r="G45" s="1385">
        <v>29621.437225200003</v>
      </c>
      <c r="H45" s="1385">
        <v>27257.359469781943</v>
      </c>
      <c r="I45" s="1385">
        <v>11481.382427128032</v>
      </c>
      <c r="J45" s="1385">
        <v>47215.000938132769</v>
      </c>
      <c r="K45" s="1382">
        <v>39.179274284041902</v>
      </c>
      <c r="L45" s="1382">
        <v>31.515561368832561</v>
      </c>
    </row>
    <row r="46" spans="3:12" x14ac:dyDescent="0.4">
      <c r="C46" s="1384">
        <v>2008</v>
      </c>
      <c r="D46" s="1385">
        <v>149946.75051175663</v>
      </c>
      <c r="E46" s="1385">
        <v>57960.393574969712</v>
      </c>
      <c r="F46" s="1385">
        <v>92.854396465599251</v>
      </c>
      <c r="G46" s="1385">
        <v>30268.086076799998</v>
      </c>
      <c r="H46" s="1385">
        <v>28105.248648300716</v>
      </c>
      <c r="I46" s="1385">
        <v>10302.186420131924</v>
      </c>
      <c r="J46" s="1385">
        <v>47658.207154837786</v>
      </c>
      <c r="K46" s="1382">
        <v>38.653984415904567</v>
      </c>
      <c r="L46" s="1382">
        <v>31.783421109283143</v>
      </c>
    </row>
    <row r="47" spans="3:12" x14ac:dyDescent="0.4">
      <c r="C47" s="1384">
        <v>2009</v>
      </c>
      <c r="D47" s="1385">
        <v>146724.16831483555</v>
      </c>
      <c r="E47" s="1385">
        <v>57033.638449590988</v>
      </c>
      <c r="F47" s="1385">
        <v>95.154147406984137</v>
      </c>
      <c r="G47" s="1385">
        <v>29927.376151200006</v>
      </c>
      <c r="H47" s="1385">
        <v>28477.139617955469</v>
      </c>
      <c r="I47" s="1385">
        <v>8644.039000297329</v>
      </c>
      <c r="J47" s="1385">
        <v>48389.599449293659</v>
      </c>
      <c r="K47" s="1382">
        <v>38.871331904373257</v>
      </c>
      <c r="L47" s="1382">
        <v>32.979978694076465</v>
      </c>
    </row>
    <row r="48" spans="3:12" x14ac:dyDescent="0.4">
      <c r="C48" s="1384">
        <v>2010</v>
      </c>
      <c r="D48" s="1385">
        <v>149114.89458773949</v>
      </c>
      <c r="E48" s="1385">
        <v>57416.710304644781</v>
      </c>
      <c r="F48" s="1385">
        <v>93.309468369172805</v>
      </c>
      <c r="G48" s="1385">
        <v>30832.331342400001</v>
      </c>
      <c r="H48" s="1385">
        <v>28769.484461415283</v>
      </c>
      <c r="I48" s="1385">
        <v>9181.3569540110147</v>
      </c>
      <c r="J48" s="1385">
        <v>48235.35335063377</v>
      </c>
      <c r="K48" s="1382">
        <v>38.505013508801881</v>
      </c>
      <c r="L48" s="1382">
        <v>32.347776849516528</v>
      </c>
    </row>
    <row r="49" spans="3:12" x14ac:dyDescent="0.4">
      <c r="C49" s="1384">
        <v>2011</v>
      </c>
      <c r="D49" s="1385">
        <v>148979.37290543673</v>
      </c>
      <c r="E49" s="1385">
        <v>53938.607896663721</v>
      </c>
      <c r="F49" s="1385">
        <v>91.218572959702755</v>
      </c>
      <c r="G49" s="1385">
        <v>31223.245443942851</v>
      </c>
      <c r="H49" s="1385">
        <v>28481.398925670073</v>
      </c>
      <c r="I49" s="1385">
        <v>7837.7643433354933</v>
      </c>
      <c r="J49" s="1385">
        <v>46100.843553328232</v>
      </c>
      <c r="K49" s="1382">
        <v>36.205420149607392</v>
      </c>
      <c r="L49" s="1382">
        <v>30.94444731123302</v>
      </c>
    </row>
    <row r="50" spans="3:12" x14ac:dyDescent="0.4">
      <c r="C50" s="1384">
        <v>2012</v>
      </c>
      <c r="D50" s="1385">
        <v>151821.07694101124</v>
      </c>
      <c r="E50" s="1385">
        <v>54951.877264404211</v>
      </c>
      <c r="F50" s="1385">
        <v>91.839436397341828</v>
      </c>
      <c r="G50" s="1385">
        <v>32468.418521022864</v>
      </c>
      <c r="H50" s="1385">
        <v>29818.81257683755</v>
      </c>
      <c r="I50" s="1385">
        <v>6889.2116459944573</v>
      </c>
      <c r="J50" s="1385">
        <v>48062.665618409752</v>
      </c>
      <c r="K50" s="1382">
        <v>36.195157070157848</v>
      </c>
      <c r="L50" s="1382">
        <v>31.657439524740088</v>
      </c>
    </row>
    <row r="51" spans="3:12" x14ac:dyDescent="0.4">
      <c r="C51" s="1384">
        <v>2013</v>
      </c>
      <c r="D51" s="1385">
        <v>153642.31344891168</v>
      </c>
      <c r="E51" s="1385">
        <v>55524.149907427069</v>
      </c>
      <c r="F51" s="1385">
        <v>88.313620437949425</v>
      </c>
      <c r="G51" s="1385">
        <v>32767.297721022853</v>
      </c>
      <c r="H51" s="1385">
        <v>28937.986937116973</v>
      </c>
      <c r="I51" s="1385">
        <v>6581.7829902783706</v>
      </c>
      <c r="J51" s="1385">
        <v>48942.366917148698</v>
      </c>
      <c r="K51" s="1382">
        <v>36.13857970570696</v>
      </c>
      <c r="L51" s="1382">
        <v>31.854744841122656</v>
      </c>
    </row>
    <row r="52" spans="3:12" x14ac:dyDescent="0.4">
      <c r="C52" s="1384">
        <v>2014</v>
      </c>
      <c r="D52" s="1385">
        <v>155359.1980612106</v>
      </c>
      <c r="E52" s="1385">
        <v>55929.094427998083</v>
      </c>
      <c r="F52" s="1385">
        <v>89.788868311482943</v>
      </c>
      <c r="G52" s="1385">
        <v>33149.972780188451</v>
      </c>
      <c r="H52" s="1385">
        <v>29764.985404895848</v>
      </c>
      <c r="I52" s="1385">
        <v>5431.3736693587143</v>
      </c>
      <c r="J52" s="1385">
        <v>50497.720758639371</v>
      </c>
      <c r="K52" s="1382">
        <v>35.999860404764931</v>
      </c>
      <c r="L52" s="1382">
        <v>32.503850038375951</v>
      </c>
    </row>
    <row r="53" spans="3:12" x14ac:dyDescent="0.4">
      <c r="C53" s="1384">
        <v>2015</v>
      </c>
      <c r="D53" s="1385">
        <v>160797.01879965491</v>
      </c>
      <c r="E53" s="1385">
        <v>58718.704270970637</v>
      </c>
      <c r="F53" s="1385">
        <v>98.999966276717473</v>
      </c>
      <c r="G53" s="1385">
        <v>33942.283721022861</v>
      </c>
      <c r="H53" s="1385">
        <v>33602.849437360397</v>
      </c>
      <c r="I53" s="1385">
        <v>5151.2332643256132</v>
      </c>
      <c r="J53" s="1385">
        <v>53567.471006645021</v>
      </c>
      <c r="K53" s="1382">
        <v>36.517284156947724</v>
      </c>
      <c r="L53" s="1382">
        <v>33.313721489692192</v>
      </c>
    </row>
    <row r="54" spans="3:12" x14ac:dyDescent="0.4">
      <c r="C54" s="1384">
        <v>2016</v>
      </c>
      <c r="D54" s="1385">
        <v>163152.75267373366</v>
      </c>
      <c r="E54" s="1385">
        <v>53210.314352656722</v>
      </c>
      <c r="F54" s="1385">
        <v>98.215144279427264</v>
      </c>
      <c r="G54" s="1385">
        <v>35313.4660268316</v>
      </c>
      <c r="H54" s="1385">
        <v>34683.171608319186</v>
      </c>
      <c r="I54" s="1385">
        <v>3291.4261108800001</v>
      </c>
      <c r="J54" s="1385">
        <v>49918.888241776724</v>
      </c>
      <c r="K54" s="1382">
        <v>32.613801165258046</v>
      </c>
      <c r="L54" s="1382">
        <v>30.596411904617089</v>
      </c>
    </row>
    <row r="55" spans="3:12" x14ac:dyDescent="0.4">
      <c r="C55" s="1384">
        <v>2017</v>
      </c>
      <c r="D55" s="1385">
        <v>167941.26744246978</v>
      </c>
      <c r="E55" s="1385">
        <v>52557.032399478354</v>
      </c>
      <c r="F55" s="1385">
        <v>99.667915466380734</v>
      </c>
      <c r="G55" s="1385">
        <v>35689.291702936658</v>
      </c>
      <c r="H55" s="1385">
        <v>35570.773085032939</v>
      </c>
      <c r="I55" s="1385">
        <v>2920.5549392400003</v>
      </c>
      <c r="J55" s="1385">
        <v>49636.477460238355</v>
      </c>
      <c r="K55" s="1382">
        <v>31.29488850468654</v>
      </c>
      <c r="L55" s="1382">
        <v>29.555854982005481</v>
      </c>
    </row>
    <row r="56" spans="3:12" x14ac:dyDescent="0.4">
      <c r="C56" s="1384">
        <v>2018</v>
      </c>
      <c r="D56" s="1385">
        <v>168723.4850721978</v>
      </c>
      <c r="E56" s="1385">
        <v>51817.189390028529</v>
      </c>
      <c r="F56" s="1385">
        <v>98.613744799164337</v>
      </c>
      <c r="G56" s="1385">
        <v>36030.116252398802</v>
      </c>
      <c r="H56" s="1385">
        <v>35530.646891982789</v>
      </c>
      <c r="I56" s="1385">
        <v>2716.3447200000001</v>
      </c>
      <c r="J56" s="1385">
        <v>49100.844670028528</v>
      </c>
      <c r="K56" s="1382">
        <v>30.711308131085392</v>
      </c>
      <c r="L56" s="1382">
        <v>29.101369408661743</v>
      </c>
    </row>
    <row r="57" spans="3:12" x14ac:dyDescent="0.4">
      <c r="C57" s="1384">
        <v>2019</v>
      </c>
      <c r="D57" s="1385">
        <v>168978.23479893111</v>
      </c>
      <c r="E57" s="1385">
        <v>52014.255049951571</v>
      </c>
      <c r="F57" s="1385">
        <v>99.162277333735133</v>
      </c>
      <c r="G57" s="1385">
        <v>36654.8589247692</v>
      </c>
      <c r="H57" s="1385">
        <v>36347.792863268995</v>
      </c>
      <c r="I57" s="1385">
        <v>2727.1682640000004</v>
      </c>
      <c r="J57" s="1385">
        <v>49287.086785951571</v>
      </c>
      <c r="K57" s="1382">
        <v>30.78163001989212</v>
      </c>
      <c r="L57" s="1382">
        <v>29.167713134534022</v>
      </c>
    </row>
    <row r="58" spans="3:12" x14ac:dyDescent="0.4">
      <c r="C58" s="1384">
        <v>2020</v>
      </c>
      <c r="D58" s="1385">
        <v>149423.16809975775</v>
      </c>
      <c r="E58" s="1385">
        <v>51988.59743574162</v>
      </c>
      <c r="F58" s="1385">
        <v>99.795552613062625</v>
      </c>
      <c r="G58" s="1385">
        <v>35628.226316343127</v>
      </c>
      <c r="H58" s="1385">
        <v>35555.385338627231</v>
      </c>
      <c r="I58" s="1385">
        <v>2816.2118879999998</v>
      </c>
      <c r="J58" s="1385">
        <v>49172.385547741622</v>
      </c>
      <c r="K58" s="1382">
        <v>34.792862510472972</v>
      </c>
      <c r="L58" s="1382">
        <v>32.908140131865764</v>
      </c>
    </row>
    <row r="59" spans="3:12" x14ac:dyDescent="0.4">
      <c r="C59" s="1386">
        <v>2021</v>
      </c>
      <c r="D59" s="1387">
        <v>167128.99494263489</v>
      </c>
      <c r="E59" s="1387">
        <v>53391.91726858286</v>
      </c>
      <c r="F59" s="1387">
        <v>99.977351752134183</v>
      </c>
      <c r="G59" s="1387">
        <v>37306.400239628412</v>
      </c>
      <c r="H59" s="1387">
        <v>37297.950993632323</v>
      </c>
      <c r="I59" s="1387">
        <v>2751.7106159999998</v>
      </c>
      <c r="J59" s="1387">
        <v>50640.206652582863</v>
      </c>
      <c r="K59" s="1388">
        <v>31.946531651739441</v>
      </c>
      <c r="L59" s="1388">
        <v>30.300072509838603</v>
      </c>
    </row>
    <row r="60" spans="3:12" x14ac:dyDescent="0.4">
      <c r="C60" s="226" t="s">
        <v>4737</v>
      </c>
      <c r="D60" s="1389"/>
      <c r="E60" s="1390"/>
      <c r="F60" s="1391"/>
      <c r="G60" s="1390"/>
      <c r="H60" s="1392"/>
    </row>
    <row r="61" spans="3:12" x14ac:dyDescent="0.4">
      <c r="C61" s="226" t="s">
        <v>4738</v>
      </c>
      <c r="D61" s="1389"/>
      <c r="E61" s="1390"/>
      <c r="F61" s="1391"/>
      <c r="G61" s="1390"/>
      <c r="H61" s="1392"/>
    </row>
    <row r="62" spans="3:12" x14ac:dyDescent="0.4">
      <c r="C62" s="226" t="s">
        <v>4739</v>
      </c>
      <c r="D62" s="1389"/>
      <c r="E62" s="1390"/>
      <c r="F62" s="1391"/>
      <c r="G62" s="1390"/>
      <c r="H62" s="1392"/>
    </row>
    <row r="63" spans="3:12" x14ac:dyDescent="0.4">
      <c r="C63" s="226" t="s">
        <v>4740</v>
      </c>
      <c r="D63" s="1389"/>
      <c r="E63" s="1390"/>
      <c r="F63" s="1391"/>
      <c r="G63" s="1390"/>
      <c r="H63" s="1392"/>
    </row>
    <row r="64" spans="3:12" x14ac:dyDescent="0.4">
      <c r="C64" s="155" t="s">
        <v>4729</v>
      </c>
      <c r="D64" s="1389"/>
      <c r="E64" s="1390"/>
      <c r="F64" s="1391"/>
      <c r="G64" s="1390"/>
      <c r="H64" s="1392"/>
    </row>
    <row r="67" spans="3:22" x14ac:dyDescent="0.4">
      <c r="C67" s="3089" t="s">
        <v>4741</v>
      </c>
      <c r="D67" s="3089"/>
      <c r="E67" s="3089"/>
      <c r="F67" s="3089"/>
      <c r="G67" s="3089"/>
      <c r="H67" s="3089"/>
      <c r="I67" s="3089"/>
      <c r="J67" s="3089"/>
      <c r="K67" s="3089"/>
      <c r="L67" s="3089"/>
      <c r="M67" s="3089"/>
      <c r="N67" s="3089"/>
      <c r="O67" s="3089"/>
      <c r="P67" s="3089"/>
      <c r="Q67" s="3089"/>
      <c r="R67" s="3089"/>
      <c r="S67" s="3089"/>
      <c r="T67" s="3089"/>
      <c r="U67" s="3089"/>
      <c r="V67" s="3089"/>
    </row>
    <row r="68" spans="3:22" x14ac:dyDescent="0.4">
      <c r="C68" s="3090" t="s">
        <v>4742</v>
      </c>
      <c r="D68" s="3090"/>
      <c r="E68" s="3090"/>
      <c r="F68" s="3090"/>
      <c r="G68" s="3090"/>
      <c r="H68" s="3090"/>
      <c r="I68" s="3090"/>
      <c r="J68" s="3090"/>
      <c r="K68" s="3090"/>
      <c r="L68" s="3090"/>
      <c r="M68" s="3090"/>
      <c r="N68" s="3090"/>
      <c r="O68" s="3090"/>
      <c r="P68" s="3090"/>
      <c r="Q68" s="3090"/>
      <c r="R68" s="3090"/>
      <c r="S68" s="3090"/>
      <c r="T68" s="3090"/>
      <c r="U68" s="3090"/>
      <c r="V68" s="3090"/>
    </row>
    <row r="69" spans="3:22" ht="31.9" customHeight="1" x14ac:dyDescent="0.4">
      <c r="C69" s="1393" t="s">
        <v>247</v>
      </c>
      <c r="D69" s="1394" t="s">
        <v>47</v>
      </c>
      <c r="E69" s="1393" t="s">
        <v>4743</v>
      </c>
      <c r="F69" s="1393" t="s">
        <v>4744</v>
      </c>
      <c r="G69" s="1393" t="s">
        <v>4745</v>
      </c>
      <c r="H69" s="1393" t="s">
        <v>4746</v>
      </c>
      <c r="I69" s="1393" t="s">
        <v>4747</v>
      </c>
      <c r="J69" s="1393" t="s">
        <v>4748</v>
      </c>
      <c r="K69" s="1393" t="s">
        <v>4749</v>
      </c>
      <c r="L69" s="1393" t="s">
        <v>4750</v>
      </c>
      <c r="M69" s="1393" t="s">
        <v>4711</v>
      </c>
      <c r="N69" s="1393" t="s">
        <v>4751</v>
      </c>
      <c r="O69" s="1393" t="s">
        <v>4752</v>
      </c>
      <c r="P69" s="1393" t="s">
        <v>4753</v>
      </c>
      <c r="Q69" s="1393" t="s">
        <v>4754</v>
      </c>
      <c r="R69" s="1393" t="s">
        <v>4755</v>
      </c>
      <c r="S69" s="1393" t="s">
        <v>4756</v>
      </c>
      <c r="T69" s="1393" t="s">
        <v>4757</v>
      </c>
      <c r="U69" s="1393" t="s">
        <v>4758</v>
      </c>
      <c r="V69" s="1393" t="s">
        <v>4759</v>
      </c>
    </row>
    <row r="70" spans="3:22" x14ac:dyDescent="0.4">
      <c r="C70" s="1384">
        <v>2000</v>
      </c>
      <c r="D70" s="1395">
        <v>108732.25289000422</v>
      </c>
      <c r="E70" s="1395">
        <v>15</v>
      </c>
      <c r="F70" s="1395">
        <v>2</v>
      </c>
      <c r="G70" s="1395">
        <v>10927.560823540281</v>
      </c>
      <c r="H70" s="1395">
        <v>7388.4191512275265</v>
      </c>
      <c r="I70" s="1395">
        <v>1541.2505113608927</v>
      </c>
      <c r="J70" s="1395">
        <v>35.436053875505408</v>
      </c>
      <c r="K70" s="1395">
        <v>737</v>
      </c>
      <c r="L70" s="1395">
        <v>0</v>
      </c>
      <c r="M70" s="1395">
        <v>20710.576799999999</v>
      </c>
      <c r="N70" s="1395">
        <v>3458.0393800000002</v>
      </c>
      <c r="O70" s="1395">
        <v>14310.98475</v>
      </c>
      <c r="P70" s="1395">
        <v>10089.927449999999</v>
      </c>
      <c r="Q70" s="1395">
        <v>323.29413</v>
      </c>
      <c r="R70" s="1395">
        <v>3953.2953600000001</v>
      </c>
      <c r="S70" s="1395">
        <v>139</v>
      </c>
      <c r="T70" s="1395">
        <v>26292.5982</v>
      </c>
      <c r="U70" s="1395">
        <v>282.2688</v>
      </c>
      <c r="V70" s="1395">
        <v>8525.6014799999994</v>
      </c>
    </row>
    <row r="71" spans="3:22" x14ac:dyDescent="0.4">
      <c r="C71" s="1384">
        <v>2001</v>
      </c>
      <c r="D71" s="1395">
        <v>111272.57806675156</v>
      </c>
      <c r="E71" s="1395">
        <v>1292</v>
      </c>
      <c r="F71" s="1395">
        <v>6</v>
      </c>
      <c r="G71" s="1395">
        <v>11025.948962724058</v>
      </c>
      <c r="H71" s="1395">
        <v>7466.2035940857158</v>
      </c>
      <c r="I71" s="1395">
        <v>1631.035671941788</v>
      </c>
      <c r="J71" s="1395">
        <v>29.838657999999999</v>
      </c>
      <c r="K71" s="1395">
        <v>691.89</v>
      </c>
      <c r="L71" s="1395">
        <v>0</v>
      </c>
      <c r="M71" s="1395">
        <v>21690.972000000002</v>
      </c>
      <c r="N71" s="1395">
        <v>3583.1087600000001</v>
      </c>
      <c r="O71" s="1395">
        <v>15683.623399999999</v>
      </c>
      <c r="P71" s="1395">
        <v>10029.72085</v>
      </c>
      <c r="Q71" s="1395">
        <v>299.33747999999997</v>
      </c>
      <c r="R71" s="1395">
        <v>3499.9114499999996</v>
      </c>
      <c r="S71" s="1395">
        <v>113.101</v>
      </c>
      <c r="T71" s="1395">
        <v>26968.9761</v>
      </c>
      <c r="U71" s="1395">
        <v>242.52029999999999</v>
      </c>
      <c r="V71" s="1395">
        <v>7018.3898399999989</v>
      </c>
    </row>
    <row r="72" spans="3:22" x14ac:dyDescent="0.4">
      <c r="C72" s="1384">
        <v>2002</v>
      </c>
      <c r="D72" s="1395">
        <v>115341.23605352253</v>
      </c>
      <c r="E72" s="1395">
        <v>21</v>
      </c>
      <c r="F72" s="1395">
        <v>750</v>
      </c>
      <c r="G72" s="1395">
        <v>11943.779299977905</v>
      </c>
      <c r="H72" s="1395">
        <v>7628.4185632854833</v>
      </c>
      <c r="I72" s="1395">
        <v>1430.2941622875828</v>
      </c>
      <c r="J72" s="1395">
        <v>32.992007971561861</v>
      </c>
      <c r="K72" s="1395">
        <v>639</v>
      </c>
      <c r="L72" s="1395">
        <v>0</v>
      </c>
      <c r="M72" s="1395">
        <v>22858.549200000001</v>
      </c>
      <c r="N72" s="1395">
        <v>3898.4511400000001</v>
      </c>
      <c r="O72" s="1395">
        <v>16168.051449999999</v>
      </c>
      <c r="P72" s="1395">
        <v>11266.24165</v>
      </c>
      <c r="Q72" s="1395">
        <v>301.40567999999996</v>
      </c>
      <c r="R72" s="1395">
        <v>3712.8326400000001</v>
      </c>
      <c r="S72" s="1395">
        <v>124</v>
      </c>
      <c r="T72" s="1395">
        <v>28651.735199999999</v>
      </c>
      <c r="U72" s="1395">
        <v>231.23099999999999</v>
      </c>
      <c r="V72" s="1395">
        <v>5683.2540599999993</v>
      </c>
    </row>
    <row r="73" spans="3:22" x14ac:dyDescent="0.4">
      <c r="C73" s="1384">
        <v>2003</v>
      </c>
      <c r="D73" s="1395">
        <v>121238.39042951258</v>
      </c>
      <c r="E73" s="1395">
        <v>931</v>
      </c>
      <c r="F73" s="1395">
        <v>2063.48</v>
      </c>
      <c r="G73" s="1395">
        <v>12952.107054303</v>
      </c>
      <c r="H73" s="1395">
        <v>7606.9226026899441</v>
      </c>
      <c r="I73" s="1395">
        <v>1541.7349384315291</v>
      </c>
      <c r="J73" s="1395">
        <v>36.875734089946484</v>
      </c>
      <c r="K73" s="1395">
        <v>585.29099999820141</v>
      </c>
      <c r="L73" s="1395">
        <v>0</v>
      </c>
      <c r="M73" s="1395">
        <v>24148.285199999998</v>
      </c>
      <c r="N73" s="1395">
        <v>4124.8377</v>
      </c>
      <c r="O73" s="1395">
        <v>16054.592699999999</v>
      </c>
      <c r="P73" s="1395">
        <v>11331.998749999999</v>
      </c>
      <c r="Q73" s="1395">
        <v>196.20323999999999</v>
      </c>
      <c r="R73" s="1395">
        <v>4668.5133900000001</v>
      </c>
      <c r="S73" s="1395">
        <v>111.93</v>
      </c>
      <c r="T73" s="1395">
        <v>29027.948399999997</v>
      </c>
      <c r="U73" s="1395">
        <v>250.36109999999996</v>
      </c>
      <c r="V73" s="1395">
        <v>5606.3086199999998</v>
      </c>
    </row>
    <row r="74" spans="3:22" x14ac:dyDescent="0.4">
      <c r="C74" s="1384">
        <v>2004</v>
      </c>
      <c r="D74" s="1395">
        <v>127362.71182457119</v>
      </c>
      <c r="E74" s="1395">
        <v>39</v>
      </c>
      <c r="F74" s="1395">
        <v>1624</v>
      </c>
      <c r="G74" s="1395">
        <v>14059.72638059583</v>
      </c>
      <c r="H74" s="1395">
        <v>8698.5368714692449</v>
      </c>
      <c r="I74" s="1395">
        <v>1695.6663786992208</v>
      </c>
      <c r="J74" s="1395">
        <v>35.550515606894059</v>
      </c>
      <c r="K74" s="1395">
        <v>559</v>
      </c>
      <c r="L74" s="1395">
        <v>0</v>
      </c>
      <c r="M74" s="1395">
        <v>25200.727199999998</v>
      </c>
      <c r="N74" s="1395">
        <v>4413.8994199999997</v>
      </c>
      <c r="O74" s="1395">
        <v>16537.812699999999</v>
      </c>
      <c r="P74" s="1395">
        <v>11253.475499999999</v>
      </c>
      <c r="Q74" s="1395">
        <v>162.07793999999998</v>
      </c>
      <c r="R74" s="1395">
        <v>6455.4037200000002</v>
      </c>
      <c r="S74" s="1395">
        <v>112</v>
      </c>
      <c r="T74" s="1395">
        <v>30504.127518199999</v>
      </c>
      <c r="U74" s="1395">
        <v>229.23449999999997</v>
      </c>
      <c r="V74" s="1395">
        <v>5782.473179999999</v>
      </c>
    </row>
    <row r="75" spans="3:22" x14ac:dyDescent="0.4">
      <c r="C75" s="1384">
        <v>2005</v>
      </c>
      <c r="D75" s="1395">
        <v>132217.23584934071</v>
      </c>
      <c r="E75" s="1395">
        <v>45.351039999999998</v>
      </c>
      <c r="F75" s="1395">
        <v>1445.5883999999999</v>
      </c>
      <c r="G75" s="1395">
        <v>15186.300005828711</v>
      </c>
      <c r="H75" s="1395">
        <v>8380.7838623999996</v>
      </c>
      <c r="I75" s="1395">
        <v>1912.7702641012509</v>
      </c>
      <c r="J75" s="1395">
        <v>40.063771410730503</v>
      </c>
      <c r="K75" s="1395">
        <v>503.45699999999999</v>
      </c>
      <c r="L75" s="1395">
        <v>0</v>
      </c>
      <c r="M75" s="1395">
        <v>26491</v>
      </c>
      <c r="N75" s="1395">
        <v>4517.9030400000001</v>
      </c>
      <c r="O75" s="1395">
        <v>17588.811390000003</v>
      </c>
      <c r="P75" s="1395">
        <v>9622.3534200000013</v>
      </c>
      <c r="Q75" s="1395">
        <v>82.139720000000011</v>
      </c>
      <c r="R75" s="1395">
        <v>7999.1340799999998</v>
      </c>
      <c r="S75" s="1395">
        <v>97.566810000000004</v>
      </c>
      <c r="T75" s="1395">
        <v>32094.196709</v>
      </c>
      <c r="U75" s="1395">
        <v>188.77708999999999</v>
      </c>
      <c r="V75" s="1395">
        <v>6021.0392466000003</v>
      </c>
    </row>
    <row r="76" spans="3:22" x14ac:dyDescent="0.4">
      <c r="C76" s="1384">
        <v>2006</v>
      </c>
      <c r="D76" s="1395">
        <v>140641.20137542998</v>
      </c>
      <c r="E76" s="1395">
        <v>59.255839999999999</v>
      </c>
      <c r="F76" s="1395">
        <v>1664.7305999999999</v>
      </c>
      <c r="G76" s="1395">
        <v>18842.034268800002</v>
      </c>
      <c r="H76" s="1395">
        <v>8625.5749983999995</v>
      </c>
      <c r="I76" s="1395">
        <v>1983.0001133499998</v>
      </c>
      <c r="J76" s="1395">
        <v>44.741455999999999</v>
      </c>
      <c r="K76" s="1395">
        <v>451.65251999999998</v>
      </c>
      <c r="L76" s="1395">
        <v>0</v>
      </c>
      <c r="M76" s="1395">
        <v>28117.555199999999</v>
      </c>
      <c r="N76" s="1395">
        <v>4616.2528400000001</v>
      </c>
      <c r="O76" s="1395">
        <v>18641.778699999999</v>
      </c>
      <c r="P76" s="1395">
        <v>8702.4983499999998</v>
      </c>
      <c r="Q76" s="1395">
        <v>64.631249999999994</v>
      </c>
      <c r="R76" s="1395">
        <v>7864.5373200000004</v>
      </c>
      <c r="S76" s="1395">
        <v>85.347099999999998</v>
      </c>
      <c r="T76" s="1395">
        <v>34617.710404199999</v>
      </c>
      <c r="U76" s="1395">
        <v>197.10899999999998</v>
      </c>
      <c r="V76" s="1395">
        <v>6062.7914146800003</v>
      </c>
    </row>
    <row r="77" spans="3:22" x14ac:dyDescent="0.4">
      <c r="C77" s="1384">
        <v>2007</v>
      </c>
      <c r="D77" s="1395">
        <v>149814.88156141882</v>
      </c>
      <c r="E77" s="1395">
        <v>632.34752000000003</v>
      </c>
      <c r="F77" s="1395">
        <v>2807.0562</v>
      </c>
      <c r="G77" s="1395">
        <v>16720.091273328846</v>
      </c>
      <c r="H77" s="1395">
        <v>9678.5143336000001</v>
      </c>
      <c r="I77" s="1395">
        <v>4530.1755805499997</v>
      </c>
      <c r="J77" s="1395">
        <v>48.983587999999997</v>
      </c>
      <c r="K77" s="1395">
        <v>461.25912</v>
      </c>
      <c r="L77" s="1395">
        <v>0</v>
      </c>
      <c r="M77" s="1395">
        <v>29621.437225200003</v>
      </c>
      <c r="N77" s="1395">
        <v>5020.7808999999997</v>
      </c>
      <c r="O77" s="1395">
        <v>19432.561699999998</v>
      </c>
      <c r="P77" s="1395">
        <v>9234.6933499999996</v>
      </c>
      <c r="Q77" s="1395">
        <v>72.628290000000007</v>
      </c>
      <c r="R77" s="1395">
        <v>7545.4485299999997</v>
      </c>
      <c r="S77" s="1395">
        <v>69.805699999999987</v>
      </c>
      <c r="T77" s="1395">
        <v>37568.628009</v>
      </c>
      <c r="U77" s="1395">
        <v>244.44419999999997</v>
      </c>
      <c r="V77" s="1395">
        <v>6126.0260417399986</v>
      </c>
    </row>
    <row r="78" spans="3:22" x14ac:dyDescent="0.4">
      <c r="C78" s="1384">
        <v>2008</v>
      </c>
      <c r="D78" s="1395">
        <v>149946.75051175663</v>
      </c>
      <c r="E78" s="1395">
        <v>16.991971199999998</v>
      </c>
      <c r="F78" s="1395">
        <v>3411.3046499999996</v>
      </c>
      <c r="G78" s="1395">
        <v>16268.979189469377</v>
      </c>
      <c r="H78" s="1395">
        <v>8152.9085793365766</v>
      </c>
      <c r="I78" s="1395">
        <v>4895.7145110428391</v>
      </c>
      <c r="J78" s="1395">
        <v>51.371417999999998</v>
      </c>
      <c r="K78" s="1395">
        <v>486.17122882020624</v>
      </c>
      <c r="L78" s="1395">
        <v>0</v>
      </c>
      <c r="M78" s="1395">
        <v>30268.086076799998</v>
      </c>
      <c r="N78" s="1395">
        <v>4948.7325600000004</v>
      </c>
      <c r="O78" s="1395">
        <v>19070.799699999996</v>
      </c>
      <c r="P78" s="1395">
        <v>10268.294399999999</v>
      </c>
      <c r="Q78" s="1395">
        <v>106.27101</v>
      </c>
      <c r="R78" s="1395">
        <v>7895.4569099999999</v>
      </c>
      <c r="S78" s="1395">
        <v>66.344799999999992</v>
      </c>
      <c r="T78" s="1395">
        <v>38075.41866668583</v>
      </c>
      <c r="U78" s="1395">
        <v>275.37180000000001</v>
      </c>
      <c r="V78" s="1395">
        <v>5688.5330404018241</v>
      </c>
    </row>
    <row r="79" spans="3:22" x14ac:dyDescent="0.4">
      <c r="C79" s="1384">
        <v>2009</v>
      </c>
      <c r="D79" s="1395">
        <v>146724.16831483555</v>
      </c>
      <c r="E79" s="1395">
        <v>109.52704</v>
      </c>
      <c r="F79" s="1395">
        <v>2882.3039520000002</v>
      </c>
      <c r="G79" s="1395">
        <v>13273.566690973666</v>
      </c>
      <c r="H79" s="1395">
        <v>9614.6904047999997</v>
      </c>
      <c r="I79" s="1395">
        <v>5223.2897297749996</v>
      </c>
      <c r="J79" s="1395">
        <v>36.280126086847574</v>
      </c>
      <c r="K79" s="1395">
        <v>408.67187999999999</v>
      </c>
      <c r="L79" s="1395">
        <v>0</v>
      </c>
      <c r="M79" s="1395">
        <v>29927.376151200006</v>
      </c>
      <c r="N79" s="1395">
        <v>4995.2408999999998</v>
      </c>
      <c r="O79" s="1395">
        <v>18880.35225</v>
      </c>
      <c r="P79" s="1395">
        <v>11588.203300000001</v>
      </c>
      <c r="Q79" s="1395">
        <v>117.50822999999998</v>
      </c>
      <c r="R79" s="1395">
        <v>6937.9147800000001</v>
      </c>
      <c r="S79" s="1395">
        <v>63.471599999999995</v>
      </c>
      <c r="T79" s="1395">
        <v>37366.203600000001</v>
      </c>
      <c r="U79" s="1395">
        <v>252.86579999999998</v>
      </c>
      <c r="V79" s="1395">
        <v>5046.7018799999996</v>
      </c>
    </row>
    <row r="80" spans="3:22" x14ac:dyDescent="0.4">
      <c r="C80" s="1384">
        <v>2010</v>
      </c>
      <c r="D80" s="1395">
        <v>149114.89458773949</v>
      </c>
      <c r="E80" s="1395">
        <v>29.88768</v>
      </c>
      <c r="F80" s="1395">
        <v>2675.3570958</v>
      </c>
      <c r="G80" s="1395">
        <v>13998.143872705738</v>
      </c>
      <c r="H80" s="1395">
        <v>9836.3220815999994</v>
      </c>
      <c r="I80" s="1395">
        <v>4395.6988323968135</v>
      </c>
      <c r="J80" s="1395">
        <v>41.798796526948067</v>
      </c>
      <c r="K80" s="1395">
        <v>375.26226000000003</v>
      </c>
      <c r="L80" s="1395">
        <v>0</v>
      </c>
      <c r="M80" s="1395">
        <v>30832.331342400001</v>
      </c>
      <c r="N80" s="1395">
        <v>5404.4306229599997</v>
      </c>
      <c r="O80" s="1395">
        <v>19138.925426899998</v>
      </c>
      <c r="P80" s="1395">
        <v>12426.142466449999</v>
      </c>
      <c r="Q80" s="1395">
        <v>128.74079654999997</v>
      </c>
      <c r="R80" s="1395">
        <v>7138.2069548100008</v>
      </c>
      <c r="S80" s="1395">
        <v>58.090031099999997</v>
      </c>
      <c r="T80" s="1395">
        <v>37366.904480399993</v>
      </c>
      <c r="U80" s="1395">
        <v>230.96161769999995</v>
      </c>
      <c r="V80" s="1395">
        <v>5037.6902294399997</v>
      </c>
    </row>
    <row r="81" spans="3:22" x14ac:dyDescent="0.4">
      <c r="C81" s="1384">
        <v>2011</v>
      </c>
      <c r="D81" s="1395">
        <v>148979.37290543673</v>
      </c>
      <c r="E81" s="1395">
        <v>229.2</v>
      </c>
      <c r="F81" s="1395">
        <v>3717.9191281202097</v>
      </c>
      <c r="G81" s="1395">
        <v>12839.577377830296</v>
      </c>
      <c r="H81" s="1395">
        <v>7729.4432240000015</v>
      </c>
      <c r="I81" s="1395">
        <v>4448.7816543468143</v>
      </c>
      <c r="J81" s="1395">
        <v>32.335934816531008</v>
      </c>
      <c r="K81" s="1395">
        <v>407.07078000000001</v>
      </c>
      <c r="L81" s="1396">
        <v>2.9888623799999996</v>
      </c>
      <c r="M81" s="1395">
        <v>31223.245443942851</v>
      </c>
      <c r="N81" s="1395">
        <v>5542.2566199999992</v>
      </c>
      <c r="O81" s="1395">
        <v>19073.05255</v>
      </c>
      <c r="P81" s="1395">
        <v>13200.62355</v>
      </c>
      <c r="Q81" s="1395">
        <v>164.18061</v>
      </c>
      <c r="R81" s="1395">
        <v>7436.2475699999995</v>
      </c>
      <c r="S81" s="1395">
        <v>55.9621</v>
      </c>
      <c r="T81" s="1395">
        <v>37846.488899999997</v>
      </c>
      <c r="U81" s="1395">
        <v>253.22879999999998</v>
      </c>
      <c r="V81" s="1395">
        <v>4776.7698</v>
      </c>
    </row>
    <row r="82" spans="3:22" x14ac:dyDescent="0.4">
      <c r="C82" s="1384">
        <v>2012</v>
      </c>
      <c r="D82" s="1395">
        <v>151821.07694101124</v>
      </c>
      <c r="E82" s="1395">
        <v>91.967416799999981</v>
      </c>
      <c r="F82" s="1395">
        <v>3382.7936336100001</v>
      </c>
      <c r="G82" s="1395">
        <v>12161.883467250547</v>
      </c>
      <c r="H82" s="1395">
        <v>8088.9497682399997</v>
      </c>
      <c r="I82" s="1395">
        <v>4385.4576688760408</v>
      </c>
      <c r="J82" s="1395">
        <v>35.585823200074223</v>
      </c>
      <c r="K82" s="1395">
        <v>461.18795999999998</v>
      </c>
      <c r="L82" s="1396">
        <v>3.0289444799999998</v>
      </c>
      <c r="M82" s="1395">
        <v>32468.418521022864</v>
      </c>
      <c r="N82" s="1395">
        <v>5708.1730084423207</v>
      </c>
      <c r="O82" s="1395">
        <v>19309.806822736497</v>
      </c>
      <c r="P82" s="1395">
        <v>14356.435906023999</v>
      </c>
      <c r="Q82" s="1395">
        <v>282.74617277999994</v>
      </c>
      <c r="R82" s="1395">
        <v>7369.5115733342782</v>
      </c>
      <c r="S82" s="1395">
        <v>54.377595499999991</v>
      </c>
      <c r="T82" s="1395">
        <v>38341.171049709003</v>
      </c>
      <c r="U82" s="1395">
        <v>280.72296449999999</v>
      </c>
      <c r="V82" s="1395">
        <v>5038.8586445056208</v>
      </c>
    </row>
    <row r="83" spans="3:22" x14ac:dyDescent="0.4">
      <c r="C83" s="1384">
        <v>2013</v>
      </c>
      <c r="D83" s="1395">
        <v>153642.31344891168</v>
      </c>
      <c r="E83" s="1395">
        <v>204.32035399647995</v>
      </c>
      <c r="F83" s="1395">
        <v>3359.2740038390998</v>
      </c>
      <c r="G83" s="1395">
        <v>12059.787056783112</v>
      </c>
      <c r="H83" s="1395">
        <v>9864.9255283310267</v>
      </c>
      <c r="I83" s="1395">
        <v>4161.9714302057037</v>
      </c>
      <c r="J83" s="1395">
        <v>38.290994990245956</v>
      </c>
      <c r="K83" s="1395">
        <v>461.18795999999998</v>
      </c>
      <c r="L83" s="1396">
        <v>3.0289444799999998</v>
      </c>
      <c r="M83" s="1395">
        <v>32767.297721022853</v>
      </c>
      <c r="N83" s="1395">
        <v>6032.9848261738607</v>
      </c>
      <c r="O83" s="1395">
        <v>19657.832725799995</v>
      </c>
      <c r="P83" s="1395">
        <v>14599.830457726999</v>
      </c>
      <c r="Q83" s="1395">
        <v>257.24605959000002</v>
      </c>
      <c r="R83" s="1395">
        <v>6869.5635368759886</v>
      </c>
      <c r="S83" s="1395">
        <v>52.243722099999999</v>
      </c>
      <c r="T83" s="1395">
        <v>38437.045498565996</v>
      </c>
      <c r="U83" s="1395">
        <v>285.35524379999998</v>
      </c>
      <c r="V83" s="1395">
        <v>4530.1273846303193</v>
      </c>
    </row>
    <row r="84" spans="3:22" x14ac:dyDescent="0.4">
      <c r="C84" s="1384">
        <v>2014</v>
      </c>
      <c r="D84" s="1395">
        <v>155359.1980612106</v>
      </c>
      <c r="E84" s="1395">
        <v>248.10447855631998</v>
      </c>
      <c r="F84" s="1395">
        <v>3288.2828501608797</v>
      </c>
      <c r="G84" s="1395">
        <v>11066.462246937848</v>
      </c>
      <c r="H84" s="1395">
        <v>10318.317110095233</v>
      </c>
      <c r="I84" s="1395">
        <v>4360.3657109272672</v>
      </c>
      <c r="J84" s="1395">
        <v>47.005954294512613</v>
      </c>
      <c r="K84" s="1395">
        <v>371.95800084737891</v>
      </c>
      <c r="L84" s="1396">
        <v>3.0289444799999998</v>
      </c>
      <c r="M84" s="1395">
        <v>33149.972780188451</v>
      </c>
      <c r="N84" s="1395">
        <v>6479.778021045262</v>
      </c>
      <c r="O84" s="1395">
        <v>19525.167709617501</v>
      </c>
      <c r="P84" s="1395">
        <v>15559.740157999999</v>
      </c>
      <c r="Q84" s="1395">
        <v>261.08618994</v>
      </c>
      <c r="R84" s="1395">
        <v>6937.0078697301497</v>
      </c>
      <c r="S84" s="1395">
        <v>48.560932700000002</v>
      </c>
      <c r="T84" s="1395">
        <v>39234.718788533399</v>
      </c>
      <c r="U84" s="1395">
        <v>275.63551949999999</v>
      </c>
      <c r="V84" s="1395">
        <v>4184.0047956563994</v>
      </c>
    </row>
    <row r="85" spans="3:22" x14ac:dyDescent="0.4">
      <c r="C85" s="1384">
        <v>2015</v>
      </c>
      <c r="D85" s="1395">
        <v>160797.01879965491</v>
      </c>
      <c r="E85" s="1395">
        <v>14.000086996799999</v>
      </c>
      <c r="F85" s="1395">
        <v>3211.6982537999997</v>
      </c>
      <c r="G85" s="1395">
        <v>10825.695995347976</v>
      </c>
      <c r="H85" s="1395">
        <v>10072.361579706276</v>
      </c>
      <c r="I85" s="1395">
        <v>3789.5783558388257</v>
      </c>
      <c r="J85" s="1395">
        <v>56.848203976380823</v>
      </c>
      <c r="K85" s="1395">
        <v>371.37069874077775</v>
      </c>
      <c r="L85" s="1396">
        <v>3.0289444799999998</v>
      </c>
      <c r="M85" s="1395">
        <v>33942.283721022861</v>
      </c>
      <c r="N85" s="1395">
        <v>6817.763089045061</v>
      </c>
      <c r="O85" s="1395">
        <v>20132.658097359996</v>
      </c>
      <c r="P85" s="1395">
        <v>17866.2747246</v>
      </c>
      <c r="Q85" s="1395">
        <v>303.49876733999997</v>
      </c>
      <c r="R85" s="1395">
        <v>7575.9023490716991</v>
      </c>
      <c r="S85" s="1395">
        <v>48.367873250000002</v>
      </c>
      <c r="T85" s="1395">
        <v>41315.369259120002</v>
      </c>
      <c r="U85" s="1395">
        <v>250.40818109999995</v>
      </c>
      <c r="V85" s="1395">
        <v>4199.9106188582391</v>
      </c>
    </row>
    <row r="86" spans="3:22" x14ac:dyDescent="0.4">
      <c r="C86" s="1384">
        <v>2016</v>
      </c>
      <c r="D86" s="1395">
        <v>163152.75267373366</v>
      </c>
      <c r="E86" s="1395">
        <v>13.268980297900001</v>
      </c>
      <c r="F86" s="1395">
        <v>3493.9619801999997</v>
      </c>
      <c r="G86" s="1395">
        <v>6795.2968593515161</v>
      </c>
      <c r="H86" s="1395">
        <v>8912.0960022041363</v>
      </c>
      <c r="I86" s="1395">
        <v>2382.1725045878516</v>
      </c>
      <c r="J86" s="1395">
        <v>19.453872361105969</v>
      </c>
      <c r="K86" s="1395">
        <v>418.12350583293329</v>
      </c>
      <c r="L86" s="1396">
        <v>5.0399044799999997</v>
      </c>
      <c r="M86" s="1395">
        <v>35313.4660268316</v>
      </c>
      <c r="N86" s="1395">
        <v>7464.6858587047209</v>
      </c>
      <c r="O86" s="1395">
        <v>20419.825132109996</v>
      </c>
      <c r="P86" s="1395">
        <v>20609.6109168</v>
      </c>
      <c r="Q86" s="1395">
        <v>278.53942002472991</v>
      </c>
      <c r="R86" s="1395">
        <v>8462.4718644000004</v>
      </c>
      <c r="S86" s="1395">
        <v>49.149873399999997</v>
      </c>
      <c r="T86" s="1395">
        <v>43793.606315096818</v>
      </c>
      <c r="U86" s="1395">
        <v>103.58141920875002</v>
      </c>
      <c r="V86" s="1395">
        <v>4618.4022378415948</v>
      </c>
    </row>
    <row r="87" spans="3:22" x14ac:dyDescent="0.4">
      <c r="C87" s="1384">
        <v>2017</v>
      </c>
      <c r="D87" s="1395">
        <v>167941.26744246978</v>
      </c>
      <c r="E87" s="1395">
        <v>218.55735409100001</v>
      </c>
      <c r="F87" s="1395">
        <v>3786.4561110599998</v>
      </c>
      <c r="G87" s="1395">
        <v>5139.5035160189782</v>
      </c>
      <c r="H87" s="1395">
        <v>9094.8137702769782</v>
      </c>
      <c r="I87" s="1395">
        <v>2331.0961218167549</v>
      </c>
      <c r="J87" s="1395">
        <v>20.237002848791356</v>
      </c>
      <c r="K87" s="1395">
        <v>400.60890348389972</v>
      </c>
      <c r="L87" s="1396">
        <v>8.39150448</v>
      </c>
      <c r="M87" s="1395">
        <v>35689.291702936658</v>
      </c>
      <c r="N87" s="1395">
        <v>7978.3712408536803</v>
      </c>
      <c r="O87" s="1395">
        <v>21094.157061406007</v>
      </c>
      <c r="P87" s="1395">
        <v>21951.569367610002</v>
      </c>
      <c r="Q87" s="1395">
        <v>281.20216744469673</v>
      </c>
      <c r="R87" s="1395">
        <v>8972.9200134799994</v>
      </c>
      <c r="S87" s="1395">
        <v>53.155408050000005</v>
      </c>
      <c r="T87" s="1395">
        <v>46207.821830057481</v>
      </c>
      <c r="U87" s="1395">
        <v>108.70735617000001</v>
      </c>
      <c r="V87" s="1395">
        <v>4604.4070103848408</v>
      </c>
    </row>
    <row r="88" spans="3:22" x14ac:dyDescent="0.4">
      <c r="C88" s="1384">
        <v>2018</v>
      </c>
      <c r="D88" s="1395">
        <v>168723.4850721978</v>
      </c>
      <c r="E88" s="1395">
        <v>14.051928983400002</v>
      </c>
      <c r="F88" s="1395">
        <v>3534.5793707999997</v>
      </c>
      <c r="G88" s="1395">
        <v>5167.3801114835787</v>
      </c>
      <c r="H88" s="1395">
        <v>8421.7521954904714</v>
      </c>
      <c r="I88" s="1395">
        <v>2326.1964714767423</v>
      </c>
      <c r="J88" s="1395">
        <v>23.70342633394759</v>
      </c>
      <c r="K88" s="1395">
        <v>347.51029326099825</v>
      </c>
      <c r="L88" s="1396">
        <v>8.39150448</v>
      </c>
      <c r="M88" s="1395">
        <v>36030.116252398802</v>
      </c>
      <c r="N88" s="1395">
        <v>8260.2300685663213</v>
      </c>
      <c r="O88" s="1395">
        <v>21092.633554420001</v>
      </c>
      <c r="P88" s="1395">
        <v>22299.195299690004</v>
      </c>
      <c r="Q88" s="1395">
        <v>250.30445285652621</v>
      </c>
      <c r="R88" s="1395">
        <v>9964.6524534</v>
      </c>
      <c r="S88" s="1395">
        <v>41.035597449999997</v>
      </c>
      <c r="T88" s="1395">
        <v>46405.678575136662</v>
      </c>
      <c r="U88" s="1395">
        <v>109.82886453</v>
      </c>
      <c r="V88" s="1395">
        <v>4426.2446514403582</v>
      </c>
    </row>
    <row r="89" spans="3:22" x14ac:dyDescent="0.4">
      <c r="C89" s="1384">
        <v>2019</v>
      </c>
      <c r="D89" s="1395">
        <v>168978.23479893111</v>
      </c>
      <c r="E89" s="1395">
        <v>10.440195065400001</v>
      </c>
      <c r="F89" s="1395">
        <v>1728.4377397259998</v>
      </c>
      <c r="G89" s="1395">
        <v>4587.2231533715221</v>
      </c>
      <c r="H89" s="1395">
        <v>8342.743770371475</v>
      </c>
      <c r="I89" s="1395">
        <v>2338.2137366690995</v>
      </c>
      <c r="J89" s="1395">
        <v>24.266807373890089</v>
      </c>
      <c r="K89" s="1395">
        <v>374.01471889658228</v>
      </c>
      <c r="L89" s="1396">
        <v>8.39150448</v>
      </c>
      <c r="M89" s="1395">
        <v>36654.8589247692</v>
      </c>
      <c r="N89" s="1395">
        <v>8784.1631841928811</v>
      </c>
      <c r="O89" s="1395">
        <v>22121.682659860006</v>
      </c>
      <c r="P89" s="1395">
        <v>23002.197453140001</v>
      </c>
      <c r="Q89" s="1395">
        <v>205.76853291031335</v>
      </c>
      <c r="R89" s="1395">
        <v>10595.501165200001</v>
      </c>
      <c r="S89" s="1395">
        <v>41.833204300000006</v>
      </c>
      <c r="T89" s="1395">
        <v>45936.962568426898</v>
      </c>
      <c r="U89" s="1395">
        <v>85.360884980000009</v>
      </c>
      <c r="V89" s="1395">
        <v>4136.1745951978501</v>
      </c>
    </row>
    <row r="90" spans="3:22" x14ac:dyDescent="0.4">
      <c r="C90" s="1384">
        <v>2020</v>
      </c>
      <c r="D90" s="1395">
        <v>149423.16809975775</v>
      </c>
      <c r="E90" s="1395">
        <v>5.3306855664069994</v>
      </c>
      <c r="F90" s="1395">
        <v>4120.4537283420004</v>
      </c>
      <c r="G90" s="1395">
        <v>5012.7817075143703</v>
      </c>
      <c r="H90" s="1395">
        <v>8518.5437938115392</v>
      </c>
      <c r="I90" s="1395">
        <v>2523.6226068575356</v>
      </c>
      <c r="J90" s="1395">
        <v>35.57204905308938</v>
      </c>
      <c r="K90" s="1395">
        <v>342.69193987785565</v>
      </c>
      <c r="L90" s="1396">
        <v>8.39150448</v>
      </c>
      <c r="M90" s="1395">
        <v>35628.226316343127</v>
      </c>
      <c r="N90" s="1395">
        <v>8444.2438497057592</v>
      </c>
      <c r="O90" s="1395">
        <v>17981.790857460004</v>
      </c>
      <c r="P90" s="1395">
        <v>18238.47991898</v>
      </c>
      <c r="Q90" s="1395">
        <v>139.83064255988305</v>
      </c>
      <c r="R90" s="1395">
        <v>4452.7985072650781</v>
      </c>
      <c r="S90" s="1395">
        <v>35.982193699999996</v>
      </c>
      <c r="T90" s="1395">
        <v>40254.115760463319</v>
      </c>
      <c r="U90" s="1395">
        <v>59.460295860000002</v>
      </c>
      <c r="V90" s="1395">
        <v>3620.8517419178129</v>
      </c>
    </row>
    <row r="91" spans="3:22" x14ac:dyDescent="0.4">
      <c r="C91" s="1386">
        <v>2021</v>
      </c>
      <c r="D91" s="1397">
        <v>167128.99494263489</v>
      </c>
      <c r="E91" s="1398">
        <v>674.59745020190405</v>
      </c>
      <c r="F91" s="1398">
        <v>4090.8871947541684</v>
      </c>
      <c r="G91" s="1398">
        <v>4885.0131878154461</v>
      </c>
      <c r="H91" s="1398">
        <v>8257.4138181448307</v>
      </c>
      <c r="I91" s="1398">
        <v>2489.3342583564713</v>
      </c>
      <c r="J91" s="1398">
        <v>35.955224532706765</v>
      </c>
      <c r="K91" s="1398">
        <v>426.24978610108218</v>
      </c>
      <c r="L91" s="1399">
        <v>8.39150448</v>
      </c>
      <c r="M91" s="1398">
        <v>37306.400239628412</v>
      </c>
      <c r="N91" s="1398">
        <v>9535.9023732703208</v>
      </c>
      <c r="O91" s="1398">
        <v>21289.71172205</v>
      </c>
      <c r="P91" s="1398">
        <v>20894.777045700004</v>
      </c>
      <c r="Q91" s="1398">
        <v>149.91967619529802</v>
      </c>
      <c r="R91" s="1398">
        <v>7609.7653007990666</v>
      </c>
      <c r="S91" s="1398">
        <v>47.110293199999987</v>
      </c>
      <c r="T91" s="1398">
        <v>45229.120953467427</v>
      </c>
      <c r="U91" s="1398">
        <v>79.536051909999998</v>
      </c>
      <c r="V91" s="1398">
        <v>4118.9088620277798</v>
      </c>
    </row>
    <row r="92" spans="3:22" x14ac:dyDescent="0.4">
      <c r="C92" s="1400" t="s">
        <v>4729</v>
      </c>
      <c r="D92" s="1400"/>
      <c r="E92" s="1400"/>
      <c r="F92" s="1400"/>
      <c r="G92" s="1400"/>
      <c r="H92" s="1400"/>
      <c r="I92" s="1400"/>
      <c r="J92" s="1400"/>
      <c r="K92" s="1400"/>
      <c r="L92" s="1400"/>
      <c r="M92" s="1400"/>
      <c r="N92" s="1400"/>
      <c r="O92" s="1400"/>
      <c r="P92" s="1400"/>
      <c r="Q92" s="1400"/>
      <c r="R92" s="1400"/>
      <c r="S92" s="1400"/>
      <c r="T92" s="1400"/>
      <c r="U92" s="1400"/>
    </row>
  </sheetData>
  <mergeCells count="15">
    <mergeCell ref="A5:B5"/>
    <mergeCell ref="C5:S5"/>
    <mergeCell ref="C1:D1"/>
    <mergeCell ref="A3:B3"/>
    <mergeCell ref="C3:S3"/>
    <mergeCell ref="A4:B4"/>
    <mergeCell ref="C4:S4"/>
    <mergeCell ref="C67:V67"/>
    <mergeCell ref="C68:V68"/>
    <mergeCell ref="A6:B6"/>
    <mergeCell ref="C6:S6"/>
    <mergeCell ref="K9:M9"/>
    <mergeCell ref="H29:O29"/>
    <mergeCell ref="C33:E33"/>
    <mergeCell ref="C34:E34"/>
  </mergeCells>
  <hyperlinks>
    <hyperlink ref="A1" location="'ODS 7.'!A1" display="REGRESAR" xr:uid="{B935CE67-1B24-4FAF-945C-F28B03626C6F}"/>
    <hyperlink ref="C1:D1" location="'Metadato 7.2.1'!A1" display="VER METADATO" xr:uid="{658838E0-BD4E-41D6-925A-2E9802C8C445}"/>
    <hyperlink ref="K9:M9" location="'7.2.1 BCCR'!A1" display="Ver indicador de 7.2.1, fuente Cuenta de Energía, BCCR" xr:uid="{680B683B-59FC-49CF-9EB5-248A15527555}"/>
  </hyperlinks>
  <pageMargins left="0.7" right="0.7" top="0.75" bottom="0.75" header="0.3" footer="0.3"/>
  <pageSetup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E49CE-ADA1-4EF9-9722-5714C7A3D930}">
  <sheetPr>
    <tabColor theme="0" tint="-0.499984740745262"/>
  </sheetPr>
  <dimension ref="A1:F39"/>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8" width="11.42578125" style="243"/>
    <col min="9" max="9" width="8" style="243" customWidth="1"/>
    <col min="10" max="12" width="11.42578125" style="243"/>
    <col min="13" max="13" width="13.42578125" style="243" customWidth="1"/>
    <col min="14" max="16384" width="11.42578125" style="243"/>
  </cols>
  <sheetData>
    <row r="1" spans="1:6" x14ac:dyDescent="0.25">
      <c r="B1" s="223" t="s">
        <v>39</v>
      </c>
    </row>
    <row r="2" spans="1:6" ht="19.5" thickBot="1" x14ac:dyDescent="0.3"/>
    <row r="3" spans="1:6" ht="23.25" customHeight="1" thickBot="1" x14ac:dyDescent="0.3">
      <c r="B3" s="3084" t="s">
        <v>75</v>
      </c>
      <c r="C3" s="3084"/>
      <c r="D3" s="3084"/>
      <c r="F3" s="1046" t="s">
        <v>76</v>
      </c>
    </row>
    <row r="4" spans="1:6" ht="16.5" customHeight="1" x14ac:dyDescent="0.25">
      <c r="A4" s="1079"/>
      <c r="B4" s="2445" t="s">
        <v>234</v>
      </c>
      <c r="C4" s="2445"/>
      <c r="D4" s="49" t="s">
        <v>4698</v>
      </c>
    </row>
    <row r="5" spans="1:6" ht="37.5" x14ac:dyDescent="0.25">
      <c r="B5" s="2445" t="s">
        <v>79</v>
      </c>
      <c r="C5" s="2445"/>
      <c r="D5" s="49" t="s">
        <v>4685</v>
      </c>
    </row>
    <row r="6" spans="1:6" x14ac:dyDescent="0.25">
      <c r="B6" s="2445" t="s">
        <v>80</v>
      </c>
      <c r="C6" s="2445"/>
      <c r="D6" s="50" t="s">
        <v>4686</v>
      </c>
    </row>
    <row r="7" spans="1:6" ht="15" customHeight="1" x14ac:dyDescent="0.25">
      <c r="B7" s="2446" t="s">
        <v>81</v>
      </c>
      <c r="C7" s="2446"/>
      <c r="D7" s="93" t="s">
        <v>4687</v>
      </c>
    </row>
    <row r="8" spans="1:6" ht="15" customHeight="1" x14ac:dyDescent="0.25">
      <c r="B8" s="2446" t="s">
        <v>82</v>
      </c>
      <c r="C8" s="2446"/>
      <c r="D8" s="1047" t="s">
        <v>4760</v>
      </c>
    </row>
    <row r="9" spans="1:6" x14ac:dyDescent="0.4">
      <c r="B9" s="115"/>
      <c r="C9" s="115"/>
      <c r="D9" s="115"/>
    </row>
    <row r="10" spans="1:6" ht="19.5" x14ac:dyDescent="0.25">
      <c r="B10" s="3084" t="s">
        <v>85</v>
      </c>
      <c r="C10" s="3084"/>
      <c r="D10" s="3084"/>
    </row>
    <row r="11" spans="1:6" ht="56.25" x14ac:dyDescent="0.25">
      <c r="B11" s="2487" t="s">
        <v>86</v>
      </c>
      <c r="C11" s="2456"/>
      <c r="D11" s="49" t="s">
        <v>4761</v>
      </c>
    </row>
    <row r="12" spans="1:6" s="1401" customFormat="1" ht="49.5" customHeight="1" x14ac:dyDescent="0.25">
      <c r="B12" s="2446" t="s">
        <v>4762</v>
      </c>
      <c r="C12" s="2446"/>
      <c r="D12" s="184" t="s">
        <v>4763</v>
      </c>
    </row>
    <row r="13" spans="1:6" ht="19.5" customHeight="1" x14ac:dyDescent="0.25">
      <c r="A13" s="1402"/>
      <c r="B13" s="2445" t="s">
        <v>90</v>
      </c>
      <c r="C13" s="2445"/>
      <c r="D13" s="54" t="s">
        <v>4686</v>
      </c>
    </row>
    <row r="14" spans="1:6" ht="37.5" x14ac:dyDescent="0.25">
      <c r="B14" s="2445" t="s">
        <v>91</v>
      </c>
      <c r="C14" s="2456"/>
      <c r="D14" s="54" t="s">
        <v>4764</v>
      </c>
    </row>
    <row r="15" spans="1:6" ht="375" x14ac:dyDescent="0.25">
      <c r="B15" s="2445" t="s">
        <v>93</v>
      </c>
      <c r="C15" s="2445"/>
      <c r="D15" s="50" t="s">
        <v>4765</v>
      </c>
    </row>
    <row r="16" spans="1:6" ht="176.25" customHeight="1" x14ac:dyDescent="0.25">
      <c r="B16" s="2445" t="s">
        <v>95</v>
      </c>
      <c r="C16" s="2445"/>
      <c r="D16" s="55" t="s">
        <v>4766</v>
      </c>
    </row>
    <row r="17" spans="2:4" ht="97.5" customHeight="1" x14ac:dyDescent="0.25">
      <c r="B17" s="2445" t="s">
        <v>97</v>
      </c>
      <c r="C17" s="2445"/>
      <c r="D17" s="55" t="s">
        <v>98</v>
      </c>
    </row>
    <row r="18" spans="2:4" x14ac:dyDescent="0.25">
      <c r="B18" s="2446" t="s">
        <v>99</v>
      </c>
      <c r="C18" s="2446"/>
      <c r="D18" s="49"/>
    </row>
    <row r="19" spans="2:4" ht="56.25" x14ac:dyDescent="0.25">
      <c r="B19" s="2457" t="s">
        <v>100</v>
      </c>
      <c r="C19" s="2458"/>
      <c r="D19" s="55" t="s">
        <v>4767</v>
      </c>
    </row>
    <row r="20" spans="2:4" ht="30" customHeight="1" x14ac:dyDescent="0.25">
      <c r="B20" s="2445" t="s">
        <v>102</v>
      </c>
      <c r="C20" s="2445"/>
      <c r="D20" s="55" t="s">
        <v>140</v>
      </c>
    </row>
    <row r="21" spans="2:4" x14ac:dyDescent="0.25">
      <c r="B21" s="2451" t="s">
        <v>104</v>
      </c>
      <c r="C21" s="95" t="s">
        <v>105</v>
      </c>
      <c r="D21" s="49"/>
    </row>
    <row r="22" spans="2:4" x14ac:dyDescent="0.25">
      <c r="B22" s="2452"/>
      <c r="C22" s="96" t="s">
        <v>107</v>
      </c>
      <c r="D22" s="55"/>
    </row>
    <row r="23" spans="2:4" x14ac:dyDescent="0.25">
      <c r="B23" s="2445" t="s">
        <v>109</v>
      </c>
      <c r="C23" s="2445"/>
      <c r="D23" s="49" t="s">
        <v>143</v>
      </c>
    </row>
    <row r="24" spans="2:4" ht="18" customHeight="1" x14ac:dyDescent="0.25">
      <c r="B24" s="2445" t="s">
        <v>111</v>
      </c>
      <c r="C24" s="2445"/>
      <c r="D24" s="50" t="s">
        <v>4768</v>
      </c>
    </row>
    <row r="25" spans="2:4" x14ac:dyDescent="0.25">
      <c r="B25" s="2445" t="s">
        <v>113</v>
      </c>
      <c r="C25" s="2445"/>
      <c r="D25" s="55" t="s">
        <v>1701</v>
      </c>
    </row>
    <row r="26" spans="2:4" ht="15" customHeight="1" x14ac:dyDescent="0.25">
      <c r="B26" s="2446" t="s">
        <v>115</v>
      </c>
      <c r="C26" s="2446"/>
      <c r="D26" s="50" t="s">
        <v>4769</v>
      </c>
    </row>
    <row r="27" spans="2:4" ht="15" customHeight="1" x14ac:dyDescent="0.25">
      <c r="B27" s="2447" t="s">
        <v>117</v>
      </c>
      <c r="C27" s="2448"/>
      <c r="D27" s="49" t="s">
        <v>4770</v>
      </c>
    </row>
    <row r="28" spans="2:4" ht="93.75" x14ac:dyDescent="0.25">
      <c r="B28" s="97" t="s">
        <v>118</v>
      </c>
      <c r="C28" s="98"/>
      <c r="D28" s="49" t="s">
        <v>4771</v>
      </c>
    </row>
    <row r="29" spans="2:4" ht="93.75" x14ac:dyDescent="0.25">
      <c r="B29" s="2449" t="s">
        <v>120</v>
      </c>
      <c r="C29" s="2450"/>
      <c r="D29" s="62" t="s">
        <v>4772</v>
      </c>
    </row>
    <row r="30" spans="2:4" x14ac:dyDescent="0.25">
      <c r="B30" s="63"/>
      <c r="C30" s="63"/>
      <c r="D30" s="64"/>
    </row>
    <row r="31" spans="2:4" ht="19.5" x14ac:dyDescent="0.25">
      <c r="B31" s="3084" t="s">
        <v>121</v>
      </c>
      <c r="C31" s="3084"/>
      <c r="D31" s="3084"/>
    </row>
    <row r="32" spans="2:4" ht="23.25" customHeight="1" x14ac:dyDescent="0.25">
      <c r="B32" s="2447" t="s">
        <v>122</v>
      </c>
      <c r="C32" s="2448"/>
      <c r="D32" s="50" t="s">
        <v>4773</v>
      </c>
    </row>
    <row r="33" spans="2:4" x14ac:dyDescent="0.25">
      <c r="B33" s="2447" t="s">
        <v>124</v>
      </c>
      <c r="C33" s="2448"/>
      <c r="D33" s="50" t="s">
        <v>4774</v>
      </c>
    </row>
    <row r="34" spans="2:4" x14ac:dyDescent="0.25">
      <c r="B34" s="2447" t="s">
        <v>126</v>
      </c>
      <c r="C34" s="2448"/>
      <c r="D34" s="50" t="s">
        <v>4641</v>
      </c>
    </row>
    <row r="35" spans="2:4" x14ac:dyDescent="0.25">
      <c r="B35" s="2447" t="s">
        <v>128</v>
      </c>
      <c r="C35" s="2448"/>
      <c r="D35" s="50" t="s">
        <v>4775</v>
      </c>
    </row>
    <row r="36" spans="2:4" x14ac:dyDescent="0.4">
      <c r="B36" s="2447" t="s">
        <v>130</v>
      </c>
      <c r="C36" s="2448"/>
      <c r="D36" s="245" t="s">
        <v>4776</v>
      </c>
    </row>
    <row r="37" spans="2:4" x14ac:dyDescent="0.4">
      <c r="B37" s="2447" t="s">
        <v>130</v>
      </c>
      <c r="C37" s="2448"/>
      <c r="D37" s="245" t="s">
        <v>4776</v>
      </c>
    </row>
    <row r="39" spans="2:4" x14ac:dyDescent="0.25">
      <c r="B39" s="243" t="s">
        <v>4777</v>
      </c>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7:C37"/>
    <mergeCell ref="B31:D31"/>
    <mergeCell ref="B32:C32"/>
    <mergeCell ref="B33:C33"/>
    <mergeCell ref="B34:C34"/>
    <mergeCell ref="B35:C35"/>
    <mergeCell ref="B36:C36"/>
  </mergeCells>
  <dataValidations count="7">
    <dataValidation allowBlank="1" showDropDown="1" showInputMessage="1" showErrorMessage="1" sqref="D13" xr:uid="{AADDC1F4-A20E-4CF1-847D-43294B129993}"/>
    <dataValidation type="list" allowBlank="1" showInputMessage="1" showErrorMessage="1" sqref="D4" xr:uid="{0763ABF0-D914-4F59-850A-A4673528CAE8}">
      <formula1>ODS</formula1>
    </dataValidation>
    <dataValidation type="list" allowBlank="1" showInputMessage="1" showErrorMessage="1" sqref="D5" xr:uid="{CDE97210-BE17-48AC-AAC2-07AAC94E8E2F}">
      <formula1>Metas_ODS</formula1>
    </dataValidation>
    <dataValidation type="list" allowBlank="1" showInputMessage="1" showErrorMessage="1" sqref="D6" xr:uid="{7BD563B6-93F9-481D-B110-6AB1EE7B6D8E}">
      <formula1>Numero_indicador</formula1>
    </dataValidation>
    <dataValidation type="list" allowBlank="1" showInputMessage="1" showErrorMessage="1" sqref="D7" xr:uid="{180B7311-7064-448F-92DE-1E5EE254578D}">
      <formula1>Nombre_indicador_ODS</formula1>
    </dataValidation>
    <dataValidation type="list" allowBlank="1" showInputMessage="1" showErrorMessage="1" sqref="D14" xr:uid="{B18169AD-C207-4E52-8A85-42B0C2D4B72D}">
      <formula1>Tipo_indicador</formula1>
    </dataValidation>
    <dataValidation type="list" allowBlank="1" showInputMessage="1" showErrorMessage="1" sqref="D25" xr:uid="{F60E2034-DA09-4D9A-A6B1-943040CE2C11}">
      <formula1>Tipo_operación</formula1>
    </dataValidation>
  </dataValidations>
  <hyperlinks>
    <hyperlink ref="B1" location="'7.2.1'!A1" display="REGRESAR" xr:uid="{DD5D3D10-E68D-4A44-8A40-594171799BDA}"/>
    <hyperlink ref="D8" r:id="rId1" xr:uid="{2E42A34E-F06B-4999-B84E-73A19DAFFBE6}"/>
  </hyperlinks>
  <pageMargins left="0.7" right="0.7" top="0.75" bottom="0.75" header="0.3" footer="0.3"/>
  <pageSetup orientation="portrait" r:id="rId2"/>
  <drawing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F91F-ADD0-445E-B81C-506D5F14B27C}">
  <dimension ref="A1:S50"/>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2" width="15.28515625" style="115" customWidth="1"/>
    <col min="3" max="3" width="8.7109375" style="115" customWidth="1"/>
    <col min="4" max="4" width="15" style="115" customWidth="1"/>
    <col min="5" max="5" width="21.140625" style="115" customWidth="1"/>
    <col min="6" max="6" width="14" style="115" customWidth="1"/>
    <col min="7" max="7" width="12" style="115" customWidth="1"/>
    <col min="8" max="8" width="12.7109375" style="115" customWidth="1"/>
    <col min="9" max="9" width="11.42578125" style="115"/>
    <col min="10" max="10" width="12" style="115" customWidth="1"/>
    <col min="11" max="11" width="8" style="115" customWidth="1"/>
    <col min="12" max="12" width="11.7109375" style="115" customWidth="1"/>
    <col min="13" max="14" width="11.42578125" style="115"/>
    <col min="15" max="15" width="13.42578125" style="115" customWidth="1"/>
    <col min="16" max="16384" width="11.42578125" style="115"/>
  </cols>
  <sheetData>
    <row r="1" spans="1:19" s="1032" customFormat="1" ht="19.5" x14ac:dyDescent="0.4">
      <c r="A1" s="15" t="s">
        <v>39</v>
      </c>
      <c r="C1" s="2421" t="s">
        <v>149</v>
      </c>
      <c r="D1" s="2421"/>
    </row>
    <row r="2" spans="1:19" s="1032" customFormat="1" ht="19.5" x14ac:dyDescent="0.4"/>
    <row r="3" spans="1:19" s="1032" customFormat="1" ht="19.5" x14ac:dyDescent="0.4">
      <c r="A3" s="3077" t="s">
        <v>41</v>
      </c>
      <c r="B3" s="3083"/>
      <c r="C3" s="3077" t="s">
        <v>4679</v>
      </c>
      <c r="D3" s="3086"/>
      <c r="E3" s="3086"/>
      <c r="F3" s="3086"/>
      <c r="G3" s="3086"/>
      <c r="H3" s="3086"/>
      <c r="I3" s="3086"/>
      <c r="J3" s="3086"/>
      <c r="K3" s="3086"/>
      <c r="L3" s="3086"/>
      <c r="M3" s="3086"/>
      <c r="N3" s="3086"/>
      <c r="O3" s="3086"/>
      <c r="P3" s="3086"/>
      <c r="Q3" s="3086"/>
      <c r="R3" s="3086"/>
      <c r="S3" s="3086"/>
    </row>
    <row r="4" spans="1:19" s="1032" customFormat="1" ht="19.5" x14ac:dyDescent="0.4">
      <c r="A4" s="3077" t="s">
        <v>42</v>
      </c>
      <c r="B4" s="3078"/>
      <c r="C4" s="3077" t="s">
        <v>4778</v>
      </c>
      <c r="D4" s="3086"/>
      <c r="E4" s="3086"/>
      <c r="F4" s="3086"/>
      <c r="G4" s="3086"/>
      <c r="H4" s="3086"/>
      <c r="I4" s="3086"/>
      <c r="J4" s="3086"/>
      <c r="K4" s="3086"/>
      <c r="L4" s="3086"/>
      <c r="M4" s="3086"/>
      <c r="N4" s="3086"/>
      <c r="O4" s="3086"/>
      <c r="P4" s="3086"/>
      <c r="Q4" s="3086"/>
      <c r="R4" s="3086"/>
      <c r="S4" s="3086"/>
    </row>
    <row r="5" spans="1:19" s="1032" customFormat="1" ht="19.5" x14ac:dyDescent="0.4">
      <c r="A5" s="3077" t="s">
        <v>43</v>
      </c>
      <c r="B5" s="3078"/>
      <c r="C5" s="3077" t="s">
        <v>4779</v>
      </c>
      <c r="D5" s="3086"/>
      <c r="E5" s="3086"/>
      <c r="F5" s="3086"/>
      <c r="G5" s="3086"/>
      <c r="H5" s="3086"/>
      <c r="I5" s="3086"/>
      <c r="J5" s="3086"/>
      <c r="K5" s="3086"/>
      <c r="L5" s="3086"/>
      <c r="M5" s="3086"/>
      <c r="N5" s="3086"/>
      <c r="O5" s="3086"/>
      <c r="P5" s="3086"/>
      <c r="Q5" s="3086"/>
      <c r="R5" s="3086"/>
      <c r="S5" s="3086"/>
    </row>
    <row r="6" spans="1:19" s="1032" customFormat="1" ht="19.5" x14ac:dyDescent="0.4">
      <c r="A6" s="3077" t="s">
        <v>132</v>
      </c>
      <c r="B6" s="3078"/>
      <c r="C6" s="3085" t="s">
        <v>4780</v>
      </c>
      <c r="D6" s="3086"/>
      <c r="E6" s="3086"/>
      <c r="F6" s="3086"/>
      <c r="G6" s="3086"/>
      <c r="H6" s="3086"/>
      <c r="I6" s="3086"/>
      <c r="J6" s="3086"/>
      <c r="K6" s="3086"/>
      <c r="L6" s="3086"/>
      <c r="M6" s="3086"/>
      <c r="N6" s="3086"/>
      <c r="O6" s="3086"/>
      <c r="P6" s="3086"/>
      <c r="Q6" s="3086"/>
      <c r="R6" s="3086"/>
      <c r="S6" s="3086"/>
    </row>
    <row r="7" spans="1:19" s="1032" customFormat="1" ht="19.5" x14ac:dyDescent="0.4"/>
    <row r="8" spans="1:19" s="1032" customFormat="1" ht="19.5" x14ac:dyDescent="0.4"/>
    <row r="9" spans="1:19" s="1032" customFormat="1" ht="19.5" x14ac:dyDescent="0.4"/>
    <row r="10" spans="1:19" s="1032" customFormat="1" ht="19.5" x14ac:dyDescent="0.4">
      <c r="C10" s="138" t="s">
        <v>4781</v>
      </c>
      <c r="D10" s="138"/>
      <c r="E10" s="138"/>
      <c r="F10" s="138"/>
      <c r="G10" s="138"/>
      <c r="H10" s="138"/>
      <c r="K10" s="800" t="s">
        <v>4782</v>
      </c>
    </row>
    <row r="11" spans="1:19" s="1032" customFormat="1" ht="10.15" customHeight="1" x14ac:dyDescent="0.4">
      <c r="C11" s="138"/>
      <c r="D11" s="138"/>
      <c r="E11" s="138"/>
      <c r="F11" s="138"/>
      <c r="G11" s="138"/>
      <c r="H11" s="138"/>
      <c r="K11" s="800"/>
    </row>
    <row r="12" spans="1:19" ht="71.25" customHeight="1" x14ac:dyDescent="0.4">
      <c r="C12" s="1403"/>
      <c r="D12" s="1380" t="s">
        <v>4783</v>
      </c>
      <c r="E12" s="1380" t="s">
        <v>4784</v>
      </c>
      <c r="F12" s="1380" t="s">
        <v>4785</v>
      </c>
      <c r="G12" s="1380" t="s">
        <v>4786</v>
      </c>
      <c r="H12" s="1380" t="s">
        <v>4787</v>
      </c>
    </row>
    <row r="13" spans="1:19" x14ac:dyDescent="0.4">
      <c r="C13" s="1404">
        <v>2011</v>
      </c>
      <c r="D13" s="1405">
        <v>57248.92912049585</v>
      </c>
      <c r="E13" s="1405">
        <v>49411.164777160353</v>
      </c>
      <c r="F13" s="1405">
        <v>153181.3629255846</v>
      </c>
      <c r="G13" s="1406">
        <v>37.373299223292157</v>
      </c>
      <c r="H13" s="1406">
        <v>32.256642605513477</v>
      </c>
    </row>
    <row r="14" spans="1:19" x14ac:dyDescent="0.4">
      <c r="C14" s="232">
        <v>2012</v>
      </c>
      <c r="D14" s="1407">
        <v>58136.057090018447</v>
      </c>
      <c r="E14" s="1407">
        <v>51246.845444023988</v>
      </c>
      <c r="F14" s="1407">
        <v>152442.90470299631</v>
      </c>
      <c r="G14" s="542">
        <v>38.136282697633327</v>
      </c>
      <c r="H14" s="542">
        <v>33.617074893625215</v>
      </c>
    </row>
    <row r="15" spans="1:19" x14ac:dyDescent="0.4">
      <c r="C15" s="232">
        <v>2013</v>
      </c>
      <c r="D15" s="1407">
        <v>58470.859156357888</v>
      </c>
      <c r="E15" s="1407">
        <v>51889.076166079518</v>
      </c>
      <c r="F15" s="1407">
        <v>155257.39764681886</v>
      </c>
      <c r="G15" s="542">
        <v>37.660594627103059</v>
      </c>
      <c r="H15" s="542">
        <v>33.42132288222254</v>
      </c>
    </row>
    <row r="16" spans="1:19" x14ac:dyDescent="0.4">
      <c r="C16" s="232">
        <v>2014</v>
      </c>
      <c r="D16" s="1407">
        <v>58544.579407618039</v>
      </c>
      <c r="E16" s="1407">
        <v>53113.205738259319</v>
      </c>
      <c r="F16" s="1407">
        <v>159834.62132237031</v>
      </c>
      <c r="G16" s="542">
        <v>36.628221672662228</v>
      </c>
      <c r="H16" s="542">
        <v>33.230100774684686</v>
      </c>
    </row>
    <row r="17" spans="3:14" x14ac:dyDescent="0.4">
      <c r="C17" s="232">
        <v>2015</v>
      </c>
      <c r="D17" s="1407">
        <v>63010.619581858031</v>
      </c>
      <c r="E17" s="1407">
        <v>57859.386317532422</v>
      </c>
      <c r="F17" s="1407">
        <v>163242.77524893891</v>
      </c>
      <c r="G17" s="542">
        <v>38.599331263370942</v>
      </c>
      <c r="H17" s="542">
        <v>35.443765415834847</v>
      </c>
    </row>
    <row r="18" spans="3:14" x14ac:dyDescent="0.4">
      <c r="C18" s="232">
        <v>2016</v>
      </c>
      <c r="D18" s="1407">
        <v>62329.221264111635</v>
      </c>
      <c r="E18" s="1407">
        <v>58063.18593626473</v>
      </c>
      <c r="F18" s="1407">
        <v>170084.97831256888</v>
      </c>
      <c r="G18" s="542">
        <v>36.645929512697975</v>
      </c>
      <c r="H18" s="542">
        <v>34.13775073631767</v>
      </c>
    </row>
    <row r="19" spans="3:14" x14ac:dyDescent="0.4">
      <c r="C19" s="232">
        <v>2017</v>
      </c>
      <c r="D19" s="1407">
        <v>56663.396688656692</v>
      </c>
      <c r="E19" s="1407">
        <v>53742.841749416693</v>
      </c>
      <c r="F19" s="1407">
        <v>178559.69216720006</v>
      </c>
      <c r="G19" s="542">
        <v>31.733587799646358</v>
      </c>
      <c r="H19" s="542">
        <v>30.097969534520068</v>
      </c>
    </row>
    <row r="20" spans="3:14" x14ac:dyDescent="0.4">
      <c r="C20" s="232">
        <v>2018</v>
      </c>
      <c r="D20" s="1407">
        <v>56138.958920788675</v>
      </c>
      <c r="E20" s="1407">
        <v>53422.614200788674</v>
      </c>
      <c r="F20" s="1407">
        <v>178559.69216720006</v>
      </c>
      <c r="G20" s="542">
        <v>31.439883346248809</v>
      </c>
      <c r="H20" s="542">
        <v>29.918630320422317</v>
      </c>
    </row>
    <row r="21" spans="3:14" x14ac:dyDescent="0.4">
      <c r="C21" s="232">
        <v>2019</v>
      </c>
      <c r="D21" s="1407">
        <v>55685.427138919214</v>
      </c>
      <c r="E21" s="1407">
        <v>52958.258874919215</v>
      </c>
      <c r="F21" s="1407">
        <v>178559.69216720006</v>
      </c>
      <c r="G21" s="542">
        <v>31.185888854902586</v>
      </c>
      <c r="H21" s="542">
        <v>29.65857424604544</v>
      </c>
    </row>
    <row r="22" spans="3:14" x14ac:dyDescent="0.4">
      <c r="C22" s="232">
        <v>2020</v>
      </c>
      <c r="D22" s="1407">
        <v>57523.481117776981</v>
      </c>
      <c r="E22" s="1407">
        <v>54707.269229776983</v>
      </c>
      <c r="F22" s="1407">
        <v>178559.69216720006</v>
      </c>
      <c r="G22" s="542">
        <v>32.215266737754582</v>
      </c>
      <c r="H22" s="542">
        <v>30.638084421959068</v>
      </c>
    </row>
    <row r="23" spans="3:14" x14ac:dyDescent="0.4">
      <c r="C23" s="795">
        <v>2021</v>
      </c>
      <c r="D23" s="1408">
        <v>61031.97190136779</v>
      </c>
      <c r="E23" s="1408">
        <v>58280.261285367786</v>
      </c>
      <c r="F23" s="1408">
        <v>178559.69216720006</v>
      </c>
      <c r="G23" s="764">
        <v>34.180150716332193</v>
      </c>
      <c r="H23" s="764">
        <v>32.63909148700548</v>
      </c>
    </row>
    <row r="24" spans="3:14" ht="34.9" customHeight="1" x14ac:dyDescent="0.4">
      <c r="C24" s="3091" t="s">
        <v>4788</v>
      </c>
      <c r="D24" s="3091"/>
      <c r="E24" s="3091"/>
      <c r="F24" s="3091"/>
      <c r="G24" s="3091"/>
      <c r="H24" s="3091"/>
    </row>
    <row r="25" spans="3:14" ht="21.6" customHeight="1" x14ac:dyDescent="0.4">
      <c r="C25" s="155" t="s">
        <v>4789</v>
      </c>
      <c r="D25" s="155"/>
      <c r="E25" s="155"/>
      <c r="F25" s="155"/>
    </row>
    <row r="26" spans="3:14" ht="21.6" customHeight="1" x14ac:dyDescent="0.4">
      <c r="C26" s="2626"/>
      <c r="D26" s="2626"/>
      <c r="E26" s="2626"/>
      <c r="F26" s="2626"/>
      <c r="K26" s="155"/>
    </row>
    <row r="27" spans="3:14" x14ac:dyDescent="0.4">
      <c r="K27" s="155" t="s">
        <v>4790</v>
      </c>
      <c r="L27" s="155"/>
      <c r="M27" s="155"/>
      <c r="N27" s="155"/>
    </row>
    <row r="34" spans="3:14" ht="19.5" x14ac:dyDescent="0.4">
      <c r="C34" s="2628" t="s">
        <v>4791</v>
      </c>
      <c r="D34" s="2628"/>
      <c r="E34" s="2628"/>
      <c r="F34" s="2628"/>
      <c r="G34" s="2628"/>
      <c r="H34" s="2628"/>
      <c r="I34" s="2628"/>
      <c r="J34" s="2628"/>
      <c r="K34" s="2628"/>
      <c r="L34" s="2628"/>
      <c r="M34" s="2628"/>
      <c r="N34" s="2628"/>
    </row>
    <row r="35" spans="3:14" x14ac:dyDescent="0.4">
      <c r="C35" s="2811" t="s">
        <v>4792</v>
      </c>
      <c r="D35" s="2811"/>
      <c r="E35" s="2811"/>
      <c r="F35" s="2811"/>
      <c r="G35" s="2811"/>
      <c r="H35" s="2811"/>
      <c r="I35" s="2811"/>
      <c r="J35" s="2811"/>
      <c r="K35" s="2811"/>
      <c r="L35" s="2811"/>
      <c r="M35" s="2811"/>
      <c r="N35" s="2811"/>
    </row>
    <row r="36" spans="3:14" ht="56.45" customHeight="1" x14ac:dyDescent="0.4">
      <c r="C36" s="1409"/>
      <c r="D36" s="1380" t="s">
        <v>4793</v>
      </c>
      <c r="E36" s="1380" t="s">
        <v>4794</v>
      </c>
      <c r="F36" s="1380" t="s">
        <v>4795</v>
      </c>
      <c r="G36" s="1380" t="s">
        <v>4796</v>
      </c>
      <c r="H36" s="1380" t="s">
        <v>4746</v>
      </c>
      <c r="I36" s="1380" t="s">
        <v>4797</v>
      </c>
      <c r="J36" s="1380" t="s">
        <v>4798</v>
      </c>
      <c r="K36" s="1380" t="s">
        <v>4750</v>
      </c>
      <c r="L36" s="1380" t="s">
        <v>4799</v>
      </c>
      <c r="M36" s="1380" t="s">
        <v>4800</v>
      </c>
      <c r="N36" s="1380" t="s">
        <v>4801</v>
      </c>
    </row>
    <row r="37" spans="3:14" x14ac:dyDescent="0.4">
      <c r="C37" s="1404">
        <v>2011</v>
      </c>
      <c r="D37" s="1410">
        <v>25684.642800000001</v>
      </c>
      <c r="E37" s="1410">
        <v>4606.3547999999646</v>
      </c>
      <c r="F37" s="1410">
        <v>1492.1064000000001</v>
      </c>
      <c r="G37" s="1410">
        <v>1.726995456</v>
      </c>
      <c r="H37" s="1410">
        <v>7729.4432240000015</v>
      </c>
      <c r="I37" s="1410">
        <v>407.07078000000001</v>
      </c>
      <c r="J37" s="1410">
        <v>4448.7816543468143</v>
      </c>
      <c r="K37" s="1410">
        <v>6.8891540462337666</v>
      </c>
      <c r="L37" s="1410">
        <v>5001.8130344948004</v>
      </c>
      <c r="M37" s="1410">
        <v>12839.577377830294</v>
      </c>
      <c r="N37" s="1410">
        <v>32.335934816531008</v>
      </c>
    </row>
    <row r="38" spans="3:14" x14ac:dyDescent="0.4">
      <c r="C38" s="232">
        <v>2012</v>
      </c>
      <c r="D38" s="1411">
        <v>26039.519999999997</v>
      </c>
      <c r="E38" s="1411">
        <v>5049.1836000000039</v>
      </c>
      <c r="F38" s="1411">
        <v>1902.1752000000001</v>
      </c>
      <c r="G38" s="1411">
        <v>4.6688017536000004</v>
      </c>
      <c r="H38" s="1411">
        <v>8088.9497682399997</v>
      </c>
      <c r="I38" s="1411">
        <v>461.18795999999998</v>
      </c>
      <c r="J38" s="1411">
        <v>4385.4576688760408</v>
      </c>
      <c r="K38" s="1411">
        <v>7.4448006981818171</v>
      </c>
      <c r="L38" s="1411">
        <v>5272.67182125609</v>
      </c>
      <c r="M38" s="1411">
        <v>12161.883467250547</v>
      </c>
      <c r="N38" s="1411">
        <v>35.585823200074223</v>
      </c>
    </row>
    <row r="39" spans="3:14" x14ac:dyDescent="0.4">
      <c r="C39" s="232">
        <v>2013</v>
      </c>
      <c r="D39" s="1411">
        <v>24663.759450120007</v>
      </c>
      <c r="E39" s="1411">
        <v>5460.2472628800024</v>
      </c>
      <c r="F39" s="1411">
        <v>1744.4482208279999</v>
      </c>
      <c r="G39" s="1411">
        <v>8.7964515215999999</v>
      </c>
      <c r="H39" s="1411">
        <v>9864.9255283310267</v>
      </c>
      <c r="I39" s="1411">
        <v>461.18795999999998</v>
      </c>
      <c r="J39" s="1411">
        <v>4161.9714302057037</v>
      </c>
      <c r="K39" s="1411">
        <v>7.4448006981818171</v>
      </c>
      <c r="L39" s="1411">
        <v>5478.0040665047418</v>
      </c>
      <c r="M39" s="1411">
        <v>12059.787056783112</v>
      </c>
      <c r="N39" s="1411">
        <v>38.290994990245956</v>
      </c>
    </row>
    <row r="40" spans="3:14" x14ac:dyDescent="0.4">
      <c r="C40" s="232">
        <v>2014</v>
      </c>
      <c r="D40" s="1411">
        <v>24181.748693136007</v>
      </c>
      <c r="E40" s="1411">
        <v>5537.2884608880049</v>
      </c>
      <c r="F40" s="1411">
        <v>2645.1121706280001</v>
      </c>
      <c r="G40" s="1411">
        <v>8.8762591656000005</v>
      </c>
      <c r="H40" s="1411">
        <v>10318.317110095233</v>
      </c>
      <c r="I40" s="1411">
        <v>371.95800084737891</v>
      </c>
      <c r="J40" s="1411">
        <v>4360.3657109272672</v>
      </c>
      <c r="K40" s="1411">
        <v>7.4448006981818171</v>
      </c>
      <c r="L40" s="1411">
        <v>5635.0885775791357</v>
      </c>
      <c r="M40" s="1411">
        <v>11066.46224693785</v>
      </c>
      <c r="N40" s="1411">
        <v>47.005954294512613</v>
      </c>
    </row>
    <row r="41" spans="3:14" x14ac:dyDescent="0.4">
      <c r="C41" s="232">
        <v>2015</v>
      </c>
      <c r="D41" s="1411">
        <v>29039.705601768001</v>
      </c>
      <c r="E41" s="1411">
        <v>4952.2641868440041</v>
      </c>
      <c r="F41" s="1411">
        <v>3886.2284322600003</v>
      </c>
      <c r="G41" s="1411">
        <v>9.1217266776000017</v>
      </c>
      <c r="H41" s="1411">
        <v>10072.361579706276</v>
      </c>
      <c r="I41" s="1411">
        <v>371.37069874077775</v>
      </c>
      <c r="J41" s="1411">
        <v>3789.5783558388257</v>
      </c>
      <c r="K41" s="1411">
        <v>7.4448006981818171</v>
      </c>
      <c r="L41" s="1411">
        <v>5674.4627310223632</v>
      </c>
      <c r="M41" s="1411">
        <v>10825.695995347976</v>
      </c>
      <c r="N41" s="1411">
        <v>56.848203976380823</v>
      </c>
    </row>
    <row r="42" spans="3:14" x14ac:dyDescent="0.4">
      <c r="C42" s="232">
        <v>2016</v>
      </c>
      <c r="D42" s="1411">
        <v>28893.403728863999</v>
      </c>
      <c r="E42" s="1411">
        <v>4822.2536982480087</v>
      </c>
      <c r="F42" s="1411">
        <v>4130.2485782640006</v>
      </c>
      <c r="G42" s="1411">
        <v>8.6884703856000023</v>
      </c>
      <c r="H42" s="1411">
        <v>10072.361579706276</v>
      </c>
      <c r="I42" s="1411">
        <v>437.14853468010375</v>
      </c>
      <c r="J42" s="1411">
        <v>3742.2035784417635</v>
      </c>
      <c r="K42" s="1411">
        <v>7.4448006981818171</v>
      </c>
      <c r="L42" s="1411">
        <v>5904.8534689832632</v>
      </c>
      <c r="M42" s="1411">
        <v>10170.888796830171</v>
      </c>
      <c r="N42" s="1411">
        <v>44.579497993537579</v>
      </c>
    </row>
    <row r="43" spans="3:14" x14ac:dyDescent="0.4">
      <c r="C43" s="232">
        <v>2017</v>
      </c>
      <c r="D43" s="1411">
        <v>30911.112683166757</v>
      </c>
      <c r="E43" s="1411">
        <v>4024.1958120000004</v>
      </c>
      <c r="F43" s="1411">
        <v>4635.6426936000007</v>
      </c>
      <c r="G43" s="1411">
        <v>53.679104467613996</v>
      </c>
      <c r="H43" s="1411">
        <v>9094.8137702769782</v>
      </c>
      <c r="I43" s="1411">
        <v>400.60890348389972</v>
      </c>
      <c r="J43" s="1411">
        <v>2331.0961218167549</v>
      </c>
      <c r="K43" s="1411">
        <v>8.39150448</v>
      </c>
      <c r="L43" s="1411">
        <v>2220.5283948389783</v>
      </c>
      <c r="M43" s="1411">
        <v>5141.0833340789786</v>
      </c>
      <c r="N43" s="1411">
        <v>62.772761285709024</v>
      </c>
    </row>
    <row r="44" spans="3:14" x14ac:dyDescent="0.4">
      <c r="C44" s="232">
        <v>2018</v>
      </c>
      <c r="D44" s="1411">
        <v>29730.751515077598</v>
      </c>
      <c r="E44" s="1411">
        <v>3486.8545416000002</v>
      </c>
      <c r="F44" s="1411">
        <v>6475.9487469840005</v>
      </c>
      <c r="G44" s="1411">
        <v>96.277655606320607</v>
      </c>
      <c r="H44" s="1411">
        <v>8421.7521954904714</v>
      </c>
      <c r="I44" s="1411">
        <v>347.51029326099825</v>
      </c>
      <c r="J44" s="1411">
        <v>2326.1964714767423</v>
      </c>
      <c r="K44" s="1411">
        <v>8.39150448</v>
      </c>
      <c r="L44" s="1411">
        <v>2451.8600024255784</v>
      </c>
      <c r="M44" s="1411">
        <v>5168.2047224255784</v>
      </c>
      <c r="N44" s="1411">
        <v>77.071274386957114</v>
      </c>
    </row>
    <row r="45" spans="3:14" x14ac:dyDescent="0.4">
      <c r="C45" s="232">
        <v>2019</v>
      </c>
      <c r="D45" s="1411">
        <v>27874.527678123417</v>
      </c>
      <c r="E45" s="1411">
        <v>5445.2749211999999</v>
      </c>
      <c r="F45" s="1411">
        <v>6466.8398184000007</v>
      </c>
      <c r="G45" s="1411">
        <v>168.12746812080002</v>
      </c>
      <c r="H45" s="1411">
        <v>8342.743770371475</v>
      </c>
      <c r="I45" s="1411">
        <v>374.01471889658228</v>
      </c>
      <c r="J45" s="1411">
        <v>2338.2137366690995</v>
      </c>
      <c r="K45" s="1411">
        <v>8.39150448</v>
      </c>
      <c r="L45" s="1411">
        <v>1860.0716473715215</v>
      </c>
      <c r="M45" s="1411">
        <v>4587.2399113715219</v>
      </c>
      <c r="N45" s="1411">
        <v>80.053611286303948</v>
      </c>
    </row>
    <row r="46" spans="3:14" x14ac:dyDescent="0.4">
      <c r="C46" s="232">
        <v>2020</v>
      </c>
      <c r="D46" s="1411">
        <v>29399.065428074711</v>
      </c>
      <c r="E46" s="1411">
        <v>6081.0246864000001</v>
      </c>
      <c r="F46" s="1411">
        <v>5253.9916104000004</v>
      </c>
      <c r="G46" s="1411">
        <v>253.70604859319999</v>
      </c>
      <c r="H46" s="1411">
        <v>8518.5437938115392</v>
      </c>
      <c r="I46" s="1411">
        <v>342.69193987785565</v>
      </c>
      <c r="J46" s="1411">
        <v>2523.6226068575356</v>
      </c>
      <c r="K46" s="1411">
        <v>8.39150448</v>
      </c>
      <c r="L46" s="1411">
        <v>2196.5698438143709</v>
      </c>
      <c r="M46" s="1411">
        <v>5012.7817318143707</v>
      </c>
      <c r="N46" s="1411">
        <v>129.66176746776497</v>
      </c>
    </row>
    <row r="47" spans="3:14" x14ac:dyDescent="0.4">
      <c r="C47" s="795">
        <v>2021</v>
      </c>
      <c r="D47" s="1412">
        <v>33107.583532485995</v>
      </c>
      <c r="E47" s="1412">
        <v>5766.224986799999</v>
      </c>
      <c r="F47" s="1412">
        <v>5663.8785528000008</v>
      </c>
      <c r="G47" s="1412">
        <v>296.32737512880004</v>
      </c>
      <c r="H47" s="1412">
        <v>8257.4138181448307</v>
      </c>
      <c r="I47" s="1412">
        <v>426.24978610108218</v>
      </c>
      <c r="J47" s="1412">
        <v>2489.3342583564713</v>
      </c>
      <c r="K47" s="1412">
        <v>8.39150448</v>
      </c>
      <c r="L47" s="1412">
        <v>2133.3025718154463</v>
      </c>
      <c r="M47" s="1412">
        <v>4885.0131878154461</v>
      </c>
      <c r="N47" s="1412">
        <v>131.55489925515607</v>
      </c>
    </row>
    <row r="48" spans="3:14" ht="17.45" customHeight="1" x14ac:dyDescent="0.4">
      <c r="C48" s="3091" t="s">
        <v>4788</v>
      </c>
      <c r="D48" s="3091"/>
      <c r="E48" s="3091"/>
      <c r="F48" s="3091"/>
      <c r="G48" s="3091"/>
      <c r="H48" s="3091"/>
      <c r="I48" s="3091"/>
      <c r="J48" s="3091"/>
      <c r="K48" s="3091"/>
      <c r="L48" s="3091"/>
      <c r="M48" s="3091"/>
      <c r="N48" s="3091"/>
    </row>
    <row r="49" spans="3:12" x14ac:dyDescent="0.4">
      <c r="C49" s="3092" t="s">
        <v>4789</v>
      </c>
      <c r="D49" s="3092"/>
      <c r="E49" s="3092"/>
      <c r="F49" s="3092"/>
      <c r="G49" s="3092"/>
      <c r="H49" s="3092"/>
      <c r="I49" s="3092"/>
      <c r="J49" s="3092"/>
      <c r="K49" s="3092"/>
      <c r="L49" s="3092"/>
    </row>
    <row r="50" spans="3:12" x14ac:dyDescent="0.4">
      <c r="C50" s="155"/>
      <c r="D50" s="155"/>
      <c r="E50" s="155"/>
      <c r="F50" s="155"/>
      <c r="G50" s="155"/>
      <c r="H50" s="155"/>
      <c r="I50" s="155"/>
      <c r="J50" s="155"/>
      <c r="K50" s="155"/>
      <c r="L50" s="155"/>
    </row>
  </sheetData>
  <mergeCells count="15">
    <mergeCell ref="A5:B5"/>
    <mergeCell ref="C5:S5"/>
    <mergeCell ref="C1:D1"/>
    <mergeCell ref="A3:B3"/>
    <mergeCell ref="C3:S3"/>
    <mergeCell ref="A4:B4"/>
    <mergeCell ref="C4:S4"/>
    <mergeCell ref="C48:N48"/>
    <mergeCell ref="C49:L49"/>
    <mergeCell ref="A6:B6"/>
    <mergeCell ref="C6:S6"/>
    <mergeCell ref="C24:H24"/>
    <mergeCell ref="C26:F26"/>
    <mergeCell ref="C34:N34"/>
    <mergeCell ref="C35:N35"/>
  </mergeCells>
  <hyperlinks>
    <hyperlink ref="A1" location="'ODS 7.'!A1" display="REGRESAR" xr:uid="{1A2E5B58-18A4-4FE1-A8B9-31E162B5FCCD}"/>
    <hyperlink ref="C1:D1" location="'Metadato 7.2.1 BCCR'!A1" display="VER METADATO" xr:uid="{CEDFA581-52EF-4CF0-8DFD-FC62A94B8AD4}"/>
  </hyperlinks>
  <pageMargins left="0.7" right="0.7" top="0.75" bottom="0.75" header="0.3" footer="0.3"/>
  <pageSetup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0CFD-1B56-488C-97E1-658EDDB8CECA}">
  <sheetPr>
    <tabColor theme="1" tint="0.499984740745262"/>
  </sheetPr>
  <dimension ref="A1:F4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8" width="11.42578125" style="243"/>
    <col min="9" max="9" width="8" style="243" customWidth="1"/>
    <col min="10" max="12" width="11.42578125" style="243"/>
    <col min="13" max="13" width="13.42578125" style="243" customWidth="1"/>
    <col min="14" max="16384" width="11.42578125" style="243"/>
  </cols>
  <sheetData>
    <row r="1" spans="1:6" x14ac:dyDescent="0.25">
      <c r="B1" s="223" t="s">
        <v>39</v>
      </c>
    </row>
    <row r="2" spans="1:6" ht="19.5" thickBot="1" x14ac:dyDescent="0.3"/>
    <row r="3" spans="1:6" ht="23.25" customHeight="1" thickBot="1" x14ac:dyDescent="0.3">
      <c r="B3" s="3084" t="s">
        <v>75</v>
      </c>
      <c r="C3" s="3084"/>
      <c r="D3" s="3084"/>
      <c r="F3" s="1046" t="s">
        <v>76</v>
      </c>
    </row>
    <row r="4" spans="1:6" ht="16.5" customHeight="1" x14ac:dyDescent="0.25">
      <c r="A4" s="1079"/>
      <c r="B4" s="2445" t="s">
        <v>234</v>
      </c>
      <c r="C4" s="2445"/>
      <c r="D4" s="49" t="s">
        <v>4698</v>
      </c>
    </row>
    <row r="5" spans="1:6" ht="37.5" x14ac:dyDescent="0.25">
      <c r="B5" s="2445" t="s">
        <v>79</v>
      </c>
      <c r="C5" s="2445"/>
      <c r="D5" s="49" t="s">
        <v>4685</v>
      </c>
    </row>
    <row r="6" spans="1:6" x14ac:dyDescent="0.25">
      <c r="B6" s="2445" t="s">
        <v>80</v>
      </c>
      <c r="C6" s="2445"/>
      <c r="D6" s="50" t="s">
        <v>4802</v>
      </c>
    </row>
    <row r="7" spans="1:6" ht="15" customHeight="1" x14ac:dyDescent="0.25">
      <c r="B7" s="2446" t="s">
        <v>81</v>
      </c>
      <c r="C7" s="2446"/>
      <c r="D7" s="93" t="s">
        <v>4803</v>
      </c>
    </row>
    <row r="8" spans="1:6" x14ac:dyDescent="0.25">
      <c r="B8" s="2446" t="s">
        <v>82</v>
      </c>
      <c r="C8" s="2446"/>
      <c r="D8" s="1047" t="s">
        <v>4760</v>
      </c>
    </row>
    <row r="9" spans="1:6" ht="23.25" customHeight="1" x14ac:dyDescent="0.4">
      <c r="B9" s="115"/>
      <c r="C9" s="115"/>
      <c r="D9" s="115"/>
    </row>
    <row r="10" spans="1:6" s="1401" customFormat="1" ht="20.25" customHeight="1" x14ac:dyDescent="0.25">
      <c r="B10" s="3084" t="s">
        <v>85</v>
      </c>
      <c r="C10" s="3084"/>
      <c r="D10" s="3084"/>
    </row>
    <row r="11" spans="1:6" ht="19.5" customHeight="1" x14ac:dyDescent="0.25">
      <c r="A11" s="1402"/>
      <c r="B11" s="2487" t="s">
        <v>86</v>
      </c>
      <c r="C11" s="2456"/>
      <c r="D11" s="49" t="s">
        <v>167</v>
      </c>
    </row>
    <row r="12" spans="1:6" ht="15" customHeight="1" x14ac:dyDescent="0.25">
      <c r="B12" s="2446" t="s">
        <v>88</v>
      </c>
      <c r="C12" s="2446"/>
      <c r="D12" s="184" t="s">
        <v>4804</v>
      </c>
    </row>
    <row r="13" spans="1:6" x14ac:dyDescent="0.25">
      <c r="B13" s="2445" t="s">
        <v>90</v>
      </c>
      <c r="C13" s="2445"/>
      <c r="D13" s="54" t="s">
        <v>4686</v>
      </c>
    </row>
    <row r="14" spans="1:6" x14ac:dyDescent="0.25">
      <c r="B14" s="2445" t="s">
        <v>91</v>
      </c>
      <c r="C14" s="2456"/>
      <c r="D14" s="54" t="s">
        <v>355</v>
      </c>
    </row>
    <row r="15" spans="1:6" ht="268.5" customHeight="1" x14ac:dyDescent="0.25">
      <c r="B15" s="2445" t="s">
        <v>93</v>
      </c>
      <c r="C15" s="2445"/>
      <c r="D15" s="50" t="s">
        <v>4805</v>
      </c>
    </row>
    <row r="16" spans="1:6" ht="246.6" customHeight="1" x14ac:dyDescent="0.25">
      <c r="B16" s="2445" t="s">
        <v>95</v>
      </c>
      <c r="C16" s="2445"/>
      <c r="D16" s="50" t="s">
        <v>4806</v>
      </c>
    </row>
    <row r="17" spans="2:4" ht="37.5" x14ac:dyDescent="0.25">
      <c r="B17" s="2445" t="s">
        <v>97</v>
      </c>
      <c r="C17" s="2445"/>
      <c r="D17" s="50" t="s">
        <v>4807</v>
      </c>
    </row>
    <row r="18" spans="2:4" ht="30" customHeight="1" x14ac:dyDescent="0.25">
      <c r="B18" s="2446" t="s">
        <v>99</v>
      </c>
      <c r="C18" s="2446"/>
      <c r="D18" s="49" t="s">
        <v>4808</v>
      </c>
    </row>
    <row r="19" spans="2:4" ht="37.5" x14ac:dyDescent="0.25">
      <c r="B19" s="2457" t="s">
        <v>100</v>
      </c>
      <c r="C19" s="2458"/>
      <c r="D19" s="55" t="s">
        <v>4809</v>
      </c>
    </row>
    <row r="20" spans="2:4" x14ac:dyDescent="0.25">
      <c r="B20" s="2445" t="s">
        <v>102</v>
      </c>
      <c r="C20" s="2445"/>
      <c r="D20" s="55" t="s">
        <v>103</v>
      </c>
    </row>
    <row r="21" spans="2:4" x14ac:dyDescent="0.25">
      <c r="B21" s="3093" t="s">
        <v>104</v>
      </c>
      <c r="C21" s="95" t="s">
        <v>105</v>
      </c>
      <c r="D21" s="49" t="s">
        <v>4810</v>
      </c>
    </row>
    <row r="22" spans="2:4" ht="18" customHeight="1" x14ac:dyDescent="0.25">
      <c r="B22" s="3094"/>
      <c r="C22" s="96" t="s">
        <v>107</v>
      </c>
      <c r="D22" s="55" t="s">
        <v>4810</v>
      </c>
    </row>
    <row r="23" spans="2:4" x14ac:dyDescent="0.25">
      <c r="B23" s="2445" t="s">
        <v>109</v>
      </c>
      <c r="C23" s="2445"/>
      <c r="D23" s="49" t="s">
        <v>110</v>
      </c>
    </row>
    <row r="24" spans="2:4" ht="37.5" x14ac:dyDescent="0.25">
      <c r="B24" s="2445" t="s">
        <v>111</v>
      </c>
      <c r="C24" s="2445"/>
      <c r="D24" s="50" t="s">
        <v>4811</v>
      </c>
    </row>
    <row r="25" spans="2:4" ht="15" customHeight="1" x14ac:dyDescent="0.25">
      <c r="B25" s="2445" t="s">
        <v>113</v>
      </c>
      <c r="C25" s="2445"/>
      <c r="D25" s="55" t="s">
        <v>1701</v>
      </c>
    </row>
    <row r="26" spans="2:4" ht="15" customHeight="1" x14ac:dyDescent="0.25">
      <c r="B26" s="2446" t="s">
        <v>115</v>
      </c>
      <c r="C26" s="2446"/>
      <c r="D26" s="50" t="s">
        <v>4812</v>
      </c>
    </row>
    <row r="27" spans="2:4" x14ac:dyDescent="0.25">
      <c r="B27" s="2447" t="s">
        <v>117</v>
      </c>
      <c r="C27" s="2448"/>
      <c r="D27" s="49"/>
    </row>
    <row r="28" spans="2:4" ht="116.1" customHeight="1" x14ac:dyDescent="0.25">
      <c r="B28" s="97" t="s">
        <v>118</v>
      </c>
      <c r="C28" s="98"/>
      <c r="D28" s="49" t="s">
        <v>4813</v>
      </c>
    </row>
    <row r="29" spans="2:4" x14ac:dyDescent="0.25">
      <c r="B29" s="2449" t="s">
        <v>120</v>
      </c>
      <c r="C29" s="2450"/>
      <c r="D29" s="62"/>
    </row>
    <row r="30" spans="2:4" ht="23.25" customHeight="1" x14ac:dyDescent="0.25">
      <c r="B30" s="63"/>
      <c r="C30" s="63"/>
      <c r="D30" s="64"/>
    </row>
    <row r="31" spans="2:4" ht="20.25" thickBot="1" x14ac:dyDescent="0.3">
      <c r="B31" s="3084" t="s">
        <v>121</v>
      </c>
      <c r="C31" s="3084"/>
      <c r="D31" s="3084"/>
    </row>
    <row r="32" spans="2:4" x14ac:dyDescent="0.25">
      <c r="B32" s="2885" t="s">
        <v>122</v>
      </c>
      <c r="C32" s="2886"/>
      <c r="D32" s="1287" t="s">
        <v>4814</v>
      </c>
    </row>
    <row r="33" spans="2:4" x14ac:dyDescent="0.25">
      <c r="B33" s="2882" t="s">
        <v>124</v>
      </c>
      <c r="C33" s="2448"/>
      <c r="D33" s="1288" t="s">
        <v>4815</v>
      </c>
    </row>
    <row r="34" spans="2:4" x14ac:dyDescent="0.25">
      <c r="B34" s="2882" t="s">
        <v>126</v>
      </c>
      <c r="C34" s="2448"/>
      <c r="D34" s="1288" t="s">
        <v>3388</v>
      </c>
    </row>
    <row r="35" spans="2:4" x14ac:dyDescent="0.25">
      <c r="B35" s="2882" t="s">
        <v>128</v>
      </c>
      <c r="C35" s="2448"/>
      <c r="D35" s="1288" t="s">
        <v>4816</v>
      </c>
    </row>
    <row r="36" spans="2:4" ht="19.5" thickBot="1" x14ac:dyDescent="0.3">
      <c r="B36" s="2883" t="s">
        <v>130</v>
      </c>
      <c r="C36" s="2884"/>
      <c r="D36" s="1289" t="s">
        <v>3397</v>
      </c>
    </row>
    <row r="37" spans="2:4" x14ac:dyDescent="0.25">
      <c r="B37" s="2885" t="s">
        <v>122</v>
      </c>
      <c r="C37" s="2886"/>
      <c r="D37" s="1287" t="s">
        <v>4817</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4818</v>
      </c>
    </row>
    <row r="41" spans="2:4" ht="19.5" thickBot="1" x14ac:dyDescent="0.3">
      <c r="B41" s="2883" t="s">
        <v>130</v>
      </c>
      <c r="C41" s="2884"/>
      <c r="D41" s="1289" t="s">
        <v>3393</v>
      </c>
    </row>
    <row r="42" spans="2:4" x14ac:dyDescent="0.25">
      <c r="B42" s="2885" t="s">
        <v>122</v>
      </c>
      <c r="C42" s="2886"/>
      <c r="D42" s="1287" t="s">
        <v>4819</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4820</v>
      </c>
    </row>
    <row r="46" spans="2:4" ht="19.5" thickBot="1" x14ac:dyDescent="0.3">
      <c r="B46" s="2883" t="s">
        <v>130</v>
      </c>
      <c r="C46" s="2884"/>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FB4162CF-6FF0-4CDA-9B16-095188CB4C69}">
      <formula1>Tipo_operación</formula1>
    </dataValidation>
    <dataValidation type="list" allowBlank="1" showInputMessage="1" showErrorMessage="1" sqref="D14" xr:uid="{0DBA12E8-6C1C-4374-9BC0-0C112FDB8E0E}">
      <formula1>Tipo_indicador</formula1>
    </dataValidation>
    <dataValidation type="list" allowBlank="1" showInputMessage="1" showErrorMessage="1" sqref="D7" xr:uid="{4D7C8952-3D6B-407A-ABB5-D44525D15A4A}">
      <formula1>Nombre_indicador_ODS</formula1>
    </dataValidation>
    <dataValidation type="list" allowBlank="1" showInputMessage="1" showErrorMessage="1" sqref="D6" xr:uid="{5BF3F0AE-93A4-4A1F-9A05-16E03BB69C8C}">
      <formula1>Numero_indicador</formula1>
    </dataValidation>
    <dataValidation type="list" allowBlank="1" showInputMessage="1" showErrorMessage="1" sqref="D5" xr:uid="{0468C554-A7AE-404A-9B76-466C2E48F864}">
      <formula1>Metas_ODS</formula1>
    </dataValidation>
    <dataValidation type="list" allowBlank="1" showInputMessage="1" showErrorMessage="1" sqref="D4" xr:uid="{439AFD00-FFD6-4508-9A08-560FD8300F0D}">
      <formula1>ODS</formula1>
    </dataValidation>
    <dataValidation allowBlank="1" showDropDown="1" showInputMessage="1" showErrorMessage="1" sqref="D13" xr:uid="{61B72FC7-D551-44AD-BB39-8347CC043ABB}"/>
  </dataValidations>
  <hyperlinks>
    <hyperlink ref="B1" location="'7.2.1 BCCR'!A1" display="REGRESAR" xr:uid="{36DFD29E-C806-4DB0-9EAE-B113F3AB3029}"/>
    <hyperlink ref="D8" r:id="rId1" xr:uid="{B4218C23-EDA8-4628-A756-51B12443C49E}"/>
    <hyperlink ref="D36" r:id="rId2" xr:uid="{36711D97-6C7F-45E8-B39A-A13A7DAE219E}"/>
    <hyperlink ref="D46" r:id="rId3" display="rodriguezzm@bccr.fi.cr" xr:uid="{2CB616C9-556A-47F7-BD86-1F872E8EC1EF}"/>
    <hyperlink ref="D41" r:id="rId4" display="alvaradoqi@bccr.fi.cr" xr:uid="{7C21E846-D8A6-408A-9E6A-EB1DD0884943}"/>
  </hyperlinks>
  <pageMargins left="0.7" right="0.7" top="0.75" bottom="0.75" header="0.3" footer="0.3"/>
  <pageSetup orientation="portrait" r:id="rId5"/>
  <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AAF2-F43F-4BDC-BD55-08677677A4AC}">
  <dimension ref="A1:S68"/>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42578125" style="115" customWidth="1"/>
    <col min="2" max="2" width="18.140625" style="115" customWidth="1"/>
    <col min="3" max="3" width="9.7109375" style="115" customWidth="1"/>
    <col min="4" max="4" width="13.7109375" style="115" customWidth="1"/>
    <col min="5" max="8" width="11.42578125" style="115"/>
    <col min="9" max="9" width="13.42578125" style="115" customWidth="1"/>
    <col min="10" max="10" width="11.42578125" style="115"/>
    <col min="11" max="11" width="13.42578125" style="115" customWidth="1"/>
    <col min="12" max="16384" width="11.42578125" style="115"/>
  </cols>
  <sheetData>
    <row r="1" spans="1:19" s="1032" customFormat="1" ht="19.5" x14ac:dyDescent="0.4">
      <c r="A1" s="15" t="s">
        <v>39</v>
      </c>
      <c r="C1" s="2421" t="s">
        <v>149</v>
      </c>
      <c r="D1" s="2421"/>
    </row>
    <row r="2" spans="1:19" s="1032" customFormat="1" ht="19.5" x14ac:dyDescent="0.4"/>
    <row r="3" spans="1:19" s="1032" customFormat="1" ht="19.5" x14ac:dyDescent="0.4">
      <c r="A3" s="3077" t="s">
        <v>41</v>
      </c>
      <c r="B3" s="3083"/>
      <c r="C3" s="3077" t="s">
        <v>4679</v>
      </c>
      <c r="D3" s="3086"/>
      <c r="E3" s="3086"/>
      <c r="F3" s="3086"/>
      <c r="G3" s="3086"/>
      <c r="H3" s="3086"/>
      <c r="I3" s="3086"/>
      <c r="J3" s="3086"/>
      <c r="K3" s="3086"/>
      <c r="L3" s="3086"/>
      <c r="M3" s="3086"/>
      <c r="N3" s="3086"/>
      <c r="O3" s="3086"/>
      <c r="P3" s="3086"/>
      <c r="Q3" s="3086"/>
      <c r="R3" s="3086"/>
      <c r="S3" s="3086"/>
    </row>
    <row r="4" spans="1:19" s="1032" customFormat="1" ht="19.5" x14ac:dyDescent="0.4">
      <c r="A4" s="3077" t="s">
        <v>42</v>
      </c>
      <c r="B4" s="3078"/>
      <c r="C4" s="3077" t="s">
        <v>4688</v>
      </c>
      <c r="D4" s="3086"/>
      <c r="E4" s="3086"/>
      <c r="F4" s="3086"/>
      <c r="G4" s="3086"/>
      <c r="H4" s="3086"/>
      <c r="I4" s="3086"/>
      <c r="J4" s="3086"/>
      <c r="K4" s="3086"/>
      <c r="L4" s="3086"/>
      <c r="M4" s="3086"/>
      <c r="N4" s="3086"/>
      <c r="O4" s="3086"/>
      <c r="P4" s="3086"/>
      <c r="Q4" s="3086"/>
      <c r="R4" s="3086"/>
      <c r="S4" s="3086"/>
    </row>
    <row r="5" spans="1:19" s="1032" customFormat="1" ht="21.6" customHeight="1" x14ac:dyDescent="0.4">
      <c r="A5" s="3077" t="s">
        <v>43</v>
      </c>
      <c r="B5" s="3078"/>
      <c r="C5" s="3077" t="s">
        <v>4690</v>
      </c>
      <c r="D5" s="3086"/>
      <c r="E5" s="3086"/>
      <c r="F5" s="3086"/>
      <c r="G5" s="3086"/>
      <c r="H5" s="3086"/>
      <c r="I5" s="3086"/>
      <c r="J5" s="3086"/>
      <c r="K5" s="3086"/>
      <c r="L5" s="3086"/>
      <c r="M5" s="3086"/>
      <c r="N5" s="3086"/>
      <c r="O5" s="3086"/>
      <c r="P5" s="3086"/>
      <c r="Q5" s="3086"/>
      <c r="R5" s="3086"/>
      <c r="S5" s="3086"/>
    </row>
    <row r="6" spans="1:19" s="1032" customFormat="1" ht="55.15" customHeight="1" x14ac:dyDescent="0.4">
      <c r="A6" s="3077" t="s">
        <v>132</v>
      </c>
      <c r="B6" s="3078"/>
      <c r="C6" s="3085" t="s">
        <v>4822</v>
      </c>
      <c r="D6" s="3086"/>
      <c r="E6" s="3086"/>
      <c r="F6" s="3086"/>
      <c r="G6" s="3086"/>
      <c r="H6" s="3086"/>
      <c r="I6" s="3086"/>
      <c r="J6" s="3086"/>
      <c r="K6" s="3086"/>
      <c r="L6" s="3086"/>
      <c r="M6" s="3086"/>
      <c r="N6" s="3086"/>
      <c r="O6" s="3086"/>
      <c r="P6" s="3086"/>
      <c r="Q6" s="3086"/>
      <c r="R6" s="3086"/>
      <c r="S6" s="3086"/>
    </row>
    <row r="7" spans="1:19" s="1032" customFormat="1" ht="19.5" x14ac:dyDescent="0.4"/>
    <row r="8" spans="1:19" s="1032" customFormat="1" ht="19.5" x14ac:dyDescent="0.4"/>
    <row r="9" spans="1:19" s="1032" customFormat="1" ht="52.15" customHeight="1" x14ac:dyDescent="0.4">
      <c r="C9" s="3096" t="s">
        <v>4823</v>
      </c>
      <c r="D9" s="3096"/>
      <c r="E9" s="3096"/>
      <c r="F9" s="3096"/>
      <c r="K9" s="532" t="s">
        <v>4824</v>
      </c>
    </row>
    <row r="10" spans="1:19" ht="112.5" x14ac:dyDescent="0.4">
      <c r="A10" s="536"/>
      <c r="C10" s="1413" t="s">
        <v>247</v>
      </c>
      <c r="D10" s="1414" t="s">
        <v>4825</v>
      </c>
      <c r="E10" s="1414" t="s">
        <v>4826</v>
      </c>
      <c r="F10" s="1414" t="s">
        <v>4827</v>
      </c>
    </row>
    <row r="11" spans="1:19" x14ac:dyDescent="0.4">
      <c r="A11" s="835"/>
      <c r="C11" s="1415">
        <v>1997</v>
      </c>
      <c r="D11" s="416">
        <v>6.3280556619103265</v>
      </c>
      <c r="E11" s="1416">
        <v>93055.222586018092</v>
      </c>
      <c r="F11" s="1416">
        <v>14705183.9550233</v>
      </c>
      <c r="H11" s="2812" t="s">
        <v>4828</v>
      </c>
      <c r="I11" s="2812"/>
    </row>
    <row r="12" spans="1:19" x14ac:dyDescent="0.4">
      <c r="A12" s="835"/>
      <c r="C12" s="1415">
        <v>1998</v>
      </c>
      <c r="D12" s="416">
        <v>6.4388761645849684</v>
      </c>
      <c r="E12" s="1416">
        <v>101459.85226234442</v>
      </c>
      <c r="F12" s="1416">
        <v>15757385.243777899</v>
      </c>
      <c r="H12" s="2812"/>
      <c r="I12" s="2812"/>
    </row>
    <row r="13" spans="1:19" x14ac:dyDescent="0.4">
      <c r="A13" s="536"/>
      <c r="C13" s="1415">
        <v>1999</v>
      </c>
      <c r="D13" s="416">
        <v>6.5196922172933665</v>
      </c>
      <c r="E13" s="1416">
        <v>107063.31662394578</v>
      </c>
      <c r="F13" s="1416">
        <v>16421529.277097199</v>
      </c>
      <c r="H13" s="2812"/>
      <c r="I13" s="2812"/>
    </row>
    <row r="14" spans="1:19" x14ac:dyDescent="0.4">
      <c r="A14" s="536"/>
      <c r="C14" s="1415">
        <v>2000</v>
      </c>
      <c r="D14" s="416">
        <v>6.3747038843279764</v>
      </c>
      <c r="E14" s="1416">
        <v>108732.25289000422</v>
      </c>
      <c r="F14" s="1416">
        <v>17056831.950629</v>
      </c>
      <c r="H14" s="2812"/>
      <c r="I14" s="2812"/>
    </row>
    <row r="15" spans="1:19" x14ac:dyDescent="0.4">
      <c r="A15" s="536"/>
      <c r="C15" s="1415">
        <v>2001</v>
      </c>
      <c r="D15" s="416">
        <v>6.3035685979512932</v>
      </c>
      <c r="E15" s="1416">
        <v>111272.57806675156</v>
      </c>
      <c r="F15" s="1416">
        <v>17652314.9288668</v>
      </c>
    </row>
    <row r="16" spans="1:19" x14ac:dyDescent="0.4">
      <c r="A16" s="536"/>
      <c r="C16" s="1415">
        <v>2002</v>
      </c>
      <c r="D16" s="416">
        <v>6.3181730698313254</v>
      </c>
      <c r="E16" s="1416">
        <v>115341.23605352253</v>
      </c>
      <c r="F16" s="1416">
        <v>18255472.710025299</v>
      </c>
    </row>
    <row r="17" spans="3:11" x14ac:dyDescent="0.4">
      <c r="C17" s="1415">
        <v>2003</v>
      </c>
      <c r="D17" s="416">
        <v>6.3663607040100256</v>
      </c>
      <c r="E17" s="1416">
        <v>121238.39042951258</v>
      </c>
      <c r="F17" s="1416">
        <v>19043594.302337799</v>
      </c>
    </row>
    <row r="18" spans="3:11" x14ac:dyDescent="0.4">
      <c r="C18" s="1415">
        <v>2004</v>
      </c>
      <c r="D18" s="416">
        <v>6.4045785722660113</v>
      </c>
      <c r="E18" s="1416">
        <v>127362.71182457119</v>
      </c>
      <c r="F18" s="1416">
        <v>19886197.099071398</v>
      </c>
    </row>
    <row r="19" spans="3:11" x14ac:dyDescent="0.4">
      <c r="C19" s="1415">
        <v>2005</v>
      </c>
      <c r="D19" s="416">
        <v>6.3944094929513362</v>
      </c>
      <c r="E19" s="1416">
        <v>132217.23584934071</v>
      </c>
      <c r="F19" s="1416">
        <v>20677004.811012801</v>
      </c>
    </row>
    <row r="20" spans="3:11" x14ac:dyDescent="0.4">
      <c r="C20" s="1415">
        <v>2006</v>
      </c>
      <c r="D20" s="416">
        <v>6.3374884525590289</v>
      </c>
      <c r="E20" s="1416">
        <v>140641.20137542998</v>
      </c>
      <c r="F20" s="1416">
        <v>22191945.978006501</v>
      </c>
    </row>
    <row r="21" spans="3:11" x14ac:dyDescent="0.4">
      <c r="C21" s="1415">
        <v>2007</v>
      </c>
      <c r="D21" s="416">
        <v>6.238376405675913</v>
      </c>
      <c r="E21" s="1416">
        <v>149814.88156141882</v>
      </c>
      <c r="F21" s="1416">
        <v>24015043.6297995</v>
      </c>
    </row>
    <row r="22" spans="3:11" x14ac:dyDescent="0.4">
      <c r="C22" s="1415">
        <v>2008</v>
      </c>
      <c r="D22" s="416">
        <v>5.9614056771870612</v>
      </c>
      <c r="E22" s="1416">
        <v>149946.75051175663</v>
      </c>
      <c r="F22" s="1416">
        <v>25152918.393990301</v>
      </c>
    </row>
    <row r="23" spans="3:11" x14ac:dyDescent="0.4">
      <c r="C23" s="1415">
        <v>2009</v>
      </c>
      <c r="D23" s="416">
        <v>5.8846862045063988</v>
      </c>
      <c r="E23" s="1416">
        <v>146724.16831483555</v>
      </c>
      <c r="F23" s="1416">
        <v>24933218.733477499</v>
      </c>
    </row>
    <row r="24" spans="3:11" x14ac:dyDescent="0.4">
      <c r="C24" s="1415">
        <v>2010</v>
      </c>
      <c r="D24" s="416">
        <v>5.6763020968138749</v>
      </c>
      <c r="E24" s="1416">
        <v>149114.89458773949</v>
      </c>
      <c r="F24" s="1416">
        <v>26269724.909715101</v>
      </c>
    </row>
    <row r="25" spans="3:11" x14ac:dyDescent="0.4">
      <c r="C25" s="1415">
        <v>2011</v>
      </c>
      <c r="D25" s="416">
        <v>5.4319651664239021</v>
      </c>
      <c r="E25" s="1416">
        <v>148979.37290543673</v>
      </c>
      <c r="F25" s="1416">
        <v>27426422.729348298</v>
      </c>
      <c r="K25" s="115" t="s">
        <v>4829</v>
      </c>
    </row>
    <row r="26" spans="3:11" x14ac:dyDescent="0.4">
      <c r="C26" s="1415">
        <v>2012</v>
      </c>
      <c r="D26" s="416">
        <v>5.2778797235281205</v>
      </c>
      <c r="E26" s="1416">
        <v>151821.07694101124</v>
      </c>
      <c r="F26" s="1416">
        <v>28765543.15253</v>
      </c>
    </row>
    <row r="27" spans="3:11" x14ac:dyDescent="0.4">
      <c r="C27" s="1415">
        <v>2013</v>
      </c>
      <c r="D27" s="416">
        <v>5.2111859503557136</v>
      </c>
      <c r="E27" s="1416">
        <v>153642.31344891168</v>
      </c>
      <c r="F27" s="1416">
        <v>29483176.173827399</v>
      </c>
    </row>
    <row r="28" spans="3:11" x14ac:dyDescent="0.4">
      <c r="C28" s="1415">
        <v>2014</v>
      </c>
      <c r="D28" s="416">
        <v>5.0891551708062481</v>
      </c>
      <c r="E28" s="1416">
        <v>155359.1980612106</v>
      </c>
      <c r="F28" s="1416">
        <v>30527502.669288401</v>
      </c>
    </row>
    <row r="29" spans="3:11" x14ac:dyDescent="0.4">
      <c r="C29" s="1415">
        <v>2015</v>
      </c>
      <c r="D29" s="416">
        <v>5.0816960960464002</v>
      </c>
      <c r="E29" s="1416">
        <v>160797.01879965491</v>
      </c>
      <c r="F29" s="1416">
        <v>31642391.784262002</v>
      </c>
    </row>
    <row r="30" spans="3:11" ht="12.75" customHeight="1" x14ac:dyDescent="0.4">
      <c r="C30" s="1415">
        <v>2016</v>
      </c>
      <c r="D30" s="416">
        <v>4.948110214309799</v>
      </c>
      <c r="E30" s="1416">
        <v>163152.75267373366</v>
      </c>
      <c r="F30" s="1416">
        <v>32972740.219468102</v>
      </c>
    </row>
    <row r="31" spans="3:11" x14ac:dyDescent="0.4">
      <c r="C31" s="1415">
        <v>2017</v>
      </c>
      <c r="D31" s="416">
        <v>4.8900242018318067</v>
      </c>
      <c r="E31" s="1416">
        <v>167941.26744246978</v>
      </c>
      <c r="F31" s="1416">
        <v>34343647.497605197</v>
      </c>
    </row>
    <row r="32" spans="3:11" x14ac:dyDescent="0.4">
      <c r="C32" s="1415">
        <v>2018</v>
      </c>
      <c r="D32" s="416">
        <v>4.7875623431365861</v>
      </c>
      <c r="E32" s="1416">
        <v>168723.4850721978</v>
      </c>
      <c r="F32" s="1416">
        <v>35242044.4851394</v>
      </c>
    </row>
    <row r="33" spans="3:11" x14ac:dyDescent="0.4">
      <c r="C33" s="1415">
        <v>2019</v>
      </c>
      <c r="D33" s="416">
        <v>4.6816123845030457</v>
      </c>
      <c r="E33" s="1416">
        <v>168978.23479893111</v>
      </c>
      <c r="F33" s="1416">
        <v>36094025.075266503</v>
      </c>
    </row>
    <row r="34" spans="3:11" x14ac:dyDescent="0.4">
      <c r="C34" s="1415">
        <v>2020</v>
      </c>
      <c r="D34" s="416">
        <v>4.3146120894174533</v>
      </c>
      <c r="E34" s="1416">
        <v>149423.16809975775</v>
      </c>
      <c r="F34" s="1416">
        <v>34631889.264448904</v>
      </c>
    </row>
    <row r="35" spans="3:11" x14ac:dyDescent="0.4">
      <c r="C35" s="1415">
        <v>2021</v>
      </c>
      <c r="D35" s="416">
        <v>4.4781879085600309</v>
      </c>
      <c r="E35" s="1416">
        <v>167128.99494263489</v>
      </c>
      <c r="F35" s="1416">
        <v>37320674.870111801</v>
      </c>
    </row>
    <row r="36" spans="3:11" ht="52.15" customHeight="1" x14ac:dyDescent="0.4">
      <c r="C36" s="3097" t="s">
        <v>4728</v>
      </c>
      <c r="D36" s="3097"/>
      <c r="E36" s="3097"/>
      <c r="F36" s="3097"/>
    </row>
    <row r="37" spans="3:11" ht="50.45" customHeight="1" x14ac:dyDescent="0.4">
      <c r="C37" s="3098" t="s">
        <v>4829</v>
      </c>
      <c r="D37" s="3098"/>
      <c r="E37" s="3098"/>
      <c r="F37" s="3098"/>
    </row>
    <row r="40" spans="3:11" ht="58.9" customHeight="1" x14ac:dyDescent="0.4">
      <c r="C40" s="3096" t="s">
        <v>4830</v>
      </c>
      <c r="D40" s="3096"/>
      <c r="E40" s="3096"/>
      <c r="F40" s="3096"/>
      <c r="G40" s="1032"/>
      <c r="H40" s="3096" t="s">
        <v>4831</v>
      </c>
      <c r="I40" s="3096"/>
      <c r="J40" s="3096"/>
      <c r="K40" s="3096"/>
    </row>
    <row r="41" spans="3:11" ht="66" customHeight="1" x14ac:dyDescent="0.4">
      <c r="C41" s="1413" t="s">
        <v>247</v>
      </c>
      <c r="D41" s="1414" t="s">
        <v>4832</v>
      </c>
      <c r="E41" s="1414" t="s">
        <v>4826</v>
      </c>
      <c r="F41" s="1414" t="s">
        <v>4833</v>
      </c>
      <c r="H41" s="1413" t="s">
        <v>247</v>
      </c>
      <c r="I41" s="1414" t="s">
        <v>4834</v>
      </c>
      <c r="J41" s="1414" t="s">
        <v>4826</v>
      </c>
      <c r="K41" s="1414" t="s">
        <v>4835</v>
      </c>
    </row>
    <row r="42" spans="3:11" x14ac:dyDescent="0.4">
      <c r="C42" s="1415">
        <v>1997</v>
      </c>
      <c r="D42" s="1417">
        <v>7.8075387729373058E-2</v>
      </c>
      <c r="E42" s="1416">
        <v>93055.222586018092</v>
      </c>
      <c r="F42" s="1416">
        <v>1191863.7267427801</v>
      </c>
      <c r="H42" s="1415">
        <v>1997</v>
      </c>
      <c r="I42" s="416">
        <v>7.6561913140840669</v>
      </c>
      <c r="J42" s="1416">
        <v>93055.222586018092</v>
      </c>
      <c r="K42" s="1416">
        <v>12154244.6849306</v>
      </c>
    </row>
    <row r="43" spans="3:11" x14ac:dyDescent="0.4">
      <c r="C43" s="1415">
        <v>1998</v>
      </c>
      <c r="D43" s="1417">
        <v>7.8532056387168578E-2</v>
      </c>
      <c r="E43" s="1416">
        <v>101459.85226234442</v>
      </c>
      <c r="F43" s="1416">
        <v>1291954.60974739</v>
      </c>
      <c r="H43" s="1415">
        <v>1998</v>
      </c>
      <c r="I43" s="416">
        <v>7.8043718292750244</v>
      </c>
      <c r="J43" s="1416">
        <v>101459.85226234442</v>
      </c>
      <c r="K43" s="1416">
        <v>13000386.7680622</v>
      </c>
    </row>
    <row r="44" spans="3:11" x14ac:dyDescent="0.4">
      <c r="C44" s="1415">
        <v>1999</v>
      </c>
      <c r="D44" s="1417">
        <v>7.6573256973662976E-2</v>
      </c>
      <c r="E44" s="1416">
        <v>107063.31662394578</v>
      </c>
      <c r="F44" s="1416">
        <v>1398181.5695885799</v>
      </c>
      <c r="H44" s="1415">
        <v>1999</v>
      </c>
      <c r="I44" s="416">
        <v>7.9229642316056923</v>
      </c>
      <c r="J44" s="1416">
        <v>107063.31662394578</v>
      </c>
      <c r="K44" s="1416">
        <v>13513037.986067999</v>
      </c>
    </row>
    <row r="45" spans="3:11" x14ac:dyDescent="0.4">
      <c r="C45" s="1415">
        <v>2000</v>
      </c>
      <c r="D45" s="1417">
        <v>7.6391227845064663E-2</v>
      </c>
      <c r="E45" s="1416">
        <v>108732.25289000422</v>
      </c>
      <c r="F45" s="1416">
        <v>1423360.4558697899</v>
      </c>
      <c r="H45" s="1415">
        <v>2000</v>
      </c>
      <c r="I45" s="416">
        <v>7.7494216155129809</v>
      </c>
      <c r="J45" s="1416">
        <v>108732.25289000422</v>
      </c>
      <c r="K45" s="1416">
        <v>14031015.253105</v>
      </c>
    </row>
    <row r="46" spans="3:11" x14ac:dyDescent="0.4">
      <c r="C46" s="1415">
        <v>2001</v>
      </c>
      <c r="D46" s="1417">
        <v>7.734343881712738E-2</v>
      </c>
      <c r="E46" s="1416">
        <v>111272.57806675156</v>
      </c>
      <c r="F46" s="1416">
        <v>1438681.54517731</v>
      </c>
      <c r="H46" s="1415">
        <v>2001</v>
      </c>
      <c r="I46" s="416">
        <v>7.6629977187637426</v>
      </c>
      <c r="J46" s="1416">
        <v>111272.57806675156</v>
      </c>
      <c r="K46" s="1416">
        <v>14520763.564145099</v>
      </c>
    </row>
    <row r="47" spans="3:11" x14ac:dyDescent="0.4">
      <c r="C47" s="1415">
        <v>2002</v>
      </c>
      <c r="D47" s="1417">
        <v>7.7910384070602398E-2</v>
      </c>
      <c r="E47" s="1416">
        <v>115341.23605352253</v>
      </c>
      <c r="F47" s="1416">
        <v>1480434.6998084399</v>
      </c>
      <c r="H47" s="1415">
        <v>2002</v>
      </c>
      <c r="I47" s="416">
        <v>7.6900559299885058</v>
      </c>
      <c r="J47" s="1416">
        <v>115341.23605352253</v>
      </c>
      <c r="K47" s="1416">
        <v>14998751.2579372</v>
      </c>
    </row>
    <row r="48" spans="3:11" x14ac:dyDescent="0.4">
      <c r="C48" s="1415">
        <v>2003</v>
      </c>
      <c r="D48" s="1417">
        <v>7.6964573916689955E-2</v>
      </c>
      <c r="E48" s="1416">
        <v>121238.39042951258</v>
      </c>
      <c r="F48" s="1416">
        <v>1575249.29015714</v>
      </c>
      <c r="H48" s="1415">
        <v>2003</v>
      </c>
      <c r="I48" s="416">
        <v>7.7532927111621843</v>
      </c>
      <c r="J48" s="1416">
        <v>121238.39042951258</v>
      </c>
      <c r="K48" s="1416">
        <v>15637019.643921001</v>
      </c>
    </row>
    <row r="49" spans="3:11" x14ac:dyDescent="0.4">
      <c r="C49" s="1415">
        <v>2004</v>
      </c>
      <c r="D49" s="1417">
        <v>7.7549240097626079E-2</v>
      </c>
      <c r="E49" s="1416">
        <v>127362.71182457119</v>
      </c>
      <c r="F49" s="1416">
        <v>1642346.35522199</v>
      </c>
      <c r="H49" s="1415">
        <v>2004</v>
      </c>
      <c r="I49" s="416">
        <v>7.806416888418525</v>
      </c>
      <c r="J49" s="1416">
        <v>127362.71182457119</v>
      </c>
      <c r="K49" s="1416">
        <v>16315130.698890099</v>
      </c>
    </row>
    <row r="50" spans="3:11" x14ac:dyDescent="0.4">
      <c r="C50" s="1415">
        <v>2005</v>
      </c>
      <c r="D50" s="1417">
        <v>7.6029692999241838E-2</v>
      </c>
      <c r="E50" s="1416">
        <v>132217.23584934071</v>
      </c>
      <c r="F50" s="1416">
        <v>1739021.04077494</v>
      </c>
      <c r="H50" s="1415">
        <v>2005</v>
      </c>
      <c r="I50" s="416">
        <v>7.8019602476954715</v>
      </c>
      <c r="J50" s="1416">
        <v>132217.23584934071</v>
      </c>
      <c r="K50" s="1416">
        <v>16946668.741153199</v>
      </c>
    </row>
    <row r="51" spans="3:11" x14ac:dyDescent="0.4">
      <c r="C51" s="1415">
        <v>2006</v>
      </c>
      <c r="D51" s="1417">
        <v>7.4346431270056051E-2</v>
      </c>
      <c r="E51" s="1416">
        <v>140641.20137542998</v>
      </c>
      <c r="F51" s="1416">
        <v>1891700.7712793199</v>
      </c>
      <c r="H51" s="1415">
        <v>2006</v>
      </c>
      <c r="I51" s="416">
        <v>7.7389243939454788</v>
      </c>
      <c r="J51" s="1416">
        <v>140641.20137542998</v>
      </c>
      <c r="K51" s="1416">
        <v>18173223.333911899</v>
      </c>
    </row>
    <row r="52" spans="3:11" x14ac:dyDescent="0.4">
      <c r="C52" s="1415">
        <v>2007</v>
      </c>
      <c r="D52" s="1417">
        <v>7.3373433185637993E-2</v>
      </c>
      <c r="E52" s="1416">
        <v>149814.88156141882</v>
      </c>
      <c r="F52" s="1416">
        <v>2041813.706364</v>
      </c>
      <c r="H52" s="1415">
        <v>2007</v>
      </c>
      <c r="I52" s="416">
        <v>7.6212219343105545</v>
      </c>
      <c r="J52" s="1416">
        <v>149814.88156141882</v>
      </c>
      <c r="K52" s="1416">
        <v>19657593.342998698</v>
      </c>
    </row>
    <row r="53" spans="3:11" x14ac:dyDescent="0.4">
      <c r="C53" s="1415">
        <v>2008</v>
      </c>
      <c r="D53" s="1417">
        <v>7.1485307351062927E-2</v>
      </c>
      <c r="E53" s="1416">
        <v>149946.75051175663</v>
      </c>
      <c r="F53" s="1416">
        <v>2097588.3865948999</v>
      </c>
      <c r="H53" s="1415">
        <v>2008</v>
      </c>
      <c r="I53" s="416">
        <v>7.289020081200019</v>
      </c>
      <c r="J53" s="1416">
        <v>149946.75051175663</v>
      </c>
      <c r="K53" s="1416">
        <v>20571592.455685802</v>
      </c>
    </row>
    <row r="54" spans="3:11" x14ac:dyDescent="0.4">
      <c r="C54" s="1415">
        <v>2009</v>
      </c>
      <c r="D54" s="1417">
        <v>7.0666759235111634E-2</v>
      </c>
      <c r="E54" s="1416">
        <v>146724.16831483555</v>
      </c>
      <c r="F54" s="1416">
        <v>2076282.6808949499</v>
      </c>
      <c r="H54" s="1415">
        <v>2009</v>
      </c>
      <c r="I54" s="416">
        <v>7.2022695333733742</v>
      </c>
      <c r="J54" s="1416">
        <v>146724.16831483555</v>
      </c>
      <c r="K54" s="1416">
        <v>20371935.212221</v>
      </c>
    </row>
    <row r="55" spans="3:11" x14ac:dyDescent="0.4">
      <c r="C55" s="1415">
        <v>2010</v>
      </c>
      <c r="D55" s="1417">
        <v>6.8428058865277239E-2</v>
      </c>
      <c r="E55" s="1416">
        <v>149114.89458773949</v>
      </c>
      <c r="F55" s="1416">
        <v>2179148.3941013198</v>
      </c>
      <c r="H55" s="1415">
        <v>2010</v>
      </c>
      <c r="I55" s="416">
        <v>6.9742672272101318</v>
      </c>
      <c r="J55" s="1416">
        <v>149114.89458773949</v>
      </c>
      <c r="K55" s="1416">
        <v>21380725.706346199</v>
      </c>
    </row>
    <row r="56" spans="3:11" x14ac:dyDescent="0.4">
      <c r="C56" s="1415">
        <v>2011</v>
      </c>
      <c r="D56" s="1417">
        <v>6.5415485976925605E-2</v>
      </c>
      <c r="E56" s="1416">
        <v>148979.37290543673</v>
      </c>
      <c r="F56" s="1416">
        <v>2277432.79256516</v>
      </c>
      <c r="H56" s="1415">
        <v>2011</v>
      </c>
      <c r="I56" s="416">
        <v>6.6802054879805333</v>
      </c>
      <c r="J56" s="1416">
        <v>148979.37290543673</v>
      </c>
      <c r="K56" s="1416">
        <v>22301615.298135702</v>
      </c>
    </row>
    <row r="57" spans="3:11" x14ac:dyDescent="0.4">
      <c r="C57" s="1415">
        <v>2012</v>
      </c>
      <c r="D57" s="1417">
        <v>6.3383077895667106E-2</v>
      </c>
      <c r="E57" s="1416">
        <v>151821.07694101124</v>
      </c>
      <c r="F57" s="1416">
        <v>2395293.5386148202</v>
      </c>
      <c r="H57" s="1415">
        <v>2012</v>
      </c>
      <c r="I57" s="416">
        <v>6.496018144213247</v>
      </c>
      <c r="J57" s="1416">
        <v>151821.07694101124</v>
      </c>
      <c r="K57" s="1416">
        <v>23371405.924451701</v>
      </c>
    </row>
    <row r="58" spans="3:11" x14ac:dyDescent="0.4">
      <c r="C58" s="1415">
        <v>2013</v>
      </c>
      <c r="D58" s="1417">
        <v>6.2011900445535173E-2</v>
      </c>
      <c r="E58" s="1416">
        <v>153642.31344891168</v>
      </c>
      <c r="F58" s="1416">
        <v>2477626.2676202799</v>
      </c>
      <c r="H58" s="1415">
        <v>2013</v>
      </c>
      <c r="I58" s="416">
        <v>6.4280888889401497</v>
      </c>
      <c r="J58" s="1416">
        <v>153642.31344891168</v>
      </c>
      <c r="K58" s="1416">
        <v>23901709.528824501</v>
      </c>
    </row>
    <row r="59" spans="3:11" x14ac:dyDescent="0.4">
      <c r="C59" s="1415">
        <v>2014</v>
      </c>
      <c r="D59" s="1417">
        <v>6.0583023488463991E-2</v>
      </c>
      <c r="E59" s="1416">
        <v>155359.1980612106</v>
      </c>
      <c r="F59" s="1416">
        <v>2564401.52893316</v>
      </c>
      <c r="H59" s="1415">
        <v>2014</v>
      </c>
      <c r="I59" s="416">
        <v>6.2791853047151438</v>
      </c>
      <c r="J59" s="1416">
        <v>155359.1980612106</v>
      </c>
      <c r="K59" s="1416">
        <v>24741935.541311201</v>
      </c>
    </row>
    <row r="60" spans="3:11" x14ac:dyDescent="0.4">
      <c r="C60" s="1415">
        <v>2015</v>
      </c>
      <c r="D60" s="1417">
        <v>6.097421310080068E-2</v>
      </c>
      <c r="E60" s="1416">
        <v>160797.01879965491</v>
      </c>
      <c r="F60" s="1416">
        <v>2637131.5121989399</v>
      </c>
      <c r="H60" s="1415">
        <v>2015</v>
      </c>
      <c r="I60" s="416">
        <v>6.2712132240172913</v>
      </c>
      <c r="J60" s="1416">
        <v>160797.01879965491</v>
      </c>
      <c r="K60" s="1416">
        <v>25640496.1935977</v>
      </c>
    </row>
    <row r="61" spans="3:11" x14ac:dyDescent="0.4">
      <c r="C61" s="1415">
        <v>2016</v>
      </c>
      <c r="D61" s="1417">
        <v>6.1520663613473213E-2</v>
      </c>
      <c r="E61" s="1416">
        <v>168975.03529842649</v>
      </c>
      <c r="F61" s="1416">
        <v>2746638.6962285698</v>
      </c>
      <c r="H61" s="1415">
        <v>2016</v>
      </c>
      <c r="I61" s="416">
        <v>6.3217419307668141</v>
      </c>
      <c r="J61" s="1416">
        <v>168975.03529842649</v>
      </c>
      <c r="K61" s="1416">
        <v>26729189.066711899</v>
      </c>
    </row>
    <row r="62" spans="3:11" x14ac:dyDescent="0.4">
      <c r="C62" s="1415">
        <v>2017</v>
      </c>
      <c r="D62" s="1417">
        <v>5.955639791936209E-2</v>
      </c>
      <c r="E62" s="1416">
        <v>170976.41181231887</v>
      </c>
      <c r="F62" s="1416">
        <v>2870831.9808699102</v>
      </c>
      <c r="H62" s="1415">
        <v>2017</v>
      </c>
      <c r="I62" s="416">
        <v>6.1864529488301763</v>
      </c>
      <c r="J62" s="1416">
        <v>170976.41181231887</v>
      </c>
      <c r="K62" s="1416">
        <v>27637228.186573301</v>
      </c>
    </row>
    <row r="63" spans="3:11" x14ac:dyDescent="0.4">
      <c r="C63" s="1418">
        <v>2018</v>
      </c>
      <c r="D63" s="1419" t="s">
        <v>4836</v>
      </c>
      <c r="E63" s="1420"/>
      <c r="F63" s="1420"/>
      <c r="H63" s="1415">
        <v>2018</v>
      </c>
      <c r="I63" s="416">
        <v>6.0388214575089094</v>
      </c>
      <c r="J63" s="1416">
        <v>171342.4868616809</v>
      </c>
      <c r="K63" s="1416">
        <v>28365188.622571599</v>
      </c>
    </row>
    <row r="64" spans="3:11" ht="10.5" customHeight="1" x14ac:dyDescent="0.4">
      <c r="C64" s="3099" t="s">
        <v>4837</v>
      </c>
      <c r="D64" s="3099"/>
      <c r="E64" s="3099"/>
      <c r="F64" s="3099"/>
      <c r="H64" s="1415">
        <v>2019</v>
      </c>
      <c r="I64" s="416">
        <v>5.9125574607819615</v>
      </c>
      <c r="J64" s="1416">
        <v>171389.28662462294</v>
      </c>
      <c r="K64" s="1416">
        <v>28987335.473938201</v>
      </c>
    </row>
    <row r="65" spans="3:11" ht="13.9" customHeight="1" x14ac:dyDescent="0.4">
      <c r="C65" s="3100" t="s">
        <v>4838</v>
      </c>
      <c r="D65" s="3100"/>
      <c r="E65" s="3100"/>
      <c r="F65" s="3100"/>
      <c r="H65" s="1415">
        <v>2020</v>
      </c>
      <c r="I65" s="1417" t="s">
        <v>4839</v>
      </c>
    </row>
    <row r="66" spans="3:11" x14ac:dyDescent="0.4">
      <c r="C66" s="3100"/>
      <c r="D66" s="3100"/>
      <c r="E66" s="3100"/>
      <c r="F66" s="3100"/>
    </row>
    <row r="67" spans="3:11" ht="24.6" customHeight="1" x14ac:dyDescent="0.4">
      <c r="C67" s="3100"/>
      <c r="D67" s="3100"/>
      <c r="E67" s="3100"/>
      <c r="F67" s="3100"/>
      <c r="H67" s="3099" t="s">
        <v>4840</v>
      </c>
      <c r="I67" s="3099"/>
      <c r="J67" s="3099"/>
      <c r="K67" s="3099"/>
    </row>
    <row r="68" spans="3:11" ht="35.450000000000003" customHeight="1" x14ac:dyDescent="0.4">
      <c r="H68" s="3095" t="s">
        <v>4838</v>
      </c>
      <c r="I68" s="3095"/>
      <c r="J68" s="3095"/>
      <c r="K68" s="3095"/>
    </row>
  </sheetData>
  <mergeCells count="19">
    <mergeCell ref="A5:B5"/>
    <mergeCell ref="C5:S5"/>
    <mergeCell ref="C1:D1"/>
    <mergeCell ref="A3:B3"/>
    <mergeCell ref="C3:S3"/>
    <mergeCell ref="A4:B4"/>
    <mergeCell ref="C4:S4"/>
    <mergeCell ref="H68:K68"/>
    <mergeCell ref="A6:B6"/>
    <mergeCell ref="C6:S6"/>
    <mergeCell ref="C9:F9"/>
    <mergeCell ref="H11:I14"/>
    <mergeCell ref="C36:F36"/>
    <mergeCell ref="C37:F37"/>
    <mergeCell ref="C40:F40"/>
    <mergeCell ref="H40:K40"/>
    <mergeCell ref="C64:F64"/>
    <mergeCell ref="C65:F67"/>
    <mergeCell ref="H67:K67"/>
  </mergeCells>
  <hyperlinks>
    <hyperlink ref="A1" location="'ODS 7.'!A1" display="REGRESAR" xr:uid="{44CEBFD0-5088-4F06-8870-01621C6D4468}"/>
    <hyperlink ref="C1:D1" location="'Metadato 7.3.1'!A1" display="VER METADATO" xr:uid="{C8335F9E-6CEB-4314-A9A8-95653719EE7D}"/>
    <hyperlink ref="H11:I14" location="'7.3.1 BCCR'!A1" display="Ver indicador 7.3.1, fuente Cuenta de Energía, BCCR" xr:uid="{C4EDCE24-BFE4-4FAD-AECB-5A081AD3CF9D}"/>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43C76-27A2-4699-995A-A5258C072AF0}">
  <dimension ref="A1:AC26"/>
  <sheetViews>
    <sheetView showGridLines="0" zoomScaleNormal="100" workbookViewId="0">
      <pane ySplit="1" topLeftCell="A2" activePane="bottomLeft" state="frozen"/>
      <selection activeCell="C1" sqref="C1"/>
      <selection pane="bottomLeft"/>
    </sheetView>
  </sheetViews>
  <sheetFormatPr baseColWidth="10" defaultColWidth="11.42578125" defaultRowHeight="12.75" x14ac:dyDescent="0.25"/>
  <cols>
    <col min="1" max="2" width="15.28515625" style="22" customWidth="1"/>
    <col min="3" max="8" width="8.28515625" style="22" customWidth="1"/>
    <col min="9" max="9" width="10.7109375" style="22" customWidth="1"/>
    <col min="10" max="10" width="10.42578125" style="22" customWidth="1"/>
    <col min="11" max="11" width="7" style="22" customWidth="1"/>
    <col min="12" max="12" width="3" style="22" customWidth="1"/>
    <col min="13" max="17" width="8.5703125" style="22" customWidth="1"/>
    <col min="18" max="18" width="9.7109375" style="22" customWidth="1"/>
    <col min="19" max="19" width="11.5703125" style="22" customWidth="1"/>
    <col min="20" max="20" width="7.7109375" style="22" customWidth="1"/>
    <col min="21" max="21" width="2.7109375" style="22" customWidth="1"/>
    <col min="22" max="26" width="8.5703125" style="22" customWidth="1"/>
    <col min="27" max="27" width="11.28515625" style="22" customWidth="1"/>
    <col min="28" max="28" width="10.5703125" style="22" customWidth="1"/>
    <col min="29" max="16384" width="11.42578125" style="22"/>
  </cols>
  <sheetData>
    <row r="1" spans="1:29" ht="19.5" x14ac:dyDescent="0.4">
      <c r="A1" s="15" t="s">
        <v>39</v>
      </c>
      <c r="B1" s="16"/>
      <c r="C1" s="2421" t="s">
        <v>149</v>
      </c>
      <c r="D1" s="2421"/>
      <c r="E1" s="16"/>
      <c r="F1" s="16"/>
      <c r="G1" s="16"/>
      <c r="H1" s="16"/>
      <c r="I1" s="16"/>
      <c r="J1" s="16"/>
      <c r="K1" s="16"/>
      <c r="L1" s="16"/>
      <c r="M1" s="16"/>
      <c r="N1" s="16"/>
      <c r="O1" s="16"/>
      <c r="P1" s="16"/>
      <c r="Q1" s="16"/>
      <c r="R1" s="16"/>
      <c r="S1" s="16"/>
      <c r="T1" s="16"/>
      <c r="U1" s="16"/>
      <c r="V1" s="16"/>
      <c r="W1" s="16"/>
    </row>
    <row r="2" spans="1:29" ht="19.5" x14ac:dyDescent="0.4">
      <c r="A2" s="16"/>
      <c r="B2" s="16"/>
      <c r="C2" s="16"/>
      <c r="D2" s="16"/>
      <c r="E2" s="16"/>
      <c r="F2" s="16"/>
      <c r="G2" s="16"/>
      <c r="H2" s="16"/>
      <c r="I2" s="16"/>
      <c r="J2" s="16"/>
      <c r="K2" s="16"/>
      <c r="L2" s="16"/>
      <c r="M2" s="16"/>
      <c r="N2" s="16"/>
      <c r="O2" s="16"/>
      <c r="P2" s="16"/>
      <c r="Q2" s="16"/>
      <c r="R2" s="16"/>
      <c r="S2" s="16"/>
      <c r="T2" s="16"/>
      <c r="U2" s="16"/>
      <c r="V2" s="16"/>
      <c r="W2" s="16"/>
    </row>
    <row r="3" spans="1:29" s="175" customFormat="1" ht="18.600000000000001" customHeight="1" x14ac:dyDescent="0.25">
      <c r="A3" s="2413" t="s">
        <v>41</v>
      </c>
      <c r="B3" s="2413"/>
      <c r="C3" s="2495" t="s">
        <v>2</v>
      </c>
      <c r="D3" s="2496"/>
      <c r="E3" s="2496"/>
      <c r="F3" s="2496"/>
      <c r="G3" s="2496"/>
      <c r="H3" s="2496"/>
      <c r="I3" s="2496"/>
      <c r="J3" s="2496"/>
      <c r="K3" s="2496"/>
      <c r="L3" s="2496"/>
      <c r="M3" s="2496"/>
      <c r="N3" s="2496"/>
      <c r="O3" s="2496"/>
      <c r="P3" s="2496"/>
      <c r="Q3" s="2496"/>
      <c r="R3" s="2496"/>
      <c r="S3" s="2496"/>
      <c r="T3" s="2496"/>
      <c r="U3" s="2496"/>
      <c r="V3" s="2496"/>
      <c r="W3" s="2496"/>
      <c r="X3" s="209"/>
      <c r="Y3" s="209"/>
      <c r="Z3" s="209"/>
      <c r="AA3" s="209"/>
      <c r="AB3" s="209"/>
    </row>
    <row r="4" spans="1:29" s="175" customFormat="1" ht="34.9" customHeight="1" x14ac:dyDescent="0.25">
      <c r="A4" s="2413" t="s">
        <v>42</v>
      </c>
      <c r="B4" s="2413"/>
      <c r="C4" s="2495" t="s">
        <v>22</v>
      </c>
      <c r="D4" s="2496"/>
      <c r="E4" s="2496"/>
      <c r="F4" s="2496"/>
      <c r="G4" s="2496"/>
      <c r="H4" s="2496"/>
      <c r="I4" s="2496"/>
      <c r="J4" s="2496"/>
      <c r="K4" s="2496"/>
      <c r="L4" s="2496"/>
      <c r="M4" s="2496"/>
      <c r="N4" s="2496"/>
      <c r="O4" s="2497"/>
      <c r="P4" s="2497"/>
      <c r="Q4" s="2497"/>
      <c r="R4" s="2497"/>
      <c r="S4" s="2497"/>
      <c r="T4" s="2497"/>
      <c r="U4" s="2497"/>
      <c r="V4" s="2497"/>
      <c r="W4" s="2497"/>
      <c r="X4" s="209"/>
      <c r="Y4" s="209"/>
      <c r="Z4" s="209"/>
      <c r="AA4" s="209"/>
      <c r="AB4" s="209"/>
    </row>
    <row r="5" spans="1:29" s="175" customFormat="1" ht="17.25" customHeight="1" x14ac:dyDescent="0.25">
      <c r="A5" s="2413" t="s">
        <v>43</v>
      </c>
      <c r="B5" s="2413"/>
      <c r="C5" s="2495" t="s">
        <v>30</v>
      </c>
      <c r="D5" s="2496"/>
      <c r="E5" s="2496"/>
      <c r="F5" s="2496"/>
      <c r="G5" s="2496"/>
      <c r="H5" s="2496"/>
      <c r="I5" s="2496"/>
      <c r="J5" s="2496"/>
      <c r="K5" s="2496"/>
      <c r="L5" s="2496"/>
      <c r="M5" s="2496"/>
      <c r="N5" s="2496"/>
      <c r="O5" s="2497"/>
      <c r="P5" s="2497"/>
      <c r="Q5" s="2497"/>
      <c r="R5" s="2497"/>
      <c r="S5" s="2497"/>
      <c r="T5" s="2497"/>
      <c r="U5" s="2497"/>
      <c r="V5" s="2497"/>
      <c r="W5" s="2497"/>
      <c r="X5" s="209"/>
      <c r="Y5" s="209"/>
      <c r="Z5" s="209"/>
      <c r="AA5" s="209"/>
      <c r="AB5" s="209"/>
    </row>
    <row r="6" spans="1:29" s="175" customFormat="1" ht="19.5" x14ac:dyDescent="0.25">
      <c r="A6" s="2413" t="s">
        <v>132</v>
      </c>
      <c r="B6" s="2413"/>
      <c r="C6" s="2495" t="s">
        <v>323</v>
      </c>
      <c r="D6" s="2496"/>
      <c r="E6" s="2496"/>
      <c r="F6" s="2496"/>
      <c r="G6" s="2496"/>
      <c r="H6" s="2496"/>
      <c r="I6" s="2496"/>
      <c r="J6" s="2496"/>
      <c r="K6" s="2496"/>
      <c r="L6" s="2496"/>
      <c r="M6" s="2496"/>
      <c r="N6" s="2496"/>
      <c r="O6" s="2497"/>
      <c r="P6" s="2497"/>
      <c r="Q6" s="2497"/>
      <c r="R6" s="2497"/>
      <c r="S6" s="2497"/>
      <c r="T6" s="2497"/>
      <c r="U6" s="2497"/>
      <c r="V6" s="2497"/>
      <c r="W6" s="2497"/>
      <c r="X6" s="209"/>
      <c r="Y6" s="209"/>
      <c r="Z6" s="209"/>
      <c r="AA6" s="209"/>
      <c r="AB6" s="209"/>
    </row>
    <row r="7" spans="1:29" ht="19.5" x14ac:dyDescent="0.4">
      <c r="A7" s="16"/>
      <c r="B7" s="16"/>
      <c r="C7" s="16"/>
      <c r="D7" s="16"/>
      <c r="E7" s="16"/>
      <c r="F7" s="16"/>
      <c r="G7" s="16"/>
      <c r="H7" s="16"/>
      <c r="I7" s="16"/>
      <c r="J7" s="16"/>
      <c r="K7" s="16"/>
      <c r="L7" s="16"/>
      <c r="M7" s="16"/>
      <c r="N7" s="16"/>
      <c r="O7" s="16"/>
      <c r="P7" s="16"/>
      <c r="Q7" s="16"/>
      <c r="R7" s="16"/>
      <c r="S7" s="16"/>
      <c r="T7" s="16"/>
      <c r="U7" s="16"/>
      <c r="V7" s="16"/>
      <c r="W7" s="16"/>
    </row>
    <row r="8" spans="1:29" ht="19.5" x14ac:dyDescent="0.4">
      <c r="A8" s="16"/>
      <c r="B8" s="16"/>
      <c r="C8" s="16"/>
      <c r="D8" s="16"/>
      <c r="E8" s="16"/>
      <c r="F8" s="16"/>
      <c r="G8" s="16"/>
      <c r="H8" s="16"/>
      <c r="I8" s="16"/>
      <c r="J8" s="16"/>
      <c r="K8" s="16"/>
      <c r="L8" s="16"/>
      <c r="M8" s="16"/>
      <c r="N8" s="16"/>
      <c r="O8" s="16"/>
      <c r="P8" s="16"/>
      <c r="Q8" s="16"/>
      <c r="R8" s="16"/>
      <c r="S8" s="16"/>
      <c r="T8" s="16"/>
      <c r="U8" s="16"/>
      <c r="V8" s="16"/>
      <c r="W8" s="16"/>
    </row>
    <row r="9" spans="1:29" ht="12.75" customHeight="1" x14ac:dyDescent="0.4">
      <c r="A9" s="217"/>
      <c r="B9" s="16"/>
      <c r="C9" s="163" t="s">
        <v>323</v>
      </c>
      <c r="D9" s="163"/>
      <c r="E9" s="163"/>
      <c r="F9" s="163"/>
      <c r="G9" s="163"/>
      <c r="H9" s="163"/>
      <c r="I9" s="163"/>
      <c r="J9" s="163"/>
      <c r="K9" s="163"/>
      <c r="L9" s="163"/>
      <c r="M9" s="163"/>
      <c r="N9" s="163"/>
      <c r="O9" s="163"/>
      <c r="P9" s="163"/>
      <c r="Q9" s="163"/>
      <c r="R9" s="163"/>
      <c r="S9" s="163"/>
      <c r="T9" s="163"/>
      <c r="U9" s="163"/>
      <c r="V9" s="163"/>
      <c r="W9" s="163"/>
      <c r="X9" s="225"/>
      <c r="Y9" s="225"/>
      <c r="Z9" s="225"/>
      <c r="AA9" s="225"/>
      <c r="AB9" s="225"/>
      <c r="AC9" s="225"/>
    </row>
    <row r="10" spans="1:29" ht="12.75" customHeight="1" x14ac:dyDescent="0.25">
      <c r="A10" s="23"/>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1:29" ht="32.25" customHeight="1" x14ac:dyDescent="0.25">
      <c r="A11" s="23"/>
      <c r="C11" s="2498" t="s">
        <v>247</v>
      </c>
      <c r="D11" s="2418" t="s">
        <v>324</v>
      </c>
      <c r="E11" s="2418"/>
      <c r="F11" s="2418"/>
      <c r="G11" s="2418"/>
      <c r="H11" s="2418"/>
      <c r="I11" s="2418"/>
      <c r="J11" s="2418"/>
      <c r="K11" s="2418"/>
      <c r="L11" s="227"/>
      <c r="M11" s="2418" t="s">
        <v>325</v>
      </c>
      <c r="N11" s="2418"/>
      <c r="O11" s="2418"/>
      <c r="P11" s="2418"/>
      <c r="Q11" s="2418"/>
      <c r="R11" s="2418"/>
      <c r="S11" s="2418"/>
      <c r="T11" s="2418"/>
      <c r="U11" s="26"/>
      <c r="V11" s="2418" t="s">
        <v>326</v>
      </c>
      <c r="W11" s="2418"/>
      <c r="X11" s="2418"/>
      <c r="Y11" s="2418"/>
      <c r="Z11" s="2418"/>
      <c r="AA11" s="2418"/>
      <c r="AB11" s="2418"/>
      <c r="AC11" s="2418"/>
    </row>
    <row r="12" spans="1:29" ht="21" customHeight="1" x14ac:dyDescent="0.25">
      <c r="A12" s="23"/>
      <c r="C12" s="2499"/>
      <c r="D12" s="190"/>
      <c r="E12" s="2417" t="s">
        <v>327</v>
      </c>
      <c r="F12" s="2417"/>
      <c r="G12" s="2417"/>
      <c r="H12" s="2417"/>
      <c r="I12" s="2417"/>
      <c r="J12" s="2417"/>
      <c r="K12" s="2417"/>
      <c r="L12" s="228"/>
      <c r="M12" s="27"/>
      <c r="N12" s="2417" t="s">
        <v>327</v>
      </c>
      <c r="O12" s="2417"/>
      <c r="P12" s="2417"/>
      <c r="Q12" s="2417"/>
      <c r="R12" s="2417"/>
      <c r="S12" s="2417"/>
      <c r="T12" s="2417"/>
      <c r="U12" s="2501"/>
      <c r="V12" s="27"/>
      <c r="W12" s="2417" t="s">
        <v>327</v>
      </c>
      <c r="X12" s="2417"/>
      <c r="Y12" s="2417"/>
      <c r="Z12" s="2417"/>
      <c r="AA12" s="2417"/>
      <c r="AB12" s="2417"/>
      <c r="AC12" s="2417"/>
    </row>
    <row r="13" spans="1:29" ht="24" customHeight="1" x14ac:dyDescent="0.25">
      <c r="A13" s="23"/>
      <c r="B13" s="229"/>
      <c r="C13" s="2500"/>
      <c r="D13" s="230" t="s">
        <v>47</v>
      </c>
      <c r="E13" s="230" t="s">
        <v>328</v>
      </c>
      <c r="F13" s="230" t="s">
        <v>329</v>
      </c>
      <c r="G13" s="230" t="s">
        <v>330</v>
      </c>
      <c r="H13" s="230" t="s">
        <v>331</v>
      </c>
      <c r="I13" s="230" t="s">
        <v>332</v>
      </c>
      <c r="J13" s="230" t="s">
        <v>333</v>
      </c>
      <c r="K13" s="230" t="s">
        <v>334</v>
      </c>
      <c r="L13" s="230"/>
      <c r="M13" s="230" t="s">
        <v>47</v>
      </c>
      <c r="N13" s="230" t="s">
        <v>328</v>
      </c>
      <c r="O13" s="230" t="s">
        <v>329</v>
      </c>
      <c r="P13" s="230" t="s">
        <v>330</v>
      </c>
      <c r="Q13" s="230" t="s">
        <v>331</v>
      </c>
      <c r="R13" s="230" t="s">
        <v>332</v>
      </c>
      <c r="S13" s="230" t="s">
        <v>333</v>
      </c>
      <c r="T13" s="230" t="s">
        <v>334</v>
      </c>
      <c r="U13" s="2417"/>
      <c r="V13" s="230" t="s">
        <v>47</v>
      </c>
      <c r="W13" s="230" t="s">
        <v>328</v>
      </c>
      <c r="X13" s="230" t="s">
        <v>329</v>
      </c>
      <c r="Y13" s="230" t="s">
        <v>330</v>
      </c>
      <c r="Z13" s="230" t="s">
        <v>331</v>
      </c>
      <c r="AA13" s="230" t="s">
        <v>332</v>
      </c>
      <c r="AB13" s="230" t="s">
        <v>333</v>
      </c>
      <c r="AC13" s="230" t="s">
        <v>334</v>
      </c>
    </row>
    <row r="14" spans="1:29" ht="18.75" x14ac:dyDescent="0.25">
      <c r="A14" s="23"/>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ht="18.75" x14ac:dyDescent="0.25">
      <c r="A15" s="23"/>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ht="18.75" x14ac:dyDescent="0.25">
      <c r="A16" s="23"/>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1:29" ht="18.75" x14ac:dyDescent="0.25">
      <c r="A17" s="23"/>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ht="18.75" x14ac:dyDescent="0.25">
      <c r="A18" s="23"/>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ht="18.75" x14ac:dyDescent="0.25">
      <c r="A19" s="23"/>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ht="18.75" x14ac:dyDescent="0.25">
      <c r="A20" s="23"/>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1:29" ht="18.75" x14ac:dyDescent="0.25">
      <c r="A21" s="23"/>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1:29" ht="18.75" x14ac:dyDescent="0.4">
      <c r="A22" s="23"/>
      <c r="C22" s="5" t="s">
        <v>335</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ht="18.75" x14ac:dyDescent="0.4">
      <c r="A23" s="23"/>
      <c r="C23" s="5" t="s">
        <v>336</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ht="18.75" x14ac:dyDescent="0.4">
      <c r="A24" s="23"/>
      <c r="C24" s="5" t="s">
        <v>337</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ht="18.75" x14ac:dyDescent="0.4">
      <c r="A25" s="23"/>
      <c r="C25" s="36" t="s">
        <v>338</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x14ac:dyDescent="0.25">
      <c r="A26" s="23"/>
    </row>
  </sheetData>
  <mergeCells count="17">
    <mergeCell ref="A5:B5"/>
    <mergeCell ref="C5:W5"/>
    <mergeCell ref="C1:D1"/>
    <mergeCell ref="A3:B3"/>
    <mergeCell ref="C3:W3"/>
    <mergeCell ref="A4:B4"/>
    <mergeCell ref="C4:W4"/>
    <mergeCell ref="A6:B6"/>
    <mergeCell ref="C6:W6"/>
    <mergeCell ref="C11:C13"/>
    <mergeCell ref="D11:K11"/>
    <mergeCell ref="M11:T11"/>
    <mergeCell ref="V11:AC11"/>
    <mergeCell ref="E12:K12"/>
    <mergeCell ref="N12:T12"/>
    <mergeCell ref="U12:U13"/>
    <mergeCell ref="W12:AC12"/>
  </mergeCells>
  <hyperlinks>
    <hyperlink ref="A1" location="'ODS 1.'!A1" display="REGRESAR" xr:uid="{4361A11B-CAB1-4D8A-8F07-B2750EA1B2C2}"/>
    <hyperlink ref="C1" location="'Metadato 1.5.4'!A1" display="VER METADATO" xr:uid="{AF322A4A-9D29-4E6C-941A-84135802995A}"/>
  </hyperlinks>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5F3D-AD71-4036-81ED-45D0C612D26A}">
  <sheetPr>
    <tabColor theme="0" tint="-0.499984740745262"/>
  </sheetPr>
  <dimension ref="A1:F38"/>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9.7109375" style="243" customWidth="1"/>
    <col min="2" max="2" width="26.42578125" style="243" customWidth="1"/>
    <col min="3" max="3" width="10.5703125" style="243" bestFit="1"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084" t="s">
        <v>75</v>
      </c>
      <c r="C3" s="3084"/>
      <c r="D3" s="3084"/>
      <c r="F3" s="1046" t="s">
        <v>76</v>
      </c>
    </row>
    <row r="4" spans="1:6" ht="18" customHeight="1" x14ac:dyDescent="0.25">
      <c r="A4" s="1079"/>
      <c r="B4" s="2445" t="s">
        <v>234</v>
      </c>
      <c r="C4" s="2445"/>
      <c r="D4" s="49" t="s">
        <v>4698</v>
      </c>
    </row>
    <row r="5" spans="1:6" x14ac:dyDescent="0.25">
      <c r="B5" s="2445" t="s">
        <v>79</v>
      </c>
      <c r="C5" s="2445"/>
      <c r="D5" s="49" t="s">
        <v>4688</v>
      </c>
    </row>
    <row r="6" spans="1:6" x14ac:dyDescent="0.25">
      <c r="B6" s="2445" t="s">
        <v>80</v>
      </c>
      <c r="C6" s="2445"/>
      <c r="D6" s="50" t="s">
        <v>4689</v>
      </c>
    </row>
    <row r="7" spans="1:6" ht="15" customHeight="1" x14ac:dyDescent="0.25">
      <c r="B7" s="2446" t="s">
        <v>81</v>
      </c>
      <c r="C7" s="2446"/>
      <c r="D7" s="93" t="s">
        <v>4690</v>
      </c>
    </row>
    <row r="8" spans="1:6" ht="15" customHeight="1" x14ac:dyDescent="0.25">
      <c r="B8" s="2446" t="s">
        <v>82</v>
      </c>
      <c r="C8" s="2446"/>
      <c r="D8" s="1047" t="s">
        <v>4841</v>
      </c>
    </row>
    <row r="9" spans="1:6" x14ac:dyDescent="0.4">
      <c r="B9" s="115"/>
      <c r="C9" s="115"/>
      <c r="D9" s="115"/>
    </row>
    <row r="10" spans="1:6" ht="23.25" customHeight="1" x14ac:dyDescent="0.25">
      <c r="B10" s="3084" t="s">
        <v>85</v>
      </c>
      <c r="C10" s="3084"/>
      <c r="D10" s="3084"/>
    </row>
    <row r="11" spans="1:6" x14ac:dyDescent="0.25">
      <c r="B11" s="2487" t="s">
        <v>86</v>
      </c>
      <c r="C11" s="2456"/>
      <c r="D11" s="49" t="s">
        <v>1754</v>
      </c>
    </row>
    <row r="12" spans="1:6" ht="15" customHeight="1" x14ac:dyDescent="0.25">
      <c r="B12" s="2446" t="s">
        <v>88</v>
      </c>
      <c r="C12" s="2446"/>
      <c r="D12" s="184" t="s">
        <v>4842</v>
      </c>
    </row>
    <row r="13" spans="1:6" x14ac:dyDescent="0.25">
      <c r="B13" s="2445" t="s">
        <v>90</v>
      </c>
      <c r="C13" s="2445"/>
      <c r="D13" s="54" t="s">
        <v>4689</v>
      </c>
    </row>
    <row r="14" spans="1:6" x14ac:dyDescent="0.25">
      <c r="B14" s="2445" t="s">
        <v>91</v>
      </c>
      <c r="C14" s="2456"/>
      <c r="D14" s="54" t="s">
        <v>214</v>
      </c>
    </row>
    <row r="15" spans="1:6" ht="204" customHeight="1" x14ac:dyDescent="0.25">
      <c r="B15" s="2445" t="s">
        <v>93</v>
      </c>
      <c r="C15" s="2445"/>
      <c r="D15" s="55" t="s">
        <v>4843</v>
      </c>
    </row>
    <row r="16" spans="1:6" ht="57.75" customHeight="1" x14ac:dyDescent="0.25">
      <c r="B16" s="2445" t="s">
        <v>95</v>
      </c>
      <c r="C16" s="2445"/>
      <c r="D16" s="55" t="s">
        <v>4844</v>
      </c>
    </row>
    <row r="17" spans="2:4" ht="93.75" x14ac:dyDescent="0.25">
      <c r="B17" s="2445" t="s">
        <v>97</v>
      </c>
      <c r="C17" s="2445"/>
      <c r="D17" s="55" t="s">
        <v>4845</v>
      </c>
    </row>
    <row r="18" spans="2:4" x14ac:dyDescent="0.25">
      <c r="B18" s="2446" t="s">
        <v>99</v>
      </c>
      <c r="C18" s="2446"/>
      <c r="D18" s="49"/>
    </row>
    <row r="19" spans="2:4" ht="34.5" customHeight="1" x14ac:dyDescent="0.25">
      <c r="B19" s="2457" t="s">
        <v>100</v>
      </c>
      <c r="C19" s="2458"/>
      <c r="D19" s="55" t="s">
        <v>4846</v>
      </c>
    </row>
    <row r="20" spans="2:4" x14ac:dyDescent="0.25">
      <c r="B20" s="2445" t="s">
        <v>102</v>
      </c>
      <c r="C20" s="2445"/>
      <c r="D20" s="55" t="s">
        <v>140</v>
      </c>
    </row>
    <row r="21" spans="2:4" x14ac:dyDescent="0.25">
      <c r="B21" s="2451" t="s">
        <v>104</v>
      </c>
      <c r="C21" s="95" t="s">
        <v>105</v>
      </c>
      <c r="D21" s="49"/>
    </row>
    <row r="22" spans="2:4" x14ac:dyDescent="0.25">
      <c r="B22" s="2452"/>
      <c r="C22" s="96" t="s">
        <v>107</v>
      </c>
      <c r="D22" s="55"/>
    </row>
    <row r="23" spans="2:4" x14ac:dyDescent="0.25">
      <c r="B23" s="2445" t="s">
        <v>109</v>
      </c>
      <c r="C23" s="2445"/>
      <c r="D23" s="55" t="s">
        <v>143</v>
      </c>
    </row>
    <row r="24" spans="2:4" x14ac:dyDescent="0.25">
      <c r="B24" s="2445" t="s">
        <v>111</v>
      </c>
      <c r="C24" s="2445"/>
      <c r="D24" s="50" t="s">
        <v>4847</v>
      </c>
    </row>
    <row r="25" spans="2:4" x14ac:dyDescent="0.25">
      <c r="B25" s="2445" t="s">
        <v>113</v>
      </c>
      <c r="C25" s="2445"/>
      <c r="D25" s="55" t="s">
        <v>1701</v>
      </c>
    </row>
    <row r="26" spans="2:4" ht="15" customHeight="1" x14ac:dyDescent="0.25">
      <c r="B26" s="2446" t="s">
        <v>115</v>
      </c>
      <c r="C26" s="2446"/>
      <c r="D26" s="50" t="s">
        <v>4848</v>
      </c>
    </row>
    <row r="27" spans="2:4" x14ac:dyDescent="0.25">
      <c r="B27" s="2447" t="s">
        <v>117</v>
      </c>
      <c r="C27" s="2448"/>
      <c r="D27" s="49"/>
    </row>
    <row r="28" spans="2:4" ht="123" customHeight="1" x14ac:dyDescent="0.25">
      <c r="B28" s="97" t="s">
        <v>118</v>
      </c>
      <c r="C28" s="98"/>
      <c r="D28" s="55" t="s">
        <v>4849</v>
      </c>
    </row>
    <row r="29" spans="2:4" x14ac:dyDescent="0.25">
      <c r="B29" s="2449" t="s">
        <v>120</v>
      </c>
      <c r="C29" s="2450"/>
      <c r="D29" s="62"/>
    </row>
    <row r="30" spans="2:4" x14ac:dyDescent="0.25">
      <c r="B30" s="63"/>
      <c r="C30" s="63"/>
      <c r="D30" s="64"/>
    </row>
    <row r="31" spans="2:4" ht="23.25" customHeight="1" x14ac:dyDescent="0.25">
      <c r="B31" s="3084" t="s">
        <v>121</v>
      </c>
      <c r="C31" s="3084"/>
      <c r="D31" s="3084"/>
    </row>
    <row r="32" spans="2:4" x14ac:dyDescent="0.25">
      <c r="B32" s="2447" t="s">
        <v>122</v>
      </c>
      <c r="C32" s="2448"/>
      <c r="D32" s="50" t="s">
        <v>4773</v>
      </c>
    </row>
    <row r="33" spans="2:4" x14ac:dyDescent="0.4">
      <c r="B33" s="2447" t="s">
        <v>124</v>
      </c>
      <c r="C33" s="2448"/>
      <c r="D33" s="245"/>
    </row>
    <row r="34" spans="2:4" x14ac:dyDescent="0.25">
      <c r="B34" s="2447" t="s">
        <v>126</v>
      </c>
      <c r="C34" s="2448"/>
      <c r="D34" s="50" t="s">
        <v>4850</v>
      </c>
    </row>
    <row r="35" spans="2:4" x14ac:dyDescent="0.25">
      <c r="B35" s="2447" t="s">
        <v>128</v>
      </c>
      <c r="C35" s="2448"/>
      <c r="D35" s="50" t="s">
        <v>4775</v>
      </c>
    </row>
    <row r="36" spans="2:4" x14ac:dyDescent="0.4">
      <c r="B36" s="2447" t="s">
        <v>130</v>
      </c>
      <c r="C36" s="2448"/>
      <c r="D36" s="1421" t="s">
        <v>4776</v>
      </c>
    </row>
    <row r="38" spans="2:4" x14ac:dyDescent="0.25">
      <c r="B38" s="243" t="s">
        <v>4851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B1C8CD8-9BFD-45E9-9AB4-DE65E8D2B55F}"/>
    <dataValidation type="list" allowBlank="1" showInputMessage="1" showErrorMessage="1" sqref="D4" xr:uid="{408CFEC4-86E1-4622-B53F-088742FDFAF2}">
      <formula1>ODS</formula1>
    </dataValidation>
    <dataValidation type="list" allowBlank="1" showInputMessage="1" showErrorMessage="1" sqref="D5" xr:uid="{1BE509A1-E267-4597-93B4-19B73FF01FBD}">
      <formula1>Metas_ODS</formula1>
    </dataValidation>
    <dataValidation type="list" allowBlank="1" showInputMessage="1" showErrorMessage="1" sqref="D6" xr:uid="{E69DB258-FCC4-4186-B27E-C461E8FAD1A3}">
      <formula1>Numero_indicador</formula1>
    </dataValidation>
    <dataValidation type="list" allowBlank="1" showInputMessage="1" showErrorMessage="1" sqref="D7" xr:uid="{4E937E07-055A-439C-B085-7FE728C076BB}">
      <formula1>Nombre_indicador_ODS</formula1>
    </dataValidation>
    <dataValidation type="list" allowBlank="1" showInputMessage="1" showErrorMessage="1" sqref="D14" xr:uid="{6AB3297A-78AF-43EA-8F1B-C6F7E51456A7}">
      <formula1>Tipo_indicador</formula1>
    </dataValidation>
    <dataValidation type="list" allowBlank="1" showInputMessage="1" showErrorMessage="1" sqref="D25" xr:uid="{49289F3B-323C-4C21-B99F-0CE226C837E0}">
      <formula1>Tipo_operación</formula1>
    </dataValidation>
  </dataValidations>
  <hyperlinks>
    <hyperlink ref="B1" location="'7.3.1'!A1" display="REGRESAR" xr:uid="{3C146332-E906-4105-8054-97D6FAEE1DF1}"/>
    <hyperlink ref="D8" r:id="rId1" xr:uid="{D704A0DA-1041-4F57-8EEF-76728F606291}"/>
    <hyperlink ref="D36" r:id="rId2" xr:uid="{2A73C163-55AE-4C65-B289-9639FCBF4176}"/>
  </hyperlinks>
  <pageMargins left="0.7" right="0.7" top="0.75" bottom="0.75" header="0.3" footer="0.3"/>
  <drawing r:id="rId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66719-1A83-49A4-8174-AA5C9306E1EB}">
  <dimension ref="A1:R45"/>
  <sheetViews>
    <sheetView showGridLines="0" workbookViewId="0">
      <pane ySplit="1" topLeftCell="A2" activePane="bottomLeft" state="frozen"/>
      <selection activeCell="F25" sqref="F25"/>
      <selection pane="bottomLeft" activeCell="F25" sqref="F25"/>
    </sheetView>
  </sheetViews>
  <sheetFormatPr baseColWidth="10" defaultColWidth="11.42578125" defaultRowHeight="18.75" x14ac:dyDescent="0.4"/>
  <cols>
    <col min="1" max="2" width="15.42578125" style="115" customWidth="1"/>
    <col min="3" max="3" width="9.7109375" style="115" customWidth="1"/>
    <col min="4" max="4" width="12" style="115" customWidth="1"/>
    <col min="5" max="16384" width="11.42578125" style="115"/>
  </cols>
  <sheetData>
    <row r="1" spans="1:18" x14ac:dyDescent="0.4">
      <c r="A1" s="90" t="s">
        <v>39</v>
      </c>
      <c r="C1" s="2541" t="s">
        <v>149</v>
      </c>
      <c r="D1" s="2541"/>
    </row>
    <row r="3" spans="1:18" x14ac:dyDescent="0.4">
      <c r="A3" s="3101" t="s">
        <v>41</v>
      </c>
      <c r="B3" s="3104"/>
      <c r="C3" s="3101" t="s">
        <v>4679</v>
      </c>
      <c r="D3" s="3103"/>
      <c r="E3" s="3103"/>
      <c r="F3" s="3103"/>
      <c r="G3" s="3103"/>
      <c r="H3" s="3103"/>
      <c r="I3" s="3103"/>
      <c r="J3" s="3103"/>
      <c r="K3" s="3103"/>
      <c r="L3" s="3103"/>
      <c r="M3" s="3103"/>
      <c r="N3" s="3103"/>
      <c r="O3" s="3103"/>
      <c r="P3" s="3103"/>
      <c r="Q3" s="3103"/>
      <c r="R3" s="3103"/>
    </row>
    <row r="4" spans="1:18" x14ac:dyDescent="0.4">
      <c r="A4" s="3101" t="s">
        <v>42</v>
      </c>
      <c r="B4" s="3102"/>
      <c r="C4" s="3101" t="s">
        <v>4852</v>
      </c>
      <c r="D4" s="3103"/>
      <c r="E4" s="3103"/>
      <c r="F4" s="3103"/>
      <c r="G4" s="3103"/>
      <c r="H4" s="3103"/>
      <c r="I4" s="3103"/>
      <c r="J4" s="3103"/>
      <c r="K4" s="3103"/>
      <c r="L4" s="3103"/>
      <c r="M4" s="3103"/>
      <c r="N4" s="3103"/>
      <c r="O4" s="3103"/>
      <c r="P4" s="3103"/>
      <c r="Q4" s="3103"/>
      <c r="R4" s="3103"/>
    </row>
    <row r="5" spans="1:18" x14ac:dyDescent="0.4">
      <c r="A5" s="3101" t="s">
        <v>43</v>
      </c>
      <c r="B5" s="3102"/>
      <c r="C5" s="3101" t="s">
        <v>4853</v>
      </c>
      <c r="D5" s="3103"/>
      <c r="E5" s="3103"/>
      <c r="F5" s="3103"/>
      <c r="G5" s="3103"/>
      <c r="H5" s="3103"/>
      <c r="I5" s="3103"/>
      <c r="J5" s="3103"/>
      <c r="K5" s="3103"/>
      <c r="L5" s="3103"/>
      <c r="M5" s="3103"/>
      <c r="N5" s="3103"/>
      <c r="O5" s="3103"/>
      <c r="P5" s="3103"/>
      <c r="Q5" s="3103"/>
      <c r="R5" s="3103"/>
    </row>
    <row r="6" spans="1:18" x14ac:dyDescent="0.4">
      <c r="A6" s="3101" t="s">
        <v>132</v>
      </c>
      <c r="B6" s="3102"/>
      <c r="C6" s="3101" t="s">
        <v>4854</v>
      </c>
      <c r="D6" s="3103"/>
      <c r="E6" s="3103"/>
      <c r="F6" s="3103"/>
      <c r="G6" s="3103"/>
      <c r="H6" s="3103"/>
      <c r="I6" s="3103"/>
      <c r="J6" s="3103"/>
      <c r="K6" s="3103"/>
      <c r="L6" s="3103"/>
      <c r="M6" s="3103"/>
      <c r="N6" s="3103"/>
      <c r="O6" s="3103"/>
      <c r="P6" s="3103"/>
      <c r="Q6" s="3103"/>
      <c r="R6" s="3103"/>
    </row>
    <row r="9" spans="1:18" ht="29.25" customHeight="1" x14ac:dyDescent="0.4">
      <c r="C9" s="2811" t="s">
        <v>4854</v>
      </c>
      <c r="D9" s="2811"/>
      <c r="E9" s="2811"/>
      <c r="F9" s="2811"/>
      <c r="M9" s="2812" t="s">
        <v>4855</v>
      </c>
      <c r="N9" s="2812"/>
      <c r="O9" s="2812"/>
    </row>
    <row r="10" spans="1:18" ht="16.149999999999999" customHeight="1" x14ac:dyDescent="0.4">
      <c r="C10" s="575"/>
      <c r="D10" s="575"/>
      <c r="E10" s="575"/>
      <c r="F10" s="575"/>
      <c r="M10" s="1422"/>
      <c r="N10" s="1422"/>
      <c r="O10" s="1422"/>
    </row>
    <row r="11" spans="1:18" ht="93.75" x14ac:dyDescent="0.4">
      <c r="C11" s="1380" t="s">
        <v>247</v>
      </c>
      <c r="D11" s="1380" t="s">
        <v>4856</v>
      </c>
      <c r="E11" s="1380" t="s">
        <v>4857</v>
      </c>
      <c r="F11" s="1380" t="s">
        <v>4858</v>
      </c>
    </row>
    <row r="12" spans="1:18" x14ac:dyDescent="0.4">
      <c r="C12" s="232">
        <v>2011</v>
      </c>
      <c r="D12" s="1423">
        <v>27426422.7173099</v>
      </c>
      <c r="E12" s="1423">
        <v>54364.336631745238</v>
      </c>
      <c r="F12" s="1424">
        <v>1.9821883878947785E-3</v>
      </c>
      <c r="G12" s="1425"/>
    </row>
    <row r="13" spans="1:18" x14ac:dyDescent="0.4">
      <c r="C13" s="232">
        <v>2012</v>
      </c>
      <c r="D13" s="1423">
        <v>28765543.151319001</v>
      </c>
      <c r="E13" s="1423">
        <v>55251.655576074561</v>
      </c>
      <c r="F13" s="1424">
        <v>1.9207582935398555E-3</v>
      </c>
      <c r="G13" s="1425"/>
    </row>
    <row r="14" spans="1:18" x14ac:dyDescent="0.4">
      <c r="C14" s="232">
        <v>2013</v>
      </c>
      <c r="D14" s="1423">
        <v>29483176.173827399</v>
      </c>
      <c r="E14" s="1423">
        <v>55183.509494904516</v>
      </c>
      <c r="F14" s="1424">
        <v>1.8716948665758624E-3</v>
      </c>
      <c r="G14" s="1425"/>
    </row>
    <row r="15" spans="1:18" x14ac:dyDescent="0.4">
      <c r="C15" s="232">
        <v>2014</v>
      </c>
      <c r="D15" s="1423">
        <v>30527502.669288401</v>
      </c>
      <c r="E15" s="1423">
        <v>55101.675669039767</v>
      </c>
      <c r="F15" s="1424">
        <v>1.8049847138159039E-3</v>
      </c>
      <c r="G15" s="1425"/>
    </row>
    <row r="16" spans="1:18" x14ac:dyDescent="0.4">
      <c r="C16" s="232">
        <v>2015</v>
      </c>
      <c r="D16" s="1423">
        <v>31642391.784262002</v>
      </c>
      <c r="E16" s="1423">
        <v>60249.837585993366</v>
      </c>
      <c r="F16" s="1424">
        <v>1.904086075312419E-3</v>
      </c>
      <c r="G16" s="1425"/>
    </row>
    <row r="17" spans="3:6" x14ac:dyDescent="0.4">
      <c r="C17" s="232">
        <v>2016</v>
      </c>
      <c r="D17" s="1423">
        <v>32972740.219468102</v>
      </c>
      <c r="E17" s="1423">
        <v>59586.969377260095</v>
      </c>
      <c r="F17" s="1424">
        <v>1.8071585491726328E-3</v>
      </c>
    </row>
    <row r="18" spans="3:6" x14ac:dyDescent="0.4">
      <c r="C18" s="232">
        <v>2017</v>
      </c>
      <c r="D18" s="1423">
        <v>34343647.497605197</v>
      </c>
      <c r="E18" s="1423">
        <v>55633.969358010196</v>
      </c>
      <c r="F18" s="1424">
        <v>1.6199202301354155E-3</v>
      </c>
    </row>
    <row r="19" spans="3:6" x14ac:dyDescent="0.4">
      <c r="C19" s="232">
        <v>2018</v>
      </c>
      <c r="D19" s="1423">
        <v>35242044.4851394</v>
      </c>
      <c r="E19" s="1423">
        <v>55491.872049414094</v>
      </c>
      <c r="F19" s="1424">
        <v>1.5745928722385415E-3</v>
      </c>
    </row>
    <row r="20" spans="3:6" x14ac:dyDescent="0.4">
      <c r="C20" s="232">
        <v>2019</v>
      </c>
      <c r="D20" s="1423">
        <v>36094025.075266503</v>
      </c>
      <c r="E20" s="1423">
        <v>53206.207965013571</v>
      </c>
      <c r="F20" s="1424">
        <v>1.4741001551936423E-3</v>
      </c>
    </row>
    <row r="21" spans="3:6" x14ac:dyDescent="0.4">
      <c r="C21" s="232">
        <v>2020</v>
      </c>
      <c r="D21" s="1423">
        <v>34551599.494875997</v>
      </c>
      <c r="E21" s="1423">
        <v>54340.702800305247</v>
      </c>
      <c r="F21" s="1424">
        <v>1.5727405849435125E-3</v>
      </c>
    </row>
    <row r="22" spans="3:6" x14ac:dyDescent="0.4">
      <c r="C22" s="795">
        <v>2021</v>
      </c>
      <c r="D22" s="1426">
        <v>37293532.283472203</v>
      </c>
      <c r="E22" s="1426">
        <v>58149.944065003394</v>
      </c>
      <c r="F22" s="1427">
        <v>1.5592501032886702E-3</v>
      </c>
    </row>
    <row r="23" spans="3:6" ht="17.45" customHeight="1" x14ac:dyDescent="0.4">
      <c r="C23" s="155" t="s">
        <v>4859</v>
      </c>
      <c r="D23" s="649"/>
      <c r="E23" s="649"/>
      <c r="F23" s="649"/>
    </row>
    <row r="24" spans="3:6" x14ac:dyDescent="0.4">
      <c r="C24" s="155" t="s">
        <v>4860</v>
      </c>
    </row>
    <row r="25" spans="3:6" ht="21.6" customHeight="1" x14ac:dyDescent="0.4">
      <c r="C25" s="155"/>
      <c r="D25" s="155"/>
      <c r="E25" s="155"/>
      <c r="F25" s="155"/>
    </row>
    <row r="26" spans="3:6" ht="21.6" customHeight="1" x14ac:dyDescent="0.4"/>
    <row r="27" spans="3:6" x14ac:dyDescent="0.4">
      <c r="C27" s="155"/>
      <c r="D27" s="155"/>
      <c r="E27" s="155"/>
      <c r="F27" s="155"/>
    </row>
    <row r="28" spans="3:6" x14ac:dyDescent="0.4">
      <c r="C28" s="155"/>
      <c r="D28" s="155"/>
      <c r="E28" s="155"/>
      <c r="F28" s="155"/>
    </row>
    <row r="29" spans="3:6" x14ac:dyDescent="0.4">
      <c r="C29" s="339" t="s">
        <v>4861</v>
      </c>
    </row>
    <row r="43" spans="3:7" x14ac:dyDescent="0.4">
      <c r="C43" s="155" t="s">
        <v>4862</v>
      </c>
      <c r="D43" s="155"/>
      <c r="E43" s="155"/>
      <c r="F43" s="155"/>
      <c r="G43" s="155"/>
    </row>
    <row r="44" spans="3:7" x14ac:dyDescent="0.4">
      <c r="C44" s="155" t="s">
        <v>4863</v>
      </c>
    </row>
    <row r="45" spans="3:7" x14ac:dyDescent="0.4">
      <c r="D45" s="155"/>
      <c r="E45" s="155"/>
      <c r="F45" s="155"/>
    </row>
  </sheetData>
  <mergeCells count="11">
    <mergeCell ref="A6:B6"/>
    <mergeCell ref="C6:R6"/>
    <mergeCell ref="C9:F9"/>
    <mergeCell ref="M9:O9"/>
    <mergeCell ref="C1:D1"/>
    <mergeCell ref="A3:B3"/>
    <mergeCell ref="C3:R3"/>
    <mergeCell ref="A4:B4"/>
    <mergeCell ref="C4:R4"/>
    <mergeCell ref="A5:B5"/>
    <mergeCell ref="C5:R5"/>
  </mergeCells>
  <hyperlinks>
    <hyperlink ref="A1" location="'ODS 7.'!A1" display="REGRESAR" xr:uid="{678E94C8-B8DA-4F61-890B-230E4420A71D}"/>
    <hyperlink ref="C1:D1" location="'Metadato 7.3.1 BCCR'!A1" display="VER METADATO" xr:uid="{72F988A8-4E2F-41E5-90AC-21094562564D}"/>
    <hyperlink ref="M9:O9" location="'7.3.1 BCCR ae'!A1" display="USO ENERGÉTICO PRIMARIO/VA POR ACTIVIDAD ECONÓMICA" xr:uid="{29F0A28E-256F-4E70-86DE-353ABFDA0B0E}"/>
  </hyperlinks>
  <pageMargins left="0.7" right="0.7" top="0.75" bottom="0.75" header="0.3" footer="0.3"/>
  <pageSetup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230D7-B7AB-40A5-910C-26F087114E39}">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2578125" defaultRowHeight="18.75" x14ac:dyDescent="0.25"/>
  <cols>
    <col min="1" max="1" width="9.7109375" style="243" customWidth="1"/>
    <col min="2" max="2" width="26.42578125" style="243" customWidth="1"/>
    <col min="3" max="3" width="10.5703125" style="243" bestFit="1"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084" t="s">
        <v>75</v>
      </c>
      <c r="C3" s="3084"/>
      <c r="D3" s="3084"/>
      <c r="F3" s="1046" t="s">
        <v>76</v>
      </c>
    </row>
    <row r="4" spans="1:6" ht="18" customHeight="1" x14ac:dyDescent="0.25">
      <c r="A4" s="1079"/>
      <c r="B4" s="2445" t="s">
        <v>234</v>
      </c>
      <c r="C4" s="2445"/>
      <c r="D4" s="49" t="s">
        <v>4698</v>
      </c>
    </row>
    <row r="5" spans="1:6" x14ac:dyDescent="0.25">
      <c r="B5" s="2445" t="s">
        <v>79</v>
      </c>
      <c r="C5" s="2445"/>
      <c r="D5" s="49" t="s">
        <v>4688</v>
      </c>
    </row>
    <row r="6" spans="1:6" x14ac:dyDescent="0.25">
      <c r="B6" s="2445" t="s">
        <v>80</v>
      </c>
      <c r="C6" s="2445"/>
      <c r="D6" s="50" t="s">
        <v>4864</v>
      </c>
    </row>
    <row r="7" spans="1:6" ht="15" customHeight="1" x14ac:dyDescent="0.25">
      <c r="B7" s="2446" t="s">
        <v>81</v>
      </c>
      <c r="C7" s="2446"/>
      <c r="D7" s="93" t="s">
        <v>4865</v>
      </c>
    </row>
    <row r="8" spans="1:6" x14ac:dyDescent="0.25">
      <c r="B8" s="2446" t="s">
        <v>82</v>
      </c>
      <c r="C8" s="2446"/>
      <c r="D8" s="1047" t="s">
        <v>4841</v>
      </c>
    </row>
    <row r="9" spans="1:6" x14ac:dyDescent="0.4">
      <c r="B9" s="115"/>
      <c r="C9" s="115"/>
      <c r="D9" s="115"/>
    </row>
    <row r="10" spans="1:6" ht="23.25" customHeight="1" x14ac:dyDescent="0.25">
      <c r="B10" s="3084" t="s">
        <v>85</v>
      </c>
      <c r="C10" s="3084"/>
      <c r="D10" s="3084"/>
    </row>
    <row r="11" spans="1:6" x14ac:dyDescent="0.25">
      <c r="B11" s="2487" t="s">
        <v>86</v>
      </c>
      <c r="C11" s="2456"/>
      <c r="D11" s="49" t="s">
        <v>1754</v>
      </c>
    </row>
    <row r="12" spans="1:6" ht="15" customHeight="1" x14ac:dyDescent="0.25">
      <c r="B12" s="2446" t="s">
        <v>88</v>
      </c>
      <c r="C12" s="2446"/>
      <c r="D12" s="184" t="s">
        <v>4866</v>
      </c>
    </row>
    <row r="13" spans="1:6" x14ac:dyDescent="0.25">
      <c r="B13" s="2445" t="s">
        <v>90</v>
      </c>
      <c r="C13" s="2445"/>
      <c r="D13" s="54" t="s">
        <v>4689</v>
      </c>
    </row>
    <row r="14" spans="1:6" x14ac:dyDescent="0.25">
      <c r="B14" s="2445" t="s">
        <v>91</v>
      </c>
      <c r="C14" s="2456"/>
      <c r="D14" s="54" t="s">
        <v>4867</v>
      </c>
    </row>
    <row r="15" spans="1:6" ht="409.5" x14ac:dyDescent="0.25">
      <c r="B15" s="2445" t="s">
        <v>93</v>
      </c>
      <c r="C15" s="2445"/>
      <c r="D15" s="55" t="s">
        <v>4868</v>
      </c>
    </row>
    <row r="16" spans="1:6" ht="262.5" x14ac:dyDescent="0.25">
      <c r="B16" s="2445" t="s">
        <v>95</v>
      </c>
      <c r="C16" s="2445"/>
      <c r="D16" s="55" t="s">
        <v>4869</v>
      </c>
    </row>
    <row r="17" spans="2:4" ht="93.75" x14ac:dyDescent="0.25">
      <c r="B17" s="2445" t="s">
        <v>97</v>
      </c>
      <c r="C17" s="2445"/>
      <c r="D17" s="55" t="s">
        <v>4870</v>
      </c>
    </row>
    <row r="18" spans="2:4" ht="56.25" x14ac:dyDescent="0.25">
      <c r="B18" s="2446" t="s">
        <v>99</v>
      </c>
      <c r="C18" s="2446"/>
      <c r="D18" s="49" t="s">
        <v>4871</v>
      </c>
    </row>
    <row r="19" spans="2:4" ht="34.5" customHeight="1" x14ac:dyDescent="0.25">
      <c r="B19" s="2457" t="s">
        <v>100</v>
      </c>
      <c r="C19" s="2458"/>
      <c r="D19" s="55" t="s">
        <v>4872</v>
      </c>
    </row>
    <row r="20" spans="2:4" x14ac:dyDescent="0.25">
      <c r="B20" s="2445" t="s">
        <v>102</v>
      </c>
      <c r="C20" s="2445"/>
      <c r="D20" s="55" t="s">
        <v>140</v>
      </c>
    </row>
    <row r="21" spans="2:4" x14ac:dyDescent="0.25">
      <c r="B21" s="2451" t="s">
        <v>104</v>
      </c>
      <c r="C21" s="95" t="s">
        <v>105</v>
      </c>
      <c r="D21" s="55" t="s">
        <v>4810</v>
      </c>
    </row>
    <row r="22" spans="2:4" x14ac:dyDescent="0.25">
      <c r="B22" s="2452"/>
      <c r="C22" s="96" t="s">
        <v>107</v>
      </c>
      <c r="D22" s="55" t="s">
        <v>4810</v>
      </c>
    </row>
    <row r="23" spans="2:4" x14ac:dyDescent="0.25">
      <c r="B23" s="2445" t="s">
        <v>109</v>
      </c>
      <c r="C23" s="2445"/>
      <c r="D23" s="49" t="s">
        <v>143</v>
      </c>
    </row>
    <row r="24" spans="2:4" ht="56.25" x14ac:dyDescent="0.25">
      <c r="B24" s="2445" t="s">
        <v>111</v>
      </c>
      <c r="C24" s="2445"/>
      <c r="D24" s="50" t="s">
        <v>4873</v>
      </c>
    </row>
    <row r="25" spans="2:4" x14ac:dyDescent="0.25">
      <c r="B25" s="2445" t="s">
        <v>113</v>
      </c>
      <c r="C25" s="2445"/>
      <c r="D25" s="55" t="s">
        <v>1701</v>
      </c>
    </row>
    <row r="26" spans="2:4" ht="37.5" x14ac:dyDescent="0.25">
      <c r="B26" s="2446" t="s">
        <v>115</v>
      </c>
      <c r="C26" s="2446"/>
      <c r="D26" s="50" t="s">
        <v>4874</v>
      </c>
    </row>
    <row r="27" spans="2:4" x14ac:dyDescent="0.25">
      <c r="B27" s="2447" t="s">
        <v>117</v>
      </c>
      <c r="C27" s="2448"/>
      <c r="D27" s="49"/>
    </row>
    <row r="28" spans="2:4" ht="131.25" x14ac:dyDescent="0.25">
      <c r="B28" s="97" t="s">
        <v>118</v>
      </c>
      <c r="C28" s="98"/>
      <c r="D28" s="55" t="s">
        <v>4875</v>
      </c>
    </row>
    <row r="29" spans="2:4" x14ac:dyDescent="0.25">
      <c r="B29" s="2449" t="s">
        <v>120</v>
      </c>
      <c r="C29" s="2450"/>
      <c r="D29" s="62"/>
    </row>
    <row r="30" spans="2:4" x14ac:dyDescent="0.25">
      <c r="B30" s="63"/>
      <c r="C30" s="63"/>
      <c r="D30" s="64"/>
    </row>
    <row r="31" spans="2:4" ht="23.25" customHeight="1" thickBot="1" x14ac:dyDescent="0.3">
      <c r="B31" s="3084" t="s">
        <v>121</v>
      </c>
      <c r="C31" s="3084"/>
      <c r="D31" s="3084"/>
    </row>
    <row r="32" spans="2:4" x14ac:dyDescent="0.25">
      <c r="B32" s="2885" t="s">
        <v>122</v>
      </c>
      <c r="C32" s="2886"/>
      <c r="D32" s="1287" t="s">
        <v>4814</v>
      </c>
    </row>
    <row r="33" spans="2:4" x14ac:dyDescent="0.25">
      <c r="B33" s="2882" t="s">
        <v>124</v>
      </c>
      <c r="C33" s="2448"/>
      <c r="D33" s="1288" t="s">
        <v>4815</v>
      </c>
    </row>
    <row r="34" spans="2:4" x14ac:dyDescent="0.25">
      <c r="B34" s="2882" t="s">
        <v>126</v>
      </c>
      <c r="C34" s="2448"/>
      <c r="D34" s="1288" t="s">
        <v>3388</v>
      </c>
    </row>
    <row r="35" spans="2:4" x14ac:dyDescent="0.25">
      <c r="B35" s="2882" t="s">
        <v>128</v>
      </c>
      <c r="C35" s="2448"/>
      <c r="D35" s="1288" t="s">
        <v>4816</v>
      </c>
    </row>
    <row r="36" spans="2:4" ht="19.5" thickBot="1" x14ac:dyDescent="0.3">
      <c r="B36" s="2883" t="s">
        <v>130</v>
      </c>
      <c r="C36" s="2884"/>
      <c r="D36" s="1289" t="s">
        <v>3397</v>
      </c>
    </row>
    <row r="37" spans="2:4" x14ac:dyDescent="0.25">
      <c r="B37" s="2885" t="s">
        <v>122</v>
      </c>
      <c r="C37" s="2886"/>
      <c r="D37" s="1287" t="s">
        <v>4817</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4818</v>
      </c>
    </row>
    <row r="41" spans="2:4" ht="19.5" thickBot="1" x14ac:dyDescent="0.3">
      <c r="B41" s="2883" t="s">
        <v>130</v>
      </c>
      <c r="C41" s="2884"/>
      <c r="D41" s="1289" t="s">
        <v>3393</v>
      </c>
    </row>
    <row r="42" spans="2:4" x14ac:dyDescent="0.25">
      <c r="B42" s="2885" t="s">
        <v>122</v>
      </c>
      <c r="C42" s="2886"/>
      <c r="D42" s="1287" t="s">
        <v>4819</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4820</v>
      </c>
    </row>
    <row r="46" spans="2:4" ht="19.5" thickBot="1" x14ac:dyDescent="0.3">
      <c r="B46" s="2883" t="s">
        <v>130</v>
      </c>
      <c r="C46" s="2884"/>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3" xr:uid="{42016994-FA2B-4B9F-B713-43B072967AA5}"/>
    <dataValidation type="list" allowBlank="1" showInputMessage="1" showErrorMessage="1" sqref="D4" xr:uid="{39EDBAE1-6567-476A-802A-BA7A35DAA346}">
      <formula1>ODS</formula1>
    </dataValidation>
    <dataValidation type="list" allowBlank="1" showInputMessage="1" showErrorMessage="1" sqref="D5" xr:uid="{8F6F053E-C793-46C6-A8E0-DA18F1D6384B}">
      <formula1>Metas_ODS</formula1>
    </dataValidation>
    <dataValidation type="list" allowBlank="1" showInputMessage="1" showErrorMessage="1" sqref="D6" xr:uid="{B9480397-10E1-460D-B988-7D858606F7E5}">
      <formula1>Numero_indicador</formula1>
    </dataValidation>
    <dataValidation type="list" allowBlank="1" showInputMessage="1" showErrorMessage="1" sqref="D7" xr:uid="{4479AD9A-62D6-4752-8828-916092A7C7A2}">
      <formula1>Nombre_indicador_ODS</formula1>
    </dataValidation>
    <dataValidation type="list" allowBlank="1" showInputMessage="1" showErrorMessage="1" sqref="D14" xr:uid="{4F17C7C0-2866-4A67-BD49-09133B51397D}">
      <formula1>Tipo_indicador</formula1>
    </dataValidation>
    <dataValidation type="list" allowBlank="1" showInputMessage="1" showErrorMessage="1" sqref="D25" xr:uid="{286FC216-1978-41B4-B9B9-632C53C62F5B}">
      <formula1>Tipo_operación</formula1>
    </dataValidation>
  </dataValidations>
  <hyperlinks>
    <hyperlink ref="B1" location="'7.3.1 BCCR'!A1" display="REGRESAR" xr:uid="{93165C87-5CC5-4DDF-A898-8C0364909D48}"/>
    <hyperlink ref="D8" r:id="rId1" xr:uid="{4182B9F7-C4F7-4EA6-85E8-957D1F19E3F4}"/>
    <hyperlink ref="D41" r:id="rId2" display="alvaradoqi@bccr.fi.cr" xr:uid="{9CE5AEBC-6745-4FAE-860A-552AF3402892}"/>
    <hyperlink ref="D36" r:id="rId3" xr:uid="{803CC552-C90B-492F-9E1F-8BDDBFD5B1C2}"/>
    <hyperlink ref="D46" r:id="rId4" xr:uid="{B680A810-CA90-4214-BB81-8E30505AEC14}"/>
  </hyperlinks>
  <pageMargins left="0.7" right="0.7" top="0.75" bottom="0.75" header="0.3" footer="0.3"/>
  <pageSetup orientation="portrait" r:id="rId5"/>
  <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995A-D94D-4539-805B-54CE2EC0E434}">
  <dimension ref="A1:R53"/>
  <sheetViews>
    <sheetView showGridLines="0" workbookViewId="0">
      <pane ySplit="1" topLeftCell="A2" activePane="bottomLeft" state="frozen"/>
      <selection activeCell="F25" sqref="F25"/>
      <selection pane="bottomLeft" activeCell="F25" sqref="F25"/>
    </sheetView>
  </sheetViews>
  <sheetFormatPr baseColWidth="10" defaultColWidth="11.42578125" defaultRowHeight="18.75" x14ac:dyDescent="0.4"/>
  <cols>
    <col min="1" max="2" width="15.42578125" style="115" customWidth="1"/>
    <col min="3" max="3" width="9.7109375" style="115" customWidth="1"/>
    <col min="4" max="4" width="15" style="115" customWidth="1"/>
    <col min="5" max="5" width="16.5703125" style="115" customWidth="1"/>
    <col min="6" max="6" width="18.28515625" style="115" customWidth="1"/>
    <col min="7" max="16384" width="11.42578125" style="115"/>
  </cols>
  <sheetData>
    <row r="1" spans="1:18" ht="19.5" x14ac:dyDescent="0.4">
      <c r="A1" s="15" t="s">
        <v>39</v>
      </c>
      <c r="B1" s="1032"/>
      <c r="C1" s="2421" t="s">
        <v>149</v>
      </c>
      <c r="D1" s="2421"/>
      <c r="E1" s="1032"/>
      <c r="F1" s="1032"/>
      <c r="G1" s="1032"/>
      <c r="H1" s="1032"/>
      <c r="I1" s="1032"/>
      <c r="J1" s="1032"/>
      <c r="K1" s="1032"/>
      <c r="L1" s="1032"/>
      <c r="M1" s="1032"/>
      <c r="N1" s="1032"/>
      <c r="O1" s="1032"/>
      <c r="P1" s="1032"/>
      <c r="Q1" s="1032"/>
      <c r="R1" s="1032"/>
    </row>
    <row r="2" spans="1:18" ht="19.5" x14ac:dyDescent="0.4">
      <c r="A2" s="1032"/>
      <c r="B2" s="1032"/>
      <c r="C2" s="1032"/>
      <c r="D2" s="1032"/>
      <c r="E2" s="1032"/>
      <c r="F2" s="1032"/>
      <c r="G2" s="1032"/>
      <c r="H2" s="1032"/>
      <c r="I2" s="1032"/>
      <c r="J2" s="1032"/>
      <c r="K2" s="1032"/>
      <c r="L2" s="1032"/>
      <c r="M2" s="1032"/>
      <c r="N2" s="1032"/>
      <c r="O2" s="1032"/>
      <c r="P2" s="1032"/>
      <c r="Q2" s="1032"/>
      <c r="R2" s="1032"/>
    </row>
    <row r="3" spans="1:18" ht="19.5" x14ac:dyDescent="0.4">
      <c r="A3" s="3077" t="s">
        <v>41</v>
      </c>
      <c r="B3" s="3083"/>
      <c r="C3" s="3077" t="s">
        <v>4679</v>
      </c>
      <c r="D3" s="3086"/>
      <c r="E3" s="3086"/>
      <c r="F3" s="3086"/>
      <c r="G3" s="3086"/>
      <c r="H3" s="3086"/>
      <c r="I3" s="3086"/>
      <c r="J3" s="3086"/>
      <c r="K3" s="3086"/>
      <c r="L3" s="3086"/>
      <c r="M3" s="3086"/>
      <c r="N3" s="3086"/>
      <c r="O3" s="3086"/>
      <c r="P3" s="3086"/>
      <c r="Q3" s="3086"/>
      <c r="R3" s="3086"/>
    </row>
    <row r="4" spans="1:18" ht="19.5" x14ac:dyDescent="0.4">
      <c r="A4" s="3077" t="s">
        <v>42</v>
      </c>
      <c r="B4" s="3078"/>
      <c r="C4" s="3077" t="s">
        <v>4852</v>
      </c>
      <c r="D4" s="3086"/>
      <c r="E4" s="3086"/>
      <c r="F4" s="3086"/>
      <c r="G4" s="3086"/>
      <c r="H4" s="3086"/>
      <c r="I4" s="3086"/>
      <c r="J4" s="3086"/>
      <c r="K4" s="3086"/>
      <c r="L4" s="3086"/>
      <c r="M4" s="3086"/>
      <c r="N4" s="3086"/>
      <c r="O4" s="3086"/>
      <c r="P4" s="3086"/>
      <c r="Q4" s="3086"/>
      <c r="R4" s="3086"/>
    </row>
    <row r="5" spans="1:18" ht="19.5" x14ac:dyDescent="0.4">
      <c r="A5" s="3077" t="s">
        <v>43</v>
      </c>
      <c r="B5" s="3078"/>
      <c r="C5" s="3077" t="s">
        <v>4853</v>
      </c>
      <c r="D5" s="3086"/>
      <c r="E5" s="3086"/>
      <c r="F5" s="3086"/>
      <c r="G5" s="3086"/>
      <c r="H5" s="3086"/>
      <c r="I5" s="3086"/>
      <c r="J5" s="3086"/>
      <c r="K5" s="3086"/>
      <c r="L5" s="3086"/>
      <c r="M5" s="3086"/>
      <c r="N5" s="3086"/>
      <c r="O5" s="3086"/>
      <c r="P5" s="3086"/>
      <c r="Q5" s="3086"/>
      <c r="R5" s="3086"/>
    </row>
    <row r="6" spans="1:18" ht="19.5" x14ac:dyDescent="0.4">
      <c r="A6" s="3077" t="s">
        <v>132</v>
      </c>
      <c r="B6" s="3078"/>
      <c r="C6" s="3077" t="s">
        <v>4876</v>
      </c>
      <c r="D6" s="3086"/>
      <c r="E6" s="3086"/>
      <c r="F6" s="3086"/>
      <c r="G6" s="3086"/>
      <c r="H6" s="3086"/>
      <c r="I6" s="3086"/>
      <c r="J6" s="3086"/>
      <c r="K6" s="3086"/>
      <c r="L6" s="3086"/>
      <c r="M6" s="3086"/>
      <c r="N6" s="3086"/>
      <c r="O6" s="3086"/>
      <c r="P6" s="3086"/>
      <c r="Q6" s="3086"/>
      <c r="R6" s="3086"/>
    </row>
    <row r="7" spans="1:18" ht="19.5" x14ac:dyDescent="0.4">
      <c r="A7" s="1032"/>
      <c r="B7" s="1032"/>
      <c r="C7" s="1032"/>
      <c r="D7" s="1032"/>
      <c r="E7" s="1032"/>
      <c r="F7" s="1032"/>
      <c r="G7" s="1032"/>
      <c r="H7" s="1032"/>
      <c r="I7" s="1032"/>
      <c r="J7" s="1032"/>
      <c r="K7" s="1032"/>
      <c r="L7" s="1032"/>
      <c r="M7" s="1032"/>
      <c r="N7" s="1032"/>
      <c r="O7" s="1032"/>
      <c r="P7" s="1032"/>
      <c r="Q7" s="1032"/>
      <c r="R7" s="1032"/>
    </row>
    <row r="8" spans="1:18" ht="19.5" x14ac:dyDescent="0.4">
      <c r="A8" s="1032"/>
      <c r="B8" s="1032"/>
      <c r="C8" s="1032"/>
      <c r="D8" s="1032"/>
      <c r="E8" s="1032"/>
      <c r="F8" s="1032"/>
      <c r="G8" s="1032"/>
      <c r="H8" s="1032"/>
      <c r="I8" s="1032"/>
      <c r="J8" s="1032"/>
      <c r="K8" s="1032"/>
      <c r="L8" s="1032"/>
      <c r="M8" s="1032"/>
      <c r="N8" s="1032"/>
      <c r="O8" s="1032"/>
      <c r="P8" s="1032"/>
      <c r="Q8" s="1032"/>
      <c r="R8" s="1032"/>
    </row>
    <row r="9" spans="1:18" ht="19.5" x14ac:dyDescent="0.4">
      <c r="A9" s="1032"/>
      <c r="B9" s="1032"/>
      <c r="C9" s="138" t="s">
        <v>4876</v>
      </c>
      <c r="D9" s="138"/>
      <c r="E9" s="138"/>
      <c r="F9" s="138"/>
      <c r="G9" s="1032"/>
      <c r="H9" s="1032"/>
      <c r="I9" s="1032"/>
      <c r="J9" s="1032"/>
      <c r="K9" s="1032"/>
      <c r="L9" s="1032"/>
      <c r="M9" s="1032"/>
      <c r="N9" s="1032"/>
      <c r="O9" s="1032"/>
      <c r="P9" s="1032"/>
      <c r="Q9" s="1032"/>
      <c r="R9" s="1032"/>
    </row>
    <row r="10" spans="1:18" x14ac:dyDescent="0.4">
      <c r="C10" s="226"/>
      <c r="D10" s="226"/>
      <c r="E10" s="226"/>
      <c r="F10" s="226"/>
    </row>
    <row r="11" spans="1:18" ht="12.75" customHeight="1" x14ac:dyDescent="0.4">
      <c r="C11" s="3105" t="s">
        <v>1674</v>
      </c>
      <c r="D11" s="3082" t="s">
        <v>4877</v>
      </c>
      <c r="E11" s="3082"/>
      <c r="F11" s="3082"/>
    </row>
    <row r="12" spans="1:18" ht="51" customHeight="1" x14ac:dyDescent="0.4">
      <c r="C12" s="3106"/>
      <c r="D12" s="1362" t="s">
        <v>4878</v>
      </c>
      <c r="E12" s="1362" t="s">
        <v>4879</v>
      </c>
      <c r="F12" s="1362" t="s">
        <v>4880</v>
      </c>
    </row>
    <row r="13" spans="1:18" x14ac:dyDescent="0.4">
      <c r="C13" s="232">
        <v>2011</v>
      </c>
      <c r="D13" s="1428">
        <v>4.7471682658045133E-3</v>
      </c>
      <c r="E13" s="1428">
        <v>3.5541036787140191E-2</v>
      </c>
      <c r="F13" s="1428">
        <v>1.1306473629573222E-3</v>
      </c>
    </row>
    <row r="14" spans="1:18" x14ac:dyDescent="0.4">
      <c r="C14" s="232">
        <v>2012</v>
      </c>
      <c r="D14" s="1428">
        <v>4.7942517887530215E-3</v>
      </c>
      <c r="E14" s="1428">
        <v>3.4684035702606482E-2</v>
      </c>
      <c r="F14" s="1428">
        <v>1.1421111559943289E-3</v>
      </c>
    </row>
    <row r="15" spans="1:18" x14ac:dyDescent="0.4">
      <c r="C15" s="232">
        <v>2013</v>
      </c>
      <c r="D15" s="1428">
        <v>5.2442267820480811E-3</v>
      </c>
      <c r="E15" s="1428">
        <v>3.8214565993557999E-2</v>
      </c>
      <c r="F15" s="1428">
        <v>1.0564149815272361E-3</v>
      </c>
    </row>
    <row r="16" spans="1:18" x14ac:dyDescent="0.4">
      <c r="C16" s="232">
        <v>2014</v>
      </c>
      <c r="D16" s="1428">
        <v>5.3881549035310972E-3</v>
      </c>
      <c r="E16" s="1428">
        <v>3.7456245742530973E-2</v>
      </c>
      <c r="F16" s="1428">
        <v>1.0170240723048119E-3</v>
      </c>
    </row>
    <row r="17" spans="3:16" x14ac:dyDescent="0.4">
      <c r="C17" s="232">
        <v>2015</v>
      </c>
      <c r="D17" s="1428">
        <v>5.4165408527281278E-3</v>
      </c>
      <c r="E17" s="1428">
        <v>4.1237163113274376E-2</v>
      </c>
      <c r="F17" s="1428">
        <v>1.0019684501167182E-3</v>
      </c>
    </row>
    <row r="18" spans="3:16" x14ac:dyDescent="0.4">
      <c r="C18" s="232">
        <v>2016</v>
      </c>
      <c r="D18" s="1428">
        <v>5.248521750960293E-3</v>
      </c>
      <c r="E18" s="1428">
        <v>3.9226346096076239E-2</v>
      </c>
      <c r="F18" s="1428">
        <v>1.0019525986550517E-3</v>
      </c>
    </row>
    <row r="19" spans="3:16" x14ac:dyDescent="0.4">
      <c r="C19" s="232">
        <v>2017</v>
      </c>
      <c r="D19" s="1429">
        <v>3.9963579068806321E-3</v>
      </c>
      <c r="E19" s="1429">
        <v>4.0866744087809811E-2</v>
      </c>
      <c r="F19" s="1429">
        <v>1.9337970151084627E-4</v>
      </c>
      <c r="G19" s="1063"/>
      <c r="H19" s="1063"/>
      <c r="I19" s="1063"/>
      <c r="J19" s="1063"/>
      <c r="K19" s="1063"/>
      <c r="L19" s="1063"/>
      <c r="M19" s="1063"/>
      <c r="N19" s="1063"/>
      <c r="O19" s="1063"/>
      <c r="P19" s="1063"/>
    </row>
    <row r="20" spans="3:16" x14ac:dyDescent="0.4">
      <c r="C20" s="232">
        <v>2018</v>
      </c>
      <c r="D20" s="1429">
        <v>3.6990355595363112E-3</v>
      </c>
      <c r="E20" s="1429">
        <v>4.1253248827127144E-2</v>
      </c>
      <c r="F20" s="1429">
        <v>1.9768683909271244E-4</v>
      </c>
      <c r="G20" s="1063"/>
      <c r="H20" s="1063"/>
      <c r="I20" s="1063"/>
      <c r="J20" s="1063"/>
      <c r="K20" s="1063"/>
      <c r="L20" s="1063"/>
      <c r="M20" s="1063"/>
      <c r="N20" s="1063"/>
      <c r="O20" s="1063"/>
      <c r="P20" s="1063"/>
    </row>
    <row r="21" spans="3:16" x14ac:dyDescent="0.4">
      <c r="C21" s="232">
        <v>2019</v>
      </c>
      <c r="D21" s="1429">
        <v>3.4443875164676474E-3</v>
      </c>
      <c r="E21" s="1429">
        <v>4.0595235576751286E-2</v>
      </c>
      <c r="F21" s="1429">
        <v>1.9674896580744778E-4</v>
      </c>
      <c r="G21" s="1063"/>
      <c r="H21" s="1063"/>
      <c r="I21" s="1063"/>
      <c r="J21" s="1063"/>
      <c r="K21" s="1063"/>
      <c r="L21" s="1063"/>
      <c r="M21" s="1063"/>
      <c r="N21" s="1063"/>
      <c r="O21" s="1063"/>
      <c r="P21" s="1063"/>
    </row>
    <row r="22" spans="3:16" x14ac:dyDescent="0.4">
      <c r="C22" s="232">
        <v>2020</v>
      </c>
      <c r="D22" s="1429">
        <v>3.5270744809292494E-3</v>
      </c>
      <c r="E22" s="1429">
        <v>3.8041841629423256E-2</v>
      </c>
      <c r="F22" s="1429">
        <v>2.7729494168408925E-4</v>
      </c>
      <c r="G22" s="1063"/>
      <c r="H22" s="1063"/>
      <c r="I22" s="1063"/>
      <c r="J22" s="1063"/>
      <c r="K22" s="1063"/>
      <c r="L22" s="1063"/>
      <c r="M22" s="1063"/>
      <c r="N22" s="1063"/>
      <c r="O22" s="1063"/>
      <c r="P22" s="1063"/>
    </row>
    <row r="23" spans="3:16" ht="18" customHeight="1" x14ac:dyDescent="0.4">
      <c r="C23" s="232">
        <v>2021</v>
      </c>
      <c r="D23" s="1429">
        <v>2.9353009058797216E-3</v>
      </c>
      <c r="E23" s="1429">
        <v>3.7615207254776475E-2</v>
      </c>
      <c r="F23" s="1429">
        <v>2.4893392797282972E-4</v>
      </c>
      <c r="G23" s="1063"/>
      <c r="H23" s="1063"/>
      <c r="I23" s="1063"/>
      <c r="J23" s="1063"/>
      <c r="K23" s="1063"/>
      <c r="L23" s="1063"/>
      <c r="M23" s="1063"/>
      <c r="N23" s="1063"/>
      <c r="O23" s="1063"/>
      <c r="P23" s="1063"/>
    </row>
    <row r="24" spans="3:16" ht="19.899999999999999" customHeight="1" x14ac:dyDescent="0.4">
      <c r="C24" s="3099" t="s">
        <v>4881</v>
      </c>
      <c r="D24" s="3099"/>
      <c r="E24" s="3099"/>
      <c r="F24" s="3099"/>
    </row>
    <row r="25" spans="3:16" x14ac:dyDescent="0.4">
      <c r="C25" s="2815" t="s">
        <v>4882</v>
      </c>
      <c r="D25" s="2815"/>
      <c r="E25" s="2815"/>
      <c r="F25" s="2815"/>
    </row>
    <row r="26" spans="3:16" x14ac:dyDescent="0.4">
      <c r="C26" s="2815" t="s">
        <v>4883</v>
      </c>
      <c r="D26" s="2815"/>
      <c r="E26" s="2815"/>
      <c r="F26" s="2815"/>
    </row>
    <row r="27" spans="3:16" x14ac:dyDescent="0.4">
      <c r="C27" s="545"/>
      <c r="D27" s="545"/>
      <c r="E27" s="545"/>
      <c r="F27" s="545"/>
    </row>
    <row r="28" spans="3:16" x14ac:dyDescent="0.4">
      <c r="C28" s="545"/>
      <c r="D28" s="545"/>
      <c r="E28" s="545"/>
      <c r="F28" s="545"/>
    </row>
    <row r="29" spans="3:16" x14ac:dyDescent="0.4">
      <c r="C29" s="545"/>
      <c r="D29" s="545"/>
      <c r="E29" s="545"/>
      <c r="F29" s="545"/>
    </row>
    <row r="30" spans="3:16" x14ac:dyDescent="0.4">
      <c r="C30" s="545"/>
      <c r="D30" s="545"/>
      <c r="E30" s="545"/>
      <c r="F30" s="545"/>
    </row>
    <row r="31" spans="3:16" ht="19.5" x14ac:dyDescent="0.4">
      <c r="C31" s="532" t="s">
        <v>4884</v>
      </c>
    </row>
    <row r="33" spans="3:3" x14ac:dyDescent="0.4">
      <c r="C33" s="339"/>
    </row>
    <row r="34" spans="3:3" x14ac:dyDescent="0.4">
      <c r="C34" s="339"/>
    </row>
    <row r="35" spans="3:3" x14ac:dyDescent="0.4">
      <c r="C35" s="339"/>
    </row>
    <row r="36" spans="3:3" x14ac:dyDescent="0.4">
      <c r="C36" s="339"/>
    </row>
    <row r="37" spans="3:3" x14ac:dyDescent="0.4">
      <c r="C37" s="339"/>
    </row>
    <row r="38" spans="3:3" x14ac:dyDescent="0.4">
      <c r="C38" s="339"/>
    </row>
    <row r="39" spans="3:3" x14ac:dyDescent="0.4">
      <c r="C39" s="339"/>
    </row>
    <row r="40" spans="3:3" x14ac:dyDescent="0.4">
      <c r="C40" s="339"/>
    </row>
    <row r="41" spans="3:3" x14ac:dyDescent="0.4">
      <c r="C41" s="339"/>
    </row>
    <row r="42" spans="3:3" x14ac:dyDescent="0.4">
      <c r="C42" s="339"/>
    </row>
    <row r="43" spans="3:3" x14ac:dyDescent="0.4">
      <c r="C43" s="339"/>
    </row>
    <row r="44" spans="3:3" x14ac:dyDescent="0.4">
      <c r="C44" s="339"/>
    </row>
    <row r="45" spans="3:3" x14ac:dyDescent="0.4">
      <c r="C45" s="339"/>
    </row>
    <row r="51" spans="3:7" x14ac:dyDescent="0.4">
      <c r="C51" s="5" t="s">
        <v>4885</v>
      </c>
    </row>
    <row r="52" spans="3:7" x14ac:dyDescent="0.4">
      <c r="C52" s="5" t="s">
        <v>4886</v>
      </c>
      <c r="D52" s="226"/>
      <c r="E52" s="226"/>
      <c r="F52" s="226"/>
      <c r="G52" s="226"/>
    </row>
    <row r="53" spans="3:7" x14ac:dyDescent="0.4">
      <c r="C53" s="5"/>
      <c r="D53" s="155"/>
      <c r="E53" s="155"/>
      <c r="F53" s="155"/>
    </row>
  </sheetData>
  <mergeCells count="14">
    <mergeCell ref="A5:B5"/>
    <mergeCell ref="C5:R5"/>
    <mergeCell ref="C1:D1"/>
    <mergeCell ref="A3:B3"/>
    <mergeCell ref="C3:R3"/>
    <mergeCell ref="A4:B4"/>
    <mergeCell ref="C4:R4"/>
    <mergeCell ref="C26:F26"/>
    <mergeCell ref="A6:B6"/>
    <mergeCell ref="C6:R6"/>
    <mergeCell ref="C11:C12"/>
    <mergeCell ref="D11:F11"/>
    <mergeCell ref="C24:F24"/>
    <mergeCell ref="C25:F25"/>
  </mergeCells>
  <hyperlinks>
    <hyperlink ref="A1" location="'7.3.1 BCCR'!A1" display="REGRESAR" xr:uid="{513C56B9-BD08-48F8-B7A0-79C6CD89F788}"/>
    <hyperlink ref="C1:D1" location="'Metadato 7.3.1 BCCR ae'!A1" display="VER METADATO" xr:uid="{CC2514DD-F74D-476D-8AB5-5ADEDF3B192C}"/>
  </hyperlinks>
  <pageMargins left="0.7" right="0.7" top="0.75" bottom="0.75" header="0.3" footer="0.3"/>
  <pageSetup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8257E-9AEB-4890-B69D-6D973A2AF93E}">
  <sheetPr>
    <tabColor theme="0" tint="-0.499984740745262"/>
  </sheetPr>
  <dimension ref="A1:F46"/>
  <sheetViews>
    <sheetView showGridLines="0" zoomScaleNormal="100" workbookViewId="0">
      <pane ySplit="1" topLeftCell="A2" activePane="bottomLeft" state="frozen"/>
      <selection activeCell="F25" sqref="F25"/>
      <selection pane="bottomLeft" activeCell="F25" sqref="F25"/>
    </sheetView>
  </sheetViews>
  <sheetFormatPr baseColWidth="10" defaultColWidth="11.42578125" defaultRowHeight="18.75" x14ac:dyDescent="0.25"/>
  <cols>
    <col min="1" max="1" width="9.7109375" style="243" customWidth="1"/>
    <col min="2" max="2" width="26.42578125" style="243" customWidth="1"/>
    <col min="3" max="3" width="10.5703125" style="243" bestFit="1"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084" t="s">
        <v>75</v>
      </c>
      <c r="C3" s="3084"/>
      <c r="D3" s="3084"/>
      <c r="F3" s="1046" t="s">
        <v>76</v>
      </c>
    </row>
    <row r="4" spans="1:6" ht="18" customHeight="1" x14ac:dyDescent="0.25">
      <c r="A4" s="1079"/>
      <c r="B4" s="2445" t="s">
        <v>234</v>
      </c>
      <c r="C4" s="2445"/>
      <c r="D4" s="49" t="s">
        <v>4698</v>
      </c>
    </row>
    <row r="5" spans="1:6" x14ac:dyDescent="0.25">
      <c r="B5" s="2445" t="s">
        <v>79</v>
      </c>
      <c r="C5" s="2445"/>
      <c r="D5" s="49" t="s">
        <v>4688</v>
      </c>
    </row>
    <row r="6" spans="1:6" x14ac:dyDescent="0.25">
      <c r="B6" s="2445" t="s">
        <v>80</v>
      </c>
      <c r="C6" s="2445"/>
      <c r="D6" s="50" t="s">
        <v>4864</v>
      </c>
    </row>
    <row r="7" spans="1:6" ht="15" customHeight="1" x14ac:dyDescent="0.25">
      <c r="B7" s="2446" t="s">
        <v>81</v>
      </c>
      <c r="C7" s="2446"/>
      <c r="D7" s="93" t="s">
        <v>4865</v>
      </c>
    </row>
    <row r="8" spans="1:6" x14ac:dyDescent="0.25">
      <c r="B8" s="2446" t="s">
        <v>82</v>
      </c>
      <c r="C8" s="2446"/>
      <c r="D8" s="1047" t="s">
        <v>4841</v>
      </c>
    </row>
    <row r="9" spans="1:6" x14ac:dyDescent="0.4">
      <c r="B9" s="115"/>
      <c r="C9" s="115"/>
      <c r="D9" s="115"/>
    </row>
    <row r="10" spans="1:6" ht="23.25" customHeight="1" x14ac:dyDescent="0.25">
      <c r="B10" s="3084" t="s">
        <v>85</v>
      </c>
      <c r="C10" s="3084"/>
      <c r="D10" s="3084"/>
    </row>
    <row r="11" spans="1:6" x14ac:dyDescent="0.25">
      <c r="B11" s="2487" t="s">
        <v>86</v>
      </c>
      <c r="C11" s="2456"/>
      <c r="D11" s="49" t="s">
        <v>1754</v>
      </c>
    </row>
    <row r="12" spans="1:6" ht="15" customHeight="1" x14ac:dyDescent="0.25">
      <c r="B12" s="2446" t="s">
        <v>88</v>
      </c>
      <c r="C12" s="2446"/>
      <c r="D12" s="184" t="s">
        <v>4866</v>
      </c>
    </row>
    <row r="13" spans="1:6" x14ac:dyDescent="0.25">
      <c r="B13" s="2445" t="s">
        <v>90</v>
      </c>
      <c r="C13" s="2445"/>
      <c r="D13" s="54" t="s">
        <v>4689</v>
      </c>
    </row>
    <row r="14" spans="1:6" x14ac:dyDescent="0.25">
      <c r="B14" s="2445" t="s">
        <v>91</v>
      </c>
      <c r="C14" s="2456"/>
      <c r="D14" s="54" t="s">
        <v>4867</v>
      </c>
    </row>
    <row r="15" spans="1:6" ht="409.5" x14ac:dyDescent="0.25">
      <c r="B15" s="2445" t="s">
        <v>93</v>
      </c>
      <c r="C15" s="2445"/>
      <c r="D15" s="55" t="s">
        <v>4887</v>
      </c>
    </row>
    <row r="16" spans="1:6" ht="281.25" x14ac:dyDescent="0.25">
      <c r="B16" s="2445" t="s">
        <v>95</v>
      </c>
      <c r="C16" s="2445"/>
      <c r="D16" s="55" t="s">
        <v>4888</v>
      </c>
    </row>
    <row r="17" spans="2:4" ht="93.75" x14ac:dyDescent="0.25">
      <c r="B17" s="2445" t="s">
        <v>97</v>
      </c>
      <c r="C17" s="2445"/>
      <c r="D17" s="55" t="s">
        <v>4889</v>
      </c>
    </row>
    <row r="18" spans="2:4" ht="93.75" x14ac:dyDescent="0.25">
      <c r="B18" s="2446" t="s">
        <v>99</v>
      </c>
      <c r="C18" s="2446"/>
      <c r="D18" s="49" t="s">
        <v>4890</v>
      </c>
    </row>
    <row r="19" spans="2:4" ht="34.5" customHeight="1" x14ac:dyDescent="0.25">
      <c r="B19" s="2457" t="s">
        <v>100</v>
      </c>
      <c r="C19" s="2458"/>
      <c r="D19" s="55" t="s">
        <v>4891</v>
      </c>
    </row>
    <row r="20" spans="2:4" x14ac:dyDescent="0.25">
      <c r="B20" s="2445" t="s">
        <v>102</v>
      </c>
      <c r="C20" s="2445"/>
      <c r="D20" s="55" t="s">
        <v>140</v>
      </c>
    </row>
    <row r="21" spans="2:4" x14ac:dyDescent="0.25">
      <c r="B21" s="2451" t="s">
        <v>104</v>
      </c>
      <c r="C21" s="95" t="s">
        <v>105</v>
      </c>
      <c r="D21" s="55" t="s">
        <v>4810</v>
      </c>
    </row>
    <row r="22" spans="2:4" x14ac:dyDescent="0.25">
      <c r="B22" s="2452"/>
      <c r="C22" s="96" t="s">
        <v>107</v>
      </c>
      <c r="D22" s="55" t="s">
        <v>4810</v>
      </c>
    </row>
    <row r="23" spans="2:4" x14ac:dyDescent="0.25">
      <c r="B23" s="2445" t="s">
        <v>109</v>
      </c>
      <c r="C23" s="2445"/>
      <c r="D23" s="49" t="s">
        <v>143</v>
      </c>
    </row>
    <row r="24" spans="2:4" ht="56.25" x14ac:dyDescent="0.25">
      <c r="B24" s="2445" t="s">
        <v>111</v>
      </c>
      <c r="C24" s="2445"/>
      <c r="D24" s="50" t="s">
        <v>4873</v>
      </c>
    </row>
    <row r="25" spans="2:4" x14ac:dyDescent="0.25">
      <c r="B25" s="2445" t="s">
        <v>113</v>
      </c>
      <c r="C25" s="2445"/>
      <c r="D25" s="55" t="s">
        <v>1701</v>
      </c>
    </row>
    <row r="26" spans="2:4" ht="37.5" x14ac:dyDescent="0.25">
      <c r="B26" s="2446" t="s">
        <v>115</v>
      </c>
      <c r="C26" s="2446"/>
      <c r="D26" s="50" t="s">
        <v>4874</v>
      </c>
    </row>
    <row r="27" spans="2:4" x14ac:dyDescent="0.25">
      <c r="B27" s="2447" t="s">
        <v>117</v>
      </c>
      <c r="C27" s="2448"/>
      <c r="D27" s="49"/>
    </row>
    <row r="28" spans="2:4" ht="131.25" x14ac:dyDescent="0.25">
      <c r="B28" s="97" t="s">
        <v>118</v>
      </c>
      <c r="C28" s="98"/>
      <c r="D28" s="55" t="s">
        <v>4875</v>
      </c>
    </row>
    <row r="29" spans="2:4" x14ac:dyDescent="0.25">
      <c r="B29" s="2449" t="s">
        <v>120</v>
      </c>
      <c r="C29" s="2450"/>
      <c r="D29" s="62"/>
    </row>
    <row r="30" spans="2:4" x14ac:dyDescent="0.25">
      <c r="B30" s="63"/>
      <c r="C30" s="63"/>
      <c r="D30" s="64"/>
    </row>
    <row r="31" spans="2:4" ht="23.25" customHeight="1" thickBot="1" x14ac:dyDescent="0.3">
      <c r="B31" s="3084" t="s">
        <v>121</v>
      </c>
      <c r="C31" s="3084"/>
      <c r="D31" s="3084"/>
    </row>
    <row r="32" spans="2:4" x14ac:dyDescent="0.25">
      <c r="B32" s="2885" t="s">
        <v>122</v>
      </c>
      <c r="C32" s="2886"/>
      <c r="D32" s="1430" t="s">
        <v>4814</v>
      </c>
    </row>
    <row r="33" spans="2:4" x14ac:dyDescent="0.25">
      <c r="B33" s="2882" t="s">
        <v>124</v>
      </c>
      <c r="C33" s="2448"/>
      <c r="D33" s="1431" t="s">
        <v>4815</v>
      </c>
    </row>
    <row r="34" spans="2:4" x14ac:dyDescent="0.25">
      <c r="B34" s="2882" t="s">
        <v>126</v>
      </c>
      <c r="C34" s="2448"/>
      <c r="D34" s="1431" t="s">
        <v>3388</v>
      </c>
    </row>
    <row r="35" spans="2:4" x14ac:dyDescent="0.25">
      <c r="B35" s="2882" t="s">
        <v>128</v>
      </c>
      <c r="C35" s="2448"/>
      <c r="D35" s="1431" t="s">
        <v>4816</v>
      </c>
    </row>
    <row r="36" spans="2:4" ht="19.5" thickBot="1" x14ac:dyDescent="0.3">
      <c r="B36" s="2883" t="s">
        <v>130</v>
      </c>
      <c r="C36" s="2884"/>
      <c r="D36" s="1290" t="s">
        <v>3397</v>
      </c>
    </row>
    <row r="37" spans="2:4" x14ac:dyDescent="0.25">
      <c r="B37" s="2885" t="s">
        <v>122</v>
      </c>
      <c r="C37" s="2886"/>
      <c r="D37" s="1430" t="s">
        <v>4817</v>
      </c>
    </row>
    <row r="38" spans="2:4" x14ac:dyDescent="0.25">
      <c r="B38" s="2882" t="s">
        <v>124</v>
      </c>
      <c r="C38" s="2448"/>
      <c r="D38" s="1431" t="s">
        <v>3387</v>
      </c>
    </row>
    <row r="39" spans="2:4" x14ac:dyDescent="0.25">
      <c r="B39" s="2882" t="s">
        <v>126</v>
      </c>
      <c r="C39" s="2448"/>
      <c r="D39" s="1431" t="s">
        <v>3388</v>
      </c>
    </row>
    <row r="40" spans="2:4" x14ac:dyDescent="0.25">
      <c r="B40" s="2882" t="s">
        <v>128</v>
      </c>
      <c r="C40" s="2448"/>
      <c r="D40" s="1431" t="s">
        <v>4818</v>
      </c>
    </row>
    <row r="41" spans="2:4" ht="19.5" thickBot="1" x14ac:dyDescent="0.3">
      <c r="B41" s="2883" t="s">
        <v>130</v>
      </c>
      <c r="C41" s="2884"/>
      <c r="D41" s="1290" t="s">
        <v>3393</v>
      </c>
    </row>
    <row r="42" spans="2:4" x14ac:dyDescent="0.25">
      <c r="B42" s="2885" t="s">
        <v>122</v>
      </c>
      <c r="C42" s="2886"/>
      <c r="D42" s="1430" t="s">
        <v>4819</v>
      </c>
    </row>
    <row r="43" spans="2:4" x14ac:dyDescent="0.25">
      <c r="B43" s="2882" t="s">
        <v>124</v>
      </c>
      <c r="C43" s="2448"/>
      <c r="D43" s="1431" t="s">
        <v>3387</v>
      </c>
    </row>
    <row r="44" spans="2:4" x14ac:dyDescent="0.25">
      <c r="B44" s="2882" t="s">
        <v>126</v>
      </c>
      <c r="C44" s="2448"/>
      <c r="D44" s="1431" t="s">
        <v>3388</v>
      </c>
    </row>
    <row r="45" spans="2:4" x14ac:dyDescent="0.25">
      <c r="B45" s="2882" t="s">
        <v>128</v>
      </c>
      <c r="C45" s="2448"/>
      <c r="D45" s="1431" t="s">
        <v>4820</v>
      </c>
    </row>
    <row r="46" spans="2:4" ht="19.5" thickBot="1" x14ac:dyDescent="0.3">
      <c r="B46" s="2883" t="s">
        <v>130</v>
      </c>
      <c r="C46" s="2884"/>
      <c r="D46" s="1290"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62991CCB-0CCC-4D1C-8F88-859C04C3C51D}">
      <formula1>Tipo_operación</formula1>
    </dataValidation>
    <dataValidation type="list" allowBlank="1" showInputMessage="1" showErrorMessage="1" sqref="D14" xr:uid="{76747E4D-D957-42A6-B4D7-706ECEBBDB20}">
      <formula1>Tipo_indicador</formula1>
    </dataValidation>
    <dataValidation type="list" allowBlank="1" showInputMessage="1" showErrorMessage="1" sqref="D7" xr:uid="{2759E714-0623-4945-A628-A6116AC783D3}">
      <formula1>Nombre_indicador_ODS</formula1>
    </dataValidation>
    <dataValidation type="list" allowBlank="1" showInputMessage="1" showErrorMessage="1" sqref="D6" xr:uid="{A3728A26-99CF-499A-8D0A-2FB201650863}">
      <formula1>Numero_indicador</formula1>
    </dataValidation>
    <dataValidation type="list" allowBlank="1" showInputMessage="1" showErrorMessage="1" sqref="D5" xr:uid="{EF02E75A-E87F-4D9B-83E7-879CD59F9184}">
      <formula1>Metas_ODS</formula1>
    </dataValidation>
    <dataValidation type="list" allowBlank="1" showInputMessage="1" showErrorMessage="1" sqref="D4" xr:uid="{FE139C55-93F6-4ED7-98EF-7017A69D97C1}">
      <formula1>ODS</formula1>
    </dataValidation>
    <dataValidation allowBlank="1" showDropDown="1" showInputMessage="1" showErrorMessage="1" sqref="D13" xr:uid="{64A91FA4-9464-4C4F-AEC4-A2BA335FDCE2}"/>
  </dataValidations>
  <hyperlinks>
    <hyperlink ref="B1" location="'7.3.1 BCCR ae'!A1" display="REGRESAR" xr:uid="{ED8ABE77-211D-4297-A511-74344B50DAC6}"/>
    <hyperlink ref="D8" r:id="rId1" xr:uid="{AD02C829-F83D-42D3-84F7-9214B0CF06C2}"/>
    <hyperlink ref="D41" r:id="rId2" display="alvaradoqi@bccr.fi.cr" xr:uid="{98593865-6CC1-40B0-A548-865DDE1B30FC}"/>
    <hyperlink ref="D46" r:id="rId3" display="rodriguezzm@bccr.fi.cr" xr:uid="{DFE5F09B-055A-489D-B283-64B272D589AD}"/>
    <hyperlink ref="D36" r:id="rId4" xr:uid="{1D7D4466-2761-465D-88D8-970B8A66EBDD}"/>
  </hyperlinks>
  <pageMargins left="0.7" right="0.7" top="0.75" bottom="0.75" header="0.3" footer="0.3"/>
  <drawing r:id="rId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DE1E-D955-4B88-8AA1-C6B17B6C0472}">
  <sheetPr>
    <tabColor rgb="FF7030A0"/>
  </sheetPr>
  <dimension ref="A1:P28"/>
  <sheetViews>
    <sheetView showGridLines="0" workbookViewId="0">
      <pane ySplit="1" topLeftCell="A2" activePane="bottomLeft" state="frozen"/>
      <selection sqref="A1:B1"/>
      <selection pane="bottomLeft"/>
    </sheetView>
  </sheetViews>
  <sheetFormatPr baseColWidth="10" defaultColWidth="11.42578125" defaultRowHeight="19.5" x14ac:dyDescent="0.4"/>
  <cols>
    <col min="1" max="1" width="15" style="1032" customWidth="1"/>
    <col min="2" max="2" width="19.28515625" style="1032" customWidth="1"/>
    <col min="3" max="3" width="12.28515625" style="1061" customWidth="1"/>
    <col min="4" max="5" width="12.28515625" style="1032" customWidth="1"/>
    <col min="6" max="16384" width="11.42578125" style="1032"/>
  </cols>
  <sheetData>
    <row r="1" spans="1:16" x14ac:dyDescent="0.4">
      <c r="A1" s="15" t="s">
        <v>39</v>
      </c>
      <c r="B1" s="1080"/>
      <c r="C1" s="2421" t="s">
        <v>149</v>
      </c>
      <c r="D1" s="2421"/>
    </row>
    <row r="3" spans="1:16" x14ac:dyDescent="0.4">
      <c r="A3" s="3077" t="s">
        <v>41</v>
      </c>
      <c r="B3" s="3083"/>
      <c r="C3" s="3077" t="s">
        <v>4679</v>
      </c>
      <c r="D3" s="3086"/>
      <c r="E3" s="3086"/>
      <c r="F3" s="3086"/>
      <c r="G3" s="3086"/>
      <c r="H3" s="3086"/>
      <c r="I3" s="3086"/>
      <c r="J3" s="3086"/>
      <c r="K3" s="3086"/>
      <c r="L3" s="3086"/>
      <c r="M3" s="3086"/>
      <c r="N3" s="3086"/>
      <c r="O3" s="3086"/>
      <c r="P3" s="3086"/>
    </row>
    <row r="4" spans="1:16" ht="39" customHeight="1" x14ac:dyDescent="0.4">
      <c r="A4" s="3077" t="s">
        <v>42</v>
      </c>
      <c r="B4" s="3078"/>
      <c r="C4" s="3085" t="s">
        <v>4691</v>
      </c>
      <c r="D4" s="3110"/>
      <c r="E4" s="3110"/>
      <c r="F4" s="3110"/>
      <c r="G4" s="3110"/>
      <c r="H4" s="3110"/>
      <c r="I4" s="3110"/>
      <c r="J4" s="3110"/>
      <c r="K4" s="3110"/>
      <c r="L4" s="3110"/>
      <c r="M4" s="3110"/>
      <c r="N4" s="3110"/>
      <c r="O4" s="3110"/>
      <c r="P4" s="3110"/>
    </row>
    <row r="5" spans="1:16" s="1061" customFormat="1" ht="38.450000000000003" customHeight="1" x14ac:dyDescent="0.4">
      <c r="A5" s="3107" t="s">
        <v>43</v>
      </c>
      <c r="B5" s="3108"/>
      <c r="C5" s="3107" t="s">
        <v>4693</v>
      </c>
      <c r="D5" s="3109"/>
      <c r="E5" s="3109"/>
      <c r="F5" s="3109"/>
      <c r="G5" s="3109"/>
      <c r="H5" s="3109"/>
      <c r="I5" s="3109"/>
      <c r="J5" s="3109"/>
      <c r="K5" s="3109"/>
      <c r="L5" s="3109"/>
      <c r="M5" s="3109"/>
      <c r="N5" s="3109"/>
      <c r="O5" s="3109"/>
      <c r="P5" s="3109"/>
    </row>
    <row r="6" spans="1:16" x14ac:dyDescent="0.4">
      <c r="A6" s="3077" t="s">
        <v>132</v>
      </c>
      <c r="B6" s="3078"/>
      <c r="C6" s="3077"/>
      <c r="D6" s="3086"/>
      <c r="E6" s="3086"/>
      <c r="F6" s="3086"/>
      <c r="G6" s="3086"/>
      <c r="H6" s="3086"/>
      <c r="I6" s="3086"/>
      <c r="J6" s="3086"/>
      <c r="K6" s="3086"/>
      <c r="L6" s="3086"/>
      <c r="M6" s="3086"/>
      <c r="N6" s="3086"/>
      <c r="O6" s="3086"/>
      <c r="P6" s="3086"/>
    </row>
    <row r="7" spans="1:16" x14ac:dyDescent="0.4">
      <c r="A7" s="1084"/>
    </row>
    <row r="8" spans="1:16" x14ac:dyDescent="0.4">
      <c r="A8" s="1084"/>
    </row>
    <row r="9" spans="1:16" ht="11.25" customHeight="1" x14ac:dyDescent="0.4">
      <c r="A9" s="1084"/>
      <c r="C9" s="2506" t="s">
        <v>650</v>
      </c>
      <c r="D9" s="2506"/>
      <c r="E9" s="2506"/>
      <c r="F9" s="2506"/>
      <c r="G9" s="2506"/>
      <c r="H9" s="2506"/>
      <c r="I9" s="2506"/>
      <c r="J9" s="2506"/>
      <c r="K9" s="2506"/>
      <c r="L9" s="2506"/>
      <c r="M9" s="2506"/>
      <c r="N9" s="2506"/>
      <c r="O9" s="2506"/>
      <c r="P9" s="2506"/>
    </row>
    <row r="10" spans="1:16" ht="11.25" customHeight="1" x14ac:dyDescent="0.4">
      <c r="A10" s="1084"/>
      <c r="C10" s="2506"/>
      <c r="D10" s="2506"/>
      <c r="E10" s="2506"/>
      <c r="F10" s="2506"/>
      <c r="G10" s="2506"/>
      <c r="H10" s="2506"/>
      <c r="I10" s="2506"/>
      <c r="J10" s="2506"/>
      <c r="K10" s="2506"/>
      <c r="L10" s="2506"/>
      <c r="M10" s="2506"/>
      <c r="N10" s="2506"/>
      <c r="O10" s="2506"/>
      <c r="P10" s="2506"/>
    </row>
    <row r="11" spans="1:16" x14ac:dyDescent="0.4">
      <c r="A11" s="1084"/>
    </row>
    <row r="12" spans="1:16" ht="11.25" customHeight="1" x14ac:dyDescent="0.4">
      <c r="A12" s="1084"/>
    </row>
    <row r="13" spans="1:16" ht="11.25" customHeight="1" x14ac:dyDescent="0.4">
      <c r="A13" s="1084"/>
      <c r="C13" s="3070" t="s">
        <v>4892</v>
      </c>
      <c r="D13" s="3070"/>
      <c r="E13" s="3070"/>
      <c r="F13" s="3070"/>
      <c r="G13" s="3070"/>
      <c r="H13" s="3070"/>
      <c r="I13" s="3070"/>
      <c r="J13" s="3070"/>
      <c r="K13" s="3070"/>
      <c r="L13" s="3070"/>
      <c r="M13" s="3070"/>
      <c r="N13" s="3070"/>
      <c r="O13" s="654"/>
    </row>
    <row r="14" spans="1:16" ht="11.25" customHeight="1" x14ac:dyDescent="0.4">
      <c r="A14" s="1084"/>
      <c r="C14" s="3070"/>
      <c r="D14" s="3070"/>
      <c r="E14" s="3070"/>
      <c r="F14" s="3070"/>
      <c r="G14" s="3070"/>
      <c r="H14" s="3070"/>
      <c r="I14" s="3070"/>
      <c r="J14" s="3070"/>
      <c r="K14" s="3070"/>
      <c r="L14" s="3070"/>
      <c r="M14" s="3070"/>
      <c r="N14" s="3070"/>
      <c r="O14" s="654"/>
    </row>
    <row r="15" spans="1:16" ht="11.25" customHeight="1" x14ac:dyDescent="0.4">
      <c r="A15" s="1084"/>
      <c r="C15" s="3070"/>
      <c r="D15" s="3070"/>
      <c r="E15" s="3070"/>
      <c r="F15" s="3070"/>
      <c r="G15" s="3070"/>
      <c r="H15" s="3070"/>
      <c r="I15" s="3070"/>
      <c r="J15" s="3070"/>
      <c r="K15" s="3070"/>
      <c r="L15" s="3070"/>
      <c r="M15" s="3070"/>
      <c r="N15" s="3070"/>
      <c r="O15" s="654"/>
    </row>
    <row r="16" spans="1:16" x14ac:dyDescent="0.4">
      <c r="A16" s="1084"/>
      <c r="C16" s="3070"/>
      <c r="D16" s="3070"/>
      <c r="E16" s="3070"/>
      <c r="F16" s="3070"/>
      <c r="G16" s="3070"/>
      <c r="H16" s="3070"/>
      <c r="I16" s="3070"/>
      <c r="J16" s="3070"/>
      <c r="K16" s="3070"/>
      <c r="L16" s="3070"/>
      <c r="M16" s="3070"/>
      <c r="N16" s="3070"/>
      <c r="O16" s="654"/>
    </row>
    <row r="17" spans="1:15" x14ac:dyDescent="0.4">
      <c r="A17" s="1084"/>
      <c r="C17" s="3070"/>
      <c r="D17" s="3070"/>
      <c r="E17" s="3070"/>
      <c r="F17" s="3070"/>
      <c r="G17" s="3070"/>
      <c r="H17" s="3070"/>
      <c r="I17" s="3070"/>
      <c r="J17" s="3070"/>
      <c r="K17" s="3070"/>
      <c r="L17" s="3070"/>
      <c r="M17" s="3070"/>
      <c r="N17" s="3070"/>
      <c r="O17" s="654"/>
    </row>
    <row r="18" spans="1:15" x14ac:dyDescent="0.4">
      <c r="A18" s="1084"/>
      <c r="C18" s="3070"/>
      <c r="D18" s="3070"/>
      <c r="E18" s="3070"/>
      <c r="F18" s="3070"/>
      <c r="G18" s="3070"/>
      <c r="H18" s="3070"/>
      <c r="I18" s="3070"/>
      <c r="J18" s="3070"/>
      <c r="K18" s="3070"/>
      <c r="L18" s="3070"/>
      <c r="M18" s="3070"/>
      <c r="N18" s="3070"/>
      <c r="O18" s="654"/>
    </row>
    <row r="19" spans="1:15" x14ac:dyDescent="0.4">
      <c r="A19" s="1084"/>
      <c r="C19" s="3070"/>
      <c r="D19" s="3070"/>
      <c r="E19" s="3070"/>
      <c r="F19" s="3070"/>
      <c r="G19" s="3070"/>
      <c r="H19" s="3070"/>
      <c r="I19" s="3070"/>
      <c r="J19" s="3070"/>
      <c r="K19" s="3070"/>
      <c r="L19" s="3070"/>
      <c r="M19" s="3070"/>
      <c r="N19" s="3070"/>
      <c r="O19" s="654"/>
    </row>
    <row r="20" spans="1:15" x14ac:dyDescent="0.4">
      <c r="A20" s="1084"/>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494" t="s">
        <v>652</v>
      </c>
      <c r="B26" s="2494"/>
      <c r="C26" s="2494"/>
      <c r="D26" s="2494"/>
      <c r="E26" s="2494"/>
      <c r="F26" s="2494"/>
      <c r="G26" s="2494"/>
      <c r="H26" s="2494"/>
      <c r="I26" s="2494"/>
      <c r="J26" s="2494"/>
      <c r="K26" s="2494"/>
      <c r="L26" s="2494"/>
      <c r="M26" s="2494"/>
      <c r="N26" s="2494"/>
      <c r="O26" s="2494"/>
    </row>
    <row r="27" spans="1:15" x14ac:dyDescent="0.4">
      <c r="A27" s="1084"/>
    </row>
    <row r="28" spans="1:15" x14ac:dyDescent="0.4">
      <c r="A28" s="1084"/>
    </row>
  </sheetData>
  <mergeCells count="12">
    <mergeCell ref="A5:B5"/>
    <mergeCell ref="C5:P5"/>
    <mergeCell ref="C1:D1"/>
    <mergeCell ref="A3:B3"/>
    <mergeCell ref="C3:P3"/>
    <mergeCell ref="A4:B4"/>
    <mergeCell ref="C4:P4"/>
    <mergeCell ref="A6:B6"/>
    <mergeCell ref="C6:P6"/>
    <mergeCell ref="C9:P10"/>
    <mergeCell ref="C13:N19"/>
    <mergeCell ref="A26:O26"/>
  </mergeCells>
  <hyperlinks>
    <hyperlink ref="A1" location="'ODS 7.'!A1" display="REGRESAR" xr:uid="{82B1F167-49C4-4D56-9C43-6B602CB5D691}"/>
    <hyperlink ref="C1:D1" location="'Metadato 7.a.1'!A1" display="VER METADATO" xr:uid="{1CA17E52-2DBC-4603-9972-9CB597D3844D}"/>
  </hyperlink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0F9C-E5FF-4DAD-811F-C086CAB4946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10.5703125" style="115" bestFit="1"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084" t="s">
        <v>75</v>
      </c>
      <c r="C3" s="3084"/>
      <c r="D3" s="3084"/>
      <c r="F3" s="1046" t="s">
        <v>317</v>
      </c>
    </row>
    <row r="4" spans="1:6" ht="18.75" customHeight="1" x14ac:dyDescent="0.4">
      <c r="A4" s="283"/>
      <c r="B4" s="2445" t="s">
        <v>234</v>
      </c>
      <c r="C4" s="2445"/>
      <c r="D4" s="49" t="s">
        <v>4698</v>
      </c>
    </row>
    <row r="5" spans="1:6" ht="62.25" customHeight="1" x14ac:dyDescent="0.4">
      <c r="B5" s="2445" t="s">
        <v>79</v>
      </c>
      <c r="C5" s="2445"/>
      <c r="D5" s="49" t="s">
        <v>4691</v>
      </c>
    </row>
    <row r="6" spans="1:6" x14ac:dyDescent="0.4">
      <c r="B6" s="2445" t="s">
        <v>80</v>
      </c>
      <c r="C6" s="2445"/>
      <c r="D6" s="50" t="s">
        <v>4893</v>
      </c>
    </row>
    <row r="7" spans="1:6" ht="48" customHeight="1" x14ac:dyDescent="0.4">
      <c r="B7" s="2446" t="s">
        <v>81</v>
      </c>
      <c r="C7" s="2446"/>
      <c r="D7" s="93" t="s">
        <v>4693</v>
      </c>
    </row>
    <row r="8" spans="1:6" x14ac:dyDescent="0.4">
      <c r="B8" s="2446" t="s">
        <v>82</v>
      </c>
      <c r="C8" s="2446"/>
      <c r="D8" s="1047" t="s">
        <v>4894</v>
      </c>
    </row>
    <row r="10" spans="1:6" ht="23.25" customHeight="1" x14ac:dyDescent="0.4">
      <c r="B10" s="3084" t="s">
        <v>85</v>
      </c>
      <c r="C10" s="3084"/>
      <c r="D10" s="3084"/>
    </row>
    <row r="11" spans="1:6" x14ac:dyDescent="0.4">
      <c r="B11" s="2487" t="s">
        <v>86</v>
      </c>
      <c r="C11" s="2456"/>
      <c r="D11" s="49"/>
    </row>
    <row r="12" spans="1:6" ht="15" customHeight="1" x14ac:dyDescent="0.4">
      <c r="B12" s="2446" t="s">
        <v>88</v>
      </c>
      <c r="C12" s="2446"/>
      <c r="D12" s="184"/>
    </row>
    <row r="13" spans="1:6" x14ac:dyDescent="0.4">
      <c r="B13" s="2445" t="s">
        <v>90</v>
      </c>
      <c r="C13" s="2445"/>
      <c r="D13" s="54"/>
    </row>
    <row r="14" spans="1:6" x14ac:dyDescent="0.4">
      <c r="B14" s="2445" t="s">
        <v>91</v>
      </c>
      <c r="C14" s="2456"/>
      <c r="D14" s="54"/>
    </row>
    <row r="15" spans="1:6" x14ac:dyDescent="0.4">
      <c r="B15" s="2445" t="s">
        <v>93</v>
      </c>
      <c r="C15" s="2445"/>
      <c r="D15" s="49"/>
    </row>
    <row r="16" spans="1:6" x14ac:dyDescent="0.4">
      <c r="B16" s="2445" t="s">
        <v>95</v>
      </c>
      <c r="C16" s="2445"/>
      <c r="D16" s="49"/>
    </row>
    <row r="17" spans="2:4" x14ac:dyDescent="0.4">
      <c r="B17" s="2445" t="s">
        <v>97</v>
      </c>
      <c r="C17" s="2445"/>
      <c r="D17" s="594" t="s">
        <v>4895</v>
      </c>
    </row>
    <row r="18" spans="2:4" x14ac:dyDescent="0.4">
      <c r="B18" s="2446" t="s">
        <v>99</v>
      </c>
      <c r="C18" s="2446"/>
      <c r="D18" s="49"/>
    </row>
    <row r="19" spans="2:4" ht="15" customHeight="1"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4896</v>
      </c>
    </row>
    <row r="25" spans="2:4" x14ac:dyDescent="0.4">
      <c r="B25" s="2445" t="s">
        <v>113</v>
      </c>
      <c r="C25" s="2445"/>
      <c r="D25" s="55" t="s">
        <v>1701</v>
      </c>
    </row>
    <row r="26" spans="2:4" ht="15" customHeight="1"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084" t="s">
        <v>121</v>
      </c>
      <c r="C31" s="3084"/>
      <c r="D31" s="3084"/>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A1E09CD-A333-4CE8-927C-759845A5C127}">
      <formula1>Tipo_operación</formula1>
    </dataValidation>
    <dataValidation type="list" allowBlank="1" showInputMessage="1" showErrorMessage="1" sqref="D14" xr:uid="{F57F15CA-4ACB-4B28-AF99-5C9F1131C2CF}">
      <formula1>Tipo_indicador</formula1>
    </dataValidation>
    <dataValidation type="list" allowBlank="1" showInputMessage="1" showErrorMessage="1" sqref="D7" xr:uid="{08139F67-2E56-4717-96FD-07587C8DE7B2}">
      <formula1>Nombre_indicador_ODS</formula1>
    </dataValidation>
    <dataValidation type="list" allowBlank="1" showInputMessage="1" showErrorMessage="1" sqref="D6" xr:uid="{26812A5E-BCB1-4528-B1C9-8F8400D95EDD}">
      <formula1>Numero_indicador</formula1>
    </dataValidation>
    <dataValidation type="list" allowBlank="1" showInputMessage="1" showErrorMessage="1" sqref="D5" xr:uid="{CD5945DE-D24A-46B8-AD83-700B4B680F2C}">
      <formula1>Metas_ODS</formula1>
    </dataValidation>
    <dataValidation type="list" allowBlank="1" showInputMessage="1" showErrorMessage="1" sqref="D4" xr:uid="{E1020892-7155-4C82-8D56-F023493AEDD7}">
      <formula1>ODS</formula1>
    </dataValidation>
    <dataValidation allowBlank="1" showDropDown="1" showInputMessage="1" showErrorMessage="1" sqref="D13" xr:uid="{72222DD4-781E-4A5A-9FBD-A79C5806791F}"/>
  </dataValidations>
  <hyperlinks>
    <hyperlink ref="B1" location="'7.a.1'!A1" display="REGRESAR" xr:uid="{A4B54398-8BBA-4DA3-A909-3EAB5967230F}"/>
    <hyperlink ref="D8" r:id="rId1" xr:uid="{9E24D26A-FBC6-49F3-BA9F-DEB911D99976}"/>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6B20-3987-401C-AE81-C28D52E3AA3B}">
  <dimension ref="A1:T25"/>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2.75" x14ac:dyDescent="0.25"/>
  <cols>
    <col min="1" max="2" width="16.28515625" style="270" customWidth="1"/>
    <col min="3" max="3" width="13" style="1052" customWidth="1"/>
    <col min="4" max="4" width="11.28515625" style="270" customWidth="1"/>
    <col min="5" max="5" width="15" style="270" customWidth="1"/>
    <col min="6" max="6" width="13.28515625" style="270" customWidth="1"/>
    <col min="7" max="10" width="11.28515625" style="270" customWidth="1"/>
    <col min="11" max="16384" width="11.42578125" style="270"/>
  </cols>
  <sheetData>
    <row r="1" spans="1:20" s="1032" customFormat="1" ht="19.5" x14ac:dyDescent="0.4">
      <c r="A1" s="15" t="s">
        <v>39</v>
      </c>
      <c r="B1" s="1080"/>
      <c r="C1" s="2421" t="s">
        <v>149</v>
      </c>
      <c r="D1" s="2421"/>
    </row>
    <row r="2" spans="1:20" s="1032" customFormat="1" ht="19.5" x14ac:dyDescent="0.4">
      <c r="C2" s="1061"/>
    </row>
    <row r="3" spans="1:20" s="1032" customFormat="1" ht="19.5" x14ac:dyDescent="0.4">
      <c r="A3" s="3077" t="s">
        <v>41</v>
      </c>
      <c r="B3" s="3083"/>
      <c r="C3" s="3077" t="s">
        <v>4679</v>
      </c>
      <c r="D3" s="3086"/>
      <c r="E3" s="3086"/>
      <c r="F3" s="3086"/>
      <c r="G3" s="3086"/>
      <c r="H3" s="3086"/>
      <c r="I3" s="3086"/>
      <c r="J3" s="3086"/>
      <c r="K3" s="3086"/>
      <c r="L3" s="3086"/>
      <c r="M3" s="3086"/>
      <c r="N3" s="3086"/>
      <c r="O3" s="3086"/>
      <c r="P3" s="3086"/>
      <c r="Q3" s="3086"/>
      <c r="R3" s="3086"/>
      <c r="S3" s="3086"/>
      <c r="T3" s="3086"/>
    </row>
    <row r="4" spans="1:20" s="1032" customFormat="1" ht="38.450000000000003" customHeight="1" x14ac:dyDescent="0.4">
      <c r="A4" s="3077" t="s">
        <v>42</v>
      </c>
      <c r="B4" s="3078"/>
      <c r="C4" s="3085" t="s">
        <v>4694</v>
      </c>
      <c r="D4" s="3110"/>
      <c r="E4" s="3110"/>
      <c r="F4" s="3110"/>
      <c r="G4" s="3110"/>
      <c r="H4" s="3110"/>
      <c r="I4" s="3110"/>
      <c r="J4" s="3110"/>
      <c r="K4" s="3110"/>
      <c r="L4" s="3110"/>
      <c r="M4" s="3110"/>
      <c r="N4" s="3110"/>
      <c r="O4" s="3110"/>
      <c r="P4" s="3110"/>
      <c r="Q4" s="3110"/>
      <c r="R4" s="3110"/>
      <c r="S4" s="3110"/>
      <c r="T4" s="3110"/>
    </row>
    <row r="5" spans="1:20" s="1032" customFormat="1" ht="19.5" x14ac:dyDescent="0.4">
      <c r="A5" s="3077" t="s">
        <v>43</v>
      </c>
      <c r="B5" s="3078"/>
      <c r="C5" s="3085" t="s">
        <v>4897</v>
      </c>
      <c r="D5" s="3110"/>
      <c r="E5" s="3110"/>
      <c r="F5" s="3110"/>
      <c r="G5" s="3110"/>
      <c r="H5" s="3110"/>
      <c r="I5" s="3110"/>
      <c r="J5" s="3110"/>
      <c r="K5" s="3110"/>
      <c r="L5" s="3110"/>
      <c r="M5" s="3110"/>
      <c r="N5" s="3110"/>
      <c r="O5" s="3110"/>
      <c r="P5" s="3110"/>
      <c r="Q5" s="3110"/>
      <c r="R5" s="3110"/>
      <c r="S5" s="3110"/>
      <c r="T5" s="3110"/>
    </row>
    <row r="6" spans="1:20" s="1032" customFormat="1" ht="19.5" x14ac:dyDescent="0.4">
      <c r="A6" s="3077" t="s">
        <v>132</v>
      </c>
      <c r="B6" s="3078"/>
      <c r="C6" s="3077" t="s">
        <v>4898</v>
      </c>
      <c r="D6" s="3086"/>
      <c r="E6" s="3086"/>
      <c r="F6" s="3086"/>
      <c r="G6" s="3086"/>
      <c r="H6" s="3086"/>
      <c r="I6" s="3086"/>
      <c r="J6" s="3086"/>
      <c r="K6" s="3086"/>
      <c r="L6" s="3086"/>
      <c r="M6" s="3086"/>
      <c r="N6" s="3086"/>
      <c r="O6" s="3086"/>
      <c r="P6" s="3086"/>
      <c r="Q6" s="3086"/>
      <c r="R6" s="3086"/>
      <c r="S6" s="3086"/>
      <c r="T6" s="3086"/>
    </row>
    <row r="7" spans="1:20" s="1032" customFormat="1" ht="19.5" x14ac:dyDescent="0.4">
      <c r="A7" s="1314"/>
      <c r="B7" s="1432"/>
    </row>
    <row r="8" spans="1:20" s="1032" customFormat="1" ht="19.5" x14ac:dyDescent="0.4">
      <c r="A8" s="1084"/>
      <c r="C8" s="1061"/>
    </row>
    <row r="9" spans="1:20" s="1032" customFormat="1" ht="37.5" customHeight="1" x14ac:dyDescent="0.4">
      <c r="C9" s="2628" t="s">
        <v>4898</v>
      </c>
      <c r="D9" s="2628"/>
      <c r="E9" s="2628"/>
      <c r="F9" s="2628"/>
      <c r="J9" s="138" t="s">
        <v>4899</v>
      </c>
    </row>
    <row r="10" spans="1:20" ht="56.25" x14ac:dyDescent="0.4">
      <c r="C10" s="1380" t="s">
        <v>247</v>
      </c>
      <c r="D10" s="1380" t="s">
        <v>4900</v>
      </c>
      <c r="E10" s="1380" t="s">
        <v>4901</v>
      </c>
      <c r="F10" s="1380" t="s">
        <v>4902</v>
      </c>
      <c r="G10" s="115"/>
      <c r="H10" s="115"/>
      <c r="I10" s="115"/>
      <c r="J10" s="115"/>
      <c r="K10" s="115"/>
      <c r="L10" s="115"/>
      <c r="M10" s="115"/>
      <c r="N10" s="115"/>
      <c r="O10" s="115"/>
      <c r="P10" s="115"/>
    </row>
    <row r="11" spans="1:20" ht="18.75" x14ac:dyDescent="0.4">
      <c r="C11" s="232">
        <v>2012</v>
      </c>
      <c r="D11" s="1433">
        <v>4654485</v>
      </c>
      <c r="E11" s="1434">
        <v>2107430000</v>
      </c>
      <c r="F11" s="1435">
        <f>+(E11/D11)</f>
        <v>452.7740448191368</v>
      </c>
      <c r="G11" s="115"/>
      <c r="H11" s="115"/>
      <c r="I11" s="115"/>
      <c r="J11" s="115"/>
      <c r="K11" s="115"/>
      <c r="L11" s="115"/>
      <c r="M11" s="115"/>
      <c r="N11" s="115"/>
      <c r="O11" s="115"/>
      <c r="P11" s="115"/>
    </row>
    <row r="12" spans="1:20" ht="18.75" x14ac:dyDescent="0.4">
      <c r="C12" s="232">
        <v>2013</v>
      </c>
      <c r="D12" s="1433">
        <v>4713092</v>
      </c>
      <c r="E12" s="1434">
        <v>2132632000</v>
      </c>
      <c r="F12" s="1435">
        <f t="shared" ref="F12:F18" si="0">+(E12/D12)</f>
        <v>452.49106106988791</v>
      </c>
      <c r="G12" s="115"/>
      <c r="H12" s="115"/>
      <c r="I12" s="115"/>
      <c r="J12" s="115"/>
      <c r="K12" s="115"/>
      <c r="L12" s="115"/>
      <c r="M12" s="115"/>
      <c r="N12" s="115"/>
      <c r="O12" s="115"/>
      <c r="P12" s="115"/>
    </row>
    <row r="13" spans="1:20" ht="18.75" x14ac:dyDescent="0.4">
      <c r="C13" s="232">
        <v>2014</v>
      </c>
      <c r="D13" s="1433">
        <v>4771778</v>
      </c>
      <c r="E13" s="1434">
        <v>2291305000</v>
      </c>
      <c r="F13" s="1435">
        <f t="shared" si="0"/>
        <v>480.17845758960289</v>
      </c>
      <c r="G13" s="115"/>
      <c r="H13" s="115"/>
      <c r="I13" s="115"/>
      <c r="J13" s="115"/>
      <c r="K13" s="115"/>
      <c r="L13" s="115"/>
      <c r="M13" s="115"/>
      <c r="N13" s="115"/>
      <c r="O13" s="115"/>
      <c r="P13" s="115"/>
    </row>
    <row r="14" spans="1:20" ht="18.75" x14ac:dyDescent="0.4">
      <c r="C14" s="232">
        <v>2015</v>
      </c>
      <c r="D14" s="1433">
        <v>4828520</v>
      </c>
      <c r="E14" s="1434">
        <v>2474189000</v>
      </c>
      <c r="F14" s="1435">
        <f t="shared" si="0"/>
        <v>512.41146355404965</v>
      </c>
      <c r="G14" s="115"/>
      <c r="H14" s="115"/>
      <c r="I14" s="115"/>
      <c r="J14" s="115"/>
      <c r="K14" s="115"/>
      <c r="L14" s="115"/>
      <c r="M14" s="115"/>
      <c r="N14" s="115"/>
      <c r="O14" s="115"/>
      <c r="P14" s="115"/>
    </row>
    <row r="15" spans="1:20" ht="18.75" x14ac:dyDescent="0.4">
      <c r="C15" s="232">
        <v>2016</v>
      </c>
      <c r="D15" s="1433">
        <v>4882723</v>
      </c>
      <c r="E15" s="1434">
        <v>2898753000</v>
      </c>
      <c r="F15" s="1435">
        <f t="shared" si="0"/>
        <v>593.67549623437583</v>
      </c>
      <c r="G15" s="115"/>
      <c r="H15" s="115"/>
      <c r="I15" s="115"/>
      <c r="J15" s="115"/>
      <c r="K15" s="115"/>
      <c r="L15" s="115"/>
      <c r="M15" s="115"/>
      <c r="N15" s="115"/>
      <c r="O15" s="115"/>
      <c r="P15" s="115"/>
    </row>
    <row r="16" spans="1:20" ht="18.75" x14ac:dyDescent="0.4">
      <c r="C16" s="232">
        <v>2017</v>
      </c>
      <c r="D16" s="1433">
        <v>4933519</v>
      </c>
      <c r="E16" s="1434">
        <v>2962084000</v>
      </c>
      <c r="F16" s="1435">
        <f t="shared" si="0"/>
        <v>600.39983630345807</v>
      </c>
      <c r="G16" s="115"/>
      <c r="H16" s="115"/>
      <c r="I16" s="115"/>
      <c r="J16" s="115"/>
      <c r="K16" s="115"/>
      <c r="L16" s="115"/>
      <c r="M16" s="115"/>
      <c r="N16" s="115"/>
      <c r="O16" s="115"/>
      <c r="P16" s="115"/>
    </row>
    <row r="17" spans="3:16" ht="18.75" x14ac:dyDescent="0.4">
      <c r="C17" s="232">
        <v>2018</v>
      </c>
      <c r="D17" s="1433">
        <v>4981349</v>
      </c>
      <c r="E17" s="1434">
        <v>3049042000</v>
      </c>
      <c r="F17" s="1435">
        <f t="shared" si="0"/>
        <v>612.09162417650316</v>
      </c>
      <c r="G17" s="115"/>
      <c r="H17" s="115"/>
      <c r="I17" s="115"/>
      <c r="J17" s="115"/>
      <c r="K17" s="115"/>
      <c r="L17" s="115"/>
      <c r="M17" s="115"/>
      <c r="N17" s="115"/>
      <c r="O17" s="115"/>
      <c r="P17" s="115"/>
    </row>
    <row r="18" spans="3:16" ht="18.75" x14ac:dyDescent="0.4">
      <c r="C18" s="232">
        <v>2019</v>
      </c>
      <c r="D18" s="1433">
        <v>5020970</v>
      </c>
      <c r="E18" s="1434">
        <v>3096242000</v>
      </c>
      <c r="F18" s="1435">
        <f t="shared" si="0"/>
        <v>616.66211907260947</v>
      </c>
      <c r="G18" s="115"/>
      <c r="H18" s="115"/>
      <c r="I18" s="115"/>
      <c r="J18" s="115"/>
      <c r="K18" s="115"/>
      <c r="L18" s="115"/>
      <c r="M18" s="115"/>
      <c r="N18" s="115"/>
      <c r="O18" s="115"/>
      <c r="P18" s="115"/>
    </row>
    <row r="19" spans="3:16" ht="18.75" x14ac:dyDescent="0.4">
      <c r="C19" s="232">
        <v>2020</v>
      </c>
      <c r="D19" s="1433">
        <v>5051379</v>
      </c>
      <c r="E19" s="1434">
        <v>3066966000</v>
      </c>
      <c r="F19" s="1435">
        <f>+(E19/D19)</f>
        <v>607.15420482208913</v>
      </c>
      <c r="G19" s="115"/>
      <c r="H19" s="115"/>
      <c r="I19" s="115"/>
      <c r="J19" s="115"/>
      <c r="K19" s="115"/>
      <c r="L19" s="115"/>
      <c r="M19" s="115"/>
      <c r="N19" s="115"/>
      <c r="O19" s="115"/>
      <c r="P19" s="115"/>
    </row>
    <row r="20" spans="3:16" ht="18.75" x14ac:dyDescent="0.4">
      <c r="C20" s="232">
        <v>2021</v>
      </c>
      <c r="D20" s="1433">
        <v>5077667</v>
      </c>
      <c r="E20" s="1434">
        <v>3115300000</v>
      </c>
      <c r="F20" s="1435">
        <f>+(E20/D20)</f>
        <v>613.52979626273248</v>
      </c>
      <c r="G20" s="115"/>
      <c r="H20" s="115"/>
      <c r="I20" s="115"/>
      <c r="J20" s="115"/>
      <c r="K20" s="115"/>
      <c r="L20" s="115"/>
      <c r="M20" s="115"/>
      <c r="N20" s="115"/>
      <c r="O20" s="115"/>
      <c r="P20" s="115"/>
    </row>
    <row r="21" spans="3:16" ht="18.75" x14ac:dyDescent="0.4">
      <c r="C21" s="232">
        <v>2022</v>
      </c>
      <c r="D21" s="1433">
        <v>5104907</v>
      </c>
      <c r="E21" s="1434">
        <v>3064300000</v>
      </c>
      <c r="F21" s="1435">
        <v>587.77809789536968</v>
      </c>
      <c r="G21" s="115"/>
      <c r="H21" s="115"/>
      <c r="I21" s="115"/>
      <c r="J21" s="115"/>
      <c r="K21" s="115"/>
      <c r="L21" s="115"/>
      <c r="M21" s="115"/>
      <c r="N21" s="115"/>
      <c r="O21" s="115"/>
      <c r="P21" s="115"/>
    </row>
    <row r="22" spans="3:16" ht="21.6" customHeight="1" x14ac:dyDescent="0.4">
      <c r="C22" s="795">
        <v>2023</v>
      </c>
      <c r="D22" s="1436">
        <v>5135912</v>
      </c>
      <c r="E22" s="1437">
        <v>3122900000</v>
      </c>
      <c r="F22" s="1438">
        <f t="shared" ref="F22" si="1">+(E22/D22)</f>
        <v>608.05169558979981</v>
      </c>
      <c r="G22" s="115"/>
      <c r="H22" s="115"/>
      <c r="I22" s="115"/>
      <c r="J22" s="115"/>
      <c r="K22" s="115"/>
      <c r="L22" s="115"/>
      <c r="M22" s="115"/>
      <c r="N22" s="115"/>
      <c r="O22" s="115"/>
      <c r="P22" s="115"/>
    </row>
    <row r="23" spans="3:16" ht="38.450000000000003" customHeight="1" x14ac:dyDescent="0.4">
      <c r="C23" s="3068" t="s">
        <v>4903</v>
      </c>
      <c r="D23" s="3068"/>
      <c r="E23" s="3068"/>
      <c r="F23" s="3068"/>
      <c r="G23" s="115"/>
      <c r="H23" s="115"/>
      <c r="I23" s="115"/>
      <c r="J23" s="115"/>
      <c r="K23" s="115"/>
      <c r="L23" s="115"/>
      <c r="M23" s="115"/>
      <c r="N23" s="115"/>
      <c r="O23" s="115"/>
      <c r="P23" s="115"/>
    </row>
    <row r="24" spans="3:16" ht="18.75" x14ac:dyDescent="0.4">
      <c r="C24" s="3068"/>
      <c r="D24" s="3068"/>
      <c r="E24" s="3068"/>
      <c r="F24" s="3068"/>
      <c r="G24" s="115"/>
      <c r="H24" s="115"/>
      <c r="I24" s="115"/>
      <c r="J24" s="115"/>
      <c r="K24" s="115"/>
      <c r="L24" s="115"/>
      <c r="M24" s="115"/>
      <c r="N24" s="115"/>
      <c r="O24" s="115"/>
      <c r="P24" s="115"/>
    </row>
    <row r="25" spans="3:16" ht="40.15" customHeight="1" x14ac:dyDescent="0.4">
      <c r="C25" s="1048"/>
      <c r="D25" s="115"/>
      <c r="E25" s="115"/>
      <c r="F25" s="115"/>
      <c r="G25" s="115"/>
      <c r="H25" s="115"/>
      <c r="I25" s="115"/>
      <c r="J25" s="2815" t="s">
        <v>4904</v>
      </c>
      <c r="K25" s="2815"/>
      <c r="L25" s="2815"/>
      <c r="M25" s="2815"/>
      <c r="N25" s="2815"/>
      <c r="O25" s="2815"/>
      <c r="P25" s="2815"/>
    </row>
  </sheetData>
  <mergeCells count="12">
    <mergeCell ref="A5:B5"/>
    <mergeCell ref="C5:T5"/>
    <mergeCell ref="C1:D1"/>
    <mergeCell ref="A3:B3"/>
    <mergeCell ref="C3:T3"/>
    <mergeCell ref="A4:B4"/>
    <mergeCell ref="C4:T4"/>
    <mergeCell ref="A6:B6"/>
    <mergeCell ref="C6:T6"/>
    <mergeCell ref="C9:F9"/>
    <mergeCell ref="C23:F24"/>
    <mergeCell ref="J25:P25"/>
  </mergeCells>
  <hyperlinks>
    <hyperlink ref="A1" location="'ODS 7.'!A1" display="REGRESAR" xr:uid="{9912449A-44B3-48C2-8E24-B39658CBDE77}"/>
    <hyperlink ref="C1:D1" location="'Metadato 7.b.1'!A1" display="VER METADATO" xr:uid="{78180157-C255-4C2C-B218-20B071184AED}"/>
  </hyperlinks>
  <pageMargins left="0.7" right="0.7" top="0.75" bottom="0.75" header="0.3" footer="0.3"/>
  <pageSetup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CC4E-F8D3-44B7-9161-E1E153D30B72}">
  <sheetPr>
    <tabColor theme="0" tint="-0.499984740745262"/>
  </sheetPr>
  <dimension ref="A1:F4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94.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084" t="s">
        <v>75</v>
      </c>
      <c r="C3" s="3084"/>
      <c r="D3" s="3084"/>
      <c r="F3" s="1286" t="s">
        <v>265</v>
      </c>
    </row>
    <row r="4" spans="1:6" ht="15.75" customHeight="1" x14ac:dyDescent="0.25">
      <c r="A4" s="1079"/>
      <c r="B4" s="2445" t="s">
        <v>234</v>
      </c>
      <c r="C4" s="2445"/>
      <c r="D4" s="49" t="s">
        <v>4698</v>
      </c>
    </row>
    <row r="5" spans="1:6" ht="65.25" customHeight="1" x14ac:dyDescent="0.25">
      <c r="B5" s="2445" t="s">
        <v>79</v>
      </c>
      <c r="C5" s="2445"/>
      <c r="D5" s="49" t="s">
        <v>4694</v>
      </c>
    </row>
    <row r="6" spans="1:6" x14ac:dyDescent="0.25">
      <c r="B6" s="2445" t="s">
        <v>80</v>
      </c>
      <c r="C6" s="2445"/>
      <c r="D6" s="50" t="s">
        <v>4695</v>
      </c>
    </row>
    <row r="7" spans="1:6" ht="37.5" x14ac:dyDescent="0.25">
      <c r="B7" s="2446" t="s">
        <v>81</v>
      </c>
      <c r="C7" s="2446"/>
      <c r="D7" s="93" t="s">
        <v>4696</v>
      </c>
    </row>
    <row r="8" spans="1:6" x14ac:dyDescent="0.25">
      <c r="B8" s="2446" t="s">
        <v>82</v>
      </c>
      <c r="C8" s="2446"/>
      <c r="D8" s="1047" t="s">
        <v>4905</v>
      </c>
    </row>
    <row r="9" spans="1:6" x14ac:dyDescent="0.4">
      <c r="B9" s="115"/>
      <c r="C9" s="115"/>
      <c r="D9" s="115"/>
    </row>
    <row r="10" spans="1:6" ht="23.25" customHeight="1" x14ac:dyDescent="0.25">
      <c r="B10" s="3084" t="s">
        <v>85</v>
      </c>
      <c r="C10" s="3084"/>
      <c r="D10" s="3084"/>
    </row>
    <row r="11" spans="1:6" x14ac:dyDescent="0.25">
      <c r="B11" s="2487" t="s">
        <v>86</v>
      </c>
      <c r="C11" s="2456"/>
      <c r="D11" s="49" t="s">
        <v>4906</v>
      </c>
    </row>
    <row r="12" spans="1:6" ht="15" customHeight="1" x14ac:dyDescent="0.25">
      <c r="B12" s="2446" t="s">
        <v>88</v>
      </c>
      <c r="C12" s="2446"/>
      <c r="D12" s="184" t="s">
        <v>4907</v>
      </c>
    </row>
    <row r="13" spans="1:6" x14ac:dyDescent="0.25">
      <c r="B13" s="2445" t="s">
        <v>90</v>
      </c>
      <c r="C13" s="2445"/>
      <c r="D13" s="54" t="s">
        <v>4695</v>
      </c>
    </row>
    <row r="14" spans="1:6" x14ac:dyDescent="0.25">
      <c r="B14" s="2445" t="s">
        <v>91</v>
      </c>
      <c r="C14" s="2456"/>
      <c r="D14" s="54" t="s">
        <v>92</v>
      </c>
    </row>
    <row r="15" spans="1:6" ht="112.5" x14ac:dyDescent="0.25">
      <c r="B15" s="2445" t="s">
        <v>93</v>
      </c>
      <c r="C15" s="2445"/>
      <c r="D15" s="49" t="s">
        <v>4908</v>
      </c>
    </row>
    <row r="16" spans="1:6" ht="131.25" x14ac:dyDescent="0.25">
      <c r="B16" s="2445" t="s">
        <v>95</v>
      </c>
      <c r="C16" s="2445"/>
      <c r="D16" s="55" t="s">
        <v>4909</v>
      </c>
    </row>
    <row r="17" spans="2:4" x14ac:dyDescent="0.25">
      <c r="B17" s="2445" t="s">
        <v>97</v>
      </c>
      <c r="C17" s="2445"/>
      <c r="D17" s="55" t="s">
        <v>4902</v>
      </c>
    </row>
    <row r="18" spans="2:4" x14ac:dyDescent="0.25">
      <c r="B18" s="2446" t="s">
        <v>99</v>
      </c>
      <c r="C18" s="2446"/>
      <c r="D18" s="49"/>
    </row>
    <row r="19" spans="2:4" ht="15" customHeight="1" x14ac:dyDescent="0.25">
      <c r="B19" s="2457" t="s">
        <v>100</v>
      </c>
      <c r="C19" s="2458"/>
      <c r="D19" s="55" t="s">
        <v>4910</v>
      </c>
    </row>
    <row r="20" spans="2:4" x14ac:dyDescent="0.25">
      <c r="B20" s="2445" t="s">
        <v>102</v>
      </c>
      <c r="C20" s="2445"/>
      <c r="D20" s="49" t="s">
        <v>103</v>
      </c>
    </row>
    <row r="21" spans="2:4" x14ac:dyDescent="0.25">
      <c r="B21" s="2451" t="s">
        <v>104</v>
      </c>
      <c r="C21" s="95" t="s">
        <v>105</v>
      </c>
      <c r="D21" s="49" t="s">
        <v>4810</v>
      </c>
    </row>
    <row r="22" spans="2:4" x14ac:dyDescent="0.25">
      <c r="B22" s="2452"/>
      <c r="C22" s="96" t="s">
        <v>107</v>
      </c>
      <c r="D22" s="55" t="s">
        <v>4810</v>
      </c>
    </row>
    <row r="23" spans="2:4" x14ac:dyDescent="0.25">
      <c r="B23" s="2445" t="s">
        <v>109</v>
      </c>
      <c r="C23" s="2445"/>
      <c r="D23" s="49" t="s">
        <v>143</v>
      </c>
    </row>
    <row r="24" spans="2:4" ht="56.25" x14ac:dyDescent="0.25">
      <c r="B24" s="2445" t="s">
        <v>111</v>
      </c>
      <c r="C24" s="2445"/>
      <c r="D24" s="49" t="s">
        <v>4911</v>
      </c>
    </row>
    <row r="25" spans="2:4" x14ac:dyDescent="0.25">
      <c r="B25" s="2445" t="s">
        <v>113</v>
      </c>
      <c r="C25" s="2445"/>
      <c r="D25" s="55" t="s">
        <v>1701</v>
      </c>
    </row>
    <row r="26" spans="2:4" ht="15" customHeight="1"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thickBot="1" x14ac:dyDescent="0.3">
      <c r="B31" s="3111" t="s">
        <v>121</v>
      </c>
      <c r="C31" s="3111"/>
      <c r="D31" s="3111"/>
    </row>
    <row r="32" spans="2:4" ht="21.75" customHeight="1" x14ac:dyDescent="0.25">
      <c r="B32" s="2885" t="s">
        <v>122</v>
      </c>
      <c r="C32" s="2886"/>
      <c r="D32" s="1287" t="s">
        <v>4814</v>
      </c>
    </row>
    <row r="33" spans="2:4" x14ac:dyDescent="0.25">
      <c r="B33" s="2882" t="s">
        <v>124</v>
      </c>
      <c r="C33" s="2448"/>
      <c r="D33" s="1288" t="s">
        <v>4815</v>
      </c>
    </row>
    <row r="34" spans="2:4" x14ac:dyDescent="0.25">
      <c r="B34" s="2882" t="s">
        <v>126</v>
      </c>
      <c r="C34" s="2448"/>
      <c r="D34" s="1288" t="s">
        <v>3388</v>
      </c>
    </row>
    <row r="35" spans="2:4" x14ac:dyDescent="0.25">
      <c r="B35" s="2882" t="s">
        <v>128</v>
      </c>
      <c r="C35" s="2448"/>
      <c r="D35" s="50" t="s">
        <v>4816</v>
      </c>
    </row>
    <row r="36" spans="2:4" ht="19.5" thickBot="1" x14ac:dyDescent="0.3">
      <c r="B36" s="2883" t="s">
        <v>130</v>
      </c>
      <c r="C36" s="2884"/>
      <c r="D36" s="1289" t="s">
        <v>3397</v>
      </c>
    </row>
    <row r="37" spans="2:4" x14ac:dyDescent="0.25">
      <c r="B37" s="2885" t="s">
        <v>122</v>
      </c>
      <c r="C37" s="2886"/>
      <c r="D37" s="1287" t="s">
        <v>4817</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4818</v>
      </c>
    </row>
    <row r="41" spans="2:4" ht="19.5" thickBot="1" x14ac:dyDescent="0.3">
      <c r="B41" s="2883" t="s">
        <v>130</v>
      </c>
      <c r="C41" s="2884"/>
      <c r="D41" s="1289" t="s">
        <v>3393</v>
      </c>
    </row>
    <row r="42" spans="2:4" x14ac:dyDescent="0.25">
      <c r="B42" s="2885" t="s">
        <v>122</v>
      </c>
      <c r="C42" s="2886"/>
      <c r="D42" s="1287" t="s">
        <v>4819</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4820</v>
      </c>
    </row>
    <row r="46" spans="2:4" ht="19.5" thickBot="1" x14ac:dyDescent="0.3">
      <c r="B46" s="2883" t="s">
        <v>130</v>
      </c>
      <c r="C46" s="2884"/>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69CA46AB-00CD-46D5-8C7A-2CADD2747466}">
      <formula1>Tipo_operación</formula1>
    </dataValidation>
    <dataValidation type="list" allowBlank="1" showInputMessage="1" showErrorMessage="1" sqref="D14" xr:uid="{70047CD3-689A-4F9C-A524-004A9A49AEAE}">
      <formula1>Tipo_indicador</formula1>
    </dataValidation>
    <dataValidation type="list" allowBlank="1" showInputMessage="1" showErrorMessage="1" sqref="D7" xr:uid="{B7717F8C-6CAB-4455-A3A4-C5DC22981F9C}">
      <formula1>Nombre_indicador_ODS</formula1>
    </dataValidation>
    <dataValidation type="list" allowBlank="1" showInputMessage="1" showErrorMessage="1" sqref="D6" xr:uid="{9EA22A6F-DB73-4EBA-8536-B5EDACAB7390}">
      <formula1>Numero_indicador</formula1>
    </dataValidation>
    <dataValidation type="list" allowBlank="1" showInputMessage="1" showErrorMessage="1" sqref="D5" xr:uid="{98BD935B-9DEE-4645-AF8C-E8A4D80C8D70}">
      <formula1>Metas_ODS</formula1>
    </dataValidation>
    <dataValidation type="list" allowBlank="1" showInputMessage="1" showErrorMessage="1" sqref="D4" xr:uid="{EEC3EC3E-56DE-4BB4-B814-12132D427E98}">
      <formula1>ODS</formula1>
    </dataValidation>
    <dataValidation allowBlank="1" showDropDown="1" showInputMessage="1" showErrorMessage="1" sqref="D13" xr:uid="{95AD4F20-7B42-401D-9645-A209D0EEEE52}"/>
  </dataValidations>
  <hyperlinks>
    <hyperlink ref="B1" location="'7.b.1'!A1" display="REGRESAR" xr:uid="{99E77620-30FA-4ADE-BCD1-D7511F05AC41}"/>
    <hyperlink ref="D8" r:id="rId1" xr:uid="{BE9DE54B-92CC-4AB3-ABB6-7351893F6FBD}"/>
    <hyperlink ref="D41" r:id="rId2" display="alvaradoqi@bccr.fi.cr" xr:uid="{CFAAF18C-40B4-4BFC-8706-B88658D86411}"/>
    <hyperlink ref="D36" r:id="rId3" xr:uid="{80F26CE3-ABF8-4735-95CE-E60EE64DC031}"/>
    <hyperlink ref="D46" r:id="rId4" display="rodriguezzm@bccr.fi.cr" xr:uid="{A128ADBD-9EEB-4905-8A37-1FD8FFE114FD}"/>
  </hyperlinks>
  <pageMargins left="0.7" right="0.7" top="0.75" bottom="0.75" header="0.3" footer="0.3"/>
  <drawing r:id="rId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67AD-4737-4CC6-AA60-5F31C843AF5C}">
  <sheetPr>
    <tabColor rgb="FFA21942"/>
  </sheetPr>
  <dimension ref="A1:E20"/>
  <sheetViews>
    <sheetView showGridLines="0" workbookViewId="0">
      <pane ySplit="4" topLeftCell="A13" activePane="bottomLeft" state="frozen"/>
      <selection sqref="A1:B1"/>
      <selection pane="bottomLeft" sqref="A1:B1"/>
    </sheetView>
  </sheetViews>
  <sheetFormatPr baseColWidth="10" defaultColWidth="11.42578125" defaultRowHeight="18.75" x14ac:dyDescent="0.4"/>
  <cols>
    <col min="1" max="2" width="11.42578125" style="5"/>
    <col min="3" max="3" width="71.28515625" style="5" customWidth="1"/>
    <col min="4" max="4" width="15.7109375" style="5" customWidth="1"/>
    <col min="5" max="5" width="73.28515625" style="5" customWidth="1"/>
    <col min="6" max="16384" width="11.42578125" style="5"/>
  </cols>
  <sheetData>
    <row r="1" spans="1:5" ht="19.5" x14ac:dyDescent="0.4">
      <c r="A1" s="2410" t="s">
        <v>1</v>
      </c>
      <c r="B1" s="2410"/>
    </row>
    <row r="3" spans="1:5" ht="59.45" customHeight="1" x14ac:dyDescent="0.4">
      <c r="C3" s="3112" t="s">
        <v>4912</v>
      </c>
      <c r="D3" s="3112"/>
      <c r="E3" s="3112"/>
    </row>
    <row r="4" spans="1:5" s="3" customFormat="1" ht="42.6" customHeight="1" x14ac:dyDescent="0.25">
      <c r="C4" s="8" t="s">
        <v>3</v>
      </c>
      <c r="D4" s="8" t="s">
        <v>4</v>
      </c>
      <c r="E4" s="8" t="s">
        <v>5</v>
      </c>
    </row>
    <row r="5" spans="1:5" s="3" customFormat="1" ht="78" x14ac:dyDescent="0.25">
      <c r="C5" s="10" t="s">
        <v>4913</v>
      </c>
      <c r="D5" s="11" t="s">
        <v>4914</v>
      </c>
      <c r="E5" s="12" t="s">
        <v>4915</v>
      </c>
    </row>
    <row r="6" spans="1:5" s="3" customFormat="1" ht="78" x14ac:dyDescent="0.25">
      <c r="C6" s="10" t="s">
        <v>4916</v>
      </c>
      <c r="D6" s="11" t="s">
        <v>4917</v>
      </c>
      <c r="E6" s="12" t="s">
        <v>4918</v>
      </c>
    </row>
    <row r="7" spans="1:5" s="3" customFormat="1" ht="97.5" x14ac:dyDescent="0.25">
      <c r="C7" s="10" t="s">
        <v>4919</v>
      </c>
      <c r="D7" s="11" t="s">
        <v>4920</v>
      </c>
      <c r="E7" s="12" t="s">
        <v>4921</v>
      </c>
    </row>
    <row r="8" spans="1:5" s="3" customFormat="1" ht="52.5" customHeight="1" x14ac:dyDescent="0.25">
      <c r="C8" s="2408" t="s">
        <v>4922</v>
      </c>
      <c r="D8" s="13" t="s">
        <v>4923</v>
      </c>
      <c r="E8" s="14" t="s">
        <v>4924</v>
      </c>
    </row>
    <row r="9" spans="1:5" s="3" customFormat="1" ht="52.5" customHeight="1" x14ac:dyDescent="0.25">
      <c r="C9" s="2409"/>
      <c r="D9" s="11" t="s">
        <v>4925</v>
      </c>
      <c r="E9" s="12" t="s">
        <v>4926</v>
      </c>
    </row>
    <row r="10" spans="1:5" s="3" customFormat="1" ht="44.45" customHeight="1" x14ac:dyDescent="0.25">
      <c r="C10" s="2408" t="s">
        <v>4927</v>
      </c>
      <c r="D10" s="11" t="s">
        <v>4928</v>
      </c>
      <c r="E10" s="12" t="s">
        <v>4929</v>
      </c>
    </row>
    <row r="11" spans="1:5" s="3" customFormat="1" ht="40.15" customHeight="1" x14ac:dyDescent="0.25">
      <c r="C11" s="2409"/>
      <c r="D11" s="11" t="s">
        <v>4930</v>
      </c>
      <c r="E11" s="12" t="s">
        <v>4931</v>
      </c>
    </row>
    <row r="12" spans="1:5" s="3" customFormat="1" ht="58.5" x14ac:dyDescent="0.25">
      <c r="C12" s="10" t="s">
        <v>4932</v>
      </c>
      <c r="D12" s="11" t="s">
        <v>4933</v>
      </c>
      <c r="E12" s="12" t="s">
        <v>4934</v>
      </c>
    </row>
    <row r="13" spans="1:5" s="3" customFormat="1" ht="80.25" customHeight="1" x14ac:dyDescent="0.25">
      <c r="C13" s="10" t="s">
        <v>4935</v>
      </c>
      <c r="D13" s="11" t="s">
        <v>4936</v>
      </c>
      <c r="E13" s="12" t="s">
        <v>4937</v>
      </c>
    </row>
    <row r="14" spans="1:5" s="3" customFormat="1" ht="40.15" customHeight="1" x14ac:dyDescent="0.25">
      <c r="B14" s="1439"/>
      <c r="C14" s="2408" t="s">
        <v>4938</v>
      </c>
      <c r="D14" s="11" t="s">
        <v>4939</v>
      </c>
      <c r="E14" s="12" t="s">
        <v>4940</v>
      </c>
    </row>
    <row r="15" spans="1:5" s="3" customFormat="1" ht="70.900000000000006" customHeight="1" x14ac:dyDescent="0.25">
      <c r="B15" s="1439"/>
      <c r="C15" s="2409"/>
      <c r="D15" s="11" t="s">
        <v>4941</v>
      </c>
      <c r="E15" s="12" t="s">
        <v>4942</v>
      </c>
    </row>
    <row r="16" spans="1:5" s="3" customFormat="1" ht="45" customHeight="1" x14ac:dyDescent="0.25">
      <c r="C16" s="10" t="s">
        <v>4943</v>
      </c>
      <c r="D16" s="11" t="s">
        <v>4944</v>
      </c>
      <c r="E16" s="12" t="s">
        <v>4945</v>
      </c>
    </row>
    <row r="17" spans="3:5" s="3" customFormat="1" ht="45" customHeight="1" x14ac:dyDescent="0.25">
      <c r="C17" s="2408" t="s">
        <v>4946</v>
      </c>
      <c r="D17" s="11" t="s">
        <v>4947</v>
      </c>
      <c r="E17" s="12" t="s">
        <v>4948</v>
      </c>
    </row>
    <row r="18" spans="3:5" s="3" customFormat="1" ht="52.9" customHeight="1" x14ac:dyDescent="0.25">
      <c r="C18" s="2409"/>
      <c r="D18" s="11" t="s">
        <v>4949</v>
      </c>
      <c r="E18" s="12" t="s">
        <v>4950</v>
      </c>
    </row>
    <row r="19" spans="3:5" s="3" customFormat="1" ht="71.25" customHeight="1" x14ac:dyDescent="0.25">
      <c r="C19" s="10" t="s">
        <v>4951</v>
      </c>
      <c r="D19" s="13" t="s">
        <v>4952</v>
      </c>
      <c r="E19" s="14" t="s">
        <v>4953</v>
      </c>
    </row>
    <row r="20" spans="3:5" s="3" customFormat="1" ht="59.25" customHeight="1" x14ac:dyDescent="0.25">
      <c r="C20" s="10" t="s">
        <v>4954</v>
      </c>
      <c r="D20" s="11" t="s">
        <v>4955</v>
      </c>
      <c r="E20" s="12" t="s">
        <v>4956</v>
      </c>
    </row>
  </sheetData>
  <mergeCells count="6">
    <mergeCell ref="C17:C18"/>
    <mergeCell ref="A1:B1"/>
    <mergeCell ref="C3:E3"/>
    <mergeCell ref="C8:C9"/>
    <mergeCell ref="C10:C11"/>
    <mergeCell ref="C14:C15"/>
  </mergeCells>
  <hyperlinks>
    <hyperlink ref="A1" location="Objetivos!A1" display="REGRESAR A INICIO" xr:uid="{42658BFB-033F-4060-A50F-B057FBF72F8D}"/>
    <hyperlink ref="A1:B1" location="'Lista de Objetivos'!A1" display="REGRESAR A INICIO" xr:uid="{2AF143AB-522D-40AE-8DCD-D273BA459575}"/>
    <hyperlink ref="D5" location="'8.1.1'!A1" display="8.1.1" xr:uid="{F4510CF5-4DE6-4F72-ABD4-F671F2AE6B68}"/>
    <hyperlink ref="E5" location="'8.1.1'!A1" display="8.1.1 Tasa de crecimiento anual del PIB real per cápita" xr:uid="{540AFCFA-B313-4D31-AEA4-EBF1CBA8F7C7}"/>
    <hyperlink ref="D6" location="'8.2.1'!A1" display="8.2.1" xr:uid="{EAA12958-F4CA-49F1-AD68-7A467CB62B7F}"/>
    <hyperlink ref="E6" location="'8.2.1'!A1" display="8.2.1 Tasa de crecimiento anual del PIB real por persona empleada" xr:uid="{EAF3E65F-BB8F-42DF-B5CC-A7194DFA8D93}"/>
    <hyperlink ref="D7" location="'8.3.1'!A1" display="8.3.1" xr:uid="{B02AE9E6-A54D-465F-88CA-01210772C4F0}"/>
    <hyperlink ref="E7" location="'8.3.1'!A1" display="8.3.1 Proporción de empleo informal con respecto al empleo total, desglosada por sector y sexo" xr:uid="{FE9153B6-5C06-4F85-95E8-11E3DB00D642}"/>
    <hyperlink ref="D8" location="'8.4.1'!A1" display="8.4.1" xr:uid="{DBA34C56-B518-4ED6-A7C5-9529DF0A140F}"/>
    <hyperlink ref="E8" location="'8.4.1'!A1" display="8.4.1 Huella material en términos absolutos, huella material per cápita y huella material por PIB" xr:uid="{CDD06637-5898-4145-B02E-6DBCAE8212AF}"/>
    <hyperlink ref="D9" location="'8.4.2'!A1" display="8.4.2" xr:uid="{293C1C91-9A05-40E6-B800-F79F06F962CE}"/>
    <hyperlink ref="E9" location="'8.4.2'!A1" display="8.4.2 Consumo material interno en términos absolutos, consumo material interno per cápita y consumo material interno por PIB" xr:uid="{E68CDCBB-355D-4E0A-8F2D-5EC4E7C8C619}"/>
    <hyperlink ref="D10" location="'8.5.1.a'!A1" display="8.5.1" xr:uid="{8A1D0791-12FD-4445-8ED5-443F17F87664}"/>
    <hyperlink ref="E10" location="'8.5.1.a'!A1" display="8.5.1 Ingreso medio por hora de las personas empleadas, desglosado por sexo, edad, ocupación y personas con discapacidad" xr:uid="{66CFC1BA-66B4-4799-B2DA-EA2DD9611968}"/>
    <hyperlink ref="D11" location="'8.5.2'!A1" display="8.5.2" xr:uid="{84217DE0-374E-4ACC-BC05-37868397B02B}"/>
    <hyperlink ref="E11" location="'8.5.2'!A1" display="8.5.2 Tasa de desempleo, desglosada por sexo, edad y personas con discapacidad" xr:uid="{0F1246EE-8932-465A-9FC9-B95747F9C71A}"/>
    <hyperlink ref="D12" location="'8.6.1'!A1" display="8.6.1" xr:uid="{0A74E574-5990-4575-99CF-8A31110B3B80}"/>
    <hyperlink ref="E12" location="'8.6.1'!A1" display="8.6.1 Proporción de jóvenes (entre 15 y 24 años) que no cursan estudios, no están empleados ni reciben capacitación" xr:uid="{EF653BEC-ACC8-4449-BC03-5280F39986DB}"/>
    <hyperlink ref="D13" location="'8.7.1'!A1" display="8.7.1" xr:uid="{3D509AC8-9514-4E63-BAEA-099DB3CD26D8}"/>
    <hyperlink ref="E13" location="'8.7.1'!A1" display="8.7.1 Proporción y número de niños de entre 5 y 17 años que realizan trabajo infantil, desglosados por sexo y edad" xr:uid="{7ED6530E-3D67-4490-93A4-7C24704B2EFB}"/>
    <hyperlink ref="D14" location="'8.8.1'!A1" display="8.8.1" xr:uid="{9AC0CE3B-8B5C-4B24-83E5-314D5F6EC024}"/>
    <hyperlink ref="E14" location="'8.8.1'!A1" display="8.8.1 Lesiones ocupacionales mortales y no mortales por cada 100.000 trabajadores, desglosadas por sexo y estatus migratorio" xr:uid="{1B287F57-ADAB-41DB-8E54-D46289331B0A}"/>
    <hyperlink ref="D15" location="'8.8.2.a'!A1" display="8.8.2" xr:uid="{6AFBF3B2-E5B7-431D-B9D2-CAABA0A3E7C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A5179673-A53B-4995-ACD7-F45F667EFAD6}"/>
    <hyperlink ref="D16" location="'8.9.1'!A1" display="8.9.1" xr:uid="{171FB2C5-C1CA-4CAA-B48E-EA629A7E695C}"/>
    <hyperlink ref="E16" location="'8.9.1'!A1" display="8.9.1 PIB generado directamente por el turismo en proporción al PIB total y a la tasa de crecimiento" xr:uid="{0756412C-D8C0-4DBC-A496-53B4C85FB213}"/>
    <hyperlink ref="D17" location="'8.10.1.a'!A1" display="8.10.1" xr:uid="{DC9FAE8C-0A03-4CEC-AB7C-84B2244BA779}"/>
    <hyperlink ref="E17" location="'8.10.1.a'!A1" display="8.10.1 a) Número de sucursales de bancos comerciales por cada 100.000 adultos y b) número de cajeros automáticos por cada 100.000 adultos" xr:uid="{542C648B-155F-4BD7-B9D3-957A4C706373}"/>
    <hyperlink ref="D18" location="'8.10.2'!A1" display="8.10.2" xr:uid="{988DA768-A6B7-4E61-8C7B-3B5A6EA2FE55}"/>
    <hyperlink ref="E18" location="'8.10.2'!A1" display="8.10.2 Proporción de adultos (a partir de 15 años de edad) que tienen una cuenta en un banco u otra institución financiera o un proveedor de servicios de dinero móvil" xr:uid="{379769BE-4D56-4B10-81CC-563694C29910}"/>
    <hyperlink ref="D19" location="'8.a.1'!A1" display="8.a.1" xr:uid="{235AD3FB-E687-49DA-9445-DBD8CCE4129A}"/>
    <hyperlink ref="E19" location="'8.a.1'!A1" display="8.a.1 Compromisos y desembolsos en relación con la iniciativa Ayuda para el Comercio" xr:uid="{1922B98D-D399-4FCD-B9FB-3A5478106236}"/>
    <hyperlink ref="D20" location="'8.b.1'!A1" display="8.b.1" xr:uid="{84B8D540-3DBC-41ED-9C2D-D769ED1FCE7E}"/>
    <hyperlink ref="E20" location="'8.b.1'!A1" display="8.b.1 Existencia de una estrategia nacional organizada y en marcha para el empleo de los jóvenes, como estrategia independiente o como parte de una estrategia nacional de empleo" xr:uid="{B52060ED-23B4-415E-AD9B-A3AABB56730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B878-D842-4CD5-996E-573CE50B1EC1}">
  <sheetPr>
    <tabColor theme="0" tint="-0.499984740745262"/>
  </sheetPr>
  <dimension ref="B1:G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3.7109375" style="222" customWidth="1"/>
    <col min="2" max="2" width="11.42578125" style="222"/>
    <col min="3" max="3" width="26.42578125" style="222" customWidth="1"/>
    <col min="4" max="4" width="24" style="222" customWidth="1"/>
    <col min="5" max="5" width="85.7109375" style="222" customWidth="1"/>
    <col min="6" max="6" width="8.28515625" style="222" customWidth="1"/>
    <col min="7" max="7" width="7.28515625" style="222" customWidth="1"/>
    <col min="8" max="10" width="8.28515625" style="222" customWidth="1"/>
    <col min="11" max="11" width="2.7109375" style="222" customWidth="1"/>
    <col min="12" max="19" width="8.5703125" style="222" customWidth="1"/>
    <col min="20" max="20" width="2.5703125" style="222" customWidth="1"/>
    <col min="21" max="28" width="8.5703125" style="222" customWidth="1"/>
    <col min="29" max="16384" width="11.42578125" style="222"/>
  </cols>
  <sheetData>
    <row r="1" spans="2:7" x14ac:dyDescent="0.25">
      <c r="B1" s="235"/>
      <c r="C1" s="223" t="s">
        <v>39</v>
      </c>
    </row>
    <row r="2" spans="2:7" ht="19.5" thickBot="1" x14ac:dyDescent="0.3"/>
    <row r="3" spans="2:7" ht="23.25" customHeight="1" thickBot="1" x14ac:dyDescent="0.3">
      <c r="C3" s="2431" t="s">
        <v>75</v>
      </c>
      <c r="D3" s="2431"/>
      <c r="E3" s="2431"/>
      <c r="G3" s="91" t="s">
        <v>265</v>
      </c>
    </row>
    <row r="4" spans="2:7" ht="17.25" customHeight="1" x14ac:dyDescent="0.25">
      <c r="B4" s="224"/>
      <c r="C4" s="2445" t="s">
        <v>234</v>
      </c>
      <c r="D4" s="2445"/>
      <c r="E4" s="49" t="s">
        <v>78</v>
      </c>
    </row>
    <row r="5" spans="2:7" ht="56.25" x14ac:dyDescent="0.25">
      <c r="C5" s="2445" t="s">
        <v>79</v>
      </c>
      <c r="D5" s="2445"/>
      <c r="E5" s="49" t="s">
        <v>22</v>
      </c>
    </row>
    <row r="6" spans="2:7" x14ac:dyDescent="0.25">
      <c r="B6" s="224"/>
      <c r="C6" s="2445" t="s">
        <v>80</v>
      </c>
      <c r="D6" s="2445"/>
      <c r="E6" s="50" t="s">
        <v>29</v>
      </c>
    </row>
    <row r="7" spans="2:7" ht="56.25" x14ac:dyDescent="0.25">
      <c r="C7" s="2446" t="s">
        <v>81</v>
      </c>
      <c r="D7" s="2446"/>
      <c r="E7" s="93" t="s">
        <v>30</v>
      </c>
    </row>
    <row r="8" spans="2:7" x14ac:dyDescent="0.25">
      <c r="C8" s="2474" t="s">
        <v>82</v>
      </c>
      <c r="D8" s="2474"/>
      <c r="E8" s="94" t="s">
        <v>339</v>
      </c>
    </row>
    <row r="9" spans="2:7" x14ac:dyDescent="0.4">
      <c r="C9" s="5"/>
      <c r="D9" s="5"/>
      <c r="E9" s="5"/>
    </row>
    <row r="10" spans="2:7" ht="23.25" customHeight="1" x14ac:dyDescent="0.25">
      <c r="C10" s="2431" t="s">
        <v>85</v>
      </c>
      <c r="D10" s="2431"/>
      <c r="E10" s="2431"/>
    </row>
    <row r="11" spans="2:7" x14ac:dyDescent="0.25">
      <c r="C11" s="2453" t="s">
        <v>86</v>
      </c>
      <c r="D11" s="2454"/>
      <c r="E11" s="49" t="s">
        <v>167</v>
      </c>
    </row>
    <row r="12" spans="2:7" ht="35.25" customHeight="1" x14ac:dyDescent="0.25">
      <c r="C12" s="2455" t="s">
        <v>88</v>
      </c>
      <c r="D12" s="2455"/>
      <c r="E12" s="169" t="s">
        <v>340</v>
      </c>
    </row>
    <row r="13" spans="2:7" x14ac:dyDescent="0.25">
      <c r="C13" s="2445" t="s">
        <v>90</v>
      </c>
      <c r="D13" s="2445"/>
      <c r="E13" s="54" t="s">
        <v>29</v>
      </c>
    </row>
    <row r="14" spans="2:7" x14ac:dyDescent="0.25">
      <c r="C14" s="2445" t="s">
        <v>91</v>
      </c>
      <c r="D14" s="2456"/>
      <c r="E14" s="54" t="s">
        <v>92</v>
      </c>
    </row>
    <row r="15" spans="2:7" ht="281.25" x14ac:dyDescent="0.25">
      <c r="C15" s="2445" t="s">
        <v>93</v>
      </c>
      <c r="D15" s="2445"/>
      <c r="E15" s="56" t="s">
        <v>341</v>
      </c>
    </row>
    <row r="16" spans="2:7" ht="40.5" customHeight="1" x14ac:dyDescent="0.25">
      <c r="C16" s="2445" t="s">
        <v>95</v>
      </c>
      <c r="D16" s="2445"/>
      <c r="E16" s="49"/>
    </row>
    <row r="17" spans="3:5" ht="24" customHeight="1" x14ac:dyDescent="0.25">
      <c r="C17" s="2445" t="s">
        <v>97</v>
      </c>
      <c r="D17" s="2445"/>
      <c r="E17" s="56" t="s">
        <v>98</v>
      </c>
    </row>
    <row r="18" spans="3:5" x14ac:dyDescent="0.25">
      <c r="C18" s="2446" t="s">
        <v>99</v>
      </c>
      <c r="D18" s="2446"/>
      <c r="E18" s="49"/>
    </row>
    <row r="19" spans="3:5" ht="32.25" customHeight="1" x14ac:dyDescent="0.25">
      <c r="C19" s="2457" t="s">
        <v>100</v>
      </c>
      <c r="D19" s="2458"/>
      <c r="E19" s="56" t="s">
        <v>342</v>
      </c>
    </row>
    <row r="20" spans="3:5" x14ac:dyDescent="0.25">
      <c r="C20" s="2445" t="s">
        <v>102</v>
      </c>
      <c r="D20" s="2445"/>
      <c r="E20" s="56" t="s">
        <v>140</v>
      </c>
    </row>
    <row r="21" spans="3:5" x14ac:dyDescent="0.25">
      <c r="C21" s="2451" t="s">
        <v>104</v>
      </c>
      <c r="D21" s="95" t="s">
        <v>105</v>
      </c>
      <c r="E21" s="49" t="s">
        <v>327</v>
      </c>
    </row>
    <row r="22" spans="3:5" x14ac:dyDescent="0.25">
      <c r="C22" s="2452"/>
      <c r="D22" s="96" t="s">
        <v>107</v>
      </c>
      <c r="E22" s="55"/>
    </row>
    <row r="23" spans="3:5" x14ac:dyDescent="0.25">
      <c r="C23" s="2444" t="s">
        <v>109</v>
      </c>
      <c r="D23" s="2444"/>
      <c r="E23" s="49" t="s">
        <v>143</v>
      </c>
    </row>
    <row r="24" spans="3:5" x14ac:dyDescent="0.25">
      <c r="C24" s="2444" t="s">
        <v>111</v>
      </c>
      <c r="D24" s="2444"/>
      <c r="E24" s="59" t="s">
        <v>273</v>
      </c>
    </row>
    <row r="25" spans="3:5" x14ac:dyDescent="0.25">
      <c r="C25" s="2445" t="s">
        <v>113</v>
      </c>
      <c r="D25" s="2445"/>
      <c r="E25" s="56" t="s">
        <v>220</v>
      </c>
    </row>
    <row r="26" spans="3:5" ht="15" customHeight="1" x14ac:dyDescent="0.25">
      <c r="C26" s="2446" t="s">
        <v>115</v>
      </c>
      <c r="D26" s="2446"/>
      <c r="E26" s="49"/>
    </row>
    <row r="27" spans="3:5" x14ac:dyDescent="0.25">
      <c r="C27" s="2447" t="s">
        <v>117</v>
      </c>
      <c r="D27" s="2448"/>
      <c r="E27" s="49"/>
    </row>
    <row r="28" spans="3:5" x14ac:dyDescent="0.25">
      <c r="C28" s="97" t="s">
        <v>118</v>
      </c>
      <c r="D28" s="98"/>
      <c r="E28" s="56" t="s">
        <v>343</v>
      </c>
    </row>
    <row r="29" spans="3:5" x14ac:dyDescent="0.25">
      <c r="C29" s="2449" t="s">
        <v>120</v>
      </c>
      <c r="D29" s="2450"/>
      <c r="E29" s="62"/>
    </row>
    <row r="30" spans="3:5" x14ac:dyDescent="0.25">
      <c r="C30" s="63"/>
      <c r="D30" s="63"/>
      <c r="E30" s="64"/>
    </row>
    <row r="31" spans="3:5" ht="23.25" customHeight="1" x14ac:dyDescent="0.25">
      <c r="C31" s="2431" t="s">
        <v>121</v>
      </c>
      <c r="D31" s="2431"/>
      <c r="E31" s="2431"/>
    </row>
    <row r="32" spans="3:5" x14ac:dyDescent="0.25">
      <c r="C32" s="2442" t="s">
        <v>122</v>
      </c>
      <c r="D32" s="2443"/>
      <c r="E32" s="59" t="s">
        <v>276</v>
      </c>
    </row>
    <row r="33" spans="3:5" x14ac:dyDescent="0.25">
      <c r="C33" s="2442" t="s">
        <v>124</v>
      </c>
      <c r="D33" s="2443"/>
      <c r="E33" s="59" t="s">
        <v>277</v>
      </c>
    </row>
    <row r="34" spans="3:5" x14ac:dyDescent="0.25">
      <c r="C34" s="2442" t="s">
        <v>126</v>
      </c>
      <c r="D34" s="2443"/>
      <c r="E34" s="59" t="s">
        <v>273</v>
      </c>
    </row>
    <row r="35" spans="3:5" x14ac:dyDescent="0.25">
      <c r="C35" s="2442" t="s">
        <v>128</v>
      </c>
      <c r="D35" s="2443"/>
      <c r="E35" s="59" t="s">
        <v>344</v>
      </c>
    </row>
    <row r="36" spans="3:5" x14ac:dyDescent="0.25">
      <c r="C36" s="2442" t="s">
        <v>130</v>
      </c>
      <c r="D36" s="2443"/>
      <c r="E36" s="59" t="s">
        <v>279</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C50CE48A-BE24-457B-AC45-3583FB0B7769}">
      <formula1>Tipo_operación</formula1>
    </dataValidation>
    <dataValidation type="list" allowBlank="1" showInputMessage="1" showErrorMessage="1" sqref="E14" xr:uid="{4EAFF0FD-2527-4382-B2CF-3EA848AB4D7B}">
      <formula1>Tipo_indicador</formula1>
    </dataValidation>
    <dataValidation type="list" allowBlank="1" showInputMessage="1" showErrorMessage="1" sqref="E7" xr:uid="{2BF2C2C3-3CE6-4A42-A8F4-F796EDFC23D5}">
      <formula1>Nombre_indicador_ODS</formula1>
    </dataValidation>
    <dataValidation type="list" allowBlank="1" showInputMessage="1" showErrorMessage="1" sqref="E6" xr:uid="{F752BDFD-CCF3-48A0-82FD-08D4A7715D1C}">
      <formula1>Numero_indicador</formula1>
    </dataValidation>
    <dataValidation type="list" allowBlank="1" showInputMessage="1" showErrorMessage="1" sqref="E5" xr:uid="{4E962AC0-F7FB-49E7-A014-CEC3DF8B6B21}">
      <formula1>Metas_ODS</formula1>
    </dataValidation>
    <dataValidation type="list" allowBlank="1" showInputMessage="1" showErrorMessage="1" sqref="E4" xr:uid="{A05325A8-F366-493D-BF98-6991B2BB208C}">
      <formula1>ODS</formula1>
    </dataValidation>
    <dataValidation allowBlank="1" showDropDown="1" showInputMessage="1" showErrorMessage="1" sqref="E13" xr:uid="{5F0BB035-58C7-464E-8361-2493AE03ECCF}"/>
  </dataValidations>
  <hyperlinks>
    <hyperlink ref="C1" location="'1.5.4'!A1" display="REGRESAR" xr:uid="{CB64442A-D28D-4239-B754-4B492AC89BB8}"/>
    <hyperlink ref="E8" r:id="rId1" xr:uid="{BC071363-2AEA-49FA-B541-0249FD25FDEE}"/>
  </hyperlinks>
  <pageMargins left="0.7" right="0.7" top="0.75" bottom="0.75" header="0.3" footer="0.3"/>
  <pageSetup orientation="portrait" r:id="rId2"/>
  <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D119-9B04-43E8-863A-46425F5A922B}">
  <dimension ref="A1:W68"/>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2" width="16.7109375" style="115" customWidth="1"/>
    <col min="3" max="3" width="9.42578125" style="115" customWidth="1"/>
    <col min="4" max="4" width="19.85546875" style="115" customWidth="1"/>
    <col min="5" max="5" width="12.7109375" style="115" customWidth="1"/>
    <col min="6" max="6" width="12.28515625" style="115" customWidth="1"/>
    <col min="7" max="7" width="10.5703125" style="115" customWidth="1"/>
    <col min="8" max="25" width="7.7109375" style="115" bestFit="1" customWidth="1"/>
    <col min="26" max="26" width="8.28515625" style="115" bestFit="1" customWidth="1"/>
    <col min="27" max="28" width="7.7109375" style="115" bestFit="1" customWidth="1"/>
    <col min="29" max="16384" width="11.42578125" style="115"/>
  </cols>
  <sheetData>
    <row r="1" spans="1:23" s="1032" customFormat="1" ht="19.5" x14ac:dyDescent="0.4">
      <c r="A1" s="15" t="s">
        <v>39</v>
      </c>
      <c r="C1" s="2421" t="s">
        <v>149</v>
      </c>
      <c r="D1" s="2421"/>
    </row>
    <row r="2" spans="1:23" s="1032" customFormat="1" ht="19.5" x14ac:dyDescent="0.4"/>
    <row r="3" spans="1:23" s="1032" customFormat="1" ht="19.5" x14ac:dyDescent="0.4">
      <c r="A3" s="3115" t="s">
        <v>41</v>
      </c>
      <c r="B3" s="3116"/>
      <c r="C3" s="3117" t="s">
        <v>4957</v>
      </c>
      <c r="D3" s="3117"/>
      <c r="E3" s="3117"/>
      <c r="F3" s="3117"/>
      <c r="G3" s="3117"/>
      <c r="H3" s="3117"/>
      <c r="I3" s="3117"/>
      <c r="J3" s="3117"/>
      <c r="K3" s="3117"/>
      <c r="L3" s="3117"/>
      <c r="M3" s="3117"/>
      <c r="N3" s="3117"/>
      <c r="O3" s="3117"/>
      <c r="P3" s="3117"/>
      <c r="Q3" s="3117"/>
      <c r="R3" s="3117"/>
      <c r="S3" s="3117"/>
      <c r="T3" s="3117"/>
      <c r="U3" s="3117"/>
      <c r="V3" s="3117"/>
      <c r="W3" s="3117"/>
    </row>
    <row r="4" spans="1:23" s="1032" customFormat="1" ht="19.5" x14ac:dyDescent="0.4">
      <c r="A4" s="3115" t="s">
        <v>42</v>
      </c>
      <c r="B4" s="3116"/>
      <c r="C4" s="3117" t="s">
        <v>4913</v>
      </c>
      <c r="D4" s="3117"/>
      <c r="E4" s="3117"/>
      <c r="F4" s="3117"/>
      <c r="G4" s="3117"/>
      <c r="H4" s="3117"/>
      <c r="I4" s="3117"/>
      <c r="J4" s="3117"/>
      <c r="K4" s="3117"/>
      <c r="L4" s="3117"/>
      <c r="M4" s="3117"/>
      <c r="N4" s="3117"/>
      <c r="O4" s="3117"/>
      <c r="P4" s="3117"/>
      <c r="Q4" s="3117"/>
      <c r="R4" s="3117"/>
      <c r="S4" s="3117"/>
      <c r="T4" s="3117"/>
      <c r="U4" s="3117"/>
      <c r="V4" s="3117"/>
      <c r="W4" s="3117"/>
    </row>
    <row r="5" spans="1:23" s="1032" customFormat="1" ht="19.5" x14ac:dyDescent="0.4">
      <c r="A5" s="3115" t="s">
        <v>43</v>
      </c>
      <c r="B5" s="3116"/>
      <c r="C5" s="3117" t="s">
        <v>4915</v>
      </c>
      <c r="D5" s="3117"/>
      <c r="E5" s="3117"/>
      <c r="F5" s="3117"/>
      <c r="G5" s="3117"/>
      <c r="H5" s="3117"/>
      <c r="I5" s="3117"/>
      <c r="J5" s="3117"/>
      <c r="K5" s="3117"/>
      <c r="L5" s="3117"/>
      <c r="M5" s="3117"/>
      <c r="N5" s="3117"/>
      <c r="O5" s="3117"/>
      <c r="P5" s="3117"/>
      <c r="Q5" s="3117"/>
      <c r="R5" s="3117"/>
      <c r="S5" s="3117"/>
      <c r="T5" s="3117"/>
      <c r="U5" s="3117"/>
      <c r="V5" s="3117"/>
      <c r="W5" s="3117"/>
    </row>
    <row r="6" spans="1:23" s="1032" customFormat="1" ht="36" customHeight="1" x14ac:dyDescent="0.4">
      <c r="A6" s="3115" t="s">
        <v>132</v>
      </c>
      <c r="B6" s="3116"/>
      <c r="C6" s="3117" t="s">
        <v>4958</v>
      </c>
      <c r="D6" s="3117"/>
      <c r="E6" s="3117"/>
      <c r="F6" s="3117"/>
      <c r="G6" s="3117"/>
      <c r="H6" s="3117"/>
      <c r="I6" s="3117"/>
      <c r="J6" s="3117"/>
      <c r="K6" s="3117"/>
      <c r="L6" s="3117"/>
      <c r="M6" s="3117"/>
      <c r="N6" s="3117"/>
      <c r="O6" s="3117"/>
      <c r="P6" s="3117"/>
      <c r="Q6" s="3117"/>
      <c r="R6" s="3117"/>
      <c r="S6" s="3117"/>
      <c r="T6" s="3117"/>
      <c r="U6" s="3117"/>
      <c r="V6" s="3117"/>
      <c r="W6" s="3117"/>
    </row>
    <row r="7" spans="1:23" s="1032" customFormat="1" ht="19.5" x14ac:dyDescent="0.4"/>
    <row r="8" spans="1:23" s="1032" customFormat="1" ht="19.5" x14ac:dyDescent="0.4"/>
    <row r="9" spans="1:23" s="1032" customFormat="1" ht="19.5" x14ac:dyDescent="0.4">
      <c r="C9" s="3118" t="s">
        <v>4959</v>
      </c>
      <c r="D9" s="3118"/>
      <c r="E9" s="3118"/>
      <c r="F9" s="3118"/>
      <c r="G9" s="3118"/>
      <c r="L9" s="532" t="s">
        <v>4960</v>
      </c>
    </row>
    <row r="10" spans="1:23" s="1032" customFormat="1" ht="10.15" customHeight="1" x14ac:dyDescent="0.4">
      <c r="C10" s="1440"/>
      <c r="D10" s="1440"/>
      <c r="E10" s="1440"/>
      <c r="F10" s="1440"/>
      <c r="G10" s="1440"/>
    </row>
    <row r="11" spans="1:23" ht="73.5" customHeight="1" x14ac:dyDescent="0.4">
      <c r="A11" s="141"/>
      <c r="C11" s="1441" t="s">
        <v>247</v>
      </c>
      <c r="D11" s="1442" t="s">
        <v>4961</v>
      </c>
      <c r="E11" s="1442" t="s">
        <v>4900</v>
      </c>
      <c r="F11" s="1442" t="s">
        <v>4962</v>
      </c>
      <c r="G11" s="1443" t="s">
        <v>4963</v>
      </c>
    </row>
    <row r="12" spans="1:23" x14ac:dyDescent="0.4">
      <c r="A12" s="536"/>
      <c r="C12" s="232">
        <v>1991</v>
      </c>
      <c r="D12" s="1444">
        <v>10804736.370988602</v>
      </c>
      <c r="E12" s="1445">
        <v>3101536</v>
      </c>
      <c r="F12" s="1444">
        <f>+D12/E12*1000000</f>
        <v>3483672.7257038453</v>
      </c>
      <c r="G12" s="1446"/>
    </row>
    <row r="13" spans="1:23" x14ac:dyDescent="0.4">
      <c r="A13" s="283"/>
      <c r="C13" s="232">
        <v>1992</v>
      </c>
      <c r="D13" s="1444">
        <v>11798891.372472387</v>
      </c>
      <c r="E13" s="1445">
        <v>3170537</v>
      </c>
      <c r="F13" s="1444">
        <f t="shared" ref="F13:F44" si="0">+D13/E13*1000000</f>
        <v>3721417.3411230925</v>
      </c>
      <c r="G13" s="416">
        <f>+(F13-F12)/F12*100</f>
        <v>6.8245393335911881</v>
      </c>
    </row>
    <row r="14" spans="1:23" x14ac:dyDescent="0.4">
      <c r="A14" s="283"/>
      <c r="C14" s="232">
        <v>1993</v>
      </c>
      <c r="D14" s="1444">
        <v>12636281.257377429</v>
      </c>
      <c r="E14" s="1445">
        <v>3239868</v>
      </c>
      <c r="F14" s="1444">
        <f t="shared" si="0"/>
        <v>3900245.7067317027</v>
      </c>
      <c r="G14" s="416">
        <f t="shared" ref="G14:G44" si="1">+(F14-F13)/F13*100</f>
        <v>4.8053832509589292</v>
      </c>
    </row>
    <row r="15" spans="1:23" x14ac:dyDescent="0.4">
      <c r="A15" s="283"/>
      <c r="C15" s="232">
        <v>1994</v>
      </c>
      <c r="D15" s="1444">
        <v>13207318.393169858</v>
      </c>
      <c r="E15" s="1445">
        <v>3334223</v>
      </c>
      <c r="F15" s="1444">
        <f t="shared" si="0"/>
        <v>3961138.2901413185</v>
      </c>
      <c r="G15" s="416">
        <f t="shared" si="1"/>
        <v>1.5612499311137524</v>
      </c>
    </row>
    <row r="16" spans="1:23" x14ac:dyDescent="0.4">
      <c r="A16" s="283"/>
      <c r="C16" s="232">
        <v>1995</v>
      </c>
      <c r="D16" s="1444">
        <v>13755944.197470063</v>
      </c>
      <c r="E16" s="1445">
        <v>3428278</v>
      </c>
      <c r="F16" s="1444">
        <f t="shared" si="0"/>
        <v>4012493.7935225968</v>
      </c>
      <c r="G16" s="416">
        <f t="shared" si="1"/>
        <v>1.2964834756992589</v>
      </c>
    </row>
    <row r="17" spans="1:12" x14ac:dyDescent="0.4">
      <c r="A17" s="283"/>
      <c r="C17" s="232">
        <v>1996</v>
      </c>
      <c r="D17" s="1444">
        <v>13941712.658144491</v>
      </c>
      <c r="E17" s="1445">
        <v>3520866</v>
      </c>
      <c r="F17" s="1444">
        <f t="shared" si="0"/>
        <v>3959739.6373916222</v>
      </c>
      <c r="G17" s="416">
        <f t="shared" si="1"/>
        <v>-1.3147473577687803</v>
      </c>
    </row>
    <row r="18" spans="1:12" x14ac:dyDescent="0.4">
      <c r="A18" s="283"/>
      <c r="C18" s="232">
        <v>1997</v>
      </c>
      <c r="D18" s="1444">
        <v>14705183.955023307</v>
      </c>
      <c r="E18" s="1445">
        <v>3611224</v>
      </c>
      <c r="F18" s="1444">
        <f>+D18/E18*1000000</f>
        <v>4072077.4881379018</v>
      </c>
      <c r="G18" s="416">
        <f t="shared" si="1"/>
        <v>2.8370009403011984</v>
      </c>
    </row>
    <row r="19" spans="1:12" x14ac:dyDescent="0.4">
      <c r="A19" s="283"/>
      <c r="C19" s="232">
        <v>1998</v>
      </c>
      <c r="D19" s="1444">
        <v>15757385.243777936</v>
      </c>
      <c r="E19" s="1445">
        <v>3699939</v>
      </c>
      <c r="F19" s="1444">
        <f t="shared" si="0"/>
        <v>4258822.9816161664</v>
      </c>
      <c r="G19" s="416">
        <f t="shared" si="1"/>
        <v>4.5860004880128269</v>
      </c>
    </row>
    <row r="20" spans="1:12" x14ac:dyDescent="0.4">
      <c r="A20" s="283"/>
      <c r="C20" s="232">
        <v>1999</v>
      </c>
      <c r="D20" s="1444">
        <v>16421529.277097158</v>
      </c>
      <c r="E20" s="1445">
        <v>3786841</v>
      </c>
      <c r="F20" s="1444">
        <f t="shared" si="0"/>
        <v>4336471.818356555</v>
      </c>
      <c r="G20" s="416">
        <f t="shared" si="1"/>
        <v>1.8232464010730458</v>
      </c>
    </row>
    <row r="21" spans="1:12" x14ac:dyDescent="0.4">
      <c r="A21" s="283"/>
      <c r="C21" s="232">
        <v>2000</v>
      </c>
      <c r="D21" s="1444">
        <v>17056831.950629041</v>
      </c>
      <c r="E21" s="1445">
        <v>3872349</v>
      </c>
      <c r="F21" s="1444">
        <f t="shared" si="0"/>
        <v>4404776.5195309203</v>
      </c>
      <c r="G21" s="416">
        <f t="shared" si="1"/>
        <v>1.5751215281793671</v>
      </c>
      <c r="L21" s="155" t="s">
        <v>4964</v>
      </c>
    </row>
    <row r="22" spans="1:12" x14ac:dyDescent="0.4">
      <c r="A22" s="283"/>
      <c r="C22" s="232">
        <v>2001</v>
      </c>
      <c r="D22" s="1444">
        <v>17652314.928866763</v>
      </c>
      <c r="E22" s="1445">
        <v>3953393</v>
      </c>
      <c r="F22" s="1444">
        <f t="shared" si="0"/>
        <v>4465105.0196291544</v>
      </c>
      <c r="G22" s="416">
        <f t="shared" si="1"/>
        <v>1.3696154579179112</v>
      </c>
    </row>
    <row r="23" spans="1:12" x14ac:dyDescent="0.4">
      <c r="A23" s="283"/>
      <c r="C23" s="232">
        <v>2002</v>
      </c>
      <c r="D23" s="1444">
        <v>18255472.710025299</v>
      </c>
      <c r="E23" s="1445">
        <v>4022431</v>
      </c>
      <c r="F23" s="1444">
        <f t="shared" si="0"/>
        <v>4538417.8647254109</v>
      </c>
      <c r="G23" s="416">
        <f t="shared" si="1"/>
        <v>1.6419064002742205</v>
      </c>
    </row>
    <row r="24" spans="1:12" x14ac:dyDescent="0.4">
      <c r="A24" s="283"/>
      <c r="C24" s="232">
        <v>2003</v>
      </c>
      <c r="D24" s="1444">
        <v>19043594.30233784</v>
      </c>
      <c r="E24" s="1445">
        <v>4086405</v>
      </c>
      <c r="F24" s="1444">
        <f t="shared" si="0"/>
        <v>4660231.7446111776</v>
      </c>
      <c r="G24" s="416">
        <f t="shared" si="1"/>
        <v>2.6840604703361044</v>
      </c>
    </row>
    <row r="25" spans="1:12" x14ac:dyDescent="0.4">
      <c r="A25" s="283"/>
      <c r="C25" s="232">
        <v>2004</v>
      </c>
      <c r="D25" s="1444">
        <v>19886197.099071365</v>
      </c>
      <c r="E25" s="1445">
        <v>4151823.0000000005</v>
      </c>
      <c r="F25" s="1444">
        <f t="shared" si="0"/>
        <v>4789750.6948324535</v>
      </c>
      <c r="G25" s="416">
        <f t="shared" si="1"/>
        <v>2.7792384009881941</v>
      </c>
    </row>
    <row r="26" spans="1:12" x14ac:dyDescent="0.4">
      <c r="A26" s="283"/>
      <c r="C26" s="232">
        <v>2005</v>
      </c>
      <c r="D26" s="1444">
        <v>20677004.811012842</v>
      </c>
      <c r="E26" s="1445">
        <v>4215248</v>
      </c>
      <c r="F26" s="1444">
        <f t="shared" si="0"/>
        <v>4905287.8528174004</v>
      </c>
      <c r="G26" s="416">
        <f t="shared" si="1"/>
        <v>2.412174773722505</v>
      </c>
    </row>
    <row r="27" spans="1:12" x14ac:dyDescent="0.4">
      <c r="A27" s="283"/>
      <c r="C27" s="232">
        <v>2006</v>
      </c>
      <c r="D27" s="1444">
        <v>22191945.978006497</v>
      </c>
      <c r="E27" s="1445">
        <v>4278656</v>
      </c>
      <c r="F27" s="1444">
        <f t="shared" si="0"/>
        <v>5186662.8160820818</v>
      </c>
      <c r="G27" s="416">
        <f t="shared" si="1"/>
        <v>5.7361559954747792</v>
      </c>
    </row>
    <row r="28" spans="1:12" x14ac:dyDescent="0.4">
      <c r="A28" s="283"/>
      <c r="C28" s="232">
        <v>2007</v>
      </c>
      <c r="D28" s="1444">
        <v>24015043.629799508</v>
      </c>
      <c r="E28" s="1445">
        <v>4340390</v>
      </c>
      <c r="F28" s="1444">
        <f t="shared" si="0"/>
        <v>5532922.9930488979</v>
      </c>
      <c r="G28" s="416">
        <f t="shared" si="1"/>
        <v>6.6759723784854659</v>
      </c>
    </row>
    <row r="29" spans="1:12" x14ac:dyDescent="0.4">
      <c r="A29" s="283"/>
      <c r="C29" s="232">
        <v>2008</v>
      </c>
      <c r="D29" s="1444">
        <v>25152918.393990263</v>
      </c>
      <c r="E29" s="1445">
        <v>4404090</v>
      </c>
      <c r="F29" s="1444">
        <f t="shared" si="0"/>
        <v>5711263.4832599387</v>
      </c>
      <c r="G29" s="416">
        <f t="shared" si="1"/>
        <v>3.2232599375609023</v>
      </c>
    </row>
    <row r="30" spans="1:12" x14ac:dyDescent="0.4">
      <c r="A30" s="283"/>
      <c r="C30" s="232">
        <v>2009</v>
      </c>
      <c r="D30" s="1444">
        <v>24933218.733477451</v>
      </c>
      <c r="E30" s="1445">
        <v>4469337</v>
      </c>
      <c r="F30" s="1444">
        <f t="shared" si="0"/>
        <v>5578728.7316837935</v>
      </c>
      <c r="G30" s="416">
        <f t="shared" si="1"/>
        <v>-2.3205854880380254</v>
      </c>
    </row>
    <row r="31" spans="1:12" x14ac:dyDescent="0.4">
      <c r="A31" s="283"/>
      <c r="C31" s="232">
        <v>2010</v>
      </c>
      <c r="D31" s="1444">
        <v>26269724.909715075</v>
      </c>
      <c r="E31" s="1445">
        <v>4533894</v>
      </c>
      <c r="F31" s="1444">
        <f t="shared" si="0"/>
        <v>5794075.6686669504</v>
      </c>
      <c r="G31" s="416">
        <f t="shared" si="1"/>
        <v>3.8601435441755227</v>
      </c>
    </row>
    <row r="32" spans="1:12" x14ac:dyDescent="0.4">
      <c r="A32" s="283"/>
      <c r="C32" s="232">
        <v>2011</v>
      </c>
      <c r="D32" s="1444">
        <v>27426422.729348335</v>
      </c>
      <c r="E32" s="1447">
        <v>4592149</v>
      </c>
      <c r="F32" s="1444">
        <f t="shared" si="0"/>
        <v>5972459.2406187896</v>
      </c>
      <c r="G32" s="416">
        <f t="shared" si="1"/>
        <v>3.0787235471655494</v>
      </c>
    </row>
    <row r="33" spans="1:10" x14ac:dyDescent="0.4">
      <c r="A33" s="283"/>
      <c r="C33" s="232">
        <v>2012</v>
      </c>
      <c r="D33" s="1444">
        <v>28765543.152529985</v>
      </c>
      <c r="E33" s="1447">
        <v>4652458.9305058112</v>
      </c>
      <c r="F33" s="1444">
        <f t="shared" si="0"/>
        <v>6182868.7973829405</v>
      </c>
      <c r="G33" s="416">
        <f t="shared" si="1"/>
        <v>3.5229969479431897</v>
      </c>
    </row>
    <row r="34" spans="1:10" x14ac:dyDescent="0.4">
      <c r="A34" s="283"/>
      <c r="C34" s="232">
        <v>2013</v>
      </c>
      <c r="D34" s="1444">
        <v>29483176.173827372</v>
      </c>
      <c r="E34" s="1447">
        <v>4713168.1414101515</v>
      </c>
      <c r="F34" s="1444">
        <f t="shared" si="0"/>
        <v>6255489.9993459983</v>
      </c>
      <c r="G34" s="416">
        <f t="shared" si="1"/>
        <v>1.1745551190378898</v>
      </c>
    </row>
    <row r="35" spans="1:10" x14ac:dyDescent="0.4">
      <c r="A35" s="283"/>
      <c r="C35" s="232">
        <v>2014</v>
      </c>
      <c r="D35" s="1444">
        <v>30527502.669288374</v>
      </c>
      <c r="E35" s="1447">
        <v>4773129.933844462</v>
      </c>
      <c r="F35" s="1444">
        <f t="shared" si="0"/>
        <v>6395699.0679908758</v>
      </c>
      <c r="G35" s="416">
        <f t="shared" si="1"/>
        <v>2.2413762736338185</v>
      </c>
    </row>
    <row r="36" spans="1:10" x14ac:dyDescent="0.4">
      <c r="A36" s="283"/>
      <c r="C36" s="232">
        <v>2015</v>
      </c>
      <c r="D36" s="1444">
        <v>31642391.784262039</v>
      </c>
      <c r="E36" s="1447">
        <v>4832233.8134650989</v>
      </c>
      <c r="F36" s="1444">
        <f t="shared" si="0"/>
        <v>6548191.3760236502</v>
      </c>
      <c r="G36" s="416">
        <f t="shared" si="1"/>
        <v>2.3842946081682639</v>
      </c>
      <c r="J36" s="470"/>
    </row>
    <row r="37" spans="1:10" x14ac:dyDescent="0.4">
      <c r="A37" s="283"/>
      <c r="C37" s="232">
        <v>2016</v>
      </c>
      <c r="D37" s="1444">
        <v>32972740.219468106</v>
      </c>
      <c r="E37" s="1447">
        <v>4890379.4522162471</v>
      </c>
      <c r="F37" s="1444">
        <f t="shared" si="0"/>
        <v>6742368.4688772671</v>
      </c>
      <c r="G37" s="416">
        <f t="shared" si="1"/>
        <v>2.9653545796569221</v>
      </c>
    </row>
    <row r="38" spans="1:10" x14ac:dyDescent="0.4">
      <c r="A38" s="283"/>
      <c r="C38" s="232">
        <v>2017</v>
      </c>
      <c r="D38" s="1444">
        <v>34343647.497605242</v>
      </c>
      <c r="E38" s="1447">
        <v>4947489.5933225229</v>
      </c>
      <c r="F38" s="1444">
        <f t="shared" si="0"/>
        <v>6941631.073657603</v>
      </c>
      <c r="G38" s="416">
        <f t="shared" si="1"/>
        <v>2.955379933626157</v>
      </c>
    </row>
    <row r="39" spans="1:10" x14ac:dyDescent="0.4">
      <c r="C39" s="232">
        <v>2018</v>
      </c>
      <c r="D39" s="1444">
        <v>35242044.485139377</v>
      </c>
      <c r="E39" s="1447">
        <v>5003401.9576721285</v>
      </c>
      <c r="F39" s="1444">
        <f t="shared" si="0"/>
        <v>7043616.4800031409</v>
      </c>
      <c r="G39" s="416">
        <f t="shared" si="1"/>
        <v>1.4691850555492127</v>
      </c>
    </row>
    <row r="40" spans="1:10" x14ac:dyDescent="0.4">
      <c r="C40" s="232">
        <v>2019</v>
      </c>
      <c r="D40" s="1444">
        <v>36094025.075266488</v>
      </c>
      <c r="E40" s="1447">
        <v>5058007.147219019</v>
      </c>
      <c r="F40" s="1444">
        <f t="shared" si="0"/>
        <v>7136017.0171194039</v>
      </c>
      <c r="G40" s="416">
        <f t="shared" si="1"/>
        <v>1.3118337345394744</v>
      </c>
    </row>
    <row r="41" spans="1:10" x14ac:dyDescent="0.4">
      <c r="C41" s="232">
        <v>2020</v>
      </c>
      <c r="D41" s="1444">
        <v>34551599.494875953</v>
      </c>
      <c r="E41" s="1447">
        <v>5111238.2164686499</v>
      </c>
      <c r="F41" s="1444">
        <f t="shared" si="0"/>
        <v>6759927.4444984924</v>
      </c>
      <c r="G41" s="416">
        <f t="shared" si="1"/>
        <v>-5.2703009496567539</v>
      </c>
    </row>
    <row r="42" spans="1:10" x14ac:dyDescent="0.4">
      <c r="C42" s="232">
        <v>2021</v>
      </c>
      <c r="D42" s="1444">
        <v>37239989.50674741</v>
      </c>
      <c r="E42" s="1447">
        <v>5163037.97091561</v>
      </c>
      <c r="F42" s="1444">
        <f t="shared" si="0"/>
        <v>7212805.6614201674</v>
      </c>
      <c r="G42" s="416">
        <f t="shared" si="1"/>
        <v>6.6994538127808756</v>
      </c>
    </row>
    <row r="43" spans="1:10" x14ac:dyDescent="0.4">
      <c r="C43" s="232">
        <v>2022</v>
      </c>
      <c r="D43" s="1444">
        <v>38990944.33968579</v>
      </c>
      <c r="E43" s="1447">
        <v>5104906.8366506081</v>
      </c>
      <c r="F43" s="1444">
        <f t="shared" si="0"/>
        <v>7637934.5573460506</v>
      </c>
      <c r="G43" s="416">
        <f t="shared" si="1"/>
        <v>5.8940849910848332</v>
      </c>
    </row>
    <row r="44" spans="1:10" x14ac:dyDescent="0.4">
      <c r="C44" s="232">
        <v>2023</v>
      </c>
      <c r="D44" s="1444">
        <v>40984130.936017677</v>
      </c>
      <c r="E44" s="1447">
        <v>5135911.6221289076</v>
      </c>
      <c r="F44" s="1444">
        <f t="shared" si="0"/>
        <v>7979913.5871869186</v>
      </c>
      <c r="G44" s="416">
        <f t="shared" si="1"/>
        <v>4.4773757522176947</v>
      </c>
    </row>
    <row r="45" spans="1:10" ht="36" customHeight="1" x14ac:dyDescent="0.4">
      <c r="C45" s="3099" t="s">
        <v>4965</v>
      </c>
      <c r="D45" s="3099"/>
      <c r="E45" s="3099"/>
      <c r="F45" s="3099"/>
      <c r="G45" s="3099"/>
    </row>
    <row r="46" spans="1:10" ht="109.15" customHeight="1" x14ac:dyDescent="0.4">
      <c r="C46" s="2526" t="s">
        <v>4966</v>
      </c>
      <c r="D46" s="2526"/>
      <c r="E46" s="2526"/>
      <c r="F46" s="2526"/>
      <c r="G46" s="2526"/>
    </row>
    <row r="47" spans="1:10" ht="21.6" customHeight="1" x14ac:dyDescent="0.4">
      <c r="C47" s="2526" t="s">
        <v>4967</v>
      </c>
      <c r="D47" s="2526"/>
      <c r="E47" s="2526"/>
      <c r="F47" s="2526"/>
      <c r="G47" s="2526"/>
    </row>
    <row r="50" spans="3:10" ht="30" customHeight="1" x14ac:dyDescent="0.4">
      <c r="C50" s="3113" t="s">
        <v>4968</v>
      </c>
      <c r="D50" s="3114"/>
      <c r="J50" s="138" t="s">
        <v>4969</v>
      </c>
    </row>
    <row r="51" spans="3:10" x14ac:dyDescent="0.4">
      <c r="C51" s="1442" t="s">
        <v>247</v>
      </c>
      <c r="D51" s="1442" t="s">
        <v>4970</v>
      </c>
    </row>
    <row r="52" spans="3:10" x14ac:dyDescent="0.4">
      <c r="C52" s="536">
        <v>2010</v>
      </c>
      <c r="D52" s="1448">
        <v>3.8601435441755227</v>
      </c>
    </row>
    <row r="53" spans="3:10" x14ac:dyDescent="0.4">
      <c r="C53" s="536">
        <v>2011</v>
      </c>
      <c r="D53" s="1448">
        <v>3.0787235471655494</v>
      </c>
    </row>
    <row r="54" spans="3:10" x14ac:dyDescent="0.4">
      <c r="C54" s="536">
        <v>2012</v>
      </c>
      <c r="D54" s="1448">
        <v>3.5229969479431897</v>
      </c>
    </row>
    <row r="55" spans="3:10" x14ac:dyDescent="0.4">
      <c r="C55" s="536">
        <v>2013</v>
      </c>
      <c r="D55" s="1448">
        <v>1.1745551190378898</v>
      </c>
    </row>
    <row r="56" spans="3:10" x14ac:dyDescent="0.4">
      <c r="C56" s="536">
        <v>2014</v>
      </c>
      <c r="D56" s="1448">
        <v>2.2413762736338185</v>
      </c>
    </row>
    <row r="57" spans="3:10" x14ac:dyDescent="0.4">
      <c r="C57" s="536">
        <v>2015</v>
      </c>
      <c r="D57" s="1448">
        <v>2.3842946081682639</v>
      </c>
    </row>
    <row r="58" spans="3:10" x14ac:dyDescent="0.4">
      <c r="C58" s="536">
        <v>2016</v>
      </c>
      <c r="D58" s="1448">
        <v>2.9653545796569221</v>
      </c>
    </row>
    <row r="59" spans="3:10" x14ac:dyDescent="0.4">
      <c r="C59" s="536">
        <v>2017</v>
      </c>
      <c r="D59" s="1448">
        <v>2.955379933626157</v>
      </c>
    </row>
    <row r="60" spans="3:10" x14ac:dyDescent="0.4">
      <c r="C60" s="536">
        <v>2018</v>
      </c>
      <c r="D60" s="1448">
        <v>1.4691850555492127</v>
      </c>
    </row>
    <row r="61" spans="3:10" x14ac:dyDescent="0.4">
      <c r="C61" s="536">
        <v>2019</v>
      </c>
      <c r="D61" s="1448">
        <v>1.3118337345394744</v>
      </c>
    </row>
    <row r="62" spans="3:10" x14ac:dyDescent="0.4">
      <c r="C62" s="536">
        <v>2020</v>
      </c>
      <c r="D62" s="1448">
        <v>-5.0501714673851064</v>
      </c>
      <c r="J62" s="155" t="s">
        <v>4971</v>
      </c>
    </row>
    <row r="63" spans="3:10" x14ac:dyDescent="0.4">
      <c r="C63" s="536">
        <v>2021</v>
      </c>
      <c r="D63" s="1448">
        <v>7.376967169493259</v>
      </c>
    </row>
    <row r="64" spans="3:10" x14ac:dyDescent="0.4">
      <c r="C64" s="536">
        <v>2022</v>
      </c>
      <c r="D64" s="1448">
        <v>3.9936010472091485</v>
      </c>
      <c r="E64" s="115" t="s">
        <v>1145</v>
      </c>
    </row>
    <row r="65" spans="3:5" x14ac:dyDescent="0.4">
      <c r="C65" s="1449">
        <v>2023</v>
      </c>
      <c r="D65" s="1450">
        <v>4.4773757522176947</v>
      </c>
      <c r="E65" s="115" t="s">
        <v>1145</v>
      </c>
    </row>
    <row r="66" spans="3:5" x14ac:dyDescent="0.4">
      <c r="C66" s="1311" t="s">
        <v>4972</v>
      </c>
      <c r="E66" s="115" t="s">
        <v>1145</v>
      </c>
    </row>
    <row r="67" spans="3:5" x14ac:dyDescent="0.4">
      <c r="C67" s="115" t="s">
        <v>4973</v>
      </c>
    </row>
    <row r="68" spans="3:5" x14ac:dyDescent="0.4">
      <c r="C68" s="155" t="s">
        <v>4974</v>
      </c>
    </row>
  </sheetData>
  <mergeCells count="14">
    <mergeCell ref="A5:B5"/>
    <mergeCell ref="C5:W5"/>
    <mergeCell ref="C1:D1"/>
    <mergeCell ref="A3:B3"/>
    <mergeCell ref="C3:W3"/>
    <mergeCell ref="A4:B4"/>
    <mergeCell ref="C4:W4"/>
    <mergeCell ref="C50:D50"/>
    <mergeCell ref="A6:B6"/>
    <mergeCell ref="C6:W6"/>
    <mergeCell ref="C9:G9"/>
    <mergeCell ref="C45:G45"/>
    <mergeCell ref="C46:G46"/>
    <mergeCell ref="C47:G47"/>
  </mergeCells>
  <hyperlinks>
    <hyperlink ref="A1" location="'ODS 8.'!A1" display="REGRESAR" xr:uid="{71080AAD-25FF-4F61-83CA-1615CCEE1BF5}"/>
    <hyperlink ref="C1:D1" location="'Metadato 8.1.1'!A1" display="VER METADATO" xr:uid="{F383EB51-FA1D-49AC-A5CF-1F97BCF89C1B}"/>
    <hyperlink ref="C66" r:id="rId1" xr:uid="{E1ECB2D7-5F03-4A3D-A01E-17F05B5A7CA0}"/>
  </hyperlinks>
  <pageMargins left="0.7" right="0.7" top="0.75" bottom="0.75" header="0.3" footer="0.3"/>
  <pageSetup paperSize="9" orientation="portrait" r:id="rId2"/>
  <drawing r:id="rId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A8DA-1B7B-403E-AD4C-3EC0FD1AD65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9.42578125" style="243" customWidth="1"/>
    <col min="2" max="2" width="26.42578125" style="243" customWidth="1"/>
    <col min="3" max="3" width="24" style="243" customWidth="1"/>
    <col min="4" max="4" width="85.7109375" style="243" customWidth="1"/>
    <col min="5" max="5" width="10.5703125" style="243" customWidth="1"/>
    <col min="6" max="6" width="7.28515625" style="243" customWidth="1"/>
    <col min="7" max="23" width="7.7109375" style="243" bestFit="1" customWidth="1"/>
    <col min="24" max="24" width="8.28515625" style="243" bestFit="1" customWidth="1"/>
    <col min="25" max="26" width="7.7109375" style="243" bestFit="1" customWidth="1"/>
    <col min="2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ht="37.5" x14ac:dyDescent="0.25">
      <c r="A4" s="1079"/>
      <c r="B4" s="2445" t="s">
        <v>234</v>
      </c>
      <c r="C4" s="2445"/>
      <c r="D4" s="49" t="s">
        <v>4975</v>
      </c>
    </row>
    <row r="5" spans="1:6" ht="37.5" x14ac:dyDescent="0.25">
      <c r="B5" s="2445" t="s">
        <v>79</v>
      </c>
      <c r="C5" s="2445"/>
      <c r="D5" s="49" t="s">
        <v>4913</v>
      </c>
    </row>
    <row r="6" spans="1:6" x14ac:dyDescent="0.25">
      <c r="B6" s="2445" t="s">
        <v>80</v>
      </c>
      <c r="C6" s="2445"/>
      <c r="D6" s="50" t="s">
        <v>4976</v>
      </c>
    </row>
    <row r="7" spans="1:6" ht="15" customHeight="1" x14ac:dyDescent="0.25">
      <c r="B7" s="2446" t="s">
        <v>81</v>
      </c>
      <c r="C7" s="2446"/>
      <c r="D7" s="93" t="s">
        <v>4915</v>
      </c>
    </row>
    <row r="8" spans="1:6" ht="15" customHeight="1" x14ac:dyDescent="0.25">
      <c r="B8" s="2446" t="s">
        <v>82</v>
      </c>
      <c r="C8" s="2446"/>
      <c r="D8" s="1047" t="s">
        <v>4977</v>
      </c>
    </row>
    <row r="9" spans="1:6" x14ac:dyDescent="0.4">
      <c r="B9" s="115"/>
      <c r="C9" s="115"/>
      <c r="D9" s="115"/>
    </row>
    <row r="10" spans="1:6" ht="23.25" customHeight="1" x14ac:dyDescent="0.25">
      <c r="B10" s="3119" t="s">
        <v>85</v>
      </c>
      <c r="C10" s="3119"/>
      <c r="D10" s="3119"/>
    </row>
    <row r="11" spans="1:6" x14ac:dyDescent="0.25">
      <c r="B11" s="2487" t="s">
        <v>86</v>
      </c>
      <c r="C11" s="2456"/>
      <c r="D11" s="49" t="s">
        <v>167</v>
      </c>
    </row>
    <row r="12" spans="1:6" ht="21" customHeight="1" x14ac:dyDescent="0.25">
      <c r="B12" s="2446" t="s">
        <v>88</v>
      </c>
      <c r="C12" s="2446"/>
      <c r="D12" s="184" t="s">
        <v>4978</v>
      </c>
    </row>
    <row r="13" spans="1:6" x14ac:dyDescent="0.25">
      <c r="B13" s="2445" t="s">
        <v>90</v>
      </c>
      <c r="C13" s="2445"/>
      <c r="D13" s="54" t="s">
        <v>4914</v>
      </c>
    </row>
    <row r="14" spans="1:6" x14ac:dyDescent="0.25">
      <c r="B14" s="2445" t="s">
        <v>91</v>
      </c>
      <c r="C14" s="2456"/>
      <c r="D14" s="54" t="s">
        <v>92</v>
      </c>
    </row>
    <row r="15" spans="1:6" ht="145.5" customHeight="1" x14ac:dyDescent="0.25">
      <c r="B15" s="2445" t="s">
        <v>93</v>
      </c>
      <c r="C15" s="2445"/>
      <c r="D15" s="55" t="s">
        <v>4979</v>
      </c>
    </row>
    <row r="16" spans="1:6" ht="132.75" customHeight="1" x14ac:dyDescent="0.4">
      <c r="B16" s="2445" t="s">
        <v>95</v>
      </c>
      <c r="C16" s="2445"/>
      <c r="D16" s="594" t="s">
        <v>4980</v>
      </c>
    </row>
    <row r="17" spans="2:4" x14ac:dyDescent="0.25">
      <c r="B17" s="2445" t="s">
        <v>97</v>
      </c>
      <c r="C17" s="2445"/>
      <c r="D17" s="55" t="s">
        <v>4981</v>
      </c>
    </row>
    <row r="18" spans="2:4" x14ac:dyDescent="0.25">
      <c r="B18" s="2446" t="s">
        <v>99</v>
      </c>
      <c r="C18" s="2446"/>
      <c r="D18" s="49"/>
    </row>
    <row r="19" spans="2:4" ht="34.5" customHeight="1" x14ac:dyDescent="0.25">
      <c r="B19" s="2457" t="s">
        <v>100</v>
      </c>
      <c r="C19" s="2458"/>
      <c r="D19" s="55" t="s">
        <v>4982</v>
      </c>
    </row>
    <row r="20" spans="2:4" x14ac:dyDescent="0.25">
      <c r="B20" s="2445" t="s">
        <v>102</v>
      </c>
      <c r="C20" s="2445"/>
      <c r="D20" s="55" t="s">
        <v>140</v>
      </c>
    </row>
    <row r="21" spans="2:4" x14ac:dyDescent="0.25">
      <c r="B21" s="2451" t="s">
        <v>104</v>
      </c>
      <c r="C21" s="95" t="s">
        <v>105</v>
      </c>
      <c r="D21" s="49"/>
    </row>
    <row r="22" spans="2:4" x14ac:dyDescent="0.25">
      <c r="B22" s="2452"/>
      <c r="C22" s="96" t="s">
        <v>107</v>
      </c>
      <c r="D22" s="55"/>
    </row>
    <row r="23" spans="2:4" x14ac:dyDescent="0.25">
      <c r="B23" s="2445" t="s">
        <v>109</v>
      </c>
      <c r="C23" s="2445"/>
      <c r="D23" s="55" t="s">
        <v>143</v>
      </c>
    </row>
    <row r="24" spans="2:4" x14ac:dyDescent="0.25">
      <c r="B24" s="2445" t="s">
        <v>111</v>
      </c>
      <c r="C24" s="2445"/>
      <c r="D24" s="50" t="s">
        <v>3388</v>
      </c>
    </row>
    <row r="25" spans="2:4" x14ac:dyDescent="0.25">
      <c r="B25" s="2445" t="s">
        <v>113</v>
      </c>
      <c r="C25" s="2445"/>
      <c r="D25" s="55" t="s">
        <v>220</v>
      </c>
    </row>
    <row r="26" spans="2:4" ht="15" customHeight="1" x14ac:dyDescent="0.25">
      <c r="B26" s="2446" t="s">
        <v>115</v>
      </c>
      <c r="C26" s="2446"/>
      <c r="D26" s="50" t="s">
        <v>4983</v>
      </c>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0" t="s">
        <v>4814</v>
      </c>
    </row>
    <row r="33" spans="2:4" x14ac:dyDescent="0.25">
      <c r="B33" s="2447" t="s">
        <v>124</v>
      </c>
      <c r="C33" s="2448"/>
      <c r="D33" s="50" t="s">
        <v>4984</v>
      </c>
    </row>
    <row r="34" spans="2:4" x14ac:dyDescent="0.25">
      <c r="B34" s="2447" t="s">
        <v>126</v>
      </c>
      <c r="C34" s="2448"/>
      <c r="D34" s="50" t="s">
        <v>3388</v>
      </c>
    </row>
    <row r="35" spans="2:4" x14ac:dyDescent="0.25">
      <c r="B35" s="2447" t="s">
        <v>128</v>
      </c>
      <c r="C35" s="2448"/>
      <c r="D35" s="50" t="s">
        <v>4985</v>
      </c>
    </row>
    <row r="36" spans="2:4" x14ac:dyDescent="0.25">
      <c r="B36" s="2447" t="s">
        <v>130</v>
      </c>
      <c r="C36" s="2448"/>
      <c r="D36" s="1312" t="s">
        <v>4986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74B433B-9ABF-4284-9A02-BA6353E0A624}">
      <formula1>Tipo_operación</formula1>
    </dataValidation>
    <dataValidation type="list" allowBlank="1" showInputMessage="1" showErrorMessage="1" sqref="D14" xr:uid="{B5AB4DF6-7C92-4E8A-BAEF-7132B42C54E7}">
      <formula1>Tipo_indicador</formula1>
    </dataValidation>
    <dataValidation type="list" allowBlank="1" showInputMessage="1" showErrorMessage="1" sqref="D7" xr:uid="{C7723F20-14DB-4B8A-BE83-A5407DBA1A45}">
      <formula1>Nombre_indicador_ODS</formula1>
    </dataValidation>
    <dataValidation type="list" allowBlank="1" showInputMessage="1" showErrorMessage="1" sqref="D6" xr:uid="{05FDE3AD-9AEE-4BB7-8C9E-3A09480AFBBF}">
      <formula1>Numero_indicador</formula1>
    </dataValidation>
    <dataValidation type="list" allowBlank="1" showInputMessage="1" showErrorMessage="1" sqref="D5" xr:uid="{B3A7CA40-C787-462A-940D-1FD9C7E40DA0}">
      <formula1>Metas_ODS</formula1>
    </dataValidation>
    <dataValidation type="list" allowBlank="1" showInputMessage="1" showErrorMessage="1" sqref="D4" xr:uid="{636FF8A2-AD9A-4034-A0DB-EAD4E8B21689}">
      <formula1>ODS</formula1>
    </dataValidation>
    <dataValidation allowBlank="1" showDropDown="1" showInputMessage="1" showErrorMessage="1" sqref="D13" xr:uid="{06D0AD34-5B66-419B-AE99-E2377D2C4149}"/>
  </dataValidations>
  <hyperlinks>
    <hyperlink ref="B1" location="'8.1.1'!A1" display="REGRESAR" xr:uid="{2FBB1BFB-3202-4D63-ABEC-F72D3E940D62}"/>
    <hyperlink ref="D8" r:id="rId1" xr:uid="{6F2125D3-184C-4372-898C-8EF5AFE5BEB7}"/>
    <hyperlink ref="D36" r:id="rId2" xr:uid="{49090C39-FE98-4706-9A24-8EBCAF4D5248}"/>
  </hyperlinks>
  <pageMargins left="0.7" right="0.7" top="0.75" bottom="0.75" header="0.3" footer="0.3"/>
  <pageSetup paperSize="9" orientation="portrait" r:id="rId3"/>
  <drawing r:id="rId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33C80-D1DC-4564-9470-E7F4C9A18250}">
  <dimension ref="A1:O96"/>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2" width="15.7109375" style="115" customWidth="1"/>
    <col min="3" max="3" width="5.7109375" style="115" customWidth="1"/>
    <col min="4" max="4" width="11.42578125" style="115" customWidth="1"/>
    <col min="5" max="5" width="11.28515625" style="115" customWidth="1"/>
    <col min="6" max="6" width="12.7109375" style="115" customWidth="1"/>
    <col min="7" max="7" width="16.140625" style="115" customWidth="1"/>
    <col min="8" max="8" width="10.28515625" style="115" customWidth="1"/>
    <col min="9" max="10" width="10" style="115" customWidth="1"/>
    <col min="11" max="18" width="11.7109375" style="115" customWidth="1"/>
    <col min="19" max="16384" width="11.42578125" style="115"/>
  </cols>
  <sheetData>
    <row r="1" spans="1:15" s="1032" customFormat="1" ht="19.5" x14ac:dyDescent="0.4">
      <c r="A1" s="15" t="s">
        <v>39</v>
      </c>
      <c r="C1" s="2421" t="s">
        <v>149</v>
      </c>
      <c r="D1" s="2421"/>
    </row>
    <row r="2" spans="1:15" s="1032" customFormat="1" ht="19.5" x14ac:dyDescent="0.4"/>
    <row r="3" spans="1:15" s="1032" customFormat="1" ht="19.5" x14ac:dyDescent="0.4">
      <c r="A3" s="3117" t="s">
        <v>41</v>
      </c>
      <c r="B3" s="3115"/>
      <c r="C3" s="3117" t="s">
        <v>4957</v>
      </c>
      <c r="D3" s="3117"/>
      <c r="E3" s="3117"/>
      <c r="F3" s="3117"/>
      <c r="G3" s="3117"/>
      <c r="H3" s="3117"/>
      <c r="I3" s="3117"/>
      <c r="J3" s="3117"/>
      <c r="K3" s="3117"/>
      <c r="L3" s="3117"/>
      <c r="M3" s="3117"/>
      <c r="N3" s="3117"/>
      <c r="O3" s="3117"/>
    </row>
    <row r="4" spans="1:15" s="1032" customFormat="1" ht="19.5" x14ac:dyDescent="0.4">
      <c r="A4" s="3117" t="s">
        <v>42</v>
      </c>
      <c r="B4" s="3115"/>
      <c r="C4" s="3117" t="s">
        <v>4916</v>
      </c>
      <c r="D4" s="3117"/>
      <c r="E4" s="3117"/>
      <c r="F4" s="3117"/>
      <c r="G4" s="3117"/>
      <c r="H4" s="3117"/>
      <c r="I4" s="3117"/>
      <c r="J4" s="3117"/>
      <c r="K4" s="3123"/>
      <c r="L4" s="3123"/>
      <c r="M4" s="3123"/>
      <c r="N4" s="3123"/>
      <c r="O4" s="3123"/>
    </row>
    <row r="5" spans="1:15" s="1032" customFormat="1" ht="19.5" x14ac:dyDescent="0.4">
      <c r="A5" s="3117" t="s">
        <v>43</v>
      </c>
      <c r="B5" s="3115"/>
      <c r="C5" s="3117" t="s">
        <v>4918</v>
      </c>
      <c r="D5" s="3117"/>
      <c r="E5" s="3117"/>
      <c r="F5" s="3117"/>
      <c r="G5" s="3117"/>
      <c r="H5" s="3117"/>
      <c r="I5" s="3117"/>
      <c r="J5" s="3117"/>
      <c r="K5" s="3123"/>
      <c r="L5" s="3123"/>
      <c r="M5" s="3123"/>
      <c r="N5" s="3123"/>
      <c r="O5" s="3123"/>
    </row>
    <row r="6" spans="1:15" s="1032" customFormat="1" ht="19.5" x14ac:dyDescent="0.4">
      <c r="A6" s="3115" t="s">
        <v>132</v>
      </c>
      <c r="B6" s="3122"/>
      <c r="C6" s="3117" t="s">
        <v>4987</v>
      </c>
      <c r="D6" s="3117"/>
      <c r="E6" s="3117"/>
      <c r="F6" s="3117"/>
      <c r="G6" s="3117"/>
      <c r="H6" s="3117"/>
      <c r="I6" s="3117"/>
      <c r="J6" s="3117"/>
      <c r="K6" s="3123"/>
      <c r="L6" s="3123"/>
      <c r="M6" s="3123"/>
      <c r="N6" s="3123"/>
      <c r="O6" s="3123"/>
    </row>
    <row r="7" spans="1:15" s="1032" customFormat="1" ht="19.5" x14ac:dyDescent="0.4"/>
    <row r="8" spans="1:15" s="1032" customFormat="1" ht="19.5" x14ac:dyDescent="0.4"/>
    <row r="9" spans="1:15" s="1032" customFormat="1" ht="15" customHeight="1" x14ac:dyDescent="0.4">
      <c r="C9" s="138" t="s">
        <v>4988</v>
      </c>
      <c r="D9" s="138"/>
      <c r="E9" s="138"/>
      <c r="F9" s="138"/>
      <c r="G9" s="138"/>
      <c r="H9" s="138"/>
      <c r="I9" s="138"/>
      <c r="J9" s="138"/>
    </row>
    <row r="10" spans="1:15" s="1032" customFormat="1" ht="15" customHeight="1" x14ac:dyDescent="0.4">
      <c r="C10" s="138" t="s">
        <v>4989</v>
      </c>
      <c r="D10" s="138"/>
      <c r="E10" s="138"/>
      <c r="F10" s="138"/>
      <c r="G10" s="138"/>
      <c r="H10" s="138"/>
      <c r="I10" s="138"/>
      <c r="J10" s="138"/>
    </row>
    <row r="11" spans="1:15" ht="9.6" customHeight="1" x14ac:dyDescent="0.4">
      <c r="C11" s="226"/>
      <c r="D11" s="226"/>
      <c r="E11" s="226"/>
      <c r="F11" s="226"/>
      <c r="G11" s="226"/>
      <c r="H11" s="226"/>
      <c r="I11" s="226"/>
      <c r="J11" s="226"/>
    </row>
    <row r="12" spans="1:15" x14ac:dyDescent="0.4">
      <c r="C12" s="3124" t="s">
        <v>247</v>
      </c>
      <c r="D12" s="3127" t="s">
        <v>4990</v>
      </c>
      <c r="E12" s="3124" t="s">
        <v>4991</v>
      </c>
      <c r="F12" s="3124" t="s">
        <v>4992</v>
      </c>
      <c r="G12" s="3130" t="s">
        <v>4993</v>
      </c>
      <c r="H12" s="3130" t="s">
        <v>4994</v>
      </c>
      <c r="I12" s="3130" t="s">
        <v>4995</v>
      </c>
      <c r="J12" s="3130" t="s">
        <v>4996</v>
      </c>
    </row>
    <row r="13" spans="1:15" x14ac:dyDescent="0.4">
      <c r="C13" s="3125"/>
      <c r="D13" s="3128"/>
      <c r="E13" s="3125"/>
      <c r="F13" s="3125"/>
      <c r="G13" s="3131"/>
      <c r="H13" s="3131" t="s">
        <v>4997</v>
      </c>
      <c r="I13" s="3131"/>
      <c r="J13" s="3131"/>
    </row>
    <row r="14" spans="1:15" ht="11.25" customHeight="1" x14ac:dyDescent="0.4">
      <c r="C14" s="3125"/>
      <c r="D14" s="3128"/>
      <c r="E14" s="3125"/>
      <c r="F14" s="3125"/>
      <c r="G14" s="3131"/>
      <c r="H14" s="3131" t="s">
        <v>4998</v>
      </c>
      <c r="I14" s="3131"/>
      <c r="J14" s="3131"/>
    </row>
    <row r="15" spans="1:15" ht="29.25" customHeight="1" x14ac:dyDescent="0.4">
      <c r="C15" s="3126"/>
      <c r="D15" s="3129"/>
      <c r="E15" s="3126"/>
      <c r="F15" s="3126"/>
      <c r="G15" s="3132"/>
      <c r="H15" s="3132" t="s">
        <v>47</v>
      </c>
      <c r="I15" s="3132" t="s">
        <v>4999</v>
      </c>
      <c r="J15" s="3132"/>
    </row>
    <row r="16" spans="1:15" x14ac:dyDescent="0.4">
      <c r="C16" s="2752">
        <v>2011</v>
      </c>
      <c r="D16" s="2384" t="s">
        <v>5000</v>
      </c>
      <c r="E16" s="2385">
        <v>3.86313167</v>
      </c>
      <c r="F16" s="2385">
        <v>-2.3838249409783852</v>
      </c>
      <c r="G16" s="2385">
        <v>6.3995097181853922</v>
      </c>
      <c r="H16" s="1451">
        <v>6736462.6888305703</v>
      </c>
      <c r="I16" s="1451">
        <v>1836662</v>
      </c>
      <c r="J16" s="2385">
        <v>3.6677748485189818</v>
      </c>
    </row>
    <row r="17" spans="3:10" x14ac:dyDescent="0.4">
      <c r="C17" s="2752"/>
      <c r="D17" s="2384" t="s">
        <v>5001</v>
      </c>
      <c r="E17" s="413">
        <v>4.5412304600000004</v>
      </c>
      <c r="F17" s="413">
        <v>1.689875169252586</v>
      </c>
      <c r="G17" s="413">
        <v>2.8039716670304804</v>
      </c>
      <c r="H17" s="1451">
        <v>7104659.6242968701</v>
      </c>
      <c r="I17" s="1451">
        <v>1918109</v>
      </c>
      <c r="J17" s="413">
        <v>3.7039916002150401</v>
      </c>
    </row>
    <row r="18" spans="3:10" x14ac:dyDescent="0.4">
      <c r="C18" s="2752">
        <v>2012</v>
      </c>
      <c r="D18" s="2384" t="s">
        <v>5002</v>
      </c>
      <c r="E18" s="413">
        <v>6.2365847199999997</v>
      </c>
      <c r="F18" s="413">
        <v>10.677232469867493</v>
      </c>
      <c r="G18" s="413">
        <v>-4.0122504431589601</v>
      </c>
      <c r="H18" s="1451">
        <v>7256417.3016209397</v>
      </c>
      <c r="I18" s="1451">
        <v>1994448</v>
      </c>
      <c r="J18" s="413">
        <v>3.6383085954714987</v>
      </c>
    </row>
    <row r="19" spans="3:10" x14ac:dyDescent="0.4">
      <c r="C19" s="2752"/>
      <c r="D19" s="2384" t="s">
        <v>5003</v>
      </c>
      <c r="E19" s="413">
        <v>4.15385692</v>
      </c>
      <c r="F19" s="413">
        <v>11.5320964579253</v>
      </c>
      <c r="G19" s="413">
        <v>-6.6153508897920048</v>
      </c>
      <c r="H19" s="1451">
        <v>7035456.3423832897</v>
      </c>
      <c r="I19" s="1451">
        <v>1968585</v>
      </c>
      <c r="J19" s="413">
        <v>3.5738646501844165</v>
      </c>
    </row>
    <row r="20" spans="3:10" x14ac:dyDescent="0.4">
      <c r="C20" s="2752"/>
      <c r="D20" s="2384" t="s">
        <v>5000</v>
      </c>
      <c r="E20" s="413">
        <v>4.6355168300000003</v>
      </c>
      <c r="F20" s="413">
        <v>8.7965014793141005</v>
      </c>
      <c r="G20" s="413">
        <v>-3.8245574008388239</v>
      </c>
      <c r="H20" s="1451">
        <v>7048732.5505269598</v>
      </c>
      <c r="I20" s="1451">
        <v>1998224</v>
      </c>
      <c r="J20" s="413">
        <v>3.5274986941038442</v>
      </c>
    </row>
    <row r="21" spans="3:10" x14ac:dyDescent="0.4">
      <c r="C21" s="2752"/>
      <c r="D21" s="2384" t="s">
        <v>5001</v>
      </c>
      <c r="E21" s="413">
        <v>4.5079898199999997</v>
      </c>
      <c r="F21" s="413">
        <v>3.9652073995794845</v>
      </c>
      <c r="G21" s="413">
        <v>0.52208083101565883</v>
      </c>
      <c r="H21" s="1451">
        <v>7424936.9567877697</v>
      </c>
      <c r="I21" s="1451">
        <v>1994166</v>
      </c>
      <c r="J21" s="413">
        <v>3.7233294303421931</v>
      </c>
    </row>
    <row r="22" spans="3:10" x14ac:dyDescent="0.4">
      <c r="C22" s="2752">
        <v>2013</v>
      </c>
      <c r="D22" s="2384" t="s">
        <v>5002</v>
      </c>
      <c r="E22" s="413">
        <v>1.5346410699999999</v>
      </c>
      <c r="F22" s="413">
        <v>-0.6900656221671353</v>
      </c>
      <c r="G22" s="413">
        <v>2.2401653037925628</v>
      </c>
      <c r="H22" s="1451">
        <v>7367777.2618136201</v>
      </c>
      <c r="I22" s="1451">
        <v>1980685</v>
      </c>
      <c r="J22" s="413">
        <v>3.7198127222721533</v>
      </c>
    </row>
    <row r="23" spans="3:10" x14ac:dyDescent="0.4">
      <c r="C23" s="2752"/>
      <c r="D23" s="2384" t="s">
        <v>5003</v>
      </c>
      <c r="E23" s="413">
        <v>2.79940459</v>
      </c>
      <c r="F23" s="413">
        <v>2.0227727022201325</v>
      </c>
      <c r="G23" s="413">
        <v>0.76123386080311217</v>
      </c>
      <c r="H23" s="1451">
        <v>7232407.2304239199</v>
      </c>
      <c r="I23" s="1451">
        <v>2008405</v>
      </c>
      <c r="J23" s="413">
        <v>3.6010701180408931</v>
      </c>
    </row>
    <row r="24" spans="3:10" x14ac:dyDescent="0.4">
      <c r="C24" s="2752"/>
      <c r="D24" s="2384" t="s">
        <v>5000</v>
      </c>
      <c r="E24" s="413">
        <v>3.2537698399999999</v>
      </c>
      <c r="F24" s="413">
        <v>1.4269671468263745</v>
      </c>
      <c r="G24" s="413">
        <v>1.8011015703501831</v>
      </c>
      <c r="H24" s="1451">
        <v>7278082.0847012904</v>
      </c>
      <c r="I24" s="1451">
        <v>2026738</v>
      </c>
      <c r="J24" s="413">
        <v>3.5910325284774305</v>
      </c>
    </row>
    <row r="25" spans="3:10" x14ac:dyDescent="0.4">
      <c r="C25" s="2752"/>
      <c r="D25" s="2384" t="s">
        <v>5001</v>
      </c>
      <c r="E25" s="413">
        <v>2.4238945200000002</v>
      </c>
      <c r="F25" s="413">
        <v>4.7195669768715254</v>
      </c>
      <c r="G25" s="413">
        <v>-2.1922096527986157</v>
      </c>
      <c r="H25" s="1451">
        <v>7604909.5968885496</v>
      </c>
      <c r="I25" s="1451">
        <v>2088282</v>
      </c>
      <c r="J25" s="413">
        <v>3.64170624316474</v>
      </c>
    </row>
    <row r="26" spans="3:10" x14ac:dyDescent="0.4">
      <c r="C26" s="2752">
        <v>2014</v>
      </c>
      <c r="D26" s="2384" t="s">
        <v>5002</v>
      </c>
      <c r="E26" s="413">
        <v>4.4445619499999998</v>
      </c>
      <c r="F26" s="413">
        <v>5.2267271171337226</v>
      </c>
      <c r="G26" s="413">
        <v>-0.74331416085333668</v>
      </c>
      <c r="H26" s="1451">
        <v>7695242.6868085703</v>
      </c>
      <c r="I26" s="1451">
        <v>2084210</v>
      </c>
      <c r="J26" s="413">
        <v>3.6921628275502805</v>
      </c>
    </row>
    <row r="27" spans="3:10" x14ac:dyDescent="0.4">
      <c r="C27" s="2752"/>
      <c r="D27" s="2384" t="s">
        <v>5003</v>
      </c>
      <c r="E27" s="413">
        <v>3.1174237900000001</v>
      </c>
      <c r="F27" s="413">
        <v>1.9720126169771479</v>
      </c>
      <c r="G27" s="413">
        <v>1.1232603413943387</v>
      </c>
      <c r="H27" s="1451">
        <v>7457872.0143059604</v>
      </c>
      <c r="I27" s="1451">
        <v>2048011</v>
      </c>
      <c r="J27" s="413">
        <v>3.6415195105426488</v>
      </c>
    </row>
    <row r="28" spans="3:10" x14ac:dyDescent="0.4">
      <c r="C28" s="2752"/>
      <c r="D28" s="2384" t="s">
        <v>5000</v>
      </c>
      <c r="E28" s="413">
        <v>3.1475652300000001</v>
      </c>
      <c r="F28" s="413">
        <v>1.9273828190915721</v>
      </c>
      <c r="G28" s="413">
        <v>1.1971095245250529</v>
      </c>
      <c r="H28" s="1451">
        <v>7507164.4655858995</v>
      </c>
      <c r="I28" s="1451">
        <v>2065801</v>
      </c>
      <c r="J28" s="413">
        <v>3.6340211209046269</v>
      </c>
    </row>
    <row r="29" spans="3:10" x14ac:dyDescent="0.4">
      <c r="C29" s="2752"/>
      <c r="D29" s="2384" t="s">
        <v>5001</v>
      </c>
      <c r="E29" s="413">
        <v>3.4492705300000002</v>
      </c>
      <c r="F29" s="413">
        <v>-1.3734735059728553</v>
      </c>
      <c r="G29" s="413">
        <v>4.8899055956474813</v>
      </c>
      <c r="H29" s="1451">
        <v>7867223.5025879601</v>
      </c>
      <c r="I29" s="1451">
        <v>2059600</v>
      </c>
      <c r="J29" s="413">
        <v>3.8197822405262962</v>
      </c>
    </row>
    <row r="30" spans="3:10" x14ac:dyDescent="0.4">
      <c r="C30" s="2752">
        <v>2015</v>
      </c>
      <c r="D30" s="2384" t="s">
        <v>5002</v>
      </c>
      <c r="E30" s="413">
        <v>2.0870864299999998</v>
      </c>
      <c r="F30" s="413">
        <v>-1.5834296927852765</v>
      </c>
      <c r="G30" s="413">
        <v>3.7295712605645459</v>
      </c>
      <c r="H30" s="1451">
        <v>7855849.05260556</v>
      </c>
      <c r="I30" s="1451">
        <v>2051208</v>
      </c>
      <c r="J30" s="413">
        <v>3.829864671259843</v>
      </c>
    </row>
    <row r="31" spans="3:10" x14ac:dyDescent="0.4">
      <c r="C31" s="2752"/>
      <c r="D31" s="2384" t="s">
        <v>5003</v>
      </c>
      <c r="E31" s="413">
        <v>4.6284098499999997</v>
      </c>
      <c r="F31" s="413">
        <v>1.9214740545827169</v>
      </c>
      <c r="G31" s="413">
        <v>2.6559033034340596</v>
      </c>
      <c r="H31" s="1451">
        <v>7803052.8972841399</v>
      </c>
      <c r="I31" s="1451">
        <v>2087363</v>
      </c>
      <c r="J31" s="413">
        <v>3.7382347475183471</v>
      </c>
    </row>
    <row r="32" spans="3:10" x14ac:dyDescent="0.4">
      <c r="C32" s="2752"/>
      <c r="D32" s="2384" t="s">
        <v>5000</v>
      </c>
      <c r="E32" s="413">
        <v>4.8249707300000004</v>
      </c>
      <c r="F32" s="413">
        <v>-0.12992538971565715</v>
      </c>
      <c r="G32" s="413">
        <v>4.9613421581905293</v>
      </c>
      <c r="H32" s="1451">
        <v>7869382.9533535996</v>
      </c>
      <c r="I32" s="1451">
        <v>2063117</v>
      </c>
      <c r="J32" s="413">
        <v>3.8143173428136161</v>
      </c>
    </row>
    <row r="33" spans="3:10" x14ac:dyDescent="0.4">
      <c r="C33" s="2752"/>
      <c r="D33" s="2384" t="s">
        <v>5001</v>
      </c>
      <c r="E33" s="413">
        <v>3.1381258999999999</v>
      </c>
      <c r="F33" s="413">
        <v>-1.5576811031268178</v>
      </c>
      <c r="G33" s="413">
        <v>4.770110107959824</v>
      </c>
      <c r="H33" s="1451">
        <v>8114106.8810187597</v>
      </c>
      <c r="I33" s="1451">
        <v>2027518</v>
      </c>
      <c r="J33" s="413">
        <v>4.0019900592836954</v>
      </c>
    </row>
    <row r="34" spans="3:10" x14ac:dyDescent="0.4">
      <c r="C34" s="2752">
        <v>2016</v>
      </c>
      <c r="D34" s="2384" t="s">
        <v>5002</v>
      </c>
      <c r="E34" s="413">
        <v>4.5261625199999997</v>
      </c>
      <c r="F34" s="413">
        <v>-2.8503691483262594</v>
      </c>
      <c r="G34" s="413">
        <v>7.5929590332005192</v>
      </c>
      <c r="H34" s="1451">
        <v>8211417.5482995799</v>
      </c>
      <c r="I34" s="1451">
        <v>1992741</v>
      </c>
      <c r="J34" s="413">
        <v>4.1206647267756225</v>
      </c>
    </row>
    <row r="35" spans="3:10" x14ac:dyDescent="0.4">
      <c r="C35" s="2752"/>
      <c r="D35" s="2384" t="s">
        <v>5003</v>
      </c>
      <c r="E35" s="413">
        <v>3.8589022599999998</v>
      </c>
      <c r="F35" s="413">
        <v>-6.3528480671545822</v>
      </c>
      <c r="G35" s="413">
        <v>10.904496416458787</v>
      </c>
      <c r="H35" s="1451">
        <v>8104165.0818457203</v>
      </c>
      <c r="I35" s="1451">
        <v>1954756</v>
      </c>
      <c r="J35" s="413">
        <v>4.1458704216003026</v>
      </c>
    </row>
    <row r="36" spans="3:10" x14ac:dyDescent="0.4">
      <c r="C36" s="2752"/>
      <c r="D36" s="2384" t="s">
        <v>5000</v>
      </c>
      <c r="E36" s="413">
        <v>3.2927217999999998</v>
      </c>
      <c r="F36" s="413">
        <v>-4.4102685402718329</v>
      </c>
      <c r="G36" s="413">
        <v>8.0583868376486798</v>
      </c>
      <c r="H36" s="1451">
        <v>8128499.84121281</v>
      </c>
      <c r="I36" s="1451">
        <v>1972128</v>
      </c>
      <c r="J36" s="413">
        <v>4.1216897895130593</v>
      </c>
    </row>
    <row r="37" spans="3:10" x14ac:dyDescent="0.4">
      <c r="C37" s="2752"/>
      <c r="D37" s="2384" t="s">
        <v>5001</v>
      </c>
      <c r="E37" s="413">
        <v>5.1090141300000003</v>
      </c>
      <c r="F37" s="413">
        <v>1.7680730824584545</v>
      </c>
      <c r="G37" s="413">
        <v>3.2828970290518455</v>
      </c>
      <c r="H37" s="1451">
        <v>8528657.7481100094</v>
      </c>
      <c r="I37" s="1451">
        <v>2063366</v>
      </c>
      <c r="J37" s="413">
        <v>4.1333712720428704</v>
      </c>
    </row>
    <row r="38" spans="3:10" x14ac:dyDescent="0.4">
      <c r="C38" s="2752">
        <v>2017</v>
      </c>
      <c r="D38" s="2384" t="s">
        <v>5002</v>
      </c>
      <c r="E38" s="413">
        <v>3.8715332099999999</v>
      </c>
      <c r="F38" s="413">
        <v>3.4131881664501318</v>
      </c>
      <c r="G38" s="413">
        <v>0.44321720602951142</v>
      </c>
      <c r="H38" s="1451">
        <v>8529325.3056697492</v>
      </c>
      <c r="I38" s="1451">
        <v>2060757</v>
      </c>
      <c r="J38" s="413">
        <v>4.1389282218474808</v>
      </c>
    </row>
    <row r="39" spans="3:10" x14ac:dyDescent="0.4">
      <c r="C39" s="2752"/>
      <c r="D39" s="2384" t="s">
        <v>5003</v>
      </c>
      <c r="E39" s="413">
        <v>4.6180360599999997</v>
      </c>
      <c r="F39" s="413">
        <v>6.3989572100047187</v>
      </c>
      <c r="G39" s="413">
        <v>-1.6738144764546714</v>
      </c>
      <c r="H39" s="1451">
        <v>8478418.3478029203</v>
      </c>
      <c r="I39" s="1451">
        <v>2079840</v>
      </c>
      <c r="J39" s="413">
        <v>4.0764762423085044</v>
      </c>
    </row>
    <row r="40" spans="3:10" x14ac:dyDescent="0.4">
      <c r="C40" s="2752"/>
      <c r="D40" s="2384" t="s">
        <v>5000</v>
      </c>
      <c r="E40" s="413">
        <v>3.5909314700000001</v>
      </c>
      <c r="F40" s="413">
        <v>4.8973494621038727</v>
      </c>
      <c r="G40" s="413">
        <v>-1.2454251696212282</v>
      </c>
      <c r="H40" s="1451">
        <v>8420388.7000203393</v>
      </c>
      <c r="I40" s="1451">
        <v>2068710</v>
      </c>
      <c r="J40" s="413">
        <v>4.0703572274607556</v>
      </c>
    </row>
    <row r="41" spans="3:10" x14ac:dyDescent="0.4">
      <c r="C41" s="2752"/>
      <c r="D41" s="2384" t="s">
        <v>5001</v>
      </c>
      <c r="E41" s="413">
        <v>4.5359704599999997</v>
      </c>
      <c r="F41" s="413">
        <v>-3.2823066775356402</v>
      </c>
      <c r="G41" s="413">
        <v>8.0836058718378077</v>
      </c>
      <c r="H41" s="1451">
        <v>8915515.1441122293</v>
      </c>
      <c r="I41" s="1451">
        <v>1995640</v>
      </c>
      <c r="J41" s="413">
        <v>4.467496714894585</v>
      </c>
    </row>
    <row r="42" spans="3:10" x14ac:dyDescent="0.4">
      <c r="C42" s="3120">
        <v>2018</v>
      </c>
      <c r="D42" s="2384" t="s">
        <v>5002</v>
      </c>
      <c r="E42" s="413">
        <v>3.3332280700000001</v>
      </c>
      <c r="F42" s="413">
        <v>-2.7196801951904104</v>
      </c>
      <c r="G42" s="413">
        <v>6.2221303098635383</v>
      </c>
      <c r="H42" s="1451">
        <v>8813627.1708475593</v>
      </c>
      <c r="I42" s="1451">
        <v>2004711</v>
      </c>
      <c r="J42" s="413">
        <v>4.3964577292425489</v>
      </c>
    </row>
    <row r="43" spans="3:10" x14ac:dyDescent="0.4">
      <c r="C43" s="3120"/>
      <c r="D43" s="2384" t="s">
        <v>5003</v>
      </c>
      <c r="E43" s="413">
        <v>4.0745659400000003</v>
      </c>
      <c r="F43" s="413">
        <v>3.8558735287329782</v>
      </c>
      <c r="G43" s="413">
        <v>0.21057298650422052</v>
      </c>
      <c r="H43" s="1452">
        <v>8823877.0943315104</v>
      </c>
      <c r="I43" s="1452">
        <v>2160036</v>
      </c>
      <c r="J43" s="413">
        <v>4.0850602000760681</v>
      </c>
    </row>
    <row r="44" spans="3:10" x14ac:dyDescent="0.4">
      <c r="C44" s="3120"/>
      <c r="D44" s="2384" t="s">
        <v>5000</v>
      </c>
      <c r="E44" s="413">
        <v>2.7004102900000002</v>
      </c>
      <c r="F44" s="413">
        <v>3.3561978237645729</v>
      </c>
      <c r="G44" s="413">
        <v>-0.63449270710368433</v>
      </c>
      <c r="H44" s="1452">
        <v>8647773.7426165007</v>
      </c>
      <c r="I44" s="1452">
        <v>2138140</v>
      </c>
      <c r="J44" s="413">
        <v>4.0445311076994495</v>
      </c>
    </row>
    <row r="45" spans="3:10" x14ac:dyDescent="0.4">
      <c r="C45" s="3120"/>
      <c r="D45" s="2384" t="s">
        <v>5001</v>
      </c>
      <c r="E45" s="413">
        <v>0.46269153000000002</v>
      </c>
      <c r="F45" s="413">
        <v>8.5026858551642484</v>
      </c>
      <c r="G45" s="413">
        <v>-7.4099495915667664</v>
      </c>
      <c r="H45" s="1452">
        <v>8956766.4773438107</v>
      </c>
      <c r="I45" s="1452">
        <v>2165323</v>
      </c>
      <c r="J45" s="413">
        <v>4.1364574603159951</v>
      </c>
    </row>
    <row r="46" spans="3:10" x14ac:dyDescent="0.4">
      <c r="C46" s="3120">
        <v>2019</v>
      </c>
      <c r="D46" s="2384" t="s">
        <v>5002</v>
      </c>
      <c r="E46" s="413">
        <v>2.27936607</v>
      </c>
      <c r="F46" s="413">
        <v>8.3331213327008324</v>
      </c>
      <c r="G46" s="413">
        <v>-5.5880927210180449</v>
      </c>
      <c r="H46" s="1452">
        <v>9014521.9976804592</v>
      </c>
      <c r="I46" s="1452">
        <v>2171766</v>
      </c>
      <c r="J46" s="413">
        <v>4.1507795948921107</v>
      </c>
    </row>
    <row r="47" spans="3:10" x14ac:dyDescent="0.4">
      <c r="C47" s="3120"/>
      <c r="D47" s="2384" t="s">
        <v>5003</v>
      </c>
      <c r="E47" s="413">
        <v>0.73954505999999998</v>
      </c>
      <c r="F47" s="413">
        <v>1.0721580566249722</v>
      </c>
      <c r="G47" s="413">
        <v>-0.32908468818841907</v>
      </c>
      <c r="H47" s="1452">
        <v>8889133.6415218506</v>
      </c>
      <c r="I47" s="1452">
        <v>2183195</v>
      </c>
      <c r="J47" s="413">
        <v>4.0716168924543386</v>
      </c>
    </row>
    <row r="48" spans="3:10" x14ac:dyDescent="0.4">
      <c r="C48" s="3120"/>
      <c r="D48" s="2384" t="s">
        <v>5000</v>
      </c>
      <c r="E48" s="413">
        <v>2.5439862400000002</v>
      </c>
      <c r="F48" s="413">
        <v>1.1445929639780417</v>
      </c>
      <c r="G48" s="413">
        <v>1.3835571748580078</v>
      </c>
      <c r="H48" s="1452">
        <v>8867771.9164279606</v>
      </c>
      <c r="I48" s="1452">
        <v>2162613</v>
      </c>
      <c r="J48" s="413">
        <v>4.1004895080293888</v>
      </c>
    </row>
    <row r="49" spans="3:10" x14ac:dyDescent="0.4">
      <c r="C49" s="3120"/>
      <c r="D49" s="2384" t="s">
        <v>5001</v>
      </c>
      <c r="E49" s="413">
        <v>4.0844097399999999</v>
      </c>
      <c r="F49" s="413">
        <v>0.80796259957520711</v>
      </c>
      <c r="G49" s="413">
        <v>3.2501868452131877</v>
      </c>
      <c r="H49" s="1452">
        <v>9322597.5196362305</v>
      </c>
      <c r="I49" s="1452">
        <v>2182818</v>
      </c>
      <c r="J49" s="413">
        <v>4.2709000565490252</v>
      </c>
    </row>
    <row r="50" spans="3:10" x14ac:dyDescent="0.4">
      <c r="C50" s="3120">
        <v>2020</v>
      </c>
      <c r="D50" s="2384" t="s">
        <v>5002</v>
      </c>
      <c r="E50" s="413">
        <v>1.6392114900000001</v>
      </c>
      <c r="F50" s="413">
        <v>1.6764697485824875</v>
      </c>
      <c r="G50" s="413">
        <v>-3.6643932301250182E-2</v>
      </c>
      <c r="H50" s="1452">
        <v>9162289.0782010201</v>
      </c>
      <c r="I50" s="1452">
        <v>2208175</v>
      </c>
      <c r="J50" s="413">
        <v>4.1492585860273845</v>
      </c>
    </row>
    <row r="51" spans="3:10" x14ac:dyDescent="0.4">
      <c r="C51" s="3120"/>
      <c r="D51" s="2384" t="s">
        <v>5003</v>
      </c>
      <c r="E51" s="413">
        <v>-8.0121015500000006</v>
      </c>
      <c r="F51" s="413">
        <v>-20.059499953050462</v>
      </c>
      <c r="G51" s="413">
        <v>15.070456652432696</v>
      </c>
      <c r="H51" s="1452">
        <v>8176927.2276268499</v>
      </c>
      <c r="I51" s="1452">
        <v>1745257</v>
      </c>
      <c r="J51" s="413">
        <v>4.6852281512847966</v>
      </c>
    </row>
    <row r="52" spans="3:10" x14ac:dyDescent="0.4">
      <c r="C52" s="3120"/>
      <c r="D52" s="2384" t="s">
        <v>5000</v>
      </c>
      <c r="E52" s="413">
        <v>-6.7520146299999997</v>
      </c>
      <c r="F52" s="413">
        <v>-14.63525836569003</v>
      </c>
      <c r="G52" s="413">
        <v>9.2347772392618275</v>
      </c>
      <c r="H52" s="1452">
        <v>8269018.65884207</v>
      </c>
      <c r="I52" s="1452">
        <v>1846109</v>
      </c>
      <c r="J52" s="413">
        <v>4.4791605798152059</v>
      </c>
    </row>
    <row r="53" spans="3:10" x14ac:dyDescent="0.4">
      <c r="C53" s="3120"/>
      <c r="D53" s="2384" t="s">
        <v>5001</v>
      </c>
      <c r="E53" s="413">
        <v>-4.0678897599999999</v>
      </c>
      <c r="F53" s="413">
        <v>-10.521582651416651</v>
      </c>
      <c r="G53" s="413">
        <v>7.2125693405632241</v>
      </c>
      <c r="H53" s="1452">
        <v>8943364.5302060209</v>
      </c>
      <c r="I53" s="1452">
        <v>1953151</v>
      </c>
      <c r="J53" s="413">
        <v>4.5789416845937776</v>
      </c>
    </row>
    <row r="54" spans="3:10" x14ac:dyDescent="0.4">
      <c r="C54" s="3120">
        <v>2021</v>
      </c>
      <c r="D54" s="2384" t="s">
        <v>5002</v>
      </c>
      <c r="E54" s="413">
        <v>-0.99765192000000003</v>
      </c>
      <c r="F54" s="413">
        <v>-9.7737271728916433</v>
      </c>
      <c r="G54" s="413">
        <v>9.7267403125613541</v>
      </c>
      <c r="H54" s="1452">
        <v>9070881.3251776807</v>
      </c>
      <c r="I54" s="1452">
        <v>1992354</v>
      </c>
      <c r="J54" s="413">
        <v>4.5528461935869231</v>
      </c>
    </row>
    <row r="55" spans="3:10" x14ac:dyDescent="0.4">
      <c r="C55" s="3120"/>
      <c r="D55" s="2384" t="s">
        <v>5003</v>
      </c>
      <c r="E55" s="413">
        <v>10.31562942</v>
      </c>
      <c r="F55" s="413">
        <v>12.840859541030337</v>
      </c>
      <c r="G55" s="413">
        <v>-2.2378685585725089</v>
      </c>
      <c r="H55" s="1452">
        <v>9020428.7387103308</v>
      </c>
      <c r="I55" s="1452">
        <v>1969363</v>
      </c>
      <c r="J55" s="413">
        <v>4.5803789035898061</v>
      </c>
    </row>
    <row r="56" spans="3:10" x14ac:dyDescent="0.4">
      <c r="C56" s="3120"/>
      <c r="D56" s="2384" t="s">
        <v>5000</v>
      </c>
      <c r="E56" s="413">
        <v>12.64391543</v>
      </c>
      <c r="F56" s="413">
        <v>13.408688219384658</v>
      </c>
      <c r="G56" s="413">
        <v>-0.67435114562215404</v>
      </c>
      <c r="H56" s="1452">
        <v>9314546.3850514293</v>
      </c>
      <c r="I56" s="1452">
        <v>2093648</v>
      </c>
      <c r="J56" s="413">
        <v>4.4489553091309659</v>
      </c>
    </row>
    <row r="57" spans="3:10" x14ac:dyDescent="0.4">
      <c r="C57" s="3120"/>
      <c r="D57" s="2384" t="s">
        <v>5001</v>
      </c>
      <c r="E57" s="413">
        <v>10.55879251</v>
      </c>
      <c r="F57" s="413">
        <v>7.7214716117699034</v>
      </c>
      <c r="G57" s="413">
        <v>2.633941829489439</v>
      </c>
      <c r="H57" s="1452">
        <v>9887675.8345327899</v>
      </c>
      <c r="I57" s="1452">
        <v>2103963</v>
      </c>
      <c r="J57" s="413">
        <v>4.6995483449722215</v>
      </c>
    </row>
    <row r="58" spans="3:10" x14ac:dyDescent="0.4">
      <c r="C58" s="3120">
        <v>2022</v>
      </c>
      <c r="D58" s="2384" t="s">
        <v>5002</v>
      </c>
      <c r="E58" s="413">
        <v>6.6908727700000004</v>
      </c>
      <c r="F58" s="413">
        <v>5.5071538491653582</v>
      </c>
      <c r="G58" s="413">
        <v>1.121932380739854</v>
      </c>
      <c r="H58" s="1452">
        <v>9677802.4539622199</v>
      </c>
      <c r="I58" s="1452">
        <v>2102076</v>
      </c>
      <c r="J58" s="413">
        <v>4.6039260492780567</v>
      </c>
    </row>
    <row r="59" spans="3:10" x14ac:dyDescent="0.4">
      <c r="C59" s="3120"/>
      <c r="D59" s="2384" t="s">
        <v>5003</v>
      </c>
      <c r="E59" s="413">
        <v>4.2502353199999998</v>
      </c>
      <c r="F59" s="413">
        <v>9.3748587741315337</v>
      </c>
      <c r="G59" s="413">
        <v>-4.6853760619338658</v>
      </c>
      <c r="H59" s="1452">
        <v>9403818.1872810107</v>
      </c>
      <c r="I59" s="1452">
        <v>2153988</v>
      </c>
      <c r="J59" s="413">
        <v>4.3657709268951406</v>
      </c>
    </row>
    <row r="60" spans="3:10" x14ac:dyDescent="0.4">
      <c r="C60" s="3120"/>
      <c r="D60" s="2384" t="s">
        <v>5000</v>
      </c>
      <c r="E60" s="413">
        <v>2.7916663000000002</v>
      </c>
      <c r="F60" s="413">
        <v>4.5010431552964025</v>
      </c>
      <c r="G60" s="413">
        <v>-1.6357510004836762</v>
      </c>
      <c r="H60" s="1452">
        <v>9574577.4371424504</v>
      </c>
      <c r="I60" s="1452">
        <v>2187884</v>
      </c>
      <c r="J60" s="413">
        <v>4.3761814781507846</v>
      </c>
    </row>
    <row r="61" spans="3:10" x14ac:dyDescent="0.4">
      <c r="C61" s="3120"/>
      <c r="D61" s="2384" t="s">
        <v>5001</v>
      </c>
      <c r="E61" s="413">
        <v>4.5214915400000004</v>
      </c>
      <c r="F61" s="413">
        <v>3.2841832294579376</v>
      </c>
      <c r="G61" s="413">
        <v>1.1979649506471457</v>
      </c>
      <c r="H61" s="1452">
        <v>10334746.2613001</v>
      </c>
      <c r="I61" s="1452">
        <v>2173061</v>
      </c>
      <c r="J61" s="413">
        <v>4.7558472869837063</v>
      </c>
    </row>
    <row r="62" spans="3:10" x14ac:dyDescent="0.4">
      <c r="C62" s="3120">
        <v>2023</v>
      </c>
      <c r="D62" s="2384" t="s">
        <v>5002</v>
      </c>
      <c r="E62" s="413">
        <v>4.45250565</v>
      </c>
      <c r="F62" s="413">
        <v>-0.18900363259939379</v>
      </c>
      <c r="G62" s="413">
        <v>4.6502985177941492</v>
      </c>
      <c r="H62" s="1452">
        <v>10108707.155221</v>
      </c>
      <c r="I62" s="1452">
        <v>2098103</v>
      </c>
      <c r="J62" s="413">
        <v>4.8180223541079732</v>
      </c>
    </row>
    <row r="63" spans="3:10" x14ac:dyDescent="0.4">
      <c r="C63" s="3120"/>
      <c r="D63" s="2384" t="s">
        <v>5003</v>
      </c>
      <c r="E63" s="413">
        <v>5.9220003999999999</v>
      </c>
      <c r="F63" s="413">
        <v>-1.5032117170569181</v>
      </c>
      <c r="G63" s="413">
        <v>7.5385322174679859</v>
      </c>
      <c r="H63" s="1452">
        <v>9960712.3380245492</v>
      </c>
      <c r="I63" s="1452">
        <v>2121609</v>
      </c>
      <c r="J63" s="413">
        <v>4.6948859747599814</v>
      </c>
    </row>
    <row r="64" spans="3:10" x14ac:dyDescent="0.4">
      <c r="C64" s="3120"/>
      <c r="D64" s="2384" t="s">
        <v>5000</v>
      </c>
      <c r="E64" s="413">
        <v>5.5024023700000004</v>
      </c>
      <c r="F64" s="413">
        <v>-5.0341791429527323</v>
      </c>
      <c r="G64" s="413">
        <v>11.095130246678897</v>
      </c>
      <c r="H64" s="1452">
        <v>10101409.213053601</v>
      </c>
      <c r="I64" s="1452">
        <v>2077742</v>
      </c>
      <c r="J64" s="413">
        <v>4.8617245129826516</v>
      </c>
    </row>
    <row r="65" spans="3:10" x14ac:dyDescent="0.4">
      <c r="C65" s="3120"/>
      <c r="D65" s="2384" t="s">
        <v>5001</v>
      </c>
      <c r="E65" s="413">
        <v>4.6305536299999996</v>
      </c>
      <c r="F65" s="413">
        <v>-4.1950502079785128</v>
      </c>
      <c r="G65" s="413">
        <v>9.2120541367619388</v>
      </c>
      <c r="H65" s="1452">
        <v>10813302.229718599</v>
      </c>
      <c r="I65" s="1452">
        <v>2081900</v>
      </c>
      <c r="J65" s="413">
        <v>5.1939585137223689</v>
      </c>
    </row>
    <row r="66" spans="3:10" x14ac:dyDescent="0.4">
      <c r="C66" s="3120">
        <v>2024</v>
      </c>
      <c r="D66" s="2384" t="s">
        <v>5002</v>
      </c>
      <c r="E66" s="413">
        <v>3.5712755899999999</v>
      </c>
      <c r="F66" s="413">
        <v>2.8343222425209813</v>
      </c>
      <c r="G66" s="413">
        <v>0.71664141811194071</v>
      </c>
      <c r="H66" s="1452">
        <v>10469716.946092101</v>
      </c>
      <c r="I66" s="1452">
        <v>2157570</v>
      </c>
      <c r="J66" s="413">
        <v>4.852550297831403</v>
      </c>
    </row>
    <row r="67" spans="3:10" x14ac:dyDescent="0.4">
      <c r="C67" s="3120"/>
      <c r="D67" s="2384" t="s">
        <v>5003</v>
      </c>
      <c r="E67" s="413">
        <v>5.4798299000000004</v>
      </c>
      <c r="F67" s="413">
        <v>1.6905565540116019</v>
      </c>
      <c r="G67" s="413">
        <v>3.7262784982116326</v>
      </c>
      <c r="H67" s="1452">
        <v>10506542.430737101</v>
      </c>
      <c r="I67" s="1452">
        <v>2157476</v>
      </c>
      <c r="J67" s="413">
        <v>4.8698305013530163</v>
      </c>
    </row>
    <row r="68" spans="3:10" x14ac:dyDescent="0.4">
      <c r="C68" s="3120"/>
      <c r="D68" s="2384" t="s">
        <v>5000</v>
      </c>
      <c r="E68" s="413">
        <v>3.8374040900000002</v>
      </c>
      <c r="F68" s="413">
        <v>8.5503878729890523</v>
      </c>
      <c r="G68" s="413">
        <v>-4.3417475314487692</v>
      </c>
      <c r="H68" s="1452">
        <v>10489041.1030536</v>
      </c>
      <c r="I68" s="1452">
        <v>2255397</v>
      </c>
      <c r="J68" s="413">
        <v>4.6506407089543877</v>
      </c>
    </row>
    <row r="69" spans="3:10" s="2371" customFormat="1" x14ac:dyDescent="0.4">
      <c r="C69" s="3120"/>
      <c r="D69" s="2384" t="s">
        <v>5001</v>
      </c>
      <c r="E69" s="413">
        <v>4.4070205400000004</v>
      </c>
      <c r="F69" s="413">
        <v>7.1792593304193186</v>
      </c>
      <c r="G69" s="413">
        <v>-2.586544084682818</v>
      </c>
      <c r="H69" s="1452">
        <v>11289846.679840101</v>
      </c>
      <c r="I69" s="1452">
        <v>2231365</v>
      </c>
      <c r="J69" s="413">
        <v>5.0596144870248034</v>
      </c>
    </row>
    <row r="70" spans="3:10" s="2371" customFormat="1" x14ac:dyDescent="0.4">
      <c r="C70" s="3121" t="s">
        <v>8151</v>
      </c>
      <c r="D70" s="3121"/>
      <c r="E70" s="3121"/>
      <c r="F70" s="3121"/>
      <c r="G70" s="3121"/>
      <c r="H70" s="3121"/>
      <c r="I70" s="3121"/>
      <c r="J70" s="3121"/>
    </row>
    <row r="71" spans="3:10" s="2371" customFormat="1" x14ac:dyDescent="0.4">
      <c r="C71" s="2482" t="s">
        <v>8152</v>
      </c>
      <c r="D71" s="2482"/>
      <c r="E71" s="2482"/>
      <c r="F71" s="2482"/>
      <c r="G71" s="2482"/>
      <c r="H71" s="2482"/>
      <c r="I71" s="2482"/>
      <c r="J71" s="2482"/>
    </row>
    <row r="72" spans="3:10" s="2371" customFormat="1" x14ac:dyDescent="0.4">
      <c r="C72" s="2373"/>
      <c r="D72" s="2373"/>
      <c r="E72" s="2373"/>
      <c r="F72" s="2373"/>
      <c r="G72" s="2373"/>
      <c r="H72" s="2373"/>
      <c r="I72" s="2373"/>
      <c r="J72" s="2373"/>
    </row>
    <row r="74" spans="3:10" ht="19.5" x14ac:dyDescent="0.4">
      <c r="C74" s="266" t="s">
        <v>8153</v>
      </c>
      <c r="D74" s="2371"/>
      <c r="E74" s="2371"/>
      <c r="F74" s="2371"/>
      <c r="G74" s="2371"/>
      <c r="H74" s="2371"/>
      <c r="I74" s="2371"/>
      <c r="J74" s="2371"/>
    </row>
    <row r="92" spans="3:10" x14ac:dyDescent="0.4">
      <c r="C92" s="2815"/>
      <c r="D92" s="2815"/>
      <c r="E92" s="2815"/>
      <c r="F92" s="2815"/>
      <c r="G92" s="2815"/>
      <c r="H92" s="2815"/>
      <c r="I92" s="2815"/>
      <c r="J92" s="2815"/>
    </row>
    <row r="96" spans="3:10" x14ac:dyDescent="0.4">
      <c r="C96" s="155" t="s">
        <v>8154</v>
      </c>
    </row>
  </sheetData>
  <mergeCells count="34">
    <mergeCell ref="A5:B5"/>
    <mergeCell ref="C5:O5"/>
    <mergeCell ref="C1:D1"/>
    <mergeCell ref="A3:B3"/>
    <mergeCell ref="C3:O3"/>
    <mergeCell ref="A4:B4"/>
    <mergeCell ref="C4:O4"/>
    <mergeCell ref="C34:C37"/>
    <mergeCell ref="A6:B6"/>
    <mergeCell ref="C6:O6"/>
    <mergeCell ref="C12:C15"/>
    <mergeCell ref="D12:D15"/>
    <mergeCell ref="E12:E15"/>
    <mergeCell ref="F12:F15"/>
    <mergeCell ref="G12:G15"/>
    <mergeCell ref="H12:H15"/>
    <mergeCell ref="I12:I15"/>
    <mergeCell ref="J12:J15"/>
    <mergeCell ref="C16:C17"/>
    <mergeCell ref="C18:C21"/>
    <mergeCell ref="C22:C25"/>
    <mergeCell ref="C26:C29"/>
    <mergeCell ref="C30:C33"/>
    <mergeCell ref="C62:C65"/>
    <mergeCell ref="C92:J92"/>
    <mergeCell ref="C38:C41"/>
    <mergeCell ref="C42:C45"/>
    <mergeCell ref="C46:C49"/>
    <mergeCell ref="C50:C53"/>
    <mergeCell ref="C54:C57"/>
    <mergeCell ref="C58:C61"/>
    <mergeCell ref="C66:C69"/>
    <mergeCell ref="C70:J70"/>
    <mergeCell ref="C71:J71"/>
  </mergeCells>
  <hyperlinks>
    <hyperlink ref="A1" location="'ODS 8.'!A1" display="REGRESAR" xr:uid="{78E4584B-EE33-42D8-A79C-2253E4444851}"/>
    <hyperlink ref="C1:D1" location="'Metadato 8.2.1'!A1" display="VER METADATO" xr:uid="{6FD97E98-CE6D-4D54-A06C-E2B0F3F507EA}"/>
  </hyperlinks>
  <pageMargins left="0.7" right="0.7" top="0.75" bottom="0.75" header="0.3" footer="0.3"/>
  <pageSetup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13BF-3ED9-4C4D-B664-6AF068D3BD7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10.42578125" style="243" customWidth="1"/>
    <col min="2" max="2" width="26.42578125" style="243" customWidth="1"/>
    <col min="3" max="3" width="10.5703125" style="243" bestFit="1" customWidth="1"/>
    <col min="4" max="4" width="89.28515625" style="243" customWidth="1"/>
    <col min="5" max="5" width="11.42578125" style="243"/>
    <col min="6" max="6" width="7.28515625" style="243" customWidth="1"/>
    <col min="7" max="7" width="11.42578125" style="243"/>
    <col min="8" max="8" width="1.28515625" style="243" customWidth="1"/>
    <col min="9" max="10" width="11.42578125" style="243"/>
    <col min="11" max="11" width="1.28515625" style="243" customWidth="1"/>
    <col min="12" max="14" width="11.42578125" style="243"/>
    <col min="15" max="15" width="13.28515625" style="243" customWidth="1"/>
    <col min="16" max="16" width="17" style="243" customWidth="1"/>
    <col min="17" max="17" width="11.42578125" style="243"/>
    <col min="18" max="25" width="4.42578125" style="243" bestFit="1" customWidth="1"/>
    <col min="26"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265</v>
      </c>
    </row>
    <row r="4" spans="1:6" ht="37.5" x14ac:dyDescent="0.25">
      <c r="A4" s="1079"/>
      <c r="B4" s="2445" t="s">
        <v>234</v>
      </c>
      <c r="C4" s="2445"/>
      <c r="D4" s="49" t="s">
        <v>4975</v>
      </c>
    </row>
    <row r="5" spans="1:6" ht="49.5" customHeight="1" x14ac:dyDescent="0.25">
      <c r="B5" s="2445" t="s">
        <v>79</v>
      </c>
      <c r="C5" s="2445"/>
      <c r="D5" s="49" t="s">
        <v>4916</v>
      </c>
    </row>
    <row r="6" spans="1:6" x14ac:dyDescent="0.25">
      <c r="B6" s="2445" t="s">
        <v>80</v>
      </c>
      <c r="C6" s="2445"/>
      <c r="D6" s="50" t="s">
        <v>4917</v>
      </c>
    </row>
    <row r="7" spans="1:6" ht="15" customHeight="1" x14ac:dyDescent="0.25">
      <c r="B7" s="2446" t="s">
        <v>81</v>
      </c>
      <c r="C7" s="2446"/>
      <c r="D7" s="93" t="s">
        <v>4918</v>
      </c>
    </row>
    <row r="8" spans="1:6" x14ac:dyDescent="0.25">
      <c r="B8" s="2446" t="s">
        <v>82</v>
      </c>
      <c r="C8" s="2446"/>
      <c r="D8" s="1047" t="s">
        <v>5004</v>
      </c>
    </row>
    <row r="9" spans="1:6" x14ac:dyDescent="0.4">
      <c r="B9" s="115"/>
      <c r="C9" s="115"/>
      <c r="D9" s="115"/>
    </row>
    <row r="10" spans="1:6" ht="23.25" customHeight="1" x14ac:dyDescent="0.25">
      <c r="B10" s="3119" t="s">
        <v>85</v>
      </c>
      <c r="C10" s="3119"/>
      <c r="D10" s="3119"/>
    </row>
    <row r="11" spans="1:6" ht="15.75" customHeight="1" x14ac:dyDescent="0.25">
      <c r="B11" s="2487" t="s">
        <v>86</v>
      </c>
      <c r="C11" s="2456"/>
      <c r="D11" s="49" t="s">
        <v>167</v>
      </c>
    </row>
    <row r="12" spans="1:6" ht="37.5" x14ac:dyDescent="0.25">
      <c r="B12" s="2446" t="s">
        <v>88</v>
      </c>
      <c r="C12" s="2446"/>
      <c r="D12" s="184" t="s">
        <v>5005</v>
      </c>
    </row>
    <row r="13" spans="1:6" x14ac:dyDescent="0.25">
      <c r="B13" s="2445" t="s">
        <v>90</v>
      </c>
      <c r="C13" s="2445"/>
      <c r="D13" s="54" t="s">
        <v>4917</v>
      </c>
    </row>
    <row r="14" spans="1:6" x14ac:dyDescent="0.25">
      <c r="B14" s="2445" t="s">
        <v>91</v>
      </c>
      <c r="C14" s="2456"/>
      <c r="D14" s="54" t="s">
        <v>214</v>
      </c>
    </row>
    <row r="15" spans="1:6" ht="242.25" customHeight="1" x14ac:dyDescent="0.25">
      <c r="B15" s="2445" t="s">
        <v>93</v>
      </c>
      <c r="C15" s="2445"/>
      <c r="D15" s="754" t="s">
        <v>5006</v>
      </c>
    </row>
    <row r="16" spans="1:6" ht="235.5" customHeight="1" x14ac:dyDescent="0.25">
      <c r="B16" s="2445" t="s">
        <v>95</v>
      </c>
      <c r="C16" s="2445"/>
      <c r="D16" s="55" t="s">
        <v>5007</v>
      </c>
    </row>
    <row r="17" spans="2:4" x14ac:dyDescent="0.25">
      <c r="B17" s="2445" t="s">
        <v>97</v>
      </c>
      <c r="C17" s="2445"/>
      <c r="D17" s="55" t="s">
        <v>5008</v>
      </c>
    </row>
    <row r="18" spans="2:4" x14ac:dyDescent="0.25">
      <c r="B18" s="2446" t="s">
        <v>99</v>
      </c>
      <c r="C18" s="2446"/>
      <c r="D18" s="49"/>
    </row>
    <row r="19" spans="2:4" ht="37.5" x14ac:dyDescent="0.25">
      <c r="B19" s="2457" t="s">
        <v>100</v>
      </c>
      <c r="C19" s="2458"/>
      <c r="D19" s="55" t="s">
        <v>5009</v>
      </c>
    </row>
    <row r="20" spans="2:4" x14ac:dyDescent="0.25">
      <c r="B20" s="2445" t="s">
        <v>102</v>
      </c>
      <c r="C20" s="2445"/>
      <c r="D20" s="55" t="s">
        <v>140</v>
      </c>
    </row>
    <row r="21" spans="2:4" x14ac:dyDescent="0.25">
      <c r="B21" s="2451" t="s">
        <v>104</v>
      </c>
      <c r="C21" s="95" t="s">
        <v>105</v>
      </c>
      <c r="D21" s="55" t="s">
        <v>5010</v>
      </c>
    </row>
    <row r="22" spans="2:4" x14ac:dyDescent="0.25">
      <c r="B22" s="2452"/>
      <c r="C22" s="96" t="s">
        <v>107</v>
      </c>
      <c r="D22" s="55"/>
    </row>
    <row r="23" spans="2:4" x14ac:dyDescent="0.25">
      <c r="B23" s="2445" t="s">
        <v>109</v>
      </c>
      <c r="C23" s="2445"/>
      <c r="D23" s="55" t="s">
        <v>612</v>
      </c>
    </row>
    <row r="24" spans="2:4" ht="37.5" x14ac:dyDescent="0.25">
      <c r="B24" s="2445" t="s">
        <v>111</v>
      </c>
      <c r="C24" s="2445"/>
      <c r="D24" s="50" t="s">
        <v>5011</v>
      </c>
    </row>
    <row r="25" spans="2:4" x14ac:dyDescent="0.25">
      <c r="B25" s="2445" t="s">
        <v>113</v>
      </c>
      <c r="C25" s="2445"/>
      <c r="D25" s="55" t="s">
        <v>2732</v>
      </c>
    </row>
    <row r="26" spans="2:4" ht="37.5" x14ac:dyDescent="0.25">
      <c r="B26" s="2446" t="s">
        <v>115</v>
      </c>
      <c r="C26" s="2446"/>
      <c r="D26" s="50" t="s">
        <v>5012</v>
      </c>
    </row>
    <row r="27" spans="2:4" x14ac:dyDescent="0.25">
      <c r="B27" s="2447" t="s">
        <v>117</v>
      </c>
      <c r="C27" s="2448"/>
      <c r="D27" s="49"/>
    </row>
    <row r="28" spans="2:4" ht="37.5" x14ac:dyDescent="0.25">
      <c r="B28" s="97" t="s">
        <v>118</v>
      </c>
      <c r="C28" s="98"/>
      <c r="D28" s="55" t="s">
        <v>5013</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F00E4B8-E139-4A8E-845F-D65CA8F2AF9D}">
      <formula1>Tipo_operación</formula1>
    </dataValidation>
    <dataValidation type="list" allowBlank="1" showInputMessage="1" showErrorMessage="1" sqref="D14" xr:uid="{E7242688-ECB1-41DF-A38E-22473714E555}">
      <formula1>Tipo_indicador</formula1>
    </dataValidation>
    <dataValidation type="list" allowBlank="1" showInputMessage="1" showErrorMessage="1" sqref="D7" xr:uid="{BAD6BBDB-AB3C-4F8D-84AB-2B25320732EA}">
      <formula1>Nombre_indicador_ODS</formula1>
    </dataValidation>
    <dataValidation type="list" allowBlank="1" showInputMessage="1" showErrorMessage="1" sqref="D6" xr:uid="{A2A49259-02A0-4117-A067-58FB07F12D04}">
      <formula1>Numero_indicador</formula1>
    </dataValidation>
    <dataValidation type="list" allowBlank="1" showInputMessage="1" showErrorMessage="1" sqref="D5" xr:uid="{FFB3EB87-EEFE-4EA1-85D6-BCD1CA821F79}">
      <formula1>Metas_ODS</formula1>
    </dataValidation>
    <dataValidation type="list" allowBlank="1" showInputMessage="1" showErrorMessage="1" sqref="D4" xr:uid="{8DCB4571-9AFD-440D-B6F4-43B6B6AE424F}">
      <formula1>ODS</formula1>
    </dataValidation>
    <dataValidation allowBlank="1" showDropDown="1" showInputMessage="1" showErrorMessage="1" sqref="D13" xr:uid="{5973BE04-1AC4-4F68-8D03-D1E2FAAF225D}"/>
  </dataValidations>
  <hyperlinks>
    <hyperlink ref="B1" location="'8.2.1'!A1" display="REGRESAR" xr:uid="{80999F55-D7AD-48AA-8909-C965D161DD2B}"/>
    <hyperlink ref="D8" r:id="rId1" xr:uid="{DE413E6F-61E5-4299-A489-B2598A5CAD01}"/>
    <hyperlink ref="D36" r:id="rId2" display="braulio.villegas@inec.go.cr" xr:uid="{58FB97DB-8420-49AA-82C0-FDE82213B25B}"/>
  </hyperlinks>
  <pageMargins left="0.7" right="0.7" top="0.75" bottom="0.75" header="0.3" footer="0.3"/>
  <pageSetup orientation="portrait" r:id="rId3"/>
  <drawing r:id="rId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F445-0155-4630-ADE8-1FD4E5ACE978}">
  <dimension ref="A1:T55"/>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2" width="15" style="115" customWidth="1"/>
    <col min="3" max="4" width="8.7109375" style="115" customWidth="1"/>
    <col min="5" max="5" width="7.28515625" style="115" customWidth="1"/>
    <col min="6" max="6" width="6.7109375" style="115" customWidth="1"/>
    <col min="7" max="7" width="0.7109375" style="115" customWidth="1"/>
    <col min="8" max="8" width="6.7109375" style="115" customWidth="1"/>
    <col min="9" max="10" width="11.42578125" style="115"/>
    <col min="11" max="11" width="1.28515625" style="115" customWidth="1"/>
    <col min="12" max="12" width="8.28515625" style="115" customWidth="1"/>
    <col min="13" max="19" width="11.42578125" style="115"/>
    <col min="20" max="20" width="16.42578125" style="115" customWidth="1"/>
    <col min="21" max="16384" width="11.42578125" style="115"/>
  </cols>
  <sheetData>
    <row r="1" spans="1:20" s="1032" customFormat="1" ht="19.5" x14ac:dyDescent="0.4">
      <c r="A1" s="15" t="s">
        <v>39</v>
      </c>
      <c r="C1" s="2421" t="s">
        <v>40</v>
      </c>
      <c r="D1" s="2421"/>
    </row>
    <row r="2" spans="1:20" s="1032" customFormat="1" ht="19.5" x14ac:dyDescent="0.4"/>
    <row r="3" spans="1:20" s="1032" customFormat="1" ht="19.5" x14ac:dyDescent="0.4">
      <c r="A3" s="3117" t="s">
        <v>41</v>
      </c>
      <c r="B3" s="3117"/>
      <c r="C3" s="3117" t="s">
        <v>4957</v>
      </c>
      <c r="D3" s="3117"/>
      <c r="E3" s="3117"/>
      <c r="F3" s="3117"/>
      <c r="G3" s="3117"/>
      <c r="H3" s="3117"/>
      <c r="I3" s="3117"/>
      <c r="J3" s="3117"/>
      <c r="K3" s="3117"/>
      <c r="L3" s="3117"/>
      <c r="M3" s="3117"/>
      <c r="N3" s="3117"/>
      <c r="O3" s="3117"/>
      <c r="P3" s="3117"/>
      <c r="Q3" s="3117"/>
      <c r="R3" s="3117"/>
      <c r="S3" s="3117"/>
      <c r="T3" s="3117"/>
    </row>
    <row r="4" spans="1:20" s="1032" customFormat="1" ht="36.6" customHeight="1" x14ac:dyDescent="0.4">
      <c r="A4" s="3117" t="s">
        <v>42</v>
      </c>
      <c r="B4" s="3117"/>
      <c r="C4" s="3117" t="s">
        <v>4919</v>
      </c>
      <c r="D4" s="3117"/>
      <c r="E4" s="3117"/>
      <c r="F4" s="3117"/>
      <c r="G4" s="3117"/>
      <c r="H4" s="3117"/>
      <c r="I4" s="3117"/>
      <c r="J4" s="3117"/>
      <c r="K4" s="3117"/>
      <c r="L4" s="3117"/>
      <c r="M4" s="3117"/>
      <c r="N4" s="3117"/>
      <c r="O4" s="3117"/>
      <c r="P4" s="3117"/>
      <c r="Q4" s="3117"/>
      <c r="R4" s="3117"/>
      <c r="S4" s="3117"/>
      <c r="T4" s="3117"/>
    </row>
    <row r="5" spans="1:20" s="1032" customFormat="1" ht="19.5" x14ac:dyDescent="0.4">
      <c r="A5" s="3117" t="s">
        <v>43</v>
      </c>
      <c r="B5" s="3117"/>
      <c r="C5" s="3117" t="s">
        <v>4921</v>
      </c>
      <c r="D5" s="3117"/>
      <c r="E5" s="3117"/>
      <c r="F5" s="3117"/>
      <c r="G5" s="3117"/>
      <c r="H5" s="3117"/>
      <c r="I5" s="3117"/>
      <c r="J5" s="3117"/>
      <c r="K5" s="3117"/>
      <c r="L5" s="3117"/>
      <c r="M5" s="3117"/>
      <c r="N5" s="3117"/>
      <c r="O5" s="3117"/>
      <c r="P5" s="3117"/>
      <c r="Q5" s="3117"/>
      <c r="R5" s="3117"/>
      <c r="S5" s="3117"/>
      <c r="T5" s="3117"/>
    </row>
    <row r="6" spans="1:20" s="1032" customFormat="1" ht="19.5" x14ac:dyDescent="0.4">
      <c r="A6" s="3117" t="s">
        <v>132</v>
      </c>
      <c r="B6" s="3117"/>
      <c r="C6" s="3117" t="s">
        <v>5014</v>
      </c>
      <c r="D6" s="3117"/>
      <c r="E6" s="3117"/>
      <c r="F6" s="3117"/>
      <c r="G6" s="3117"/>
      <c r="H6" s="3117"/>
      <c r="I6" s="3117"/>
      <c r="J6" s="3117"/>
      <c r="K6" s="3117"/>
      <c r="L6" s="3117"/>
      <c r="M6" s="3117"/>
      <c r="N6" s="3117"/>
      <c r="O6" s="3117"/>
      <c r="P6" s="3117"/>
      <c r="Q6" s="3117"/>
      <c r="R6" s="3117"/>
      <c r="S6" s="3117"/>
      <c r="T6" s="3117"/>
    </row>
    <row r="7" spans="1:20" s="1032" customFormat="1" ht="19.5" x14ac:dyDescent="0.4"/>
    <row r="8" spans="1:20" s="1032" customFormat="1" ht="19.5" x14ac:dyDescent="0.4"/>
    <row r="9" spans="1:20" s="1032" customFormat="1" ht="30.75" customHeight="1" x14ac:dyDescent="0.4">
      <c r="C9" s="2628" t="s">
        <v>5014</v>
      </c>
      <c r="D9" s="2628"/>
      <c r="E9" s="2628"/>
      <c r="F9" s="2628"/>
      <c r="G9" s="2628"/>
      <c r="H9" s="2628"/>
      <c r="I9" s="2628"/>
      <c r="J9" s="2628"/>
      <c r="K9" s="2628"/>
      <c r="L9" s="2628"/>
      <c r="M9" s="2628"/>
      <c r="N9" s="2628"/>
    </row>
    <row r="10" spans="1:20" s="1032" customFormat="1" ht="19.5" x14ac:dyDescent="0.4">
      <c r="C10" s="533"/>
      <c r="D10" s="533"/>
      <c r="E10" s="533"/>
      <c r="F10" s="533"/>
      <c r="G10" s="533"/>
      <c r="H10" s="533"/>
      <c r="I10" s="533"/>
      <c r="J10" s="533"/>
      <c r="K10" s="533"/>
      <c r="L10" s="533"/>
      <c r="M10" s="533"/>
      <c r="N10" s="533"/>
    </row>
    <row r="11" spans="1:20" ht="19.5" customHeight="1" x14ac:dyDescent="0.4">
      <c r="C11" s="3124" t="s">
        <v>247</v>
      </c>
      <c r="D11" s="3134" t="s">
        <v>154</v>
      </c>
      <c r="E11" s="3134"/>
      <c r="F11" s="3134"/>
      <c r="G11" s="1454"/>
      <c r="H11" s="3134" t="s">
        <v>5015</v>
      </c>
      <c r="I11" s="3134"/>
      <c r="J11" s="3134"/>
      <c r="K11" s="1454"/>
      <c r="L11" s="3134" t="s">
        <v>5016</v>
      </c>
      <c r="M11" s="3134"/>
      <c r="N11" s="3134"/>
    </row>
    <row r="12" spans="1:20" ht="12.75" customHeight="1" x14ac:dyDescent="0.4">
      <c r="C12" s="3125"/>
      <c r="D12" s="3128" t="s">
        <v>47</v>
      </c>
      <c r="E12" s="3134" t="s">
        <v>48</v>
      </c>
      <c r="F12" s="3134"/>
      <c r="G12" s="1455"/>
      <c r="H12" s="3128" t="s">
        <v>47</v>
      </c>
      <c r="I12" s="3134" t="s">
        <v>48</v>
      </c>
      <c r="J12" s="3134"/>
      <c r="K12" s="1455"/>
      <c r="L12" s="3128" t="s">
        <v>47</v>
      </c>
      <c r="M12" s="3134" t="s">
        <v>48</v>
      </c>
      <c r="N12" s="3134"/>
    </row>
    <row r="13" spans="1:20" ht="37.5" x14ac:dyDescent="0.4">
      <c r="C13" s="3126"/>
      <c r="D13" s="3129"/>
      <c r="E13" s="1456" t="s">
        <v>5017</v>
      </c>
      <c r="F13" s="1456" t="s">
        <v>54</v>
      </c>
      <c r="G13" s="1456"/>
      <c r="H13" s="3129"/>
      <c r="I13" s="1456" t="s">
        <v>5017</v>
      </c>
      <c r="J13" s="1456" t="s">
        <v>54</v>
      </c>
      <c r="K13" s="1456"/>
      <c r="L13" s="3129"/>
      <c r="M13" s="1456" t="s">
        <v>5017</v>
      </c>
      <c r="N13" s="1456" t="s">
        <v>54</v>
      </c>
    </row>
    <row r="14" spans="1:20" x14ac:dyDescent="0.4">
      <c r="C14" s="301">
        <v>2010</v>
      </c>
      <c r="D14" s="1457">
        <v>38.292018319512444</v>
      </c>
      <c r="E14" s="1457">
        <v>35.375372185571308</v>
      </c>
      <c r="F14" s="1457">
        <v>42.702091934175996</v>
      </c>
      <c r="G14" s="1457"/>
      <c r="H14" s="1457">
        <v>69.204022031500102</v>
      </c>
      <c r="I14" s="1457">
        <v>65.38490638392949</v>
      </c>
      <c r="J14" s="1457">
        <v>78.235816356228483</v>
      </c>
      <c r="K14" s="1457"/>
      <c r="L14" s="1457">
        <v>30.046827498199477</v>
      </c>
      <c r="M14" s="1457">
        <v>25.69929309242486</v>
      </c>
      <c r="N14" s="1457">
        <v>35.972181389306286</v>
      </c>
    </row>
    <row r="15" spans="1:20" x14ac:dyDescent="0.4">
      <c r="C15" s="301">
        <v>2011</v>
      </c>
      <c r="D15" s="1457">
        <v>34.4760038430287</v>
      </c>
      <c r="E15" s="1457">
        <v>31.827016581637121</v>
      </c>
      <c r="F15" s="1457">
        <v>38.569428932989268</v>
      </c>
      <c r="G15" s="1457"/>
      <c r="H15" s="1457">
        <v>66.407940005618542</v>
      </c>
      <c r="I15" s="1457">
        <v>62.648921714724963</v>
      </c>
      <c r="J15" s="1457">
        <v>75.007183464966232</v>
      </c>
      <c r="K15" s="1457"/>
      <c r="L15" s="1457">
        <v>26.558958810340592</v>
      </c>
      <c r="M15" s="1457">
        <v>22.727089023263261</v>
      </c>
      <c r="N15" s="1457">
        <v>31.979608903677008</v>
      </c>
    </row>
    <row r="16" spans="1:20" x14ac:dyDescent="0.4">
      <c r="C16" s="301">
        <v>2012</v>
      </c>
      <c r="D16" s="1457">
        <v>37.641722249622774</v>
      </c>
      <c r="E16" s="1457">
        <v>33.514757286083452</v>
      </c>
      <c r="F16" s="1457">
        <v>43.467206772099694</v>
      </c>
      <c r="G16" s="1457"/>
      <c r="H16" s="1457">
        <v>68.87245081112836</v>
      </c>
      <c r="I16" s="1457">
        <v>65.160816190629916</v>
      </c>
      <c r="J16" s="1457">
        <v>76.222337953829509</v>
      </c>
      <c r="K16" s="1457"/>
      <c r="L16" s="1457">
        <v>29.555510736357277</v>
      </c>
      <c r="M16" s="1457">
        <v>23.711203749312546</v>
      </c>
      <c r="N16" s="1457">
        <v>37.072113188938609</v>
      </c>
    </row>
    <row r="17" spans="3:14" x14ac:dyDescent="0.4">
      <c r="C17" s="301">
        <v>2013</v>
      </c>
      <c r="D17" s="1457">
        <v>41.904229401750115</v>
      </c>
      <c r="E17" s="1457">
        <v>38.311065151588032</v>
      </c>
      <c r="F17" s="1457">
        <v>46.923439616946574</v>
      </c>
      <c r="G17" s="1457"/>
      <c r="H17" s="1457">
        <v>75.484767814533654</v>
      </c>
      <c r="I17" s="1457">
        <v>72.596463300640181</v>
      </c>
      <c r="J17" s="1457">
        <v>81.686238044354724</v>
      </c>
      <c r="K17" s="1457"/>
      <c r="L17" s="1457">
        <v>31.932685462184857</v>
      </c>
      <c r="M17" s="1457">
        <v>25.68730329766241</v>
      </c>
      <c r="N17" s="1457">
        <v>39.673610671029181</v>
      </c>
    </row>
    <row r="18" spans="3:14" x14ac:dyDescent="0.4">
      <c r="C18" s="301">
        <v>2014</v>
      </c>
      <c r="D18" s="1457">
        <v>41.689547691296589</v>
      </c>
      <c r="E18" s="1457">
        <v>38.031137725320583</v>
      </c>
      <c r="F18" s="1457">
        <v>46.925271575025455</v>
      </c>
      <c r="G18" s="1457"/>
      <c r="H18" s="1457">
        <v>80.267608069952104</v>
      </c>
      <c r="I18" s="1457">
        <v>78.536146964422898</v>
      </c>
      <c r="J18" s="1457">
        <v>83.903647984429625</v>
      </c>
      <c r="K18" s="1457"/>
      <c r="L18" s="1457">
        <v>31.013480389167686</v>
      </c>
      <c r="M18" s="1457">
        <v>24.625433065647371</v>
      </c>
      <c r="N18" s="1457">
        <v>39.305493375327153</v>
      </c>
    </row>
    <row r="19" spans="3:14" x14ac:dyDescent="0.4">
      <c r="C19" s="301">
        <v>2015</v>
      </c>
      <c r="D19" s="1457">
        <v>42.454178987185607</v>
      </c>
      <c r="E19" s="1457">
        <v>38.885322611814452</v>
      </c>
      <c r="F19" s="1457">
        <v>47.477290493266139</v>
      </c>
      <c r="G19" s="1457"/>
      <c r="H19" s="1457">
        <v>84.043446454598353</v>
      </c>
      <c r="I19" s="1457">
        <v>81.489042039308686</v>
      </c>
      <c r="J19" s="1457">
        <v>89.177060575099574</v>
      </c>
      <c r="K19" s="1457"/>
      <c r="L19" s="1457">
        <v>31.312593346369653</v>
      </c>
      <c r="M19" s="1457">
        <v>25.330049386117093</v>
      </c>
      <c r="N19" s="1457">
        <v>38.99692164988398</v>
      </c>
    </row>
    <row r="20" spans="3:14" x14ac:dyDescent="0.4">
      <c r="C20" s="301">
        <v>2016</v>
      </c>
      <c r="D20" s="1457">
        <v>40.512621419490316</v>
      </c>
      <c r="E20" s="1457">
        <v>38.404376439897291</v>
      </c>
      <c r="F20" s="1457">
        <v>43.668529688628915</v>
      </c>
      <c r="G20" s="1457"/>
      <c r="H20" s="1457">
        <v>82.735297604314979</v>
      </c>
      <c r="I20" s="1457">
        <v>81.41885160940565</v>
      </c>
      <c r="J20" s="1457">
        <v>85.92490898023344</v>
      </c>
      <c r="K20" s="1457"/>
      <c r="L20" s="1457">
        <v>29.63536987174318</v>
      </c>
      <c r="M20" s="1457">
        <v>24.878139615250301</v>
      </c>
      <c r="N20" s="1457">
        <v>36.026446960539374</v>
      </c>
    </row>
    <row r="21" spans="3:14" x14ac:dyDescent="0.4">
      <c r="C21" s="301">
        <v>2017</v>
      </c>
      <c r="D21" s="1457">
        <v>40.437541333429536</v>
      </c>
      <c r="E21" s="1457">
        <v>38.001509349318567</v>
      </c>
      <c r="F21" s="1457">
        <v>44.080940167800406</v>
      </c>
      <c r="G21" s="1457"/>
      <c r="H21" s="1457">
        <v>86.371873855853011</v>
      </c>
      <c r="I21" s="1457">
        <v>84.0913090987342</v>
      </c>
      <c r="J21" s="1457">
        <v>91.059194598682836</v>
      </c>
      <c r="K21" s="1457"/>
      <c r="L21" s="1457">
        <v>28.052905390023106</v>
      </c>
      <c r="M21" s="1457">
        <v>23.709612596578673</v>
      </c>
      <c r="N21" s="1457">
        <v>34.076506808454923</v>
      </c>
    </row>
    <row r="22" spans="3:14" x14ac:dyDescent="0.4">
      <c r="C22" s="301">
        <v>2018</v>
      </c>
      <c r="D22" s="1457">
        <v>42.14982145767393</v>
      </c>
      <c r="E22" s="1457">
        <v>38.432313470034899</v>
      </c>
      <c r="F22" s="1457">
        <v>47.552220923262659</v>
      </c>
      <c r="G22" s="1457"/>
      <c r="H22" s="1457">
        <v>89.057593318036993</v>
      </c>
      <c r="I22" s="1457">
        <v>86.743047787003789</v>
      </c>
      <c r="J22" s="1457">
        <v>93.273297108160136</v>
      </c>
      <c r="K22" s="1457"/>
      <c r="L22" s="1457">
        <v>28.158169540430066</v>
      </c>
      <c r="M22" s="1457">
        <v>22.359249860518638</v>
      </c>
      <c r="N22" s="1457">
        <v>36.063100908753917</v>
      </c>
    </row>
    <row r="23" spans="3:14" x14ac:dyDescent="0.4">
      <c r="C23" s="301">
        <v>2019</v>
      </c>
      <c r="D23" s="1457">
        <v>44.604409254617096</v>
      </c>
      <c r="E23" s="1457">
        <v>41.759257157634011</v>
      </c>
      <c r="F23" s="1457">
        <v>48.516632961610014</v>
      </c>
      <c r="G23" s="1457"/>
      <c r="H23" s="1457">
        <v>92.49738251494081</v>
      </c>
      <c r="I23" s="1457">
        <v>90.752379317208536</v>
      </c>
      <c r="J23" s="1457">
        <v>95.658535449234677</v>
      </c>
      <c r="K23" s="1457"/>
      <c r="L23" s="1457">
        <v>29.162477671323416</v>
      </c>
      <c r="M23" s="1457">
        <v>23.44115073197376</v>
      </c>
      <c r="N23" s="1457">
        <v>36.349343125092048</v>
      </c>
    </row>
    <row r="24" spans="3:14" x14ac:dyDescent="0.4">
      <c r="C24" s="301">
        <v>2020</v>
      </c>
      <c r="D24" s="1457">
        <v>42.195237596716737</v>
      </c>
      <c r="E24" s="1457">
        <v>42.007605558740522</v>
      </c>
      <c r="F24" s="1457">
        <v>42.425681779653573</v>
      </c>
      <c r="G24" s="1457"/>
      <c r="H24" s="1457">
        <v>92.152633946669241</v>
      </c>
      <c r="I24" s="1457">
        <v>91.290469003390172</v>
      </c>
      <c r="J24" s="1457">
        <v>94.113222796486127</v>
      </c>
      <c r="K24" s="1457"/>
      <c r="L24" s="1457">
        <v>25.675848977903868</v>
      </c>
      <c r="M24" s="1457">
        <v>22.602908933496291</v>
      </c>
      <c r="N24" s="1457">
        <v>29.741469402745334</v>
      </c>
    </row>
    <row r="25" spans="3:14" x14ac:dyDescent="0.4">
      <c r="C25" s="301">
        <v>2021</v>
      </c>
      <c r="D25" s="1457">
        <v>43.361548367362182</v>
      </c>
      <c r="E25" s="1457">
        <v>42.745620026848769</v>
      </c>
      <c r="F25" s="1457">
        <v>44.276990363067249</v>
      </c>
      <c r="G25" s="1457"/>
      <c r="H25" s="1457">
        <v>92.197714912362372</v>
      </c>
      <c r="I25" s="1457">
        <v>91.284008164901252</v>
      </c>
      <c r="J25" s="1457">
        <v>94.017062817261376</v>
      </c>
      <c r="K25" s="1457"/>
      <c r="L25" s="1457">
        <v>26.493273234688161</v>
      </c>
      <c r="M25" s="1457">
        <v>23.034185403922379</v>
      </c>
      <c r="N25" s="1457">
        <v>31.015543142203132</v>
      </c>
    </row>
    <row r="26" spans="3:14" x14ac:dyDescent="0.4">
      <c r="C26" s="301">
        <v>2022</v>
      </c>
      <c r="D26" s="1457">
        <v>42.265885819873461</v>
      </c>
      <c r="E26" s="1457">
        <v>40.90782190004267</v>
      </c>
      <c r="F26" s="1457">
        <v>44.205335669725137</v>
      </c>
      <c r="G26" s="1457"/>
      <c r="H26" s="1457">
        <v>90.07694187493135</v>
      </c>
      <c r="I26" s="1457">
        <v>88.59107616644954</v>
      </c>
      <c r="J26" s="1457">
        <v>92.8691321755541</v>
      </c>
      <c r="K26" s="1457"/>
      <c r="L26" s="1457">
        <v>26.309772145798632</v>
      </c>
      <c r="M26" s="1457">
        <v>22.524704598537781</v>
      </c>
      <c r="N26" s="1457">
        <v>31.237351560436977</v>
      </c>
    </row>
    <row r="27" spans="3:14" x14ac:dyDescent="0.4">
      <c r="C27" s="2386">
        <v>2023</v>
      </c>
      <c r="D27" s="2387">
        <v>37.692335712402439</v>
      </c>
      <c r="E27" s="2387">
        <v>37.443313821475186</v>
      </c>
      <c r="F27" s="2387">
        <v>38.05896954986973</v>
      </c>
      <c r="G27" s="2387"/>
      <c r="H27" s="2387">
        <v>86.463307146291697</v>
      </c>
      <c r="I27" s="2387">
        <v>86.150631756310659</v>
      </c>
      <c r="J27" s="2387">
        <v>87.159197874417131</v>
      </c>
      <c r="K27" s="2387"/>
      <c r="L27" s="2387">
        <v>23.265335469801347</v>
      </c>
      <c r="M27" s="2387">
        <v>20.42929516726981</v>
      </c>
      <c r="N27" s="2387">
        <v>27.087614843272906</v>
      </c>
    </row>
    <row r="28" spans="3:14" s="2371" customFormat="1" x14ac:dyDescent="0.4">
      <c r="C28" s="2372">
        <v>2024</v>
      </c>
      <c r="D28" s="1458">
        <v>37.829009445519326</v>
      </c>
      <c r="E28" s="1458">
        <v>37.135318040725501</v>
      </c>
      <c r="F28" s="1458">
        <v>38.806025965692399</v>
      </c>
      <c r="G28" s="1458"/>
      <c r="H28" s="1458">
        <v>86.131847801609524</v>
      </c>
      <c r="I28" s="1458">
        <v>86.078681597377411</v>
      </c>
      <c r="J28" s="1458">
        <v>86.262691390995982</v>
      </c>
      <c r="K28" s="1458"/>
      <c r="L28" s="1458">
        <v>22.183347163850982</v>
      </c>
      <c r="M28" s="1458">
        <v>18.312531626830307</v>
      </c>
      <c r="N28" s="1458">
        <v>27.080964932459032</v>
      </c>
    </row>
    <row r="29" spans="3:14" ht="15" customHeight="1" x14ac:dyDescent="0.4">
      <c r="C29" s="3133" t="s">
        <v>5018</v>
      </c>
      <c r="D29" s="3133"/>
      <c r="E29" s="3133"/>
      <c r="F29" s="3133"/>
      <c r="G29" s="3133"/>
      <c r="H29" s="3133"/>
      <c r="I29" s="3133"/>
      <c r="J29" s="3133"/>
      <c r="K29" s="3133"/>
      <c r="L29" s="3133"/>
    </row>
    <row r="30" spans="3:14" ht="15" customHeight="1" x14ac:dyDescent="0.4">
      <c r="C30" s="3133" t="s">
        <v>5019</v>
      </c>
      <c r="D30" s="3133"/>
      <c r="E30" s="3133"/>
      <c r="F30" s="3133"/>
      <c r="G30" s="3133"/>
      <c r="H30" s="3133"/>
      <c r="I30" s="3133"/>
      <c r="J30" s="3133"/>
      <c r="K30" s="3133"/>
      <c r="L30" s="3133"/>
    </row>
    <row r="31" spans="3:14" ht="15" customHeight="1" x14ac:dyDescent="0.4">
      <c r="C31" s="115" t="s">
        <v>8155</v>
      </c>
    </row>
    <row r="35" spans="3:13" ht="36.75" customHeight="1" x14ac:dyDescent="0.4">
      <c r="C35" s="2628" t="s">
        <v>8156</v>
      </c>
      <c r="D35" s="2628"/>
      <c r="E35" s="2628"/>
      <c r="F35" s="2628"/>
      <c r="G35" s="2628"/>
      <c r="H35" s="2628"/>
      <c r="I35" s="2628"/>
      <c r="J35" s="2628"/>
      <c r="K35" s="2628"/>
      <c r="L35" s="2628"/>
      <c r="M35" s="2628"/>
    </row>
    <row r="53" spans="3:12" x14ac:dyDescent="0.4">
      <c r="C53" s="3133" t="s">
        <v>5018</v>
      </c>
      <c r="D53" s="3133"/>
      <c r="E53" s="3133"/>
      <c r="F53" s="3133"/>
      <c r="G53" s="3133"/>
      <c r="H53" s="3133"/>
      <c r="I53" s="3133"/>
      <c r="J53" s="3133"/>
      <c r="K53" s="3133"/>
      <c r="L53" s="3133"/>
    </row>
    <row r="54" spans="3:12" x14ac:dyDescent="0.4">
      <c r="C54" s="3133" t="s">
        <v>5019</v>
      </c>
      <c r="D54" s="3133"/>
      <c r="E54" s="3133"/>
      <c r="F54" s="3133"/>
      <c r="G54" s="3133"/>
      <c r="H54" s="3133"/>
      <c r="I54" s="3133"/>
      <c r="J54" s="3133"/>
      <c r="K54" s="3133"/>
      <c r="L54" s="3133"/>
    </row>
    <row r="55" spans="3:12" x14ac:dyDescent="0.4">
      <c r="C55" s="115" t="s">
        <v>8155</v>
      </c>
    </row>
  </sheetData>
  <mergeCells count="25">
    <mergeCell ref="A5:B5"/>
    <mergeCell ref="C5:T5"/>
    <mergeCell ref="C1:D1"/>
    <mergeCell ref="A3:B3"/>
    <mergeCell ref="C3:T3"/>
    <mergeCell ref="A4:B4"/>
    <mergeCell ref="C4:T4"/>
    <mergeCell ref="A6:B6"/>
    <mergeCell ref="C6:T6"/>
    <mergeCell ref="C9:N9"/>
    <mergeCell ref="C11:C13"/>
    <mergeCell ref="D11:F11"/>
    <mergeCell ref="H11:J11"/>
    <mergeCell ref="L11:N11"/>
    <mergeCell ref="D12:D13"/>
    <mergeCell ref="E12:F12"/>
    <mergeCell ref="H12:H13"/>
    <mergeCell ref="C53:L53"/>
    <mergeCell ref="C54:L54"/>
    <mergeCell ref="I12:J12"/>
    <mergeCell ref="L12:L13"/>
    <mergeCell ref="M12:N12"/>
    <mergeCell ref="C29:L29"/>
    <mergeCell ref="C30:L30"/>
    <mergeCell ref="C35:M35"/>
  </mergeCells>
  <hyperlinks>
    <hyperlink ref="A1" location="'ODS 8.'!A1" display="REGRESAR" xr:uid="{3A1F6CDB-CFF1-4179-9168-36B8E61A4BD4}"/>
    <hyperlink ref="C1:D1" location="'Metadato 8.3.1'!A1" display="VER METADATO " xr:uid="{DA54EADE-4734-41C4-B4F6-C0E3D5BF8838}"/>
  </hyperlink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A549-C665-4A8B-9050-216460F3D8E4}">
  <sheetPr>
    <tabColor theme="0" tint="-0.499984740745262"/>
  </sheetPr>
  <dimension ref="A1:F36"/>
  <sheetViews>
    <sheetView showGridLines="0" zoomScaleNormal="100" workbookViewId="0">
      <pane ySplit="1" topLeftCell="A17" activePane="bottomLeft" state="frozen"/>
      <selection sqref="A1:B1"/>
      <selection pane="bottomLeft" activeCell="A24" sqref="A24"/>
    </sheetView>
  </sheetViews>
  <sheetFormatPr baseColWidth="10" defaultColWidth="11.42578125" defaultRowHeight="18.75" x14ac:dyDescent="0.25"/>
  <cols>
    <col min="1" max="1" width="10.28515625" style="243" customWidth="1"/>
    <col min="2" max="2" width="26.42578125" style="243" customWidth="1"/>
    <col min="3" max="3" width="24" style="243" customWidth="1"/>
    <col min="4" max="4" width="85.7109375" style="243" customWidth="1"/>
    <col min="5" max="5" width="6.7109375" style="243" customWidth="1"/>
    <col min="6" max="6" width="7.28515625" style="243" customWidth="1"/>
    <col min="7" max="7" width="11.42578125" style="243"/>
    <col min="8" max="8" width="1.28515625" style="243" customWidth="1"/>
    <col min="9" max="9" width="8.28515625" style="243" customWidth="1"/>
    <col min="10" max="16384" width="11.42578125" style="243"/>
  </cols>
  <sheetData>
    <row r="1" spans="1:6" x14ac:dyDescent="0.25">
      <c r="B1" s="223" t="s">
        <v>39</v>
      </c>
    </row>
    <row r="2" spans="1:6" ht="19.5" thickBot="1" x14ac:dyDescent="0.3"/>
    <row r="3" spans="1:6" ht="23.25" customHeight="1" thickBot="1" x14ac:dyDescent="0.3">
      <c r="B3" s="3119" t="s">
        <v>75</v>
      </c>
      <c r="C3" s="3119"/>
      <c r="D3" s="3119"/>
      <c r="F3" s="1286" t="s">
        <v>265</v>
      </c>
    </row>
    <row r="4" spans="1:6" ht="32.25" customHeight="1" x14ac:dyDescent="0.25">
      <c r="A4" s="1079"/>
      <c r="B4" s="2445" t="s">
        <v>234</v>
      </c>
      <c r="C4" s="2445"/>
      <c r="D4" s="49" t="s">
        <v>4975</v>
      </c>
    </row>
    <row r="5" spans="1:6" ht="75" x14ac:dyDescent="0.25">
      <c r="B5" s="2445" t="s">
        <v>79</v>
      </c>
      <c r="C5" s="2445"/>
      <c r="D5" s="49" t="s">
        <v>4919</v>
      </c>
    </row>
    <row r="6" spans="1:6" x14ac:dyDescent="0.25">
      <c r="B6" s="2445" t="s">
        <v>80</v>
      </c>
      <c r="C6" s="2445"/>
      <c r="D6" s="50" t="s">
        <v>4920</v>
      </c>
    </row>
    <row r="7" spans="1:6" ht="15" customHeight="1" x14ac:dyDescent="0.25">
      <c r="B7" s="2446" t="s">
        <v>81</v>
      </c>
      <c r="C7" s="2446"/>
      <c r="D7" s="93" t="s">
        <v>4921</v>
      </c>
    </row>
    <row r="8" spans="1:6" x14ac:dyDescent="0.25">
      <c r="B8" s="2446" t="s">
        <v>82</v>
      </c>
      <c r="C8" s="2446"/>
      <c r="D8" s="1047" t="s">
        <v>5020</v>
      </c>
    </row>
    <row r="9" spans="1:6" x14ac:dyDescent="0.4">
      <c r="B9" s="115"/>
      <c r="C9" s="115"/>
      <c r="D9" s="115"/>
    </row>
    <row r="10" spans="1:6" ht="23.25" customHeight="1" x14ac:dyDescent="0.25">
      <c r="B10" s="3119" t="s">
        <v>85</v>
      </c>
      <c r="C10" s="3119"/>
      <c r="D10" s="3119"/>
    </row>
    <row r="11" spans="1:6" x14ac:dyDescent="0.25">
      <c r="B11" s="2487" t="s">
        <v>86</v>
      </c>
      <c r="C11" s="2456"/>
      <c r="D11" s="49" t="s">
        <v>167</v>
      </c>
    </row>
    <row r="12" spans="1:6" ht="34.5" customHeight="1" x14ac:dyDescent="0.25">
      <c r="B12" s="2446" t="s">
        <v>88</v>
      </c>
      <c r="C12" s="2446"/>
      <c r="D12" s="184" t="s">
        <v>5021</v>
      </c>
    </row>
    <row r="13" spans="1:6" ht="15" customHeight="1" x14ac:dyDescent="0.25">
      <c r="B13" s="2445" t="s">
        <v>90</v>
      </c>
      <c r="C13" s="2445"/>
      <c r="D13" s="54" t="s">
        <v>4920</v>
      </c>
    </row>
    <row r="14" spans="1:6" ht="15" customHeight="1" x14ac:dyDescent="0.25">
      <c r="B14" s="2445" t="s">
        <v>91</v>
      </c>
      <c r="C14" s="2456"/>
      <c r="D14" s="54" t="s">
        <v>92</v>
      </c>
    </row>
    <row r="15" spans="1:6" ht="334.5" customHeight="1" x14ac:dyDescent="0.25">
      <c r="B15" s="2445" t="s">
        <v>93</v>
      </c>
      <c r="C15" s="2445"/>
      <c r="D15" s="55" t="s">
        <v>5022</v>
      </c>
    </row>
    <row r="16" spans="1:6" ht="74.25" customHeight="1" x14ac:dyDescent="0.25">
      <c r="B16" s="2445" t="s">
        <v>95</v>
      </c>
      <c r="C16" s="2445"/>
      <c r="D16" s="55"/>
    </row>
    <row r="17" spans="2:4" ht="22.5" customHeight="1" x14ac:dyDescent="0.25">
      <c r="B17" s="2445" t="s">
        <v>97</v>
      </c>
      <c r="C17" s="2445"/>
      <c r="D17" s="55" t="s">
        <v>238</v>
      </c>
    </row>
    <row r="18" spans="2:4" x14ac:dyDescent="0.25">
      <c r="B18" s="2446" t="s">
        <v>99</v>
      </c>
      <c r="C18" s="2446"/>
      <c r="D18" s="49"/>
    </row>
    <row r="19" spans="2:4" ht="37.5" x14ac:dyDescent="0.25">
      <c r="B19" s="2457" t="s">
        <v>100</v>
      </c>
      <c r="C19" s="2458"/>
      <c r="D19" s="55" t="s">
        <v>5023</v>
      </c>
    </row>
    <row r="20" spans="2:4" ht="15" customHeight="1" x14ac:dyDescent="0.25">
      <c r="B20" s="2445" t="s">
        <v>102</v>
      </c>
      <c r="C20" s="2445"/>
      <c r="D20" s="55" t="s">
        <v>140</v>
      </c>
    </row>
    <row r="21" spans="2:4" ht="15" customHeight="1" x14ac:dyDescent="0.25">
      <c r="B21" s="2451" t="s">
        <v>104</v>
      </c>
      <c r="C21" s="95" t="s">
        <v>105</v>
      </c>
      <c r="D21" s="49"/>
    </row>
    <row r="22" spans="2:4" ht="15" customHeight="1" x14ac:dyDescent="0.25">
      <c r="B22" s="2452"/>
      <c r="C22" s="96" t="s">
        <v>107</v>
      </c>
      <c r="D22" s="55" t="s">
        <v>5024</v>
      </c>
    </row>
    <row r="23" spans="2:4" ht="15" customHeight="1" x14ac:dyDescent="0.25">
      <c r="B23" s="2445" t="s">
        <v>109</v>
      </c>
      <c r="C23" s="2445"/>
      <c r="D23" s="55" t="s">
        <v>612</v>
      </c>
    </row>
    <row r="24" spans="2:4" ht="15" customHeight="1" x14ac:dyDescent="0.25">
      <c r="B24" s="2445" t="s">
        <v>111</v>
      </c>
      <c r="C24" s="2445"/>
      <c r="D24" s="50" t="s">
        <v>127</v>
      </c>
    </row>
    <row r="25" spans="2:4" ht="15" customHeight="1" x14ac:dyDescent="0.25">
      <c r="B25" s="2445" t="s">
        <v>113</v>
      </c>
      <c r="C25" s="2445"/>
      <c r="D25" s="55" t="s">
        <v>5025</v>
      </c>
    </row>
    <row r="26" spans="2:4" ht="15" customHeight="1" x14ac:dyDescent="0.25">
      <c r="B26" s="2446" t="s">
        <v>115</v>
      </c>
      <c r="C26" s="2446"/>
      <c r="D26" s="50" t="s">
        <v>616</v>
      </c>
    </row>
    <row r="27" spans="2:4" ht="15" customHeight="1" x14ac:dyDescent="0.25">
      <c r="B27" s="2447" t="s">
        <v>117</v>
      </c>
      <c r="C27" s="2448"/>
      <c r="D27" s="49"/>
    </row>
    <row r="28" spans="2:4" ht="15" customHeight="1" x14ac:dyDescent="0.25">
      <c r="B28" s="97" t="s">
        <v>118</v>
      </c>
      <c r="C28" s="98"/>
      <c r="D28" s="55" t="s">
        <v>1703</v>
      </c>
    </row>
    <row r="29" spans="2:4" ht="15" customHeight="1"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3280706-27AD-4FA2-ACAE-197DEAF95E7B}">
      <formula1>Tipo_operación</formula1>
    </dataValidation>
    <dataValidation type="list" allowBlank="1" showInputMessage="1" showErrorMessage="1" sqref="D14" xr:uid="{CCC9155F-437B-49AF-A0DA-EB2B07B29BAC}">
      <formula1>Tipo_indicador</formula1>
    </dataValidation>
    <dataValidation type="list" allowBlank="1" showInputMessage="1" showErrorMessage="1" sqref="D7" xr:uid="{3C04E8D0-07DC-43FE-9A98-BEC2D8F6DA63}">
      <formula1>Nombre_indicador_ODS</formula1>
    </dataValidation>
    <dataValidation type="list" allowBlank="1" showInputMessage="1" showErrorMessage="1" sqref="D6" xr:uid="{36213201-8EAD-4763-9A69-E16116AB9C11}">
      <formula1>Numero_indicador</formula1>
    </dataValidation>
    <dataValidation type="list" allowBlank="1" showInputMessage="1" showErrorMessage="1" sqref="D5" xr:uid="{244A7598-DC75-43FD-B59F-DC5F796F3C23}">
      <formula1>Metas_ODS</formula1>
    </dataValidation>
    <dataValidation type="list" allowBlank="1" showInputMessage="1" showErrorMessage="1" sqref="D4" xr:uid="{1CDD6DED-C36D-4484-9730-186149D14E41}">
      <formula1>ODS</formula1>
    </dataValidation>
    <dataValidation allowBlank="1" showDropDown="1" showInputMessage="1" showErrorMessage="1" sqref="D13" xr:uid="{FC157A20-40E7-484F-80A2-D558D26CAF3E}"/>
  </dataValidations>
  <hyperlinks>
    <hyperlink ref="B1" location="'8.3.1'!A1" display="REGRESAR" xr:uid="{3BE84FDF-B45F-4217-A438-793C335F31A4}"/>
    <hyperlink ref="D8" r:id="rId1" xr:uid="{B22ADD91-699A-4AE8-88D9-D08A1908B28D}"/>
    <hyperlink ref="D36" r:id="rId2" display="braulio.villegas@inec.go.cr" xr:uid="{ADF259FE-713A-499F-9E69-1135A3A0EAEE}"/>
  </hyperlinks>
  <pageMargins left="0.7" right="0.7" top="0.75" bottom="0.75" header="0.3" footer="0.3"/>
  <drawing r:id="rId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8BD90-EB47-4566-8721-B4AB90FCB50F}">
  <sheetPr>
    <tabColor theme="5"/>
  </sheetPr>
  <dimension ref="A1:Q12"/>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2" width="16.28515625" style="1032" customWidth="1"/>
    <col min="3" max="3" width="11.28515625" style="1061" customWidth="1"/>
    <col min="4" max="10" width="11.28515625" style="1032" customWidth="1"/>
    <col min="11" max="16384" width="11.42578125" style="1032"/>
  </cols>
  <sheetData>
    <row r="1" spans="1:17" x14ac:dyDescent="0.4">
      <c r="A1" s="15" t="s">
        <v>39</v>
      </c>
      <c r="B1" s="1080"/>
      <c r="C1" s="2421" t="s">
        <v>149</v>
      </c>
      <c r="D1" s="2421"/>
    </row>
    <row r="3" spans="1:17" x14ac:dyDescent="0.4">
      <c r="A3" s="3135" t="s">
        <v>41</v>
      </c>
      <c r="B3" s="3135"/>
      <c r="C3" s="3117" t="s">
        <v>4957</v>
      </c>
      <c r="D3" s="3117"/>
      <c r="E3" s="3117"/>
      <c r="F3" s="3117"/>
      <c r="G3" s="3117"/>
      <c r="H3" s="3117"/>
      <c r="I3" s="3117"/>
      <c r="J3" s="3117"/>
      <c r="K3" s="3117"/>
      <c r="L3" s="3117"/>
      <c r="M3" s="3117"/>
      <c r="N3" s="3117"/>
      <c r="O3" s="3117"/>
      <c r="P3" s="3117"/>
      <c r="Q3" s="3117"/>
    </row>
    <row r="4" spans="1:17" ht="38.25" customHeight="1" x14ac:dyDescent="0.4">
      <c r="A4" s="3135" t="s">
        <v>42</v>
      </c>
      <c r="B4" s="3135"/>
      <c r="C4" s="3117" t="s">
        <v>4922</v>
      </c>
      <c r="D4" s="3117"/>
      <c r="E4" s="3117"/>
      <c r="F4" s="3117"/>
      <c r="G4" s="3117"/>
      <c r="H4" s="3117"/>
      <c r="I4" s="3117"/>
      <c r="J4" s="3117"/>
      <c r="K4" s="3117"/>
      <c r="L4" s="3117"/>
      <c r="M4" s="3117"/>
      <c r="N4" s="3117"/>
      <c r="O4" s="3117"/>
      <c r="P4" s="3117"/>
      <c r="Q4" s="3117"/>
    </row>
    <row r="5" spans="1:17" x14ac:dyDescent="0.4">
      <c r="A5" s="3135" t="s">
        <v>43</v>
      </c>
      <c r="B5" s="3135"/>
      <c r="C5" s="3117" t="s">
        <v>4924</v>
      </c>
      <c r="D5" s="3117"/>
      <c r="E5" s="3117"/>
      <c r="F5" s="3117"/>
      <c r="G5" s="3117"/>
      <c r="H5" s="3117"/>
      <c r="I5" s="3117"/>
      <c r="J5" s="3117"/>
      <c r="K5" s="3117"/>
      <c r="L5" s="3117"/>
      <c r="M5" s="3117"/>
      <c r="N5" s="3117"/>
      <c r="O5" s="3117"/>
      <c r="P5" s="3117"/>
      <c r="Q5" s="3117"/>
    </row>
    <row r="6" spans="1:17" x14ac:dyDescent="0.4">
      <c r="A6" s="3135" t="s">
        <v>132</v>
      </c>
      <c r="B6" s="3135"/>
      <c r="C6" s="3117" t="s">
        <v>242</v>
      </c>
      <c r="D6" s="3117"/>
      <c r="E6" s="3117"/>
      <c r="F6" s="3117"/>
      <c r="G6" s="3117"/>
      <c r="H6" s="3117"/>
      <c r="I6" s="3117"/>
      <c r="J6" s="3117"/>
      <c r="K6" s="3117"/>
      <c r="L6" s="3117"/>
      <c r="M6" s="3117"/>
      <c r="N6" s="3117"/>
      <c r="O6" s="3117"/>
      <c r="P6" s="3117"/>
      <c r="Q6" s="3117"/>
    </row>
    <row r="7" spans="1:17" x14ac:dyDescent="0.4">
      <c r="A7" s="1084"/>
    </row>
    <row r="8" spans="1:17" x14ac:dyDescent="0.4">
      <c r="A8" s="1084"/>
    </row>
    <row r="9" spans="1:17" x14ac:dyDescent="0.4">
      <c r="A9" s="1084"/>
      <c r="C9" s="2506" t="s">
        <v>243</v>
      </c>
      <c r="D9" s="2506"/>
      <c r="E9" s="2506"/>
      <c r="F9" s="2506"/>
      <c r="G9" s="2506"/>
      <c r="H9" s="2506"/>
      <c r="I9" s="2506"/>
      <c r="J9" s="2506"/>
      <c r="K9" s="2506"/>
      <c r="L9" s="2506"/>
      <c r="M9" s="2506"/>
      <c r="N9" s="2506"/>
      <c r="O9" s="2506"/>
      <c r="P9" s="2506"/>
      <c r="Q9" s="2506"/>
    </row>
    <row r="10" spans="1:17" x14ac:dyDescent="0.4">
      <c r="A10" s="1084"/>
      <c r="C10" s="2506"/>
      <c r="D10" s="2506"/>
      <c r="E10" s="2506"/>
      <c r="F10" s="2506"/>
      <c r="G10" s="2506"/>
      <c r="H10" s="2506"/>
      <c r="I10" s="2506"/>
      <c r="J10" s="2506"/>
      <c r="K10" s="2506"/>
      <c r="L10" s="2506"/>
      <c r="M10" s="2506"/>
      <c r="N10" s="2506"/>
      <c r="O10" s="2506"/>
      <c r="P10" s="2506"/>
      <c r="Q10" s="2506"/>
    </row>
    <row r="11" spans="1:17" x14ac:dyDescent="0.4">
      <c r="A11" s="1084"/>
    </row>
    <row r="12" spans="1:17" x14ac:dyDescent="0.4">
      <c r="A12" s="1084"/>
    </row>
  </sheetData>
  <mergeCells count="10">
    <mergeCell ref="A6:B6"/>
    <mergeCell ref="C6:Q6"/>
    <mergeCell ref="C9:Q10"/>
    <mergeCell ref="C1:D1"/>
    <mergeCell ref="A3:B3"/>
    <mergeCell ref="C3:Q3"/>
    <mergeCell ref="A4:B4"/>
    <mergeCell ref="C4:Q4"/>
    <mergeCell ref="A5:B5"/>
    <mergeCell ref="C5:Q5"/>
  </mergeCells>
  <hyperlinks>
    <hyperlink ref="A1" location="'ODS 8.'!A1" display="REGRESAR" xr:uid="{151CA143-3C3B-4D7B-8EA6-7A5663F00AAD}"/>
    <hyperlink ref="C1:D1" location="'Metadato 8.4.1'!A1" display="VER METADATO" xr:uid="{FE1B306F-681A-479E-B864-3301515C1BD2}"/>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B064-81BB-4DEE-B812-8FA725CA6E6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10.5703125" style="243" bestFit="1"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265</v>
      </c>
    </row>
    <row r="4" spans="1:6" ht="37.5" x14ac:dyDescent="0.25">
      <c r="A4" s="1079"/>
      <c r="B4" s="2445" t="s">
        <v>234</v>
      </c>
      <c r="C4" s="2445"/>
      <c r="D4" s="49" t="s">
        <v>4975</v>
      </c>
    </row>
    <row r="5" spans="1:6" ht="75" x14ac:dyDescent="0.25">
      <c r="B5" s="2445" t="s">
        <v>79</v>
      </c>
      <c r="C5" s="2445"/>
      <c r="D5" s="49" t="s">
        <v>4922</v>
      </c>
    </row>
    <row r="6" spans="1:6" x14ac:dyDescent="0.25">
      <c r="B6" s="2445" t="s">
        <v>80</v>
      </c>
      <c r="C6" s="2445"/>
      <c r="D6" s="50" t="s">
        <v>4923</v>
      </c>
    </row>
    <row r="7" spans="1:6" x14ac:dyDescent="0.25">
      <c r="B7" s="2446" t="s">
        <v>81</v>
      </c>
      <c r="C7" s="2446"/>
      <c r="D7" s="93" t="s">
        <v>4924</v>
      </c>
    </row>
    <row r="8" spans="1:6" x14ac:dyDescent="0.25">
      <c r="B8" s="2446" t="s">
        <v>82</v>
      </c>
      <c r="C8" s="2446"/>
      <c r="D8" s="1047" t="s">
        <v>5026</v>
      </c>
    </row>
    <row r="9" spans="1:6" x14ac:dyDescent="0.4">
      <c r="B9" s="115"/>
      <c r="C9" s="115"/>
      <c r="D9" s="115"/>
    </row>
    <row r="10" spans="1:6" ht="23.25" customHeight="1" x14ac:dyDescent="0.25">
      <c r="B10" s="3119" t="s">
        <v>85</v>
      </c>
      <c r="C10" s="3119"/>
      <c r="D10" s="3119"/>
    </row>
    <row r="11" spans="1:6" x14ac:dyDescent="0.25">
      <c r="B11" s="2487" t="s">
        <v>86</v>
      </c>
      <c r="C11" s="2456"/>
      <c r="D11" s="49"/>
    </row>
    <row r="12" spans="1:6" x14ac:dyDescent="0.25">
      <c r="B12" s="2446" t="s">
        <v>88</v>
      </c>
      <c r="C12" s="2446"/>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5" t="s">
        <v>109</v>
      </c>
      <c r="C23" s="2445"/>
      <c r="D23" s="49"/>
    </row>
    <row r="24" spans="2:4" x14ac:dyDescent="0.25">
      <c r="B24" s="2445" t="s">
        <v>111</v>
      </c>
      <c r="C24" s="2445"/>
      <c r="D24" s="50" t="s">
        <v>3388</v>
      </c>
    </row>
    <row r="25" spans="2:4" x14ac:dyDescent="0.25">
      <c r="B25" s="2445" t="s">
        <v>113</v>
      </c>
      <c r="C25" s="2445"/>
      <c r="D25" s="55"/>
    </row>
    <row r="26" spans="2:4"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0" t="s">
        <v>4814</v>
      </c>
    </row>
    <row r="33" spans="2:4" x14ac:dyDescent="0.25">
      <c r="B33" s="2447" t="s">
        <v>124</v>
      </c>
      <c r="C33" s="2448"/>
      <c r="D33" s="50" t="s">
        <v>5027</v>
      </c>
    </row>
    <row r="34" spans="2:4" x14ac:dyDescent="0.25">
      <c r="B34" s="2447" t="s">
        <v>126</v>
      </c>
      <c r="C34" s="2448"/>
      <c r="D34" s="50" t="s">
        <v>3388</v>
      </c>
    </row>
    <row r="35" spans="2:4" x14ac:dyDescent="0.25">
      <c r="B35" s="2447" t="s">
        <v>128</v>
      </c>
      <c r="C35" s="2448"/>
      <c r="D35" s="50" t="s">
        <v>4985</v>
      </c>
    </row>
    <row r="36" spans="2:4" x14ac:dyDescent="0.25">
      <c r="B36" s="2447" t="s">
        <v>130</v>
      </c>
      <c r="C36" s="2448"/>
      <c r="D36" s="50" t="s">
        <v>5028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B5687B2-1326-443A-939E-CFEF4821F5B5}">
      <formula1>Tipo_operación</formula1>
    </dataValidation>
    <dataValidation type="list" allowBlank="1" showInputMessage="1" showErrorMessage="1" sqref="D14" xr:uid="{1992EFEF-25CB-4308-9E9B-AFDB0DAAA665}">
      <formula1>Tipo_indicador</formula1>
    </dataValidation>
    <dataValidation type="list" allowBlank="1" showInputMessage="1" showErrorMessage="1" sqref="D7" xr:uid="{BEB04FEF-48A0-45A7-B7B3-17F14AFC9077}">
      <formula1>Nombre_indicador_ODS</formula1>
    </dataValidation>
    <dataValidation type="list" allowBlank="1" showInputMessage="1" showErrorMessage="1" sqref="D6" xr:uid="{07D60DB1-55E9-4ADE-822B-35DA976D624D}">
      <formula1>Numero_indicador</formula1>
    </dataValidation>
    <dataValidation type="list" allowBlank="1" showInputMessage="1" showErrorMessage="1" sqref="D5" xr:uid="{671F01B8-B589-42EE-9C17-E01C89BCD74B}">
      <formula1>Metas_ODS</formula1>
    </dataValidation>
    <dataValidation type="list" allowBlank="1" showInputMessage="1" showErrorMessage="1" sqref="D4" xr:uid="{44A28933-6486-453D-9915-D69683F9A39A}">
      <formula1>ODS</formula1>
    </dataValidation>
    <dataValidation allowBlank="1" showDropDown="1" showInputMessage="1" showErrorMessage="1" sqref="D13" xr:uid="{0AFD02C6-DF3A-4687-9A65-CEC084F267A7}"/>
  </dataValidations>
  <hyperlinks>
    <hyperlink ref="B1" location="'8.4.1'!A1" display="REGRESAR" xr:uid="{6B1BDBF5-76C6-4D4D-902A-3FCEE07D49E9}"/>
    <hyperlink ref="D8" r:id="rId1" xr:uid="{98C632BA-D1CD-4DC9-B780-71DB6B8BDAF6}"/>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23C5-73FC-4A80-A33A-B1A5F876D759}">
  <dimension ref="A1:P50"/>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5703125" style="155" customWidth="1"/>
    <col min="3" max="3" width="12" style="1048" customWidth="1"/>
    <col min="4" max="4" width="11.7109375" style="115" customWidth="1"/>
    <col min="5" max="6" width="12" style="115" customWidth="1"/>
    <col min="7" max="16384" width="11.42578125" style="115"/>
  </cols>
  <sheetData>
    <row r="1" spans="1:16" s="1032" customFormat="1" ht="19.5" x14ac:dyDescent="0.4">
      <c r="A1" s="15" t="s">
        <v>39</v>
      </c>
      <c r="B1" s="1059"/>
      <c r="C1" s="2421" t="s">
        <v>149</v>
      </c>
      <c r="D1" s="2421"/>
    </row>
    <row r="2" spans="1:16" s="1032" customFormat="1" ht="19.5" x14ac:dyDescent="0.4">
      <c r="A2" s="1432"/>
      <c r="B2" s="1432"/>
      <c r="C2" s="1061"/>
    </row>
    <row r="3" spans="1:16" s="1032" customFormat="1" ht="19.5" x14ac:dyDescent="0.4">
      <c r="A3" s="3136" t="s">
        <v>41</v>
      </c>
      <c r="B3" s="3136"/>
      <c r="C3" s="3136" t="s">
        <v>4957</v>
      </c>
      <c r="D3" s="3136"/>
      <c r="E3" s="3136"/>
      <c r="F3" s="3136"/>
      <c r="G3" s="3136"/>
      <c r="H3" s="3136"/>
      <c r="I3" s="3136"/>
      <c r="J3" s="3136"/>
      <c r="K3" s="3136"/>
      <c r="L3" s="3136"/>
      <c r="M3" s="3136"/>
      <c r="N3" s="3136"/>
      <c r="O3" s="3136"/>
      <c r="P3" s="3136"/>
    </row>
    <row r="4" spans="1:16" s="1032" customFormat="1" ht="19.5" x14ac:dyDescent="0.4">
      <c r="A4" s="3136" t="s">
        <v>42</v>
      </c>
      <c r="B4" s="3136"/>
      <c r="C4" s="3136" t="s">
        <v>4922</v>
      </c>
      <c r="D4" s="3136"/>
      <c r="E4" s="3136"/>
      <c r="F4" s="3136"/>
      <c r="G4" s="3136"/>
      <c r="H4" s="3136"/>
      <c r="I4" s="3136"/>
      <c r="J4" s="3136"/>
      <c r="K4" s="3136"/>
      <c r="L4" s="3136"/>
      <c r="M4" s="3136"/>
      <c r="N4" s="3136"/>
      <c r="O4" s="3136"/>
      <c r="P4" s="3136"/>
    </row>
    <row r="5" spans="1:16" s="1032" customFormat="1" ht="19.5" x14ac:dyDescent="0.4">
      <c r="A5" s="3136" t="s">
        <v>43</v>
      </c>
      <c r="B5" s="3136"/>
      <c r="C5" s="3136" t="s">
        <v>4926</v>
      </c>
      <c r="D5" s="3136"/>
      <c r="E5" s="3136"/>
      <c r="F5" s="3136"/>
      <c r="G5" s="3136"/>
      <c r="H5" s="3136"/>
      <c r="I5" s="3136"/>
      <c r="J5" s="3136"/>
      <c r="K5" s="3136"/>
      <c r="L5" s="3136"/>
      <c r="M5" s="3136"/>
      <c r="N5" s="3136"/>
      <c r="O5" s="3136"/>
      <c r="P5" s="3136"/>
    </row>
    <row r="6" spans="1:16" s="1032" customFormat="1" ht="19.5" x14ac:dyDescent="0.4">
      <c r="A6" s="3136" t="s">
        <v>132</v>
      </c>
      <c r="B6" s="3136"/>
      <c r="C6" s="3136" t="s">
        <v>5029</v>
      </c>
      <c r="D6" s="3136"/>
      <c r="E6" s="3136"/>
      <c r="F6" s="3136"/>
      <c r="G6" s="3136"/>
      <c r="H6" s="3136"/>
      <c r="I6" s="3136"/>
      <c r="J6" s="3136"/>
      <c r="K6" s="3136"/>
      <c r="L6" s="3136"/>
      <c r="M6" s="3136"/>
      <c r="N6" s="3136"/>
      <c r="O6" s="3136"/>
      <c r="P6" s="3136"/>
    </row>
    <row r="7" spans="1:16" s="1032" customFormat="1" ht="19.5" x14ac:dyDescent="0.4">
      <c r="A7" s="1459"/>
      <c r="B7" s="1432"/>
      <c r="C7" s="1061"/>
    </row>
    <row r="8" spans="1:16" s="1432" customFormat="1" ht="19.5" x14ac:dyDescent="0.4">
      <c r="A8" s="1460"/>
      <c r="C8" s="1061"/>
      <c r="D8" s="1032"/>
      <c r="E8" s="1032"/>
    </row>
    <row r="9" spans="1:16" s="1432" customFormat="1" ht="17.45" customHeight="1" x14ac:dyDescent="0.4">
      <c r="A9" s="1459"/>
      <c r="C9" s="138" t="s">
        <v>5030</v>
      </c>
      <c r="D9" s="138"/>
      <c r="E9" s="138"/>
      <c r="F9" s="138"/>
      <c r="I9" s="1461" t="s">
        <v>5031</v>
      </c>
    </row>
    <row r="10" spans="1:16" s="1432" customFormat="1" ht="19.5" x14ac:dyDescent="0.25">
      <c r="A10" s="1459"/>
      <c r="C10" s="138"/>
      <c r="D10" s="138"/>
      <c r="E10" s="138"/>
      <c r="F10" s="138"/>
      <c r="I10" s="1462" t="s">
        <v>5032</v>
      </c>
    </row>
    <row r="11" spans="1:16" s="155" customFormat="1" ht="75" x14ac:dyDescent="0.25">
      <c r="A11" s="232"/>
      <c r="C11" s="1442" t="s">
        <v>247</v>
      </c>
      <c r="D11" s="1442" t="s">
        <v>5033</v>
      </c>
      <c r="E11" s="1442" t="s">
        <v>5034</v>
      </c>
      <c r="F11" s="1442" t="s">
        <v>5035</v>
      </c>
    </row>
    <row r="12" spans="1:16" s="155" customFormat="1" x14ac:dyDescent="0.4">
      <c r="A12" s="232"/>
      <c r="C12" s="835">
        <v>2014</v>
      </c>
      <c r="D12" s="1433">
        <v>46306.819999999992</v>
      </c>
      <c r="E12" s="729">
        <v>9.7015850641896826</v>
      </c>
      <c r="F12" s="1463">
        <v>1.5168882113827824</v>
      </c>
    </row>
    <row r="13" spans="1:16" s="155" customFormat="1" x14ac:dyDescent="0.4">
      <c r="A13" s="232"/>
      <c r="C13" s="835">
        <v>2015</v>
      </c>
      <c r="D13" s="1433">
        <v>46710.9</v>
      </c>
      <c r="E13" s="729">
        <v>9.6665367748659161</v>
      </c>
      <c r="F13" s="1463">
        <v>1.4762123751413958</v>
      </c>
    </row>
    <row r="14" spans="1:16" s="155" customFormat="1" x14ac:dyDescent="0.4">
      <c r="A14" s="232"/>
      <c r="C14" s="835">
        <v>2016</v>
      </c>
      <c r="D14" s="1433">
        <v>46189.009999999995</v>
      </c>
      <c r="E14" s="729">
        <v>9.4448868102467447</v>
      </c>
      <c r="F14" s="1463">
        <v>1.400823887385878</v>
      </c>
    </row>
    <row r="15" spans="1:16" s="155" customFormat="1" x14ac:dyDescent="0.4">
      <c r="A15" s="232"/>
      <c r="C15" s="835">
        <v>2017</v>
      </c>
      <c r="D15" s="1433">
        <v>48126.97</v>
      </c>
      <c r="E15" s="729">
        <v>9.7275704545404018</v>
      </c>
      <c r="F15" s="1463">
        <v>1.4013358065521702</v>
      </c>
    </row>
    <row r="16" spans="1:16" s="155" customFormat="1" x14ac:dyDescent="0.4">
      <c r="A16" s="232"/>
      <c r="C16" s="835">
        <v>2018</v>
      </c>
      <c r="D16" s="1433">
        <v>48671.73</v>
      </c>
      <c r="E16" s="729">
        <v>9.7277447524110148</v>
      </c>
      <c r="F16" s="1463">
        <v>1.3810695546202925</v>
      </c>
    </row>
    <row r="17" spans="1:12" s="155" customFormat="1" x14ac:dyDescent="0.4">
      <c r="A17" s="232"/>
      <c r="C17" s="835">
        <v>2019</v>
      </c>
      <c r="D17" s="1433">
        <v>48153.05</v>
      </c>
      <c r="E17" s="729">
        <v>9.5201778410790521</v>
      </c>
      <c r="F17" s="1463">
        <v>1.3340998772951194</v>
      </c>
    </row>
    <row r="18" spans="1:12" s="155" customFormat="1" x14ac:dyDescent="0.4">
      <c r="A18" s="232"/>
      <c r="C18" s="835">
        <v>2020</v>
      </c>
      <c r="D18" s="1433">
        <v>46822.855848227002</v>
      </c>
      <c r="E18" s="729">
        <v>9.1607965783962388</v>
      </c>
      <c r="F18" s="1463">
        <v>1.3551574032099682</v>
      </c>
    </row>
    <row r="19" spans="1:12" s="155" customFormat="1" x14ac:dyDescent="0.4">
      <c r="A19" s="232"/>
      <c r="C19" s="835">
        <v>2021</v>
      </c>
      <c r="D19" s="1433">
        <v>47711.408668375007</v>
      </c>
      <c r="E19" s="729">
        <v>9.2409563261736611</v>
      </c>
      <c r="F19" s="1463">
        <v>1.2793480731649494</v>
      </c>
    </row>
    <row r="20" spans="1:12" s="155" customFormat="1" ht="17.45" customHeight="1" x14ac:dyDescent="0.4">
      <c r="A20" s="232"/>
      <c r="C20" s="835" t="s">
        <v>5036</v>
      </c>
      <c r="D20" s="1433">
        <v>47758.535003682795</v>
      </c>
      <c r="E20" s="729">
        <v>9.1607728514552758</v>
      </c>
      <c r="F20" s="1463">
        <v>1.2248622292298053</v>
      </c>
    </row>
    <row r="21" spans="1:12" s="155" customFormat="1" x14ac:dyDescent="0.4">
      <c r="A21" s="232"/>
      <c r="C21" s="1464" t="s">
        <v>956</v>
      </c>
      <c r="D21" s="1465">
        <v>48604.38922165351</v>
      </c>
      <c r="E21" s="736">
        <v>9.2364500537800769</v>
      </c>
      <c r="F21" s="1466">
        <v>1.1859319232005228</v>
      </c>
    </row>
    <row r="22" spans="1:12" s="155" customFormat="1" ht="17.45" customHeight="1" x14ac:dyDescent="0.4">
      <c r="A22" s="232"/>
      <c r="C22" s="3137" t="s">
        <v>5037</v>
      </c>
      <c r="D22" s="3137"/>
      <c r="E22" s="3137"/>
      <c r="F22" s="3137"/>
      <c r="I22" s="115" t="s">
        <v>5038</v>
      </c>
      <c r="J22" s="115"/>
      <c r="K22" s="115"/>
      <c r="L22" s="115"/>
    </row>
    <row r="23" spans="1:12" s="155" customFormat="1" ht="17.45" customHeight="1" x14ac:dyDescent="0.4">
      <c r="A23" s="232"/>
      <c r="C23" s="3137"/>
      <c r="D23" s="3137"/>
      <c r="E23" s="3137"/>
      <c r="F23" s="3137"/>
      <c r="I23" s="541"/>
      <c r="J23" s="541"/>
      <c r="K23" s="541"/>
      <c r="L23" s="541"/>
    </row>
    <row r="24" spans="1:12" s="155" customFormat="1" ht="39.6" customHeight="1" x14ac:dyDescent="0.4">
      <c r="A24" s="232"/>
      <c r="C24" s="3137" t="s">
        <v>5039</v>
      </c>
      <c r="D24" s="3137"/>
      <c r="E24" s="3137"/>
      <c r="F24" s="3137"/>
      <c r="I24" s="541"/>
      <c r="J24" s="541"/>
      <c r="K24" s="541"/>
      <c r="L24" s="541"/>
    </row>
    <row r="25" spans="1:12" s="155" customFormat="1" x14ac:dyDescent="0.4">
      <c r="A25" s="232"/>
      <c r="C25" s="1467" t="s">
        <v>5040</v>
      </c>
      <c r="D25" s="1467"/>
      <c r="E25" s="1467"/>
      <c r="F25" s="1467"/>
      <c r="I25" s="541"/>
      <c r="J25" s="541"/>
      <c r="K25" s="541"/>
      <c r="L25" s="541"/>
    </row>
    <row r="26" spans="1:12" s="155" customFormat="1" x14ac:dyDescent="0.4">
      <c r="A26" s="232"/>
      <c r="C26" s="1048"/>
      <c r="D26" s="115"/>
      <c r="E26" s="115"/>
      <c r="I26" s="541"/>
      <c r="J26" s="541"/>
      <c r="K26" s="541"/>
      <c r="L26" s="541"/>
    </row>
    <row r="27" spans="1:12" s="155" customFormat="1" x14ac:dyDescent="0.4">
      <c r="A27" s="232"/>
      <c r="C27" s="1048"/>
      <c r="D27" s="115"/>
      <c r="E27" s="115"/>
      <c r="I27" s="541"/>
      <c r="J27" s="541"/>
      <c r="K27" s="541"/>
      <c r="L27" s="541"/>
    </row>
    <row r="28" spans="1:12" s="155" customFormat="1" x14ac:dyDescent="0.4">
      <c r="A28" s="232"/>
      <c r="C28" s="1048"/>
      <c r="D28" s="115"/>
      <c r="E28" s="115"/>
      <c r="I28" s="541"/>
      <c r="J28" s="541"/>
      <c r="K28" s="541"/>
      <c r="L28" s="541"/>
    </row>
    <row r="29" spans="1:12" s="155" customFormat="1" ht="19.5" x14ac:dyDescent="0.4">
      <c r="A29" s="232"/>
      <c r="C29" s="800" t="s">
        <v>5041</v>
      </c>
      <c r="D29" s="115"/>
      <c r="E29" s="115"/>
      <c r="I29" s="800" t="s">
        <v>5042</v>
      </c>
    </row>
    <row r="30" spans="1:12" s="155" customFormat="1" x14ac:dyDescent="0.4">
      <c r="A30" s="232"/>
      <c r="C30" s="470" t="s">
        <v>5043</v>
      </c>
      <c r="D30" s="115"/>
      <c r="E30" s="115"/>
      <c r="I30" s="470" t="s">
        <v>5044</v>
      </c>
    </row>
    <row r="31" spans="1:12" s="155" customFormat="1" x14ac:dyDescent="0.4">
      <c r="A31" s="232"/>
      <c r="C31" s="1048"/>
      <c r="D31" s="115"/>
      <c r="E31" s="115"/>
    </row>
    <row r="32" spans="1:12" s="155" customFormat="1" x14ac:dyDescent="0.4">
      <c r="A32" s="232"/>
      <c r="C32" s="1048"/>
      <c r="D32" s="115"/>
      <c r="E32" s="115"/>
    </row>
    <row r="33" spans="1:12" s="155" customFormat="1" x14ac:dyDescent="0.4">
      <c r="A33" s="232"/>
      <c r="C33" s="1048"/>
      <c r="D33" s="115"/>
      <c r="E33" s="115"/>
    </row>
    <row r="34" spans="1:12" s="155" customFormat="1" x14ac:dyDescent="0.4">
      <c r="A34" s="232"/>
      <c r="C34" s="1048"/>
      <c r="D34" s="115"/>
      <c r="E34" s="115"/>
    </row>
    <row r="35" spans="1:12" s="155" customFormat="1" x14ac:dyDescent="0.4">
      <c r="A35" s="232"/>
      <c r="C35" s="1048"/>
      <c r="D35" s="115"/>
      <c r="E35" s="115"/>
    </row>
    <row r="36" spans="1:12" s="155" customFormat="1" x14ac:dyDescent="0.4">
      <c r="A36" s="232"/>
      <c r="C36" s="1048"/>
      <c r="D36" s="115"/>
      <c r="E36" s="115"/>
    </row>
    <row r="37" spans="1:12" s="155" customFormat="1" x14ac:dyDescent="0.4">
      <c r="A37" s="232"/>
      <c r="C37" s="1048"/>
      <c r="D37" s="115"/>
      <c r="E37" s="115"/>
    </row>
    <row r="38" spans="1:12" s="155" customFormat="1" x14ac:dyDescent="0.4">
      <c r="A38" s="232"/>
      <c r="C38" s="1048"/>
      <c r="D38" s="115"/>
      <c r="E38" s="115"/>
    </row>
    <row r="39" spans="1:12" s="155" customFormat="1" x14ac:dyDescent="0.4">
      <c r="A39" s="232"/>
      <c r="C39" s="1048"/>
      <c r="D39" s="115"/>
      <c r="E39" s="115"/>
    </row>
    <row r="46" spans="1:12" ht="34.9" customHeight="1" x14ac:dyDescent="0.4">
      <c r="C46" s="3068" t="s">
        <v>5045</v>
      </c>
      <c r="D46" s="3068"/>
      <c r="E46" s="3068"/>
      <c r="F46" s="3068"/>
      <c r="G46" s="3068"/>
      <c r="I46" s="155" t="s">
        <v>5046</v>
      </c>
    </row>
    <row r="47" spans="1:12" ht="39" customHeight="1" x14ac:dyDescent="0.4">
      <c r="D47" s="1291"/>
      <c r="E47" s="1291"/>
      <c r="F47" s="1291"/>
      <c r="G47" s="1291"/>
      <c r="H47" s="1291"/>
      <c r="I47" s="243" t="s">
        <v>5038</v>
      </c>
      <c r="J47" s="243"/>
      <c r="K47" s="243"/>
      <c r="L47" s="243"/>
    </row>
    <row r="48" spans="1:12" ht="13.15" customHeight="1" x14ac:dyDescent="0.4">
      <c r="A48" s="115"/>
      <c r="B48" s="115"/>
      <c r="C48" s="115"/>
    </row>
    <row r="49" ht="10.5" customHeight="1" x14ac:dyDescent="0.4"/>
    <row r="50" ht="13.15" customHeight="1" x14ac:dyDescent="0.4"/>
  </sheetData>
  <mergeCells count="12">
    <mergeCell ref="A5:B5"/>
    <mergeCell ref="C5:P5"/>
    <mergeCell ref="C1:D1"/>
    <mergeCell ref="A3:B3"/>
    <mergeCell ref="C3:P3"/>
    <mergeCell ref="A4:B4"/>
    <mergeCell ref="C4:P4"/>
    <mergeCell ref="A6:B6"/>
    <mergeCell ref="C6:P6"/>
    <mergeCell ref="C22:F23"/>
    <mergeCell ref="C24:F24"/>
    <mergeCell ref="C46:G46"/>
  </mergeCells>
  <hyperlinks>
    <hyperlink ref="A1" location="'ODS 8.'!A1" display="REGRESAR" xr:uid="{CB410D3D-2843-446E-AFF3-D777EBC23F26}"/>
    <hyperlink ref="C1:D1" location="'Metadato 8.4.2'!A1" display="VER METADATO" xr:uid="{2BF52693-6EFC-48AB-A057-064ADED5B4C3}"/>
  </hyperlinks>
  <pageMargins left="0.7" right="0.7" top="0.75" bottom="0.75" header="0.3" footer="0.3"/>
  <pageSetup orientation="portrait" horizontalDpi="90" verticalDpi="90"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B854-7B37-40D5-A49A-FCDD3EB9D9F1}">
  <sheetPr>
    <tabColor theme="0" tint="-0.499984740745262"/>
  </sheetPr>
  <dimension ref="A1:F46"/>
  <sheetViews>
    <sheetView showGridLines="0" zoomScale="90" zoomScaleNormal="90" zoomScaleSheetLayoutView="9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7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265</v>
      </c>
    </row>
    <row r="4" spans="1:6" ht="37.5" x14ac:dyDescent="0.25">
      <c r="A4" s="1079"/>
      <c r="B4" s="2445" t="s">
        <v>234</v>
      </c>
      <c r="C4" s="2445"/>
      <c r="D4" s="49" t="s">
        <v>4975</v>
      </c>
    </row>
    <row r="5" spans="1:6" ht="75" x14ac:dyDescent="0.25">
      <c r="B5" s="2445" t="s">
        <v>79</v>
      </c>
      <c r="C5" s="2445"/>
      <c r="D5" s="49" t="s">
        <v>4922</v>
      </c>
    </row>
    <row r="6" spans="1:6" x14ac:dyDescent="0.25">
      <c r="B6" s="2445" t="s">
        <v>80</v>
      </c>
      <c r="C6" s="2445"/>
      <c r="D6" s="50" t="s">
        <v>4925</v>
      </c>
    </row>
    <row r="7" spans="1:6" ht="37.5" x14ac:dyDescent="0.25">
      <c r="B7" s="2446" t="s">
        <v>81</v>
      </c>
      <c r="C7" s="2446"/>
      <c r="D7" s="93" t="s">
        <v>4926</v>
      </c>
    </row>
    <row r="8" spans="1:6" x14ac:dyDescent="0.25">
      <c r="B8" s="2446" t="s">
        <v>82</v>
      </c>
      <c r="C8" s="2446"/>
      <c r="D8" s="1047" t="s">
        <v>5047</v>
      </c>
    </row>
    <row r="9" spans="1:6" x14ac:dyDescent="0.4">
      <c r="B9" s="115"/>
      <c r="C9" s="115"/>
      <c r="D9" s="115"/>
    </row>
    <row r="10" spans="1:6" ht="23.25" customHeight="1" x14ac:dyDescent="0.25">
      <c r="B10" s="3119" t="s">
        <v>85</v>
      </c>
      <c r="C10" s="3119"/>
      <c r="D10" s="3119"/>
    </row>
    <row r="11" spans="1:6" x14ac:dyDescent="0.25">
      <c r="B11" s="2487" t="s">
        <v>86</v>
      </c>
      <c r="C11" s="2456"/>
      <c r="D11" s="49" t="s">
        <v>5048</v>
      </c>
    </row>
    <row r="12" spans="1:6" ht="20.45" customHeight="1" x14ac:dyDescent="0.25">
      <c r="B12" s="2446" t="s">
        <v>88</v>
      </c>
      <c r="C12" s="2446"/>
      <c r="D12" s="184" t="s">
        <v>5049</v>
      </c>
    </row>
    <row r="13" spans="1:6" x14ac:dyDescent="0.25">
      <c r="B13" s="2445" t="s">
        <v>90</v>
      </c>
      <c r="C13" s="2445"/>
      <c r="D13" s="50" t="s">
        <v>4925</v>
      </c>
    </row>
    <row r="14" spans="1:6" x14ac:dyDescent="0.25">
      <c r="B14" s="2445" t="s">
        <v>91</v>
      </c>
      <c r="C14" s="2456"/>
      <c r="D14" s="54" t="s">
        <v>92</v>
      </c>
    </row>
    <row r="15" spans="1:6" ht="202.9" customHeight="1" x14ac:dyDescent="0.25">
      <c r="B15" s="2445" t="s">
        <v>93</v>
      </c>
      <c r="C15" s="2445"/>
      <c r="D15" s="49" t="s">
        <v>5050</v>
      </c>
    </row>
    <row r="16" spans="1:6" ht="93.75" x14ac:dyDescent="0.25">
      <c r="B16" s="2445" t="s">
        <v>95</v>
      </c>
      <c r="C16" s="2445"/>
      <c r="D16" s="49" t="s">
        <v>5051</v>
      </c>
    </row>
    <row r="17" spans="2:4" ht="56.25" x14ac:dyDescent="0.25">
      <c r="B17" s="2445" t="s">
        <v>97</v>
      </c>
      <c r="C17" s="2445"/>
      <c r="D17" s="55" t="s">
        <v>5052</v>
      </c>
    </row>
    <row r="18" spans="2:4" ht="37.5" x14ac:dyDescent="0.25">
      <c r="B18" s="2446" t="s">
        <v>99</v>
      </c>
      <c r="C18" s="2446"/>
      <c r="D18" s="49" t="s">
        <v>5053</v>
      </c>
    </row>
    <row r="19" spans="2:4" ht="17.45" customHeight="1" x14ac:dyDescent="0.25">
      <c r="B19" s="2457" t="s">
        <v>100</v>
      </c>
      <c r="C19" s="2458"/>
      <c r="D19" s="55" t="s">
        <v>5054</v>
      </c>
    </row>
    <row r="20" spans="2:4" x14ac:dyDescent="0.25">
      <c r="B20" s="2445" t="s">
        <v>102</v>
      </c>
      <c r="C20" s="2445"/>
      <c r="D20" s="49" t="s">
        <v>140</v>
      </c>
    </row>
    <row r="21" spans="2:4" x14ac:dyDescent="0.25">
      <c r="B21" s="2451" t="s">
        <v>104</v>
      </c>
      <c r="C21" s="95" t="s">
        <v>105</v>
      </c>
      <c r="D21" s="49" t="s">
        <v>1186</v>
      </c>
    </row>
    <row r="22" spans="2:4" x14ac:dyDescent="0.25">
      <c r="B22" s="2452"/>
      <c r="C22" s="96" t="s">
        <v>107</v>
      </c>
      <c r="D22" s="55" t="s">
        <v>1186</v>
      </c>
    </row>
    <row r="23" spans="2:4" x14ac:dyDescent="0.25">
      <c r="B23" s="2445" t="s">
        <v>109</v>
      </c>
      <c r="C23" s="2445"/>
      <c r="D23" s="49" t="s">
        <v>143</v>
      </c>
    </row>
    <row r="24" spans="2:4" x14ac:dyDescent="0.25">
      <c r="B24" s="2445" t="s">
        <v>111</v>
      </c>
      <c r="C24" s="2445"/>
      <c r="D24" s="50" t="s">
        <v>5055</v>
      </c>
    </row>
    <row r="25" spans="2:4" x14ac:dyDescent="0.25">
      <c r="B25" s="2445" t="s">
        <v>113</v>
      </c>
      <c r="C25" s="2445"/>
      <c r="D25" s="55" t="s">
        <v>1701</v>
      </c>
    </row>
    <row r="26" spans="2:4" ht="14.65" customHeight="1" x14ac:dyDescent="0.25">
      <c r="B26" s="2446" t="s">
        <v>115</v>
      </c>
      <c r="C26" s="2446"/>
      <c r="D26" s="49" t="s">
        <v>5056</v>
      </c>
    </row>
    <row r="27" spans="2:4" x14ac:dyDescent="0.25">
      <c r="B27" s="2447" t="s">
        <v>117</v>
      </c>
      <c r="C27" s="2448"/>
      <c r="D27" s="49"/>
    </row>
    <row r="28" spans="2:4" ht="150" x14ac:dyDescent="0.25">
      <c r="B28" s="97" t="s">
        <v>118</v>
      </c>
      <c r="C28" s="98"/>
      <c r="D28" s="55" t="s">
        <v>5057</v>
      </c>
    </row>
    <row r="29" spans="2:4" ht="75" x14ac:dyDescent="0.25">
      <c r="B29" s="2449" t="s">
        <v>120</v>
      </c>
      <c r="C29" s="2450"/>
      <c r="D29" s="62" t="s">
        <v>5058</v>
      </c>
    </row>
    <row r="30" spans="2:4" x14ac:dyDescent="0.25">
      <c r="B30" s="63"/>
      <c r="C30" s="63"/>
      <c r="D30" s="64"/>
    </row>
    <row r="31" spans="2:4" ht="23.25" customHeight="1" x14ac:dyDescent="0.25">
      <c r="B31" s="3119" t="s">
        <v>121</v>
      </c>
      <c r="C31" s="3119"/>
      <c r="D31" s="3119"/>
    </row>
    <row r="32" spans="2:4" x14ac:dyDescent="0.25">
      <c r="B32" s="2447" t="s">
        <v>122</v>
      </c>
      <c r="C32" s="2448"/>
      <c r="D32" s="50" t="s">
        <v>4814</v>
      </c>
    </row>
    <row r="33" spans="2:4" x14ac:dyDescent="0.25">
      <c r="B33" s="2447" t="s">
        <v>124</v>
      </c>
      <c r="C33" s="2448"/>
      <c r="D33" s="50" t="s">
        <v>5059</v>
      </c>
    </row>
    <row r="34" spans="2:4" x14ac:dyDescent="0.25">
      <c r="B34" s="2447" t="s">
        <v>126</v>
      </c>
      <c r="C34" s="2448"/>
      <c r="D34" s="50" t="s">
        <v>3388</v>
      </c>
    </row>
    <row r="35" spans="2:4" x14ac:dyDescent="0.25">
      <c r="B35" s="2447" t="s">
        <v>128</v>
      </c>
      <c r="C35" s="2448"/>
      <c r="D35" s="50" t="s">
        <v>4985</v>
      </c>
    </row>
    <row r="36" spans="2:4" ht="19.5" thickBot="1" x14ac:dyDescent="0.3">
      <c r="B36" s="2447" t="s">
        <v>130</v>
      </c>
      <c r="C36" s="2448"/>
      <c r="D36" s="1312" t="s">
        <v>4986</v>
      </c>
    </row>
    <row r="37" spans="2:4" x14ac:dyDescent="0.25">
      <c r="B37" s="2885" t="s">
        <v>122</v>
      </c>
      <c r="C37" s="2886"/>
      <c r="D37" s="1287" t="s">
        <v>5060</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3392</v>
      </c>
    </row>
    <row r="41" spans="2:4" ht="19.5" thickBot="1" x14ac:dyDescent="0.3">
      <c r="B41" s="2883" t="s">
        <v>130</v>
      </c>
      <c r="C41" s="2884"/>
      <c r="D41" s="1290" t="s">
        <v>3393</v>
      </c>
    </row>
    <row r="42" spans="2:4" x14ac:dyDescent="0.25">
      <c r="B42" s="2885" t="s">
        <v>122</v>
      </c>
      <c r="C42" s="2886"/>
      <c r="D42" s="1287" t="s">
        <v>5061</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5062</v>
      </c>
    </row>
    <row r="46" spans="2:4" ht="19.5" thickBot="1" x14ac:dyDescent="0.3">
      <c r="B46" s="2883" t="s">
        <v>130</v>
      </c>
      <c r="C46" s="2884"/>
      <c r="D46" s="1290" t="s">
        <v>5063</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040E972D-495E-449C-BCBD-BEE0AF4C2828}">
      <formula1>Tipo_operación</formula1>
    </dataValidation>
    <dataValidation type="list" allowBlank="1" showInputMessage="1" showErrorMessage="1" sqref="D14" xr:uid="{63F60A70-832F-40E3-89D5-038F21DFCF0E}">
      <formula1>Tipo_indicador</formula1>
    </dataValidation>
    <dataValidation type="list" allowBlank="1" showInputMessage="1" showErrorMessage="1" sqref="D7" xr:uid="{71EFF947-CE9E-49D3-A867-7083FD134415}">
      <formula1>Nombre_indicador_ODS</formula1>
    </dataValidation>
    <dataValidation type="list" allowBlank="1" showInputMessage="1" showErrorMessage="1" sqref="D6 D13" xr:uid="{4A4A9C04-10B6-4291-A3E9-83C640F78275}">
      <formula1>Numero_indicador</formula1>
    </dataValidation>
    <dataValidation type="list" allowBlank="1" showInputMessage="1" showErrorMessage="1" sqref="D5" xr:uid="{885E110D-C2F4-49E2-887E-E54C1EA9610F}">
      <formula1>Metas_ODS</formula1>
    </dataValidation>
    <dataValidation type="list" allowBlank="1" showInputMessage="1" showErrorMessage="1" sqref="D4" xr:uid="{A624081B-30A1-4E2C-9E03-544851527890}">
      <formula1>ODS</formula1>
    </dataValidation>
  </dataValidations>
  <hyperlinks>
    <hyperlink ref="B1" location="'8.4.2'!A1" display="REGRESAR" xr:uid="{A928105E-D56E-4773-8D39-200137A6D8D9}"/>
    <hyperlink ref="D8" r:id="rId1" xr:uid="{0B798DD6-41F0-4904-95E2-B41EAAD79A86}"/>
    <hyperlink ref="D46" r:id="rId2" xr:uid="{6D895CE1-C45A-41CF-BF1A-64087C5643FB}"/>
    <hyperlink ref="D36" r:id="rId3" xr:uid="{9FD0DD50-1542-4CDA-AC6D-EF4004B31CFD}"/>
    <hyperlink ref="D41" r:id="rId4" xr:uid="{2CCE1AD9-2549-474C-A82F-BAE1D8B5E069}"/>
  </hyperlinks>
  <pageMargins left="0.7" right="0.7" top="0.75" bottom="0.75" header="0.3" footer="0.3"/>
  <pageSetup orientation="portrait" horizontalDpi="90" verticalDpi="90"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2593-71DE-48C0-9A65-586A5796D7F7}">
  <dimension ref="A1:M24"/>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2" width="15.28515625" style="22" customWidth="1"/>
    <col min="3" max="3" width="7.28515625" style="89" customWidth="1"/>
    <col min="4" max="5" width="16.7109375" style="22" customWidth="1"/>
    <col min="6" max="6" width="20.140625" style="22" customWidth="1"/>
    <col min="7" max="13" width="16.7109375" style="22" customWidth="1"/>
    <col min="14" max="14" width="13.7109375" style="22" customWidth="1"/>
    <col min="15" max="16" width="14.28515625" style="22" customWidth="1"/>
    <col min="17" max="16384" width="11.42578125" style="22"/>
  </cols>
  <sheetData>
    <row r="1" spans="1:13" s="16" customFormat="1" ht="19.5" x14ac:dyDescent="0.4">
      <c r="A1" s="15" t="s">
        <v>39</v>
      </c>
      <c r="B1" s="161"/>
      <c r="C1" s="2421" t="s">
        <v>149</v>
      </c>
      <c r="D1" s="2421"/>
    </row>
    <row r="2" spans="1:13" s="16" customFormat="1" ht="19.5" x14ac:dyDescent="0.4">
      <c r="C2" s="218"/>
    </row>
    <row r="3" spans="1:13" s="16" customFormat="1" ht="18.600000000000001" customHeight="1" x14ac:dyDescent="0.4">
      <c r="A3" s="2462" t="s">
        <v>41</v>
      </c>
      <c r="B3" s="2462"/>
      <c r="C3" s="2502" t="s">
        <v>2</v>
      </c>
      <c r="D3" s="2503"/>
      <c r="E3" s="2503"/>
      <c r="F3" s="2503"/>
      <c r="G3" s="2503"/>
      <c r="H3" s="2503"/>
      <c r="I3" s="2503"/>
      <c r="J3" s="2503"/>
      <c r="K3" s="2503"/>
      <c r="L3" s="2503"/>
      <c r="M3" s="2503"/>
    </row>
    <row r="4" spans="1:13" s="16" customFormat="1" ht="48.6" customHeight="1" x14ac:dyDescent="0.4">
      <c r="A4" s="2462" t="s">
        <v>42</v>
      </c>
      <c r="B4" s="2462"/>
      <c r="C4" s="2502" t="s">
        <v>31</v>
      </c>
      <c r="D4" s="2503"/>
      <c r="E4" s="2503"/>
      <c r="F4" s="2503"/>
      <c r="G4" s="2503"/>
      <c r="H4" s="2503"/>
      <c r="I4" s="2503"/>
      <c r="J4" s="2503"/>
      <c r="K4" s="2503"/>
      <c r="L4" s="2503"/>
      <c r="M4" s="2503"/>
    </row>
    <row r="5" spans="1:13" s="16" customFormat="1" ht="19.5" x14ac:dyDescent="0.4">
      <c r="A5" s="2462" t="s">
        <v>43</v>
      </c>
      <c r="B5" s="2462"/>
      <c r="C5" s="2502" t="s">
        <v>33</v>
      </c>
      <c r="D5" s="2503"/>
      <c r="E5" s="2503"/>
      <c r="F5" s="2503"/>
      <c r="G5" s="2503"/>
      <c r="H5" s="2503"/>
      <c r="I5" s="2503"/>
      <c r="J5" s="2503"/>
      <c r="K5" s="2503"/>
      <c r="L5" s="2503"/>
      <c r="M5" s="2503"/>
    </row>
    <row r="6" spans="1:13" s="16" customFormat="1" ht="19.5" x14ac:dyDescent="0.4">
      <c r="A6" s="2462" t="s">
        <v>132</v>
      </c>
      <c r="B6" s="2462"/>
      <c r="C6" s="2502" t="s">
        <v>345</v>
      </c>
      <c r="D6" s="2503"/>
      <c r="E6" s="2503"/>
      <c r="F6" s="2503"/>
      <c r="G6" s="2503"/>
      <c r="H6" s="2503"/>
      <c r="I6" s="2503"/>
      <c r="J6" s="2503"/>
      <c r="K6" s="2503"/>
      <c r="L6" s="2503"/>
      <c r="M6" s="2503"/>
    </row>
    <row r="7" spans="1:13" s="16" customFormat="1" ht="19.5" x14ac:dyDescent="0.4">
      <c r="C7" s="218"/>
    </row>
    <row r="8" spans="1:13" s="16" customFormat="1" ht="19.5" x14ac:dyDescent="0.4">
      <c r="C8" s="218"/>
    </row>
    <row r="9" spans="1:13" s="16" customFormat="1" ht="19.5" x14ac:dyDescent="0.4">
      <c r="C9" s="236" t="s">
        <v>346</v>
      </c>
    </row>
    <row r="10" spans="1:13" s="16" customFormat="1" ht="19.5" x14ac:dyDescent="0.4">
      <c r="C10" s="236" t="s">
        <v>347</v>
      </c>
    </row>
    <row r="11" spans="1:13" x14ac:dyDescent="0.25">
      <c r="C11" s="22"/>
    </row>
    <row r="12" spans="1:13" ht="24" customHeight="1" x14ac:dyDescent="0.25">
      <c r="C12" s="237" t="s">
        <v>247</v>
      </c>
      <c r="D12" s="237" t="s">
        <v>348</v>
      </c>
      <c r="E12" s="237" t="s">
        <v>349</v>
      </c>
      <c r="F12" s="237" t="s">
        <v>350</v>
      </c>
    </row>
    <row r="13" spans="1:13" ht="18.75" x14ac:dyDescent="0.4">
      <c r="C13" s="4">
        <v>2015</v>
      </c>
      <c r="D13" s="238">
        <v>479034</v>
      </c>
      <c r="E13" s="238">
        <v>56441.9</v>
      </c>
      <c r="F13" s="239">
        <v>8.5043203719222774E-4</v>
      </c>
    </row>
    <row r="14" spans="1:13" ht="18.75" x14ac:dyDescent="0.4">
      <c r="C14" s="4">
        <v>2016</v>
      </c>
      <c r="D14" s="238">
        <v>7893696.2699999996</v>
      </c>
      <c r="E14" s="238">
        <v>58847</v>
      </c>
      <c r="F14" s="239">
        <v>1.342464356721668E-2</v>
      </c>
    </row>
    <row r="15" spans="1:13" ht="18.75" x14ac:dyDescent="0.4">
      <c r="C15" s="4">
        <v>2017</v>
      </c>
      <c r="D15" s="238">
        <v>10287565</v>
      </c>
      <c r="E15" s="238">
        <v>60516</v>
      </c>
      <c r="F15" s="239">
        <v>1.7020292154141057E-2</v>
      </c>
    </row>
    <row r="16" spans="1:13" ht="18.75" x14ac:dyDescent="0.4">
      <c r="C16" s="4">
        <v>2018</v>
      </c>
      <c r="D16" s="238">
        <v>16660220.289999999</v>
      </c>
      <c r="E16" s="238">
        <v>62420.2</v>
      </c>
      <c r="F16" s="239">
        <v>2.675415971111916E-2</v>
      </c>
    </row>
    <row r="17" spans="3:6" ht="18.75" x14ac:dyDescent="0.4">
      <c r="C17" s="4">
        <v>2019</v>
      </c>
      <c r="D17" s="238">
        <v>54789640.799999997</v>
      </c>
      <c r="E17" s="238">
        <v>64417.7</v>
      </c>
      <c r="F17" s="239">
        <v>8.5069786720109536E-2</v>
      </c>
    </row>
    <row r="18" spans="3:6" ht="18.75" x14ac:dyDescent="0.4">
      <c r="C18" s="4">
        <v>2020</v>
      </c>
      <c r="D18" s="238">
        <v>5733176.6799999997</v>
      </c>
      <c r="E18" s="238">
        <v>62395.6</v>
      </c>
      <c r="F18" s="239">
        <v>9.135259537531493E-3</v>
      </c>
    </row>
    <row r="19" spans="3:6" ht="18.75" x14ac:dyDescent="0.4">
      <c r="C19" s="4">
        <v>2021</v>
      </c>
      <c r="D19" s="238">
        <v>8350925.7399999993</v>
      </c>
      <c r="E19" s="238">
        <v>64616.5</v>
      </c>
      <c r="F19" s="239">
        <v>1.2999775599111682E-2</v>
      </c>
    </row>
    <row r="20" spans="3:6" ht="18.75" x14ac:dyDescent="0.4">
      <c r="C20" s="4">
        <v>2022</v>
      </c>
      <c r="D20" s="238">
        <v>5727442.5099999998</v>
      </c>
      <c r="E20" s="238">
        <v>68380.800000000003</v>
      </c>
      <c r="F20" s="239">
        <v>8.3356731714165373E-3</v>
      </c>
    </row>
    <row r="21" spans="3:6" ht="18.75" x14ac:dyDescent="0.4">
      <c r="C21" s="82">
        <v>2023</v>
      </c>
      <c r="D21" s="240">
        <v>1559915.44</v>
      </c>
      <c r="E21" s="240">
        <v>86497.9</v>
      </c>
      <c r="F21" s="241">
        <v>1.8497558900273884E-3</v>
      </c>
    </row>
    <row r="22" spans="3:6" x14ac:dyDescent="0.25">
      <c r="C22" s="22"/>
    </row>
    <row r="23" spans="3:6" ht="16.5" x14ac:dyDescent="0.35">
      <c r="C23" s="17" t="s">
        <v>351</v>
      </c>
    </row>
    <row r="24" spans="3:6" ht="16.5" x14ac:dyDescent="0.35">
      <c r="C24" s="17" t="s">
        <v>352</v>
      </c>
    </row>
  </sheetData>
  <mergeCells count="9">
    <mergeCell ref="A6:B6"/>
    <mergeCell ref="C6:M6"/>
    <mergeCell ref="C1:D1"/>
    <mergeCell ref="A3:B3"/>
    <mergeCell ref="C3:M3"/>
    <mergeCell ref="A4:B4"/>
    <mergeCell ref="C4:M4"/>
    <mergeCell ref="A5:B5"/>
    <mergeCell ref="C5:M5"/>
  </mergeCells>
  <hyperlinks>
    <hyperlink ref="A1" location="'ODS 1.'!A1" display="REGRESAR" xr:uid="{EE44A27B-D0BB-44D6-9323-3C4C2DC4377E}"/>
    <hyperlink ref="C1" location="'Metadato 1.a.1'!A1" display="VER METADATO" xr:uid="{20EB6BD0-9D7F-4062-921D-506F694F0456}"/>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63A97-5800-41C3-AA7F-2521CC778438}">
  <dimension ref="A1:AC74"/>
  <sheetViews>
    <sheetView showGridLines="0" zoomScaleNormal="100" workbookViewId="0">
      <pane ySplit="1" topLeftCell="A2" activePane="bottomLeft" state="frozen"/>
      <selection sqref="A1:B1"/>
      <selection pane="bottomLeft" activeCell="A9" sqref="A9:A11"/>
    </sheetView>
  </sheetViews>
  <sheetFormatPr baseColWidth="10" defaultColWidth="11.42578125" defaultRowHeight="18.75" x14ac:dyDescent="0.4"/>
  <cols>
    <col min="1" max="2" width="15.42578125" style="115" customWidth="1"/>
    <col min="3" max="3" width="6.7109375" style="115" customWidth="1"/>
    <col min="4" max="4" width="11.7109375" style="115" customWidth="1"/>
    <col min="5" max="5" width="9.42578125" style="115" customWidth="1"/>
    <col min="6" max="6" width="7.5703125" style="115" customWidth="1"/>
    <col min="7" max="7" width="9.42578125" style="115" customWidth="1"/>
    <col min="8" max="9" width="9.28515625" style="115" customWidth="1"/>
    <col min="10" max="10" width="8.7109375" style="115" customWidth="1"/>
    <col min="11" max="11" width="7.42578125" style="115" customWidth="1"/>
    <col min="12" max="12" width="9.28515625" style="115" customWidth="1"/>
    <col min="13" max="13" width="9.7109375" style="115" customWidth="1"/>
    <col min="14" max="14" width="7.42578125" style="115" customWidth="1"/>
    <col min="15" max="15" width="9.28515625" style="115" customWidth="1"/>
    <col min="16" max="16" width="10.42578125" style="115" customWidth="1"/>
    <col min="17" max="17" width="8.7109375" style="115" customWidth="1"/>
    <col min="18" max="18" width="9.42578125" style="115" customWidth="1"/>
    <col min="19" max="20" width="7.7109375" style="115" customWidth="1"/>
    <col min="21" max="21" width="6.28515625" style="115" customWidth="1"/>
    <col min="22" max="22" width="8.28515625" style="115" customWidth="1"/>
    <col min="23" max="23" width="7" style="115" customWidth="1"/>
    <col min="24" max="24" width="8.7109375" style="115" customWidth="1"/>
    <col min="25" max="25" width="9.5703125" style="115" customWidth="1"/>
    <col min="26" max="26" width="11.42578125" style="115" customWidth="1"/>
    <col min="27" max="27" width="9.7109375" style="115" customWidth="1"/>
    <col min="28" max="28" width="7.42578125" style="115" customWidth="1"/>
    <col min="29" max="29" width="8.5703125" style="115" customWidth="1"/>
    <col min="30" max="16384" width="11.42578125" style="115"/>
  </cols>
  <sheetData>
    <row r="1" spans="1:29" x14ac:dyDescent="0.4">
      <c r="A1" s="90" t="s">
        <v>39</v>
      </c>
      <c r="C1" s="2541" t="s">
        <v>149</v>
      </c>
      <c r="D1" s="2541"/>
    </row>
    <row r="3" spans="1:29" x14ac:dyDescent="0.4">
      <c r="A3" s="3145" t="s">
        <v>41</v>
      </c>
      <c r="B3" s="3145"/>
      <c r="C3" s="3145" t="s">
        <v>4957</v>
      </c>
      <c r="D3" s="3145"/>
      <c r="E3" s="3145"/>
      <c r="F3" s="3145"/>
      <c r="G3" s="3145"/>
      <c r="H3" s="3145"/>
      <c r="I3" s="3145"/>
      <c r="J3" s="3145"/>
      <c r="K3" s="3145"/>
      <c r="L3" s="3145"/>
      <c r="M3" s="3145"/>
      <c r="N3" s="3145"/>
      <c r="O3" s="3145"/>
      <c r="P3" s="3145"/>
      <c r="Q3" s="3145"/>
      <c r="R3" s="3145"/>
      <c r="S3" s="3145"/>
      <c r="T3" s="3145"/>
      <c r="U3" s="3145"/>
      <c r="V3" s="3145"/>
      <c r="W3" s="3145"/>
      <c r="X3" s="3145"/>
      <c r="Y3" s="3145"/>
      <c r="Z3" s="3145"/>
      <c r="AA3" s="3145"/>
    </row>
    <row r="4" spans="1:29" x14ac:dyDescent="0.4">
      <c r="A4" s="3145" t="s">
        <v>42</v>
      </c>
      <c r="B4" s="3145"/>
      <c r="C4" s="3145" t="s">
        <v>4927</v>
      </c>
      <c r="D4" s="3145"/>
      <c r="E4" s="3145"/>
      <c r="F4" s="3145"/>
      <c r="G4" s="3145"/>
      <c r="H4" s="3145"/>
      <c r="I4" s="3145"/>
      <c r="J4" s="3145"/>
      <c r="K4" s="3145"/>
      <c r="L4" s="3145"/>
      <c r="M4" s="3145"/>
      <c r="N4" s="3145"/>
      <c r="O4" s="3145"/>
      <c r="P4" s="3145"/>
      <c r="Q4" s="3145"/>
      <c r="R4" s="3145"/>
      <c r="S4" s="3145"/>
      <c r="T4" s="3145"/>
      <c r="U4" s="3145"/>
      <c r="V4" s="3145"/>
      <c r="W4" s="3145"/>
      <c r="X4" s="3145"/>
      <c r="Y4" s="3145"/>
      <c r="Z4" s="3145"/>
      <c r="AA4" s="3145"/>
    </row>
    <row r="5" spans="1:29" x14ac:dyDescent="0.4">
      <c r="A5" s="3145" t="s">
        <v>43</v>
      </c>
      <c r="B5" s="3145"/>
      <c r="C5" s="3145" t="s">
        <v>4929</v>
      </c>
      <c r="D5" s="3145"/>
      <c r="E5" s="3145"/>
      <c r="F5" s="3145"/>
      <c r="G5" s="3145"/>
      <c r="H5" s="3145"/>
      <c r="I5" s="3145"/>
      <c r="J5" s="3145"/>
      <c r="K5" s="3145"/>
      <c r="L5" s="3145"/>
      <c r="M5" s="3145"/>
      <c r="N5" s="3145"/>
      <c r="O5" s="3145"/>
      <c r="P5" s="3145"/>
      <c r="Q5" s="3145"/>
      <c r="R5" s="3145"/>
      <c r="S5" s="3145"/>
      <c r="T5" s="3145"/>
      <c r="U5" s="3145"/>
      <c r="V5" s="3145"/>
      <c r="W5" s="3145"/>
      <c r="X5" s="3145"/>
      <c r="Y5" s="3145"/>
      <c r="Z5" s="3145"/>
      <c r="AA5" s="3145"/>
    </row>
    <row r="6" spans="1:29" x14ac:dyDescent="0.4">
      <c r="A6" s="3145" t="s">
        <v>132</v>
      </c>
      <c r="B6" s="3145"/>
      <c r="C6" s="3145" t="s">
        <v>5064</v>
      </c>
      <c r="D6" s="3145"/>
      <c r="E6" s="3145"/>
      <c r="F6" s="3145"/>
      <c r="G6" s="3145"/>
      <c r="H6" s="3145"/>
      <c r="I6" s="3145"/>
      <c r="J6" s="3145"/>
      <c r="K6" s="3145"/>
      <c r="L6" s="3145"/>
      <c r="M6" s="3145"/>
      <c r="N6" s="3145"/>
      <c r="O6" s="3145"/>
      <c r="P6" s="3145"/>
      <c r="Q6" s="3145"/>
      <c r="R6" s="3145"/>
      <c r="S6" s="3145"/>
      <c r="T6" s="3145"/>
      <c r="U6" s="3145"/>
      <c r="V6" s="3145"/>
      <c r="W6" s="3145"/>
      <c r="X6" s="3145"/>
      <c r="Y6" s="3145"/>
      <c r="Z6" s="3145"/>
      <c r="AA6" s="3145"/>
    </row>
    <row r="9" spans="1:29" ht="30.75" customHeight="1" x14ac:dyDescent="0.4">
      <c r="A9" s="2492" t="s">
        <v>5065</v>
      </c>
      <c r="C9" s="3146" t="s">
        <v>5066</v>
      </c>
      <c r="D9" s="3146"/>
      <c r="E9" s="3146"/>
      <c r="F9" s="3146"/>
      <c r="G9" s="3146"/>
      <c r="H9" s="3146"/>
      <c r="I9" s="3146"/>
      <c r="J9" s="3146"/>
      <c r="K9" s="3146"/>
      <c r="L9" s="3146"/>
      <c r="M9" s="3146"/>
      <c r="N9" s="3146"/>
      <c r="O9" s="3146"/>
      <c r="P9" s="3146"/>
      <c r="Q9" s="3146"/>
      <c r="R9" s="3146"/>
      <c r="S9" s="3146"/>
      <c r="T9" s="3146"/>
      <c r="U9" s="3146"/>
      <c r="V9" s="3146"/>
      <c r="W9" s="3146"/>
      <c r="X9" s="3146"/>
      <c r="Y9" s="3146"/>
      <c r="Z9" s="3146"/>
      <c r="AA9" s="3146"/>
      <c r="AB9" s="3146"/>
      <c r="AC9" s="3146"/>
    </row>
    <row r="10" spans="1:29" ht="12.75" customHeight="1" x14ac:dyDescent="0.4">
      <c r="A10" s="2492"/>
      <c r="C10" s="3127" t="s">
        <v>46</v>
      </c>
      <c r="D10" s="3124" t="s">
        <v>4990</v>
      </c>
      <c r="E10" s="3147" t="s">
        <v>5067</v>
      </c>
      <c r="F10" s="3141" t="s">
        <v>5068</v>
      </c>
      <c r="G10" s="3141"/>
      <c r="H10" s="3141"/>
      <c r="I10" s="3141"/>
      <c r="J10" s="3141"/>
      <c r="K10" s="3141"/>
      <c r="L10" s="3141"/>
      <c r="M10" s="3141"/>
      <c r="N10" s="3141"/>
      <c r="O10" s="3141"/>
      <c r="P10" s="3141"/>
      <c r="Q10" s="3141"/>
      <c r="R10" s="3141"/>
      <c r="S10" s="3141"/>
      <c r="T10" s="3141"/>
      <c r="U10" s="3141"/>
      <c r="V10" s="3141"/>
      <c r="W10" s="3141"/>
      <c r="X10" s="3141"/>
      <c r="Y10" s="3141"/>
      <c r="Z10" s="3141"/>
      <c r="AA10" s="3141"/>
      <c r="AB10" s="3141"/>
      <c r="AC10" s="3141"/>
    </row>
    <row r="11" spans="1:29" ht="12.75" customHeight="1" x14ac:dyDescent="0.4">
      <c r="A11" s="2492"/>
      <c r="C11" s="3128"/>
      <c r="D11" s="3125"/>
      <c r="E11" s="3148"/>
      <c r="F11" s="3141" t="s">
        <v>5069</v>
      </c>
      <c r="G11" s="3141"/>
      <c r="H11" s="3141"/>
      <c r="I11" s="3141"/>
      <c r="J11" s="3141"/>
      <c r="K11" s="3141"/>
      <c r="L11" s="3141"/>
      <c r="M11" s="3141"/>
      <c r="N11" s="3150" t="s">
        <v>5070</v>
      </c>
      <c r="O11" s="3141"/>
      <c r="P11" s="3141"/>
      <c r="Q11" s="3141"/>
      <c r="R11" s="3141"/>
      <c r="S11" s="3141"/>
      <c r="T11" s="3141"/>
      <c r="U11" s="3144"/>
      <c r="V11" s="3141" t="s">
        <v>5071</v>
      </c>
      <c r="W11" s="3141"/>
      <c r="X11" s="3141"/>
      <c r="Y11" s="3141"/>
      <c r="Z11" s="3141"/>
      <c r="AA11" s="3141"/>
      <c r="AB11" s="3141"/>
      <c r="AC11" s="3141"/>
    </row>
    <row r="12" spans="1:29" ht="12.75" customHeight="1" x14ac:dyDescent="0.4">
      <c r="C12" s="3128"/>
      <c r="D12" s="3125"/>
      <c r="E12" s="3148"/>
      <c r="F12" s="3142" t="s">
        <v>5072</v>
      </c>
      <c r="G12" s="3142"/>
      <c r="H12" s="3141" t="s">
        <v>5073</v>
      </c>
      <c r="I12" s="3141"/>
      <c r="J12" s="3141"/>
      <c r="K12" s="3141" t="s">
        <v>963</v>
      </c>
      <c r="L12" s="3141"/>
      <c r="M12" s="3141"/>
      <c r="N12" s="3143" t="s">
        <v>5072</v>
      </c>
      <c r="O12" s="3142"/>
      <c r="P12" s="3141" t="s">
        <v>5073</v>
      </c>
      <c r="Q12" s="3141"/>
      <c r="R12" s="3141"/>
      <c r="S12" s="3141" t="s">
        <v>963</v>
      </c>
      <c r="T12" s="3141"/>
      <c r="U12" s="3144"/>
      <c r="V12" s="3142" t="s">
        <v>5072</v>
      </c>
      <c r="W12" s="3142"/>
      <c r="X12" s="3141" t="s">
        <v>5073</v>
      </c>
      <c r="Y12" s="3141"/>
      <c r="Z12" s="3141"/>
      <c r="AA12" s="3141" t="s">
        <v>963</v>
      </c>
      <c r="AB12" s="3141"/>
      <c r="AC12" s="3141"/>
    </row>
    <row r="13" spans="1:29" ht="75" x14ac:dyDescent="0.4">
      <c r="C13" s="3129"/>
      <c r="D13" s="3126"/>
      <c r="E13" s="3149"/>
      <c r="F13" s="1468" t="s">
        <v>5074</v>
      </c>
      <c r="G13" s="1468" t="s">
        <v>5075</v>
      </c>
      <c r="H13" s="1468" t="s">
        <v>5076</v>
      </c>
      <c r="I13" s="1468" t="s">
        <v>5077</v>
      </c>
      <c r="J13" s="1468" t="s">
        <v>5078</v>
      </c>
      <c r="K13" s="1468" t="s">
        <v>5079</v>
      </c>
      <c r="L13" s="1468" t="s">
        <v>5080</v>
      </c>
      <c r="M13" s="1456" t="s">
        <v>5081</v>
      </c>
      <c r="N13" s="1469" t="s">
        <v>5074</v>
      </c>
      <c r="O13" s="1468" t="s">
        <v>5075</v>
      </c>
      <c r="P13" s="1468" t="s">
        <v>5076</v>
      </c>
      <c r="Q13" s="1468" t="s">
        <v>5077</v>
      </c>
      <c r="R13" s="1468" t="s">
        <v>5078</v>
      </c>
      <c r="S13" s="1468" t="s">
        <v>5079</v>
      </c>
      <c r="T13" s="1468" t="s">
        <v>5080</v>
      </c>
      <c r="U13" s="1470" t="s">
        <v>5081</v>
      </c>
      <c r="V13" s="1468" t="s">
        <v>5074</v>
      </c>
      <c r="W13" s="1468" t="s">
        <v>5075</v>
      </c>
      <c r="X13" s="1468" t="s">
        <v>5076</v>
      </c>
      <c r="Y13" s="1468" t="s">
        <v>5077</v>
      </c>
      <c r="Z13" s="1468" t="s">
        <v>5078</v>
      </c>
      <c r="AA13" s="1468" t="s">
        <v>5079</v>
      </c>
      <c r="AB13" s="1468" t="s">
        <v>5080</v>
      </c>
      <c r="AC13" s="1456" t="s">
        <v>5081</v>
      </c>
    </row>
    <row r="14" spans="1:29" x14ac:dyDescent="0.4">
      <c r="C14" s="2752">
        <v>2010</v>
      </c>
      <c r="D14" s="2384" t="s">
        <v>5000</v>
      </c>
      <c r="E14" s="2389">
        <v>-14.157015913641974</v>
      </c>
      <c r="F14" s="2389">
        <v>-38.537470532065051</v>
      </c>
      <c r="G14" s="2389">
        <v>15.759108123847945</v>
      </c>
      <c r="H14" s="2389">
        <v>13.746671147734643</v>
      </c>
      <c r="I14" s="2389">
        <v>11.378655017291768</v>
      </c>
      <c r="J14" s="2389">
        <v>5.4705682777858486</v>
      </c>
      <c r="K14" s="2389">
        <v>14.031567188824672</v>
      </c>
      <c r="L14" s="2389">
        <v>-0.12205370471893585</v>
      </c>
      <c r="M14" s="2389">
        <v>6.6562771366299618</v>
      </c>
      <c r="N14" s="2390">
        <v>-5.4727396580121495</v>
      </c>
      <c r="O14" s="2389">
        <v>5.4909161369697816</v>
      </c>
      <c r="P14" s="2389">
        <v>6.5290289243056714</v>
      </c>
      <c r="Q14" s="2389">
        <v>7.5295345814676118</v>
      </c>
      <c r="R14" s="2389">
        <v>-10.317552196644259</v>
      </c>
      <c r="S14" s="2389">
        <v>5.4344099874361449</v>
      </c>
      <c r="T14" s="2389">
        <v>-9.2975898468289415</v>
      </c>
      <c r="U14" s="2391">
        <v>3.4530806341625739</v>
      </c>
      <c r="V14" s="2389">
        <v>-16.263369658181912</v>
      </c>
      <c r="W14" s="2389">
        <v>5.5688205745506822</v>
      </c>
      <c r="X14" s="2389">
        <v>18.879237238282325</v>
      </c>
      <c r="Y14" s="2389">
        <v>-10.622196221770078</v>
      </c>
      <c r="Z14" s="2389">
        <v>8.2419658741986826E-2</v>
      </c>
      <c r="AA14" s="2389">
        <v>7.7066723129686627</v>
      </c>
      <c r="AB14" s="2389">
        <v>0.55449214485220766</v>
      </c>
      <c r="AC14" s="2389">
        <v>-38.596058248989664</v>
      </c>
    </row>
    <row r="15" spans="1:29" x14ac:dyDescent="0.4">
      <c r="C15" s="2752"/>
      <c r="D15" s="2384" t="s">
        <v>5001</v>
      </c>
      <c r="E15" s="996">
        <v>-20.730045337824404</v>
      </c>
      <c r="F15" s="996">
        <v>-24.360214305291962</v>
      </c>
      <c r="G15" s="996">
        <v>-21.302527943407021</v>
      </c>
      <c r="H15" s="996">
        <v>-10.842603523332389</v>
      </c>
      <c r="I15" s="996">
        <v>-19.939920150345035</v>
      </c>
      <c r="J15" s="996">
        <v>-9.0177405020215033</v>
      </c>
      <c r="K15" s="996">
        <v>-114.45124724735905</v>
      </c>
      <c r="L15" s="996">
        <v>-20.150121491737373</v>
      </c>
      <c r="M15" s="996">
        <v>2.516277974792382</v>
      </c>
      <c r="N15" s="2392">
        <v>2.5980189808710601</v>
      </c>
      <c r="O15" s="996">
        <v>0.76165397777344157</v>
      </c>
      <c r="P15" s="996">
        <v>0.2003788294724565</v>
      </c>
      <c r="Q15" s="996">
        <v>11.032652081420149</v>
      </c>
      <c r="R15" s="996">
        <v>-7.7988621528781499</v>
      </c>
      <c r="S15" s="996">
        <v>-4.4332362731226489</v>
      </c>
      <c r="T15" s="996">
        <v>-7.5098700300357732</v>
      </c>
      <c r="U15" s="2393">
        <v>42.675833929119818</v>
      </c>
      <c r="V15" s="996">
        <v>-25.885647667057928</v>
      </c>
      <c r="W15" s="996">
        <v>2.2872725595270271</v>
      </c>
      <c r="X15" s="996">
        <v>-11.009587992291744</v>
      </c>
      <c r="Y15" s="996">
        <v>20.931344567055348</v>
      </c>
      <c r="Z15" s="996">
        <v>-3.5583090469521141</v>
      </c>
      <c r="AA15" s="996">
        <v>4.1835838154762399</v>
      </c>
      <c r="AB15" s="996">
        <v>-6.7626408390471893</v>
      </c>
      <c r="AC15" s="996">
        <v>76.304364761896593</v>
      </c>
    </row>
    <row r="16" spans="1:29" x14ac:dyDescent="0.4">
      <c r="C16" s="3140">
        <v>2011</v>
      </c>
      <c r="D16" s="2394" t="s">
        <v>5002</v>
      </c>
      <c r="E16" s="2395">
        <v>-16.461923028086783</v>
      </c>
      <c r="F16" s="2395">
        <v>-13.091955987874936</v>
      </c>
      <c r="G16" s="2395">
        <v>18.495823880625952</v>
      </c>
      <c r="H16" s="2395">
        <v>14.7586686827921</v>
      </c>
      <c r="I16" s="2395">
        <v>-12.828050439218583</v>
      </c>
      <c r="J16" s="2395">
        <v>-11.705761375100371</v>
      </c>
      <c r="K16" s="2395">
        <v>3.5345113975367251</v>
      </c>
      <c r="L16" s="2395">
        <v>-8.0060564661467133</v>
      </c>
      <c r="M16" s="2395">
        <v>41.847235344688258</v>
      </c>
      <c r="N16" s="2396">
        <v>-5.7412508658893637</v>
      </c>
      <c r="O16" s="2395">
        <v>-5.9734187460939596</v>
      </c>
      <c r="P16" s="2395">
        <v>1.2279675240680401</v>
      </c>
      <c r="Q16" s="2395">
        <v>-16.468410437933795</v>
      </c>
      <c r="R16" s="2395">
        <v>1.6925325339824577</v>
      </c>
      <c r="S16" s="2395">
        <v>-8.8504399965786131</v>
      </c>
      <c r="T16" s="2395">
        <v>-13.259569562954962</v>
      </c>
      <c r="U16" s="2397">
        <v>-14.950992867645036</v>
      </c>
      <c r="V16" s="2395">
        <v>25.269197534515669</v>
      </c>
      <c r="W16" s="2395">
        <v>8.1891274594450199</v>
      </c>
      <c r="X16" s="2395">
        <v>26.116176372550331</v>
      </c>
      <c r="Y16" s="2395">
        <v>21.018893619913939</v>
      </c>
      <c r="Z16" s="2395">
        <v>5.2744954555725476</v>
      </c>
      <c r="AA16" s="2395">
        <v>-10.781670911304934</v>
      </c>
      <c r="AB16" s="2395">
        <v>11.307216076784169</v>
      </c>
      <c r="AC16" s="2395">
        <v>59.823851643610261</v>
      </c>
    </row>
    <row r="17" spans="3:29" x14ac:dyDescent="0.4">
      <c r="C17" s="3140"/>
      <c r="D17" s="2394" t="s">
        <v>5003</v>
      </c>
      <c r="E17" s="2395">
        <v>-11.075876762660949</v>
      </c>
      <c r="F17" s="2395">
        <v>2.7881142189454726</v>
      </c>
      <c r="G17" s="2395">
        <v>16.277866112231827</v>
      </c>
      <c r="H17" s="2395">
        <v>33.37293020295629</v>
      </c>
      <c r="I17" s="2395">
        <v>-1.6533644842836388</v>
      </c>
      <c r="J17" s="2395">
        <v>-7.7459188819277287</v>
      </c>
      <c r="K17" s="2395">
        <v>-17.481852566583445</v>
      </c>
      <c r="L17" s="2395">
        <v>20.911351438163173</v>
      </c>
      <c r="M17" s="2395">
        <v>-54.232537265380124</v>
      </c>
      <c r="N17" s="2396">
        <v>-5.4909792640950714</v>
      </c>
      <c r="O17" s="2395">
        <v>15.472720759317637</v>
      </c>
      <c r="P17" s="2395">
        <v>9.4821708725526914</v>
      </c>
      <c r="Q17" s="2395">
        <v>11.43926221095281</v>
      </c>
      <c r="R17" s="2395">
        <v>-3.1316545383875329</v>
      </c>
      <c r="S17" s="2395">
        <v>-21.944037421467993</v>
      </c>
      <c r="T17" s="2395">
        <v>-0.44958241577160074</v>
      </c>
      <c r="U17" s="2397">
        <v>25.559469047723347</v>
      </c>
      <c r="V17" s="2395">
        <v>-16.170438178343918</v>
      </c>
      <c r="W17" s="2395">
        <v>-6.6819322336279781</v>
      </c>
      <c r="X17" s="2395">
        <v>-26.139053657307688</v>
      </c>
      <c r="Y17" s="2395">
        <v>24.522807176041535</v>
      </c>
      <c r="Z17" s="2395">
        <v>13.190817658510735</v>
      </c>
      <c r="AA17" s="2395">
        <v>2.5241380975588283</v>
      </c>
      <c r="AB17" s="2395">
        <v>-19.460180456308297</v>
      </c>
      <c r="AC17" s="2395">
        <v>-52.713372356052481</v>
      </c>
    </row>
    <row r="18" spans="3:29" x14ac:dyDescent="0.4">
      <c r="C18" s="3140"/>
      <c r="D18" s="2394" t="s">
        <v>5000</v>
      </c>
      <c r="E18" s="2395">
        <v>-3.7419184977262181</v>
      </c>
      <c r="F18" s="2395">
        <v>5.3563799099943115</v>
      </c>
      <c r="G18" s="2395">
        <v>48.699099016883082</v>
      </c>
      <c r="H18" s="2395">
        <v>55.807200003034588</v>
      </c>
      <c r="I18" s="2395">
        <v>30.466980660672277</v>
      </c>
      <c r="J18" s="2395">
        <v>-1.526923200885776</v>
      </c>
      <c r="K18" s="2395">
        <v>-8.1766748169758241</v>
      </c>
      <c r="L18" s="2395">
        <v>50.424903575979286</v>
      </c>
      <c r="M18" s="2395">
        <v>-3.6349165909121508</v>
      </c>
      <c r="N18" s="2396">
        <v>-9.6805381990188568</v>
      </c>
      <c r="O18" s="2395">
        <v>12.301545235939301</v>
      </c>
      <c r="P18" s="2395">
        <v>-3.3606041366726811</v>
      </c>
      <c r="Q18" s="2395">
        <v>14.438206376498233</v>
      </c>
      <c r="R18" s="2395">
        <v>2.534168543812112</v>
      </c>
      <c r="S18" s="2395">
        <v>-15.707369366460815</v>
      </c>
      <c r="T18" s="2395">
        <v>-1.792695786781626</v>
      </c>
      <c r="U18" s="2397">
        <v>-58.457033297815343</v>
      </c>
      <c r="V18" s="2395">
        <v>-38.015973069765003</v>
      </c>
      <c r="W18" s="2395">
        <v>16.083004457687405</v>
      </c>
      <c r="X18" s="2395">
        <v>-6.4965960841434924</v>
      </c>
      <c r="Y18" s="2395">
        <v>21.006111924353039</v>
      </c>
      <c r="Z18" s="2395">
        <v>4.0805604776795619</v>
      </c>
      <c r="AA18" s="2395">
        <v>-0.73850712285849318</v>
      </c>
      <c r="AB18" s="2395">
        <v>-2.6412871770068844</v>
      </c>
      <c r="AC18" s="2395">
        <v>40.410826852088242</v>
      </c>
    </row>
    <row r="19" spans="3:29" x14ac:dyDescent="0.4">
      <c r="C19" s="3140"/>
      <c r="D19" s="2394" t="s">
        <v>5001</v>
      </c>
      <c r="E19" s="2395">
        <v>-4.5428196898309565</v>
      </c>
      <c r="F19" s="2395">
        <v>16.603477557264949</v>
      </c>
      <c r="G19" s="2395">
        <v>-18.216303312098976</v>
      </c>
      <c r="H19" s="2395">
        <v>6.3835647056074691</v>
      </c>
      <c r="I19" s="2395">
        <v>-9.1458247972462008</v>
      </c>
      <c r="J19" s="2395">
        <v>-19.833971969808193</v>
      </c>
      <c r="K19" s="2395">
        <v>-32.593095291255985</v>
      </c>
      <c r="L19" s="2395">
        <v>-18.072419150482876</v>
      </c>
      <c r="M19" s="2395">
        <v>45.572356102128865</v>
      </c>
      <c r="N19" s="2396">
        <v>11.701042683076365</v>
      </c>
      <c r="O19" s="2395">
        <v>12.385962031771609</v>
      </c>
      <c r="P19" s="2395">
        <v>14.207590297238065</v>
      </c>
      <c r="Q19" s="2395">
        <v>12.362513935674482</v>
      </c>
      <c r="R19" s="2395">
        <v>-2.5939852667229637</v>
      </c>
      <c r="S19" s="2395">
        <v>-15.190305693576134</v>
      </c>
      <c r="T19" s="2395">
        <v>6.7264728255452964</v>
      </c>
      <c r="U19" s="2397">
        <v>28.560062620689898</v>
      </c>
      <c r="V19" s="2395">
        <v>-0.84405516210423814</v>
      </c>
      <c r="W19" s="2395">
        <v>-6.5999642372814717</v>
      </c>
      <c r="X19" s="2395">
        <v>4.612841778651303</v>
      </c>
      <c r="Y19" s="2395">
        <v>8.8146722192653257</v>
      </c>
      <c r="Z19" s="2395">
        <v>2.2716925491102806</v>
      </c>
      <c r="AA19" s="2395">
        <v>-18.434002747084577</v>
      </c>
      <c r="AB19" s="2395">
        <v>-12.518634126359679</v>
      </c>
      <c r="AC19" s="2395">
        <v>55.777674764348994</v>
      </c>
    </row>
    <row r="20" spans="3:29" x14ac:dyDescent="0.4">
      <c r="C20" s="2752">
        <v>2012</v>
      </c>
      <c r="D20" s="2384" t="s">
        <v>5002</v>
      </c>
      <c r="E20" s="996">
        <v>12.193733606595831</v>
      </c>
      <c r="F20" s="996">
        <v>36.610468548925489</v>
      </c>
      <c r="G20" s="996">
        <v>74.870736158316134</v>
      </c>
      <c r="H20" s="996">
        <v>83.205391966174446</v>
      </c>
      <c r="I20" s="996">
        <v>18.445434572602089</v>
      </c>
      <c r="J20" s="996">
        <v>-15.49732896559034</v>
      </c>
      <c r="K20" s="996">
        <v>-15.653700363971938</v>
      </c>
      <c r="L20" s="996">
        <v>76.854189775427216</v>
      </c>
      <c r="M20" s="996">
        <v>-29.495000186875732</v>
      </c>
      <c r="N20" s="2392">
        <v>9.8767069629072992</v>
      </c>
      <c r="O20" s="996">
        <v>8.0672086769528253</v>
      </c>
      <c r="P20" s="996">
        <v>10.029766822063285</v>
      </c>
      <c r="Q20" s="996">
        <v>11.046653419592745</v>
      </c>
      <c r="R20" s="996">
        <v>-3.8625827881577028</v>
      </c>
      <c r="S20" s="996">
        <v>-3.0281787029464935</v>
      </c>
      <c r="T20" s="996">
        <v>2.165446904170348E-2</v>
      </c>
      <c r="U20" s="2393">
        <v>38.598055769567772</v>
      </c>
      <c r="V20" s="996">
        <v>-6.8125122265859153</v>
      </c>
      <c r="W20" s="996">
        <v>9.7556386871333327</v>
      </c>
      <c r="X20" s="996">
        <v>5.5214885507046025</v>
      </c>
      <c r="Y20" s="996">
        <v>10.836985884265356</v>
      </c>
      <c r="Z20" s="996">
        <v>1.448444832613661</v>
      </c>
      <c r="AA20" s="996">
        <v>6.4810559962651437</v>
      </c>
      <c r="AB20" s="996">
        <v>-1.8734063137716532</v>
      </c>
      <c r="AC20" s="996">
        <v>22.320648211652056</v>
      </c>
    </row>
    <row r="21" spans="3:29" x14ac:dyDescent="0.4">
      <c r="C21" s="2752"/>
      <c r="D21" s="2384" t="s">
        <v>5003</v>
      </c>
      <c r="E21" s="996">
        <v>-7.7932276742208888</v>
      </c>
      <c r="F21" s="996">
        <v>12.842155263868172</v>
      </c>
      <c r="G21" s="996">
        <v>-1.5936807060404548</v>
      </c>
      <c r="H21" s="996">
        <v>-17.557710483665424</v>
      </c>
      <c r="I21" s="996">
        <v>25.588203865409358</v>
      </c>
      <c r="J21" s="996">
        <v>-16.076241001529063</v>
      </c>
      <c r="K21" s="996">
        <v>-72.301411253279142</v>
      </c>
      <c r="L21" s="996">
        <v>9.7028020359300839</v>
      </c>
      <c r="M21" s="996">
        <v>2.783615439980978</v>
      </c>
      <c r="N21" s="2392">
        <v>5.6660448899929943</v>
      </c>
      <c r="O21" s="996">
        <v>0.56881215355661274</v>
      </c>
      <c r="P21" s="996">
        <v>5.8114334168502602</v>
      </c>
      <c r="Q21" s="996">
        <v>2.0216697103501682</v>
      </c>
      <c r="R21" s="996">
        <v>-4.2834049874688676</v>
      </c>
      <c r="S21" s="996">
        <v>-21.851906867614073</v>
      </c>
      <c r="T21" s="996">
        <v>-6.1598967081282945</v>
      </c>
      <c r="U21" s="2393">
        <v>51.71405519023179</v>
      </c>
      <c r="V21" s="996">
        <v>9.799529794729235</v>
      </c>
      <c r="W21" s="996">
        <v>17.70320216533235</v>
      </c>
      <c r="X21" s="996">
        <v>3.7718047812057538</v>
      </c>
      <c r="Y21" s="996">
        <v>22.513829868089172</v>
      </c>
      <c r="Z21" s="996">
        <v>19.303133002299202</v>
      </c>
      <c r="AA21" s="996">
        <v>6.2490790144257726</v>
      </c>
      <c r="AB21" s="996">
        <v>18.654649080875959</v>
      </c>
      <c r="AC21" s="996">
        <v>22.963008530543561</v>
      </c>
    </row>
    <row r="22" spans="3:29" x14ac:dyDescent="0.4">
      <c r="C22" s="2752"/>
      <c r="D22" s="2384" t="s">
        <v>5000</v>
      </c>
      <c r="E22" s="996">
        <v>-5.4614082650217002</v>
      </c>
      <c r="F22" s="996">
        <v>9.9695553992844985</v>
      </c>
      <c r="G22" s="996">
        <v>3.9505674799234218</v>
      </c>
      <c r="H22" s="996">
        <v>7.5191762132038074</v>
      </c>
      <c r="I22" s="996">
        <v>19.300349003776752</v>
      </c>
      <c r="J22" s="996">
        <v>-19.760438698188267</v>
      </c>
      <c r="K22" s="996">
        <v>-31.414801456499404</v>
      </c>
      <c r="L22" s="996">
        <v>9.5031883002377988</v>
      </c>
      <c r="M22" s="996">
        <v>28.268887157743492</v>
      </c>
      <c r="N22" s="2392">
        <v>3.8811984172833949</v>
      </c>
      <c r="O22" s="996">
        <v>7.554703333926394</v>
      </c>
      <c r="P22" s="996">
        <v>8.6955166816740608</v>
      </c>
      <c r="Q22" s="996">
        <v>5.4758808909791465</v>
      </c>
      <c r="R22" s="996">
        <v>-7.5294687795300463</v>
      </c>
      <c r="S22" s="996">
        <v>-18.190872517518848</v>
      </c>
      <c r="T22" s="996">
        <v>-5.822716396522547</v>
      </c>
      <c r="U22" s="2393">
        <v>57.804405529029715</v>
      </c>
      <c r="V22" s="996">
        <v>23.637674780013448</v>
      </c>
      <c r="W22" s="996">
        <v>16.861558787275779</v>
      </c>
      <c r="X22" s="996">
        <v>16.037353763467017</v>
      </c>
      <c r="Y22" s="996">
        <v>24.267227820155618</v>
      </c>
      <c r="Z22" s="996">
        <v>-0.39013754662919992</v>
      </c>
      <c r="AA22" s="996">
        <v>0.44856422396844187</v>
      </c>
      <c r="AB22" s="996">
        <v>19.675579707546781</v>
      </c>
      <c r="AC22" s="996">
        <v>61.664146346519246</v>
      </c>
    </row>
    <row r="23" spans="3:29" x14ac:dyDescent="0.4">
      <c r="C23" s="2752"/>
      <c r="D23" s="2384" t="s">
        <v>5001</v>
      </c>
      <c r="E23" s="996">
        <v>-9.1590196908737536</v>
      </c>
      <c r="F23" s="996">
        <v>-3.689698269906617</v>
      </c>
      <c r="G23" s="996">
        <v>5.0356447415659433</v>
      </c>
      <c r="H23" s="996">
        <v>-9.7909234666294296</v>
      </c>
      <c r="I23" s="996">
        <v>25.959952609868488</v>
      </c>
      <c r="J23" s="996">
        <v>-30.085735737261764</v>
      </c>
      <c r="K23" s="996">
        <v>12.438267152867043</v>
      </c>
      <c r="L23" s="996">
        <v>1.2591520899338551</v>
      </c>
      <c r="M23" s="996">
        <v>36.07353790602334</v>
      </c>
      <c r="N23" s="2392">
        <v>6.1907334864652768</v>
      </c>
      <c r="O23" s="996">
        <v>2.5674252603172336</v>
      </c>
      <c r="P23" s="996">
        <v>4.370784601138392</v>
      </c>
      <c r="Q23" s="996">
        <v>6.1934191887723689</v>
      </c>
      <c r="R23" s="996">
        <v>1.8245205715324508</v>
      </c>
      <c r="S23" s="996">
        <v>-16.604735779698025</v>
      </c>
      <c r="T23" s="996">
        <v>-8.5631547942536397</v>
      </c>
      <c r="U23" s="2393">
        <v>37.36563999291721</v>
      </c>
      <c r="V23" s="996">
        <v>-21.7790594530588</v>
      </c>
      <c r="W23" s="996">
        <v>15.03170720511994</v>
      </c>
      <c r="X23" s="996">
        <v>5.43104041103686</v>
      </c>
      <c r="Y23" s="996">
        <v>22.104100039235007</v>
      </c>
      <c r="Z23" s="996">
        <v>-6.0255236897394715</v>
      </c>
      <c r="AA23" s="996">
        <v>3.8435517416257401</v>
      </c>
      <c r="AB23" s="996">
        <v>13.189469721983768</v>
      </c>
      <c r="AC23" s="996">
        <v>20.81215930737395</v>
      </c>
    </row>
    <row r="24" spans="3:29" x14ac:dyDescent="0.4">
      <c r="C24" s="3140">
        <v>2013</v>
      </c>
      <c r="D24" s="2394" t="s">
        <v>5002</v>
      </c>
      <c r="E24" s="2395">
        <v>-11.73736705531641</v>
      </c>
      <c r="F24" s="2395">
        <v>1.6242171653038238</v>
      </c>
      <c r="G24" s="2395">
        <v>15.222744302184459</v>
      </c>
      <c r="H24" s="2395">
        <v>2.8453146189849705</v>
      </c>
      <c r="I24" s="2395">
        <v>33.510008091326036</v>
      </c>
      <c r="J24" s="2395">
        <v>-35.78093448874229</v>
      </c>
      <c r="K24" s="2395">
        <v>8.3882965659377806</v>
      </c>
      <c r="L24" s="2395">
        <v>3.8522525661707157</v>
      </c>
      <c r="M24" s="2395">
        <v>43.029791432173994</v>
      </c>
      <c r="N24" s="2396">
        <v>11.792084878475279</v>
      </c>
      <c r="O24" s="2395">
        <v>-0.6674999763828936</v>
      </c>
      <c r="P24" s="2395">
        <v>7.0155468880444101</v>
      </c>
      <c r="Q24" s="2395">
        <v>6.726578423907756</v>
      </c>
      <c r="R24" s="2395">
        <v>2.9189312330340762</v>
      </c>
      <c r="S24" s="2395">
        <v>-22.158869042541703</v>
      </c>
      <c r="T24" s="2395">
        <v>-10.602540117349756</v>
      </c>
      <c r="U24" s="2397">
        <v>69.425755832117076</v>
      </c>
      <c r="V24" s="2395">
        <v>-1.45782468173146</v>
      </c>
      <c r="W24" s="2395">
        <v>4.4728614793397989</v>
      </c>
      <c r="X24" s="2395">
        <v>14.545105696027912</v>
      </c>
      <c r="Y24" s="2395">
        <v>13.797848148204379</v>
      </c>
      <c r="Z24" s="2395">
        <v>1.7075970121194946</v>
      </c>
      <c r="AA24" s="2395">
        <v>-18.959708845164194</v>
      </c>
      <c r="AB24" s="2395">
        <v>8.7608655299349145</v>
      </c>
      <c r="AC24" s="2395">
        <v>57.411079704338043</v>
      </c>
    </row>
    <row r="25" spans="3:29" x14ac:dyDescent="0.4">
      <c r="C25" s="3140"/>
      <c r="D25" s="2394" t="s">
        <v>5003</v>
      </c>
      <c r="E25" s="2395">
        <v>-8.4721743651886872</v>
      </c>
      <c r="F25" s="2395">
        <v>32.051310802118124</v>
      </c>
      <c r="G25" s="2395">
        <v>10.849837735724101</v>
      </c>
      <c r="H25" s="2395">
        <v>26.836387100656662</v>
      </c>
      <c r="I25" s="2395">
        <v>23.090123702506769</v>
      </c>
      <c r="J25" s="2395">
        <v>-21.801148300636047</v>
      </c>
      <c r="K25" s="2395">
        <v>-25.792888829333833</v>
      </c>
      <c r="L25" s="2395">
        <v>20.675335474742536</v>
      </c>
      <c r="M25" s="2395">
        <v>13.712758538934928</v>
      </c>
      <c r="N25" s="2396">
        <v>4.0305934820580829</v>
      </c>
      <c r="O25" s="2395">
        <v>7.2784468581731776</v>
      </c>
      <c r="P25" s="2395">
        <v>4.3861895040292849</v>
      </c>
      <c r="Q25" s="2395">
        <v>4.6905156643716079</v>
      </c>
      <c r="R25" s="2395">
        <v>-1.8473391529596945</v>
      </c>
      <c r="S25" s="2395">
        <v>-25.339593673712063</v>
      </c>
      <c r="T25" s="2395">
        <v>-7.4790060780157557</v>
      </c>
      <c r="U25" s="2397">
        <v>28.674650112081739</v>
      </c>
      <c r="V25" s="2395">
        <v>14.944742558742277</v>
      </c>
      <c r="W25" s="2395">
        <v>14.465240735212287</v>
      </c>
      <c r="X25" s="2395">
        <v>18.954206800117383</v>
      </c>
      <c r="Y25" s="2395">
        <v>18.988559078102526</v>
      </c>
      <c r="Z25" s="2395">
        <v>5.3378373849753098</v>
      </c>
      <c r="AA25" s="2395">
        <v>8.6047239028913971</v>
      </c>
      <c r="AB25" s="2395">
        <v>8.1760463321502428</v>
      </c>
      <c r="AC25" s="2395">
        <v>-17.609470393505074</v>
      </c>
    </row>
    <row r="26" spans="3:29" x14ac:dyDescent="0.4">
      <c r="C26" s="3140"/>
      <c r="D26" s="2394" t="s">
        <v>5000</v>
      </c>
      <c r="E26" s="2395">
        <v>-14.482526313395699</v>
      </c>
      <c r="F26" s="2395">
        <v>12.797914306287113</v>
      </c>
      <c r="G26" s="2395">
        <v>-12.99749301584456</v>
      </c>
      <c r="H26" s="2395">
        <v>-5.2953402341689237</v>
      </c>
      <c r="I26" s="2395">
        <v>1.4292167114872329</v>
      </c>
      <c r="J26" s="2395">
        <v>-18.155626488308396</v>
      </c>
      <c r="K26" s="2395">
        <v>-10.09720760302598</v>
      </c>
      <c r="L26" s="2395">
        <v>-0.84653262156385367</v>
      </c>
      <c r="M26" s="2395">
        <v>7.3112860309058813E-3</v>
      </c>
      <c r="N26" s="2396">
        <v>-0.37644685263973587</v>
      </c>
      <c r="O26" s="2395">
        <v>6.6568932883764642</v>
      </c>
      <c r="P26" s="2395">
        <v>2.4214714662779895</v>
      </c>
      <c r="Q26" s="2395">
        <v>7.599533755243705</v>
      </c>
      <c r="R26" s="2395">
        <v>5.5717030931688845</v>
      </c>
      <c r="S26" s="2395">
        <v>0.61178618520294425</v>
      </c>
      <c r="T26" s="2395">
        <v>-11.264023207581888</v>
      </c>
      <c r="U26" s="2397">
        <v>29.831932166153258</v>
      </c>
      <c r="V26" s="2395">
        <v>-16.680108285867533</v>
      </c>
      <c r="W26" s="2395">
        <v>18.359901148040077</v>
      </c>
      <c r="X26" s="2395">
        <v>-21.102946402868291</v>
      </c>
      <c r="Y26" s="2395">
        <v>21.077653282445624</v>
      </c>
      <c r="Z26" s="2395">
        <v>21.025320314998744</v>
      </c>
      <c r="AA26" s="2395">
        <v>-1.136845538010862</v>
      </c>
      <c r="AB26" s="2395">
        <v>9.5902239187929741</v>
      </c>
      <c r="AC26" s="2395">
        <v>38.057460675076953</v>
      </c>
    </row>
    <row r="27" spans="3:29" x14ac:dyDescent="0.4">
      <c r="C27" s="3140"/>
      <c r="D27" s="2394" t="s">
        <v>5001</v>
      </c>
      <c r="E27" s="2395">
        <v>-10.110063974308581</v>
      </c>
      <c r="F27" s="2395">
        <v>26.307564209754407</v>
      </c>
      <c r="G27" s="2395">
        <v>-2.2697342912969836</v>
      </c>
      <c r="H27" s="2395">
        <v>14.937115852583419</v>
      </c>
      <c r="I27" s="2395">
        <v>-4.9085792997172479</v>
      </c>
      <c r="J27" s="2395">
        <v>-3.3608208395543229</v>
      </c>
      <c r="K27" s="2395">
        <v>9.9295398536948536</v>
      </c>
      <c r="L27" s="2395">
        <v>13.135420224726754</v>
      </c>
      <c r="M27" s="2395">
        <v>-56.945912824859469</v>
      </c>
      <c r="N27" s="2396">
        <v>3.3577497689375941</v>
      </c>
      <c r="O27" s="2395">
        <v>11.350109626379529</v>
      </c>
      <c r="P27" s="2395">
        <v>4.9737926411650308</v>
      </c>
      <c r="Q27" s="2395">
        <v>7.7268459519971477</v>
      </c>
      <c r="R27" s="2395">
        <v>-1.673424912537361</v>
      </c>
      <c r="S27" s="2395">
        <v>-9.800722579386683</v>
      </c>
      <c r="T27" s="2395">
        <v>-4.0731567271226616</v>
      </c>
      <c r="U27" s="2397">
        <v>31.60253579009278</v>
      </c>
      <c r="V27" s="2395">
        <v>-3.5435798918234713</v>
      </c>
      <c r="W27" s="2395">
        <v>8.206538338793214</v>
      </c>
      <c r="X27" s="2395">
        <v>12.135395620578592</v>
      </c>
      <c r="Y27" s="2395">
        <v>18.547912125811465</v>
      </c>
      <c r="Z27" s="2395">
        <v>4.4946625792993871</v>
      </c>
      <c r="AA27" s="2395">
        <v>7.3221194287319182</v>
      </c>
      <c r="AB27" s="2395">
        <v>3.6597294404429978E-2</v>
      </c>
      <c r="AC27" s="2395">
        <v>51.490239764885018</v>
      </c>
    </row>
    <row r="28" spans="3:29" x14ac:dyDescent="0.4">
      <c r="C28" s="2752">
        <v>2014</v>
      </c>
      <c r="D28" s="2384" t="s">
        <v>5002</v>
      </c>
      <c r="E28" s="996">
        <v>-14.263043171226627</v>
      </c>
      <c r="F28" s="996">
        <v>7.7966738468935413</v>
      </c>
      <c r="G28" s="996">
        <v>-18.424902864327937</v>
      </c>
      <c r="H28" s="996">
        <v>-3.1829670383065944</v>
      </c>
      <c r="I28" s="996">
        <v>-9.0663135844575784</v>
      </c>
      <c r="J28" s="996">
        <v>-44.140549416484305</v>
      </c>
      <c r="K28" s="996">
        <v>-8.2371143812317928</v>
      </c>
      <c r="L28" s="996">
        <v>3.1459061391186469</v>
      </c>
      <c r="M28" s="996">
        <v>17.513071609552512</v>
      </c>
      <c r="N28" s="2392">
        <v>-8.9250797805159952</v>
      </c>
      <c r="O28" s="996">
        <v>6.7180815772683351</v>
      </c>
      <c r="P28" s="996">
        <v>-0.34851554076818858</v>
      </c>
      <c r="Q28" s="996">
        <v>3.662188280373968</v>
      </c>
      <c r="R28" s="996">
        <v>8.743719664216794</v>
      </c>
      <c r="S28" s="996">
        <v>-8.8809735411922439</v>
      </c>
      <c r="T28" s="996">
        <v>-10.536725950253548</v>
      </c>
      <c r="U28" s="2393">
        <v>53.851655349188462</v>
      </c>
      <c r="V28" s="996">
        <v>7.9051855798144315</v>
      </c>
      <c r="W28" s="996">
        <v>21.237528310929846</v>
      </c>
      <c r="X28" s="996">
        <v>22.448992451636585</v>
      </c>
      <c r="Y28" s="996">
        <v>25.391952543708644</v>
      </c>
      <c r="Z28" s="996">
        <v>1.7820118467599591</v>
      </c>
      <c r="AA28" s="996">
        <v>5.8614197042655984</v>
      </c>
      <c r="AB28" s="996">
        <v>21.457105209255374</v>
      </c>
      <c r="AC28" s="996">
        <v>31.274122297931655</v>
      </c>
    </row>
    <row r="29" spans="3:29" x14ac:dyDescent="0.4">
      <c r="C29" s="2752"/>
      <c r="D29" s="2384" t="s">
        <v>5003</v>
      </c>
      <c r="E29" s="996">
        <v>-8.9541522638723929</v>
      </c>
      <c r="F29" s="996">
        <v>6.9554460983444297</v>
      </c>
      <c r="G29" s="996">
        <v>18.265531039408629</v>
      </c>
      <c r="H29" s="996">
        <v>3.6704460043376375</v>
      </c>
      <c r="I29" s="996">
        <v>24.854540720631839</v>
      </c>
      <c r="J29" s="996">
        <v>-2.7795890180472469</v>
      </c>
      <c r="K29" s="996">
        <v>-4.2761984948475691</v>
      </c>
      <c r="L29" s="996">
        <v>27.825825612305344</v>
      </c>
      <c r="M29" s="996">
        <v>-0.35326081965484118</v>
      </c>
      <c r="N29" s="2392">
        <v>-6.3842433041385371</v>
      </c>
      <c r="O29" s="996">
        <v>16.502104817601403</v>
      </c>
      <c r="P29" s="996">
        <v>2.8681397674782594</v>
      </c>
      <c r="Q29" s="996">
        <v>9.6680045231981069</v>
      </c>
      <c r="R29" s="996">
        <v>6.0591978999487868</v>
      </c>
      <c r="S29" s="996">
        <v>7.0890676552964731</v>
      </c>
      <c r="T29" s="996">
        <v>-1.6327803273531512</v>
      </c>
      <c r="U29" s="2393">
        <v>-9.9445149244185806</v>
      </c>
      <c r="V29" s="996">
        <v>-54.780408553479234</v>
      </c>
      <c r="W29" s="996">
        <v>12.309031856500791</v>
      </c>
      <c r="X29" s="996">
        <v>-25.114987991411759</v>
      </c>
      <c r="Y29" s="996">
        <v>20.430953610983551</v>
      </c>
      <c r="Z29" s="996">
        <v>19.843550972603932</v>
      </c>
      <c r="AA29" s="996">
        <v>-2.1693233492540478</v>
      </c>
      <c r="AB29" s="996">
        <v>-7.6654963646166516</v>
      </c>
      <c r="AC29" s="996">
        <v>-25.929726274696396</v>
      </c>
    </row>
    <row r="30" spans="3:29" x14ac:dyDescent="0.4">
      <c r="C30" s="2752"/>
      <c r="D30" s="2384" t="s">
        <v>5000</v>
      </c>
      <c r="E30" s="996">
        <v>-5.7868421606941833</v>
      </c>
      <c r="F30" s="996">
        <v>-20.857423461476387</v>
      </c>
      <c r="G30" s="996">
        <v>17.516871541618045</v>
      </c>
      <c r="H30" s="996">
        <v>-7.7847086158351519</v>
      </c>
      <c r="I30" s="996">
        <v>31.138487833970586</v>
      </c>
      <c r="J30" s="996">
        <v>-4.7825657406398845</v>
      </c>
      <c r="K30" s="996">
        <v>17.886340107028765</v>
      </c>
      <c r="L30" s="996">
        <v>12.025116842453535</v>
      </c>
      <c r="M30" s="996">
        <v>-15.194480516744996</v>
      </c>
      <c r="N30" s="2392">
        <v>-1.5860745409979864</v>
      </c>
      <c r="O30" s="996">
        <v>10.012546935934816</v>
      </c>
      <c r="P30" s="996">
        <v>4.2128630860126703</v>
      </c>
      <c r="Q30" s="996">
        <v>6.6366134082572747</v>
      </c>
      <c r="R30" s="996">
        <v>10.525238330299262</v>
      </c>
      <c r="S30" s="996">
        <v>-3.610217627095929</v>
      </c>
      <c r="T30" s="996">
        <v>-3.9827491954821563</v>
      </c>
      <c r="U30" s="2393">
        <v>-0.188136708852298</v>
      </c>
      <c r="V30" s="996">
        <v>-12.785366828036576</v>
      </c>
      <c r="W30" s="996">
        <v>22.678880085429132</v>
      </c>
      <c r="X30" s="996">
        <v>13.224074576511214</v>
      </c>
      <c r="Y30" s="996">
        <v>20.185372080825331</v>
      </c>
      <c r="Z30" s="996">
        <v>10.0383883797534</v>
      </c>
      <c r="AA30" s="996">
        <v>9.7820360622986851</v>
      </c>
      <c r="AB30" s="996">
        <v>15.662301536328057</v>
      </c>
      <c r="AC30" s="996">
        <v>20.309049418061072</v>
      </c>
    </row>
    <row r="31" spans="3:29" x14ac:dyDescent="0.4">
      <c r="C31" s="2752"/>
      <c r="D31" s="2384" t="s">
        <v>5001</v>
      </c>
      <c r="E31" s="996">
        <v>-11.674134108569415</v>
      </c>
      <c r="F31" s="996">
        <v>-12.711308327649542</v>
      </c>
      <c r="G31" s="996">
        <v>13.236469335343426</v>
      </c>
      <c r="H31" s="996">
        <v>-6.8231397275179964</v>
      </c>
      <c r="I31" s="996">
        <v>21.943520381176928</v>
      </c>
      <c r="J31" s="996">
        <v>-7.4012075877635279</v>
      </c>
      <c r="K31" s="996">
        <v>10.115221165483355</v>
      </c>
      <c r="L31" s="996">
        <v>11.330484451478004</v>
      </c>
      <c r="M31" s="996">
        <v>27.996833694891926</v>
      </c>
      <c r="N31" s="2392">
        <v>-1.6458173233802391</v>
      </c>
      <c r="O31" s="996">
        <v>7.5448062050999827</v>
      </c>
      <c r="P31" s="996">
        <v>5.7893870957623506</v>
      </c>
      <c r="Q31" s="996">
        <v>4.0230178096438971</v>
      </c>
      <c r="R31" s="996">
        <v>7.6515158066215703</v>
      </c>
      <c r="S31" s="996">
        <v>-10.83563907085974</v>
      </c>
      <c r="T31" s="996">
        <v>-6.8396319370396519</v>
      </c>
      <c r="U31" s="2393">
        <v>-28.242173828012319</v>
      </c>
      <c r="V31" s="996">
        <v>-21.345051842602356</v>
      </c>
      <c r="W31" s="996">
        <v>5.0951424709688071</v>
      </c>
      <c r="X31" s="996">
        <v>-26.021158983986727</v>
      </c>
      <c r="Y31" s="996">
        <v>15.082377015253472</v>
      </c>
      <c r="Z31" s="996">
        <v>7.245818532185103</v>
      </c>
      <c r="AA31" s="996">
        <v>-0.1877208619311552</v>
      </c>
      <c r="AB31" s="996">
        <v>-1.28958511812828</v>
      </c>
      <c r="AC31" s="996">
        <v>18.868501738212395</v>
      </c>
    </row>
    <row r="32" spans="3:29" x14ac:dyDescent="0.4">
      <c r="C32" s="3140">
        <v>2015</v>
      </c>
      <c r="D32" s="2394" t="s">
        <v>5002</v>
      </c>
      <c r="E32" s="2395">
        <v>-7.6479110056050095</v>
      </c>
      <c r="F32" s="2395">
        <v>-25.802719942000614</v>
      </c>
      <c r="G32" s="2395">
        <v>20.207211544541302</v>
      </c>
      <c r="H32" s="2395">
        <v>12.866843921511133</v>
      </c>
      <c r="I32" s="2395">
        <v>18.566187406897761</v>
      </c>
      <c r="J32" s="2395">
        <v>-12.968189138437362</v>
      </c>
      <c r="K32" s="2395">
        <v>-45.181462644279044</v>
      </c>
      <c r="L32" s="2395">
        <v>4.631587569601634</v>
      </c>
      <c r="M32" s="2395">
        <v>66.38554631029325</v>
      </c>
      <c r="N32" s="2396">
        <v>-6.7330523671314175</v>
      </c>
      <c r="O32" s="2395">
        <v>11.733657962219635</v>
      </c>
      <c r="P32" s="2395">
        <v>9.0749367343994219E-2</v>
      </c>
      <c r="Q32" s="2395">
        <v>13.085543380274025</v>
      </c>
      <c r="R32" s="2395">
        <v>9.3875898945328071</v>
      </c>
      <c r="S32" s="2395">
        <v>-8.3627814984696975</v>
      </c>
      <c r="T32" s="2395">
        <v>-9.5065888834357217</v>
      </c>
      <c r="U32" s="2397">
        <v>5.4497081766769062</v>
      </c>
      <c r="V32" s="2395">
        <v>-25.603325320284515</v>
      </c>
      <c r="W32" s="2395">
        <v>16.941875363304824</v>
      </c>
      <c r="X32" s="2395">
        <v>19.820021870693868</v>
      </c>
      <c r="Y32" s="2395">
        <v>21.471963468152751</v>
      </c>
      <c r="Z32" s="2395">
        <v>-2.0758192802423383</v>
      </c>
      <c r="AA32" s="2395">
        <v>0.50530874800162784</v>
      </c>
      <c r="AB32" s="2395">
        <v>9.5315573548805279</v>
      </c>
      <c r="AC32" s="2395">
        <v>36.586236367589969</v>
      </c>
    </row>
    <row r="33" spans="2:29" x14ac:dyDescent="0.4">
      <c r="C33" s="3140"/>
      <c r="D33" s="2394" t="s">
        <v>5003</v>
      </c>
      <c r="E33" s="2395">
        <v>-8.3506119109980812</v>
      </c>
      <c r="F33" s="2395">
        <v>-12.291843533384585</v>
      </c>
      <c r="G33" s="2395">
        <v>7.1711800380680089</v>
      </c>
      <c r="H33" s="2395">
        <v>-13.26679443307415</v>
      </c>
      <c r="I33" s="2395">
        <v>26.570239891039492</v>
      </c>
      <c r="J33" s="2395">
        <v>-11.364258149358532</v>
      </c>
      <c r="K33" s="2395">
        <v>2.9016441777020838</v>
      </c>
      <c r="L33" s="2395">
        <v>-1.2065715661127603</v>
      </c>
      <c r="M33" s="2395">
        <v>16.707423570956927</v>
      </c>
      <c r="N33" s="2396">
        <v>-6.5018631196234091</v>
      </c>
      <c r="O33" s="2395">
        <v>9.5335952825843311</v>
      </c>
      <c r="P33" s="2395">
        <v>-2.0955830164572911</v>
      </c>
      <c r="Q33" s="2395">
        <v>13.231925465448921</v>
      </c>
      <c r="R33" s="2395">
        <v>6.1441164290252734</v>
      </c>
      <c r="S33" s="2395">
        <v>-19.921854462919537</v>
      </c>
      <c r="T33" s="2395">
        <v>-4.0327547937839174</v>
      </c>
      <c r="U33" s="2397">
        <v>18.629015844677308</v>
      </c>
      <c r="V33" s="2395">
        <v>-7.5378665695731133</v>
      </c>
      <c r="W33" s="2395">
        <v>14.678323584088931</v>
      </c>
      <c r="X33" s="2395">
        <v>19.637064458137928</v>
      </c>
      <c r="Y33" s="2395">
        <v>12.881923803997012</v>
      </c>
      <c r="Z33" s="2395">
        <v>4.6212839818876219</v>
      </c>
      <c r="AA33" s="2395">
        <v>1.321548472798721</v>
      </c>
      <c r="AB33" s="2395">
        <v>6.5407625395493705</v>
      </c>
      <c r="AC33" s="2395">
        <v>35.695309364504027</v>
      </c>
    </row>
    <row r="34" spans="2:29" x14ac:dyDescent="0.4">
      <c r="B34" s="1472"/>
      <c r="C34" s="3140"/>
      <c r="D34" s="2394" t="s">
        <v>5000</v>
      </c>
      <c r="E34" s="2395">
        <v>-16.940826069807052</v>
      </c>
      <c r="F34" s="2395">
        <v>-14.658741303901065</v>
      </c>
      <c r="G34" s="2395">
        <v>9.7481692594430918</v>
      </c>
      <c r="H34" s="2395">
        <v>4.6592001227728348</v>
      </c>
      <c r="I34" s="2395">
        <v>-6.4835013681882314</v>
      </c>
      <c r="J34" s="2395">
        <v>0.91541849419592514</v>
      </c>
      <c r="K34" s="2395">
        <v>-40.514983747950019</v>
      </c>
      <c r="L34" s="2395">
        <v>14.517662564751049</v>
      </c>
      <c r="M34" s="2395">
        <v>-18.408288902994293</v>
      </c>
      <c r="N34" s="2396">
        <v>1.6744189918427705</v>
      </c>
      <c r="O34" s="2395">
        <v>-5.3682438419549738</v>
      </c>
      <c r="P34" s="2395">
        <v>-6.8363852293754954</v>
      </c>
      <c r="Q34" s="2395">
        <v>8.132363491079964</v>
      </c>
      <c r="R34" s="2395">
        <v>-3.7056845916916816</v>
      </c>
      <c r="S34" s="2395">
        <v>-15.125563892538398</v>
      </c>
      <c r="T34" s="2395">
        <v>-17.662845874511493</v>
      </c>
      <c r="U34" s="2397">
        <v>43.77409800405681</v>
      </c>
      <c r="V34" s="2395">
        <v>-52.354941660665673</v>
      </c>
      <c r="W34" s="2395">
        <v>11.327947810913454</v>
      </c>
      <c r="X34" s="2395">
        <v>3.2948706351790689</v>
      </c>
      <c r="Y34" s="2395">
        <v>10.314107679277924</v>
      </c>
      <c r="Z34" s="2395">
        <v>-2.2150182059702406</v>
      </c>
      <c r="AA34" s="2395">
        <v>-43.95904165999103</v>
      </c>
      <c r="AB34" s="2395">
        <v>2.0683048335701644</v>
      </c>
      <c r="AC34" s="2395">
        <v>7.0735967179591324</v>
      </c>
    </row>
    <row r="35" spans="2:29" x14ac:dyDescent="0.4">
      <c r="B35" s="1472"/>
      <c r="C35" s="3140"/>
      <c r="D35" s="2394" t="s">
        <v>5001</v>
      </c>
      <c r="E35" s="2395">
        <v>-19.999329303015493</v>
      </c>
      <c r="F35" s="2395">
        <v>-10.356429890679092</v>
      </c>
      <c r="G35" s="2395">
        <v>14.272929598306156</v>
      </c>
      <c r="H35" s="2395">
        <v>-2.2892224159319854</v>
      </c>
      <c r="I35" s="2395">
        <v>3.9003487988402927</v>
      </c>
      <c r="J35" s="2395">
        <v>-15.429699524294982</v>
      </c>
      <c r="K35" s="2395">
        <v>-35.69598343858199</v>
      </c>
      <c r="L35" s="2395">
        <v>11.989472717379039</v>
      </c>
      <c r="M35" s="2395">
        <v>45.979223408569162</v>
      </c>
      <c r="N35" s="2396">
        <v>-6.9444557003929832</v>
      </c>
      <c r="O35" s="2395">
        <v>-8.1198775960240912</v>
      </c>
      <c r="P35" s="2395">
        <v>-8.3637214579800965</v>
      </c>
      <c r="Q35" s="2395">
        <v>7.671734776277142</v>
      </c>
      <c r="R35" s="2395">
        <v>0.54146837098211986</v>
      </c>
      <c r="S35" s="2395">
        <v>-18.696445610079842</v>
      </c>
      <c r="T35" s="2395">
        <v>-17.654765823576973</v>
      </c>
      <c r="U35" s="2397">
        <v>20.29846734996319</v>
      </c>
      <c r="V35" s="2395">
        <v>-38.819735341236537</v>
      </c>
      <c r="W35" s="2395">
        <v>15.592823429063838</v>
      </c>
      <c r="X35" s="2395">
        <v>-0.17076978006445223</v>
      </c>
      <c r="Y35" s="2395">
        <v>14.575869053216786</v>
      </c>
      <c r="Z35" s="2395">
        <v>-7.7841735540068306</v>
      </c>
      <c r="AA35" s="2395">
        <v>4.0794073267444313</v>
      </c>
      <c r="AB35" s="2395">
        <v>-6.210532337335545</v>
      </c>
      <c r="AC35" s="2395">
        <v>-83.151076272462703</v>
      </c>
    </row>
    <row r="36" spans="2:29" x14ac:dyDescent="0.4">
      <c r="B36" s="1472"/>
      <c r="C36" s="2752">
        <v>2016</v>
      </c>
      <c r="D36" s="2384" t="s">
        <v>5002</v>
      </c>
      <c r="E36" s="996">
        <v>-7.0850111335638832</v>
      </c>
      <c r="F36" s="996">
        <v>-8.6552091043498987</v>
      </c>
      <c r="G36" s="996">
        <v>27.784465416952731</v>
      </c>
      <c r="H36" s="996">
        <v>21.029524842495288</v>
      </c>
      <c r="I36" s="996">
        <v>31.506977959649333</v>
      </c>
      <c r="J36" s="996">
        <v>7.1644759853635609</v>
      </c>
      <c r="K36" s="996">
        <v>22.029888326432186</v>
      </c>
      <c r="L36" s="996">
        <v>22.21633799628114</v>
      </c>
      <c r="M36" s="996">
        <v>44.739143117684534</v>
      </c>
      <c r="N36" s="2392">
        <v>-2.1055938340030371</v>
      </c>
      <c r="O36" s="996">
        <v>6.689396427720272</v>
      </c>
      <c r="P36" s="996">
        <v>1.2748781165900538</v>
      </c>
      <c r="Q36" s="996">
        <v>5.3162031083758308</v>
      </c>
      <c r="R36" s="996">
        <v>3.8865161310973839</v>
      </c>
      <c r="S36" s="996">
        <v>-6.8080986073646184</v>
      </c>
      <c r="T36" s="996">
        <v>-7.2624854830823091</v>
      </c>
      <c r="U36" s="2393">
        <v>6.5345419457544063</v>
      </c>
      <c r="V36" s="996">
        <v>3.0213048374834139</v>
      </c>
      <c r="W36" s="996">
        <v>12.729719866430056</v>
      </c>
      <c r="X36" s="996">
        <v>-2.769513581332673</v>
      </c>
      <c r="Y36" s="996">
        <v>6.368627829365475</v>
      </c>
      <c r="Z36" s="996">
        <v>14.906192528645033</v>
      </c>
      <c r="AA36" s="996">
        <v>-10.791451252292301</v>
      </c>
      <c r="AB36" s="996">
        <v>-2.4884346121313188</v>
      </c>
      <c r="AC36" s="996">
        <v>38.076203356341971</v>
      </c>
    </row>
    <row r="37" spans="2:29" x14ac:dyDescent="0.4">
      <c r="B37" s="1472"/>
      <c r="C37" s="2752"/>
      <c r="D37" s="2384" t="s">
        <v>5003</v>
      </c>
      <c r="E37" s="996">
        <v>-11.466499293311973</v>
      </c>
      <c r="F37" s="996">
        <v>-36.18792935273899</v>
      </c>
      <c r="G37" s="996">
        <v>32.601702861882998</v>
      </c>
      <c r="H37" s="996">
        <v>1.4334162971081077</v>
      </c>
      <c r="I37" s="996">
        <v>28.025192641987474</v>
      </c>
      <c r="J37" s="996">
        <v>-2.7022305128989963</v>
      </c>
      <c r="K37" s="996">
        <v>40.495997760914939</v>
      </c>
      <c r="L37" s="996">
        <v>8.3551605788568004</v>
      </c>
      <c r="M37" s="996">
        <v>-14.630766471318926</v>
      </c>
      <c r="N37" s="2392">
        <v>-6.8211443740501005</v>
      </c>
      <c r="O37" s="996">
        <v>-1.8250374226388568</v>
      </c>
      <c r="P37" s="996">
        <v>-4.8044470403061776</v>
      </c>
      <c r="Q37" s="996">
        <v>7.6193989820239905</v>
      </c>
      <c r="R37" s="996">
        <v>-1.179551286714936</v>
      </c>
      <c r="S37" s="996">
        <v>-22.752231470543492</v>
      </c>
      <c r="T37" s="996">
        <v>-12.081538369554625</v>
      </c>
      <c r="U37" s="2393">
        <v>-7.1607893991975136</v>
      </c>
      <c r="V37" s="996">
        <v>7.8980267383854645</v>
      </c>
      <c r="W37" s="996">
        <v>10.722789170483003</v>
      </c>
      <c r="X37" s="996">
        <v>13.798246915634682</v>
      </c>
      <c r="Y37" s="996">
        <v>11.31164417233507</v>
      </c>
      <c r="Z37" s="996">
        <v>1.8946093208384129</v>
      </c>
      <c r="AA37" s="996">
        <v>-23.630692334670588</v>
      </c>
      <c r="AB37" s="996">
        <v>12.084867247671282</v>
      </c>
      <c r="AC37" s="996">
        <v>81.603062771698319</v>
      </c>
    </row>
    <row r="38" spans="2:29" x14ac:dyDescent="0.4">
      <c r="C38" s="2752"/>
      <c r="D38" s="2384" t="s">
        <v>5000</v>
      </c>
      <c r="E38" s="996">
        <v>-10.687884243828639</v>
      </c>
      <c r="F38" s="996">
        <v>19.524165838451019</v>
      </c>
      <c r="G38" s="996">
        <v>15.301785438269771</v>
      </c>
      <c r="H38" s="996">
        <v>10.868094070290542</v>
      </c>
      <c r="I38" s="996">
        <v>22.517868810207506</v>
      </c>
      <c r="J38" s="996">
        <v>10.790076560248881</v>
      </c>
      <c r="K38" s="996">
        <v>1.6468213264008571</v>
      </c>
      <c r="L38" s="996">
        <v>20.000462057525496</v>
      </c>
      <c r="M38" s="996">
        <v>22.205675588738025</v>
      </c>
      <c r="N38" s="2392">
        <v>-4.1646607039868622</v>
      </c>
      <c r="O38" s="996">
        <v>-3.79237580219537</v>
      </c>
      <c r="P38" s="996">
        <v>0.30108851815150428</v>
      </c>
      <c r="Q38" s="996">
        <v>2.9429593814142785</v>
      </c>
      <c r="R38" s="996">
        <v>2.3910699257467911</v>
      </c>
      <c r="S38" s="996">
        <v>-9.0361262996026408</v>
      </c>
      <c r="T38" s="996">
        <v>-15.375641654709845</v>
      </c>
      <c r="U38" s="2393">
        <v>35.218676539894432</v>
      </c>
      <c r="V38" s="996">
        <v>-8.0695256763975465</v>
      </c>
      <c r="W38" s="996">
        <v>11.180927351952882</v>
      </c>
      <c r="X38" s="996">
        <v>-8.5152228838107238</v>
      </c>
      <c r="Y38" s="996">
        <v>9.8053706500189186</v>
      </c>
      <c r="Z38" s="996">
        <v>-5.6247776283444564</v>
      </c>
      <c r="AA38" s="996">
        <v>-18.440637766924674</v>
      </c>
      <c r="AB38" s="996">
        <v>3.4585872940181437</v>
      </c>
      <c r="AC38" s="996">
        <v>37.341677286365794</v>
      </c>
    </row>
    <row r="39" spans="2:29" x14ac:dyDescent="0.4">
      <c r="C39" s="2752"/>
      <c r="D39" s="2384" t="s">
        <v>5001</v>
      </c>
      <c r="E39" s="996">
        <v>-8.5715452010645041</v>
      </c>
      <c r="F39" s="996">
        <v>-15.560762915402057</v>
      </c>
      <c r="G39" s="996">
        <v>22.485588789331182</v>
      </c>
      <c r="H39" s="996">
        <v>-6.568883458352369</v>
      </c>
      <c r="I39" s="996">
        <v>41.78854060068214</v>
      </c>
      <c r="J39" s="996">
        <v>-0.60709201520505207</v>
      </c>
      <c r="K39" s="996">
        <v>1.2397779726996117</v>
      </c>
      <c r="L39" s="996">
        <v>1.3545863264229574</v>
      </c>
      <c r="M39" s="996">
        <v>69.239626844811184</v>
      </c>
      <c r="N39" s="2392">
        <v>2.6738493573075282</v>
      </c>
      <c r="O39" s="996">
        <v>6.8678358395578467</v>
      </c>
      <c r="P39" s="996">
        <v>6.5909722630893741</v>
      </c>
      <c r="Q39" s="996">
        <v>2.3903738523008098</v>
      </c>
      <c r="R39" s="996">
        <v>-9.0921317937316299</v>
      </c>
      <c r="S39" s="996">
        <v>8.9695409343348835</v>
      </c>
      <c r="T39" s="996">
        <v>-6.4550427293665296</v>
      </c>
      <c r="U39" s="2393">
        <v>39.828426933920703</v>
      </c>
      <c r="V39" s="996">
        <v>-46.470325675671589</v>
      </c>
      <c r="W39" s="996">
        <v>15.6882534143685</v>
      </c>
      <c r="X39" s="996">
        <v>-18.43376412631569</v>
      </c>
      <c r="Y39" s="996">
        <v>16.157637847939135</v>
      </c>
      <c r="Z39" s="996">
        <v>4.4061353017970202</v>
      </c>
      <c r="AA39" s="996">
        <v>1.3950756347730999</v>
      </c>
      <c r="AB39" s="996">
        <v>0.97714264526628136</v>
      </c>
      <c r="AC39" s="996">
        <v>50.195419598599109</v>
      </c>
    </row>
    <row r="40" spans="2:29" x14ac:dyDescent="0.4">
      <c r="C40" s="3140">
        <v>2017</v>
      </c>
      <c r="D40" s="2394" t="s">
        <v>5002</v>
      </c>
      <c r="E40" s="2395">
        <v>-10.068267633753083</v>
      </c>
      <c r="F40" s="2395">
        <v>-20.70637265943256</v>
      </c>
      <c r="G40" s="2395">
        <v>23.802591960859136</v>
      </c>
      <c r="H40" s="2395">
        <v>9.6704581257469773</v>
      </c>
      <c r="I40" s="2395">
        <v>13.909733441644745</v>
      </c>
      <c r="J40" s="2395">
        <v>-4.355306423136402</v>
      </c>
      <c r="K40" s="2395">
        <v>4.0886890354577963</v>
      </c>
      <c r="L40" s="2395">
        <v>12.006447008086591</v>
      </c>
      <c r="M40" s="2395">
        <v>53.538538163033536</v>
      </c>
      <c r="N40" s="2396">
        <v>-1.8062882237898616</v>
      </c>
      <c r="O40" s="2395">
        <v>1.9989059759010879</v>
      </c>
      <c r="P40" s="2395">
        <v>-5.0178332880062397E-2</v>
      </c>
      <c r="Q40" s="2395">
        <v>7.3023745680480134</v>
      </c>
      <c r="R40" s="2395">
        <v>-2.2018187788191068</v>
      </c>
      <c r="S40" s="2395">
        <v>-2.5770141623971181</v>
      </c>
      <c r="T40" s="2395">
        <v>-13.645534801181084</v>
      </c>
      <c r="U40" s="2397">
        <v>29.772988708457149</v>
      </c>
      <c r="V40" s="2395">
        <v>-5.316509173806919</v>
      </c>
      <c r="W40" s="2395">
        <v>13.550983464337</v>
      </c>
      <c r="X40" s="2395">
        <v>16.502612130735216</v>
      </c>
      <c r="Y40" s="2395">
        <v>11.102083649707494</v>
      </c>
      <c r="Z40" s="2395">
        <v>2.658371661076441</v>
      </c>
      <c r="AA40" s="2395">
        <v>-6.4530548577169364</v>
      </c>
      <c r="AB40" s="2395">
        <v>9.9911732767750365</v>
      </c>
      <c r="AC40" s="2395">
        <v>5.0750408731504448</v>
      </c>
    </row>
    <row r="41" spans="2:29" x14ac:dyDescent="0.4">
      <c r="C41" s="3140"/>
      <c r="D41" s="2394" t="s">
        <v>5003</v>
      </c>
      <c r="E41" s="2395">
        <v>-11.471457209811598</v>
      </c>
      <c r="F41" s="2395">
        <v>-20.84781587160937</v>
      </c>
      <c r="G41" s="2395">
        <v>15.377269072721669</v>
      </c>
      <c r="H41" s="2395">
        <v>-29.016403015793784</v>
      </c>
      <c r="I41" s="2395">
        <v>34.866638483959022</v>
      </c>
      <c r="J41" s="2395">
        <v>17.249984927490559</v>
      </c>
      <c r="K41" s="2395">
        <v>-15.319803349332014</v>
      </c>
      <c r="L41" s="2395">
        <v>11.741157221761457</v>
      </c>
      <c r="M41" s="2395">
        <v>32.64860388912269</v>
      </c>
      <c r="N41" s="2396">
        <v>-9.7895948542782634</v>
      </c>
      <c r="O41" s="2395">
        <v>5.633265293206323</v>
      </c>
      <c r="P41" s="2395">
        <v>-6.3957776360198464</v>
      </c>
      <c r="Q41" s="2395">
        <v>6.7366081531916784</v>
      </c>
      <c r="R41" s="2395">
        <v>-3.2694026268520116</v>
      </c>
      <c r="S41" s="2395">
        <v>4.7982962693622699</v>
      </c>
      <c r="T41" s="2395">
        <v>-12.149946465893564</v>
      </c>
      <c r="U41" s="2397">
        <v>-39.75470333023636</v>
      </c>
      <c r="V41" s="2395">
        <v>-4.5293805816601038</v>
      </c>
      <c r="W41" s="2395">
        <v>12.907666164971095</v>
      </c>
      <c r="X41" s="2395">
        <v>18.978215231884274</v>
      </c>
      <c r="Y41" s="2395">
        <v>15.011926542250183</v>
      </c>
      <c r="Z41" s="2395">
        <v>1.2959888058023816</v>
      </c>
      <c r="AA41" s="2395">
        <v>-2.4461542383405774</v>
      </c>
      <c r="AB41" s="2395">
        <v>8.6380311226323698</v>
      </c>
      <c r="AC41" s="2395">
        <v>52.04073106852487</v>
      </c>
    </row>
    <row r="42" spans="2:29" x14ac:dyDescent="0.4">
      <c r="C42" s="3140"/>
      <c r="D42" s="2394" t="s">
        <v>5000</v>
      </c>
      <c r="E42" s="2395">
        <v>-13.449927196265854</v>
      </c>
      <c r="F42" s="2395">
        <v>-5.9624715737681511</v>
      </c>
      <c r="G42" s="2395">
        <v>8.3453111742723181</v>
      </c>
      <c r="H42" s="2395">
        <v>-15.468661806334991</v>
      </c>
      <c r="I42" s="2395">
        <v>4.7963391610590387</v>
      </c>
      <c r="J42" s="2395">
        <v>8.461900297441872</v>
      </c>
      <c r="K42" s="2395">
        <v>-16.270510138827269</v>
      </c>
      <c r="L42" s="2395">
        <v>5.7656589365587747</v>
      </c>
      <c r="M42" s="2395">
        <v>3.5037746541888772</v>
      </c>
      <c r="N42" s="2396">
        <v>-1.7185265344652472</v>
      </c>
      <c r="O42" s="2395">
        <v>9.9106618336732026</v>
      </c>
      <c r="P42" s="2395">
        <v>-1.5974543804650563</v>
      </c>
      <c r="Q42" s="2395">
        <v>15.211485740777386</v>
      </c>
      <c r="R42" s="2395">
        <v>-2.717527572375761</v>
      </c>
      <c r="S42" s="2395">
        <v>1.9973547499476896</v>
      </c>
      <c r="T42" s="2395">
        <v>-2.3692616697179334</v>
      </c>
      <c r="U42" s="2397">
        <v>-9.6186102917492704</v>
      </c>
      <c r="V42" s="2395">
        <v>-33.743739888214691</v>
      </c>
      <c r="W42" s="2395">
        <v>0.69495543816184702</v>
      </c>
      <c r="X42" s="2395">
        <v>-45.256029149559609</v>
      </c>
      <c r="Y42" s="2395">
        <v>17.512246875460299</v>
      </c>
      <c r="Z42" s="2395">
        <v>-7.2001474113791932</v>
      </c>
      <c r="AA42" s="2395">
        <v>-8.9222675611467359</v>
      </c>
      <c r="AB42" s="2395">
        <v>-13.301709452016125</v>
      </c>
      <c r="AC42" s="2395">
        <v>-7.8412091186766579</v>
      </c>
    </row>
    <row r="43" spans="2:29" x14ac:dyDescent="0.4">
      <c r="C43" s="3140"/>
      <c r="D43" s="2394" t="s">
        <v>5001</v>
      </c>
      <c r="E43" s="2395">
        <v>-17.6666815400933</v>
      </c>
      <c r="F43" s="2395">
        <v>18.762857759927645</v>
      </c>
      <c r="G43" s="2395">
        <v>15.350682257460083</v>
      </c>
      <c r="H43" s="2395">
        <v>-6.9842205768810643</v>
      </c>
      <c r="I43" s="2395">
        <v>44.897162573154226</v>
      </c>
      <c r="J43" s="2395">
        <v>-12.318047090126422</v>
      </c>
      <c r="K43" s="2395">
        <v>32.342263492106312</v>
      </c>
      <c r="L43" s="2395">
        <v>5.2652487471394762</v>
      </c>
      <c r="M43" s="2395">
        <v>24.427027897360968</v>
      </c>
      <c r="N43" s="2396">
        <v>-25.212039401011989</v>
      </c>
      <c r="O43" s="2395">
        <v>3.9936583416398173</v>
      </c>
      <c r="P43" s="2395">
        <v>-22.410732958933988</v>
      </c>
      <c r="Q43" s="2395">
        <v>7.680614020515443</v>
      </c>
      <c r="R43" s="2395">
        <v>0.59647794644357</v>
      </c>
      <c r="S43" s="2395">
        <v>-8.3816995230269544</v>
      </c>
      <c r="T43" s="2395">
        <v>-14.962051003213087</v>
      </c>
      <c r="U43" s="2397">
        <v>-37.117707045738626</v>
      </c>
      <c r="V43" s="2395">
        <v>-12.705896112172846</v>
      </c>
      <c r="W43" s="2395">
        <v>8.9446183928442657</v>
      </c>
      <c r="X43" s="2395">
        <v>7.5413815571559493</v>
      </c>
      <c r="Y43" s="2395">
        <v>19.062066443558404</v>
      </c>
      <c r="Z43" s="2395">
        <v>4.8666141782023216</v>
      </c>
      <c r="AA43" s="2395">
        <v>1.4501561844037583</v>
      </c>
      <c r="AB43" s="2395">
        <v>2.6340817697696566</v>
      </c>
      <c r="AC43" s="2395">
        <v>-22.479834465439804</v>
      </c>
    </row>
    <row r="44" spans="2:29" x14ac:dyDescent="0.4">
      <c r="C44" s="2752">
        <v>2018</v>
      </c>
      <c r="D44" s="2384" t="s">
        <v>5002</v>
      </c>
      <c r="E44" s="996">
        <v>-13.214270527464105</v>
      </c>
      <c r="F44" s="996">
        <v>5.7702942597492992</v>
      </c>
      <c r="G44" s="996">
        <v>11.665105109314961</v>
      </c>
      <c r="H44" s="996">
        <v>4.6277279387659247</v>
      </c>
      <c r="I44" s="996">
        <v>31.644746039910398</v>
      </c>
      <c r="J44" s="996">
        <v>6.0899585489203867</v>
      </c>
      <c r="K44" s="996">
        <v>20.434090191803939</v>
      </c>
      <c r="L44" s="996">
        <v>6.3322154239529773</v>
      </c>
      <c r="M44" s="996">
        <v>38.774437306613827</v>
      </c>
      <c r="N44" s="2392">
        <v>-14.253586895856833</v>
      </c>
      <c r="O44" s="996">
        <v>9.5299217806698007</v>
      </c>
      <c r="P44" s="996">
        <v>-11.36193110023749</v>
      </c>
      <c r="Q44" s="996">
        <v>5.0196617504406893</v>
      </c>
      <c r="R44" s="996">
        <v>-5.6203042246135722</v>
      </c>
      <c r="S44" s="996">
        <v>-10.143074115362797</v>
      </c>
      <c r="T44" s="996">
        <v>-9.4457336365829292</v>
      </c>
      <c r="U44" s="2393">
        <v>0.49379291351713583</v>
      </c>
      <c r="V44" s="996">
        <v>-27.972108862887708</v>
      </c>
      <c r="W44" s="996">
        <v>4.6084726452818536</v>
      </c>
      <c r="X44" s="996">
        <v>11.864405144349234</v>
      </c>
      <c r="Y44" s="996">
        <v>8.081746790157057</v>
      </c>
      <c r="Z44" s="996">
        <v>5.2528068748360282</v>
      </c>
      <c r="AA44" s="996">
        <v>-15.640008083816406</v>
      </c>
      <c r="AB44" s="996">
        <v>1.8747855702207632</v>
      </c>
      <c r="AC44" s="996">
        <v>-80.034508308468361</v>
      </c>
    </row>
    <row r="45" spans="2:29" x14ac:dyDescent="0.4">
      <c r="C45" s="2752"/>
      <c r="D45" s="2384" t="s">
        <v>5003</v>
      </c>
      <c r="E45" s="996">
        <v>-6.6415991644691728</v>
      </c>
      <c r="F45" s="996">
        <v>-6.4966277370995824</v>
      </c>
      <c r="G45" s="996">
        <v>38.663438320316516</v>
      </c>
      <c r="H45" s="996">
        <v>6.3011556303133291</v>
      </c>
      <c r="I45" s="996">
        <v>39.041471426232413</v>
      </c>
      <c r="J45" s="996">
        <v>8.4842603125231584</v>
      </c>
      <c r="K45" s="996">
        <v>29.559454858306207</v>
      </c>
      <c r="L45" s="996">
        <v>19.154448808884535</v>
      </c>
      <c r="M45" s="996">
        <v>55.286300281440681</v>
      </c>
      <c r="N45" s="2392">
        <v>-16.069155008366387</v>
      </c>
      <c r="O45" s="996">
        <v>9.395076969766583</v>
      </c>
      <c r="P45" s="996">
        <v>6.1552547991884383</v>
      </c>
      <c r="Q45" s="996">
        <v>8.682527886774686</v>
      </c>
      <c r="R45" s="996">
        <v>-3.6024367496206127</v>
      </c>
      <c r="S45" s="996">
        <v>-0.64968692228464742</v>
      </c>
      <c r="T45" s="996">
        <v>-9.8334160741545293</v>
      </c>
      <c r="U45" s="2393">
        <v>2.6114344891170362</v>
      </c>
      <c r="V45" s="996">
        <v>-75.023406106418079</v>
      </c>
      <c r="W45" s="996">
        <v>7.8731056938638941</v>
      </c>
      <c r="X45" s="996">
        <v>-18.982908598972795</v>
      </c>
      <c r="Y45" s="996">
        <v>15.005312199644694</v>
      </c>
      <c r="Z45" s="996">
        <v>-10.100192080531011</v>
      </c>
      <c r="AA45" s="996">
        <v>-11.590751568620366</v>
      </c>
      <c r="AB45" s="996">
        <v>-6.7702516253672105</v>
      </c>
      <c r="AC45" s="996">
        <v>-24.487812332300305</v>
      </c>
    </row>
    <row r="46" spans="2:29" x14ac:dyDescent="0.4">
      <c r="C46" s="2752"/>
      <c r="D46" s="2384" t="s">
        <v>5000</v>
      </c>
      <c r="E46" s="996">
        <v>-14.209128748701417</v>
      </c>
      <c r="F46" s="996">
        <v>-27.255992564772956</v>
      </c>
      <c r="G46" s="996">
        <v>17.055443912658106</v>
      </c>
      <c r="H46" s="996">
        <v>-36.099047178373098</v>
      </c>
      <c r="I46" s="996">
        <v>31.611544912492697</v>
      </c>
      <c r="J46" s="996">
        <v>-2.6619461122566013</v>
      </c>
      <c r="K46" s="996">
        <v>7.0820443369346435</v>
      </c>
      <c r="L46" s="996">
        <v>4.1135403072417196</v>
      </c>
      <c r="M46" s="996">
        <v>23.480266833633483</v>
      </c>
      <c r="N46" s="2392">
        <v>-14.138820171658267</v>
      </c>
      <c r="O46" s="996">
        <v>0.7571410854773214</v>
      </c>
      <c r="P46" s="996">
        <v>-15.564424217883326</v>
      </c>
      <c r="Q46" s="996">
        <v>3.232085340987978</v>
      </c>
      <c r="R46" s="996">
        <v>1.2527897667916013</v>
      </c>
      <c r="S46" s="996">
        <v>-0.96756201689437316</v>
      </c>
      <c r="T46" s="996">
        <v>-17.890362232240083</v>
      </c>
      <c r="U46" s="2393">
        <v>-61.034158154863881</v>
      </c>
      <c r="V46" s="996">
        <v>11.700506771006957</v>
      </c>
      <c r="W46" s="996">
        <v>8.6002371775611195</v>
      </c>
      <c r="X46" s="996">
        <v>-7.2414278746154119</v>
      </c>
      <c r="Y46" s="996">
        <v>22.319027932107275</v>
      </c>
      <c r="Z46" s="996">
        <v>12.588017742064327</v>
      </c>
      <c r="AA46" s="996">
        <v>9.2198848477870783</v>
      </c>
      <c r="AB46" s="996">
        <v>7.9997074851391954</v>
      </c>
      <c r="AC46" s="996">
        <v>29.925763534954296</v>
      </c>
    </row>
    <row r="47" spans="2:29" x14ac:dyDescent="0.4">
      <c r="C47" s="2752"/>
      <c r="D47" s="2384" t="s">
        <v>5001</v>
      </c>
      <c r="E47" s="996">
        <v>-7.1993647892135222</v>
      </c>
      <c r="F47" s="996">
        <v>-1.9114516606979814</v>
      </c>
      <c r="G47" s="996">
        <v>28.025017966966381</v>
      </c>
      <c r="H47" s="996">
        <v>-3.2920742701001897</v>
      </c>
      <c r="I47" s="996">
        <v>38.644469597246015</v>
      </c>
      <c r="J47" s="996">
        <v>-6.62303797219404</v>
      </c>
      <c r="K47" s="996">
        <v>-0.40623846765815647</v>
      </c>
      <c r="L47" s="996">
        <v>27.604123879436056</v>
      </c>
      <c r="M47" s="996">
        <v>27.738411608453696</v>
      </c>
      <c r="N47" s="2392">
        <v>-4.2171104634516468</v>
      </c>
      <c r="O47" s="996">
        <v>6.6966883079448838</v>
      </c>
      <c r="P47" s="996">
        <v>0.36061446227027355</v>
      </c>
      <c r="Q47" s="996">
        <v>10.029756812179212</v>
      </c>
      <c r="R47" s="996">
        <v>5.517856815496951</v>
      </c>
      <c r="S47" s="996">
        <v>0.92089940742960552</v>
      </c>
      <c r="T47" s="996">
        <v>-10.378473125325236</v>
      </c>
      <c r="U47" s="2393">
        <v>1.0325590601345316</v>
      </c>
      <c r="V47" s="996">
        <v>2.7493926940577564</v>
      </c>
      <c r="W47" s="996">
        <v>9.7145975185779498</v>
      </c>
      <c r="X47" s="996">
        <v>9.3282050684929363</v>
      </c>
      <c r="Y47" s="996">
        <v>14.693411900521259</v>
      </c>
      <c r="Z47" s="996">
        <v>5.2830989170330263</v>
      </c>
      <c r="AA47" s="996">
        <v>4.1371298909985024</v>
      </c>
      <c r="AB47" s="996">
        <v>2.716636496946327</v>
      </c>
      <c r="AC47" s="996">
        <v>16.35499075132682</v>
      </c>
    </row>
    <row r="48" spans="2:29" x14ac:dyDescent="0.4">
      <c r="C48" s="3139">
        <v>2019</v>
      </c>
      <c r="D48" s="2394" t="s">
        <v>5002</v>
      </c>
      <c r="E48" s="2395">
        <v>-5.5172380406809145</v>
      </c>
      <c r="F48" s="2395">
        <v>-14.3146787839257</v>
      </c>
      <c r="G48" s="2395">
        <v>35.068910937709049</v>
      </c>
      <c r="H48" s="2395">
        <v>9.599941819888361</v>
      </c>
      <c r="I48" s="2395">
        <v>42.481759512206168</v>
      </c>
      <c r="J48" s="2395">
        <v>-13.214190912435367</v>
      </c>
      <c r="K48" s="2395">
        <v>11.720186017713468</v>
      </c>
      <c r="L48" s="2395">
        <v>21.604157387299246</v>
      </c>
      <c r="M48" s="2395">
        <v>58.519616122926429</v>
      </c>
      <c r="N48" s="2396">
        <v>-1.1175178851940062</v>
      </c>
      <c r="O48" s="2395">
        <v>8.5670816480332075</v>
      </c>
      <c r="P48" s="2395">
        <v>2.238332890988556</v>
      </c>
      <c r="Q48" s="2395">
        <v>9.0615704366352112</v>
      </c>
      <c r="R48" s="2395">
        <v>5.5083619303666769</v>
      </c>
      <c r="S48" s="2395">
        <v>-9.6481601724129575</v>
      </c>
      <c r="T48" s="2395">
        <v>-4.850021461606171</v>
      </c>
      <c r="U48" s="2397">
        <v>-36.920229241381733</v>
      </c>
      <c r="V48" s="2395">
        <v>-77.522971782677814</v>
      </c>
      <c r="W48" s="2395">
        <v>3.3448833330726275</v>
      </c>
      <c r="X48" s="2395">
        <v>-37.735040719627122</v>
      </c>
      <c r="Y48" s="2395">
        <v>11.876985711600801</v>
      </c>
      <c r="Z48" s="2395">
        <v>-7.0765440756463498</v>
      </c>
      <c r="AA48" s="2395">
        <v>-18.560089114336197</v>
      </c>
      <c r="AB48" s="2395">
        <v>-22.839961579496638</v>
      </c>
      <c r="AC48" s="2395">
        <v>61.128201414276262</v>
      </c>
    </row>
    <row r="49" spans="3:29" x14ac:dyDescent="0.4">
      <c r="C49" s="3139"/>
      <c r="D49" s="2394" t="s">
        <v>5003</v>
      </c>
      <c r="E49" s="2395">
        <v>-3.8944804171361875</v>
      </c>
      <c r="F49" s="2395">
        <v>19.661293640352241</v>
      </c>
      <c r="G49" s="2395">
        <v>17.608178509527772</v>
      </c>
      <c r="H49" s="2395">
        <v>1.7788250210133423</v>
      </c>
      <c r="I49" s="2395">
        <v>32.736335903455924</v>
      </c>
      <c r="J49" s="2395">
        <v>5.5855146293367079</v>
      </c>
      <c r="K49" s="2395">
        <v>8.5775044886373735</v>
      </c>
      <c r="L49" s="2395">
        <v>22.280593023819634</v>
      </c>
      <c r="M49" s="2395">
        <v>17.993128757958338</v>
      </c>
      <c r="N49" s="2396">
        <v>4.5206151114351849</v>
      </c>
      <c r="O49" s="2395">
        <v>9.7874955324708353</v>
      </c>
      <c r="P49" s="2395">
        <v>14.233985293052005</v>
      </c>
      <c r="Q49" s="2395">
        <v>9.4032000218058194</v>
      </c>
      <c r="R49" s="2395">
        <v>-2.0891018769585616</v>
      </c>
      <c r="S49" s="2395">
        <v>-15.527647784734247</v>
      </c>
      <c r="T49" s="2395">
        <v>-2.9340698834771732</v>
      </c>
      <c r="U49" s="2397">
        <v>43.938965419484724</v>
      </c>
      <c r="V49" s="2395">
        <v>-23.738489642412034</v>
      </c>
      <c r="W49" s="2395">
        <v>6.8592403998798641</v>
      </c>
      <c r="X49" s="2395">
        <v>-6.370574902307478</v>
      </c>
      <c r="Y49" s="2395">
        <v>15.561147784253986</v>
      </c>
      <c r="Z49" s="2395">
        <v>-6.4387963015505925</v>
      </c>
      <c r="AA49" s="2395">
        <v>-7.2457801375020834</v>
      </c>
      <c r="AB49" s="2395">
        <v>-12.302787838452382</v>
      </c>
      <c r="AC49" s="2395">
        <v>54.820648125225965</v>
      </c>
    </row>
    <row r="50" spans="3:29" x14ac:dyDescent="0.4">
      <c r="C50" s="3139"/>
      <c r="D50" s="2394" t="s">
        <v>5000</v>
      </c>
      <c r="E50" s="2395">
        <v>-6.533040523495492</v>
      </c>
      <c r="F50" s="2395">
        <v>15.399244068081048</v>
      </c>
      <c r="G50" s="2395">
        <v>26.849739743365848</v>
      </c>
      <c r="H50" s="2395">
        <v>18.666230853284709</v>
      </c>
      <c r="I50" s="2395">
        <v>32.376634758030761</v>
      </c>
      <c r="J50" s="2395">
        <v>-12.911566066394856</v>
      </c>
      <c r="K50" s="2395">
        <v>-22.571446880290949</v>
      </c>
      <c r="L50" s="2395">
        <v>28.481896512822715</v>
      </c>
      <c r="M50" s="2395">
        <v>34.757507213004601</v>
      </c>
      <c r="N50" s="2396">
        <v>1.3316538157179589</v>
      </c>
      <c r="O50" s="2395">
        <v>3.9434413773056738</v>
      </c>
      <c r="P50" s="2395">
        <v>8.3600171833845582</v>
      </c>
      <c r="Q50" s="2395">
        <v>10.261510213564675</v>
      </c>
      <c r="R50" s="2395">
        <v>1.4205925878836843</v>
      </c>
      <c r="S50" s="2395">
        <v>-18.641023613019055</v>
      </c>
      <c r="T50" s="2395">
        <v>-11.429365469514114</v>
      </c>
      <c r="U50" s="2397">
        <v>43.79732216781742</v>
      </c>
      <c r="V50" s="2395">
        <v>-23.611136997495894</v>
      </c>
      <c r="W50" s="2395">
        <v>7.9497505267672466</v>
      </c>
      <c r="X50" s="2395">
        <v>3.2551428643859119</v>
      </c>
      <c r="Y50" s="2395">
        <v>15.777878684305696</v>
      </c>
      <c r="Z50" s="2395">
        <v>-0.51426443101072139</v>
      </c>
      <c r="AA50" s="2395">
        <v>7.5798947260596492</v>
      </c>
      <c r="AB50" s="2395">
        <v>-9.0419774974086593</v>
      </c>
      <c r="AC50" s="2395">
        <v>37.641892005409325</v>
      </c>
    </row>
    <row r="51" spans="3:29" x14ac:dyDescent="0.4">
      <c r="C51" s="3139"/>
      <c r="D51" s="2394" t="s">
        <v>5001</v>
      </c>
      <c r="E51" s="2395">
        <v>-7.5257569970865079</v>
      </c>
      <c r="F51" s="2395">
        <v>-1.0125715535757718</v>
      </c>
      <c r="G51" s="2395">
        <v>18.276118058984402</v>
      </c>
      <c r="H51" s="2395">
        <v>-11.789529132534605</v>
      </c>
      <c r="I51" s="2395">
        <v>20.408890023316474</v>
      </c>
      <c r="J51" s="2395">
        <v>-14.209030486743549</v>
      </c>
      <c r="K51" s="2395">
        <v>12.652440921024159</v>
      </c>
      <c r="L51" s="2395">
        <v>26.067357199168089</v>
      </c>
      <c r="M51" s="2395">
        <v>-3.9730756691331091</v>
      </c>
      <c r="N51" s="2396">
        <v>1.1062745766868769</v>
      </c>
      <c r="O51" s="2395">
        <v>11.259416892838313</v>
      </c>
      <c r="P51" s="2395">
        <v>6.4811518527054783</v>
      </c>
      <c r="Q51" s="2395">
        <v>10.363645364259783</v>
      </c>
      <c r="R51" s="2395">
        <v>3.7396736363000422</v>
      </c>
      <c r="S51" s="2395">
        <v>-20.492776276565834</v>
      </c>
      <c r="T51" s="2395">
        <v>-3.4837014490136986</v>
      </c>
      <c r="U51" s="2397">
        <v>2.6382666812711388</v>
      </c>
      <c r="V51" s="2395">
        <v>-48.035408070035793</v>
      </c>
      <c r="W51" s="2395">
        <v>2.4731615141880416</v>
      </c>
      <c r="X51" s="2395">
        <v>-38.611845122047356</v>
      </c>
      <c r="Y51" s="2395">
        <v>14.888881679015469</v>
      </c>
      <c r="Z51" s="2395">
        <v>-2.0462960635782004</v>
      </c>
      <c r="AA51" s="2395">
        <v>-3.8804768932694538</v>
      </c>
      <c r="AB51" s="2395">
        <v>-28.860719949454516</v>
      </c>
      <c r="AC51" s="2395">
        <v>-41.66519752873608</v>
      </c>
    </row>
    <row r="52" spans="3:29" x14ac:dyDescent="0.4">
      <c r="C52" s="3120">
        <v>2020</v>
      </c>
      <c r="D52" s="2384" t="s">
        <v>5002</v>
      </c>
      <c r="E52" s="996">
        <v>-10.898141350665684</v>
      </c>
      <c r="F52" s="996">
        <v>-22.295335506610567</v>
      </c>
      <c r="G52" s="996">
        <v>11.48589466048597</v>
      </c>
      <c r="H52" s="996">
        <v>-37.739802082921386</v>
      </c>
      <c r="I52" s="996">
        <v>32.243123910735385</v>
      </c>
      <c r="J52" s="996">
        <v>-10.814931022748143</v>
      </c>
      <c r="K52" s="996">
        <v>3.3746173772576262</v>
      </c>
      <c r="L52" s="996">
        <v>3.5237832100605826</v>
      </c>
      <c r="M52" s="996">
        <v>-11.318957238712992</v>
      </c>
      <c r="N52" s="996">
        <v>0.71042966153800446</v>
      </c>
      <c r="O52" s="996">
        <v>6.6028809850044503</v>
      </c>
      <c r="P52" s="996">
        <v>2.0037748109664961</v>
      </c>
      <c r="Q52" s="996">
        <v>4.6438896913665424</v>
      </c>
      <c r="R52" s="996">
        <v>5.0257522168787867</v>
      </c>
      <c r="S52" s="996">
        <v>-14.103633620255582</v>
      </c>
      <c r="T52" s="996">
        <v>-7.9491583838529261</v>
      </c>
      <c r="U52" s="996">
        <v>4.4845000693617489</v>
      </c>
      <c r="V52" s="996">
        <v>-33.025154492757061</v>
      </c>
      <c r="W52" s="996">
        <v>10.925182162734973</v>
      </c>
      <c r="X52" s="996">
        <v>-14.099868505936113</v>
      </c>
      <c r="Y52" s="996">
        <v>10.913564482523206</v>
      </c>
      <c r="Z52" s="996">
        <v>13.706526783930933</v>
      </c>
      <c r="AA52" s="996">
        <v>5.9237520727557182</v>
      </c>
      <c r="AB52" s="996">
        <v>-4.8081911425335271</v>
      </c>
      <c r="AC52" s="996">
        <v>-99.02595893005622</v>
      </c>
    </row>
    <row r="53" spans="3:29" ht="12.75" customHeight="1" x14ac:dyDescent="0.4">
      <c r="C53" s="3120"/>
      <c r="D53" s="2384" t="s">
        <v>5003</v>
      </c>
      <c r="E53" s="996">
        <v>-15.958848143913118</v>
      </c>
      <c r="F53" s="996">
        <v>37.727057044295883</v>
      </c>
      <c r="G53" s="996">
        <v>13.92296773827066</v>
      </c>
      <c r="H53" s="996">
        <v>24.23169811317219</v>
      </c>
      <c r="I53" s="996">
        <v>2.9339783731058158</v>
      </c>
      <c r="J53" s="996">
        <v>-16.942917396372444</v>
      </c>
      <c r="K53" s="996">
        <v>4.3994716347249998</v>
      </c>
      <c r="L53" s="996">
        <v>-2.1990315655233537</v>
      </c>
      <c r="M53" s="996">
        <v>65.803632367886351</v>
      </c>
      <c r="N53" s="996">
        <v>-2.5208465486599989</v>
      </c>
      <c r="O53" s="996">
        <v>-0.66776116471046565</v>
      </c>
      <c r="P53" s="996">
        <v>-0.73923676818778572</v>
      </c>
      <c r="Q53" s="996">
        <v>0.34731356493337118</v>
      </c>
      <c r="R53" s="996">
        <v>-0.97928435596897656</v>
      </c>
      <c r="S53" s="996">
        <v>-13.04728012873572</v>
      </c>
      <c r="T53" s="996">
        <v>-20.193301859588185</v>
      </c>
      <c r="U53" s="996">
        <v>-6.9700198066277972</v>
      </c>
      <c r="V53" s="996">
        <v>-33.539497074927638</v>
      </c>
      <c r="W53" s="996">
        <v>3.7365877888166117</v>
      </c>
      <c r="X53" s="996">
        <v>-14.219756696092755</v>
      </c>
      <c r="Y53" s="996">
        <v>-2.9327035145692975</v>
      </c>
      <c r="Z53" s="996">
        <v>-4.7215791386133921</v>
      </c>
      <c r="AA53" s="996">
        <v>-22.421341528954645</v>
      </c>
      <c r="AB53" s="996">
        <v>-13.516350597297514</v>
      </c>
      <c r="AC53" s="996">
        <v>-255.80991573245609</v>
      </c>
    </row>
    <row r="54" spans="3:29" x14ac:dyDescent="0.4">
      <c r="C54" s="3120"/>
      <c r="D54" s="2384" t="s">
        <v>5000</v>
      </c>
      <c r="E54" s="996">
        <v>-27.869235739327454</v>
      </c>
      <c r="F54" s="996">
        <v>-13.63934448701313</v>
      </c>
      <c r="G54" s="996">
        <v>8.929775365285316</v>
      </c>
      <c r="H54" s="996">
        <v>-12.774592070284662</v>
      </c>
      <c r="I54" s="996">
        <v>6.7630796847772654</v>
      </c>
      <c r="J54" s="996">
        <v>-44.525967163125138</v>
      </c>
      <c r="K54" s="996">
        <v>-28.798773770484942</v>
      </c>
      <c r="L54" s="996">
        <v>-5.0629462925642397</v>
      </c>
      <c r="M54" s="996">
        <v>-14.225087354936461</v>
      </c>
      <c r="N54" s="996">
        <v>-20.474729997532094</v>
      </c>
      <c r="O54" s="996">
        <v>-5.2564360104266639</v>
      </c>
      <c r="P54" s="996">
        <v>-11.679026689646303</v>
      </c>
      <c r="Q54" s="996">
        <v>1.1507583822044558</v>
      </c>
      <c r="R54" s="996">
        <v>4.7495004851885865</v>
      </c>
      <c r="S54" s="996">
        <v>-20.57728640610955</v>
      </c>
      <c r="T54" s="996">
        <v>-30.114333378983915</v>
      </c>
      <c r="U54" s="996">
        <v>-47.919654525574074</v>
      </c>
      <c r="V54" s="996">
        <v>-52.54032625619314</v>
      </c>
      <c r="W54" s="996">
        <v>8.3473767040128326</v>
      </c>
      <c r="X54" s="996">
        <v>-14.733539673817052</v>
      </c>
      <c r="Y54" s="996">
        <v>6.4951418798360194</v>
      </c>
      <c r="Z54" s="996">
        <v>0.26472163446885544</v>
      </c>
      <c r="AA54" s="996">
        <v>10.231042014954454</v>
      </c>
      <c r="AB54" s="996">
        <v>-17.803337483413209</v>
      </c>
      <c r="AC54" s="996">
        <v>-175.65186211217895</v>
      </c>
    </row>
    <row r="55" spans="3:29" x14ac:dyDescent="0.4">
      <c r="C55" s="3120"/>
      <c r="D55" s="2398" t="s">
        <v>5001</v>
      </c>
      <c r="E55" s="996">
        <v>-17.580480089037422</v>
      </c>
      <c r="F55" s="996">
        <v>5.2370752476579572</v>
      </c>
      <c r="G55" s="996">
        <v>9.6733191836037626</v>
      </c>
      <c r="H55" s="996">
        <v>-8.1012240323770346</v>
      </c>
      <c r="I55" s="996">
        <v>14.672555690199934</v>
      </c>
      <c r="J55" s="996">
        <v>-38.772759947840228</v>
      </c>
      <c r="K55" s="996">
        <v>8.5170999374910572</v>
      </c>
      <c r="L55" s="996">
        <v>-13.37877354894426</v>
      </c>
      <c r="M55" s="996">
        <v>-16.806289747525092</v>
      </c>
      <c r="N55" s="996">
        <v>-12.946581788405624</v>
      </c>
      <c r="O55" s="996">
        <v>8.0850094689451755</v>
      </c>
      <c r="P55" s="996">
        <v>-1.0329027030358413</v>
      </c>
      <c r="Q55" s="996">
        <v>4.8997271918697116</v>
      </c>
      <c r="R55" s="996">
        <v>3.0862456057587924</v>
      </c>
      <c r="S55" s="996">
        <v>-19.838369998431087</v>
      </c>
      <c r="T55" s="996">
        <v>-20.052801726767452</v>
      </c>
      <c r="U55" s="996">
        <v>12.225609925174819</v>
      </c>
      <c r="V55" s="996">
        <v>-11.208469228212657</v>
      </c>
      <c r="W55" s="996">
        <v>1.6440195504366004</v>
      </c>
      <c r="X55" s="996">
        <v>-9.9518909110720166</v>
      </c>
      <c r="Y55" s="996">
        <v>17.274301798775841</v>
      </c>
      <c r="Z55" s="996">
        <v>-4.5462697157553249</v>
      </c>
      <c r="AA55" s="996">
        <v>2.6003970023983065</v>
      </c>
      <c r="AB55" s="996">
        <v>-12.196540372465902</v>
      </c>
      <c r="AC55" s="996">
        <v>77.237657436775905</v>
      </c>
    </row>
    <row r="56" spans="3:29" x14ac:dyDescent="0.4">
      <c r="C56" s="3139">
        <v>2021</v>
      </c>
      <c r="D56" s="2394" t="s">
        <v>5002</v>
      </c>
      <c r="E56" s="2395">
        <v>-11.868310224706494</v>
      </c>
      <c r="F56" s="2395">
        <v>6.3267449392065718</v>
      </c>
      <c r="G56" s="2395">
        <v>-1.0500788002404928</v>
      </c>
      <c r="H56" s="2395">
        <v>9.6342384108718786</v>
      </c>
      <c r="I56" s="2395">
        <v>-1.3264146481437555</v>
      </c>
      <c r="J56" s="2395">
        <v>0.73131576833863365</v>
      </c>
      <c r="K56" s="2395">
        <v>-148.64588090399923</v>
      </c>
      <c r="L56" s="2395">
        <v>14.047234468359177</v>
      </c>
      <c r="M56" s="2395">
        <v>-5.550180783981407</v>
      </c>
      <c r="N56" s="2395">
        <v>-12.865102250123453</v>
      </c>
      <c r="O56" s="2395">
        <v>8.751612493778401</v>
      </c>
      <c r="P56" s="2395">
        <v>2.6188602157915728</v>
      </c>
      <c r="Q56" s="2395">
        <v>7.1490161928503273</v>
      </c>
      <c r="R56" s="2395">
        <v>-1.1551261022238739</v>
      </c>
      <c r="S56" s="2395">
        <v>-5.6801562421405611</v>
      </c>
      <c r="T56" s="2395">
        <v>-14.996951696341249</v>
      </c>
      <c r="U56" s="2395">
        <v>24.992154934379897</v>
      </c>
      <c r="V56" s="2395">
        <v>-9.145453435222004</v>
      </c>
      <c r="W56" s="2395">
        <v>8.772775374233202</v>
      </c>
      <c r="X56" s="2395">
        <v>8.7972757886077879</v>
      </c>
      <c r="Y56" s="2395">
        <v>21.448733501139198</v>
      </c>
      <c r="Z56" s="2395">
        <v>-3.3647877738786884</v>
      </c>
      <c r="AA56" s="2395">
        <v>4.1542063574570225</v>
      </c>
      <c r="AB56" s="2395">
        <v>1.83384775980974</v>
      </c>
      <c r="AC56" s="2395">
        <v>34.716781243591583</v>
      </c>
    </row>
    <row r="57" spans="3:29" x14ac:dyDescent="0.4">
      <c r="C57" s="3139"/>
      <c r="D57" s="2394" t="s">
        <v>5003</v>
      </c>
      <c r="E57" s="2395">
        <v>-12.990678675935428</v>
      </c>
      <c r="F57" s="2395">
        <v>41.036398218744907</v>
      </c>
      <c r="G57" s="2395">
        <v>13.069916893022151</v>
      </c>
      <c r="H57" s="2395">
        <v>29.042234788447306</v>
      </c>
      <c r="I57" s="2395">
        <v>22.885409433568704</v>
      </c>
      <c r="J57" s="2395">
        <v>3.6611013594332302</v>
      </c>
      <c r="K57" s="2395">
        <v>-39.039228652471827</v>
      </c>
      <c r="L57" s="2395">
        <v>24.345770959315846</v>
      </c>
      <c r="M57" s="2395">
        <v>45.850554641672467</v>
      </c>
      <c r="N57" s="2395">
        <v>-7.3717578074251682</v>
      </c>
      <c r="O57" s="2395">
        <v>7.2347097567792922</v>
      </c>
      <c r="P57" s="2395">
        <v>0.63778121635540952</v>
      </c>
      <c r="Q57" s="2395">
        <v>10.191781166695407</v>
      </c>
      <c r="R57" s="2395">
        <v>3.1884857176014352</v>
      </c>
      <c r="S57" s="2395">
        <v>3.9461751063465584</v>
      </c>
      <c r="T57" s="2395">
        <v>-16.48218223889522</v>
      </c>
      <c r="U57" s="2395">
        <v>40.396867032130238</v>
      </c>
      <c r="V57" s="2395">
        <v>-26.081895312051532</v>
      </c>
      <c r="W57" s="2395">
        <v>-46.268341957276327</v>
      </c>
      <c r="X57" s="2395">
        <v>-84.855012717512992</v>
      </c>
      <c r="Y57" s="2395">
        <v>9.9302332566886875</v>
      </c>
      <c r="Z57" s="2395">
        <v>-10.29378569640803</v>
      </c>
      <c r="AA57" s="2395">
        <v>-5.1967694558798048</v>
      </c>
      <c r="AB57" s="2395">
        <v>-56.773518346409901</v>
      </c>
      <c r="AC57" s="2395">
        <v>33.264548469473908</v>
      </c>
    </row>
    <row r="58" spans="3:29" x14ac:dyDescent="0.4">
      <c r="C58" s="3139"/>
      <c r="D58" s="2394" t="s">
        <v>5000</v>
      </c>
      <c r="E58" s="2395">
        <v>-14.400267127468535</v>
      </c>
      <c r="F58" s="2395">
        <v>27.036211280359339</v>
      </c>
      <c r="G58" s="2395">
        <v>-2.0934999946999659</v>
      </c>
      <c r="H58" s="2395">
        <v>13.35977741411506</v>
      </c>
      <c r="I58" s="2395">
        <v>38.558679590272938</v>
      </c>
      <c r="J58" s="2395">
        <v>-17.079181511598936</v>
      </c>
      <c r="K58" s="2395">
        <v>-39.474968885407961</v>
      </c>
      <c r="L58" s="2395">
        <v>10.027080215665176</v>
      </c>
      <c r="M58" s="2395">
        <v>-4.7545150891355874</v>
      </c>
      <c r="N58" s="2395">
        <v>-6.4495930112639377E-2</v>
      </c>
      <c r="O58" s="2395">
        <v>6.4238955123537904</v>
      </c>
      <c r="P58" s="2395">
        <v>3.346117928554825</v>
      </c>
      <c r="Q58" s="2395">
        <v>5.2837159112979304</v>
      </c>
      <c r="R58" s="2395">
        <v>2.1333213491423928</v>
      </c>
      <c r="S58" s="2395">
        <v>-8.5814640614579503</v>
      </c>
      <c r="T58" s="2395">
        <v>-8.9626055104770543</v>
      </c>
      <c r="U58" s="2395">
        <v>5.0032001239005393</v>
      </c>
      <c r="V58" s="2395">
        <v>-19.496024089553849</v>
      </c>
      <c r="W58" s="2395">
        <v>-26.996119521061964</v>
      </c>
      <c r="X58" s="2395">
        <v>-43.044742353558348</v>
      </c>
      <c r="Y58" s="2395">
        <v>2.6525082835952234</v>
      </c>
      <c r="Z58" s="2395">
        <v>-17.519513698407259</v>
      </c>
      <c r="AA58" s="2395">
        <v>-8.8032491113407225</v>
      </c>
      <c r="AB58" s="2395">
        <v>-43.604330907770731</v>
      </c>
      <c r="AC58" s="2395">
        <v>22.118685096214524</v>
      </c>
    </row>
    <row r="59" spans="3:29" x14ac:dyDescent="0.4">
      <c r="C59" s="3139"/>
      <c r="D59" s="2394" t="s">
        <v>5001</v>
      </c>
      <c r="E59" s="2395">
        <v>-14.544204066209501</v>
      </c>
      <c r="F59" s="2395">
        <v>-20.241106669135718</v>
      </c>
      <c r="G59" s="2395">
        <v>16.397775791888265</v>
      </c>
      <c r="H59" s="2395">
        <v>-34.434089244835256</v>
      </c>
      <c r="I59" s="2395">
        <v>24.393790617075421</v>
      </c>
      <c r="J59" s="2395">
        <v>-1.4522285423090118</v>
      </c>
      <c r="K59" s="2395">
        <v>-21.294301813550657</v>
      </c>
      <c r="L59" s="2395">
        <v>9.2386502236350001</v>
      </c>
      <c r="M59" s="2395">
        <v>6.0466029167366484</v>
      </c>
      <c r="N59" s="2395">
        <v>5.1462599312900421</v>
      </c>
      <c r="O59" s="2395">
        <v>-4.1140933153233874</v>
      </c>
      <c r="P59" s="2395">
        <v>2.2737614442607272</v>
      </c>
      <c r="Q59" s="2395">
        <v>1.8518647197024982</v>
      </c>
      <c r="R59" s="2395">
        <v>-0.57740966937891969</v>
      </c>
      <c r="S59" s="2395">
        <v>-13.507614292480131</v>
      </c>
      <c r="T59" s="2395">
        <v>-18.766391355671217</v>
      </c>
      <c r="U59" s="2395">
        <v>28.773908130146346</v>
      </c>
      <c r="V59" s="2395">
        <v>-72.920168432360143</v>
      </c>
      <c r="W59" s="2395">
        <v>5.0148065934400439</v>
      </c>
      <c r="X59" s="2395">
        <v>-31.304669991457885</v>
      </c>
      <c r="Y59" s="2395">
        <v>10.801465875093218</v>
      </c>
      <c r="Z59" s="2395">
        <v>-27.982691286603984</v>
      </c>
      <c r="AA59" s="2395">
        <v>-20.787857172410572</v>
      </c>
      <c r="AB59" s="2395">
        <v>-16.726896269355247</v>
      </c>
      <c r="AC59" s="2395">
        <v>-18.657908006640906</v>
      </c>
    </row>
    <row r="60" spans="3:29" x14ac:dyDescent="0.4">
      <c r="C60" s="3120">
        <v>2022</v>
      </c>
      <c r="D60" s="2384" t="s">
        <v>5002</v>
      </c>
      <c r="E60" s="996">
        <v>-30.110427548391876</v>
      </c>
      <c r="F60" s="996">
        <v>2.2367941438955854</v>
      </c>
      <c r="G60" s="996">
        <v>11.117031531878204</v>
      </c>
      <c r="H60" s="996">
        <v>-41.278541732313094</v>
      </c>
      <c r="I60" s="996">
        <v>37.48414503281905</v>
      </c>
      <c r="J60" s="996">
        <v>-11.163382176347399</v>
      </c>
      <c r="K60" s="996">
        <v>-1.4826751049148048</v>
      </c>
      <c r="L60" s="996">
        <v>1.6665356139817713</v>
      </c>
      <c r="M60" s="996">
        <v>11.490893696230104</v>
      </c>
      <c r="N60" s="996">
        <v>-1.0303104280445237</v>
      </c>
      <c r="O60" s="996">
        <v>-9.9603777193146943</v>
      </c>
      <c r="P60" s="996">
        <v>2.3889851669595532</v>
      </c>
      <c r="Q60" s="996">
        <v>2.1541084695842803</v>
      </c>
      <c r="R60" s="996">
        <v>-0.60023856324283298</v>
      </c>
      <c r="S60" s="996">
        <v>-22.025437910512963</v>
      </c>
      <c r="T60" s="996">
        <v>-23.7257324003977</v>
      </c>
      <c r="U60" s="996">
        <v>17.581690526647975</v>
      </c>
      <c r="V60" s="996">
        <v>-43.747982556982365</v>
      </c>
      <c r="W60" s="996">
        <v>-68.584901098973333</v>
      </c>
      <c r="X60" s="996">
        <v>-145.61220370503861</v>
      </c>
      <c r="Y60" s="996">
        <v>14.177020887836283</v>
      </c>
      <c r="Z60" s="996">
        <v>-5.9865080452528838</v>
      </c>
      <c r="AA60" s="996">
        <v>12.157741517614532</v>
      </c>
      <c r="AB60" s="996">
        <v>-76.444071108778502</v>
      </c>
      <c r="AC60" s="996">
        <v>21.204220440463022</v>
      </c>
    </row>
    <row r="61" spans="3:29" x14ac:dyDescent="0.4">
      <c r="C61" s="3120"/>
      <c r="D61" s="2384" t="s">
        <v>5003</v>
      </c>
      <c r="E61" s="996">
        <v>-12.563940448573904</v>
      </c>
      <c r="F61" s="996">
        <v>-37.602880874097558</v>
      </c>
      <c r="G61" s="996">
        <v>34.621122026153678</v>
      </c>
      <c r="H61" s="996">
        <v>-2.4036040130721776</v>
      </c>
      <c r="I61" s="996">
        <v>48.895912471076826</v>
      </c>
      <c r="J61" s="996">
        <v>-10.851715203346837</v>
      </c>
      <c r="K61" s="996">
        <v>10.615085079698144</v>
      </c>
      <c r="L61" s="996">
        <v>19.450766108883759</v>
      </c>
      <c r="M61" s="996">
        <v>45.524659598627423</v>
      </c>
      <c r="N61" s="996">
        <v>2.3020678498830525</v>
      </c>
      <c r="O61" s="996">
        <v>1.7685846970523649</v>
      </c>
      <c r="P61" s="996">
        <v>4.0715961264539562</v>
      </c>
      <c r="Q61" s="996">
        <v>7.3018400819119087</v>
      </c>
      <c r="R61" s="996">
        <v>-2.4548872061052931</v>
      </c>
      <c r="S61" s="996">
        <v>-7.0571890094489911</v>
      </c>
      <c r="T61" s="996">
        <v>-12.695229735500691</v>
      </c>
      <c r="U61" s="996">
        <v>-28.993151380887234</v>
      </c>
      <c r="V61" s="996">
        <v>-37.079170861628988</v>
      </c>
      <c r="W61" s="996">
        <v>-0.81534650862281366</v>
      </c>
      <c r="X61" s="996">
        <v>-41.549102018684884</v>
      </c>
      <c r="Y61" s="996">
        <v>19.614652420077153</v>
      </c>
      <c r="Z61" s="996">
        <v>-4.5364951360352386</v>
      </c>
      <c r="AA61" s="996">
        <v>-9.147076213108841</v>
      </c>
      <c r="AB61" s="996">
        <v>-18.060989843738732</v>
      </c>
      <c r="AC61" s="996">
        <v>39.788180152486625</v>
      </c>
    </row>
    <row r="62" spans="3:29" x14ac:dyDescent="0.4">
      <c r="C62" s="3120"/>
      <c r="D62" s="2384" t="s">
        <v>5000</v>
      </c>
      <c r="E62" s="996">
        <v>-7.1270397066021989</v>
      </c>
      <c r="F62" s="996">
        <v>-24.105105558641824</v>
      </c>
      <c r="G62" s="996">
        <v>9.9817749760804819</v>
      </c>
      <c r="H62" s="996">
        <v>-14.05253312552494</v>
      </c>
      <c r="I62" s="996">
        <v>41.160017436593691</v>
      </c>
      <c r="J62" s="996">
        <v>-14.795446917647681</v>
      </c>
      <c r="K62" s="996">
        <v>-53.965261185020964</v>
      </c>
      <c r="L62" s="996">
        <v>11.396267343920156</v>
      </c>
      <c r="M62" s="996">
        <v>-25.895875968406955</v>
      </c>
      <c r="N62" s="996">
        <v>16.67337908092988</v>
      </c>
      <c r="O62" s="996">
        <v>6.1390744672786557</v>
      </c>
      <c r="P62" s="996">
        <v>13.917620800460002</v>
      </c>
      <c r="Q62" s="996">
        <v>0.28976791578790462</v>
      </c>
      <c r="R62" s="996">
        <v>7.5284156240266089</v>
      </c>
      <c r="S62" s="996">
        <v>-14.311749605244012</v>
      </c>
      <c r="T62" s="996">
        <v>2.209625344521712</v>
      </c>
      <c r="U62" s="996">
        <v>-30.719787606831844</v>
      </c>
      <c r="V62" s="996">
        <v>-1.9339102384336844</v>
      </c>
      <c r="W62" s="996">
        <v>-4.1540784216441855</v>
      </c>
      <c r="X62" s="996">
        <v>-5.4943326828167622</v>
      </c>
      <c r="Y62" s="996">
        <v>1.9648493036591976</v>
      </c>
      <c r="Z62" s="996">
        <v>-18.228348414995825</v>
      </c>
      <c r="AA62" s="996">
        <v>-23.669351869512084</v>
      </c>
      <c r="AB62" s="996">
        <v>-14.589361638269951</v>
      </c>
      <c r="AC62" s="996">
        <v>73.852995988373422</v>
      </c>
    </row>
    <row r="63" spans="3:29" x14ac:dyDescent="0.4">
      <c r="C63" s="3120"/>
      <c r="D63" s="2398" t="s">
        <v>5001</v>
      </c>
      <c r="E63" s="996">
        <v>-5.7666846747667124</v>
      </c>
      <c r="F63" s="996">
        <v>-6.5020077540278036</v>
      </c>
      <c r="G63" s="996">
        <v>18.667941252791536</v>
      </c>
      <c r="H63" s="996">
        <v>-23.771773508770945</v>
      </c>
      <c r="I63" s="996">
        <v>49.01707851140366</v>
      </c>
      <c r="J63" s="996">
        <v>-9.1005509084867491</v>
      </c>
      <c r="K63" s="996">
        <v>13.713558065195885</v>
      </c>
      <c r="L63" s="996">
        <v>13.032754405840862</v>
      </c>
      <c r="M63" s="996">
        <v>18.992569623591848</v>
      </c>
      <c r="N63" s="996">
        <v>9.5032650845880564</v>
      </c>
      <c r="O63" s="996">
        <v>7.0648088932355178</v>
      </c>
      <c r="P63" s="996">
        <v>5.8078773981733987</v>
      </c>
      <c r="Q63" s="996">
        <v>1.38519232099933</v>
      </c>
      <c r="R63" s="996">
        <v>3.9904465322518545</v>
      </c>
      <c r="S63" s="996">
        <v>-10.575232173148883</v>
      </c>
      <c r="T63" s="996">
        <v>-3.6008476629021171</v>
      </c>
      <c r="U63" s="996">
        <v>-50.752022074661816</v>
      </c>
      <c r="V63" s="996">
        <v>-25.869251908808842</v>
      </c>
      <c r="W63" s="996">
        <v>5.7800005113417514</v>
      </c>
      <c r="X63" s="996">
        <v>-4.1994027065973754</v>
      </c>
      <c r="Y63" s="996">
        <v>9.9298715563165523</v>
      </c>
      <c r="Z63" s="996">
        <v>-4.1993761682357782</v>
      </c>
      <c r="AA63" s="996">
        <v>0.95087129979613616</v>
      </c>
      <c r="AB63" s="996">
        <v>-9.8081531648020519</v>
      </c>
      <c r="AC63" s="996">
        <v>-17.496592384255017</v>
      </c>
    </row>
    <row r="64" spans="3:29" x14ac:dyDescent="0.4">
      <c r="C64" s="3139">
        <v>2023</v>
      </c>
      <c r="D64" s="2394" t="s">
        <v>5002</v>
      </c>
      <c r="E64" s="2395">
        <v>-6.7933042192549742</v>
      </c>
      <c r="F64" s="2395">
        <v>6.3374005673506888</v>
      </c>
      <c r="G64" s="2395">
        <v>25.862272041677453</v>
      </c>
      <c r="H64" s="2395">
        <v>10.981436303410934</v>
      </c>
      <c r="I64" s="2395">
        <v>45.811795717437938</v>
      </c>
      <c r="J64" s="2395">
        <v>-2.6574766143425919</v>
      </c>
      <c r="K64" s="2395">
        <v>4.3689276135493484</v>
      </c>
      <c r="L64" s="2395">
        <v>21.255012606492048</v>
      </c>
      <c r="M64" s="2395">
        <v>48.809020232444276</v>
      </c>
      <c r="N64" s="2396">
        <v>-1.4143634557621019</v>
      </c>
      <c r="O64" s="2395">
        <v>6.8259197051801639</v>
      </c>
      <c r="P64" s="2395">
        <v>6.6936071280656968</v>
      </c>
      <c r="Q64" s="2395">
        <v>5.0833577178419675</v>
      </c>
      <c r="R64" s="2395">
        <v>1.2373002362733196</v>
      </c>
      <c r="S64" s="2395">
        <v>-2.0134432787867258</v>
      </c>
      <c r="T64" s="2395">
        <v>-6.0987704132943064</v>
      </c>
      <c r="U64" s="2397">
        <v>-14.061698617567883</v>
      </c>
      <c r="V64" s="2395">
        <v>5.8090348282824227</v>
      </c>
      <c r="W64" s="2395">
        <v>-13.429299474251479</v>
      </c>
      <c r="X64" s="2395">
        <v>-29.574315259439093</v>
      </c>
      <c r="Y64" s="2395">
        <v>16.571960351510871</v>
      </c>
      <c r="Z64" s="2395">
        <v>5.8419338333555819</v>
      </c>
      <c r="AA64" s="2395">
        <v>5.9313491538359671</v>
      </c>
      <c r="AB64" s="2395">
        <v>-11.252402600950015</v>
      </c>
      <c r="AC64" s="2395">
        <v>17.730701318433482</v>
      </c>
    </row>
    <row r="65" spans="3:29" x14ac:dyDescent="0.4">
      <c r="C65" s="3139"/>
      <c r="D65" s="2394" t="s">
        <v>5003</v>
      </c>
      <c r="E65" s="2395">
        <v>-4.9668915740132551</v>
      </c>
      <c r="F65" s="2395">
        <v>4.9886344148234132</v>
      </c>
      <c r="G65" s="2395">
        <v>21.196348555793474</v>
      </c>
      <c r="H65" s="2395">
        <v>-2.5076873925839855</v>
      </c>
      <c r="I65" s="2395">
        <v>34.016432267232716</v>
      </c>
      <c r="J65" s="2395">
        <v>-10.572206180229786</v>
      </c>
      <c r="K65" s="2395">
        <v>12.481050906501762</v>
      </c>
      <c r="L65" s="2395">
        <v>28.05973040154791</v>
      </c>
      <c r="M65" s="2395">
        <v>-1.0294470731128955</v>
      </c>
      <c r="N65" s="2396">
        <v>1.9371083606936161</v>
      </c>
      <c r="O65" s="2395">
        <v>4.1596383508222718</v>
      </c>
      <c r="P65" s="2395">
        <v>3.9062958250188733</v>
      </c>
      <c r="Q65" s="2395">
        <v>2.2057414705923031</v>
      </c>
      <c r="R65" s="2395">
        <v>4.3993889145845806</v>
      </c>
      <c r="S65" s="2395">
        <v>0.13407920991611585</v>
      </c>
      <c r="T65" s="2395">
        <v>-4.913690392511092</v>
      </c>
      <c r="U65" s="2397">
        <v>-24.271533592824888</v>
      </c>
      <c r="V65" s="2395">
        <v>5.7153459982186767</v>
      </c>
      <c r="W65" s="2395">
        <v>-0.72824124626218589</v>
      </c>
      <c r="X65" s="2395">
        <v>5.4803662762259702</v>
      </c>
      <c r="Y65" s="2395">
        <v>20.623185660336503</v>
      </c>
      <c r="Z65" s="2395">
        <v>-0.74709766373660114</v>
      </c>
      <c r="AA65" s="2395">
        <v>14.232625178282371</v>
      </c>
      <c r="AB65" s="2395">
        <v>-5.3909429486914808</v>
      </c>
      <c r="AC65" s="2395">
        <v>-134.58475847681294</v>
      </c>
    </row>
    <row r="66" spans="3:29" x14ac:dyDescent="0.4">
      <c r="C66" s="3139"/>
      <c r="D66" s="2394" t="s">
        <v>5000</v>
      </c>
      <c r="E66" s="2395">
        <v>-11.256666969527101</v>
      </c>
      <c r="F66" s="2395">
        <v>7.9773028599839684</v>
      </c>
      <c r="G66" s="2395">
        <v>10.14035263066593</v>
      </c>
      <c r="H66" s="2395">
        <v>-13.042985160782051</v>
      </c>
      <c r="I66" s="2395">
        <v>25.53741805172189</v>
      </c>
      <c r="J66" s="2395">
        <v>-13.795074834564314</v>
      </c>
      <c r="K66" s="2395">
        <v>-9.6337329516868611</v>
      </c>
      <c r="L66" s="2395">
        <v>14.363650586695192</v>
      </c>
      <c r="M66" s="2395">
        <v>-10.861174849520305</v>
      </c>
      <c r="N66" s="2396">
        <v>5.0624443350826525</v>
      </c>
      <c r="O66" s="2395">
        <v>-3.8446582173935111</v>
      </c>
      <c r="P66" s="2395">
        <v>2.6332593710284682</v>
      </c>
      <c r="Q66" s="2395">
        <v>1.9282717184309979</v>
      </c>
      <c r="R66" s="2395">
        <v>-3.4509470926499448</v>
      </c>
      <c r="S66" s="2395">
        <v>-2.4271850937911252</v>
      </c>
      <c r="T66" s="2395">
        <v>-10.876559479557242</v>
      </c>
      <c r="U66" s="2397">
        <v>-28.003767757370383</v>
      </c>
      <c r="V66" s="2395">
        <v>-35.406357177911154</v>
      </c>
      <c r="W66" s="2395">
        <v>10.874106868814469</v>
      </c>
      <c r="X66" s="2395">
        <v>-10.478011397865901</v>
      </c>
      <c r="Y66" s="2395">
        <v>15.098122886405108</v>
      </c>
      <c r="Z66" s="2395">
        <v>2.9636468876554329</v>
      </c>
      <c r="AA66" s="2395">
        <v>-24.180949847376372</v>
      </c>
      <c r="AB66" s="2395">
        <v>-0.80365662139944349</v>
      </c>
      <c r="AC66" s="2395">
        <v>32.759860623642787</v>
      </c>
    </row>
    <row r="67" spans="3:29" x14ac:dyDescent="0.4">
      <c r="C67" s="3139"/>
      <c r="D67" s="2394" t="s">
        <v>5001</v>
      </c>
      <c r="E67" s="2395">
        <v>-10.021099689986897</v>
      </c>
      <c r="F67" s="2395">
        <v>-9.0806978485810372</v>
      </c>
      <c r="G67" s="2395">
        <v>15.911840993201862</v>
      </c>
      <c r="H67" s="2395">
        <v>-7.2884697841568356</v>
      </c>
      <c r="I67" s="2395">
        <v>34.208001281716221</v>
      </c>
      <c r="J67" s="2395">
        <v>3.2516571559995233</v>
      </c>
      <c r="K67" s="2395">
        <v>-0.54771274112104673</v>
      </c>
      <c r="L67" s="2395">
        <v>9.4965731490361254</v>
      </c>
      <c r="M67" s="2395">
        <v>5.7611512281278978</v>
      </c>
      <c r="N67" s="2396">
        <v>-4.0573169695600013</v>
      </c>
      <c r="O67" s="2395">
        <v>2.9901785349541092</v>
      </c>
      <c r="P67" s="2395">
        <v>-7.2480072931729893</v>
      </c>
      <c r="Q67" s="2395">
        <v>6.5413281880687233</v>
      </c>
      <c r="R67" s="2395">
        <v>7.5973631287161796</v>
      </c>
      <c r="S67" s="2395">
        <v>0.18697378971209627</v>
      </c>
      <c r="T67" s="2395">
        <v>-8.6788316346392786</v>
      </c>
      <c r="U67" s="2397">
        <v>-10.867209739048775</v>
      </c>
      <c r="V67" s="2395">
        <v>-8.8912389888873626</v>
      </c>
      <c r="W67" s="2395">
        <v>9.5446465222497103</v>
      </c>
      <c r="X67" s="2395">
        <v>-19.376458908414474</v>
      </c>
      <c r="Y67" s="2395">
        <v>19.182352425198403</v>
      </c>
      <c r="Z67" s="2395">
        <v>-1.1821679911253082</v>
      </c>
      <c r="AA67" s="2395">
        <v>1.9957418821564834</v>
      </c>
      <c r="AB67" s="2395">
        <v>-5.25909094115997</v>
      </c>
      <c r="AC67" s="2395">
        <v>28.362409360187492</v>
      </c>
    </row>
    <row r="68" spans="3:29" x14ac:dyDescent="0.4">
      <c r="C68" s="3120">
        <v>2024</v>
      </c>
      <c r="D68" s="2384" t="s">
        <v>5002</v>
      </c>
      <c r="E68" s="996">
        <v>-10.283272466898801</v>
      </c>
      <c r="F68" s="996">
        <v>35.193306408297587</v>
      </c>
      <c r="G68" s="996">
        <v>12.13282540480253</v>
      </c>
      <c r="H68" s="996">
        <v>12.946593630033989</v>
      </c>
      <c r="I68" s="996">
        <v>29.142777406440835</v>
      </c>
      <c r="J68" s="996">
        <v>-34.891042711732702</v>
      </c>
      <c r="K68" s="996">
        <v>43.931310633456519</v>
      </c>
      <c r="L68" s="996">
        <v>8.6799307077171086</v>
      </c>
      <c r="M68" s="996">
        <v>14.559656356066963</v>
      </c>
      <c r="N68" s="996">
        <v>-5.6993151622030975</v>
      </c>
      <c r="O68" s="996">
        <v>1.8682404246844895</v>
      </c>
      <c r="P68" s="996">
        <v>-6.3975210812430321</v>
      </c>
      <c r="Q68" s="996">
        <v>1.5717946673530654</v>
      </c>
      <c r="R68" s="996">
        <v>4.1020333335065535</v>
      </c>
      <c r="S68" s="996">
        <v>-15.138687842268258</v>
      </c>
      <c r="T68" s="996">
        <v>-8.1977789650863322</v>
      </c>
      <c r="U68" s="996">
        <v>-39.848142610864343</v>
      </c>
      <c r="V68" s="996">
        <v>-2.4059104571050427</v>
      </c>
      <c r="W68" s="996">
        <v>21.67030919638896</v>
      </c>
      <c r="X68" s="996">
        <v>7.2908594790163246</v>
      </c>
      <c r="Y68" s="996">
        <v>24.024488638861431</v>
      </c>
      <c r="Z68" s="996">
        <v>-14.480543189120871</v>
      </c>
      <c r="AA68" s="996">
        <v>3.8060800870401508</v>
      </c>
      <c r="AB68" s="996">
        <v>15.412670654138113</v>
      </c>
      <c r="AC68" s="996">
        <v>40.500320485918948</v>
      </c>
    </row>
    <row r="69" spans="3:29" ht="17.45" customHeight="1" x14ac:dyDescent="0.4">
      <c r="C69" s="3120"/>
      <c r="D69" s="2384" t="s">
        <v>5003</v>
      </c>
      <c r="E69" s="996">
        <v>-6.5812176011094712</v>
      </c>
      <c r="F69" s="996">
        <v>11.118634845829954</v>
      </c>
      <c r="G69" s="996">
        <v>25.090951535407619</v>
      </c>
      <c r="H69" s="996">
        <v>-7.8430337367103977</v>
      </c>
      <c r="I69" s="996">
        <v>29.769131302958375</v>
      </c>
      <c r="J69" s="996">
        <v>-9.6379329582555862</v>
      </c>
      <c r="K69" s="996">
        <v>9.3149671212633578</v>
      </c>
      <c r="L69" s="996">
        <v>12.096800438759054</v>
      </c>
      <c r="M69" s="996">
        <v>43.161390604378454</v>
      </c>
      <c r="N69" s="996">
        <v>1.5565484442714432</v>
      </c>
      <c r="O69" s="996">
        <v>6.7748201834678889</v>
      </c>
      <c r="P69" s="996">
        <v>-1.1990784159665302</v>
      </c>
      <c r="Q69" s="996">
        <v>4.2930088788529455</v>
      </c>
      <c r="R69" s="996">
        <v>1.6209359305534385</v>
      </c>
      <c r="S69" s="996">
        <v>-1.0329383196879987</v>
      </c>
      <c r="T69" s="996">
        <v>-6.4868078995814633</v>
      </c>
      <c r="U69" s="996">
        <v>-11.344611058634026</v>
      </c>
      <c r="V69" s="996">
        <v>0.94288813836334096</v>
      </c>
      <c r="W69" s="996">
        <v>16.169053319296523</v>
      </c>
      <c r="X69" s="996">
        <v>-5.0169004943450339</v>
      </c>
      <c r="Y69" s="996">
        <v>19.825137511564812</v>
      </c>
      <c r="Z69" s="996">
        <v>-1.6354246803915753</v>
      </c>
      <c r="AA69" s="996">
        <v>4.2121865745259734</v>
      </c>
      <c r="AB69" s="996">
        <v>12.331459369239388</v>
      </c>
      <c r="AC69" s="996">
        <v>33.672277617698626</v>
      </c>
    </row>
    <row r="70" spans="3:29" x14ac:dyDescent="0.4">
      <c r="C70" s="3120"/>
      <c r="D70" s="2384" t="s">
        <v>5000</v>
      </c>
      <c r="E70" s="996">
        <v>-2.5609705302274333</v>
      </c>
      <c r="F70" s="996">
        <v>-5.0319107267841883</v>
      </c>
      <c r="G70" s="996">
        <v>47.749832951784811</v>
      </c>
      <c r="H70" s="996">
        <v>29.429243135215742</v>
      </c>
      <c r="I70" s="996">
        <v>40.870921776500474</v>
      </c>
      <c r="J70" s="996">
        <v>-0.76687804216766664</v>
      </c>
      <c r="K70" s="996">
        <v>-14.877909495435985</v>
      </c>
      <c r="L70" s="996">
        <v>45.458743402632948</v>
      </c>
      <c r="M70" s="996">
        <v>24.968023962621974</v>
      </c>
      <c r="N70" s="996">
        <v>4.3541730945236248</v>
      </c>
      <c r="O70" s="996">
        <v>3.2395623822060537</v>
      </c>
      <c r="P70" s="996">
        <v>4.2791603983132278</v>
      </c>
      <c r="Q70" s="996">
        <v>5.8430757097784483</v>
      </c>
      <c r="R70" s="996">
        <v>4.3025536739439243</v>
      </c>
      <c r="S70" s="996">
        <v>-3.0323321625621245</v>
      </c>
      <c r="T70" s="996">
        <v>-5.4558152405000309</v>
      </c>
      <c r="U70" s="996">
        <v>9.9413769146051898</v>
      </c>
      <c r="V70" s="996">
        <v>-31.751034546620694</v>
      </c>
      <c r="W70" s="996">
        <v>10.166138985286095</v>
      </c>
      <c r="X70" s="996">
        <v>-65.851025175070248</v>
      </c>
      <c r="Y70" s="996">
        <v>14.928585429669031</v>
      </c>
      <c r="Z70" s="996">
        <v>-1.6012462852178813</v>
      </c>
      <c r="AA70" s="996">
        <v>4.1224710589704507</v>
      </c>
      <c r="AB70" s="996">
        <v>-4.660691851677897</v>
      </c>
      <c r="AC70" s="996">
        <v>8.9376169606703506</v>
      </c>
    </row>
    <row r="71" spans="3:29" x14ac:dyDescent="0.4">
      <c r="C71" s="3120"/>
      <c r="D71" s="2398" t="s">
        <v>5001</v>
      </c>
      <c r="E71" s="996">
        <v>-5.0130318535011167</v>
      </c>
      <c r="F71" s="996">
        <v>-21.505456774607463</v>
      </c>
      <c r="G71" s="996">
        <v>49.58122095218679</v>
      </c>
      <c r="H71" s="996">
        <v>41.199107104359058</v>
      </c>
      <c r="I71" s="996">
        <v>18.513919779011051</v>
      </c>
      <c r="J71" s="996">
        <v>21.379434248683339</v>
      </c>
      <c r="K71" s="996">
        <v>41.086380573550713</v>
      </c>
      <c r="L71" s="996">
        <v>44.726106921264673</v>
      </c>
      <c r="M71" s="996">
        <v>-25.997231555482237</v>
      </c>
      <c r="N71" s="996">
        <v>-2.6625047548804539</v>
      </c>
      <c r="O71" s="996">
        <v>4.2512382699550688</v>
      </c>
      <c r="P71" s="996">
        <v>-0.97497290903597544</v>
      </c>
      <c r="Q71" s="996">
        <v>6.1697053249676577</v>
      </c>
      <c r="R71" s="996">
        <v>7.2779604214462514</v>
      </c>
      <c r="S71" s="996">
        <v>-14.905967618204397</v>
      </c>
      <c r="T71" s="996">
        <v>-4.6953170338454422</v>
      </c>
      <c r="U71" s="996">
        <v>-22.051464486580088</v>
      </c>
      <c r="V71" s="996">
        <v>18.867682443439964</v>
      </c>
      <c r="W71" s="996">
        <v>6.2204484329187846</v>
      </c>
      <c r="X71" s="996">
        <v>9.8546864766096984</v>
      </c>
      <c r="Y71" s="996">
        <v>13.535450442709054</v>
      </c>
      <c r="Z71" s="996">
        <v>0.67784371472666427</v>
      </c>
      <c r="AA71" s="996">
        <v>-2.7705681058990237</v>
      </c>
      <c r="AB71" s="996">
        <v>7.1909655113474562</v>
      </c>
      <c r="AC71" s="996">
        <v>30.038200060348391</v>
      </c>
    </row>
    <row r="72" spans="3:29" x14ac:dyDescent="0.4">
      <c r="C72" s="548" t="s">
        <v>5082</v>
      </c>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row>
    <row r="73" spans="3:29" x14ac:dyDescent="0.4">
      <c r="C73" s="2638" t="s">
        <v>5083</v>
      </c>
      <c r="D73" s="2638"/>
      <c r="E73" s="2638"/>
      <c r="F73" s="2638"/>
      <c r="G73" s="2638"/>
      <c r="H73" s="2638"/>
      <c r="I73" s="2638"/>
      <c r="J73" s="2638"/>
      <c r="K73" s="2638"/>
      <c r="L73" s="2638"/>
      <c r="M73" s="2638"/>
      <c r="N73" s="5"/>
      <c r="O73" s="5"/>
      <c r="P73" s="5"/>
      <c r="Q73" s="5"/>
      <c r="R73" s="5"/>
      <c r="S73" s="5"/>
      <c r="T73" s="5"/>
      <c r="U73" s="5"/>
      <c r="V73" s="5"/>
      <c r="W73" s="5"/>
      <c r="X73" s="5"/>
      <c r="Y73" s="5"/>
      <c r="Z73" s="5"/>
      <c r="AA73" s="5"/>
      <c r="AB73" s="5"/>
      <c r="AC73" s="5"/>
    </row>
    <row r="74" spans="3:29" x14ac:dyDescent="0.4">
      <c r="C74" s="3138" t="s">
        <v>8157</v>
      </c>
      <c r="D74" s="3138"/>
      <c r="E74" s="3138"/>
      <c r="F74" s="3138"/>
      <c r="G74" s="3138"/>
      <c r="H74" s="3138"/>
      <c r="I74" s="3138"/>
      <c r="J74" s="3138"/>
      <c r="K74" s="5"/>
      <c r="L74" s="5"/>
      <c r="M74" s="5"/>
      <c r="N74" s="5"/>
      <c r="O74" s="5"/>
      <c r="P74" s="5"/>
      <c r="Q74" s="5"/>
      <c r="R74" s="5"/>
      <c r="S74" s="5"/>
      <c r="T74" s="5"/>
      <c r="U74" s="5"/>
      <c r="V74" s="5"/>
      <c r="W74" s="5"/>
      <c r="X74" s="5"/>
      <c r="Y74" s="5"/>
      <c r="Z74" s="5"/>
      <c r="AA74" s="5"/>
      <c r="AB74" s="5"/>
      <c r="AC74" s="5"/>
    </row>
  </sheetData>
  <mergeCells count="44">
    <mergeCell ref="A5:B5"/>
    <mergeCell ref="C5:AA5"/>
    <mergeCell ref="C1:D1"/>
    <mergeCell ref="A3:B3"/>
    <mergeCell ref="C3:AA3"/>
    <mergeCell ref="A4:B4"/>
    <mergeCell ref="C4:AA4"/>
    <mergeCell ref="A6:B6"/>
    <mergeCell ref="C6:AA6"/>
    <mergeCell ref="A9:A11"/>
    <mergeCell ref="C9:AC9"/>
    <mergeCell ref="C10:C13"/>
    <mergeCell ref="D10:D13"/>
    <mergeCell ref="E10:E13"/>
    <mergeCell ref="F10:AC10"/>
    <mergeCell ref="F11:M11"/>
    <mergeCell ref="N11:U11"/>
    <mergeCell ref="C32:C35"/>
    <mergeCell ref="V11:AC11"/>
    <mergeCell ref="F12:G12"/>
    <mergeCell ref="H12:J12"/>
    <mergeCell ref="K12:M12"/>
    <mergeCell ref="N12:O12"/>
    <mergeCell ref="P12:R12"/>
    <mergeCell ref="S12:U12"/>
    <mergeCell ref="V12:W12"/>
    <mergeCell ref="X12:Z12"/>
    <mergeCell ref="AA12:AC12"/>
    <mergeCell ref="C14:C15"/>
    <mergeCell ref="C16:C19"/>
    <mergeCell ref="C20:C23"/>
    <mergeCell ref="C24:C27"/>
    <mergeCell ref="C28:C31"/>
    <mergeCell ref="C73:M73"/>
    <mergeCell ref="C74:J74"/>
    <mergeCell ref="C60:C63"/>
    <mergeCell ref="C64:C67"/>
    <mergeCell ref="C36:C39"/>
    <mergeCell ref="C40:C43"/>
    <mergeCell ref="C44:C47"/>
    <mergeCell ref="C48:C51"/>
    <mergeCell ref="C52:C55"/>
    <mergeCell ref="C56:C59"/>
    <mergeCell ref="C68:C71"/>
  </mergeCells>
  <conditionalFormatting sqref="B34:B37">
    <cfRule type="cellIs" dxfId="161" priority="154" operator="lessThan">
      <formula>-80</formula>
    </cfRule>
  </conditionalFormatting>
  <conditionalFormatting sqref="B34:B37">
    <cfRule type="cellIs" dxfId="160" priority="153" operator="lessThan">
      <formula>-100</formula>
    </cfRule>
  </conditionalFormatting>
  <conditionalFormatting sqref="AC60:AC63">
    <cfRule type="cellIs" dxfId="159" priority="32" operator="lessThan">
      <formula>-80</formula>
    </cfRule>
  </conditionalFormatting>
  <conditionalFormatting sqref="AC60:AC63">
    <cfRule type="cellIs" dxfId="158" priority="31" operator="lessThan">
      <formula>-100</formula>
    </cfRule>
  </conditionalFormatting>
  <conditionalFormatting sqref="D63">
    <cfRule type="cellIs" dxfId="157" priority="24" operator="lessThan">
      <formula>-80</formula>
    </cfRule>
  </conditionalFormatting>
  <conditionalFormatting sqref="D63">
    <cfRule type="cellIs" dxfId="156" priority="23" operator="lessThan">
      <formula>-100</formula>
    </cfRule>
  </conditionalFormatting>
  <conditionalFormatting sqref="E64:E67">
    <cfRule type="cellIs" dxfId="155" priority="20" operator="lessThan">
      <formula>-80</formula>
    </cfRule>
  </conditionalFormatting>
  <conditionalFormatting sqref="E64:E67">
    <cfRule type="cellIs" dxfId="154" priority="19" operator="lessThan">
      <formula>-100</formula>
    </cfRule>
  </conditionalFormatting>
  <conditionalFormatting sqref="F64:AC67">
    <cfRule type="cellIs" dxfId="153" priority="18" operator="lessThan">
      <formula>-80</formula>
    </cfRule>
  </conditionalFormatting>
  <conditionalFormatting sqref="F64:AC67">
    <cfRule type="cellIs" dxfId="152" priority="17" operator="lessThan">
      <formula>-100</formula>
    </cfRule>
  </conditionalFormatting>
  <conditionalFormatting sqref="E60:E63">
    <cfRule type="cellIs" dxfId="151" priority="34" operator="lessThan">
      <formula>-80</formula>
    </cfRule>
  </conditionalFormatting>
  <conditionalFormatting sqref="E60:E63">
    <cfRule type="cellIs" dxfId="150" priority="33" operator="lessThan">
      <formula>-100</formula>
    </cfRule>
  </conditionalFormatting>
  <conditionalFormatting sqref="E59:J59">
    <cfRule type="cellIs" dxfId="149" priority="40" operator="lessThan">
      <formula>-80</formula>
    </cfRule>
  </conditionalFormatting>
  <conditionalFormatting sqref="E59:J59">
    <cfRule type="cellIs" dxfId="148" priority="39" operator="lessThan">
      <formula>-100</formula>
    </cfRule>
  </conditionalFormatting>
  <conditionalFormatting sqref="E59">
    <cfRule type="cellIs" dxfId="147" priority="38" operator="lessThan">
      <formula>-80</formula>
    </cfRule>
  </conditionalFormatting>
  <conditionalFormatting sqref="E59">
    <cfRule type="cellIs" dxfId="146" priority="37" operator="lessThan">
      <formula>-100</formula>
    </cfRule>
  </conditionalFormatting>
  <conditionalFormatting sqref="V60:AB63 E60:T63">
    <cfRule type="cellIs" dxfId="145" priority="36" operator="lessThan">
      <formula>-80</formula>
    </cfRule>
  </conditionalFormatting>
  <conditionalFormatting sqref="V60:AB63 E60:T63">
    <cfRule type="cellIs" dxfId="144" priority="35" operator="lessThan">
      <formula>-100</formula>
    </cfRule>
  </conditionalFormatting>
  <conditionalFormatting sqref="E51">
    <cfRule type="cellIs" dxfId="143" priority="56" operator="lessThan">
      <formula>-80</formula>
    </cfRule>
  </conditionalFormatting>
  <conditionalFormatting sqref="E51">
    <cfRule type="cellIs" dxfId="142" priority="55" operator="lessThan">
      <formula>-100</formula>
    </cfRule>
  </conditionalFormatting>
  <conditionalFormatting sqref="D55">
    <cfRule type="cellIs" dxfId="141" priority="54" operator="lessThan">
      <formula>-80</formula>
    </cfRule>
  </conditionalFormatting>
  <conditionalFormatting sqref="D55">
    <cfRule type="cellIs" dxfId="140" priority="53" operator="lessThan">
      <formula>-100</formula>
    </cfRule>
  </conditionalFormatting>
  <conditionalFormatting sqref="D55">
    <cfRule type="cellIs" dxfId="139" priority="52" operator="lessThan">
      <formula>-80</formula>
    </cfRule>
  </conditionalFormatting>
  <conditionalFormatting sqref="D55">
    <cfRule type="cellIs" dxfId="138" priority="51" operator="lessThan">
      <formula>-100</formula>
    </cfRule>
  </conditionalFormatting>
  <conditionalFormatting sqref="E56:T58 V56:AB58">
    <cfRule type="cellIs" dxfId="137" priority="50" operator="lessThan">
      <formula>-80</formula>
    </cfRule>
  </conditionalFormatting>
  <conditionalFormatting sqref="E56:T58 V56:AB58">
    <cfRule type="cellIs" dxfId="136" priority="49" operator="lessThan">
      <formula>-100</formula>
    </cfRule>
  </conditionalFormatting>
  <conditionalFormatting sqref="E56:E58">
    <cfRule type="cellIs" dxfId="135" priority="48" operator="lessThan">
      <formula>-80</formula>
    </cfRule>
  </conditionalFormatting>
  <conditionalFormatting sqref="E56:E58">
    <cfRule type="cellIs" dxfId="134" priority="47" operator="lessThan">
      <formula>-100</formula>
    </cfRule>
  </conditionalFormatting>
  <conditionalFormatting sqref="AC56:AC58">
    <cfRule type="cellIs" dxfId="133" priority="46" operator="lessThan">
      <formula>-80</formula>
    </cfRule>
  </conditionalFormatting>
  <conditionalFormatting sqref="AC56:AC58">
    <cfRule type="cellIs" dxfId="132" priority="45" operator="lessThan">
      <formula>-100</formula>
    </cfRule>
  </conditionalFormatting>
  <conditionalFormatting sqref="N56:N58 AC56:AC58">
    <cfRule type="cellIs" dxfId="131" priority="44" operator="lessThan">
      <formula>-80</formula>
    </cfRule>
  </conditionalFormatting>
  <conditionalFormatting sqref="N56:N58 AC56:AC58">
    <cfRule type="cellIs" dxfId="130" priority="43" operator="lessThan">
      <formula>-100</formula>
    </cfRule>
  </conditionalFormatting>
  <conditionalFormatting sqref="U56:U58">
    <cfRule type="cellIs" dxfId="129" priority="42" operator="lessThan">
      <formula>-80</formula>
    </cfRule>
  </conditionalFormatting>
  <conditionalFormatting sqref="U56:U58">
    <cfRule type="cellIs" dxfId="128" priority="41" operator="lessThan">
      <formula>-100</formula>
    </cfRule>
  </conditionalFormatting>
  <conditionalFormatting sqref="AC60:AC63 N60:N63">
    <cfRule type="cellIs" dxfId="127" priority="30" operator="lessThan">
      <formula>-80</formula>
    </cfRule>
  </conditionalFormatting>
  <conditionalFormatting sqref="AC60:AC63 N60:N63">
    <cfRule type="cellIs" dxfId="126" priority="29" operator="lessThan">
      <formula>-100</formula>
    </cfRule>
  </conditionalFormatting>
  <conditionalFormatting sqref="U60:U62">
    <cfRule type="cellIs" dxfId="125" priority="28" operator="lessThan">
      <formula>-80</formula>
    </cfRule>
  </conditionalFormatting>
  <conditionalFormatting sqref="U60:U62">
    <cfRule type="cellIs" dxfId="124" priority="27" operator="lessThan">
      <formula>-100</formula>
    </cfRule>
  </conditionalFormatting>
  <conditionalFormatting sqref="U63">
    <cfRule type="cellIs" dxfId="123" priority="26" operator="lessThan">
      <formula>-80</formula>
    </cfRule>
  </conditionalFormatting>
  <conditionalFormatting sqref="U63">
    <cfRule type="cellIs" dxfId="122" priority="25" operator="lessThan">
      <formula>-100</formula>
    </cfRule>
  </conditionalFormatting>
  <conditionalFormatting sqref="D63">
    <cfRule type="cellIs" dxfId="121" priority="22" operator="lessThan">
      <formula>-80</formula>
    </cfRule>
  </conditionalFormatting>
  <conditionalFormatting sqref="D63">
    <cfRule type="cellIs" dxfId="120" priority="21" operator="lessThan">
      <formula>-100</formula>
    </cfRule>
  </conditionalFormatting>
  <conditionalFormatting sqref="E44">
    <cfRule type="cellIs" dxfId="119" priority="72" operator="lessThan">
      <formula>-80</formula>
    </cfRule>
  </conditionalFormatting>
  <conditionalFormatting sqref="E44">
    <cfRule type="cellIs" dxfId="118" priority="71" operator="lessThan">
      <formula>-100</formula>
    </cfRule>
  </conditionalFormatting>
  <conditionalFormatting sqref="E45:E47">
    <cfRule type="cellIs" dxfId="117" priority="70" operator="lessThan">
      <formula>-80</formula>
    </cfRule>
  </conditionalFormatting>
  <conditionalFormatting sqref="E45:E47">
    <cfRule type="cellIs" dxfId="116" priority="69" operator="lessThan">
      <formula>-100</formula>
    </cfRule>
  </conditionalFormatting>
  <conditionalFormatting sqref="E48:E50 E52:E55">
    <cfRule type="cellIs" dxfId="115" priority="68" operator="lessThan">
      <formula>-80</formula>
    </cfRule>
  </conditionalFormatting>
  <conditionalFormatting sqref="E48:E50 E52:E55">
    <cfRule type="cellIs" dxfId="114" priority="67" operator="lessThan">
      <formula>-100</formula>
    </cfRule>
  </conditionalFormatting>
  <conditionalFormatting sqref="AC48:AC50 AC52:AC55">
    <cfRule type="cellIs" dxfId="113" priority="66" operator="lessThan">
      <formula>-80</formula>
    </cfRule>
  </conditionalFormatting>
  <conditionalFormatting sqref="AC48:AC50 AC52:AC55">
    <cfRule type="cellIs" dxfId="112" priority="65" operator="lessThan">
      <formula>-100</formula>
    </cfRule>
  </conditionalFormatting>
  <conditionalFormatting sqref="N48:N50 AC48:AC50 AC52:AC55 N52:N55">
    <cfRule type="cellIs" dxfId="111" priority="64" operator="lessThan">
      <formula>-80</formula>
    </cfRule>
  </conditionalFormatting>
  <conditionalFormatting sqref="N48:N50 AC48:AC50 AC52:AC55 N52:N55">
    <cfRule type="cellIs" dxfId="110" priority="63" operator="lessThan">
      <formula>-100</formula>
    </cfRule>
  </conditionalFormatting>
  <conditionalFormatting sqref="U48:U50 U52:U54">
    <cfRule type="cellIs" dxfId="109" priority="62" operator="lessThan">
      <formula>-80</formula>
    </cfRule>
  </conditionalFormatting>
  <conditionalFormatting sqref="U48:U50 U52:U54">
    <cfRule type="cellIs" dxfId="108" priority="61" operator="lessThan">
      <formula>-100</formula>
    </cfRule>
  </conditionalFormatting>
  <conditionalFormatting sqref="U55">
    <cfRule type="cellIs" dxfId="107" priority="60" operator="lessThan">
      <formula>-80</formula>
    </cfRule>
  </conditionalFormatting>
  <conditionalFormatting sqref="U55">
    <cfRule type="cellIs" dxfId="106" priority="59" operator="lessThan">
      <formula>-100</formula>
    </cfRule>
  </conditionalFormatting>
  <conditionalFormatting sqref="E51:J51">
    <cfRule type="cellIs" dxfId="105" priority="58" operator="lessThan">
      <formula>-80</formula>
    </cfRule>
  </conditionalFormatting>
  <conditionalFormatting sqref="E51:J51">
    <cfRule type="cellIs" dxfId="104" priority="57" operator="lessThan">
      <formula>-100</formula>
    </cfRule>
  </conditionalFormatting>
  <conditionalFormatting sqref="V68:AB71 E68:T71">
    <cfRule type="cellIs" dxfId="103" priority="16" operator="lessThan">
      <formula>-80</formula>
    </cfRule>
  </conditionalFormatting>
  <conditionalFormatting sqref="V68:AB71 E68:T71">
    <cfRule type="cellIs" dxfId="102" priority="15" operator="lessThan">
      <formula>-100</formula>
    </cfRule>
  </conditionalFormatting>
  <conditionalFormatting sqref="E68:E71">
    <cfRule type="cellIs" dxfId="101" priority="14" operator="lessThan">
      <formula>-80</formula>
    </cfRule>
  </conditionalFormatting>
  <conditionalFormatting sqref="E68:E71">
    <cfRule type="cellIs" dxfId="100" priority="13" operator="lessThan">
      <formula>-100</formula>
    </cfRule>
  </conditionalFormatting>
  <conditionalFormatting sqref="AC68:AC71">
    <cfRule type="cellIs" dxfId="99" priority="12" operator="lessThan">
      <formula>-80</formula>
    </cfRule>
  </conditionalFormatting>
  <conditionalFormatting sqref="AC68:AC71">
    <cfRule type="cellIs" dxfId="98" priority="11" operator="lessThan">
      <formula>-100</formula>
    </cfRule>
  </conditionalFormatting>
  <conditionalFormatting sqref="AC68:AC71 N68:N71">
    <cfRule type="cellIs" dxfId="97" priority="10" operator="lessThan">
      <formula>-80</formula>
    </cfRule>
  </conditionalFormatting>
  <conditionalFormatting sqref="AC68:AC71 N68:N71">
    <cfRule type="cellIs" dxfId="96" priority="9" operator="lessThan">
      <formula>-100</formula>
    </cfRule>
  </conditionalFormatting>
  <conditionalFormatting sqref="U68:U70">
    <cfRule type="cellIs" dxfId="95" priority="8" operator="lessThan">
      <formula>-80</formula>
    </cfRule>
  </conditionalFormatting>
  <conditionalFormatting sqref="U68:U70">
    <cfRule type="cellIs" dxfId="94" priority="7" operator="lessThan">
      <formula>-100</formula>
    </cfRule>
  </conditionalFormatting>
  <conditionalFormatting sqref="U71">
    <cfRule type="cellIs" dxfId="93" priority="6" operator="lessThan">
      <formula>-80</formula>
    </cfRule>
  </conditionalFormatting>
  <conditionalFormatting sqref="U71">
    <cfRule type="cellIs" dxfId="92" priority="5" operator="lessThan">
      <formula>-100</formula>
    </cfRule>
  </conditionalFormatting>
  <conditionalFormatting sqref="D71">
    <cfRule type="cellIs" dxfId="91" priority="4" operator="lessThan">
      <formula>-80</formula>
    </cfRule>
  </conditionalFormatting>
  <conditionalFormatting sqref="D71">
    <cfRule type="cellIs" dxfId="90" priority="3" operator="lessThan">
      <formula>-100</formula>
    </cfRule>
  </conditionalFormatting>
  <conditionalFormatting sqref="D71">
    <cfRule type="cellIs" dxfId="89" priority="2" operator="lessThan">
      <formula>-80</formula>
    </cfRule>
  </conditionalFormatting>
  <conditionalFormatting sqref="D71">
    <cfRule type="cellIs" dxfId="88" priority="1" operator="lessThan">
      <formula>-100</formula>
    </cfRule>
  </conditionalFormatting>
  <conditionalFormatting sqref="E48:T50 V48:AB50 E14:J47 V52:AB55 E52:T55">
    <cfRule type="cellIs" dxfId="87" priority="80" operator="lessThan">
      <formula>-80</formula>
    </cfRule>
  </conditionalFormatting>
  <conditionalFormatting sqref="E48:T50 V48:AB50 E14:J47 V52:AB55 E52:T55">
    <cfRule type="cellIs" dxfId="86" priority="79" operator="lessThan">
      <formula>-100</formula>
    </cfRule>
  </conditionalFormatting>
  <conditionalFormatting sqref="E14:E19">
    <cfRule type="cellIs" dxfId="85" priority="78" operator="lessThan">
      <formula>-80</formula>
    </cfRule>
  </conditionalFormatting>
  <conditionalFormatting sqref="E14:E19">
    <cfRule type="cellIs" dxfId="84" priority="77" operator="lessThan">
      <formula>-100</formula>
    </cfRule>
  </conditionalFormatting>
  <conditionalFormatting sqref="E20:E39">
    <cfRule type="cellIs" dxfId="83" priority="76" operator="lessThan">
      <formula>-80</formula>
    </cfRule>
  </conditionalFormatting>
  <conditionalFormatting sqref="E20:E39">
    <cfRule type="cellIs" dxfId="82" priority="75" operator="lessThan">
      <formula>-100</formula>
    </cfRule>
  </conditionalFormatting>
  <conditionalFormatting sqref="E40:E43">
    <cfRule type="cellIs" dxfId="81" priority="74" operator="lessThan">
      <formula>-80</formula>
    </cfRule>
  </conditionalFormatting>
  <conditionalFormatting sqref="E40:E43">
    <cfRule type="cellIs" dxfId="80" priority="73" operator="lessThan">
      <formula>-100</formula>
    </cfRule>
  </conditionalFormatting>
  <hyperlinks>
    <hyperlink ref="A1" location="'ODS 8.'!A1" display="REGRESAR" xr:uid="{40CA5139-5C2C-4E63-A77D-DCDA78481061}"/>
    <hyperlink ref="C1" location="'Metadato 8.5.1.a'!A1" display="VER METADATO" xr:uid="{A53FECCE-5F77-4EC8-8EB4-B3751BFC26D7}"/>
    <hyperlink ref="A9:A11" location="'8.5.1.b'!A1" display="Ver 8.5.1.b." xr:uid="{53951029-B901-47B5-91F2-FA976C691923}"/>
  </hyperlink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6AD6-C2DB-43A1-A63B-E44C1806928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6.7109375" style="243" customWidth="1"/>
    <col min="2" max="2" width="26.42578125" style="243" customWidth="1"/>
    <col min="3" max="3" width="24" style="243" customWidth="1"/>
    <col min="4" max="4" width="115.5703125" style="243" customWidth="1"/>
    <col min="5" max="5" width="11.7109375" style="243" customWidth="1"/>
    <col min="6" max="6" width="7.28515625" style="243" customWidth="1"/>
    <col min="7" max="7" width="13.28515625" style="243" customWidth="1"/>
    <col min="8" max="9" width="11.7109375" style="243" customWidth="1"/>
    <col min="10" max="10" width="2" style="243" customWidth="1"/>
    <col min="11" max="13" width="11.7109375" style="243" customWidth="1"/>
    <col min="14"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x14ac:dyDescent="0.25">
      <c r="A4" s="1079"/>
      <c r="B4" s="2445" t="s">
        <v>234</v>
      </c>
      <c r="C4" s="2445"/>
      <c r="D4" s="49" t="s">
        <v>4975</v>
      </c>
    </row>
    <row r="5" spans="1:6" ht="48" customHeight="1" x14ac:dyDescent="0.25">
      <c r="B5" s="2445" t="s">
        <v>79</v>
      </c>
      <c r="C5" s="2445"/>
      <c r="D5" s="49" t="s">
        <v>4927</v>
      </c>
    </row>
    <row r="6" spans="1:6" x14ac:dyDescent="0.25">
      <c r="B6" s="3152" t="s">
        <v>80</v>
      </c>
      <c r="C6" s="3152"/>
      <c r="D6" s="50" t="s">
        <v>4928</v>
      </c>
    </row>
    <row r="7" spans="1:6" x14ac:dyDescent="0.25">
      <c r="B7" s="3153" t="s">
        <v>81</v>
      </c>
      <c r="C7" s="3154"/>
      <c r="D7" s="1473" t="s">
        <v>4929</v>
      </c>
    </row>
    <row r="8" spans="1:6" x14ac:dyDescent="0.25">
      <c r="B8" s="3151" t="s">
        <v>82</v>
      </c>
      <c r="C8" s="3151"/>
      <c r="D8" s="1047" t="s">
        <v>5084</v>
      </c>
    </row>
    <row r="9" spans="1:6" x14ac:dyDescent="0.4">
      <c r="B9" s="115"/>
      <c r="C9" s="115"/>
      <c r="D9" s="115"/>
    </row>
    <row r="10" spans="1:6" ht="23.25" customHeight="1" x14ac:dyDescent="0.25">
      <c r="B10" s="3119" t="s">
        <v>85</v>
      </c>
      <c r="C10" s="3119"/>
      <c r="D10" s="3119"/>
    </row>
    <row r="11" spans="1:6" x14ac:dyDescent="0.25">
      <c r="B11" s="2487" t="s">
        <v>86</v>
      </c>
      <c r="C11" s="2456"/>
      <c r="D11" s="49" t="s">
        <v>167</v>
      </c>
    </row>
    <row r="12" spans="1:6" ht="37.5" x14ac:dyDescent="0.25">
      <c r="B12" s="2446" t="s">
        <v>88</v>
      </c>
      <c r="C12" s="2446"/>
      <c r="D12" s="184" t="s">
        <v>5085</v>
      </c>
    </row>
    <row r="13" spans="1:6" x14ac:dyDescent="0.25">
      <c r="B13" s="2445" t="s">
        <v>90</v>
      </c>
      <c r="C13" s="2445"/>
      <c r="D13" s="54" t="s">
        <v>5086</v>
      </c>
    </row>
    <row r="14" spans="1:6" x14ac:dyDescent="0.25">
      <c r="B14" s="2445" t="s">
        <v>91</v>
      </c>
      <c r="C14" s="2456"/>
      <c r="D14" s="54" t="s">
        <v>214</v>
      </c>
    </row>
    <row r="15" spans="1:6" ht="79.900000000000006" customHeight="1" x14ac:dyDescent="0.25">
      <c r="B15" s="2445" t="s">
        <v>93</v>
      </c>
      <c r="C15" s="2445"/>
      <c r="D15" s="49" t="s">
        <v>5087</v>
      </c>
    </row>
    <row r="16" spans="1:6" ht="73.5" customHeight="1" x14ac:dyDescent="0.25">
      <c r="B16" s="2445" t="s">
        <v>95</v>
      </c>
      <c r="C16" s="2445"/>
      <c r="D16" s="55"/>
    </row>
    <row r="17" spans="2:4" x14ac:dyDescent="0.25">
      <c r="B17" s="2445" t="s">
        <v>97</v>
      </c>
      <c r="C17" s="2445"/>
      <c r="D17" s="55" t="s">
        <v>98</v>
      </c>
    </row>
    <row r="18" spans="2:4" x14ac:dyDescent="0.25">
      <c r="B18" s="2446" t="s">
        <v>99</v>
      </c>
      <c r="C18" s="2446"/>
      <c r="D18" s="49"/>
    </row>
    <row r="19" spans="2:4" ht="37.5" x14ac:dyDescent="0.25">
      <c r="B19" s="2457" t="s">
        <v>100</v>
      </c>
      <c r="C19" s="2458"/>
      <c r="D19" s="55" t="s">
        <v>5088</v>
      </c>
    </row>
    <row r="20" spans="2:4" x14ac:dyDescent="0.25">
      <c r="B20" s="2445" t="s">
        <v>102</v>
      </c>
      <c r="C20" s="2445"/>
      <c r="D20" s="49" t="s">
        <v>140</v>
      </c>
    </row>
    <row r="21" spans="2:4" x14ac:dyDescent="0.25">
      <c r="B21" s="2451" t="s">
        <v>104</v>
      </c>
      <c r="C21" s="95" t="s">
        <v>105</v>
      </c>
      <c r="D21" s="55" t="s">
        <v>140</v>
      </c>
    </row>
    <row r="22" spans="2:4" x14ac:dyDescent="0.25">
      <c r="B22" s="2452"/>
      <c r="C22" s="96" t="s">
        <v>107</v>
      </c>
      <c r="D22" s="55" t="s">
        <v>5089</v>
      </c>
    </row>
    <row r="23" spans="2:4" x14ac:dyDescent="0.25">
      <c r="B23" s="2445" t="s">
        <v>109</v>
      </c>
      <c r="C23" s="2445"/>
      <c r="D23" s="55" t="s">
        <v>612</v>
      </c>
    </row>
    <row r="24" spans="2:4" x14ac:dyDescent="0.25">
      <c r="B24" s="2445" t="s">
        <v>111</v>
      </c>
      <c r="C24" s="2445"/>
      <c r="D24" s="50" t="s">
        <v>5090</v>
      </c>
    </row>
    <row r="25" spans="2:4" x14ac:dyDescent="0.25">
      <c r="B25" s="2445" t="s">
        <v>113</v>
      </c>
      <c r="C25" s="2445"/>
      <c r="D25" s="55" t="s">
        <v>5025</v>
      </c>
    </row>
    <row r="26" spans="2:4" ht="15" customHeight="1" x14ac:dyDescent="0.25">
      <c r="B26" s="2446" t="s">
        <v>115</v>
      </c>
      <c r="C26" s="2446"/>
      <c r="D26" s="50" t="s">
        <v>614</v>
      </c>
    </row>
    <row r="27" spans="2:4" x14ac:dyDescent="0.25">
      <c r="B27" s="2447" t="s">
        <v>117</v>
      </c>
      <c r="C27" s="2448"/>
      <c r="D27" s="55" t="s">
        <v>5091</v>
      </c>
    </row>
    <row r="28" spans="2:4" ht="243.75" x14ac:dyDescent="0.25">
      <c r="B28" s="97" t="s">
        <v>118</v>
      </c>
      <c r="C28" s="98"/>
      <c r="D28" s="55" t="s">
        <v>5092</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DE718D8-DC54-4BBD-A013-FB222E5C8156}">
      <formula1>Tipo_operación</formula1>
    </dataValidation>
    <dataValidation type="list" allowBlank="1" showInputMessage="1" showErrorMessage="1" sqref="D14" xr:uid="{3E9C744D-0D92-4B39-B492-3E28B223CF9C}">
      <formula1>Tipo_indicador</formula1>
    </dataValidation>
    <dataValidation type="list" allowBlank="1" showInputMessage="1" showErrorMessage="1" sqref="D7" xr:uid="{6589053B-864E-4EB5-9FA1-F8EF4249A939}">
      <formula1>Nombre_indicador_ODS</formula1>
    </dataValidation>
    <dataValidation type="list" allowBlank="1" showInputMessage="1" showErrorMessage="1" sqref="D6" xr:uid="{F348EA99-1CE8-48AA-A5EE-E8B855E8F36E}">
      <formula1>Numero_indicador</formula1>
    </dataValidation>
    <dataValidation type="list" allowBlank="1" showInputMessage="1" showErrorMessage="1" sqref="D5" xr:uid="{858532C2-C17B-4650-97C1-05EC7FEABCA9}">
      <formula1>Metas_ODS</formula1>
    </dataValidation>
    <dataValidation type="list" allowBlank="1" showInputMessage="1" showErrorMessage="1" sqref="D4" xr:uid="{321F348B-FFB2-40A3-B13A-461B049A3DAA}">
      <formula1>ODS</formula1>
    </dataValidation>
    <dataValidation allowBlank="1" showDropDown="1" showInputMessage="1" showErrorMessage="1" sqref="D13" xr:uid="{D82CE4C5-A410-4C5B-9DE7-EC828C305411}"/>
  </dataValidations>
  <hyperlinks>
    <hyperlink ref="B1" location="'8.5.1.a'!A1" display="REGRESAR" xr:uid="{4EB36260-0B90-4C5D-B0CF-D51862113FCA}"/>
    <hyperlink ref="D8" r:id="rId1" xr:uid="{1820BDA6-DC27-471F-BBBA-D5A7A3A936D5}"/>
    <hyperlink ref="D36" r:id="rId2" display="braulio.villegas@inec.go.cr" xr:uid="{5BDF6DCD-C652-4C91-8FBD-77E23E865F04}"/>
  </hyperlinks>
  <pageMargins left="0.7" right="0.7" top="0.75" bottom="0.75" header="0.3" footer="0.3"/>
  <pageSetup orientation="portrait" r:id="rId3"/>
  <drawing r:id="rId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8C78-F35A-4489-9E2D-2DC754FD5B19}">
  <dimension ref="A1:AC75"/>
  <sheetViews>
    <sheetView showGridLines="0" workbookViewId="0">
      <pane ySplit="1" topLeftCell="A2" activePane="bottomLeft" state="frozen"/>
      <selection sqref="A1:B1"/>
      <selection pane="bottomLeft"/>
    </sheetView>
  </sheetViews>
  <sheetFormatPr baseColWidth="10" defaultColWidth="11.42578125" defaultRowHeight="19.5" x14ac:dyDescent="0.4"/>
  <cols>
    <col min="1" max="2" width="16.42578125" style="1032" customWidth="1"/>
    <col min="3" max="3" width="8.5703125" style="1032" customWidth="1"/>
    <col min="4" max="4" width="10.42578125" style="1032" customWidth="1"/>
    <col min="5" max="5" width="9.7109375" style="1032" customWidth="1"/>
    <col min="6" max="6" width="10.28515625" style="1032" customWidth="1"/>
    <col min="7" max="7" width="7.7109375" style="1032" customWidth="1"/>
    <col min="8" max="8" width="10.28515625" style="1032" customWidth="1"/>
    <col min="9" max="9" width="13.28515625" style="1032" customWidth="1"/>
    <col min="10" max="11" width="11.7109375" style="1032" customWidth="1"/>
    <col min="12" max="12" width="7.42578125" style="1032" customWidth="1"/>
    <col min="13" max="15" width="11.7109375" style="1032" customWidth="1"/>
    <col min="16" max="16384" width="11.42578125" style="1032"/>
  </cols>
  <sheetData>
    <row r="1" spans="1:29" x14ac:dyDescent="0.4">
      <c r="A1" s="15" t="s">
        <v>39</v>
      </c>
      <c r="C1" s="2421" t="s">
        <v>149</v>
      </c>
      <c r="D1" s="2421"/>
    </row>
    <row r="3" spans="1:29" x14ac:dyDescent="0.4">
      <c r="A3" s="3117" t="s">
        <v>41</v>
      </c>
      <c r="B3" s="3117"/>
      <c r="C3" s="3117" t="s">
        <v>4957</v>
      </c>
      <c r="D3" s="3117"/>
      <c r="E3" s="3117"/>
      <c r="F3" s="3117"/>
      <c r="G3" s="3117"/>
      <c r="H3" s="3117"/>
      <c r="I3" s="3117"/>
      <c r="J3" s="3117"/>
      <c r="K3" s="3117"/>
      <c r="L3" s="3117"/>
      <c r="M3" s="3117"/>
      <c r="N3" s="3117"/>
      <c r="O3" s="3117"/>
      <c r="P3" s="3117"/>
      <c r="Q3" s="3117"/>
      <c r="R3" s="3117"/>
      <c r="S3" s="3117"/>
    </row>
    <row r="4" spans="1:29" ht="15.75" customHeight="1" x14ac:dyDescent="0.4">
      <c r="A4" s="3117" t="s">
        <v>42</v>
      </c>
      <c r="B4" s="3117"/>
      <c r="C4" s="3117" t="s">
        <v>4927</v>
      </c>
      <c r="D4" s="3117"/>
      <c r="E4" s="3117"/>
      <c r="F4" s="3117"/>
      <c r="G4" s="3117"/>
      <c r="H4" s="3117"/>
      <c r="I4" s="3117"/>
      <c r="J4" s="3117"/>
      <c r="K4" s="3117"/>
      <c r="L4" s="3117"/>
      <c r="M4" s="3117"/>
      <c r="N4" s="3117"/>
      <c r="O4" s="3117"/>
      <c r="P4" s="3117"/>
      <c r="Q4" s="3117"/>
      <c r="R4" s="3117"/>
      <c r="S4" s="3117"/>
    </row>
    <row r="5" spans="1:29" x14ac:dyDescent="0.4">
      <c r="A5" s="3117" t="s">
        <v>43</v>
      </c>
      <c r="B5" s="3117"/>
      <c r="C5" s="3117" t="s">
        <v>4929</v>
      </c>
      <c r="D5" s="3117"/>
      <c r="E5" s="3117"/>
      <c r="F5" s="3117"/>
      <c r="G5" s="3117"/>
      <c r="H5" s="3117"/>
      <c r="I5" s="3117"/>
      <c r="J5" s="3117"/>
      <c r="K5" s="3117"/>
      <c r="L5" s="3117"/>
      <c r="M5" s="3117"/>
      <c r="N5" s="3117"/>
      <c r="O5" s="3117"/>
      <c r="P5" s="3117"/>
      <c r="Q5" s="3117"/>
      <c r="R5" s="3117"/>
      <c r="S5" s="3117"/>
    </row>
    <row r="6" spans="1:29" x14ac:dyDescent="0.4">
      <c r="A6" s="3117" t="s">
        <v>132</v>
      </c>
      <c r="B6" s="3117"/>
      <c r="C6" s="3117" t="s">
        <v>5093</v>
      </c>
      <c r="D6" s="3117"/>
      <c r="E6" s="3117"/>
      <c r="F6" s="3117"/>
      <c r="G6" s="3117"/>
      <c r="H6" s="3117"/>
      <c r="I6" s="3117"/>
      <c r="J6" s="3117"/>
      <c r="K6" s="3117"/>
      <c r="L6" s="3117"/>
      <c r="M6" s="3117"/>
      <c r="N6" s="3117"/>
      <c r="O6" s="3117"/>
      <c r="P6" s="3117"/>
      <c r="Q6" s="3117"/>
      <c r="R6" s="3117"/>
      <c r="S6" s="3117"/>
    </row>
    <row r="9" spans="1:29" x14ac:dyDescent="0.4">
      <c r="C9" s="1474" t="s">
        <v>5093</v>
      </c>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row>
    <row r="10" spans="1:29" ht="11.45" customHeight="1" x14ac:dyDescent="0.4">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row>
    <row r="11" spans="1:29" ht="12.75" customHeight="1" x14ac:dyDescent="0.4">
      <c r="C11" s="3127" t="s">
        <v>46</v>
      </c>
      <c r="D11" s="3127" t="s">
        <v>4990</v>
      </c>
      <c r="E11" s="3147" t="s">
        <v>5094</v>
      </c>
      <c r="F11" s="3142" t="s">
        <v>5068</v>
      </c>
      <c r="G11" s="3142"/>
      <c r="H11" s="3142"/>
      <c r="I11" s="3142"/>
      <c r="J11" s="3142"/>
      <c r="K11" s="3142"/>
      <c r="L11" s="3142"/>
      <c r="M11" s="3142"/>
      <c r="N11" s="3142"/>
      <c r="O11" s="3142"/>
      <c r="P11" s="3142"/>
      <c r="Q11" s="3142"/>
      <c r="R11" s="3142"/>
      <c r="S11" s="3142"/>
      <c r="T11" s="3142"/>
      <c r="U11" s="3142"/>
      <c r="V11" s="3142"/>
      <c r="W11" s="3142"/>
      <c r="X11" s="3142"/>
      <c r="Y11" s="3142"/>
      <c r="Z11" s="3142"/>
      <c r="AA11" s="3142"/>
      <c r="AB11" s="3142"/>
      <c r="AC11" s="3142"/>
    </row>
    <row r="12" spans="1:29" x14ac:dyDescent="0.4">
      <c r="C12" s="3128"/>
      <c r="D12" s="3128"/>
      <c r="E12" s="3148"/>
      <c r="F12" s="3142" t="s">
        <v>5069</v>
      </c>
      <c r="G12" s="3142"/>
      <c r="H12" s="3142"/>
      <c r="I12" s="3142"/>
      <c r="J12" s="3142"/>
      <c r="K12" s="3142"/>
      <c r="L12" s="3142"/>
      <c r="M12" s="3142"/>
      <c r="N12" s="3143" t="s">
        <v>5070</v>
      </c>
      <c r="O12" s="3142"/>
      <c r="P12" s="3142"/>
      <c r="Q12" s="3142"/>
      <c r="R12" s="3142"/>
      <c r="S12" s="3142"/>
      <c r="T12" s="3142"/>
      <c r="U12" s="3157"/>
      <c r="V12" s="3143" t="s">
        <v>5071</v>
      </c>
      <c r="W12" s="3142"/>
      <c r="X12" s="3142"/>
      <c r="Y12" s="3142"/>
      <c r="Z12" s="3142"/>
      <c r="AA12" s="3142"/>
      <c r="AB12" s="3142"/>
      <c r="AC12" s="3142"/>
    </row>
    <row r="13" spans="1:29" x14ac:dyDescent="0.4">
      <c r="C13" s="3128"/>
      <c r="D13" s="3128"/>
      <c r="E13" s="3148"/>
      <c r="F13" s="3142" t="s">
        <v>5072</v>
      </c>
      <c r="G13" s="3142"/>
      <c r="H13" s="3142" t="s">
        <v>5073</v>
      </c>
      <c r="I13" s="3142"/>
      <c r="J13" s="3142"/>
      <c r="K13" s="3142" t="s">
        <v>963</v>
      </c>
      <c r="L13" s="3142"/>
      <c r="M13" s="3142"/>
      <c r="N13" s="3143" t="s">
        <v>5072</v>
      </c>
      <c r="O13" s="3142"/>
      <c r="P13" s="3142" t="s">
        <v>5073</v>
      </c>
      <c r="Q13" s="3142"/>
      <c r="R13" s="3142"/>
      <c r="S13" s="3142" t="s">
        <v>963</v>
      </c>
      <c r="T13" s="3142"/>
      <c r="U13" s="3157"/>
      <c r="V13" s="3143" t="s">
        <v>5072</v>
      </c>
      <c r="W13" s="3142"/>
      <c r="X13" s="3142" t="s">
        <v>5073</v>
      </c>
      <c r="Y13" s="3142"/>
      <c r="Z13" s="3142"/>
      <c r="AA13" s="3142" t="s">
        <v>963</v>
      </c>
      <c r="AB13" s="3142"/>
      <c r="AC13" s="3142"/>
    </row>
    <row r="14" spans="1:29" ht="56.25" x14ac:dyDescent="0.4">
      <c r="C14" s="3129"/>
      <c r="D14" s="3129"/>
      <c r="E14" s="3149"/>
      <c r="F14" s="1468" t="s">
        <v>5074</v>
      </c>
      <c r="G14" s="1468" t="s">
        <v>5075</v>
      </c>
      <c r="H14" s="1468" t="s">
        <v>5076</v>
      </c>
      <c r="I14" s="1468" t="s">
        <v>5077</v>
      </c>
      <c r="J14" s="1468" t="s">
        <v>5078</v>
      </c>
      <c r="K14" s="1468" t="s">
        <v>5079</v>
      </c>
      <c r="L14" s="1468" t="s">
        <v>5080</v>
      </c>
      <c r="M14" s="1456" t="s">
        <v>5081</v>
      </c>
      <c r="N14" s="1469" t="s">
        <v>5074</v>
      </c>
      <c r="O14" s="1468" t="s">
        <v>5075</v>
      </c>
      <c r="P14" s="1468" t="s">
        <v>5076</v>
      </c>
      <c r="Q14" s="1468" t="s">
        <v>5077</v>
      </c>
      <c r="R14" s="1468" t="s">
        <v>5078</v>
      </c>
      <c r="S14" s="1468" t="s">
        <v>5079</v>
      </c>
      <c r="T14" s="1468" t="s">
        <v>5080</v>
      </c>
      <c r="U14" s="1470" t="s">
        <v>5081</v>
      </c>
      <c r="V14" s="1468" t="s">
        <v>5074</v>
      </c>
      <c r="W14" s="1468" t="s">
        <v>5075</v>
      </c>
      <c r="X14" s="1468" t="s">
        <v>5076</v>
      </c>
      <c r="Y14" s="1468" t="s">
        <v>5077</v>
      </c>
      <c r="Z14" s="1468" t="s">
        <v>5078</v>
      </c>
      <c r="AA14" s="1468" t="s">
        <v>5079</v>
      </c>
      <c r="AB14" s="1468" t="s">
        <v>5080</v>
      </c>
      <c r="AC14" s="1456" t="s">
        <v>5081</v>
      </c>
    </row>
    <row r="15" spans="1:29" x14ac:dyDescent="0.4">
      <c r="C15" s="2752">
        <v>2010</v>
      </c>
      <c r="D15" s="2384" t="s">
        <v>5000</v>
      </c>
      <c r="E15" s="2389">
        <v>114.15701591364198</v>
      </c>
      <c r="F15" s="2389">
        <v>138.53747053206504</v>
      </c>
      <c r="G15" s="2389">
        <v>84.240891876152062</v>
      </c>
      <c r="H15" s="2389">
        <v>86.253328852265355</v>
      </c>
      <c r="I15" s="2389">
        <v>88.621344982708223</v>
      </c>
      <c r="J15" s="2389">
        <v>94.529431722214156</v>
      </c>
      <c r="K15" s="2389">
        <v>85.968432811175319</v>
      </c>
      <c r="L15" s="2389">
        <v>100.12205370471894</v>
      </c>
      <c r="M15" s="2389">
        <v>93.343722863370033</v>
      </c>
      <c r="N15" s="2390">
        <v>105.47273965801216</v>
      </c>
      <c r="O15" s="2389">
        <v>94.509083863030213</v>
      </c>
      <c r="P15" s="2389">
        <v>93.470971075694337</v>
      </c>
      <c r="Q15" s="2389">
        <v>92.470465418532385</v>
      </c>
      <c r="R15" s="2389">
        <v>110.31755219664426</v>
      </c>
      <c r="S15" s="2389">
        <v>94.565590012563845</v>
      </c>
      <c r="T15" s="2389">
        <v>109.29758984682894</v>
      </c>
      <c r="U15" s="2391">
        <v>96.546919365837425</v>
      </c>
      <c r="V15" s="2389">
        <v>116.26336965818192</v>
      </c>
      <c r="W15" s="2389">
        <v>94.431179425449315</v>
      </c>
      <c r="X15" s="2389">
        <v>81.120762761717685</v>
      </c>
      <c r="Y15" s="2389">
        <v>110.62219622177008</v>
      </c>
      <c r="Z15" s="2389">
        <v>99.917580341258017</v>
      </c>
      <c r="AA15" s="2389">
        <v>92.293327687031336</v>
      </c>
      <c r="AB15" s="2389">
        <v>99.445507855147795</v>
      </c>
      <c r="AC15" s="2389">
        <v>138.59605824898966</v>
      </c>
    </row>
    <row r="16" spans="1:29" x14ac:dyDescent="0.4">
      <c r="C16" s="2752"/>
      <c r="D16" s="2384" t="s">
        <v>5001</v>
      </c>
      <c r="E16" s="996">
        <v>120.73004533782441</v>
      </c>
      <c r="F16" s="996">
        <v>124.36021430529196</v>
      </c>
      <c r="G16" s="996">
        <v>121.30252794340701</v>
      </c>
      <c r="H16" s="996">
        <v>110.8426035233324</v>
      </c>
      <c r="I16" s="996">
        <v>119.93992015034505</v>
      </c>
      <c r="J16" s="996">
        <v>109.01774050202151</v>
      </c>
      <c r="K16" s="996">
        <v>214.45124724735908</v>
      </c>
      <c r="L16" s="996">
        <v>120.15012149173738</v>
      </c>
      <c r="M16" s="996">
        <v>97.483722025207626</v>
      </c>
      <c r="N16" s="2392">
        <v>97.401981019128939</v>
      </c>
      <c r="O16" s="996">
        <v>99.238346022226551</v>
      </c>
      <c r="P16" s="996">
        <v>99.799621170527544</v>
      </c>
      <c r="Q16" s="996">
        <v>88.967347918579847</v>
      </c>
      <c r="R16" s="996">
        <v>107.79886215287814</v>
      </c>
      <c r="S16" s="996">
        <v>104.43323627312265</v>
      </c>
      <c r="T16" s="996">
        <v>107.50987003003578</v>
      </c>
      <c r="U16" s="2393">
        <v>57.324166070880189</v>
      </c>
      <c r="V16" s="996">
        <v>125.88564766705792</v>
      </c>
      <c r="W16" s="996">
        <v>97.712727440472975</v>
      </c>
      <c r="X16" s="996">
        <v>111.00958799229174</v>
      </c>
      <c r="Y16" s="996">
        <v>79.068655432944652</v>
      </c>
      <c r="Z16" s="996">
        <v>103.55830904695212</v>
      </c>
      <c r="AA16" s="996">
        <v>95.81641618452376</v>
      </c>
      <c r="AB16" s="996">
        <v>106.76264083904718</v>
      </c>
      <c r="AC16" s="996">
        <v>23.695635238103414</v>
      </c>
    </row>
    <row r="17" spans="3:29" x14ac:dyDescent="0.4">
      <c r="C17" s="3140">
        <v>2011</v>
      </c>
      <c r="D17" s="2394" t="s">
        <v>5002</v>
      </c>
      <c r="E17" s="2395">
        <v>116.46192302808677</v>
      </c>
      <c r="F17" s="2395">
        <v>113.09195598787494</v>
      </c>
      <c r="G17" s="2395">
        <v>81.504176119374051</v>
      </c>
      <c r="H17" s="2395">
        <v>85.241331317207909</v>
      </c>
      <c r="I17" s="2395">
        <v>112.82805043921857</v>
      </c>
      <c r="J17" s="2395">
        <v>111.70576137510038</v>
      </c>
      <c r="K17" s="2395">
        <v>96.465488602463282</v>
      </c>
      <c r="L17" s="2395">
        <v>108.00605646614672</v>
      </c>
      <c r="M17" s="2395">
        <v>58.152764655311742</v>
      </c>
      <c r="N17" s="2396">
        <v>105.74125086588937</v>
      </c>
      <c r="O17" s="2395">
        <v>105.97341874609396</v>
      </c>
      <c r="P17" s="2395">
        <v>98.772032475931965</v>
      </c>
      <c r="Q17" s="2395">
        <v>116.46841043793378</v>
      </c>
      <c r="R17" s="2395">
        <v>98.307467466017542</v>
      </c>
      <c r="S17" s="2395">
        <v>108.85043999657861</v>
      </c>
      <c r="T17" s="2395">
        <v>113.25956956295495</v>
      </c>
      <c r="U17" s="2397">
        <v>114.95099286764503</v>
      </c>
      <c r="V17" s="2395">
        <v>74.730802465484331</v>
      </c>
      <c r="W17" s="2395">
        <v>91.810872540554982</v>
      </c>
      <c r="X17" s="2395">
        <v>73.883823627449672</v>
      </c>
      <c r="Y17" s="2395">
        <v>78.981106380086061</v>
      </c>
      <c r="Z17" s="2395">
        <v>94.725504544427451</v>
      </c>
      <c r="AA17" s="2395">
        <v>110.78167091130493</v>
      </c>
      <c r="AB17" s="2395">
        <v>88.692783923215828</v>
      </c>
      <c r="AC17" s="2395">
        <v>40.176148356389739</v>
      </c>
    </row>
    <row r="18" spans="3:29" x14ac:dyDescent="0.4">
      <c r="C18" s="3140"/>
      <c r="D18" s="2394" t="s">
        <v>5003</v>
      </c>
      <c r="E18" s="2395">
        <v>111.07587676266095</v>
      </c>
      <c r="F18" s="2395">
        <v>97.211885781054534</v>
      </c>
      <c r="G18" s="2395">
        <v>83.72213388776818</v>
      </c>
      <c r="H18" s="2395">
        <v>66.627069797043717</v>
      </c>
      <c r="I18" s="2395">
        <v>101.65336448428364</v>
      </c>
      <c r="J18" s="2395">
        <v>107.74591888192772</v>
      </c>
      <c r="K18" s="2395">
        <v>117.48185256658343</v>
      </c>
      <c r="L18" s="2395">
        <v>79.088648561836834</v>
      </c>
      <c r="M18" s="2395">
        <v>154.23253726538013</v>
      </c>
      <c r="N18" s="2396">
        <v>105.49097926409507</v>
      </c>
      <c r="O18" s="2395">
        <v>84.527279240682361</v>
      </c>
      <c r="P18" s="2395">
        <v>90.517829127447314</v>
      </c>
      <c r="Q18" s="2395">
        <v>88.560737789047181</v>
      </c>
      <c r="R18" s="2395">
        <v>103.13165453838752</v>
      </c>
      <c r="S18" s="2395">
        <v>121.944037421468</v>
      </c>
      <c r="T18" s="2395">
        <v>100.4495824157716</v>
      </c>
      <c r="U18" s="2397">
        <v>74.440530952276646</v>
      </c>
      <c r="V18" s="2395">
        <v>116.17043817834391</v>
      </c>
      <c r="W18" s="2395">
        <v>106.68193223362799</v>
      </c>
      <c r="X18" s="2395">
        <v>126.13905365730768</v>
      </c>
      <c r="Y18" s="2395">
        <v>75.477192823958461</v>
      </c>
      <c r="Z18" s="2395">
        <v>86.809182341489262</v>
      </c>
      <c r="AA18" s="2395">
        <v>97.475861902441181</v>
      </c>
      <c r="AB18" s="2395">
        <v>119.46018045630831</v>
      </c>
      <c r="AC18" s="2395">
        <v>152.7133723560525</v>
      </c>
    </row>
    <row r="19" spans="3:29" x14ac:dyDescent="0.4">
      <c r="C19" s="3140"/>
      <c r="D19" s="2394" t="s">
        <v>5000</v>
      </c>
      <c r="E19" s="2395">
        <v>103.74191849772623</v>
      </c>
      <c r="F19" s="2395">
        <v>94.643620090005683</v>
      </c>
      <c r="G19" s="2395">
        <v>51.300900983116925</v>
      </c>
      <c r="H19" s="2395">
        <v>44.192799996965412</v>
      </c>
      <c r="I19" s="2395">
        <v>69.533019339327723</v>
      </c>
      <c r="J19" s="2395">
        <v>101.52692320088576</v>
      </c>
      <c r="K19" s="2395">
        <v>108.17667481697582</v>
      </c>
      <c r="L19" s="2395">
        <v>49.575096424020714</v>
      </c>
      <c r="M19" s="2395">
        <v>103.63491659091216</v>
      </c>
      <c r="N19" s="2396">
        <v>109.68053819901886</v>
      </c>
      <c r="O19" s="2395">
        <v>87.698454764060699</v>
      </c>
      <c r="P19" s="2395">
        <v>103.36060413667268</v>
      </c>
      <c r="Q19" s="2395">
        <v>85.561793623501771</v>
      </c>
      <c r="R19" s="2395">
        <v>97.465831456187885</v>
      </c>
      <c r="S19" s="2395">
        <v>115.70736936646082</v>
      </c>
      <c r="T19" s="2395">
        <v>101.79269578678162</v>
      </c>
      <c r="U19" s="2397">
        <v>158.45703329781534</v>
      </c>
      <c r="V19" s="2395">
        <v>138.01597306976501</v>
      </c>
      <c r="W19" s="2395">
        <v>83.916995542312605</v>
      </c>
      <c r="X19" s="2395">
        <v>106.4965960841435</v>
      </c>
      <c r="Y19" s="2395">
        <v>78.993888075646964</v>
      </c>
      <c r="Z19" s="2395">
        <v>95.919439522320431</v>
      </c>
      <c r="AA19" s="2395">
        <v>100.73850712285849</v>
      </c>
      <c r="AB19" s="2395">
        <v>102.64128717700689</v>
      </c>
      <c r="AC19" s="2395">
        <v>59.589173147911758</v>
      </c>
    </row>
    <row r="20" spans="3:29" x14ac:dyDescent="0.4">
      <c r="C20" s="3140"/>
      <c r="D20" s="2394" t="s">
        <v>5001</v>
      </c>
      <c r="E20" s="2395">
        <v>104.54281968983095</v>
      </c>
      <c r="F20" s="2395">
        <v>83.396522442735062</v>
      </c>
      <c r="G20" s="2395">
        <v>118.21630331209899</v>
      </c>
      <c r="H20" s="2395">
        <v>93.616435294392531</v>
      </c>
      <c r="I20" s="2395">
        <v>109.14582479724619</v>
      </c>
      <c r="J20" s="2395">
        <v>119.83397196980819</v>
      </c>
      <c r="K20" s="2395">
        <v>132.59309529125599</v>
      </c>
      <c r="L20" s="2395">
        <v>118.07241915048287</v>
      </c>
      <c r="M20" s="2395">
        <v>54.427643897871135</v>
      </c>
      <c r="N20" s="2396">
        <v>88.298957316923634</v>
      </c>
      <c r="O20" s="2395">
        <v>87.614037968228388</v>
      </c>
      <c r="P20" s="2395">
        <v>85.79240970276193</v>
      </c>
      <c r="Q20" s="2395">
        <v>87.637486064325515</v>
      </c>
      <c r="R20" s="2395">
        <v>102.59398526672297</v>
      </c>
      <c r="S20" s="2395">
        <v>115.19030569357614</v>
      </c>
      <c r="T20" s="2395">
        <v>93.273527174454713</v>
      </c>
      <c r="U20" s="2397">
        <v>71.439937379310109</v>
      </c>
      <c r="V20" s="2395">
        <v>100.84405516210424</v>
      </c>
      <c r="W20" s="2395">
        <v>106.59996423728147</v>
      </c>
      <c r="X20" s="2395">
        <v>95.387158221348699</v>
      </c>
      <c r="Y20" s="2395">
        <v>91.185327780734667</v>
      </c>
      <c r="Z20" s="2395">
        <v>97.728307450889716</v>
      </c>
      <c r="AA20" s="2395">
        <v>118.43400274708458</v>
      </c>
      <c r="AB20" s="2395">
        <v>112.51863412635967</v>
      </c>
      <c r="AC20" s="2395">
        <v>44.222325235651013</v>
      </c>
    </row>
    <row r="21" spans="3:29" x14ac:dyDescent="0.4">
      <c r="C21" s="2752">
        <v>2012</v>
      </c>
      <c r="D21" s="2384" t="s">
        <v>5002</v>
      </c>
      <c r="E21" s="996">
        <v>87.806266393404158</v>
      </c>
      <c r="F21" s="996">
        <v>63.389531451074511</v>
      </c>
      <c r="G21" s="996">
        <v>25.129263841683862</v>
      </c>
      <c r="H21" s="996">
        <v>16.794608033825547</v>
      </c>
      <c r="I21" s="996">
        <v>81.554565427397904</v>
      </c>
      <c r="J21" s="996">
        <v>115.49732896559036</v>
      </c>
      <c r="K21" s="996">
        <v>115.65370036397194</v>
      </c>
      <c r="L21" s="996">
        <v>23.145810224572777</v>
      </c>
      <c r="M21" s="996">
        <v>129.49500018687573</v>
      </c>
      <c r="N21" s="2392">
        <v>90.123293037092694</v>
      </c>
      <c r="O21" s="996">
        <v>91.932791323047169</v>
      </c>
      <c r="P21" s="996">
        <v>89.97023317793672</v>
      </c>
      <c r="Q21" s="996">
        <v>88.953346580407256</v>
      </c>
      <c r="R21" s="996">
        <v>103.8625827881577</v>
      </c>
      <c r="S21" s="996">
        <v>103.02817870294649</v>
      </c>
      <c r="T21" s="996">
        <v>99.978345530958308</v>
      </c>
      <c r="U21" s="2393">
        <v>61.401944230432235</v>
      </c>
      <c r="V21" s="996">
        <v>106.81251222658592</v>
      </c>
      <c r="W21" s="996">
        <v>90.244361312866658</v>
      </c>
      <c r="X21" s="996">
        <v>94.478511449295397</v>
      </c>
      <c r="Y21" s="996">
        <v>89.16301411573464</v>
      </c>
      <c r="Z21" s="996">
        <v>98.55155516738634</v>
      </c>
      <c r="AA21" s="996">
        <v>93.518944003734859</v>
      </c>
      <c r="AB21" s="996">
        <v>101.87340631377167</v>
      </c>
      <c r="AC21" s="996">
        <v>77.679351788347944</v>
      </c>
    </row>
    <row r="22" spans="3:29" x14ac:dyDescent="0.4">
      <c r="C22" s="2752"/>
      <c r="D22" s="2384" t="s">
        <v>5003</v>
      </c>
      <c r="E22" s="996">
        <v>107.79322767422089</v>
      </c>
      <c r="F22" s="996">
        <v>87.157844736131835</v>
      </c>
      <c r="G22" s="996">
        <v>101.59368070604044</v>
      </c>
      <c r="H22" s="996">
        <v>117.55771048366543</v>
      </c>
      <c r="I22" s="996">
        <v>74.411796134590645</v>
      </c>
      <c r="J22" s="996">
        <v>116.07624100152907</v>
      </c>
      <c r="K22" s="996">
        <v>172.30141125327913</v>
      </c>
      <c r="L22" s="996">
        <v>90.297197964069923</v>
      </c>
      <c r="M22" s="996">
        <v>97.216384560019023</v>
      </c>
      <c r="N22" s="2392">
        <v>94.333955110007011</v>
      </c>
      <c r="O22" s="996">
        <v>99.431187846443393</v>
      </c>
      <c r="P22" s="996">
        <v>94.188566583149736</v>
      </c>
      <c r="Q22" s="996">
        <v>97.978330289649833</v>
      </c>
      <c r="R22" s="996">
        <v>104.28340498746887</v>
      </c>
      <c r="S22" s="996">
        <v>121.85190686761406</v>
      </c>
      <c r="T22" s="996">
        <v>106.15989670812829</v>
      </c>
      <c r="U22" s="2393">
        <v>48.285944809768218</v>
      </c>
      <c r="V22" s="996">
        <v>90.200470205270761</v>
      </c>
      <c r="W22" s="996">
        <v>82.296797834667643</v>
      </c>
      <c r="X22" s="996">
        <v>96.228195218794241</v>
      </c>
      <c r="Y22" s="996">
        <v>77.486170131910825</v>
      </c>
      <c r="Z22" s="996">
        <v>80.696866997700795</v>
      </c>
      <c r="AA22" s="996">
        <v>93.750920985574226</v>
      </c>
      <c r="AB22" s="996">
        <v>81.345350919124044</v>
      </c>
      <c r="AC22" s="996">
        <v>77.036991469456439</v>
      </c>
    </row>
    <row r="23" spans="3:29" x14ac:dyDescent="0.4">
      <c r="C23" s="2752"/>
      <c r="D23" s="2384" t="s">
        <v>5000</v>
      </c>
      <c r="E23" s="996">
        <v>105.4614082650217</v>
      </c>
      <c r="F23" s="996">
        <v>90.030444600715498</v>
      </c>
      <c r="G23" s="996">
        <v>96.049432520076579</v>
      </c>
      <c r="H23" s="996">
        <v>92.480823786796194</v>
      </c>
      <c r="I23" s="996">
        <v>80.699650996223255</v>
      </c>
      <c r="J23" s="996">
        <v>119.76043869818827</v>
      </c>
      <c r="K23" s="996">
        <v>131.41480145649939</v>
      </c>
      <c r="L23" s="996">
        <v>90.496811699762205</v>
      </c>
      <c r="M23" s="996">
        <v>71.731112842256508</v>
      </c>
      <c r="N23" s="2392">
        <v>96.1188015827166</v>
      </c>
      <c r="O23" s="996">
        <v>92.445296666073602</v>
      </c>
      <c r="P23" s="996">
        <v>91.304483318325936</v>
      </c>
      <c r="Q23" s="996">
        <v>94.524119109020859</v>
      </c>
      <c r="R23" s="996">
        <v>107.52946877953005</v>
      </c>
      <c r="S23" s="996">
        <v>118.19087251751886</v>
      </c>
      <c r="T23" s="996">
        <v>105.82271639652254</v>
      </c>
      <c r="U23" s="2393">
        <v>42.195594470970278</v>
      </c>
      <c r="V23" s="996">
        <v>76.362325219986545</v>
      </c>
      <c r="W23" s="996">
        <v>83.138441212724217</v>
      </c>
      <c r="X23" s="996">
        <v>83.962646236532976</v>
      </c>
      <c r="Y23" s="996">
        <v>75.732772179844389</v>
      </c>
      <c r="Z23" s="996">
        <v>100.39013754662921</v>
      </c>
      <c r="AA23" s="996">
        <v>99.551435776031553</v>
      </c>
      <c r="AB23" s="996">
        <v>80.324420292453226</v>
      </c>
      <c r="AC23" s="996">
        <v>38.335853653480747</v>
      </c>
    </row>
    <row r="24" spans="3:29" x14ac:dyDescent="0.4">
      <c r="C24" s="2752"/>
      <c r="D24" s="2384" t="s">
        <v>5001</v>
      </c>
      <c r="E24" s="996">
        <v>109.15901969087376</v>
      </c>
      <c r="F24" s="996">
        <v>103.68969826990661</v>
      </c>
      <c r="G24" s="996">
        <v>94.964355258434054</v>
      </c>
      <c r="H24" s="996">
        <v>109.79092346662942</v>
      </c>
      <c r="I24" s="996">
        <v>74.040047390131519</v>
      </c>
      <c r="J24" s="996">
        <v>130.08573573726176</v>
      </c>
      <c r="K24" s="996">
        <v>87.561732847132959</v>
      </c>
      <c r="L24" s="996">
        <v>98.740847910066137</v>
      </c>
      <c r="M24" s="996">
        <v>63.926462093976667</v>
      </c>
      <c r="N24" s="2392">
        <v>93.809266513534723</v>
      </c>
      <c r="O24" s="996">
        <v>97.432574739682764</v>
      </c>
      <c r="P24" s="996">
        <v>95.629215398861618</v>
      </c>
      <c r="Q24" s="996">
        <v>93.806580811227633</v>
      </c>
      <c r="R24" s="996">
        <v>98.175479428467554</v>
      </c>
      <c r="S24" s="996">
        <v>116.60473577969803</v>
      </c>
      <c r="T24" s="996">
        <v>108.56315479425365</v>
      </c>
      <c r="U24" s="2393">
        <v>62.63436000708279</v>
      </c>
      <c r="V24" s="996">
        <v>121.77905945305881</v>
      </c>
      <c r="W24" s="996">
        <v>84.968292794880057</v>
      </c>
      <c r="X24" s="996">
        <v>94.568959588963139</v>
      </c>
      <c r="Y24" s="996">
        <v>77.895899960764993</v>
      </c>
      <c r="Z24" s="996">
        <v>106.02552368973947</v>
      </c>
      <c r="AA24" s="996">
        <v>96.156448258374255</v>
      </c>
      <c r="AB24" s="996">
        <v>86.81053027801623</v>
      </c>
      <c r="AC24" s="996">
        <v>79.18784069262604</v>
      </c>
    </row>
    <row r="25" spans="3:29" x14ac:dyDescent="0.4">
      <c r="C25" s="3140">
        <v>2013</v>
      </c>
      <c r="D25" s="2394" t="s">
        <v>5002</v>
      </c>
      <c r="E25" s="2395">
        <v>111.73736705531641</v>
      </c>
      <c r="F25" s="2395">
        <v>98.375782834696182</v>
      </c>
      <c r="G25" s="2395">
        <v>84.777255697815548</v>
      </c>
      <c r="H25" s="2395">
        <v>97.154685381015028</v>
      </c>
      <c r="I25" s="2395">
        <v>66.489991908673957</v>
      </c>
      <c r="J25" s="2395">
        <v>135.78093448874228</v>
      </c>
      <c r="K25" s="2395">
        <v>91.611703434062221</v>
      </c>
      <c r="L25" s="2395">
        <v>96.147747433829295</v>
      </c>
      <c r="M25" s="2395">
        <v>56.970208567825999</v>
      </c>
      <c r="N25" s="2396">
        <v>88.207915121524721</v>
      </c>
      <c r="O25" s="2395">
        <v>100.66749997638289</v>
      </c>
      <c r="P25" s="2395">
        <v>92.984453111955588</v>
      </c>
      <c r="Q25" s="2395">
        <v>93.273421576092247</v>
      </c>
      <c r="R25" s="2395">
        <v>97.081068766965927</v>
      </c>
      <c r="S25" s="2395">
        <v>122.1588690425417</v>
      </c>
      <c r="T25" s="2395">
        <v>110.60254011734976</v>
      </c>
      <c r="U25" s="2397">
        <v>30.574244167882931</v>
      </c>
      <c r="V25" s="2395">
        <v>101.45782468173145</v>
      </c>
      <c r="W25" s="2395">
        <v>95.527138520660202</v>
      </c>
      <c r="X25" s="2395">
        <v>85.454894303972083</v>
      </c>
      <c r="Y25" s="2395">
        <v>86.20215185179562</v>
      </c>
      <c r="Z25" s="2395">
        <v>98.292402987880507</v>
      </c>
      <c r="AA25" s="2395">
        <v>118.9597088451642</v>
      </c>
      <c r="AB25" s="2395">
        <v>91.239134470065082</v>
      </c>
      <c r="AC25" s="2395">
        <v>42.58892029566195</v>
      </c>
    </row>
    <row r="26" spans="3:29" x14ac:dyDescent="0.4">
      <c r="C26" s="3140"/>
      <c r="D26" s="2394" t="s">
        <v>5003</v>
      </c>
      <c r="E26" s="2395">
        <v>108.47217436518868</v>
      </c>
      <c r="F26" s="2395">
        <v>67.94868919788189</v>
      </c>
      <c r="G26" s="2395">
        <v>89.150162264275906</v>
      </c>
      <c r="H26" s="2395">
        <v>73.163612899343335</v>
      </c>
      <c r="I26" s="2395">
        <v>76.909876297493227</v>
      </c>
      <c r="J26" s="2395">
        <v>121.80114830063604</v>
      </c>
      <c r="K26" s="2395">
        <v>125.79288882933383</v>
      </c>
      <c r="L26" s="2395">
        <v>79.324664525257475</v>
      </c>
      <c r="M26" s="2395">
        <v>86.287241461065065</v>
      </c>
      <c r="N26" s="2396">
        <v>95.96940651794192</v>
      </c>
      <c r="O26" s="2395">
        <v>92.721553141826817</v>
      </c>
      <c r="P26" s="2395">
        <v>95.613810495970725</v>
      </c>
      <c r="Q26" s="2395">
        <v>95.309484335628397</v>
      </c>
      <c r="R26" s="2395">
        <v>101.84733915295969</v>
      </c>
      <c r="S26" s="2395">
        <v>125.33959367371206</v>
      </c>
      <c r="T26" s="2395">
        <v>107.47900607801574</v>
      </c>
      <c r="U26" s="2397">
        <v>71.325349887918264</v>
      </c>
      <c r="V26" s="2395">
        <v>85.055257441257723</v>
      </c>
      <c r="W26" s="2395">
        <v>85.534759264787724</v>
      </c>
      <c r="X26" s="2395">
        <v>81.045793199882624</v>
      </c>
      <c r="Y26" s="2395">
        <v>81.011440921897474</v>
      </c>
      <c r="Z26" s="2395">
        <v>94.662162615024698</v>
      </c>
      <c r="AA26" s="2395">
        <v>91.395276097108606</v>
      </c>
      <c r="AB26" s="2395">
        <v>91.82395366784975</v>
      </c>
      <c r="AC26" s="2395">
        <v>117.60947039350506</v>
      </c>
    </row>
    <row r="27" spans="3:29" x14ac:dyDescent="0.4">
      <c r="C27" s="3140"/>
      <c r="D27" s="2394" t="s">
        <v>5000</v>
      </c>
      <c r="E27" s="2395">
        <v>114.48252631339571</v>
      </c>
      <c r="F27" s="2395">
        <v>87.202085693712888</v>
      </c>
      <c r="G27" s="2395">
        <v>112.99749301584457</v>
      </c>
      <c r="H27" s="2395">
        <v>105.29534023416893</v>
      </c>
      <c r="I27" s="2395">
        <v>98.570783288512757</v>
      </c>
      <c r="J27" s="2395">
        <v>118.1556264883084</v>
      </c>
      <c r="K27" s="2395">
        <v>110.09720760302596</v>
      </c>
      <c r="L27" s="2395">
        <v>100.84653262156384</v>
      </c>
      <c r="M27" s="2395">
        <v>99.992688713969088</v>
      </c>
      <c r="N27" s="2396">
        <v>100.37644685263973</v>
      </c>
      <c r="O27" s="2395">
        <v>93.343106711623534</v>
      </c>
      <c r="P27" s="2395">
        <v>97.578528533722007</v>
      </c>
      <c r="Q27" s="2395">
        <v>92.400466244756302</v>
      </c>
      <c r="R27" s="2395">
        <v>94.428296906831108</v>
      </c>
      <c r="S27" s="2395">
        <v>99.388213814797055</v>
      </c>
      <c r="T27" s="2395">
        <v>111.26402320758189</v>
      </c>
      <c r="U27" s="2397">
        <v>70.168067833846735</v>
      </c>
      <c r="V27" s="2395">
        <v>116.68010828586752</v>
      </c>
      <c r="W27" s="2395">
        <v>81.64009885195992</v>
      </c>
      <c r="X27" s="2395">
        <v>121.1029464028683</v>
      </c>
      <c r="Y27" s="2395">
        <v>78.922346717554376</v>
      </c>
      <c r="Z27" s="2395">
        <v>78.974679685001263</v>
      </c>
      <c r="AA27" s="2395">
        <v>101.13684553801086</v>
      </c>
      <c r="AB27" s="2395">
        <v>90.409776081207028</v>
      </c>
      <c r="AC27" s="2395">
        <v>61.942539324923054</v>
      </c>
    </row>
    <row r="28" spans="3:29" x14ac:dyDescent="0.4">
      <c r="C28" s="3140"/>
      <c r="D28" s="2394" t="s">
        <v>5001</v>
      </c>
      <c r="E28" s="2395">
        <v>110.11006397430859</v>
      </c>
      <c r="F28" s="2395">
        <v>73.692435790245597</v>
      </c>
      <c r="G28" s="2395">
        <v>102.26973429129697</v>
      </c>
      <c r="H28" s="2395">
        <v>85.062884147416582</v>
      </c>
      <c r="I28" s="2395">
        <v>104.90857929971725</v>
      </c>
      <c r="J28" s="2395">
        <v>103.36082083955431</v>
      </c>
      <c r="K28" s="2395">
        <v>90.070460146305138</v>
      </c>
      <c r="L28" s="2395">
        <v>86.864579775273242</v>
      </c>
      <c r="M28" s="2395">
        <v>156.94591282485948</v>
      </c>
      <c r="N28" s="2396">
        <v>96.642250231062405</v>
      </c>
      <c r="O28" s="2395">
        <v>88.649890373620465</v>
      </c>
      <c r="P28" s="2395">
        <v>95.026207358834966</v>
      </c>
      <c r="Q28" s="2395">
        <v>92.273154048002851</v>
      </c>
      <c r="R28" s="2395">
        <v>101.67342491253737</v>
      </c>
      <c r="S28" s="2395">
        <v>109.80072257938669</v>
      </c>
      <c r="T28" s="2395">
        <v>104.07315672712265</v>
      </c>
      <c r="U28" s="2397">
        <v>68.397464209907227</v>
      </c>
      <c r="V28" s="2395">
        <v>103.54357989182348</v>
      </c>
      <c r="W28" s="2395">
        <v>91.793461661206791</v>
      </c>
      <c r="X28" s="2395">
        <v>87.864604379421408</v>
      </c>
      <c r="Y28" s="2395">
        <v>81.452087874188535</v>
      </c>
      <c r="Z28" s="2395">
        <v>95.505337420700613</v>
      </c>
      <c r="AA28" s="2395">
        <v>92.677880571268076</v>
      </c>
      <c r="AB28" s="2395">
        <v>99.96340270559557</v>
      </c>
      <c r="AC28" s="2395">
        <v>48.509760235114989</v>
      </c>
    </row>
    <row r="29" spans="3:29" x14ac:dyDescent="0.4">
      <c r="C29" s="2752">
        <v>2014</v>
      </c>
      <c r="D29" s="2384" t="s">
        <v>5002</v>
      </c>
      <c r="E29" s="996">
        <v>114.26304317122661</v>
      </c>
      <c r="F29" s="996">
        <v>92.20332615310646</v>
      </c>
      <c r="G29" s="996">
        <v>118.42490286432795</v>
      </c>
      <c r="H29" s="996">
        <v>103.18296703830659</v>
      </c>
      <c r="I29" s="996">
        <v>109.06631358445757</v>
      </c>
      <c r="J29" s="996">
        <v>144.1405494164843</v>
      </c>
      <c r="K29" s="996">
        <v>108.23711438123181</v>
      </c>
      <c r="L29" s="996">
        <v>96.854093860881349</v>
      </c>
      <c r="M29" s="996">
        <v>82.486928390447488</v>
      </c>
      <c r="N29" s="2392">
        <v>108.925079780516</v>
      </c>
      <c r="O29" s="996">
        <v>93.281918422731664</v>
      </c>
      <c r="P29" s="996">
        <v>100.34851554076818</v>
      </c>
      <c r="Q29" s="996">
        <v>96.337811719626032</v>
      </c>
      <c r="R29" s="996">
        <v>91.256280335783202</v>
      </c>
      <c r="S29" s="996">
        <v>108.88097354119223</v>
      </c>
      <c r="T29" s="996">
        <v>110.53672595025354</v>
      </c>
      <c r="U29" s="2393">
        <v>46.148344650811538</v>
      </c>
      <c r="V29" s="996">
        <v>92.094814420185571</v>
      </c>
      <c r="W29" s="996">
        <v>78.762471689070154</v>
      </c>
      <c r="X29" s="996">
        <v>77.551007548363415</v>
      </c>
      <c r="Y29" s="996">
        <v>74.608047456291345</v>
      </c>
      <c r="Z29" s="996">
        <v>98.217988153240043</v>
      </c>
      <c r="AA29" s="996">
        <v>94.1385802957344</v>
      </c>
      <c r="AB29" s="996">
        <v>78.54289479074464</v>
      </c>
      <c r="AC29" s="996">
        <v>68.725877702068345</v>
      </c>
    </row>
    <row r="30" spans="3:29" x14ac:dyDescent="0.4">
      <c r="C30" s="2752"/>
      <c r="D30" s="2384" t="s">
        <v>5003</v>
      </c>
      <c r="E30" s="996">
        <v>108.9541522638724</v>
      </c>
      <c r="F30" s="996">
        <v>93.044553901655576</v>
      </c>
      <c r="G30" s="996">
        <v>81.734468960591371</v>
      </c>
      <c r="H30" s="996">
        <v>96.329553995662366</v>
      </c>
      <c r="I30" s="996">
        <v>75.145459279368168</v>
      </c>
      <c r="J30" s="996">
        <v>102.77958901804725</v>
      </c>
      <c r="K30" s="996">
        <v>104.27619849484758</v>
      </c>
      <c r="L30" s="996">
        <v>72.174174387694663</v>
      </c>
      <c r="M30" s="996">
        <v>100.35326081965484</v>
      </c>
      <c r="N30" s="2392">
        <v>106.38424330413854</v>
      </c>
      <c r="O30" s="996">
        <v>83.497895182398594</v>
      </c>
      <c r="P30" s="996">
        <v>97.131860232521746</v>
      </c>
      <c r="Q30" s="996">
        <v>90.331995476801893</v>
      </c>
      <c r="R30" s="996">
        <v>93.940802100051215</v>
      </c>
      <c r="S30" s="996">
        <v>92.910932344703525</v>
      </c>
      <c r="T30" s="996">
        <v>101.63278032735315</v>
      </c>
      <c r="U30" s="2393">
        <v>109.94451492441858</v>
      </c>
      <c r="V30" s="996">
        <v>154.78040855347922</v>
      </c>
      <c r="W30" s="996">
        <v>87.690968143499205</v>
      </c>
      <c r="X30" s="996">
        <v>125.11498799141177</v>
      </c>
      <c r="Y30" s="996">
        <v>79.569046389016449</v>
      </c>
      <c r="Z30" s="996">
        <v>80.156449027396064</v>
      </c>
      <c r="AA30" s="996">
        <v>102.16932334925404</v>
      </c>
      <c r="AB30" s="996">
        <v>107.66549636461664</v>
      </c>
      <c r="AC30" s="996">
        <v>125.92972627469638</v>
      </c>
    </row>
    <row r="31" spans="3:29" x14ac:dyDescent="0.4">
      <c r="C31" s="2752"/>
      <c r="D31" s="2384" t="s">
        <v>5000</v>
      </c>
      <c r="E31" s="996">
        <v>105.78684216069418</v>
      </c>
      <c r="F31" s="996">
        <v>120.85742346147639</v>
      </c>
      <c r="G31" s="996">
        <v>82.483128458381955</v>
      </c>
      <c r="H31" s="996">
        <v>107.78470861583516</v>
      </c>
      <c r="I31" s="996">
        <v>68.861512166029414</v>
      </c>
      <c r="J31" s="996">
        <v>104.78256574063988</v>
      </c>
      <c r="K31" s="996">
        <v>82.113659892971242</v>
      </c>
      <c r="L31" s="996">
        <v>87.974883157546472</v>
      </c>
      <c r="M31" s="996">
        <v>115.19448051674499</v>
      </c>
      <c r="N31" s="2392">
        <v>101.586074540998</v>
      </c>
      <c r="O31" s="996">
        <v>89.987453064065178</v>
      </c>
      <c r="P31" s="996">
        <v>95.787136913987325</v>
      </c>
      <c r="Q31" s="996">
        <v>93.363386591742724</v>
      </c>
      <c r="R31" s="996">
        <v>89.47476166970074</v>
      </c>
      <c r="S31" s="996">
        <v>103.61021762709592</v>
      </c>
      <c r="T31" s="996">
        <v>103.98274919548216</v>
      </c>
      <c r="U31" s="2393">
        <v>100.1881367088523</v>
      </c>
      <c r="V31" s="996">
        <v>112.78536682803657</v>
      </c>
      <c r="W31" s="996">
        <v>77.321119914570872</v>
      </c>
      <c r="X31" s="996">
        <v>86.775925423488786</v>
      </c>
      <c r="Y31" s="996">
        <v>79.814627919174669</v>
      </c>
      <c r="Z31" s="996">
        <v>89.9616116202466</v>
      </c>
      <c r="AA31" s="996">
        <v>90.217963937701313</v>
      </c>
      <c r="AB31" s="996">
        <v>84.337698463671941</v>
      </c>
      <c r="AC31" s="996">
        <v>79.690950581938921</v>
      </c>
    </row>
    <row r="32" spans="3:29" x14ac:dyDescent="0.4">
      <c r="C32" s="2752"/>
      <c r="D32" s="2384" t="s">
        <v>5001</v>
      </c>
      <c r="E32" s="996">
        <v>111.6741341085694</v>
      </c>
      <c r="F32" s="996">
        <v>112.71130832764955</v>
      </c>
      <c r="G32" s="996">
        <v>86.763530664656571</v>
      </c>
      <c r="H32" s="996">
        <v>106.823139727518</v>
      </c>
      <c r="I32" s="996">
        <v>78.056479618823076</v>
      </c>
      <c r="J32" s="996">
        <v>107.40120758776352</v>
      </c>
      <c r="K32" s="996">
        <v>89.884778834516638</v>
      </c>
      <c r="L32" s="996">
        <v>88.669515548522</v>
      </c>
      <c r="M32" s="996">
        <v>72.003166305108067</v>
      </c>
      <c r="N32" s="2392">
        <v>101.64581732338024</v>
      </c>
      <c r="O32" s="996">
        <v>92.455193794900012</v>
      </c>
      <c r="P32" s="996">
        <v>94.210612904237649</v>
      </c>
      <c r="Q32" s="996">
        <v>95.976982190356111</v>
      </c>
      <c r="R32" s="996">
        <v>92.348484193378439</v>
      </c>
      <c r="S32" s="996">
        <v>110.83563907085974</v>
      </c>
      <c r="T32" s="996">
        <v>106.83963193703964</v>
      </c>
      <c r="U32" s="2393">
        <v>128.24217382801231</v>
      </c>
      <c r="V32" s="996">
        <v>121.34505184260236</v>
      </c>
      <c r="W32" s="996">
        <v>94.90485752903119</v>
      </c>
      <c r="X32" s="996">
        <v>126.02115898398674</v>
      </c>
      <c r="Y32" s="996">
        <v>84.917622984746529</v>
      </c>
      <c r="Z32" s="996">
        <v>92.754181467814902</v>
      </c>
      <c r="AA32" s="996">
        <v>100.18772086193115</v>
      </c>
      <c r="AB32" s="996">
        <v>101.28958511812829</v>
      </c>
      <c r="AC32" s="996">
        <v>81.131498261787598</v>
      </c>
    </row>
    <row r="33" spans="3:29" x14ac:dyDescent="0.4">
      <c r="C33" s="3140">
        <v>2015</v>
      </c>
      <c r="D33" s="2394" t="s">
        <v>5002</v>
      </c>
      <c r="E33" s="2395">
        <v>107.647911005605</v>
      </c>
      <c r="F33" s="2395">
        <v>125.80271994200061</v>
      </c>
      <c r="G33" s="2395">
        <v>79.792788455458691</v>
      </c>
      <c r="H33" s="2395">
        <v>87.133156078488867</v>
      </c>
      <c r="I33" s="2395">
        <v>81.433812593102246</v>
      </c>
      <c r="J33" s="2395">
        <v>112.96818913843735</v>
      </c>
      <c r="K33" s="2395">
        <v>145.18146264427904</v>
      </c>
      <c r="L33" s="2395">
        <v>95.368412430398365</v>
      </c>
      <c r="M33" s="2395">
        <v>33.61445368970675</v>
      </c>
      <c r="N33" s="2396">
        <v>106.73305236713142</v>
      </c>
      <c r="O33" s="2395">
        <v>88.266342037780362</v>
      </c>
      <c r="P33" s="2395">
        <v>99.909250632656011</v>
      </c>
      <c r="Q33" s="2395">
        <v>86.914456619725982</v>
      </c>
      <c r="R33" s="2395">
        <v>90.612410105467191</v>
      </c>
      <c r="S33" s="2395">
        <v>108.3627814984697</v>
      </c>
      <c r="T33" s="2395">
        <v>109.50658888343571</v>
      </c>
      <c r="U33" s="2397">
        <v>94.550291823323093</v>
      </c>
      <c r="V33" s="2395">
        <v>125.60332532028451</v>
      </c>
      <c r="W33" s="2395">
        <v>83.058124636695169</v>
      </c>
      <c r="X33" s="2395">
        <v>80.179978129306136</v>
      </c>
      <c r="Y33" s="2395">
        <v>78.528036531847249</v>
      </c>
      <c r="Z33" s="2395">
        <v>102.07581928024234</v>
      </c>
      <c r="AA33" s="2395">
        <v>99.494691251998375</v>
      </c>
      <c r="AB33" s="2395">
        <v>90.468442645119467</v>
      </c>
      <c r="AC33" s="2395">
        <v>63.413763632410038</v>
      </c>
    </row>
    <row r="34" spans="3:29" x14ac:dyDescent="0.4">
      <c r="C34" s="3140"/>
      <c r="D34" s="2394" t="s">
        <v>5003</v>
      </c>
      <c r="E34" s="2395">
        <v>108.35061191099808</v>
      </c>
      <c r="F34" s="2395">
        <v>112.29184353338459</v>
      </c>
      <c r="G34" s="2395">
        <v>92.828819961931998</v>
      </c>
      <c r="H34" s="2395">
        <v>113.26679443307415</v>
      </c>
      <c r="I34" s="2395">
        <v>73.429760108960508</v>
      </c>
      <c r="J34" s="2395">
        <v>111.36425814935853</v>
      </c>
      <c r="K34" s="2395">
        <v>97.098355822297918</v>
      </c>
      <c r="L34" s="2395">
        <v>101.20657156611277</v>
      </c>
      <c r="M34" s="2395">
        <v>83.292576429043081</v>
      </c>
      <c r="N34" s="2396">
        <v>106.50186311962342</v>
      </c>
      <c r="O34" s="2395">
        <v>90.466404717415671</v>
      </c>
      <c r="P34" s="2395">
        <v>102.0955830164573</v>
      </c>
      <c r="Q34" s="2395">
        <v>86.768074534551076</v>
      </c>
      <c r="R34" s="2395">
        <v>93.855883570974726</v>
      </c>
      <c r="S34" s="2395">
        <v>119.92185446291954</v>
      </c>
      <c r="T34" s="2395">
        <v>104.03275479378391</v>
      </c>
      <c r="U34" s="2397">
        <v>81.370984155322688</v>
      </c>
      <c r="V34" s="2395">
        <v>107.53786656957311</v>
      </c>
      <c r="W34" s="2395">
        <v>85.321676415911057</v>
      </c>
      <c r="X34" s="2395">
        <v>80.362935541862072</v>
      </c>
      <c r="Y34" s="2395">
        <v>87.118076196002988</v>
      </c>
      <c r="Z34" s="2395">
        <v>95.378716018112371</v>
      </c>
      <c r="AA34" s="2395">
        <v>98.67845152720129</v>
      </c>
      <c r="AB34" s="2395">
        <v>93.459237460450623</v>
      </c>
      <c r="AC34" s="2395">
        <v>64.304690635495973</v>
      </c>
    </row>
    <row r="35" spans="3:29" x14ac:dyDescent="0.4">
      <c r="C35" s="3140"/>
      <c r="D35" s="2394" t="s">
        <v>5000</v>
      </c>
      <c r="E35" s="2395">
        <v>116.94082606980704</v>
      </c>
      <c r="F35" s="2395">
        <v>114.65874130390105</v>
      </c>
      <c r="G35" s="2395">
        <v>90.251830740556898</v>
      </c>
      <c r="H35" s="2395">
        <v>95.34079987722717</v>
      </c>
      <c r="I35" s="2395">
        <v>106.48350136818823</v>
      </c>
      <c r="J35" s="2395">
        <v>99.084581505804067</v>
      </c>
      <c r="K35" s="2395">
        <v>140.51498374795003</v>
      </c>
      <c r="L35" s="2395">
        <v>85.482337435248951</v>
      </c>
      <c r="M35" s="2395">
        <v>118.40828890299429</v>
      </c>
      <c r="N35" s="2396">
        <v>98.325581008157229</v>
      </c>
      <c r="O35" s="2395">
        <v>105.36824384195498</v>
      </c>
      <c r="P35" s="2395">
        <v>106.83638522937548</v>
      </c>
      <c r="Q35" s="2395">
        <v>91.867636508920043</v>
      </c>
      <c r="R35" s="2395">
        <v>103.70568459169166</v>
      </c>
      <c r="S35" s="2395">
        <v>115.12556389253841</v>
      </c>
      <c r="T35" s="2395">
        <v>117.6628458745115</v>
      </c>
      <c r="U35" s="2397">
        <v>56.225901995943182</v>
      </c>
      <c r="V35" s="2395">
        <v>152.35494166066567</v>
      </c>
      <c r="W35" s="2395">
        <v>88.672052189086543</v>
      </c>
      <c r="X35" s="2395">
        <v>96.705129364820934</v>
      </c>
      <c r="Y35" s="2395">
        <v>89.685892320722076</v>
      </c>
      <c r="Z35" s="2395">
        <v>102.21501820597024</v>
      </c>
      <c r="AA35" s="2395">
        <v>143.95904165999102</v>
      </c>
      <c r="AB35" s="2395">
        <v>97.931695166429833</v>
      </c>
      <c r="AC35" s="2395">
        <v>92.926403282040866</v>
      </c>
    </row>
    <row r="36" spans="3:29" x14ac:dyDescent="0.4">
      <c r="C36" s="3140"/>
      <c r="D36" s="2394" t="s">
        <v>5001</v>
      </c>
      <c r="E36" s="2395">
        <v>119.99932930301549</v>
      </c>
      <c r="F36" s="2395">
        <v>110.35642989067908</v>
      </c>
      <c r="G36" s="2395">
        <v>85.727070401693837</v>
      </c>
      <c r="H36" s="2395">
        <v>102.28922241593199</v>
      </c>
      <c r="I36" s="2395">
        <v>96.099651201159702</v>
      </c>
      <c r="J36" s="2395">
        <v>115.42969952429499</v>
      </c>
      <c r="K36" s="2395">
        <v>135.69598343858198</v>
      </c>
      <c r="L36" s="2395">
        <v>88.01052728262097</v>
      </c>
      <c r="M36" s="2395">
        <v>54.020776591430838</v>
      </c>
      <c r="N36" s="2396">
        <v>106.94445570039299</v>
      </c>
      <c r="O36" s="2395">
        <v>108.11987759602408</v>
      </c>
      <c r="P36" s="2395">
        <v>108.36372145798011</v>
      </c>
      <c r="Q36" s="2395">
        <v>92.328265223722866</v>
      </c>
      <c r="R36" s="2395">
        <v>99.45853162901787</v>
      </c>
      <c r="S36" s="2395">
        <v>118.69644561007983</v>
      </c>
      <c r="T36" s="2395">
        <v>117.65476582357697</v>
      </c>
      <c r="U36" s="2397">
        <v>79.70153265003681</v>
      </c>
      <c r="V36" s="2395">
        <v>138.81973534123654</v>
      </c>
      <c r="W36" s="2395">
        <v>84.407176570936159</v>
      </c>
      <c r="X36" s="2395">
        <v>100.17076978006445</v>
      </c>
      <c r="Y36" s="2395">
        <v>85.424130946783222</v>
      </c>
      <c r="Z36" s="2395">
        <v>107.78417355400683</v>
      </c>
      <c r="AA36" s="2395">
        <v>95.92059267325557</v>
      </c>
      <c r="AB36" s="2395">
        <v>106.21053233733555</v>
      </c>
      <c r="AC36" s="2395">
        <v>183.15107627246269</v>
      </c>
    </row>
    <row r="37" spans="3:29" x14ac:dyDescent="0.4">
      <c r="C37" s="2752">
        <v>2016</v>
      </c>
      <c r="D37" s="2384" t="s">
        <v>5002</v>
      </c>
      <c r="E37" s="996">
        <v>107.08501113356388</v>
      </c>
      <c r="F37" s="996">
        <v>108.65520910434989</v>
      </c>
      <c r="G37" s="996">
        <v>72.215534583047273</v>
      </c>
      <c r="H37" s="996">
        <v>78.970475157504723</v>
      </c>
      <c r="I37" s="996">
        <v>68.493022040350667</v>
      </c>
      <c r="J37" s="996">
        <v>92.835524014636434</v>
      </c>
      <c r="K37" s="996">
        <v>77.970111673567814</v>
      </c>
      <c r="L37" s="996">
        <v>77.78366200371886</v>
      </c>
      <c r="M37" s="996">
        <v>55.260856882315466</v>
      </c>
      <c r="N37" s="2392">
        <v>102.10559383400305</v>
      </c>
      <c r="O37" s="996">
        <v>93.310603572279732</v>
      </c>
      <c r="P37" s="996">
        <v>98.725121883409955</v>
      </c>
      <c r="Q37" s="996">
        <v>94.683796891624169</v>
      </c>
      <c r="R37" s="996">
        <v>96.11348386890262</v>
      </c>
      <c r="S37" s="996">
        <v>106.80809860736463</v>
      </c>
      <c r="T37" s="996">
        <v>107.2624854830823</v>
      </c>
      <c r="U37" s="2393">
        <v>93.465458054245602</v>
      </c>
      <c r="V37" s="996">
        <v>96.978695162516587</v>
      </c>
      <c r="W37" s="996">
        <v>87.270280133569941</v>
      </c>
      <c r="X37" s="996">
        <v>102.76951358133269</v>
      </c>
      <c r="Y37" s="996">
        <v>93.631372170634535</v>
      </c>
      <c r="Z37" s="996">
        <v>85.093807471354964</v>
      </c>
      <c r="AA37" s="996">
        <v>110.7914512522923</v>
      </c>
      <c r="AB37" s="996">
        <v>102.48843461213133</v>
      </c>
      <c r="AC37" s="996">
        <v>61.923796643658036</v>
      </c>
    </row>
    <row r="38" spans="3:29" x14ac:dyDescent="0.4">
      <c r="C38" s="2752"/>
      <c r="D38" s="2384" t="s">
        <v>5003</v>
      </c>
      <c r="E38" s="996">
        <v>111.46649929331198</v>
      </c>
      <c r="F38" s="996">
        <v>136.18792935273899</v>
      </c>
      <c r="G38" s="996">
        <v>67.398297138117002</v>
      </c>
      <c r="H38" s="996">
        <v>98.56658370289189</v>
      </c>
      <c r="I38" s="996">
        <v>71.974807358012526</v>
      </c>
      <c r="J38" s="996">
        <v>102.70223051289899</v>
      </c>
      <c r="K38" s="996">
        <v>59.504002239085061</v>
      </c>
      <c r="L38" s="996">
        <v>91.644839421143203</v>
      </c>
      <c r="M38" s="996">
        <v>114.63076647131894</v>
      </c>
      <c r="N38" s="2392">
        <v>106.82114437405011</v>
      </c>
      <c r="O38" s="996">
        <v>101.82503742263887</v>
      </c>
      <c r="P38" s="996">
        <v>104.80444704030619</v>
      </c>
      <c r="Q38" s="996">
        <v>92.380601017976005</v>
      </c>
      <c r="R38" s="996">
        <v>101.17955128671494</v>
      </c>
      <c r="S38" s="996">
        <v>122.75223147054348</v>
      </c>
      <c r="T38" s="996">
        <v>112.08153836955464</v>
      </c>
      <c r="U38" s="2393">
        <v>107.16078939919751</v>
      </c>
      <c r="V38" s="996">
        <v>92.101973261614532</v>
      </c>
      <c r="W38" s="996">
        <v>89.277210829516989</v>
      </c>
      <c r="X38" s="996">
        <v>86.201753084365322</v>
      </c>
      <c r="Y38" s="996">
        <v>88.688355827664935</v>
      </c>
      <c r="Z38" s="996">
        <v>98.105390679161587</v>
      </c>
      <c r="AA38" s="996">
        <v>123.63069233467058</v>
      </c>
      <c r="AB38" s="996">
        <v>87.915132752328716</v>
      </c>
      <c r="AC38" s="996">
        <v>18.396937228301674</v>
      </c>
    </row>
    <row r="39" spans="3:29" x14ac:dyDescent="0.4">
      <c r="C39" s="2752"/>
      <c r="D39" s="2384" t="s">
        <v>5000</v>
      </c>
      <c r="E39" s="996">
        <v>110.68788424382865</v>
      </c>
      <c r="F39" s="996">
        <v>80.475834161548974</v>
      </c>
      <c r="G39" s="996">
        <v>84.698214561730225</v>
      </c>
      <c r="H39" s="996">
        <v>89.131905929709461</v>
      </c>
      <c r="I39" s="996">
        <v>77.482131189792497</v>
      </c>
      <c r="J39" s="996">
        <v>89.209923439751122</v>
      </c>
      <c r="K39" s="996">
        <v>98.353178673599146</v>
      </c>
      <c r="L39" s="996">
        <v>79.999537942474504</v>
      </c>
      <c r="M39" s="996">
        <v>77.794324411261968</v>
      </c>
      <c r="N39" s="2392">
        <v>104.16466070398687</v>
      </c>
      <c r="O39" s="996">
        <v>103.79237580219538</v>
      </c>
      <c r="P39" s="996">
        <v>99.698911481848498</v>
      </c>
      <c r="Q39" s="996">
        <v>97.057040618585717</v>
      </c>
      <c r="R39" s="996">
        <v>97.608930074253209</v>
      </c>
      <c r="S39" s="996">
        <v>109.03612629960264</v>
      </c>
      <c r="T39" s="996">
        <v>115.37564165470984</v>
      </c>
      <c r="U39" s="2393">
        <v>64.781323460105568</v>
      </c>
      <c r="V39" s="996">
        <v>108.06952567639753</v>
      </c>
      <c r="W39" s="996">
        <v>88.819072648047111</v>
      </c>
      <c r="X39" s="996">
        <v>108.51522288381072</v>
      </c>
      <c r="Y39" s="996">
        <v>90.194629349981085</v>
      </c>
      <c r="Z39" s="996">
        <v>105.62477762834446</v>
      </c>
      <c r="AA39" s="996">
        <v>118.44063776692468</v>
      </c>
      <c r="AB39" s="996">
        <v>96.541412705981855</v>
      </c>
      <c r="AC39" s="996">
        <v>62.658322713634206</v>
      </c>
    </row>
    <row r="40" spans="3:29" x14ac:dyDescent="0.4">
      <c r="C40" s="2752"/>
      <c r="D40" s="2384" t="s">
        <v>5001</v>
      </c>
      <c r="E40" s="996">
        <v>108.57154520106451</v>
      </c>
      <c r="F40" s="996">
        <v>115.56076291540205</v>
      </c>
      <c r="G40" s="996">
        <v>77.514411210668825</v>
      </c>
      <c r="H40" s="996">
        <v>106.56888345835236</v>
      </c>
      <c r="I40" s="996">
        <v>58.211459399317853</v>
      </c>
      <c r="J40" s="996">
        <v>100.60709201520505</v>
      </c>
      <c r="K40" s="996">
        <v>98.760222027300387</v>
      </c>
      <c r="L40" s="996">
        <v>98.645413673577039</v>
      </c>
      <c r="M40" s="996">
        <v>30.760373155188812</v>
      </c>
      <c r="N40" s="2392">
        <v>97.326150642692483</v>
      </c>
      <c r="O40" s="996">
        <v>93.132164160442159</v>
      </c>
      <c r="P40" s="996">
        <v>93.409027736910616</v>
      </c>
      <c r="Q40" s="996">
        <v>97.609626147699188</v>
      </c>
      <c r="R40" s="996">
        <v>109.09213179373162</v>
      </c>
      <c r="S40" s="996">
        <v>91.030459065665113</v>
      </c>
      <c r="T40" s="996">
        <v>106.45504272936653</v>
      </c>
      <c r="U40" s="2393">
        <v>60.171573066079297</v>
      </c>
      <c r="V40" s="996">
        <v>146.47032567567157</v>
      </c>
      <c r="W40" s="996">
        <v>84.311746585631496</v>
      </c>
      <c r="X40" s="996">
        <v>118.43376412631569</v>
      </c>
      <c r="Y40" s="996">
        <v>83.842362152060872</v>
      </c>
      <c r="Z40" s="996">
        <v>95.593864698202978</v>
      </c>
      <c r="AA40" s="996">
        <v>98.604924365226893</v>
      </c>
      <c r="AB40" s="996">
        <v>99.022857354733716</v>
      </c>
      <c r="AC40" s="996">
        <v>49.804580401400891</v>
      </c>
    </row>
    <row r="41" spans="3:29" x14ac:dyDescent="0.4">
      <c r="C41" s="3140">
        <v>2017</v>
      </c>
      <c r="D41" s="2394" t="s">
        <v>5002</v>
      </c>
      <c r="E41" s="2395">
        <v>110.06826763375308</v>
      </c>
      <c r="F41" s="2395">
        <v>120.70637265943256</v>
      </c>
      <c r="G41" s="2395">
        <v>76.197408039140868</v>
      </c>
      <c r="H41" s="2395">
        <v>90.329541874253025</v>
      </c>
      <c r="I41" s="2395">
        <v>86.090266558355253</v>
      </c>
      <c r="J41" s="2395">
        <v>104.3553064231364</v>
      </c>
      <c r="K41" s="2395">
        <v>95.91131096454221</v>
      </c>
      <c r="L41" s="2395">
        <v>87.993552991913418</v>
      </c>
      <c r="M41" s="2395">
        <v>46.461461836966471</v>
      </c>
      <c r="N41" s="2396">
        <v>101.80628822378985</v>
      </c>
      <c r="O41" s="2395">
        <v>98.001094024098904</v>
      </c>
      <c r="P41" s="2395">
        <v>100.05017833288005</v>
      </c>
      <c r="Q41" s="2395">
        <v>92.697625431951991</v>
      </c>
      <c r="R41" s="2395">
        <v>102.2018187788191</v>
      </c>
      <c r="S41" s="2395">
        <v>102.57701416239713</v>
      </c>
      <c r="T41" s="2395">
        <v>113.64553480118109</v>
      </c>
      <c r="U41" s="2397">
        <v>70.227011291542851</v>
      </c>
      <c r="V41" s="2395">
        <v>105.31650917380692</v>
      </c>
      <c r="W41" s="2395">
        <v>86.449016535663006</v>
      </c>
      <c r="X41" s="2395">
        <v>83.497387869264784</v>
      </c>
      <c r="Y41" s="2395">
        <v>88.897916350292505</v>
      </c>
      <c r="Z41" s="2395">
        <v>97.341628338923556</v>
      </c>
      <c r="AA41" s="2395">
        <v>106.45305485771695</v>
      </c>
      <c r="AB41" s="2395">
        <v>90.008826723224971</v>
      </c>
      <c r="AC41" s="2395">
        <v>94.924959126849558</v>
      </c>
    </row>
    <row r="42" spans="3:29" x14ac:dyDescent="0.4">
      <c r="C42" s="3140"/>
      <c r="D42" s="2394" t="s">
        <v>5003</v>
      </c>
      <c r="E42" s="2395">
        <v>111.4714572098116</v>
      </c>
      <c r="F42" s="2395">
        <v>120.84781587160937</v>
      </c>
      <c r="G42" s="2395">
        <v>84.62273092727834</v>
      </c>
      <c r="H42" s="2395">
        <v>129.01640301579377</v>
      </c>
      <c r="I42" s="2395">
        <v>65.133361516040978</v>
      </c>
      <c r="J42" s="2395">
        <v>82.750015072509441</v>
      </c>
      <c r="K42" s="2395">
        <v>115.31980334933201</v>
      </c>
      <c r="L42" s="2395">
        <v>88.258842778238545</v>
      </c>
      <c r="M42" s="2395">
        <v>67.351396110877303</v>
      </c>
      <c r="N42" s="2396">
        <v>109.78959485427826</v>
      </c>
      <c r="O42" s="2395">
        <v>94.366734706793679</v>
      </c>
      <c r="P42" s="2395">
        <v>106.39577763601984</v>
      </c>
      <c r="Q42" s="2395">
        <v>93.263391846808318</v>
      </c>
      <c r="R42" s="2395">
        <v>103.269402626852</v>
      </c>
      <c r="S42" s="2395">
        <v>95.201703730637732</v>
      </c>
      <c r="T42" s="2395">
        <v>112.14994646589356</v>
      </c>
      <c r="U42" s="2397">
        <v>139.75470333023637</v>
      </c>
      <c r="V42" s="2395">
        <v>104.52938058166011</v>
      </c>
      <c r="W42" s="2395">
        <v>87.092333835028896</v>
      </c>
      <c r="X42" s="2395">
        <v>81.021784768115722</v>
      </c>
      <c r="Y42" s="2395">
        <v>84.988073457749806</v>
      </c>
      <c r="Z42" s="2395">
        <v>98.704011194197619</v>
      </c>
      <c r="AA42" s="2395">
        <v>102.44615423834058</v>
      </c>
      <c r="AB42" s="2395">
        <v>91.36196887736763</v>
      </c>
      <c r="AC42" s="2395">
        <v>47.959268931475123</v>
      </c>
    </row>
    <row r="43" spans="3:29" x14ac:dyDescent="0.4">
      <c r="C43" s="3140"/>
      <c r="D43" s="2394" t="s">
        <v>5000</v>
      </c>
      <c r="E43" s="2395">
        <v>113.44992719626586</v>
      </c>
      <c r="F43" s="2395">
        <v>105.96247157376814</v>
      </c>
      <c r="G43" s="2395">
        <v>91.654688825727675</v>
      </c>
      <c r="H43" s="2395">
        <v>115.46866180633499</v>
      </c>
      <c r="I43" s="2395">
        <v>95.203660838940962</v>
      </c>
      <c r="J43" s="2395">
        <v>91.538099702558128</v>
      </c>
      <c r="K43" s="2395">
        <v>116.27051013882728</v>
      </c>
      <c r="L43" s="2395">
        <v>94.234341063441235</v>
      </c>
      <c r="M43" s="2395">
        <v>96.496225345811126</v>
      </c>
      <c r="N43" s="2396">
        <v>101.71852653446524</v>
      </c>
      <c r="O43" s="2395">
        <v>90.089338166326797</v>
      </c>
      <c r="P43" s="2395">
        <v>101.59745438046505</v>
      </c>
      <c r="Q43" s="2395">
        <v>84.788514259222609</v>
      </c>
      <c r="R43" s="2395">
        <v>102.71752757237576</v>
      </c>
      <c r="S43" s="2395">
        <v>98.002645250052311</v>
      </c>
      <c r="T43" s="2395">
        <v>102.36926166971794</v>
      </c>
      <c r="U43" s="2397">
        <v>109.61861029174926</v>
      </c>
      <c r="V43" s="2395">
        <v>133.74373988821469</v>
      </c>
      <c r="W43" s="2395">
        <v>99.305044561838145</v>
      </c>
      <c r="X43" s="2395">
        <v>145.25602914955962</v>
      </c>
      <c r="Y43" s="2395">
        <v>82.487753124539694</v>
      </c>
      <c r="Z43" s="2395">
        <v>107.20014741137919</v>
      </c>
      <c r="AA43" s="2395">
        <v>108.92226756114674</v>
      </c>
      <c r="AB43" s="2395">
        <v>113.30170945201613</v>
      </c>
      <c r="AC43" s="2395">
        <v>107.84120911867664</v>
      </c>
    </row>
    <row r="44" spans="3:29" x14ac:dyDescent="0.4">
      <c r="C44" s="3140"/>
      <c r="D44" s="2394" t="s">
        <v>5001</v>
      </c>
      <c r="E44" s="2395">
        <v>117.66668154009329</v>
      </c>
      <c r="F44" s="2395">
        <v>81.237142240072359</v>
      </c>
      <c r="G44" s="2395">
        <v>84.649317742539921</v>
      </c>
      <c r="H44" s="2395">
        <v>106.98422057688106</v>
      </c>
      <c r="I44" s="2395">
        <v>55.102837426845774</v>
      </c>
      <c r="J44" s="2395">
        <v>112.31804709012643</v>
      </c>
      <c r="K44" s="2395">
        <v>67.657736507893688</v>
      </c>
      <c r="L44" s="2395">
        <v>94.734751252860534</v>
      </c>
      <c r="M44" s="2395">
        <v>75.572972102639042</v>
      </c>
      <c r="N44" s="2396">
        <v>125.21203940101199</v>
      </c>
      <c r="O44" s="2395">
        <v>96.006341658360185</v>
      </c>
      <c r="P44" s="2395">
        <v>122.41073295893399</v>
      </c>
      <c r="Q44" s="2395">
        <v>92.319385979484565</v>
      </c>
      <c r="R44" s="2395">
        <v>99.403522053556429</v>
      </c>
      <c r="S44" s="2395">
        <v>108.38169952302697</v>
      </c>
      <c r="T44" s="2395">
        <v>114.96205100321308</v>
      </c>
      <c r="U44" s="2397">
        <v>137.11770704573863</v>
      </c>
      <c r="V44" s="2395">
        <v>112.70589611217285</v>
      </c>
      <c r="W44" s="2395">
        <v>91.055381607155738</v>
      </c>
      <c r="X44" s="2395">
        <v>92.458618442844056</v>
      </c>
      <c r="Y44" s="2395">
        <v>80.937933556441592</v>
      </c>
      <c r="Z44" s="2395">
        <v>95.133385821797674</v>
      </c>
      <c r="AA44" s="2395">
        <v>98.549843815596233</v>
      </c>
      <c r="AB44" s="2395">
        <v>97.365918230230335</v>
      </c>
      <c r="AC44" s="2395">
        <v>122.47983446543979</v>
      </c>
    </row>
    <row r="45" spans="3:29" x14ac:dyDescent="0.4">
      <c r="C45" s="2752">
        <v>2018</v>
      </c>
      <c r="D45" s="2384" t="s">
        <v>5002</v>
      </c>
      <c r="E45" s="996">
        <v>113.21427052746411</v>
      </c>
      <c r="F45" s="996">
        <v>94.229705740250708</v>
      </c>
      <c r="G45" s="996">
        <v>88.334894890685035</v>
      </c>
      <c r="H45" s="996">
        <v>95.372272061234071</v>
      </c>
      <c r="I45" s="996">
        <v>68.355253960089598</v>
      </c>
      <c r="J45" s="996">
        <v>93.910041451079621</v>
      </c>
      <c r="K45" s="996">
        <v>79.565909808196054</v>
      </c>
      <c r="L45" s="996">
        <v>93.667784576047026</v>
      </c>
      <c r="M45" s="996">
        <v>61.225562693386173</v>
      </c>
      <c r="N45" s="2392">
        <v>114.25358689585683</v>
      </c>
      <c r="O45" s="996">
        <v>90.47007821933019</v>
      </c>
      <c r="P45" s="996">
        <v>111.36193110023748</v>
      </c>
      <c r="Q45" s="996">
        <v>94.98033824955931</v>
      </c>
      <c r="R45" s="996">
        <v>105.62030422461358</v>
      </c>
      <c r="S45" s="996">
        <v>110.14307411536279</v>
      </c>
      <c r="T45" s="996">
        <v>109.44573363658291</v>
      </c>
      <c r="U45" s="2393">
        <v>99.506207086482874</v>
      </c>
      <c r="V45" s="996">
        <v>127.97210886288769</v>
      </c>
      <c r="W45" s="996">
        <v>95.391527354718136</v>
      </c>
      <c r="X45" s="996">
        <v>88.135594855650766</v>
      </c>
      <c r="Y45" s="996">
        <v>91.918253209842931</v>
      </c>
      <c r="Z45" s="996">
        <v>94.747193125163975</v>
      </c>
      <c r="AA45" s="996">
        <v>115.6400080838164</v>
      </c>
      <c r="AB45" s="996">
        <v>98.125214429779234</v>
      </c>
      <c r="AC45" s="996">
        <v>180.03450830846833</v>
      </c>
    </row>
    <row r="46" spans="3:29" x14ac:dyDescent="0.4">
      <c r="C46" s="2752"/>
      <c r="D46" s="2384" t="s">
        <v>5003</v>
      </c>
      <c r="E46" s="996">
        <v>106.64159916446918</v>
      </c>
      <c r="F46" s="996">
        <v>106.49662773709959</v>
      </c>
      <c r="G46" s="996">
        <v>61.336561679683477</v>
      </c>
      <c r="H46" s="996">
        <v>93.698844369686668</v>
      </c>
      <c r="I46" s="996">
        <v>60.95852857376758</v>
      </c>
      <c r="J46" s="996">
        <v>91.515739687476838</v>
      </c>
      <c r="K46" s="996">
        <v>70.440545141693789</v>
      </c>
      <c r="L46" s="996">
        <v>80.845551191115462</v>
      </c>
      <c r="M46" s="996">
        <v>44.713699718559319</v>
      </c>
      <c r="N46" s="2392">
        <v>116.06915500836638</v>
      </c>
      <c r="O46" s="996">
        <v>90.604923030233422</v>
      </c>
      <c r="P46" s="996">
        <v>93.844745200811559</v>
      </c>
      <c r="Q46" s="996">
        <v>91.317472113225321</v>
      </c>
      <c r="R46" s="996">
        <v>103.60243674962062</v>
      </c>
      <c r="S46" s="996">
        <v>100.64968692228464</v>
      </c>
      <c r="T46" s="996">
        <v>109.83341607415453</v>
      </c>
      <c r="U46" s="2393">
        <v>97.38856551088297</v>
      </c>
      <c r="V46" s="996">
        <v>175.02340610641809</v>
      </c>
      <c r="W46" s="996">
        <v>92.126894306136109</v>
      </c>
      <c r="X46" s="996">
        <v>118.9829085989728</v>
      </c>
      <c r="Y46" s="996">
        <v>84.994687800355308</v>
      </c>
      <c r="Z46" s="996">
        <v>110.10019208053102</v>
      </c>
      <c r="AA46" s="996">
        <v>111.59075156862038</v>
      </c>
      <c r="AB46" s="996">
        <v>106.77025162536722</v>
      </c>
      <c r="AC46" s="996">
        <v>124.48781233230031</v>
      </c>
    </row>
    <row r="47" spans="3:29" x14ac:dyDescent="0.4">
      <c r="C47" s="2752"/>
      <c r="D47" s="2384" t="s">
        <v>5000</v>
      </c>
      <c r="E47" s="996">
        <v>114.20912874870142</v>
      </c>
      <c r="F47" s="996">
        <v>127.25599256477295</v>
      </c>
      <c r="G47" s="996">
        <v>82.944556087341894</v>
      </c>
      <c r="H47" s="996">
        <v>136.0990471783731</v>
      </c>
      <c r="I47" s="996">
        <v>68.38845508750731</v>
      </c>
      <c r="J47" s="996">
        <v>102.6619461122566</v>
      </c>
      <c r="K47" s="996">
        <v>92.917955663065356</v>
      </c>
      <c r="L47" s="996">
        <v>95.88645969275828</v>
      </c>
      <c r="M47" s="996">
        <v>76.519733166366521</v>
      </c>
      <c r="N47" s="2392">
        <v>114.13882017165827</v>
      </c>
      <c r="O47" s="996">
        <v>99.242858914522685</v>
      </c>
      <c r="P47" s="996">
        <v>115.56442421788333</v>
      </c>
      <c r="Q47" s="996">
        <v>96.767914659012021</v>
      </c>
      <c r="R47" s="996">
        <v>98.747210233208392</v>
      </c>
      <c r="S47" s="996">
        <v>100.96756201689436</v>
      </c>
      <c r="T47" s="996">
        <v>117.89036223224008</v>
      </c>
      <c r="U47" s="2393">
        <v>161.03415815486389</v>
      </c>
      <c r="V47" s="996">
        <v>88.299493228993043</v>
      </c>
      <c r="W47" s="996">
        <v>91.399762822438873</v>
      </c>
      <c r="X47" s="996">
        <v>107.24142787461541</v>
      </c>
      <c r="Y47" s="996">
        <v>77.680972067892725</v>
      </c>
      <c r="Z47" s="996">
        <v>87.411982257935676</v>
      </c>
      <c r="AA47" s="996">
        <v>90.780115152212929</v>
      </c>
      <c r="AB47" s="996">
        <v>92.000292514860803</v>
      </c>
      <c r="AC47" s="996">
        <v>70.074236465045701</v>
      </c>
    </row>
    <row r="48" spans="3:29" x14ac:dyDescent="0.4">
      <c r="C48" s="2752"/>
      <c r="D48" s="2384" t="s">
        <v>5001</v>
      </c>
      <c r="E48" s="996">
        <v>107.19936478921352</v>
      </c>
      <c r="F48" s="996">
        <v>101.91145166069798</v>
      </c>
      <c r="G48" s="996">
        <v>71.974982033033612</v>
      </c>
      <c r="H48" s="996">
        <v>103.29207427010019</v>
      </c>
      <c r="I48" s="996">
        <v>61.355530402753985</v>
      </c>
      <c r="J48" s="996">
        <v>106.62303797219404</v>
      </c>
      <c r="K48" s="996">
        <v>100.40623846765814</v>
      </c>
      <c r="L48" s="996">
        <v>72.395876120563941</v>
      </c>
      <c r="M48" s="996">
        <v>72.261588391546312</v>
      </c>
      <c r="N48" s="2392">
        <v>104.21711046345166</v>
      </c>
      <c r="O48" s="996">
        <v>93.303311692055118</v>
      </c>
      <c r="P48" s="996">
        <v>99.639385537729737</v>
      </c>
      <c r="Q48" s="996">
        <v>89.970243187820785</v>
      </c>
      <c r="R48" s="996">
        <v>94.482143184503059</v>
      </c>
      <c r="S48" s="996">
        <v>99.079100592570384</v>
      </c>
      <c r="T48" s="996">
        <v>110.37847312532523</v>
      </c>
      <c r="U48" s="2393">
        <v>98.967440939865469</v>
      </c>
      <c r="V48" s="996">
        <v>97.250607305942239</v>
      </c>
      <c r="W48" s="996">
        <v>90.285402481422054</v>
      </c>
      <c r="X48" s="996">
        <v>90.671794931507065</v>
      </c>
      <c r="Y48" s="996">
        <v>85.306588099478745</v>
      </c>
      <c r="Z48" s="996">
        <v>94.71690108296697</v>
      </c>
      <c r="AA48" s="996">
        <v>95.862870109001491</v>
      </c>
      <c r="AB48" s="996">
        <v>97.283363503053678</v>
      </c>
      <c r="AC48" s="996">
        <v>83.64500924867319</v>
      </c>
    </row>
    <row r="49" spans="3:29" x14ac:dyDescent="0.4">
      <c r="C49" s="3140">
        <v>2019</v>
      </c>
      <c r="D49" s="2394" t="s">
        <v>5002</v>
      </c>
      <c r="E49" s="2395">
        <v>105.51723804068092</v>
      </c>
      <c r="F49" s="2395">
        <v>114.3146787839257</v>
      </c>
      <c r="G49" s="2395">
        <v>64.931089062290951</v>
      </c>
      <c r="H49" s="2395">
        <v>90.400058180111643</v>
      </c>
      <c r="I49" s="2395">
        <v>57.518240487793825</v>
      </c>
      <c r="J49" s="2395">
        <v>113.21419091243537</v>
      </c>
      <c r="K49" s="2395">
        <v>88.279813982286541</v>
      </c>
      <c r="L49" s="2395">
        <v>78.395842612700747</v>
      </c>
      <c r="M49" s="2395">
        <v>41.480383877073557</v>
      </c>
      <c r="N49" s="2396">
        <v>101.117517885194</v>
      </c>
      <c r="O49" s="2395">
        <v>91.432918351966791</v>
      </c>
      <c r="P49" s="2395">
        <v>97.761667109011441</v>
      </c>
      <c r="Q49" s="2395">
        <v>90.938429563364792</v>
      </c>
      <c r="R49" s="2395">
        <v>94.491638069633325</v>
      </c>
      <c r="S49" s="2395">
        <v>109.64816017241297</v>
      </c>
      <c r="T49" s="2395">
        <v>104.85002146160618</v>
      </c>
      <c r="U49" s="2397">
        <v>136.92022924138175</v>
      </c>
      <c r="V49" s="2395">
        <v>177.52297178267781</v>
      </c>
      <c r="W49" s="2395">
        <v>96.65511666692737</v>
      </c>
      <c r="X49" s="2395">
        <v>137.73504071962714</v>
      </c>
      <c r="Y49" s="2395">
        <v>88.12301428839919</v>
      </c>
      <c r="Z49" s="2395">
        <v>107.07654407564635</v>
      </c>
      <c r="AA49" s="2395">
        <v>118.56008911433619</v>
      </c>
      <c r="AB49" s="2395">
        <v>122.83996157949663</v>
      </c>
      <c r="AC49" s="2395">
        <v>38.871798585723745</v>
      </c>
    </row>
    <row r="50" spans="3:29" x14ac:dyDescent="0.4">
      <c r="C50" s="3140"/>
      <c r="D50" s="2394" t="s">
        <v>5003</v>
      </c>
      <c r="E50" s="2395">
        <v>103.89448041713618</v>
      </c>
      <c r="F50" s="2395">
        <v>80.338706359647759</v>
      </c>
      <c r="G50" s="2395">
        <v>82.391821490472225</v>
      </c>
      <c r="H50" s="2395">
        <v>98.221174978986653</v>
      </c>
      <c r="I50" s="2395">
        <v>67.263664096544076</v>
      </c>
      <c r="J50" s="2395">
        <v>94.414485370663286</v>
      </c>
      <c r="K50" s="2395">
        <v>91.422495511362627</v>
      </c>
      <c r="L50" s="2395">
        <v>77.719406976180366</v>
      </c>
      <c r="M50" s="2395">
        <v>82.006871242041655</v>
      </c>
      <c r="N50" s="2396">
        <v>95.479384888564809</v>
      </c>
      <c r="O50" s="2395">
        <v>90.212504467529158</v>
      </c>
      <c r="P50" s="2395">
        <v>85.766014706947999</v>
      </c>
      <c r="Q50" s="2395">
        <v>90.59679997819417</v>
      </c>
      <c r="R50" s="2395">
        <v>102.08910187695857</v>
      </c>
      <c r="S50" s="2395">
        <v>115.52764778473426</v>
      </c>
      <c r="T50" s="2395">
        <v>102.93406988347718</v>
      </c>
      <c r="U50" s="2397">
        <v>56.061034580515276</v>
      </c>
      <c r="V50" s="2395">
        <v>123.73848964241203</v>
      </c>
      <c r="W50" s="2395">
        <v>93.140759600120134</v>
      </c>
      <c r="X50" s="2395">
        <v>106.37057490230748</v>
      </c>
      <c r="Y50" s="2395">
        <v>84.438852215746024</v>
      </c>
      <c r="Z50" s="2395">
        <v>106.4387963015506</v>
      </c>
      <c r="AA50" s="2395">
        <v>107.24578013750208</v>
      </c>
      <c r="AB50" s="2395">
        <v>112.30278783845237</v>
      </c>
      <c r="AC50" s="2395">
        <v>45.179351874774035</v>
      </c>
    </row>
    <row r="51" spans="3:29" x14ac:dyDescent="0.4">
      <c r="C51" s="3140"/>
      <c r="D51" s="2394" t="s">
        <v>5000</v>
      </c>
      <c r="E51" s="2395">
        <v>106.5330405234955</v>
      </c>
      <c r="F51" s="2395">
        <v>84.600755931918954</v>
      </c>
      <c r="G51" s="2395">
        <v>73.150260256634141</v>
      </c>
      <c r="H51" s="2395">
        <v>81.333769146715284</v>
      </c>
      <c r="I51" s="2395">
        <v>67.623365241969239</v>
      </c>
      <c r="J51" s="2395">
        <v>112.91156606639485</v>
      </c>
      <c r="K51" s="2395">
        <v>122.57144688029096</v>
      </c>
      <c r="L51" s="2395">
        <v>71.518103487177285</v>
      </c>
      <c r="M51" s="2395">
        <v>65.242492786995399</v>
      </c>
      <c r="N51" s="2396">
        <v>98.668346184282044</v>
      </c>
      <c r="O51" s="2395">
        <v>96.056558622694325</v>
      </c>
      <c r="P51" s="2395">
        <v>91.639982816615444</v>
      </c>
      <c r="Q51" s="2395">
        <v>89.738489786435323</v>
      </c>
      <c r="R51" s="2395">
        <v>98.579407412116311</v>
      </c>
      <c r="S51" s="2395">
        <v>118.64102361301904</v>
      </c>
      <c r="T51" s="2395">
        <v>111.42936546951412</v>
      </c>
      <c r="U51" s="2397">
        <v>56.20267783218258</v>
      </c>
      <c r="V51" s="2395">
        <v>123.61113699749589</v>
      </c>
      <c r="W51" s="2395">
        <v>92.050249473232753</v>
      </c>
      <c r="X51" s="2395">
        <v>96.744857135614097</v>
      </c>
      <c r="Y51" s="2395">
        <v>84.222121315694309</v>
      </c>
      <c r="Z51" s="2395">
        <v>100.51426443101073</v>
      </c>
      <c r="AA51" s="2395">
        <v>92.420105273940351</v>
      </c>
      <c r="AB51" s="2395">
        <v>109.04197749740867</v>
      </c>
      <c r="AC51" s="2395">
        <v>62.358107994590682</v>
      </c>
    </row>
    <row r="52" spans="3:29" x14ac:dyDescent="0.4">
      <c r="C52" s="3140"/>
      <c r="D52" s="2394" t="s">
        <v>5001</v>
      </c>
      <c r="E52" s="2395">
        <v>107.5257569970865</v>
      </c>
      <c r="F52" s="2395">
        <v>101.01257155357577</v>
      </c>
      <c r="G52" s="2395">
        <v>81.723881941015591</v>
      </c>
      <c r="H52" s="2395">
        <v>111.78952913253461</v>
      </c>
      <c r="I52" s="2395">
        <v>79.591109976683526</v>
      </c>
      <c r="J52" s="2395">
        <v>114.20903048674356</v>
      </c>
      <c r="K52" s="2395">
        <v>87.347559078975848</v>
      </c>
      <c r="L52" s="2395">
        <v>73.9326428008319</v>
      </c>
      <c r="M52" s="2395">
        <v>103.97307566913312</v>
      </c>
      <c r="N52" s="2396">
        <v>98.893725423313128</v>
      </c>
      <c r="O52" s="2395">
        <v>88.740583107161683</v>
      </c>
      <c r="P52" s="2395">
        <v>93.51884814729452</v>
      </c>
      <c r="Q52" s="2395">
        <v>89.636354635740219</v>
      </c>
      <c r="R52" s="2395">
        <v>96.26032636369996</v>
      </c>
      <c r="S52" s="2395">
        <v>120.49277627656582</v>
      </c>
      <c r="T52" s="2395">
        <v>103.48370144901371</v>
      </c>
      <c r="U52" s="2397">
        <v>97.361733318728866</v>
      </c>
      <c r="V52" s="2395">
        <v>148.0354080700358</v>
      </c>
      <c r="W52" s="2395">
        <v>97.526838485811965</v>
      </c>
      <c r="X52" s="2395">
        <v>138.61184512204736</v>
      </c>
      <c r="Y52" s="2395">
        <v>85.111118320984531</v>
      </c>
      <c r="Z52" s="2395">
        <v>102.0462960635782</v>
      </c>
      <c r="AA52" s="2395">
        <v>103.88047689326945</v>
      </c>
      <c r="AB52" s="2395">
        <v>128.86071994945451</v>
      </c>
      <c r="AC52" s="2395">
        <v>141.66519752873609</v>
      </c>
    </row>
    <row r="53" spans="3:29" x14ac:dyDescent="0.4">
      <c r="C53" s="2752">
        <v>2020</v>
      </c>
      <c r="D53" s="2384" t="s">
        <v>5002</v>
      </c>
      <c r="E53" s="996">
        <v>110.8981413506657</v>
      </c>
      <c r="F53" s="996">
        <v>122.29533550661056</v>
      </c>
      <c r="G53" s="996">
        <v>88.514105339514032</v>
      </c>
      <c r="H53" s="996">
        <v>137.73980208292139</v>
      </c>
      <c r="I53" s="996">
        <v>67.756876089264622</v>
      </c>
      <c r="J53" s="996">
        <v>110.81493102274815</v>
      </c>
      <c r="K53" s="996">
        <v>96.625382622742379</v>
      </c>
      <c r="L53" s="996">
        <v>96.476216789939414</v>
      </c>
      <c r="M53" s="996">
        <v>111.31895723871298</v>
      </c>
      <c r="N53" s="996">
        <v>99.289570338461999</v>
      </c>
      <c r="O53" s="996">
        <v>93.397119014995553</v>
      </c>
      <c r="P53" s="996">
        <v>97.99622518903351</v>
      </c>
      <c r="Q53" s="996">
        <v>95.356110308633461</v>
      </c>
      <c r="R53" s="996">
        <v>94.974247783121214</v>
      </c>
      <c r="S53" s="996">
        <v>114.10363362025558</v>
      </c>
      <c r="T53" s="996">
        <v>107.94915838385293</v>
      </c>
      <c r="U53" s="996">
        <v>95.515499930638242</v>
      </c>
      <c r="V53" s="996">
        <v>133.02515449275705</v>
      </c>
      <c r="W53" s="996">
        <v>89.07481783726503</v>
      </c>
      <c r="X53" s="996">
        <v>114.09986850593612</v>
      </c>
      <c r="Y53" s="996">
        <v>89.086435517476787</v>
      </c>
      <c r="Z53" s="996">
        <v>86.293473216069074</v>
      </c>
      <c r="AA53" s="996">
        <v>94.076247927244282</v>
      </c>
      <c r="AB53" s="996">
        <v>104.80819114253353</v>
      </c>
      <c r="AC53" s="996">
        <v>199.02595893005625</v>
      </c>
    </row>
    <row r="54" spans="3:29" ht="12.75" customHeight="1" x14ac:dyDescent="0.4">
      <c r="C54" s="2752"/>
      <c r="D54" s="2384" t="s">
        <v>5003</v>
      </c>
      <c r="E54" s="996">
        <v>115.9588481439131</v>
      </c>
      <c r="F54" s="996">
        <v>62.272942955704124</v>
      </c>
      <c r="G54" s="996">
        <v>86.077032261729329</v>
      </c>
      <c r="H54" s="996">
        <v>75.768301886827814</v>
      </c>
      <c r="I54" s="996">
        <v>97.066021626894184</v>
      </c>
      <c r="J54" s="996">
        <v>116.94291739637244</v>
      </c>
      <c r="K54" s="996">
        <v>95.600528365275011</v>
      </c>
      <c r="L54" s="996">
        <v>102.19903156552334</v>
      </c>
      <c r="M54" s="996">
        <v>34.196367632113663</v>
      </c>
      <c r="N54" s="996">
        <v>102.52084654866</v>
      </c>
      <c r="O54" s="996">
        <v>100.66776116471046</v>
      </c>
      <c r="P54" s="996">
        <v>100.73923676818779</v>
      </c>
      <c r="Q54" s="996">
        <v>99.652686435066627</v>
      </c>
      <c r="R54" s="996">
        <v>100.97928435596897</v>
      </c>
      <c r="S54" s="996">
        <v>113.04728012873572</v>
      </c>
      <c r="T54" s="996">
        <v>120.19330185958819</v>
      </c>
      <c r="U54" s="996">
        <v>106.97001980662779</v>
      </c>
      <c r="V54" s="996">
        <v>133.53949707492765</v>
      </c>
      <c r="W54" s="996">
        <v>96.263412211183379</v>
      </c>
      <c r="X54" s="996">
        <v>114.21975669609277</v>
      </c>
      <c r="Y54" s="996">
        <v>102.93270351456928</v>
      </c>
      <c r="Z54" s="996">
        <v>104.72157913861339</v>
      </c>
      <c r="AA54" s="996">
        <v>122.42134152895466</v>
      </c>
      <c r="AB54" s="996">
        <v>113.51635059729752</v>
      </c>
      <c r="AC54" s="996">
        <v>355.80991573245609</v>
      </c>
    </row>
    <row r="55" spans="3:29" x14ac:dyDescent="0.4">
      <c r="C55" s="2752"/>
      <c r="D55" s="2384" t="s">
        <v>5000</v>
      </c>
      <c r="E55" s="996">
        <v>127.86923573932745</v>
      </c>
      <c r="F55" s="996">
        <v>113.63934448701313</v>
      </c>
      <c r="G55" s="996">
        <v>91.070224634714677</v>
      </c>
      <c r="H55" s="996">
        <v>112.77459207028467</v>
      </c>
      <c r="I55" s="996">
        <v>93.236920315222733</v>
      </c>
      <c r="J55" s="996">
        <v>144.52596716312513</v>
      </c>
      <c r="K55" s="996">
        <v>128.79877377048496</v>
      </c>
      <c r="L55" s="996">
        <v>105.06294629256423</v>
      </c>
      <c r="M55" s="996">
        <v>114.22508735493646</v>
      </c>
      <c r="N55" s="996">
        <v>120.47472999753208</v>
      </c>
      <c r="O55" s="996">
        <v>105.25643601042667</v>
      </c>
      <c r="P55" s="996">
        <v>111.67902668964631</v>
      </c>
      <c r="Q55" s="996">
        <v>98.849241617795542</v>
      </c>
      <c r="R55" s="996">
        <v>95.250499514811409</v>
      </c>
      <c r="S55" s="996">
        <v>120.57728640610954</v>
      </c>
      <c r="T55" s="996">
        <v>130.1143333789839</v>
      </c>
      <c r="U55" s="996">
        <v>147.91965452557406</v>
      </c>
      <c r="V55" s="996">
        <v>152.54032625619314</v>
      </c>
      <c r="W55" s="996">
        <v>91.652623295987169</v>
      </c>
      <c r="X55" s="996">
        <v>114.73353967381705</v>
      </c>
      <c r="Y55" s="996">
        <v>93.504858120163988</v>
      </c>
      <c r="Z55" s="996">
        <v>99.735278365531144</v>
      </c>
      <c r="AA55" s="996">
        <v>89.768957985045546</v>
      </c>
      <c r="AB55" s="996">
        <v>117.8033374834132</v>
      </c>
      <c r="AC55" s="996">
        <v>275.65186211217895</v>
      </c>
    </row>
    <row r="56" spans="3:29" x14ac:dyDescent="0.4">
      <c r="C56" s="2752"/>
      <c r="D56" s="2384" t="s">
        <v>5001</v>
      </c>
      <c r="E56" s="996">
        <v>117.58048008903744</v>
      </c>
      <c r="F56" s="996">
        <v>94.76292475234203</v>
      </c>
      <c r="G56" s="996">
        <v>90.326680816396248</v>
      </c>
      <c r="H56" s="996">
        <v>108.10122403237703</v>
      </c>
      <c r="I56" s="996">
        <v>85.327444309800057</v>
      </c>
      <c r="J56" s="996">
        <v>138.77275994784023</v>
      </c>
      <c r="K56" s="996">
        <v>91.482900062508946</v>
      </c>
      <c r="L56" s="996">
        <v>113.37877354894425</v>
      </c>
      <c r="M56" s="996">
        <v>116.8062897475251</v>
      </c>
      <c r="N56" s="996">
        <v>112.94658178840562</v>
      </c>
      <c r="O56" s="996">
        <v>91.914990531054826</v>
      </c>
      <c r="P56" s="996">
        <v>101.03290270303584</v>
      </c>
      <c r="Q56" s="996">
        <v>95.100272808130299</v>
      </c>
      <c r="R56" s="996">
        <v>96.913754394241209</v>
      </c>
      <c r="S56" s="996">
        <v>119.83836999843109</v>
      </c>
      <c r="T56" s="996">
        <v>120.05280172676744</v>
      </c>
      <c r="U56" s="996">
        <v>87.774390074825178</v>
      </c>
      <c r="V56" s="996">
        <v>111.20846922821266</v>
      </c>
      <c r="W56" s="996">
        <v>98.35598044956339</v>
      </c>
      <c r="X56" s="996">
        <v>109.95189091107203</v>
      </c>
      <c r="Y56" s="996">
        <v>82.725698201224162</v>
      </c>
      <c r="Z56" s="996">
        <v>104.54626971575533</v>
      </c>
      <c r="AA56" s="996">
        <v>97.399602997601704</v>
      </c>
      <c r="AB56" s="996">
        <v>112.19654037246592</v>
      </c>
      <c r="AC56" s="996">
        <v>22.762342563224095</v>
      </c>
    </row>
    <row r="57" spans="3:29" x14ac:dyDescent="0.4">
      <c r="C57" s="3140">
        <v>2021</v>
      </c>
      <c r="D57" s="2394" t="s">
        <v>5002</v>
      </c>
      <c r="E57" s="2395">
        <v>111.86831022470649</v>
      </c>
      <c r="F57" s="2395">
        <v>93.673255060793423</v>
      </c>
      <c r="G57" s="2395">
        <v>101.05007880024048</v>
      </c>
      <c r="H57" s="2395">
        <v>90.365761589128127</v>
      </c>
      <c r="I57" s="2395">
        <v>101.32641464814375</v>
      </c>
      <c r="J57" s="2395">
        <v>99.268684231661368</v>
      </c>
      <c r="K57" s="2395">
        <v>248.64588090399923</v>
      </c>
      <c r="L57" s="2395">
        <v>85.952765531640821</v>
      </c>
      <c r="M57" s="2395">
        <v>105.55018078398142</v>
      </c>
      <c r="N57" s="2396">
        <v>112.86510225012346</v>
      </c>
      <c r="O57" s="2395">
        <v>91.24838750622159</v>
      </c>
      <c r="P57" s="2395">
        <v>97.381139784208429</v>
      </c>
      <c r="Q57" s="2395">
        <v>92.850983807149674</v>
      </c>
      <c r="R57" s="2395">
        <v>101.15512610222387</v>
      </c>
      <c r="S57" s="2395">
        <v>105.68015624214055</v>
      </c>
      <c r="T57" s="2395">
        <v>114.99695169634126</v>
      </c>
      <c r="U57" s="2397">
        <v>75.007845065620103</v>
      </c>
      <c r="V57" s="2395">
        <v>109.145453435222</v>
      </c>
      <c r="W57" s="2395">
        <v>91.227224625766794</v>
      </c>
      <c r="X57" s="2395">
        <v>91.202724211392223</v>
      </c>
      <c r="Y57" s="2395">
        <v>78.551266498860812</v>
      </c>
      <c r="Z57" s="2395">
        <v>103.3647877738787</v>
      </c>
      <c r="AA57" s="2395">
        <v>95.845793642542972</v>
      </c>
      <c r="AB57" s="2395">
        <v>98.166152240190257</v>
      </c>
      <c r="AC57" s="2395">
        <v>65.283218756408417</v>
      </c>
    </row>
    <row r="58" spans="3:29" x14ac:dyDescent="0.4">
      <c r="C58" s="3140"/>
      <c r="D58" s="2394" t="s">
        <v>5003</v>
      </c>
      <c r="E58" s="2395">
        <v>112.99067867593541</v>
      </c>
      <c r="F58" s="2395">
        <v>58.963601781255093</v>
      </c>
      <c r="G58" s="2395">
        <v>86.930083106977847</v>
      </c>
      <c r="H58" s="2395">
        <v>70.957765211552697</v>
      </c>
      <c r="I58" s="2395">
        <v>77.114590566431289</v>
      </c>
      <c r="J58" s="2395">
        <v>96.338898640566768</v>
      </c>
      <c r="K58" s="2395">
        <v>139.03922865247182</v>
      </c>
      <c r="L58" s="2395">
        <v>75.654229040684157</v>
      </c>
      <c r="M58" s="2395">
        <v>54.14944535832754</v>
      </c>
      <c r="N58" s="2396">
        <v>107.37175780742515</v>
      </c>
      <c r="O58" s="2395">
        <v>92.765290243220704</v>
      </c>
      <c r="P58" s="2395">
        <v>99.362218783644593</v>
      </c>
      <c r="Q58" s="2395">
        <v>89.808218833304593</v>
      </c>
      <c r="R58" s="2395">
        <v>96.811514282398576</v>
      </c>
      <c r="S58" s="2395">
        <v>96.053824893653442</v>
      </c>
      <c r="T58" s="2395">
        <v>116.48218223889522</v>
      </c>
      <c r="U58" s="2397">
        <v>59.603132967869769</v>
      </c>
      <c r="V58" s="2395">
        <v>126.08189531205154</v>
      </c>
      <c r="W58" s="2395">
        <v>146.26834195727631</v>
      </c>
      <c r="X58" s="2395">
        <v>184.85501271751298</v>
      </c>
      <c r="Y58" s="2395">
        <v>90.069766743311305</v>
      </c>
      <c r="Z58" s="2395">
        <v>110.29378569640802</v>
      </c>
      <c r="AA58" s="2395">
        <v>105.19676945587982</v>
      </c>
      <c r="AB58" s="2395">
        <v>156.7735183464099</v>
      </c>
      <c r="AC58" s="2395">
        <v>66.735451530526092</v>
      </c>
    </row>
    <row r="59" spans="3:29" x14ac:dyDescent="0.4">
      <c r="C59" s="3140"/>
      <c r="D59" s="2394" t="s">
        <v>5000</v>
      </c>
      <c r="E59" s="2395">
        <v>114.40026712746854</v>
      </c>
      <c r="F59" s="2395">
        <v>72.963788719640661</v>
      </c>
      <c r="G59" s="2395">
        <v>102.09349999469997</v>
      </c>
      <c r="H59" s="2395">
        <v>86.640222585884942</v>
      </c>
      <c r="I59" s="2395">
        <v>61.441320409727062</v>
      </c>
      <c r="J59" s="2395">
        <v>117.07918151159893</v>
      </c>
      <c r="K59" s="2395">
        <v>139.47496888540795</v>
      </c>
      <c r="L59" s="2395">
        <v>89.97291978433482</v>
      </c>
      <c r="M59" s="2395">
        <v>104.75451508913558</v>
      </c>
      <c r="N59" s="2396">
        <v>100.06449593011264</v>
      </c>
      <c r="O59" s="2395">
        <v>93.576104487646205</v>
      </c>
      <c r="P59" s="2395">
        <v>96.653882071445167</v>
      </c>
      <c r="Q59" s="2395">
        <v>94.716284088702068</v>
      </c>
      <c r="R59" s="2395">
        <v>97.866678650857608</v>
      </c>
      <c r="S59" s="2395">
        <v>108.58146406145795</v>
      </c>
      <c r="T59" s="2395">
        <v>108.96260551047705</v>
      </c>
      <c r="U59" s="2397">
        <v>94.996799876099459</v>
      </c>
      <c r="V59" s="2395">
        <v>119.49602408955384</v>
      </c>
      <c r="W59" s="2395">
        <v>126.99611952106196</v>
      </c>
      <c r="X59" s="2395">
        <v>143.04474235355835</v>
      </c>
      <c r="Y59" s="2395">
        <v>97.347491716404775</v>
      </c>
      <c r="Z59" s="2395">
        <v>117.51951369840725</v>
      </c>
      <c r="AA59" s="2395">
        <v>108.80324911134072</v>
      </c>
      <c r="AB59" s="2395">
        <v>143.60433090777073</v>
      </c>
      <c r="AC59" s="2395">
        <v>77.881314903785466</v>
      </c>
    </row>
    <row r="60" spans="3:29" x14ac:dyDescent="0.4">
      <c r="C60" s="3140"/>
      <c r="D60" s="2394" t="s">
        <v>5001</v>
      </c>
      <c r="E60" s="2395">
        <v>114.54420406620952</v>
      </c>
      <c r="F60" s="2395">
        <v>120.24110666913572</v>
      </c>
      <c r="G60" s="2395">
        <v>83.602224208111735</v>
      </c>
      <c r="H60" s="2395">
        <v>134.43408924483526</v>
      </c>
      <c r="I60" s="2395">
        <v>75.60620938292459</v>
      </c>
      <c r="J60" s="2395">
        <v>101.45222854230902</v>
      </c>
      <c r="K60" s="2395">
        <v>121.29430181355065</v>
      </c>
      <c r="L60" s="2395">
        <v>90.761349776364995</v>
      </c>
      <c r="M60" s="2395">
        <v>93.953397083263354</v>
      </c>
      <c r="N60" s="2396">
        <v>94.853740068709953</v>
      </c>
      <c r="O60" s="2395">
        <v>104.1140933153234</v>
      </c>
      <c r="P60" s="2395">
        <v>97.726238555739272</v>
      </c>
      <c r="Q60" s="2395">
        <v>98.148135280297495</v>
      </c>
      <c r="R60" s="2395">
        <v>100.57740966937891</v>
      </c>
      <c r="S60" s="2395">
        <v>113.50761429248013</v>
      </c>
      <c r="T60" s="2395">
        <v>118.76639135567122</v>
      </c>
      <c r="U60" s="2397">
        <v>71.226091869853647</v>
      </c>
      <c r="V60" s="2395">
        <v>172.92016843236016</v>
      </c>
      <c r="W60" s="2395">
        <v>94.985193406559958</v>
      </c>
      <c r="X60" s="2395">
        <v>131.3046699914579</v>
      </c>
      <c r="Y60" s="2395">
        <v>89.198534124906786</v>
      </c>
      <c r="Z60" s="2395">
        <v>127.98269128660398</v>
      </c>
      <c r="AA60" s="2395">
        <v>120.78785717241057</v>
      </c>
      <c r="AB60" s="2395">
        <v>116.72689626935524</v>
      </c>
      <c r="AC60" s="2395">
        <v>118.65790800664091</v>
      </c>
    </row>
    <row r="61" spans="3:29" x14ac:dyDescent="0.4">
      <c r="C61" s="2752">
        <v>2022</v>
      </c>
      <c r="D61" s="2384" t="s">
        <v>5002</v>
      </c>
      <c r="E61" s="996">
        <v>130.1104275483919</v>
      </c>
      <c r="F61" s="996">
        <v>97.76320585610442</v>
      </c>
      <c r="G61" s="996">
        <v>88.882968468121788</v>
      </c>
      <c r="H61" s="996">
        <v>141.2785417323131</v>
      </c>
      <c r="I61" s="996">
        <v>62.51585496718095</v>
      </c>
      <c r="J61" s="996">
        <v>111.1633821763474</v>
      </c>
      <c r="K61" s="996">
        <v>101.4826751049148</v>
      </c>
      <c r="L61" s="996">
        <v>98.333464386018235</v>
      </c>
      <c r="M61" s="996">
        <v>88.509106303769897</v>
      </c>
      <c r="N61" s="996">
        <v>101.03031042804453</v>
      </c>
      <c r="O61" s="996">
        <v>109.96037771931471</v>
      </c>
      <c r="P61" s="996">
        <v>97.611014833040443</v>
      </c>
      <c r="Q61" s="996">
        <v>97.845891530415713</v>
      </c>
      <c r="R61" s="996">
        <v>100.60023856324283</v>
      </c>
      <c r="S61" s="996">
        <v>122.02543791051296</v>
      </c>
      <c r="T61" s="996">
        <v>123.7257324003977</v>
      </c>
      <c r="U61" s="996">
        <v>82.418309473352025</v>
      </c>
      <c r="V61" s="996">
        <v>143.74798255698235</v>
      </c>
      <c r="W61" s="996">
        <v>168.58490109897332</v>
      </c>
      <c r="X61" s="996">
        <v>245.61220370503861</v>
      </c>
      <c r="Y61" s="996">
        <v>85.822979112163722</v>
      </c>
      <c r="Z61" s="996">
        <v>105.98650804525289</v>
      </c>
      <c r="AA61" s="996">
        <v>87.842258482385475</v>
      </c>
      <c r="AB61" s="996">
        <v>176.4440711087785</v>
      </c>
      <c r="AC61" s="996">
        <v>78.795779559536967</v>
      </c>
    </row>
    <row r="62" spans="3:29" x14ac:dyDescent="0.4">
      <c r="C62" s="2752"/>
      <c r="D62" s="2384" t="s">
        <v>5003</v>
      </c>
      <c r="E62" s="996">
        <v>112.5639404485739</v>
      </c>
      <c r="F62" s="996">
        <v>137.60288087409756</v>
      </c>
      <c r="G62" s="996">
        <v>65.378877973846315</v>
      </c>
      <c r="H62" s="996">
        <v>102.40360401307218</v>
      </c>
      <c r="I62" s="996">
        <v>51.104087528923181</v>
      </c>
      <c r="J62" s="996">
        <v>110.85171520334684</v>
      </c>
      <c r="K62" s="996">
        <v>89.384914920301867</v>
      </c>
      <c r="L62" s="996">
        <v>80.549233891116245</v>
      </c>
      <c r="M62" s="996">
        <v>54.475340401372584</v>
      </c>
      <c r="N62" s="996">
        <v>97.697932150116955</v>
      </c>
      <c r="O62" s="996">
        <v>98.231415302947639</v>
      </c>
      <c r="P62" s="996">
        <v>95.928403873546046</v>
      </c>
      <c r="Q62" s="996">
        <v>92.698159918088095</v>
      </c>
      <c r="R62" s="996">
        <v>102.4548872061053</v>
      </c>
      <c r="S62" s="996">
        <v>107.05718900944899</v>
      </c>
      <c r="T62" s="996">
        <v>112.69522973550067</v>
      </c>
      <c r="U62" s="996">
        <v>128.99315138088724</v>
      </c>
      <c r="V62" s="996">
        <v>137.079170861629</v>
      </c>
      <c r="W62" s="996">
        <v>100.81534650862281</v>
      </c>
      <c r="X62" s="996">
        <v>141.54910201868489</v>
      </c>
      <c r="Y62" s="996">
        <v>80.385347579922851</v>
      </c>
      <c r="Z62" s="996">
        <v>104.53649513603524</v>
      </c>
      <c r="AA62" s="996">
        <v>109.14707621310885</v>
      </c>
      <c r="AB62" s="996">
        <v>118.06098984373874</v>
      </c>
      <c r="AC62" s="996">
        <v>60.211819847513382</v>
      </c>
    </row>
    <row r="63" spans="3:29" x14ac:dyDescent="0.4">
      <c r="C63" s="2752"/>
      <c r="D63" s="2384" t="s">
        <v>5000</v>
      </c>
      <c r="E63" s="996">
        <v>107.1270397066022</v>
      </c>
      <c r="F63" s="996">
        <v>124.10510555864182</v>
      </c>
      <c r="G63" s="996">
        <v>90.018225023919513</v>
      </c>
      <c r="H63" s="996">
        <v>114.05253312552495</v>
      </c>
      <c r="I63" s="996">
        <v>58.839982563406309</v>
      </c>
      <c r="J63" s="996">
        <v>114.79544691764767</v>
      </c>
      <c r="K63" s="996">
        <v>153.96526118502095</v>
      </c>
      <c r="L63" s="996">
        <v>88.603732656079842</v>
      </c>
      <c r="M63" s="996">
        <v>125.89587596840694</v>
      </c>
      <c r="N63" s="996">
        <v>83.326620919070109</v>
      </c>
      <c r="O63" s="996">
        <v>93.860925532721339</v>
      </c>
      <c r="P63" s="996">
        <v>86.08237919954</v>
      </c>
      <c r="Q63" s="996">
        <v>99.710232084212095</v>
      </c>
      <c r="R63" s="996">
        <v>92.471584375973393</v>
      </c>
      <c r="S63" s="996">
        <v>114.31174960524402</v>
      </c>
      <c r="T63" s="996">
        <v>97.790374655478288</v>
      </c>
      <c r="U63" s="996">
        <v>130.71978760683186</v>
      </c>
      <c r="V63" s="996">
        <v>101.93391023843368</v>
      </c>
      <c r="W63" s="996">
        <v>104.15407842164419</v>
      </c>
      <c r="X63" s="996">
        <v>105.49433268281676</v>
      </c>
      <c r="Y63" s="996">
        <v>98.035150696340807</v>
      </c>
      <c r="Z63" s="996">
        <v>118.22834841499584</v>
      </c>
      <c r="AA63" s="996">
        <v>123.66935186951208</v>
      </c>
      <c r="AB63" s="996">
        <v>114.58936163826996</v>
      </c>
      <c r="AC63" s="996">
        <v>26.147004011626567</v>
      </c>
    </row>
    <row r="64" spans="3:29" x14ac:dyDescent="0.4">
      <c r="C64" s="2752"/>
      <c r="D64" s="2384" t="s">
        <v>5001</v>
      </c>
      <c r="E64" s="996">
        <v>105.76668467476671</v>
      </c>
      <c r="F64" s="996">
        <v>106.5020077540278</v>
      </c>
      <c r="G64" s="996">
        <v>81.332058747208464</v>
      </c>
      <c r="H64" s="996">
        <v>123.77177350877095</v>
      </c>
      <c r="I64" s="996">
        <v>50.982921488596347</v>
      </c>
      <c r="J64" s="996">
        <v>109.10055090848674</v>
      </c>
      <c r="K64" s="996">
        <v>86.286441934804117</v>
      </c>
      <c r="L64" s="996">
        <v>86.967245594159138</v>
      </c>
      <c r="M64" s="996">
        <v>81.007430376408152</v>
      </c>
      <c r="N64" s="996">
        <v>90.496734915411949</v>
      </c>
      <c r="O64" s="996">
        <v>92.935191106764478</v>
      </c>
      <c r="P64" s="996">
        <v>94.192122601826597</v>
      </c>
      <c r="Q64" s="996">
        <v>98.614807679000677</v>
      </c>
      <c r="R64" s="996">
        <v>96.009553467748148</v>
      </c>
      <c r="S64" s="996">
        <v>110.57523217314889</v>
      </c>
      <c r="T64" s="996">
        <v>103.60084766290211</v>
      </c>
      <c r="U64" s="996">
        <v>150.7520220746618</v>
      </c>
      <c r="V64" s="996">
        <v>125.86925190880885</v>
      </c>
      <c r="W64" s="996">
        <v>94.219999488658246</v>
      </c>
      <c r="X64" s="996">
        <v>104.19940270659738</v>
      </c>
      <c r="Y64" s="996">
        <v>90.070128443683444</v>
      </c>
      <c r="Z64" s="996">
        <v>104.19937616823577</v>
      </c>
      <c r="AA64" s="996">
        <v>99.049128700203852</v>
      </c>
      <c r="AB64" s="996">
        <v>109.80815316480206</v>
      </c>
      <c r="AC64" s="996">
        <v>117.49659238425501</v>
      </c>
    </row>
    <row r="65" spans="3:29" x14ac:dyDescent="0.4">
      <c r="C65" s="3140">
        <v>2023</v>
      </c>
      <c r="D65" s="2394" t="s">
        <v>5002</v>
      </c>
      <c r="E65" s="2395">
        <v>106.79330421925496</v>
      </c>
      <c r="F65" s="2395">
        <v>93.662599432649301</v>
      </c>
      <c r="G65" s="2395">
        <v>74.137727958322543</v>
      </c>
      <c r="H65" s="2395">
        <v>89.018563696589069</v>
      </c>
      <c r="I65" s="2395">
        <v>54.188204282562054</v>
      </c>
      <c r="J65" s="2395">
        <v>102.65747661434258</v>
      </c>
      <c r="K65" s="2395">
        <v>95.631072386450654</v>
      </c>
      <c r="L65" s="2395">
        <v>78.744987393507955</v>
      </c>
      <c r="M65" s="2395">
        <v>51.190979767555724</v>
      </c>
      <c r="N65" s="2396">
        <v>101.41436345576209</v>
      </c>
      <c r="O65" s="2395">
        <v>93.174080294819845</v>
      </c>
      <c r="P65" s="2395">
        <v>93.306392871934307</v>
      </c>
      <c r="Q65" s="2395">
        <v>94.916642282158037</v>
      </c>
      <c r="R65" s="2395">
        <v>98.762699763726687</v>
      </c>
      <c r="S65" s="2395">
        <v>102.01344327878672</v>
      </c>
      <c r="T65" s="2395">
        <v>106.09877041329429</v>
      </c>
      <c r="U65" s="2397">
        <v>114.06169861756787</v>
      </c>
      <c r="V65" s="2395">
        <v>94.190965171717579</v>
      </c>
      <c r="W65" s="2395">
        <v>113.42929947425149</v>
      </c>
      <c r="X65" s="2395">
        <v>129.57431525943909</v>
      </c>
      <c r="Y65" s="2395">
        <v>83.428039648489133</v>
      </c>
      <c r="Z65" s="2395">
        <v>94.158066166644417</v>
      </c>
      <c r="AA65" s="2395">
        <v>94.068650846164033</v>
      </c>
      <c r="AB65" s="2395">
        <v>111.25240260095002</v>
      </c>
      <c r="AC65" s="2395">
        <v>82.269298681566511</v>
      </c>
    </row>
    <row r="66" spans="3:29" x14ac:dyDescent="0.4">
      <c r="C66" s="3140"/>
      <c r="D66" s="2394" t="s">
        <v>5003</v>
      </c>
      <c r="E66" s="2395">
        <v>104.96689157401326</v>
      </c>
      <c r="F66" s="2395">
        <v>95.011365585176591</v>
      </c>
      <c r="G66" s="2395">
        <v>78.803651444206523</v>
      </c>
      <c r="H66" s="2395">
        <v>102.50768739258397</v>
      </c>
      <c r="I66" s="2395">
        <v>65.983567732767284</v>
      </c>
      <c r="J66" s="2395">
        <v>110.57220618022978</v>
      </c>
      <c r="K66" s="2395">
        <v>87.51894909349825</v>
      </c>
      <c r="L66" s="2395">
        <v>71.94026959845209</v>
      </c>
      <c r="M66" s="2395">
        <v>101.02944707311291</v>
      </c>
      <c r="N66" s="2396">
        <v>98.062891639306386</v>
      </c>
      <c r="O66" s="2395">
        <v>95.840361649177737</v>
      </c>
      <c r="P66" s="2395">
        <v>96.093704174981127</v>
      </c>
      <c r="Q66" s="2395">
        <v>97.794258529407699</v>
      </c>
      <c r="R66" s="2395">
        <v>95.600611085415423</v>
      </c>
      <c r="S66" s="2395">
        <v>99.865920790083891</v>
      </c>
      <c r="T66" s="2395">
        <v>104.91369039251109</v>
      </c>
      <c r="U66" s="2397">
        <v>124.27153359282488</v>
      </c>
      <c r="V66" s="2395">
        <v>94.28465400178132</v>
      </c>
      <c r="W66" s="2395">
        <v>100.72824124626219</v>
      </c>
      <c r="X66" s="2395">
        <v>94.519633723774035</v>
      </c>
      <c r="Y66" s="2395">
        <v>79.376814339663497</v>
      </c>
      <c r="Z66" s="2395">
        <v>100.7470976637366</v>
      </c>
      <c r="AA66" s="2395">
        <v>85.767374821717638</v>
      </c>
      <c r="AB66" s="2395">
        <v>105.39094294869149</v>
      </c>
      <c r="AC66" s="2395">
        <v>234.58475847681294</v>
      </c>
    </row>
    <row r="67" spans="3:29" x14ac:dyDescent="0.4">
      <c r="C67" s="3140"/>
      <c r="D67" s="2394" t="s">
        <v>5000</v>
      </c>
      <c r="E67" s="2395">
        <v>111.25666696952709</v>
      </c>
      <c r="F67" s="2395">
        <v>92.022697140016035</v>
      </c>
      <c r="G67" s="2395">
        <v>89.85964736933407</v>
      </c>
      <c r="H67" s="2395">
        <v>113.04298516078204</v>
      </c>
      <c r="I67" s="2395">
        <v>74.4625819482781</v>
      </c>
      <c r="J67" s="2395">
        <v>113.7950748345643</v>
      </c>
      <c r="K67" s="2395">
        <v>109.63373295168685</v>
      </c>
      <c r="L67" s="2395">
        <v>85.636349413304799</v>
      </c>
      <c r="M67" s="2395">
        <v>110.86117484952031</v>
      </c>
      <c r="N67" s="2396">
        <v>94.937555664917355</v>
      </c>
      <c r="O67" s="2395">
        <v>103.8446582173935</v>
      </c>
      <c r="P67" s="2395">
        <v>97.366740628971527</v>
      </c>
      <c r="Q67" s="2395">
        <v>98.071728281569008</v>
      </c>
      <c r="R67" s="2395">
        <v>103.45094709264995</v>
      </c>
      <c r="S67" s="2395">
        <v>102.42718509379112</v>
      </c>
      <c r="T67" s="2395">
        <v>110.87655947955723</v>
      </c>
      <c r="U67" s="2397">
        <v>128.00376775737038</v>
      </c>
      <c r="V67" s="2395">
        <v>135.40635717791116</v>
      </c>
      <c r="W67" s="2395">
        <v>89.125893131185535</v>
      </c>
      <c r="X67" s="2395">
        <v>110.4780113978659</v>
      </c>
      <c r="Y67" s="2395">
        <v>84.901877113594892</v>
      </c>
      <c r="Z67" s="2395">
        <v>97.036353112344571</v>
      </c>
      <c r="AA67" s="2395">
        <v>124.18094984737638</v>
      </c>
      <c r="AB67" s="2395">
        <v>100.80365662139945</v>
      </c>
      <c r="AC67" s="2395">
        <v>67.240139376357206</v>
      </c>
    </row>
    <row r="68" spans="3:29" x14ac:dyDescent="0.4">
      <c r="C68" s="3140"/>
      <c r="D68" s="2394" t="s">
        <v>5001</v>
      </c>
      <c r="E68" s="2395">
        <v>110.0210996899869</v>
      </c>
      <c r="F68" s="2395">
        <v>109.08069784858102</v>
      </c>
      <c r="G68" s="2395">
        <v>84.088159006798136</v>
      </c>
      <c r="H68" s="2395">
        <v>107.28846978415683</v>
      </c>
      <c r="I68" s="2395">
        <v>65.791998718283779</v>
      </c>
      <c r="J68" s="2395">
        <v>96.748342844000476</v>
      </c>
      <c r="K68" s="2395">
        <v>100.54771274112105</v>
      </c>
      <c r="L68" s="2395">
        <v>90.503426850963876</v>
      </c>
      <c r="M68" s="2395">
        <v>94.2388487718721</v>
      </c>
      <c r="N68" s="2396">
        <v>104.05731696955999</v>
      </c>
      <c r="O68" s="2395">
        <v>97.009821465045889</v>
      </c>
      <c r="P68" s="2395">
        <v>107.24800729317299</v>
      </c>
      <c r="Q68" s="2395">
        <v>93.458671811931282</v>
      </c>
      <c r="R68" s="2395">
        <v>92.402636871283818</v>
      </c>
      <c r="S68" s="2395">
        <v>99.813026210287902</v>
      </c>
      <c r="T68" s="2395">
        <v>108.67883163463927</v>
      </c>
      <c r="U68" s="2397">
        <v>110.86720973904877</v>
      </c>
      <c r="V68" s="2395">
        <v>108.89123898888735</v>
      </c>
      <c r="W68" s="2395">
        <v>90.455353477750293</v>
      </c>
      <c r="X68" s="2395">
        <v>119.37645890841449</v>
      </c>
      <c r="Y68" s="2395">
        <v>80.817647574801597</v>
      </c>
      <c r="Z68" s="2395">
        <v>101.18216799112531</v>
      </c>
      <c r="AA68" s="2395">
        <v>98.004258117843506</v>
      </c>
      <c r="AB68" s="2395">
        <v>105.25909094115997</v>
      </c>
      <c r="AC68" s="2395">
        <v>71.637590639812515</v>
      </c>
    </row>
    <row r="69" spans="3:29" x14ac:dyDescent="0.4">
      <c r="C69" s="2752">
        <v>2024</v>
      </c>
      <c r="D69" s="2384" t="s">
        <v>5002</v>
      </c>
      <c r="E69" s="996">
        <v>110.28327246689879</v>
      </c>
      <c r="F69" s="996">
        <v>64.806693591702413</v>
      </c>
      <c r="G69" s="996">
        <v>87.867174595197469</v>
      </c>
      <c r="H69" s="996">
        <v>87.053406369966012</v>
      </c>
      <c r="I69" s="996">
        <v>70.857222593559172</v>
      </c>
      <c r="J69" s="996">
        <v>134.89104271173272</v>
      </c>
      <c r="K69" s="996">
        <v>56.068689366543488</v>
      </c>
      <c r="L69" s="996">
        <v>91.320069292282895</v>
      </c>
      <c r="M69" s="996">
        <v>85.440343643933033</v>
      </c>
      <c r="N69" s="996">
        <v>105.69931516220311</v>
      </c>
      <c r="O69" s="996">
        <v>98.131759575315513</v>
      </c>
      <c r="P69" s="996">
        <v>106.39752108124303</v>
      </c>
      <c r="Q69" s="996">
        <v>98.428205332646939</v>
      </c>
      <c r="R69" s="996">
        <v>95.897966666493446</v>
      </c>
      <c r="S69" s="996">
        <v>115.13868784226827</v>
      </c>
      <c r="T69" s="996">
        <v>108.19777896508633</v>
      </c>
      <c r="U69" s="996">
        <v>139.84814261086433</v>
      </c>
      <c r="V69" s="996">
        <v>102.40591045710504</v>
      </c>
      <c r="W69" s="996">
        <v>78.329690803611044</v>
      </c>
      <c r="X69" s="996">
        <v>92.709140520983681</v>
      </c>
      <c r="Y69" s="996">
        <v>75.975511361138572</v>
      </c>
      <c r="Z69" s="996">
        <v>114.48054318912087</v>
      </c>
      <c r="AA69" s="996">
        <v>96.193919912959842</v>
      </c>
      <c r="AB69" s="996">
        <v>84.587329345861889</v>
      </c>
      <c r="AC69" s="996">
        <v>59.499679514081052</v>
      </c>
    </row>
    <row r="70" spans="3:29" ht="18.600000000000001" customHeight="1" x14ac:dyDescent="0.4">
      <c r="C70" s="2752"/>
      <c r="D70" s="2384" t="s">
        <v>5003</v>
      </c>
      <c r="E70" s="996">
        <v>106.58121760110947</v>
      </c>
      <c r="F70" s="996">
        <v>88.881365154170041</v>
      </c>
      <c r="G70" s="996">
        <v>74.909048464592388</v>
      </c>
      <c r="H70" s="996">
        <v>107.8430337367104</v>
      </c>
      <c r="I70" s="996">
        <v>70.230868697041629</v>
      </c>
      <c r="J70" s="996">
        <v>109.63793295825559</v>
      </c>
      <c r="K70" s="996">
        <v>90.685032878736635</v>
      </c>
      <c r="L70" s="996">
        <v>87.903199561240939</v>
      </c>
      <c r="M70" s="996">
        <v>56.838609395621553</v>
      </c>
      <c r="N70" s="996">
        <v>98.443451555728558</v>
      </c>
      <c r="O70" s="996">
        <v>93.225179816532105</v>
      </c>
      <c r="P70" s="996">
        <v>101.19907841596654</v>
      </c>
      <c r="Q70" s="996">
        <v>95.706991121147055</v>
      </c>
      <c r="R70" s="996">
        <v>98.379064069446571</v>
      </c>
      <c r="S70" s="996">
        <v>101.032938319688</v>
      </c>
      <c r="T70" s="996">
        <v>106.48680789958146</v>
      </c>
      <c r="U70" s="996">
        <v>111.34461105863403</v>
      </c>
      <c r="V70" s="996">
        <v>99.057111861636656</v>
      </c>
      <c r="W70" s="996">
        <v>83.830946680703477</v>
      </c>
      <c r="X70" s="996">
        <v>105.01690049434504</v>
      </c>
      <c r="Y70" s="996">
        <v>80.174862488435181</v>
      </c>
      <c r="Z70" s="996">
        <v>101.63542468039157</v>
      </c>
      <c r="AA70" s="996">
        <v>95.787813425474027</v>
      </c>
      <c r="AB70" s="996">
        <v>87.668540630760617</v>
      </c>
      <c r="AC70" s="996">
        <v>66.327722382301374</v>
      </c>
    </row>
    <row r="71" spans="3:29" x14ac:dyDescent="0.4">
      <c r="C71" s="2752"/>
      <c r="D71" s="2384" t="s">
        <v>5000</v>
      </c>
      <c r="E71" s="996">
        <v>102.56097053022744</v>
      </c>
      <c r="F71" s="996">
        <v>105.03191072678419</v>
      </c>
      <c r="G71" s="996">
        <v>52.250167048215189</v>
      </c>
      <c r="H71" s="996">
        <v>70.570756864784258</v>
      </c>
      <c r="I71" s="996">
        <v>59.129078223499533</v>
      </c>
      <c r="J71" s="996">
        <v>100.76687804216766</v>
      </c>
      <c r="K71" s="996">
        <v>114.87790949543599</v>
      </c>
      <c r="L71" s="996">
        <v>54.541256597367052</v>
      </c>
      <c r="M71" s="996">
        <v>75.03197603737803</v>
      </c>
      <c r="N71" s="996">
        <v>95.645826905476369</v>
      </c>
      <c r="O71" s="996">
        <v>96.760437617793954</v>
      </c>
      <c r="P71" s="996">
        <v>95.720839601686762</v>
      </c>
      <c r="Q71" s="996">
        <v>94.156924290221554</v>
      </c>
      <c r="R71" s="996">
        <v>95.697446326056081</v>
      </c>
      <c r="S71" s="996">
        <v>103.03233216256214</v>
      </c>
      <c r="T71" s="996">
        <v>105.45581524050003</v>
      </c>
      <c r="U71" s="996">
        <v>90.0586230853948</v>
      </c>
      <c r="V71" s="996">
        <v>131.7510345466207</v>
      </c>
      <c r="W71" s="996">
        <v>89.833861014713904</v>
      </c>
      <c r="X71" s="996">
        <v>165.85102517507028</v>
      </c>
      <c r="Y71" s="996">
        <v>85.071414570330973</v>
      </c>
      <c r="Z71" s="996">
        <v>101.60124628521787</v>
      </c>
      <c r="AA71" s="996">
        <v>95.877528941029539</v>
      </c>
      <c r="AB71" s="996">
        <v>104.6606918516779</v>
      </c>
      <c r="AC71" s="996">
        <v>91.06238303932966</v>
      </c>
    </row>
    <row r="72" spans="3:29" x14ac:dyDescent="0.4">
      <c r="C72" s="2752"/>
      <c r="D72" s="2384" t="s">
        <v>5001</v>
      </c>
      <c r="E72" s="996">
        <v>105.01303185350113</v>
      </c>
      <c r="F72" s="996">
        <v>121.50545677460747</v>
      </c>
      <c r="G72" s="996">
        <v>50.41877904781321</v>
      </c>
      <c r="H72" s="996">
        <v>58.800892895640942</v>
      </c>
      <c r="I72" s="996">
        <v>81.486080220988939</v>
      </c>
      <c r="J72" s="996">
        <v>78.620565751316661</v>
      </c>
      <c r="K72" s="996">
        <v>58.913619426449294</v>
      </c>
      <c r="L72" s="996">
        <v>55.273893078735327</v>
      </c>
      <c r="M72" s="996">
        <v>125.99723155548223</v>
      </c>
      <c r="N72" s="996">
        <v>102.66250475488046</v>
      </c>
      <c r="O72" s="996">
        <v>95.748761730044933</v>
      </c>
      <c r="P72" s="996">
        <v>100.97497290903597</v>
      </c>
      <c r="Q72" s="996">
        <v>93.830294675032349</v>
      </c>
      <c r="R72" s="996">
        <v>92.722039578553748</v>
      </c>
      <c r="S72" s="996">
        <v>114.9059676182044</v>
      </c>
      <c r="T72" s="996">
        <v>104.69531703384544</v>
      </c>
      <c r="U72" s="996">
        <v>122.05146448658009</v>
      </c>
      <c r="V72" s="996">
        <v>81.132317556560039</v>
      </c>
      <c r="W72" s="996">
        <v>93.779551567081214</v>
      </c>
      <c r="X72" s="996">
        <v>90.1453135233903</v>
      </c>
      <c r="Y72" s="996">
        <v>86.464549557290951</v>
      </c>
      <c r="Z72" s="996">
        <v>99.322156285273337</v>
      </c>
      <c r="AA72" s="996">
        <v>102.77056810589902</v>
      </c>
      <c r="AB72" s="996">
        <v>92.809034488652543</v>
      </c>
      <c r="AC72" s="996">
        <v>69.961799939651598</v>
      </c>
    </row>
    <row r="73" spans="3:29" x14ac:dyDescent="0.4">
      <c r="C73" s="3155" t="s">
        <v>5095</v>
      </c>
      <c r="D73" s="3155"/>
      <c r="E73" s="3155"/>
      <c r="F73" s="3155"/>
      <c r="G73" s="3155"/>
      <c r="H73" s="3155"/>
      <c r="I73" s="3155"/>
      <c r="J73" s="3155"/>
      <c r="K73" s="3155"/>
      <c r="L73" s="3155"/>
      <c r="M73" s="3155"/>
      <c r="N73" s="3155"/>
      <c r="O73" s="3155"/>
      <c r="P73" s="3155"/>
      <c r="Q73" s="3155"/>
      <c r="R73" s="3155"/>
      <c r="S73" s="3155"/>
      <c r="T73" s="3155"/>
      <c r="U73" s="3155"/>
      <c r="V73" s="3155"/>
      <c r="W73" s="3155"/>
      <c r="X73" s="3155"/>
      <c r="Y73" s="3155"/>
      <c r="Z73" s="3155"/>
      <c r="AA73" s="3155"/>
      <c r="AB73" s="3155"/>
      <c r="AC73" s="3155"/>
    </row>
    <row r="74" spans="3:29" x14ac:dyDescent="0.4">
      <c r="C74" s="2638" t="s">
        <v>5083</v>
      </c>
      <c r="D74" s="2638"/>
      <c r="E74" s="2638"/>
      <c r="F74" s="2638"/>
      <c r="G74" s="2638"/>
      <c r="H74" s="2638"/>
      <c r="I74" s="2638"/>
      <c r="J74" s="2638"/>
      <c r="K74" s="2638"/>
      <c r="L74" s="2638"/>
      <c r="M74" s="2638"/>
      <c r="N74" s="2638"/>
      <c r="O74" s="2638"/>
      <c r="P74" s="2638"/>
      <c r="Q74" s="2638"/>
      <c r="R74" s="2638"/>
      <c r="S74" s="2638"/>
      <c r="T74" s="2638"/>
      <c r="U74" s="2638"/>
      <c r="V74" s="2638"/>
      <c r="W74" s="2638"/>
      <c r="X74" s="2638"/>
      <c r="Y74" s="2638"/>
      <c r="Z74" s="2638"/>
      <c r="AA74" s="2638"/>
      <c r="AB74" s="2638"/>
      <c r="AC74" s="2638"/>
    </row>
    <row r="75" spans="3:29" x14ac:dyDescent="0.4">
      <c r="C75" s="3156" t="s">
        <v>8157</v>
      </c>
      <c r="D75" s="3156"/>
      <c r="E75" s="3156"/>
      <c r="F75" s="3156"/>
      <c r="G75" s="3156"/>
      <c r="H75" s="3156"/>
      <c r="I75" s="3156"/>
      <c r="J75" s="3156"/>
      <c r="K75" s="3156"/>
      <c r="L75" s="3156"/>
      <c r="M75" s="3156"/>
      <c r="N75" s="3156"/>
      <c r="O75" s="3156"/>
      <c r="P75" s="3156"/>
      <c r="Q75" s="3156"/>
      <c r="R75" s="3156"/>
      <c r="S75" s="3156"/>
      <c r="T75" s="3156"/>
      <c r="U75" s="3156"/>
      <c r="V75" s="3156"/>
      <c r="W75" s="3156"/>
      <c r="X75" s="3156"/>
      <c r="Y75" s="3156"/>
      <c r="Z75" s="3156"/>
      <c r="AA75" s="3156"/>
      <c r="AB75" s="3156"/>
      <c r="AC75" s="3156"/>
    </row>
  </sheetData>
  <mergeCells count="43">
    <mergeCell ref="A5:B5"/>
    <mergeCell ref="C5:S5"/>
    <mergeCell ref="C1:D1"/>
    <mergeCell ref="A3:B3"/>
    <mergeCell ref="C3:S3"/>
    <mergeCell ref="A4:B4"/>
    <mergeCell ref="C4:S4"/>
    <mergeCell ref="A6:B6"/>
    <mergeCell ref="C6:S6"/>
    <mergeCell ref="C11:C14"/>
    <mergeCell ref="D11:D14"/>
    <mergeCell ref="E11:E14"/>
    <mergeCell ref="F11:AC11"/>
    <mergeCell ref="F12:M12"/>
    <mergeCell ref="N12:U12"/>
    <mergeCell ref="V12:AC12"/>
    <mergeCell ref="F13:G13"/>
    <mergeCell ref="H13:J13"/>
    <mergeCell ref="K13:M13"/>
    <mergeCell ref="X13:Z13"/>
    <mergeCell ref="AA13:AC13"/>
    <mergeCell ref="S13:U13"/>
    <mergeCell ref="V13:W13"/>
    <mergeCell ref="C41:C44"/>
    <mergeCell ref="N13:O13"/>
    <mergeCell ref="P13:R13"/>
    <mergeCell ref="C37:C40"/>
    <mergeCell ref="C45:C48"/>
    <mergeCell ref="C15:C16"/>
    <mergeCell ref="C29:C32"/>
    <mergeCell ref="C33:C36"/>
    <mergeCell ref="C25:C28"/>
    <mergeCell ref="C17:C20"/>
    <mergeCell ref="C21:C24"/>
    <mergeCell ref="C73:AC73"/>
    <mergeCell ref="C74:AC74"/>
    <mergeCell ref="C75:AC75"/>
    <mergeCell ref="C49:C52"/>
    <mergeCell ref="C53:C56"/>
    <mergeCell ref="C57:C60"/>
    <mergeCell ref="C61:C64"/>
    <mergeCell ref="C65:C68"/>
    <mergeCell ref="C69:C72"/>
  </mergeCells>
  <conditionalFormatting sqref="E60">
    <cfRule type="cellIs" dxfId="79" priority="39" operator="lessThan">
      <formula>-100</formula>
    </cfRule>
  </conditionalFormatting>
  <conditionalFormatting sqref="E60">
    <cfRule type="cellIs" dxfId="78" priority="40" operator="lessThan">
      <formula>-80</formula>
    </cfRule>
  </conditionalFormatting>
  <conditionalFormatting sqref="V61:AB64 E61:T64">
    <cfRule type="cellIs" dxfId="77" priority="37" operator="lessThan">
      <formula>-100</formula>
    </cfRule>
  </conditionalFormatting>
  <conditionalFormatting sqref="V61:AB64 E61:T64">
    <cfRule type="cellIs" dxfId="76" priority="38" operator="lessThan">
      <formula>-80</formula>
    </cfRule>
  </conditionalFormatting>
  <conditionalFormatting sqref="E61:E64">
    <cfRule type="cellIs" dxfId="75" priority="35" operator="lessThan">
      <formula>-100</formula>
    </cfRule>
  </conditionalFormatting>
  <conditionalFormatting sqref="E61:E64">
    <cfRule type="cellIs" dxfId="74" priority="36" operator="lessThan">
      <formula>-80</formula>
    </cfRule>
  </conditionalFormatting>
  <conditionalFormatting sqref="AC61:AC64">
    <cfRule type="cellIs" dxfId="73" priority="33" operator="lessThan">
      <formula>-100</formula>
    </cfRule>
  </conditionalFormatting>
  <conditionalFormatting sqref="AC61:AC64">
    <cfRule type="cellIs" dxfId="72" priority="34" operator="lessThan">
      <formula>-80</formula>
    </cfRule>
  </conditionalFormatting>
  <conditionalFormatting sqref="AC61:AC64 N61:N64">
    <cfRule type="cellIs" dxfId="71" priority="31" operator="lessThan">
      <formula>-100</formula>
    </cfRule>
  </conditionalFormatting>
  <conditionalFormatting sqref="AC61:AC64 N61:N64">
    <cfRule type="cellIs" dxfId="70" priority="32" operator="lessThan">
      <formula>-80</formula>
    </cfRule>
  </conditionalFormatting>
  <conditionalFormatting sqref="U61:U63">
    <cfRule type="cellIs" dxfId="69" priority="30" operator="lessThan">
      <formula>-80</formula>
    </cfRule>
  </conditionalFormatting>
  <conditionalFormatting sqref="U61:U63">
    <cfRule type="cellIs" dxfId="68" priority="29" operator="lessThan">
      <formula>-100</formula>
    </cfRule>
  </conditionalFormatting>
  <conditionalFormatting sqref="U64">
    <cfRule type="cellIs" dxfId="67" priority="28" operator="lessThan">
      <formula>-80</formula>
    </cfRule>
  </conditionalFormatting>
  <conditionalFormatting sqref="U64">
    <cfRule type="cellIs" dxfId="66" priority="27" operator="lessThan">
      <formula>-100</formula>
    </cfRule>
  </conditionalFormatting>
  <conditionalFormatting sqref="E65:T67 V65:AB67">
    <cfRule type="cellIs" dxfId="65" priority="26" operator="lessThan">
      <formula>-80</formula>
    </cfRule>
  </conditionalFormatting>
  <conditionalFormatting sqref="E65:T67 V65:AB67">
    <cfRule type="cellIs" dxfId="64" priority="25" operator="lessThan">
      <formula>-100</formula>
    </cfRule>
  </conditionalFormatting>
  <conditionalFormatting sqref="E65:E67">
    <cfRule type="cellIs" dxfId="63" priority="24" operator="lessThan">
      <formula>-80</formula>
    </cfRule>
  </conditionalFormatting>
  <conditionalFormatting sqref="E65:E67">
    <cfRule type="cellIs" dxfId="62" priority="23" operator="lessThan">
      <formula>-100</formula>
    </cfRule>
  </conditionalFormatting>
  <conditionalFormatting sqref="AC65:AC67">
    <cfRule type="cellIs" dxfId="61" priority="22" operator="lessThan">
      <formula>-80</formula>
    </cfRule>
  </conditionalFormatting>
  <conditionalFormatting sqref="AC65:AC67">
    <cfRule type="cellIs" dxfId="60" priority="21" operator="lessThan">
      <formula>-100</formula>
    </cfRule>
  </conditionalFormatting>
  <conditionalFormatting sqref="N65:N67 AC65:AC67">
    <cfRule type="cellIs" dxfId="59" priority="19" operator="lessThan">
      <formula>-100</formula>
    </cfRule>
  </conditionalFormatting>
  <conditionalFormatting sqref="N65:N67 AC65:AC67">
    <cfRule type="cellIs" dxfId="58" priority="20" operator="lessThan">
      <formula>-80</formula>
    </cfRule>
  </conditionalFormatting>
  <conditionalFormatting sqref="U65:U67">
    <cfRule type="cellIs" dxfId="57" priority="17" operator="lessThan">
      <formula>-100</formula>
    </cfRule>
  </conditionalFormatting>
  <conditionalFormatting sqref="U65:U67">
    <cfRule type="cellIs" dxfId="56" priority="18" operator="lessThan">
      <formula>-80</formula>
    </cfRule>
  </conditionalFormatting>
  <conditionalFormatting sqref="E68:J68">
    <cfRule type="cellIs" dxfId="55" priority="15" operator="lessThan">
      <formula>-100</formula>
    </cfRule>
  </conditionalFormatting>
  <conditionalFormatting sqref="E68:J68">
    <cfRule type="cellIs" dxfId="54" priority="16" operator="lessThan">
      <formula>-80</formula>
    </cfRule>
  </conditionalFormatting>
  <conditionalFormatting sqref="E68">
    <cfRule type="cellIs" dxfId="53" priority="13" operator="lessThan">
      <formula>-100</formula>
    </cfRule>
  </conditionalFormatting>
  <conditionalFormatting sqref="E68">
    <cfRule type="cellIs" dxfId="52" priority="14" operator="lessThan">
      <formula>-80</formula>
    </cfRule>
  </conditionalFormatting>
  <conditionalFormatting sqref="V69:AB72 E69:T72">
    <cfRule type="cellIs" dxfId="51" priority="12" operator="lessThan">
      <formula>-80</formula>
    </cfRule>
  </conditionalFormatting>
  <conditionalFormatting sqref="V69:AB72 E69:T72">
    <cfRule type="cellIs" dxfId="50" priority="11" operator="lessThan">
      <formula>-100</formula>
    </cfRule>
  </conditionalFormatting>
  <conditionalFormatting sqref="E69:E72">
    <cfRule type="cellIs" dxfId="49" priority="10" operator="lessThan">
      <formula>-80</formula>
    </cfRule>
  </conditionalFormatting>
  <conditionalFormatting sqref="E69:E72">
    <cfRule type="cellIs" dxfId="48" priority="9" operator="lessThan">
      <formula>-100</formula>
    </cfRule>
  </conditionalFormatting>
  <conditionalFormatting sqref="AC69:AC72">
    <cfRule type="cellIs" dxfId="47" priority="8" operator="lessThan">
      <formula>-80</formula>
    </cfRule>
  </conditionalFormatting>
  <conditionalFormatting sqref="AC69:AC72">
    <cfRule type="cellIs" dxfId="46" priority="7" operator="lessThan">
      <formula>-100</formula>
    </cfRule>
  </conditionalFormatting>
  <conditionalFormatting sqref="AC69:AC72 N69:N72">
    <cfRule type="cellIs" dxfId="45" priority="6" operator="lessThan">
      <formula>-80</formula>
    </cfRule>
  </conditionalFormatting>
  <conditionalFormatting sqref="AC69:AC72 N69:N72">
    <cfRule type="cellIs" dxfId="44" priority="5" operator="lessThan">
      <formula>-100</formula>
    </cfRule>
  </conditionalFormatting>
  <conditionalFormatting sqref="E57:T59 V57:AB59">
    <cfRule type="cellIs" dxfId="43" priority="51" operator="lessThan">
      <formula>-100</formula>
    </cfRule>
  </conditionalFormatting>
  <conditionalFormatting sqref="E57:T59 V57:AB59">
    <cfRule type="cellIs" dxfId="42" priority="52" operator="lessThan">
      <formula>-80</formula>
    </cfRule>
  </conditionalFormatting>
  <conditionalFormatting sqref="E57:E59">
    <cfRule type="cellIs" dxfId="41" priority="49" operator="lessThan">
      <formula>-100</formula>
    </cfRule>
  </conditionalFormatting>
  <conditionalFormatting sqref="E57:E59">
    <cfRule type="cellIs" dxfId="40" priority="50" operator="lessThan">
      <formula>-80</formula>
    </cfRule>
  </conditionalFormatting>
  <conditionalFormatting sqref="AC57:AC59">
    <cfRule type="cellIs" dxfId="39" priority="47" operator="lessThan">
      <formula>-100</formula>
    </cfRule>
  </conditionalFormatting>
  <conditionalFormatting sqref="AC57:AC59">
    <cfRule type="cellIs" dxfId="38" priority="48" operator="lessThan">
      <formula>-80</formula>
    </cfRule>
  </conditionalFormatting>
  <conditionalFormatting sqref="N57:N59 AC57:AC59">
    <cfRule type="cellIs" dxfId="37" priority="45" operator="lessThan">
      <formula>-100</formula>
    </cfRule>
  </conditionalFormatting>
  <conditionalFormatting sqref="N57:N59 AC57:AC59">
    <cfRule type="cellIs" dxfId="36" priority="46" operator="lessThan">
      <formula>-80</formula>
    </cfRule>
  </conditionalFormatting>
  <conditionalFormatting sqref="U57:U59">
    <cfRule type="cellIs" dxfId="35" priority="43" operator="lessThan">
      <formula>-100</formula>
    </cfRule>
  </conditionalFormatting>
  <conditionalFormatting sqref="U57:U59">
    <cfRule type="cellIs" dxfId="34" priority="44" operator="lessThan">
      <formula>-80</formula>
    </cfRule>
  </conditionalFormatting>
  <conditionalFormatting sqref="E60:J60">
    <cfRule type="cellIs" dxfId="33" priority="42" operator="lessThan">
      <formula>-80</formula>
    </cfRule>
  </conditionalFormatting>
  <conditionalFormatting sqref="E60:J60">
    <cfRule type="cellIs" dxfId="32" priority="41" operator="lessThan">
      <formula>-100</formula>
    </cfRule>
  </conditionalFormatting>
  <conditionalFormatting sqref="U69:U71">
    <cfRule type="cellIs" dxfId="31" priority="4" operator="lessThan">
      <formula>-80</formula>
    </cfRule>
  </conditionalFormatting>
  <conditionalFormatting sqref="U69:U71">
    <cfRule type="cellIs" dxfId="30" priority="3" operator="lessThan">
      <formula>-100</formula>
    </cfRule>
  </conditionalFormatting>
  <conditionalFormatting sqref="U72">
    <cfRule type="cellIs" dxfId="29" priority="1" operator="lessThan">
      <formula>-100</formula>
    </cfRule>
  </conditionalFormatting>
  <conditionalFormatting sqref="U72">
    <cfRule type="cellIs" dxfId="28" priority="2" operator="lessThan">
      <formula>-80</formula>
    </cfRule>
  </conditionalFormatting>
  <conditionalFormatting sqref="E49:T51 V49:AB51 E15:J48 V53:AB56 E53:T56">
    <cfRule type="cellIs" dxfId="27" priority="77" operator="lessThan">
      <formula>-100</formula>
    </cfRule>
  </conditionalFormatting>
  <conditionalFormatting sqref="E49:T51 V49:AB51 E15:J48 V53:AB56 E53:T56">
    <cfRule type="cellIs" dxfId="26" priority="78" operator="lessThan">
      <formula>-80</formula>
    </cfRule>
  </conditionalFormatting>
  <conditionalFormatting sqref="E15:E20">
    <cfRule type="cellIs" dxfId="25" priority="75" operator="lessThan">
      <formula>-100</formula>
    </cfRule>
  </conditionalFormatting>
  <conditionalFormatting sqref="E15:E20">
    <cfRule type="cellIs" dxfId="24" priority="76" operator="lessThan">
      <formula>-80</formula>
    </cfRule>
  </conditionalFormatting>
  <conditionalFormatting sqref="E21:E40">
    <cfRule type="cellIs" dxfId="23" priority="73" operator="lessThan">
      <formula>-100</formula>
    </cfRule>
  </conditionalFormatting>
  <conditionalFormatting sqref="E21:E40">
    <cfRule type="cellIs" dxfId="22" priority="74" operator="lessThan">
      <formula>-80</formula>
    </cfRule>
  </conditionalFormatting>
  <conditionalFormatting sqref="E41:E44">
    <cfRule type="cellIs" dxfId="21" priority="71" operator="lessThan">
      <formula>-100</formula>
    </cfRule>
  </conditionalFormatting>
  <conditionalFormatting sqref="E41:E44">
    <cfRule type="cellIs" dxfId="20" priority="72" operator="lessThan">
      <formula>-80</formula>
    </cfRule>
  </conditionalFormatting>
  <conditionalFormatting sqref="E45">
    <cfRule type="cellIs" dxfId="19" priority="69" operator="lessThan">
      <formula>-100</formula>
    </cfRule>
  </conditionalFormatting>
  <conditionalFormatting sqref="E45">
    <cfRule type="cellIs" dxfId="18" priority="70" operator="lessThan">
      <formula>-80</formula>
    </cfRule>
  </conditionalFormatting>
  <conditionalFormatting sqref="E46:E48">
    <cfRule type="cellIs" dxfId="17" priority="68" operator="lessThan">
      <formula>-80</formula>
    </cfRule>
  </conditionalFormatting>
  <conditionalFormatting sqref="E46:E48">
    <cfRule type="cellIs" dxfId="16" priority="67" operator="lessThan">
      <formula>-100</formula>
    </cfRule>
  </conditionalFormatting>
  <conditionalFormatting sqref="E49:E51 E53:E56">
    <cfRule type="cellIs" dxfId="15" priority="66" operator="lessThan">
      <formula>-80</formula>
    </cfRule>
  </conditionalFormatting>
  <conditionalFormatting sqref="E49:E51 E53:E56">
    <cfRule type="cellIs" dxfId="14" priority="65" operator="lessThan">
      <formula>-100</formula>
    </cfRule>
  </conditionalFormatting>
  <conditionalFormatting sqref="AC49:AC51 AC53:AC56">
    <cfRule type="cellIs" dxfId="13" priority="64" operator="lessThan">
      <formula>-80</formula>
    </cfRule>
  </conditionalFormatting>
  <conditionalFormatting sqref="AC49:AC51 AC53:AC56">
    <cfRule type="cellIs" dxfId="12" priority="63" operator="lessThan">
      <formula>-100</formula>
    </cfRule>
  </conditionalFormatting>
  <conditionalFormatting sqref="N49:N51 AC49:AC51 AC53:AC56 N53:N56">
    <cfRule type="cellIs" dxfId="11" priority="62" operator="lessThan">
      <formula>-80</formula>
    </cfRule>
  </conditionalFormatting>
  <conditionalFormatting sqref="N49:N51 AC49:AC51 AC53:AC56 N53:N56">
    <cfRule type="cellIs" dxfId="10" priority="61" operator="lessThan">
      <formula>-100</formula>
    </cfRule>
  </conditionalFormatting>
  <conditionalFormatting sqref="U49:U51 U53:U55">
    <cfRule type="cellIs" dxfId="9" priority="60" operator="lessThan">
      <formula>-80</formula>
    </cfRule>
  </conditionalFormatting>
  <conditionalFormatting sqref="U49:U51 U53:U55">
    <cfRule type="cellIs" dxfId="8" priority="59" operator="lessThan">
      <formula>-100</formula>
    </cfRule>
  </conditionalFormatting>
  <conditionalFormatting sqref="U56">
    <cfRule type="cellIs" dxfId="7" priority="57" operator="lessThan">
      <formula>-100</formula>
    </cfRule>
  </conditionalFormatting>
  <conditionalFormatting sqref="U56">
    <cfRule type="cellIs" dxfId="6" priority="58" operator="lessThan">
      <formula>-80</formula>
    </cfRule>
  </conditionalFormatting>
  <conditionalFormatting sqref="E52:J52">
    <cfRule type="cellIs" dxfId="5" priority="55" operator="lessThan">
      <formula>-100</formula>
    </cfRule>
  </conditionalFormatting>
  <conditionalFormatting sqref="E52:J52">
    <cfRule type="cellIs" dxfId="4" priority="56" operator="lessThan">
      <formula>-80</formula>
    </cfRule>
  </conditionalFormatting>
  <conditionalFormatting sqref="E52">
    <cfRule type="cellIs" dxfId="3" priority="53" operator="lessThan">
      <formula>-100</formula>
    </cfRule>
  </conditionalFormatting>
  <conditionalFormatting sqref="E52">
    <cfRule type="cellIs" dxfId="2" priority="54" operator="lessThan">
      <formula>-80</formula>
    </cfRule>
  </conditionalFormatting>
  <hyperlinks>
    <hyperlink ref="A1" location="'ODS 8.'!A1" display="REGRESAR" xr:uid="{CAB38409-9916-4A80-93FC-5AC5E0A8F2B8}"/>
    <hyperlink ref="C1:D1" location="'Metadato 8.5.1.b'!A1" display="VER METADATO" xr:uid="{1CFECFFB-F92E-4A44-922A-537FAD39BA75}"/>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38D3-A6F6-4FFD-A588-8287B3550363}">
  <sheetPr>
    <tabColor theme="0" tint="-0.499984740745262"/>
  </sheetPr>
  <dimension ref="A1:F36"/>
  <sheetViews>
    <sheetView showGridLines="0" zoomScaleNormal="100" workbookViewId="0">
      <pane ySplit="1" topLeftCell="A29" activePane="bottomLeft" state="frozen"/>
      <selection sqref="A1:B1"/>
      <selection pane="bottomLeft" activeCell="B1" sqref="B1"/>
    </sheetView>
  </sheetViews>
  <sheetFormatPr baseColWidth="10" defaultColWidth="11.42578125" defaultRowHeight="18.75" x14ac:dyDescent="0.25"/>
  <cols>
    <col min="1" max="1" width="11.7109375" style="243" customWidth="1"/>
    <col min="2" max="2" width="26.42578125" style="243" customWidth="1"/>
    <col min="3" max="3" width="24" style="243" customWidth="1"/>
    <col min="4" max="4" width="85.7109375" style="243" customWidth="1"/>
    <col min="5" max="5" width="11.7109375" style="243" customWidth="1"/>
    <col min="6" max="6" width="7.28515625" style="243" customWidth="1"/>
    <col min="7" max="7" width="13.28515625" style="243" customWidth="1"/>
    <col min="8" max="9" width="11.7109375" style="243" customWidth="1"/>
    <col min="10" max="10" width="2.42578125" style="243" customWidth="1"/>
    <col min="11" max="13" width="11.7109375" style="243" customWidth="1"/>
    <col min="14"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ht="37.5" x14ac:dyDescent="0.25">
      <c r="A4" s="1079"/>
      <c r="B4" s="2445" t="s">
        <v>234</v>
      </c>
      <c r="C4" s="2445"/>
      <c r="D4" s="49" t="s">
        <v>4975</v>
      </c>
    </row>
    <row r="5" spans="1:6" ht="56.25" x14ac:dyDescent="0.25">
      <c r="B5" s="2445" t="s">
        <v>79</v>
      </c>
      <c r="C5" s="2445"/>
      <c r="D5" s="49" t="s">
        <v>4927</v>
      </c>
    </row>
    <row r="6" spans="1:6" x14ac:dyDescent="0.25">
      <c r="B6" s="2445" t="s">
        <v>80</v>
      </c>
      <c r="C6" s="2445"/>
      <c r="D6" s="50" t="s">
        <v>4928</v>
      </c>
    </row>
    <row r="7" spans="1:6" ht="37.5" x14ac:dyDescent="0.25">
      <c r="B7" s="2446" t="s">
        <v>81</v>
      </c>
      <c r="C7" s="2446"/>
      <c r="D7" s="93" t="s">
        <v>4929</v>
      </c>
    </row>
    <row r="8" spans="1:6" x14ac:dyDescent="0.25">
      <c r="B8" s="2446" t="s">
        <v>82</v>
      </c>
      <c r="C8" s="2446"/>
      <c r="D8" s="1047" t="s">
        <v>5084</v>
      </c>
    </row>
    <row r="9" spans="1:6" ht="23.25" customHeight="1" x14ac:dyDescent="0.4">
      <c r="B9" s="115"/>
      <c r="C9" s="115"/>
      <c r="D9" s="115"/>
    </row>
    <row r="10" spans="1:6" ht="19.5" x14ac:dyDescent="0.25">
      <c r="B10" s="3119" t="s">
        <v>85</v>
      </c>
      <c r="C10" s="3119"/>
      <c r="D10" s="3119"/>
    </row>
    <row r="11" spans="1:6" ht="22.5" customHeight="1" x14ac:dyDescent="0.25">
      <c r="B11" s="2487" t="s">
        <v>86</v>
      </c>
      <c r="C11" s="2456"/>
      <c r="D11" s="49"/>
    </row>
    <row r="12" spans="1:6" ht="37.5" x14ac:dyDescent="0.25">
      <c r="B12" s="2446" t="s">
        <v>88</v>
      </c>
      <c r="C12" s="2446"/>
      <c r="D12" s="184" t="s">
        <v>5096</v>
      </c>
    </row>
    <row r="13" spans="1:6" x14ac:dyDescent="0.25">
      <c r="B13" s="2445" t="s">
        <v>90</v>
      </c>
      <c r="C13" s="2445"/>
      <c r="D13" s="54" t="s">
        <v>5097</v>
      </c>
    </row>
    <row r="14" spans="1:6" x14ac:dyDescent="0.25">
      <c r="B14" s="2445" t="s">
        <v>91</v>
      </c>
      <c r="C14" s="2456"/>
      <c r="D14" s="54" t="s">
        <v>214</v>
      </c>
    </row>
    <row r="15" spans="1:6" ht="69.75" customHeight="1" x14ac:dyDescent="0.25">
      <c r="B15" s="2445" t="s">
        <v>93</v>
      </c>
      <c r="C15" s="2445"/>
      <c r="D15" s="55" t="s">
        <v>5098</v>
      </c>
    </row>
    <row r="16" spans="1:6" ht="78" customHeight="1" x14ac:dyDescent="0.25">
      <c r="B16" s="2445" t="s">
        <v>95</v>
      </c>
      <c r="C16" s="2445"/>
      <c r="D16" s="55"/>
    </row>
    <row r="17" spans="2:4" x14ac:dyDescent="0.25">
      <c r="B17" s="2445" t="s">
        <v>97</v>
      </c>
      <c r="C17" s="2445"/>
      <c r="D17" s="55" t="s">
        <v>98</v>
      </c>
    </row>
    <row r="18" spans="2:4" x14ac:dyDescent="0.25">
      <c r="B18" s="2446" t="s">
        <v>99</v>
      </c>
      <c r="C18" s="2446"/>
      <c r="D18" s="49"/>
    </row>
    <row r="19" spans="2:4" ht="37.5" x14ac:dyDescent="0.25">
      <c r="B19" s="2457" t="s">
        <v>100</v>
      </c>
      <c r="C19" s="2458"/>
      <c r="D19" s="55" t="s">
        <v>5099</v>
      </c>
    </row>
    <row r="20" spans="2:4" x14ac:dyDescent="0.25">
      <c r="B20" s="2445" t="s">
        <v>102</v>
      </c>
      <c r="C20" s="2445"/>
      <c r="D20" s="55" t="s">
        <v>140</v>
      </c>
    </row>
    <row r="21" spans="2:4" x14ac:dyDescent="0.25">
      <c r="B21" s="2451" t="s">
        <v>104</v>
      </c>
      <c r="C21" s="95" t="s">
        <v>105</v>
      </c>
      <c r="D21" s="49"/>
    </row>
    <row r="22" spans="2:4" x14ac:dyDescent="0.25">
      <c r="B22" s="2452"/>
      <c r="C22" s="96" t="s">
        <v>107</v>
      </c>
      <c r="D22" s="55" t="s">
        <v>5100</v>
      </c>
    </row>
    <row r="23" spans="2:4" x14ac:dyDescent="0.25">
      <c r="B23" s="2445" t="s">
        <v>109</v>
      </c>
      <c r="C23" s="2445"/>
      <c r="D23" s="55" t="s">
        <v>5101</v>
      </c>
    </row>
    <row r="24" spans="2:4" x14ac:dyDescent="0.25">
      <c r="B24" s="2445" t="s">
        <v>111</v>
      </c>
      <c r="C24" s="2445"/>
      <c r="D24" s="50" t="s">
        <v>147</v>
      </c>
    </row>
    <row r="25" spans="2:4" x14ac:dyDescent="0.25">
      <c r="B25" s="2445" t="s">
        <v>113</v>
      </c>
      <c r="C25" s="2445"/>
      <c r="D25" s="55" t="s">
        <v>5025</v>
      </c>
    </row>
    <row r="26" spans="2:4" ht="15" customHeight="1" x14ac:dyDescent="0.25">
      <c r="B26" s="2446" t="s">
        <v>115</v>
      </c>
      <c r="C26" s="2446"/>
      <c r="D26" s="50" t="s">
        <v>614</v>
      </c>
    </row>
    <row r="27" spans="2:4" x14ac:dyDescent="0.25">
      <c r="B27" s="2447" t="s">
        <v>117</v>
      </c>
      <c r="C27" s="2448"/>
      <c r="D27" s="49"/>
    </row>
    <row r="28" spans="2:4" ht="318.75" x14ac:dyDescent="0.25">
      <c r="B28" s="97" t="s">
        <v>118</v>
      </c>
      <c r="C28" s="98"/>
      <c r="D28" s="55" t="s">
        <v>5102</v>
      </c>
    </row>
    <row r="29" spans="2:4" x14ac:dyDescent="0.25">
      <c r="B29" s="2449" t="s">
        <v>120</v>
      </c>
      <c r="C29" s="2450"/>
      <c r="D29" s="62"/>
    </row>
    <row r="30" spans="2:4" ht="23.25" customHeight="1" x14ac:dyDescent="0.25">
      <c r="B30" s="63"/>
      <c r="C30" s="63"/>
      <c r="D30" s="64"/>
    </row>
    <row r="31" spans="2:4" ht="19.5" x14ac:dyDescent="0.25">
      <c r="B31" s="3119" t="s">
        <v>121</v>
      </c>
      <c r="C31" s="3119"/>
      <c r="D31" s="3119"/>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740A6743-6F53-468E-BDFA-4E6994F10FDD}">
      <formula1>Tipo_operación</formula1>
    </dataValidation>
    <dataValidation type="list" allowBlank="1" showInputMessage="1" showErrorMessage="1" sqref="D14" xr:uid="{F9AB4361-C0C5-485A-B221-0684CF82452D}">
      <formula1>Tipo_indicador</formula1>
    </dataValidation>
    <dataValidation type="list" allowBlank="1" showInputMessage="1" showErrorMessage="1" sqref="D7" xr:uid="{49898366-2D02-429D-AE58-2EC8A4562769}">
      <formula1>Nombre_indicador_ODS</formula1>
    </dataValidation>
    <dataValidation type="list" allowBlank="1" showInputMessage="1" showErrorMessage="1" sqref="D6" xr:uid="{534737D0-2233-4553-8812-48F19CE158C2}">
      <formula1>Numero_indicador</formula1>
    </dataValidation>
    <dataValidation type="list" allowBlank="1" showInputMessage="1" showErrorMessage="1" sqref="D5" xr:uid="{C0E4F02B-E67B-4DD5-BF21-F680A336F8D6}">
      <formula1>Metas_ODS</formula1>
    </dataValidation>
    <dataValidation type="list" allowBlank="1" showInputMessage="1" showErrorMessage="1" sqref="D4" xr:uid="{5CBF7980-15D6-496C-A53B-9F3A1C3722BE}">
      <formula1>ODS</formula1>
    </dataValidation>
    <dataValidation allowBlank="1" showDropDown="1" showInputMessage="1" showErrorMessage="1" sqref="D13" xr:uid="{15C475D6-3D08-4ED2-B75A-32D538250959}"/>
  </dataValidations>
  <hyperlinks>
    <hyperlink ref="B1" location="'8.5.1.b'!A1" display="REGRESAR" xr:uid="{BA00BA43-A200-44F6-BE22-60A02481F6EE}"/>
    <hyperlink ref="D8" r:id="rId1" xr:uid="{3776BC0D-177E-4F83-9CDC-68F48F2E6BF0}"/>
    <hyperlink ref="D36" r:id="rId2" display="braulio.villegas@inec.go.cr" xr:uid="{8CEFAC0E-BA82-4AD2-8018-A7392C7946C9}"/>
  </hyperlinks>
  <pageMargins left="0.7" right="0.7" top="0.75" bottom="0.75" header="0.3" footer="0.3"/>
  <pageSetup orientation="portrait" r:id="rId3"/>
  <drawing r:id="rId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DAB9E-DDB5-42F9-973D-05FD5E3320C1}">
  <dimension ref="A1:AE50"/>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1" width="15.28515625" style="115" customWidth="1"/>
    <col min="2" max="2" width="15.28515625" style="1048" customWidth="1"/>
    <col min="3" max="3" width="7.28515625" style="115" customWidth="1"/>
    <col min="4" max="4" width="6.7109375" style="115" customWidth="1"/>
    <col min="5" max="5" width="9.7109375" style="115" customWidth="1"/>
    <col min="6" max="6" width="7.28515625" style="115" customWidth="1"/>
    <col min="7" max="7" width="9.5703125" style="115" customWidth="1"/>
    <col min="8" max="8" width="2.42578125" style="115" customWidth="1"/>
    <col min="9" max="9" width="6.7109375" style="115" customWidth="1"/>
    <col min="10" max="10" width="11.7109375" style="115" customWidth="1"/>
    <col min="11" max="11" width="10.42578125" style="115" customWidth="1"/>
    <col min="12" max="12" width="9.5703125" style="115" customWidth="1"/>
    <col min="13" max="13" width="3.7109375" style="115" customWidth="1"/>
    <col min="14" max="14" width="7" style="115" customWidth="1"/>
    <col min="15" max="15" width="10.5703125" style="115" customWidth="1"/>
    <col min="16" max="16" width="10.28515625" style="115" customWidth="1"/>
    <col min="17" max="17" width="10" style="115" customWidth="1"/>
    <col min="18" max="32" width="12" style="115" customWidth="1"/>
    <col min="33" max="16384" width="11.42578125" style="115"/>
  </cols>
  <sheetData>
    <row r="1" spans="1:31" s="1032" customFormat="1" ht="19.5" x14ac:dyDescent="0.4">
      <c r="A1" s="15" t="s">
        <v>39</v>
      </c>
      <c r="B1" s="1061"/>
      <c r="C1" s="2421" t="s">
        <v>149</v>
      </c>
      <c r="D1" s="2421"/>
      <c r="E1" s="2421"/>
    </row>
    <row r="2" spans="1:31" s="1032" customFormat="1" ht="19.5" x14ac:dyDescent="0.4">
      <c r="B2" s="1061"/>
    </row>
    <row r="3" spans="1:31" s="1032" customFormat="1" ht="19.5" x14ac:dyDescent="0.4">
      <c r="A3" s="3117" t="s">
        <v>41</v>
      </c>
      <c r="B3" s="3117"/>
      <c r="C3" s="3117" t="s">
        <v>4957</v>
      </c>
      <c r="D3" s="3117"/>
      <c r="E3" s="3117"/>
      <c r="F3" s="3117"/>
      <c r="G3" s="3117"/>
      <c r="H3" s="3117"/>
      <c r="I3" s="3117"/>
      <c r="J3" s="3117"/>
      <c r="K3" s="3117"/>
      <c r="L3" s="3117"/>
      <c r="M3" s="3117"/>
      <c r="N3" s="3117"/>
      <c r="O3" s="3117"/>
      <c r="P3" s="3117"/>
      <c r="Q3" s="3117"/>
      <c r="R3" s="3117"/>
      <c r="S3" s="3117"/>
      <c r="T3" s="3117"/>
      <c r="U3" s="3117"/>
      <c r="V3" s="3117"/>
    </row>
    <row r="4" spans="1:31" s="1032" customFormat="1" ht="19.5" x14ac:dyDescent="0.4">
      <c r="A4" s="3117" t="s">
        <v>42</v>
      </c>
      <c r="B4" s="3117"/>
      <c r="C4" s="3117" t="s">
        <v>4927</v>
      </c>
      <c r="D4" s="3117"/>
      <c r="E4" s="3117"/>
      <c r="F4" s="3117"/>
      <c r="G4" s="3117"/>
      <c r="H4" s="3117"/>
      <c r="I4" s="3117"/>
      <c r="J4" s="3117"/>
      <c r="K4" s="3117"/>
      <c r="L4" s="3117"/>
      <c r="M4" s="3117"/>
      <c r="N4" s="3117"/>
      <c r="O4" s="3117"/>
      <c r="P4" s="3117"/>
      <c r="Q4" s="3117"/>
      <c r="R4" s="3117"/>
      <c r="S4" s="3117"/>
      <c r="T4" s="3117"/>
      <c r="U4" s="3117"/>
      <c r="V4" s="3117"/>
    </row>
    <row r="5" spans="1:31" s="1032" customFormat="1" ht="19.5" x14ac:dyDescent="0.4">
      <c r="A5" s="3117" t="s">
        <v>43</v>
      </c>
      <c r="B5" s="3117"/>
      <c r="C5" s="3117" t="s">
        <v>4931</v>
      </c>
      <c r="D5" s="3117"/>
      <c r="E5" s="3117"/>
      <c r="F5" s="3117"/>
      <c r="G5" s="3117"/>
      <c r="H5" s="3117"/>
      <c r="I5" s="3117"/>
      <c r="J5" s="3117"/>
      <c r="K5" s="3117"/>
      <c r="L5" s="3117"/>
      <c r="M5" s="3117"/>
      <c r="N5" s="3117"/>
      <c r="O5" s="3117"/>
      <c r="P5" s="3117"/>
      <c r="Q5" s="3117"/>
      <c r="R5" s="3117"/>
      <c r="S5" s="3117"/>
      <c r="T5" s="3117"/>
      <c r="U5" s="3117"/>
      <c r="V5" s="3117"/>
    </row>
    <row r="6" spans="1:31" s="1032" customFormat="1" ht="19.5" x14ac:dyDescent="0.4">
      <c r="A6" s="3117" t="s">
        <v>132</v>
      </c>
      <c r="B6" s="3117"/>
      <c r="C6" s="3117" t="s">
        <v>5103</v>
      </c>
      <c r="D6" s="3117"/>
      <c r="E6" s="3117"/>
      <c r="F6" s="3117"/>
      <c r="G6" s="3117"/>
      <c r="H6" s="3117"/>
      <c r="I6" s="3117"/>
      <c r="J6" s="3117"/>
      <c r="K6" s="3117"/>
      <c r="L6" s="3117"/>
      <c r="M6" s="3117"/>
      <c r="N6" s="3117"/>
      <c r="O6" s="3117"/>
      <c r="P6" s="3117"/>
      <c r="Q6" s="3117"/>
      <c r="R6" s="3117"/>
      <c r="S6" s="3117"/>
      <c r="T6" s="3117"/>
      <c r="U6" s="3117"/>
      <c r="V6" s="3117"/>
    </row>
    <row r="9" spans="1:31" ht="16.5" customHeight="1" x14ac:dyDescent="0.4">
      <c r="B9" s="1475"/>
      <c r="C9" s="1476" t="s">
        <v>5104</v>
      </c>
      <c r="D9" s="1476"/>
      <c r="E9" s="1476"/>
      <c r="F9" s="1476"/>
      <c r="G9" s="1476"/>
      <c r="H9" s="1476"/>
      <c r="I9" s="1476"/>
      <c r="J9" s="1476"/>
      <c r="K9" s="1476"/>
      <c r="L9" s="1476"/>
      <c r="M9" s="1476"/>
      <c r="N9" s="1476"/>
      <c r="O9" s="1476"/>
      <c r="P9" s="1476"/>
      <c r="Q9" s="1476"/>
      <c r="R9" s="1477"/>
      <c r="S9" s="1478"/>
      <c r="T9" s="138" t="s">
        <v>8159</v>
      </c>
      <c r="U9" s="1478"/>
      <c r="V9" s="1478"/>
      <c r="W9" s="1478"/>
      <c r="X9" s="1478"/>
      <c r="Y9" s="1478"/>
      <c r="Z9" s="1478"/>
      <c r="AA9" s="1478"/>
      <c r="AB9" s="1478"/>
      <c r="AC9" s="1478"/>
      <c r="AD9" s="1478"/>
      <c r="AE9" s="1478"/>
    </row>
    <row r="10" spans="1:31" ht="9.6" customHeight="1" x14ac:dyDescent="0.4">
      <c r="B10" s="1475"/>
      <c r="C10" s="1479"/>
      <c r="D10" s="1479"/>
      <c r="E10" s="1479"/>
      <c r="F10" s="1479"/>
      <c r="G10" s="1479"/>
      <c r="H10" s="1479"/>
      <c r="I10" s="1479"/>
      <c r="J10" s="1479"/>
      <c r="K10" s="1479"/>
      <c r="L10" s="1479"/>
      <c r="M10" s="1479"/>
      <c r="N10" s="1479"/>
      <c r="O10" s="1479"/>
      <c r="P10" s="1479"/>
      <c r="Q10" s="1479"/>
      <c r="R10" s="1477"/>
      <c r="S10" s="1478"/>
      <c r="T10" s="1478"/>
      <c r="U10" s="1478"/>
      <c r="V10" s="1478"/>
      <c r="W10" s="1478"/>
      <c r="X10" s="1478"/>
      <c r="Y10" s="1478"/>
      <c r="Z10" s="1478"/>
      <c r="AA10" s="1478"/>
      <c r="AB10" s="1478"/>
      <c r="AC10" s="1478"/>
      <c r="AD10" s="1478"/>
      <c r="AE10" s="1478"/>
    </row>
    <row r="11" spans="1:31" ht="12.75" customHeight="1" x14ac:dyDescent="0.4">
      <c r="C11" s="3160" t="s">
        <v>46</v>
      </c>
      <c r="D11" s="3124" t="s">
        <v>47</v>
      </c>
      <c r="E11" s="3124"/>
      <c r="F11" s="3124"/>
      <c r="G11" s="3124"/>
      <c r="H11" s="1454"/>
      <c r="I11" s="3134" t="s">
        <v>48</v>
      </c>
      <c r="J11" s="3134"/>
      <c r="K11" s="3134"/>
      <c r="L11" s="3134"/>
      <c r="M11" s="3134"/>
      <c r="N11" s="3134"/>
      <c r="O11" s="3134"/>
      <c r="P11" s="3134"/>
      <c r="Q11" s="3134"/>
    </row>
    <row r="12" spans="1:31" ht="12.75" customHeight="1" x14ac:dyDescent="0.4">
      <c r="C12" s="3158"/>
      <c r="D12" s="3126"/>
      <c r="E12" s="3126"/>
      <c r="F12" s="3126"/>
      <c r="G12" s="3126"/>
      <c r="H12" s="1455"/>
      <c r="I12" s="3134" t="s">
        <v>894</v>
      </c>
      <c r="J12" s="3134"/>
      <c r="K12" s="3134"/>
      <c r="L12" s="3134"/>
      <c r="M12" s="1455"/>
      <c r="N12" s="3134" t="s">
        <v>895</v>
      </c>
      <c r="O12" s="3134"/>
      <c r="P12" s="3134"/>
      <c r="Q12" s="3134"/>
      <c r="U12" s="226"/>
      <c r="V12" s="226"/>
      <c r="W12" s="226"/>
      <c r="X12" s="226"/>
      <c r="Y12" s="226"/>
      <c r="Z12" s="226"/>
      <c r="AA12" s="226"/>
      <c r="AB12" s="226"/>
      <c r="AC12" s="226"/>
      <c r="AD12" s="226"/>
    </row>
    <row r="13" spans="1:31" ht="17.25" customHeight="1" x14ac:dyDescent="0.4">
      <c r="C13" s="3158"/>
      <c r="D13" s="3158" t="s">
        <v>154</v>
      </c>
      <c r="E13" s="3134" t="s">
        <v>963</v>
      </c>
      <c r="F13" s="3134"/>
      <c r="G13" s="3134"/>
      <c r="H13" s="1455"/>
      <c r="I13" s="3158" t="s">
        <v>154</v>
      </c>
      <c r="J13" s="3134" t="s">
        <v>963</v>
      </c>
      <c r="K13" s="3134"/>
      <c r="L13" s="3134"/>
      <c r="M13" s="1455"/>
      <c r="N13" s="3158" t="s">
        <v>154</v>
      </c>
      <c r="O13" s="3134" t="s">
        <v>963</v>
      </c>
      <c r="P13" s="3134"/>
      <c r="Q13" s="3134"/>
    </row>
    <row r="14" spans="1:31" ht="56.25" x14ac:dyDescent="0.4">
      <c r="C14" s="3159"/>
      <c r="D14" s="3159"/>
      <c r="E14" s="1480" t="s">
        <v>5105</v>
      </c>
      <c r="F14" s="1480" t="s">
        <v>5106</v>
      </c>
      <c r="G14" s="1480" t="s">
        <v>5107</v>
      </c>
      <c r="H14" s="1456"/>
      <c r="I14" s="3159"/>
      <c r="J14" s="1480" t="s">
        <v>5108</v>
      </c>
      <c r="K14" s="1480" t="s">
        <v>5109</v>
      </c>
      <c r="L14" s="1480" t="s">
        <v>5110</v>
      </c>
      <c r="M14" s="1456"/>
      <c r="N14" s="3159"/>
      <c r="O14" s="1480" t="s">
        <v>5108</v>
      </c>
      <c r="P14" s="1480" t="s">
        <v>5109</v>
      </c>
      <c r="Q14" s="1480" t="s">
        <v>5110</v>
      </c>
    </row>
    <row r="15" spans="1:31" x14ac:dyDescent="0.4">
      <c r="C15" s="1481">
        <v>1990</v>
      </c>
      <c r="D15" s="1478">
        <v>4.5110419865398832</v>
      </c>
      <c r="E15" s="1478">
        <v>8.3139648676420226</v>
      </c>
      <c r="F15" s="1478">
        <v>3.0079175561914964</v>
      </c>
      <c r="G15" s="1478">
        <v>2.4233920559857265</v>
      </c>
      <c r="H15" s="1478"/>
      <c r="I15" s="1478">
        <v>4.0204320926055281</v>
      </c>
      <c r="J15" s="1478">
        <v>7.5779852970395387</v>
      </c>
      <c r="K15" s="1478">
        <v>2.6058650611350287</v>
      </c>
      <c r="L15" s="1478">
        <v>2.7741423755700971</v>
      </c>
      <c r="M15" s="1478"/>
      <c r="N15" s="1478">
        <v>5.7089773852128225</v>
      </c>
      <c r="O15" s="1478">
        <v>9.9724397305660304</v>
      </c>
      <c r="P15" s="1478">
        <v>3.9632442160083983</v>
      </c>
      <c r="Q15" s="1478">
        <v>0</v>
      </c>
    </row>
    <row r="16" spans="1:31" x14ac:dyDescent="0.4">
      <c r="C16" s="1481">
        <v>1991</v>
      </c>
      <c r="D16" s="1478">
        <v>5.3730055829977088</v>
      </c>
      <c r="E16" s="1478">
        <v>10.880740233036326</v>
      </c>
      <c r="F16" s="1478">
        <v>3.263301500682128</v>
      </c>
      <c r="G16" s="1478">
        <v>3.1201040034667824</v>
      </c>
      <c r="H16" s="1478"/>
      <c r="I16" s="1478">
        <v>4.6349550209258208</v>
      </c>
      <c r="J16" s="1478">
        <v>9.7617282843209008</v>
      </c>
      <c r="K16" s="1478">
        <v>2.7254857633314304</v>
      </c>
      <c r="L16" s="1478">
        <v>2.903193311171552</v>
      </c>
      <c r="M16" s="1478"/>
      <c r="N16" s="1478">
        <v>7.0563060516175042</v>
      </c>
      <c r="O16" s="1478">
        <v>13.174678448033911</v>
      </c>
      <c r="P16" s="1478">
        <v>4.4872102300719821</v>
      </c>
      <c r="Q16" s="1478">
        <v>4.1590273086943936</v>
      </c>
    </row>
    <row r="17" spans="3:20" x14ac:dyDescent="0.4">
      <c r="C17" s="1481">
        <v>1992</v>
      </c>
      <c r="D17" s="1478">
        <v>3.9267151902356288</v>
      </c>
      <c r="E17" s="1478">
        <v>7.5547659782676506</v>
      </c>
      <c r="F17" s="1478">
        <v>2.7402253692975784</v>
      </c>
      <c r="G17" s="1478">
        <v>1.0361836051091398</v>
      </c>
      <c r="H17" s="1478"/>
      <c r="I17" s="1478">
        <v>3.340685753100519</v>
      </c>
      <c r="J17" s="1478">
        <v>6.6723936265730934</v>
      </c>
      <c r="K17" s="1478">
        <v>2.2877551653250592</v>
      </c>
      <c r="L17" s="1478">
        <v>1.0625788382186303</v>
      </c>
      <c r="M17" s="1478"/>
      <c r="N17" s="1478">
        <v>5.2747705594999958</v>
      </c>
      <c r="O17" s="1478">
        <v>9.4008935824532909</v>
      </c>
      <c r="P17" s="1478">
        <v>3.7658460749696103</v>
      </c>
      <c r="Q17" s="1478">
        <v>0.87290040999867746</v>
      </c>
    </row>
    <row r="18" spans="3:20" x14ac:dyDescent="0.4">
      <c r="C18" s="1481">
        <v>1993</v>
      </c>
      <c r="D18" s="1478">
        <v>3.9543651201512939</v>
      </c>
      <c r="E18" s="1478">
        <v>8.2007297778923185</v>
      </c>
      <c r="F18" s="1478">
        <v>2.5002208781158739</v>
      </c>
      <c r="G18" s="1478">
        <v>1.9094370950567596</v>
      </c>
      <c r="H18" s="1478"/>
      <c r="I18" s="1478">
        <v>3.5089730348072918</v>
      </c>
      <c r="J18" s="1478">
        <v>7.4773458856282016</v>
      </c>
      <c r="K18" s="1478">
        <v>2.1426770424252473</v>
      </c>
      <c r="L18" s="1478">
        <v>2.0706983191821173</v>
      </c>
      <c r="M18" s="1478"/>
      <c r="N18" s="1478">
        <v>4.9730656020844766</v>
      </c>
      <c r="O18" s="1478">
        <v>9.7839376265207534</v>
      </c>
      <c r="P18" s="1478">
        <v>3.3010474849530409</v>
      </c>
      <c r="Q18" s="1478">
        <v>1.1037766475489665</v>
      </c>
    </row>
    <row r="19" spans="3:20" x14ac:dyDescent="0.4">
      <c r="C19" s="1481">
        <v>1994</v>
      </c>
      <c r="D19" s="1478">
        <v>4.0445029166558406</v>
      </c>
      <c r="E19" s="1478">
        <v>8.1716837691337396</v>
      </c>
      <c r="F19" s="1478">
        <v>2.7464995538341355</v>
      </c>
      <c r="G19" s="1478">
        <v>1.1633053044192958</v>
      </c>
      <c r="H19" s="1478"/>
      <c r="I19" s="1478">
        <v>3.371155422451797</v>
      </c>
      <c r="J19" s="1478">
        <v>6.7722481179322598</v>
      </c>
      <c r="K19" s="1478">
        <v>2.3273147402686871</v>
      </c>
      <c r="L19" s="1478">
        <v>1.2417661494178645</v>
      </c>
      <c r="M19" s="1478"/>
      <c r="N19" s="1478">
        <v>5.5476380738124202</v>
      </c>
      <c r="O19" s="1478">
        <v>11.129875895080195</v>
      </c>
      <c r="P19" s="1478">
        <v>3.6498204243993873</v>
      </c>
      <c r="Q19" s="1478">
        <v>0.69452100099217284</v>
      </c>
    </row>
    <row r="20" spans="3:20" x14ac:dyDescent="0.4">
      <c r="C20" s="1481">
        <v>1995</v>
      </c>
      <c r="D20" s="1478">
        <v>5.176053612347614</v>
      </c>
      <c r="E20" s="1478">
        <v>11.373199325152489</v>
      </c>
      <c r="F20" s="1478">
        <v>3.0348112308690283</v>
      </c>
      <c r="G20" s="1478">
        <v>2.3186049948278411</v>
      </c>
      <c r="H20" s="1478"/>
      <c r="I20" s="1478">
        <v>4.5735563969280895</v>
      </c>
      <c r="J20" s="1478">
        <v>10.449027514129861</v>
      </c>
      <c r="K20" s="1478">
        <v>2.5930862852362675</v>
      </c>
      <c r="L20" s="1478">
        <v>1.9758545658735174</v>
      </c>
      <c r="M20" s="1478"/>
      <c r="N20" s="1478">
        <v>6.489961106609007</v>
      </c>
      <c r="O20" s="1478">
        <v>13.275530544922114</v>
      </c>
      <c r="P20" s="1478">
        <v>3.9677946483284536</v>
      </c>
      <c r="Q20" s="1478">
        <v>4.1471634525369785</v>
      </c>
    </row>
    <row r="21" spans="3:20" x14ac:dyDescent="0.4">
      <c r="C21" s="1481">
        <v>1996</v>
      </c>
      <c r="D21" s="1478">
        <v>6.1619449116445688</v>
      </c>
      <c r="E21" s="1478">
        <v>12.17156153701025</v>
      </c>
      <c r="F21" s="1478">
        <v>4.5090864312336718</v>
      </c>
      <c r="G21" s="1478">
        <v>0.96583270232263441</v>
      </c>
      <c r="H21" s="1478"/>
      <c r="I21" s="1478">
        <v>5.2360003716110981</v>
      </c>
      <c r="J21" s="1478">
        <v>10.20256018619536</v>
      </c>
      <c r="K21" s="1478">
        <v>3.8889784874681164</v>
      </c>
      <c r="L21" s="1478">
        <v>1.1516491615994102</v>
      </c>
      <c r="M21" s="1478"/>
      <c r="N21" s="1478">
        <v>8.2146474313931677</v>
      </c>
      <c r="O21" s="1478">
        <v>16.589824146231997</v>
      </c>
      <c r="P21" s="1478">
        <v>5.8145821109052669</v>
      </c>
      <c r="Q21" s="1478">
        <v>0</v>
      </c>
    </row>
    <row r="22" spans="3:20" x14ac:dyDescent="0.4">
      <c r="C22" s="1481">
        <v>1997</v>
      </c>
      <c r="D22" s="1478">
        <v>5.6807232807755295</v>
      </c>
      <c r="E22" s="1478">
        <v>11.718268627184393</v>
      </c>
      <c r="F22" s="1478">
        <v>3.8101731623434567</v>
      </c>
      <c r="G22" s="1478">
        <v>3.0148845686512757</v>
      </c>
      <c r="H22" s="1478"/>
      <c r="I22" s="1478">
        <v>4.8896858222227779</v>
      </c>
      <c r="J22" s="1478">
        <v>9.8272128986983205</v>
      </c>
      <c r="K22" s="1478">
        <v>3.3354744613803473</v>
      </c>
      <c r="L22" s="1478">
        <v>3.0170385013649628</v>
      </c>
      <c r="M22" s="1478"/>
      <c r="N22" s="1478">
        <v>7.3193301237252166</v>
      </c>
      <c r="O22" s="1478">
        <v>15.66437188038538</v>
      </c>
      <c r="P22" s="1478">
        <v>4.7458182522305137</v>
      </c>
      <c r="Q22" s="1478">
        <v>3.0058939096267192</v>
      </c>
    </row>
    <row r="23" spans="3:20" x14ac:dyDescent="0.4">
      <c r="C23" s="1481">
        <v>1998</v>
      </c>
      <c r="D23" s="1478">
        <v>5.3269932015241706</v>
      </c>
      <c r="E23" s="1478">
        <v>11.79366813699702</v>
      </c>
      <c r="F23" s="1478">
        <v>3.4363915992999101</v>
      </c>
      <c r="G23" s="1478">
        <v>0.64472963931634331</v>
      </c>
      <c r="H23" s="1478"/>
      <c r="I23" s="1478">
        <v>4.1981883535872679</v>
      </c>
      <c r="J23" s="1478">
        <v>9.1476281465481435</v>
      </c>
      <c r="K23" s="1478">
        <v>2.8002126707124324</v>
      </c>
      <c r="L23" s="1478">
        <v>0.80182756168777136</v>
      </c>
      <c r="M23" s="1478"/>
      <c r="N23" s="1478">
        <v>7.5242510421130548</v>
      </c>
      <c r="O23" s="1478">
        <v>16.696555705214546</v>
      </c>
      <c r="P23" s="1478">
        <v>4.6394209695800823</v>
      </c>
      <c r="Q23" s="1478">
        <v>0</v>
      </c>
    </row>
    <row r="24" spans="3:20" x14ac:dyDescent="0.4">
      <c r="C24" s="1481">
        <v>1999</v>
      </c>
      <c r="D24" s="1478">
        <v>5.8947323183750591</v>
      </c>
      <c r="E24" s="1478">
        <v>13.434185330568917</v>
      </c>
      <c r="F24" s="1478">
        <v>3.6717969108088555</v>
      </c>
      <c r="G24" s="1478">
        <v>1.65232223538756</v>
      </c>
      <c r="H24" s="1478"/>
      <c r="I24" s="1478">
        <v>4.8439752183587261</v>
      </c>
      <c r="J24" s="1478">
        <v>11.932047471306763</v>
      </c>
      <c r="K24" s="1478">
        <v>2.8400844626321153</v>
      </c>
      <c r="L24" s="1478">
        <v>1.603892881724905</v>
      </c>
      <c r="M24" s="1478"/>
      <c r="N24" s="1478">
        <v>7.8583263440448459</v>
      </c>
      <c r="O24" s="1478">
        <v>15.98661023697521</v>
      </c>
      <c r="P24" s="1478">
        <v>5.1951775075449174</v>
      </c>
      <c r="Q24" s="1478">
        <v>1.8634840871021776</v>
      </c>
    </row>
    <row r="25" spans="3:20" x14ac:dyDescent="0.4">
      <c r="C25" s="1481">
        <v>2000</v>
      </c>
      <c r="D25" s="1478">
        <v>5.0816444522848991</v>
      </c>
      <c r="E25" s="1478">
        <v>10.970735301032963</v>
      </c>
      <c r="F25" s="1478">
        <v>3.2608755307646855</v>
      </c>
      <c r="G25" s="1478">
        <v>1.7488227768855984</v>
      </c>
      <c r="H25" s="1478"/>
      <c r="I25" s="1478">
        <v>4.3300983831604629</v>
      </c>
      <c r="J25" s="1478">
        <v>9.3285219102877761</v>
      </c>
      <c r="K25" s="1478">
        <v>2.8291314995408228</v>
      </c>
      <c r="L25" s="1478">
        <v>1.8101087361649029</v>
      </c>
      <c r="M25" s="1478"/>
      <c r="N25" s="1478">
        <v>6.6450763330014793</v>
      </c>
      <c r="O25" s="1478">
        <v>14.172439567552573</v>
      </c>
      <c r="P25" s="1478">
        <v>4.1348308390273587</v>
      </c>
      <c r="Q25" s="1478">
        <v>1.4274789701758857</v>
      </c>
    </row>
    <row r="26" spans="3:20" x14ac:dyDescent="0.4">
      <c r="C26" s="1481">
        <v>2001</v>
      </c>
      <c r="D26" s="1478">
        <v>5.9146295656354697</v>
      </c>
      <c r="E26" s="1478">
        <v>13.245042886625324</v>
      </c>
      <c r="F26" s="1478">
        <v>3.6872893357152901</v>
      </c>
      <c r="G26" s="1478">
        <v>1.7846280972765773</v>
      </c>
      <c r="H26" s="1478"/>
      <c r="I26" s="1478">
        <v>5.1387698021504393</v>
      </c>
      <c r="J26" s="1478">
        <v>11.823037261153564</v>
      </c>
      <c r="K26" s="1478">
        <v>3.0361836646198817</v>
      </c>
      <c r="L26" s="1478">
        <v>1.9827475215655981</v>
      </c>
      <c r="M26" s="1478"/>
      <c r="N26" s="1478">
        <v>7.390007847240387</v>
      </c>
      <c r="O26" s="1478">
        <v>16.068294474022398</v>
      </c>
      <c r="P26" s="1478">
        <v>4.8473864937046933</v>
      </c>
      <c r="Q26" s="1478">
        <v>0.98084735925710964</v>
      </c>
      <c r="T26" s="115" t="s">
        <v>8160</v>
      </c>
    </row>
    <row r="27" spans="3:20" x14ac:dyDescent="0.4">
      <c r="C27" s="1481">
        <v>2002</v>
      </c>
      <c r="D27" s="1478">
        <v>6.3338851379384016</v>
      </c>
      <c r="E27" s="1478">
        <v>14.094619872898678</v>
      </c>
      <c r="F27" s="1478">
        <v>4.0254265440629311</v>
      </c>
      <c r="G27" s="1478">
        <v>2.1594349142280524</v>
      </c>
      <c r="H27" s="1478"/>
      <c r="I27" s="1478">
        <v>5.5804917324217929</v>
      </c>
      <c r="J27" s="1478">
        <v>12.406059838672437</v>
      </c>
      <c r="K27" s="1478">
        <v>3.4638092193064094</v>
      </c>
      <c r="L27" s="1478">
        <v>2.4610838320672208</v>
      </c>
      <c r="M27" s="1478"/>
      <c r="N27" s="1478">
        <v>7.7635599694423227</v>
      </c>
      <c r="O27" s="1478">
        <v>17.450941203467242</v>
      </c>
      <c r="P27" s="1478">
        <v>5.0307601404191722</v>
      </c>
      <c r="Q27" s="1478">
        <v>0.98653667595171768</v>
      </c>
    </row>
    <row r="28" spans="3:20" x14ac:dyDescent="0.4">
      <c r="C28" s="1481">
        <v>2003</v>
      </c>
      <c r="D28" s="1478">
        <v>6.5584228470349917</v>
      </c>
      <c r="E28" s="1478">
        <v>14.49052214597778</v>
      </c>
      <c r="F28" s="1478">
        <v>4.108630166964895</v>
      </c>
      <c r="G28" s="1478">
        <v>3.5014228799089357</v>
      </c>
      <c r="H28" s="1478"/>
      <c r="I28" s="1478">
        <v>5.7930382131582787</v>
      </c>
      <c r="J28" s="1478">
        <v>12.947220287628253</v>
      </c>
      <c r="K28" s="1478">
        <v>3.4767735079014721</v>
      </c>
      <c r="L28" s="1478">
        <v>3.7204157084218799</v>
      </c>
      <c r="M28" s="1478"/>
      <c r="N28" s="1478">
        <v>7.9968520599620145</v>
      </c>
      <c r="O28" s="1478">
        <v>17.539343134543238</v>
      </c>
      <c r="P28" s="1478">
        <v>5.2305651520463785</v>
      </c>
      <c r="Q28" s="1478">
        <v>2.7156883225402129</v>
      </c>
    </row>
    <row r="29" spans="3:20" x14ac:dyDescent="0.4">
      <c r="C29" s="1481">
        <v>2004</v>
      </c>
      <c r="D29" s="1478">
        <v>6.3909514392241888</v>
      </c>
      <c r="E29" s="1478">
        <v>14.213074446782084</v>
      </c>
      <c r="F29" s="1478">
        <v>4.2409320736701384</v>
      </c>
      <c r="G29" s="1478">
        <v>2.686515291936979</v>
      </c>
      <c r="H29" s="1478"/>
      <c r="I29" s="1478">
        <v>5.4095568121521627</v>
      </c>
      <c r="J29" s="1478">
        <v>12.251671755296233</v>
      </c>
      <c r="K29" s="1478">
        <v>3.3970762381625947</v>
      </c>
      <c r="L29" s="1478">
        <v>3.1565638628840937</v>
      </c>
      <c r="M29" s="1478"/>
      <c r="N29" s="1478">
        <v>8.2990835183546725</v>
      </c>
      <c r="O29" s="1478">
        <v>18.317068391142467</v>
      </c>
      <c r="P29" s="1478">
        <v>5.7718017502968468</v>
      </c>
      <c r="Q29" s="1478">
        <v>0.60902869341370003</v>
      </c>
    </row>
    <row r="30" spans="3:20" x14ac:dyDescent="0.4">
      <c r="C30" s="1481">
        <v>2005</v>
      </c>
      <c r="D30" s="1478">
        <v>6.5712039974771139</v>
      </c>
      <c r="E30" s="1478">
        <v>14.962029250101969</v>
      </c>
      <c r="F30" s="1478">
        <v>4.2222357223422184</v>
      </c>
      <c r="G30" s="1478">
        <v>3.8343668323681648</v>
      </c>
      <c r="H30" s="1478"/>
      <c r="I30" s="1478">
        <v>5.0401562946789396</v>
      </c>
      <c r="J30" s="1478">
        <v>11.562359195326136</v>
      </c>
      <c r="K30" s="1478">
        <v>3.1221236076384278</v>
      </c>
      <c r="L30" s="1478">
        <v>3.7958815925205336</v>
      </c>
      <c r="M30" s="1478"/>
      <c r="N30" s="1478">
        <v>9.3347793139249724</v>
      </c>
      <c r="O30" s="1478">
        <v>21.037424977501708</v>
      </c>
      <c r="P30" s="1478">
        <v>6.1260137741377179</v>
      </c>
      <c r="Q30" s="1478">
        <v>3.9748355733485847</v>
      </c>
    </row>
    <row r="31" spans="3:20" x14ac:dyDescent="0.4">
      <c r="C31" s="1481">
        <v>2006</v>
      </c>
      <c r="D31" s="1478">
        <v>5.7399592056047952</v>
      </c>
      <c r="E31" s="1478">
        <v>13.772970835951343</v>
      </c>
      <c r="F31" s="1478">
        <v>3.4321545736035826</v>
      </c>
      <c r="G31" s="1478">
        <v>3.8486027591085956</v>
      </c>
      <c r="H31" s="1478"/>
      <c r="I31" s="1478">
        <v>4.2737159968714646</v>
      </c>
      <c r="J31" s="1478">
        <v>10.606832877031513</v>
      </c>
      <c r="K31" s="1478">
        <v>2.3353668252486854</v>
      </c>
      <c r="L31" s="1478">
        <v>3.9119256378139631</v>
      </c>
      <c r="M31" s="1478"/>
      <c r="N31" s="1478">
        <v>8.3728195098901388</v>
      </c>
      <c r="O31" s="1478">
        <v>19.560255275539198</v>
      </c>
      <c r="P31" s="1478">
        <v>5.3177605021709731</v>
      </c>
      <c r="Q31" s="1478">
        <v>3.6406926406926408</v>
      </c>
    </row>
    <row r="32" spans="3:20" x14ac:dyDescent="0.4">
      <c r="C32" s="1481">
        <v>2007</v>
      </c>
      <c r="D32" s="1478">
        <v>4.4900985815445846</v>
      </c>
      <c r="E32" s="1478">
        <v>10.750417411848558</v>
      </c>
      <c r="F32" s="1478">
        <v>2.7384405811322505</v>
      </c>
      <c r="G32" s="1478">
        <v>1.3191024549190951</v>
      </c>
      <c r="H32" s="1478"/>
      <c r="I32" s="1478">
        <v>3.1983437752977455</v>
      </c>
      <c r="J32" s="1478">
        <v>8.3222049368779007</v>
      </c>
      <c r="K32" s="1478">
        <v>1.741878385868302</v>
      </c>
      <c r="L32" s="1478">
        <v>1.0226380923634169</v>
      </c>
      <c r="M32" s="1478"/>
      <c r="N32" s="1478">
        <v>6.7749888566971253</v>
      </c>
      <c r="O32" s="1478">
        <v>15.051298776510464</v>
      </c>
      <c r="P32" s="1478">
        <v>4.4282127800672635</v>
      </c>
      <c r="Q32" s="1478">
        <v>2.2933777724874025</v>
      </c>
    </row>
    <row r="33" spans="3:17" x14ac:dyDescent="0.4">
      <c r="C33" s="1481">
        <v>2008</v>
      </c>
      <c r="D33" s="1478">
        <v>4.7814255700600858</v>
      </c>
      <c r="E33" s="1478">
        <v>10.787130300743724</v>
      </c>
      <c r="F33" s="1478">
        <v>3.2024022616254784</v>
      </c>
      <c r="G33" s="1478">
        <v>2.3486304124402344</v>
      </c>
      <c r="H33" s="1478"/>
      <c r="I33" s="1478">
        <v>4.139556679594687</v>
      </c>
      <c r="J33" s="1478">
        <v>9.7692538207971236</v>
      </c>
      <c r="K33" s="1478">
        <v>2.5612253237702474</v>
      </c>
      <c r="L33" s="1478">
        <v>2.6810724289715888</v>
      </c>
      <c r="M33" s="1478"/>
      <c r="N33" s="1478">
        <v>5.879595931380317</v>
      </c>
      <c r="O33" s="1478">
        <v>12.589840652735504</v>
      </c>
      <c r="P33" s="1478">
        <v>4.2350375584098643</v>
      </c>
      <c r="Q33" s="1478">
        <v>1.1584117887842815</v>
      </c>
    </row>
    <row r="34" spans="3:17" x14ac:dyDescent="0.4">
      <c r="C34" s="1481">
        <v>2009</v>
      </c>
      <c r="D34" s="1478">
        <v>7.7128463919836436</v>
      </c>
      <c r="E34" s="1478">
        <v>17.635570972072081</v>
      </c>
      <c r="F34" s="1478">
        <v>5.2835766847814591</v>
      </c>
      <c r="G34" s="1478">
        <v>3.1908640523973464</v>
      </c>
      <c r="H34" s="1478"/>
      <c r="I34" s="1478">
        <v>6.5873350511439055</v>
      </c>
      <c r="J34" s="1478">
        <v>15.545815439559629</v>
      </c>
      <c r="K34" s="1478">
        <v>4.2532103719793062</v>
      </c>
      <c r="L34" s="1478">
        <v>3.4464448889876764</v>
      </c>
      <c r="M34" s="1478"/>
      <c r="N34" s="1478">
        <v>9.6027123906220098</v>
      </c>
      <c r="O34" s="1478">
        <v>21.415178065006906</v>
      </c>
      <c r="P34" s="1478">
        <v>6.9136965242124413</v>
      </c>
      <c r="Q34" s="1478">
        <v>2.4008549944654378</v>
      </c>
    </row>
    <row r="35" spans="3:17" x14ac:dyDescent="0.4">
      <c r="C35" s="1481">
        <v>2010</v>
      </c>
      <c r="D35" s="1478">
        <v>8.9164392648620208</v>
      </c>
      <c r="E35" s="1478">
        <v>21.549537861161696</v>
      </c>
      <c r="F35" s="1478">
        <v>6.1233699351208948</v>
      </c>
      <c r="G35" s="1478">
        <v>3.7497782770649795</v>
      </c>
      <c r="H35" s="1478"/>
      <c r="I35" s="1478">
        <v>7.6493638659115195</v>
      </c>
      <c r="J35" s="1478">
        <v>18.252980355955252</v>
      </c>
      <c r="K35" s="1478">
        <v>5.1304277879032272</v>
      </c>
      <c r="L35" s="1478">
        <v>4.5156287282271537</v>
      </c>
      <c r="M35" s="1478"/>
      <c r="N35" s="1478">
        <v>11.023824316189655</v>
      </c>
      <c r="O35" s="1478">
        <v>27.493082972120707</v>
      </c>
      <c r="P35" s="1478">
        <v>7.6847860459697426</v>
      </c>
      <c r="Q35" s="1478">
        <v>1.7116219999711362</v>
      </c>
    </row>
    <row r="36" spans="3:17" x14ac:dyDescent="0.4">
      <c r="C36" s="1481">
        <v>2011</v>
      </c>
      <c r="D36" s="1478">
        <v>10.30839989700322</v>
      </c>
      <c r="E36" s="1478">
        <v>22.367668769891466</v>
      </c>
      <c r="F36" s="1478">
        <v>7.8969028377168478</v>
      </c>
      <c r="G36" s="1478">
        <v>5.0454164987444585</v>
      </c>
      <c r="H36" s="1478"/>
      <c r="I36" s="1478">
        <v>8.7064674674256448</v>
      </c>
      <c r="J36" s="1478">
        <v>18.122048891279661</v>
      </c>
      <c r="K36" s="1478">
        <v>6.7689040319137765</v>
      </c>
      <c r="L36" s="1478">
        <v>5.2167299606500501</v>
      </c>
      <c r="M36" s="1478"/>
      <c r="N36" s="1478">
        <v>13.006199800880388</v>
      </c>
      <c r="O36" s="1478">
        <v>29.646175973053335</v>
      </c>
      <c r="P36" s="1478">
        <v>9.6993669687473965</v>
      </c>
      <c r="Q36" s="1478">
        <v>4.4977352752230164</v>
      </c>
    </row>
    <row r="37" spans="3:17" x14ac:dyDescent="0.4">
      <c r="C37" s="1481">
        <v>2012</v>
      </c>
      <c r="D37" s="1478">
        <v>10.172149788529046</v>
      </c>
      <c r="E37" s="1478">
        <v>23.131932503642208</v>
      </c>
      <c r="F37" s="1478">
        <v>7.4746911517125554</v>
      </c>
      <c r="G37" s="1478">
        <v>6.0910582755386384</v>
      </c>
      <c r="H37" s="1478"/>
      <c r="I37" s="1478">
        <v>8.8797609297276257</v>
      </c>
      <c r="J37" s="1478">
        <v>19.897243369565441</v>
      </c>
      <c r="K37" s="1478">
        <v>6.3515250478278631</v>
      </c>
      <c r="L37" s="1478">
        <v>7.1445911877911383</v>
      </c>
      <c r="M37" s="1478"/>
      <c r="N37" s="1478">
        <v>12.1787981948625</v>
      </c>
      <c r="O37" s="1478">
        <v>28.329400614096578</v>
      </c>
      <c r="P37" s="1478">
        <v>9.1174314157361369</v>
      </c>
      <c r="Q37" s="1478">
        <v>3.2386548768019052</v>
      </c>
    </row>
    <row r="38" spans="3:17" x14ac:dyDescent="0.4">
      <c r="C38" s="1481">
        <v>2013</v>
      </c>
      <c r="D38" s="1478">
        <v>9.3811996272424327</v>
      </c>
      <c r="E38" s="1478">
        <v>22.462198771460073</v>
      </c>
      <c r="F38" s="1478">
        <v>6.6647493296258089</v>
      </c>
      <c r="G38" s="1478">
        <v>4.7053557100264358</v>
      </c>
      <c r="H38" s="1478"/>
      <c r="I38" s="1478">
        <v>8.2502437086649625</v>
      </c>
      <c r="J38" s="1478">
        <v>19.675882040803636</v>
      </c>
      <c r="K38" s="1478">
        <v>5.6874404225302682</v>
      </c>
      <c r="L38" s="1478">
        <v>5.5736352297802938</v>
      </c>
      <c r="M38" s="1478"/>
      <c r="N38" s="1478">
        <v>11.123097636211805</v>
      </c>
      <c r="O38" s="1478">
        <v>26.882370632519816</v>
      </c>
      <c r="P38" s="1478">
        <v>8.0762038941060084</v>
      </c>
      <c r="Q38" s="1478">
        <v>2.3140906400608778</v>
      </c>
    </row>
    <row r="39" spans="3:17" x14ac:dyDescent="0.4">
      <c r="C39" s="1481">
        <v>2014</v>
      </c>
      <c r="D39" s="1478">
        <v>9.6200695097041926</v>
      </c>
      <c r="E39" s="1478">
        <v>25.1019799209366</v>
      </c>
      <c r="F39" s="1478">
        <v>6.3945601106457817</v>
      </c>
      <c r="G39" s="1478">
        <v>5.2033818944773058</v>
      </c>
      <c r="H39" s="1478"/>
      <c r="I39" s="1478">
        <v>8.1340045249437249</v>
      </c>
      <c r="J39" s="1478">
        <v>21.414386810157161</v>
      </c>
      <c r="K39" s="1478">
        <v>4.9506153218782076</v>
      </c>
      <c r="L39" s="1478">
        <v>6.7003831606441038</v>
      </c>
      <c r="M39" s="1478"/>
      <c r="N39" s="1478">
        <v>11.942799339314808</v>
      </c>
      <c r="O39" s="1478">
        <v>31.481325323556099</v>
      </c>
      <c r="P39" s="1478">
        <v>8.5014740778025448</v>
      </c>
      <c r="Q39" s="1478">
        <v>1.3231427567780463</v>
      </c>
    </row>
    <row r="40" spans="3:17" x14ac:dyDescent="0.4">
      <c r="C40" s="1481">
        <v>2015</v>
      </c>
      <c r="D40" s="1478">
        <v>9.6130074928490732</v>
      </c>
      <c r="E40" s="1478">
        <v>23.045198638101372</v>
      </c>
      <c r="F40" s="1478">
        <v>7.130703322378988</v>
      </c>
      <c r="G40" s="1478">
        <v>3.9311578871008694</v>
      </c>
      <c r="H40" s="1478"/>
      <c r="I40" s="1478">
        <v>7.977102497650443</v>
      </c>
      <c r="J40" s="1478">
        <v>19.968620085435827</v>
      </c>
      <c r="K40" s="1478">
        <v>5.5709208339509226</v>
      </c>
      <c r="L40" s="1478">
        <v>4.5344791159134719</v>
      </c>
      <c r="M40" s="1478"/>
      <c r="N40" s="1478">
        <v>12.164844681377511</v>
      </c>
      <c r="O40" s="1478">
        <v>28.023992451812912</v>
      </c>
      <c r="P40" s="1478">
        <v>9.4575077469684334</v>
      </c>
      <c r="Q40" s="1478">
        <v>2.5166547042589542</v>
      </c>
    </row>
    <row r="41" spans="3:17" x14ac:dyDescent="0.4">
      <c r="C41" s="1481">
        <v>2016</v>
      </c>
      <c r="D41" s="1478">
        <v>9.5382672938143269</v>
      </c>
      <c r="E41" s="1478">
        <v>23.133323195237992</v>
      </c>
      <c r="F41" s="1478">
        <v>7.0271090047393363</v>
      </c>
      <c r="G41" s="1478">
        <v>4.5378167398004745</v>
      </c>
      <c r="H41" s="1478"/>
      <c r="I41" s="1478">
        <v>7.9851911807568374</v>
      </c>
      <c r="J41" s="1478">
        <v>18.910975890235896</v>
      </c>
      <c r="K41" s="1478">
        <v>5.7354162135304074</v>
      </c>
      <c r="L41" s="1478">
        <v>5.0861567909381327</v>
      </c>
      <c r="M41" s="1478"/>
      <c r="N41" s="1478">
        <v>12.098753426478934</v>
      </c>
      <c r="O41" s="1478">
        <v>31.056151690604285</v>
      </c>
      <c r="P41" s="1478">
        <v>9.0110223240426777</v>
      </c>
      <c r="Q41" s="1478">
        <v>3.0371708087162439</v>
      </c>
    </row>
    <row r="42" spans="3:17" ht="12.75" customHeight="1" x14ac:dyDescent="0.4">
      <c r="C42" s="1481">
        <v>2017</v>
      </c>
      <c r="D42" s="1478">
        <v>9.0702184146353897</v>
      </c>
      <c r="E42" s="1478">
        <v>22.568442340092272</v>
      </c>
      <c r="F42" s="1478">
        <v>6.7731980966009697</v>
      </c>
      <c r="G42" s="1478">
        <v>3.7824142788266104</v>
      </c>
      <c r="H42" s="1478"/>
      <c r="I42" s="1478">
        <v>7.52476649546084</v>
      </c>
      <c r="J42" s="1478">
        <v>18.967440650946603</v>
      </c>
      <c r="K42" s="1478">
        <v>5.4300041676189448</v>
      </c>
      <c r="L42" s="1478">
        <v>4.2837669144802391</v>
      </c>
      <c r="M42" s="1478"/>
      <c r="N42" s="1478">
        <v>11.623787066986001</v>
      </c>
      <c r="O42" s="1478">
        <v>28.710455938947234</v>
      </c>
      <c r="P42" s="1478">
        <v>8.8729134681528414</v>
      </c>
      <c r="Q42" s="1478">
        <v>2.4325416020465664</v>
      </c>
    </row>
    <row r="43" spans="3:17" ht="12.75" customHeight="1" x14ac:dyDescent="0.4">
      <c r="C43" s="1481">
        <v>2018</v>
      </c>
      <c r="D43" s="1478">
        <v>10.280842182215006</v>
      </c>
      <c r="E43" s="1478">
        <v>26.82171753522848</v>
      </c>
      <c r="F43" s="1478">
        <v>7.5677886247072488</v>
      </c>
      <c r="G43" s="1478">
        <v>3.9836353905631712</v>
      </c>
      <c r="H43" s="1478"/>
      <c r="I43" s="1478">
        <v>8.4377289860083895</v>
      </c>
      <c r="J43" s="1478">
        <v>22.234959892335286</v>
      </c>
      <c r="K43" s="1478">
        <v>5.9888857465266199</v>
      </c>
      <c r="L43" s="1478">
        <v>4.3063058618449723</v>
      </c>
      <c r="M43" s="1478"/>
      <c r="N43" s="1478">
        <v>13.224242210797</v>
      </c>
      <c r="O43" s="1478">
        <v>34.677547501675775</v>
      </c>
      <c r="P43" s="1478">
        <v>9.9193303781176443</v>
      </c>
      <c r="Q43" s="1478">
        <v>3.1197717626754486</v>
      </c>
    </row>
    <row r="44" spans="3:17" x14ac:dyDescent="0.4">
      <c r="C44" s="1481">
        <v>2019</v>
      </c>
      <c r="D44" s="1478">
        <v>11.759155132992232</v>
      </c>
      <c r="E44" s="1478">
        <v>31.956987467187826</v>
      </c>
      <c r="F44" s="1478">
        <v>8.7295292899560764</v>
      </c>
      <c r="G44" s="1478">
        <v>5.3691969238290431</v>
      </c>
      <c r="H44" s="1478"/>
      <c r="I44" s="1478">
        <v>9.346708142278791</v>
      </c>
      <c r="J44" s="1478">
        <v>28.412432789901953</v>
      </c>
      <c r="K44" s="1478">
        <v>6.1243540895815283</v>
      </c>
      <c r="L44" s="1478">
        <v>5.4756410433565019</v>
      </c>
      <c r="M44" s="1478"/>
      <c r="N44" s="1478">
        <v>15.332740760724315</v>
      </c>
      <c r="O44" s="1478">
        <v>37.499348095449612</v>
      </c>
      <c r="P44" s="1478">
        <v>12.385083677129323</v>
      </c>
      <c r="Q44" s="1478">
        <v>5.1426106225059076</v>
      </c>
    </row>
    <row r="45" spans="3:17" x14ac:dyDescent="0.4">
      <c r="C45" s="1481">
        <v>2020</v>
      </c>
      <c r="D45" s="1478">
        <v>19.462006019033609</v>
      </c>
      <c r="E45" s="1478">
        <v>41.926740753413441</v>
      </c>
      <c r="F45" s="1478">
        <v>16.159569045263158</v>
      </c>
      <c r="G45" s="1478">
        <v>12.422650676849264</v>
      </c>
      <c r="H45" s="1478"/>
      <c r="I45" s="1478">
        <v>15.536690923249456</v>
      </c>
      <c r="J45" s="1478">
        <v>35.258759128931338</v>
      </c>
      <c r="K45" s="1478">
        <v>12.383214472857818</v>
      </c>
      <c r="L45" s="1478">
        <v>11.364135943434245</v>
      </c>
      <c r="M45" s="1478"/>
      <c r="N45" s="1478">
        <v>25.390610432707668</v>
      </c>
      <c r="O45" s="1478">
        <v>52.07105805130012</v>
      </c>
      <c r="P45" s="1478">
        <v>21.596316034286215</v>
      </c>
      <c r="Q45" s="1478">
        <v>14.76063157255903</v>
      </c>
    </row>
    <row r="46" spans="3:17" x14ac:dyDescent="0.4">
      <c r="C46" s="1481">
        <v>2021</v>
      </c>
      <c r="D46" s="1478">
        <v>16.42671853007073</v>
      </c>
      <c r="E46" s="1478">
        <v>39.515035500487258</v>
      </c>
      <c r="F46" s="1478">
        <v>12.754288711811682</v>
      </c>
      <c r="G46" s="1478">
        <v>9.8510681573107508</v>
      </c>
      <c r="H46" s="1478"/>
      <c r="I46" s="1478">
        <v>12.697569892465744</v>
      </c>
      <c r="J46" s="1478">
        <v>33.282005083940888</v>
      </c>
      <c r="K46" s="1478">
        <v>9.0830010255123863</v>
      </c>
      <c r="L46" s="1478">
        <v>9.5844451110725171</v>
      </c>
      <c r="M46" s="1478"/>
      <c r="N46" s="1478">
        <v>21.960895964110957</v>
      </c>
      <c r="O46" s="1478">
        <v>48.789451079276233</v>
      </c>
      <c r="P46" s="1478">
        <v>17.882700844835274</v>
      </c>
      <c r="Q46" s="1478">
        <v>10.535596298293047</v>
      </c>
    </row>
    <row r="47" spans="3:17" x14ac:dyDescent="0.4">
      <c r="C47" s="2400">
        <v>2022</v>
      </c>
      <c r="D47" s="2401">
        <v>12.215482495477833</v>
      </c>
      <c r="E47" s="2401">
        <v>30.959120762490794</v>
      </c>
      <c r="F47" s="2401">
        <v>9.7731331256925547</v>
      </c>
      <c r="G47" s="2401">
        <v>4.9027992804869678</v>
      </c>
      <c r="H47" s="2401"/>
      <c r="I47" s="2401">
        <v>9.4034566795353083</v>
      </c>
      <c r="J47" s="2401">
        <v>26.268560181003174</v>
      </c>
      <c r="K47" s="2401">
        <v>6.8833507453516312</v>
      </c>
      <c r="L47" s="2401">
        <v>5.0492460904447976</v>
      </c>
      <c r="M47" s="2401"/>
      <c r="N47" s="2401">
        <v>16.378506526750098</v>
      </c>
      <c r="O47" s="2401">
        <v>38.390272371292475</v>
      </c>
      <c r="P47" s="2401">
        <v>13.755329455229429</v>
      </c>
      <c r="Q47" s="2401">
        <v>4.5337219782537828</v>
      </c>
    </row>
    <row r="48" spans="3:17" x14ac:dyDescent="0.4">
      <c r="C48" s="2400">
        <v>2023</v>
      </c>
      <c r="D48" s="2401">
        <v>8.9159664358809199</v>
      </c>
      <c r="E48" s="2401">
        <v>24.988212902335107</v>
      </c>
      <c r="F48" s="2401">
        <v>6.9331146152592424</v>
      </c>
      <c r="G48" s="2401">
        <v>3.8496365251782731</v>
      </c>
      <c r="H48" s="2401"/>
      <c r="I48" s="2401">
        <v>7.6729089682298399</v>
      </c>
      <c r="J48" s="2401">
        <v>22.007301625607884</v>
      </c>
      <c r="K48" s="2401">
        <v>5.8899804010004884</v>
      </c>
      <c r="L48" s="2401">
        <v>3.6428543353845786</v>
      </c>
      <c r="M48" s="2401"/>
      <c r="N48" s="2401">
        <v>10.937855991448496</v>
      </c>
      <c r="O48" s="2401">
        <v>29.828118414907795</v>
      </c>
      <c r="P48" s="2401">
        <v>8.5566867977428664</v>
      </c>
      <c r="Q48" s="2401">
        <v>4.3589527738025087</v>
      </c>
    </row>
    <row r="49" spans="2:17" s="2371" customFormat="1" x14ac:dyDescent="0.4">
      <c r="B49" s="1048"/>
      <c r="C49" s="1482">
        <v>2024</v>
      </c>
      <c r="D49" s="1483">
        <v>7.4444002325192073</v>
      </c>
      <c r="E49" s="1483">
        <v>21.169118627653681</v>
      </c>
      <c r="F49" s="1483">
        <v>5.9277815300693666</v>
      </c>
      <c r="G49" s="1483">
        <v>3.3030802746824137</v>
      </c>
      <c r="H49" s="1483"/>
      <c r="I49" s="1483">
        <v>6.8375186305987405</v>
      </c>
      <c r="J49" s="1483">
        <v>19.610612938162554</v>
      </c>
      <c r="K49" s="1483">
        <v>5.2847989864524187</v>
      </c>
      <c r="L49" s="1483">
        <v>3.5265930434606476</v>
      </c>
      <c r="M49" s="1483"/>
      <c r="N49" s="1483">
        <v>8.3788438699049852</v>
      </c>
      <c r="O49" s="1483">
        <v>23.886501485646932</v>
      </c>
      <c r="P49" s="1483">
        <v>6.8512218925221715</v>
      </c>
      <c r="Q49" s="1483">
        <v>2.785492922355306</v>
      </c>
    </row>
    <row r="50" spans="2:17" ht="31.5" customHeight="1" x14ac:dyDescent="0.4">
      <c r="C50" s="2526" t="s">
        <v>8158</v>
      </c>
      <c r="D50" s="2526"/>
      <c r="E50" s="2526"/>
      <c r="F50" s="2526"/>
      <c r="G50" s="2526"/>
      <c r="H50" s="2526"/>
      <c r="I50" s="2526"/>
      <c r="J50" s="2526"/>
      <c r="K50" s="2526"/>
      <c r="L50" s="2526"/>
      <c r="M50" s="2526"/>
      <c r="N50" s="2526"/>
      <c r="O50" s="2526"/>
      <c r="P50" s="2526"/>
      <c r="Q50" s="2526"/>
    </row>
  </sheetData>
  <mergeCells count="21">
    <mergeCell ref="A5:B5"/>
    <mergeCell ref="C5:V5"/>
    <mergeCell ref="C1:E1"/>
    <mergeCell ref="A3:B3"/>
    <mergeCell ref="C3:V3"/>
    <mergeCell ref="A4:B4"/>
    <mergeCell ref="C4:V4"/>
    <mergeCell ref="J13:L13"/>
    <mergeCell ref="N13:N14"/>
    <mergeCell ref="O13:Q13"/>
    <mergeCell ref="C50:Q50"/>
    <mergeCell ref="A6:B6"/>
    <mergeCell ref="C6:V6"/>
    <mergeCell ref="C11:C14"/>
    <mergeCell ref="D11:G12"/>
    <mergeCell ref="I11:Q11"/>
    <mergeCell ref="I12:L12"/>
    <mergeCell ref="N12:Q12"/>
    <mergeCell ref="D13:D14"/>
    <mergeCell ref="E13:G13"/>
    <mergeCell ref="I13:I14"/>
  </mergeCells>
  <hyperlinks>
    <hyperlink ref="A1" location="'ODS 8.'!A1" display="REGRESAR" xr:uid="{2C128A72-12BB-4AD9-895F-B61F43237F54}"/>
    <hyperlink ref="C1:D1" location="'Metadato 8.5.2'!A1" display="VER METADATO" xr:uid="{E720A60A-B1F7-4D7C-8A90-8521BC9B798A}"/>
  </hyperlinks>
  <pageMargins left="0.7" right="0.7" top="0.75" bottom="0.75" header="0.3" footer="0.3"/>
  <pageSetup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6B98-25F2-4B10-8A1A-45D62B8EC5C4}">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7.28515625" style="243" customWidth="1"/>
    <col min="2" max="2" width="26.42578125" style="243" customWidth="1"/>
    <col min="3" max="3" width="24" style="243" customWidth="1"/>
    <col min="4" max="4" width="85.7109375" style="243" customWidth="1"/>
    <col min="5" max="5" width="9.5703125" style="243" customWidth="1"/>
    <col min="6" max="6" width="7.28515625" style="243" customWidth="1"/>
    <col min="7" max="7" width="6.7109375" style="243" customWidth="1"/>
    <col min="8" max="8" width="11.7109375" style="243" customWidth="1"/>
    <col min="9" max="9" width="10.42578125" style="243" customWidth="1"/>
    <col min="10" max="10" width="9.5703125" style="243" customWidth="1"/>
    <col min="11" max="11" width="3.7109375" style="243" customWidth="1"/>
    <col min="12" max="12" width="7" style="243" customWidth="1"/>
    <col min="13" max="13" width="10.5703125" style="243" customWidth="1"/>
    <col min="14" max="14" width="10.28515625" style="243" customWidth="1"/>
    <col min="15" max="15" width="10" style="243" customWidth="1"/>
    <col min="16" max="16" width="8.7109375" style="243" customWidth="1"/>
    <col min="17" max="29" width="4.42578125" style="243" bestFit="1" customWidth="1"/>
    <col min="30"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ht="37.5" x14ac:dyDescent="0.25">
      <c r="A4" s="1079"/>
      <c r="B4" s="2445" t="s">
        <v>234</v>
      </c>
      <c r="C4" s="2445"/>
      <c r="D4" s="49" t="s">
        <v>4975</v>
      </c>
    </row>
    <row r="5" spans="1:6" ht="56.25" x14ac:dyDescent="0.25">
      <c r="B5" s="2445" t="s">
        <v>79</v>
      </c>
      <c r="C5" s="2445"/>
      <c r="D5" s="49" t="s">
        <v>4927</v>
      </c>
    </row>
    <row r="6" spans="1:6" x14ac:dyDescent="0.25">
      <c r="B6" s="2445" t="s">
        <v>80</v>
      </c>
      <c r="C6" s="2445"/>
      <c r="D6" s="50" t="s">
        <v>4930</v>
      </c>
    </row>
    <row r="7" spans="1:6" ht="15" customHeight="1" x14ac:dyDescent="0.25">
      <c r="B7" s="2446" t="s">
        <v>81</v>
      </c>
      <c r="C7" s="2446"/>
      <c r="D7" s="93" t="s">
        <v>4931</v>
      </c>
    </row>
    <row r="8" spans="1:6" x14ac:dyDescent="0.25">
      <c r="B8" s="2446" t="s">
        <v>82</v>
      </c>
      <c r="C8" s="2446"/>
      <c r="D8" s="1047" t="s">
        <v>5111</v>
      </c>
    </row>
    <row r="9" spans="1:6" x14ac:dyDescent="0.4">
      <c r="B9" s="115"/>
      <c r="C9" s="115"/>
      <c r="D9" s="115"/>
    </row>
    <row r="10" spans="1:6" ht="23.25" customHeight="1" x14ac:dyDescent="0.25">
      <c r="B10" s="3119" t="s">
        <v>85</v>
      </c>
      <c r="C10" s="3119"/>
      <c r="D10" s="3119"/>
    </row>
    <row r="11" spans="1:6" x14ac:dyDescent="0.25">
      <c r="B11" s="2487" t="s">
        <v>86</v>
      </c>
      <c r="C11" s="2456"/>
      <c r="D11" s="49" t="s">
        <v>167</v>
      </c>
    </row>
    <row r="12" spans="1:6" ht="20.25" customHeight="1" x14ac:dyDescent="0.25">
      <c r="B12" s="2446" t="s">
        <v>88</v>
      </c>
      <c r="C12" s="2446"/>
      <c r="D12" s="184" t="s">
        <v>5112</v>
      </c>
    </row>
    <row r="13" spans="1:6" x14ac:dyDescent="0.25">
      <c r="B13" s="2445" t="s">
        <v>90</v>
      </c>
      <c r="C13" s="2445"/>
      <c r="D13" s="54" t="s">
        <v>4930</v>
      </c>
    </row>
    <row r="14" spans="1:6" x14ac:dyDescent="0.25">
      <c r="B14" s="2445" t="s">
        <v>91</v>
      </c>
      <c r="C14" s="2456"/>
      <c r="D14" s="54" t="s">
        <v>92</v>
      </c>
    </row>
    <row r="15" spans="1:6" ht="274.5" customHeight="1" x14ac:dyDescent="0.25">
      <c r="B15" s="2445" t="s">
        <v>93</v>
      </c>
      <c r="C15" s="2445"/>
      <c r="D15" s="55" t="s">
        <v>5113</v>
      </c>
    </row>
    <row r="16" spans="1:6" ht="51.75" customHeight="1" x14ac:dyDescent="0.25">
      <c r="B16" s="2445" t="s">
        <v>95</v>
      </c>
      <c r="C16" s="2445"/>
      <c r="D16" s="55"/>
    </row>
    <row r="17" spans="2:4" x14ac:dyDescent="0.25">
      <c r="B17" s="2445" t="s">
        <v>97</v>
      </c>
      <c r="C17" s="2445"/>
      <c r="D17" s="55" t="s">
        <v>98</v>
      </c>
    </row>
    <row r="18" spans="2:4" x14ac:dyDescent="0.25">
      <c r="B18" s="2446" t="s">
        <v>99</v>
      </c>
      <c r="C18" s="2446"/>
      <c r="D18" s="49"/>
    </row>
    <row r="19" spans="2:4" ht="37.5" x14ac:dyDescent="0.25">
      <c r="B19" s="2457" t="s">
        <v>100</v>
      </c>
      <c r="C19" s="2458"/>
      <c r="D19" s="55" t="s">
        <v>5114</v>
      </c>
    </row>
    <row r="20" spans="2:4" x14ac:dyDescent="0.25">
      <c r="B20" s="2445" t="s">
        <v>102</v>
      </c>
      <c r="C20" s="2445"/>
      <c r="D20" s="55" t="s">
        <v>140</v>
      </c>
    </row>
    <row r="21" spans="2:4" x14ac:dyDescent="0.25">
      <c r="B21" s="2451" t="s">
        <v>104</v>
      </c>
      <c r="C21" s="95" t="s">
        <v>105</v>
      </c>
      <c r="D21" s="49"/>
    </row>
    <row r="22" spans="2:4" x14ac:dyDescent="0.25">
      <c r="B22" s="2452"/>
      <c r="C22" s="96" t="s">
        <v>107</v>
      </c>
      <c r="D22" s="55" t="s">
        <v>5115</v>
      </c>
    </row>
    <row r="23" spans="2:4" x14ac:dyDescent="0.25">
      <c r="B23" s="2445" t="s">
        <v>109</v>
      </c>
      <c r="C23" s="2445"/>
      <c r="D23" s="55" t="s">
        <v>612</v>
      </c>
    </row>
    <row r="24" spans="2:4" x14ac:dyDescent="0.25">
      <c r="B24" s="2445" t="s">
        <v>111</v>
      </c>
      <c r="C24" s="2445"/>
      <c r="D24" s="50" t="s">
        <v>127</v>
      </c>
    </row>
    <row r="25" spans="2:4" x14ac:dyDescent="0.25">
      <c r="B25" s="2445" t="s">
        <v>113</v>
      </c>
      <c r="C25" s="2445"/>
      <c r="D25" s="55" t="s">
        <v>5025</v>
      </c>
    </row>
    <row r="26" spans="2:4" ht="15" customHeight="1" x14ac:dyDescent="0.25">
      <c r="B26" s="2446" t="s">
        <v>115</v>
      </c>
      <c r="C26" s="2446"/>
      <c r="D26" s="50" t="s">
        <v>614</v>
      </c>
    </row>
    <row r="27" spans="2:4" x14ac:dyDescent="0.25">
      <c r="B27" s="2447" t="s">
        <v>117</v>
      </c>
      <c r="C27" s="2448"/>
      <c r="D27" s="49"/>
    </row>
    <row r="28" spans="2:4" ht="200.25" customHeight="1" x14ac:dyDescent="0.25">
      <c r="B28" s="97" t="s">
        <v>118</v>
      </c>
      <c r="C28" s="98"/>
      <c r="D28" s="55" t="s">
        <v>615</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E2BCC58-6AE1-490B-ADCE-F944D7A8D519}">
      <formula1>Tipo_operación</formula1>
    </dataValidation>
    <dataValidation type="list" allowBlank="1" showInputMessage="1" showErrorMessage="1" sqref="D14" xr:uid="{72EE338A-5167-49A5-B4A6-8C819F7DF665}">
      <formula1>Tipo_indicador</formula1>
    </dataValidation>
    <dataValidation type="list" allowBlank="1" showInputMessage="1" showErrorMessage="1" sqref="D7" xr:uid="{E6FF3583-B864-4E25-8C97-7C0784C29ABA}">
      <formula1>Nombre_indicador_ODS</formula1>
    </dataValidation>
    <dataValidation type="list" allowBlank="1" showInputMessage="1" showErrorMessage="1" sqref="D6" xr:uid="{6E82C9B5-E557-416E-ACE1-7E97A37D7F3F}">
      <formula1>Numero_indicador</formula1>
    </dataValidation>
    <dataValidation type="list" allowBlank="1" showInputMessage="1" showErrorMessage="1" sqref="D5" xr:uid="{20C2A42F-A164-41DF-9BE7-45EB19BDE71A}">
      <formula1>Metas_ODS</formula1>
    </dataValidation>
    <dataValidation type="list" allowBlank="1" showInputMessage="1" showErrorMessage="1" sqref="D4" xr:uid="{5BBC6CE7-7015-46E2-BE17-C64BF4D4AE4A}">
      <formula1>ODS</formula1>
    </dataValidation>
    <dataValidation allowBlank="1" showDropDown="1" showInputMessage="1" showErrorMessage="1" sqref="D13" xr:uid="{DE0CB978-5C95-4FBE-B73B-11180AE6019E}"/>
  </dataValidations>
  <hyperlinks>
    <hyperlink ref="B1" location="'8.5.2'!A1" display="REGRESAR" xr:uid="{AEF88921-859C-4F18-8CF5-63665C0F19FA}"/>
    <hyperlink ref="D8" r:id="rId1" xr:uid="{B9739626-E4C4-41BB-9B83-6BF51D3FB1C0}"/>
    <hyperlink ref="D36" r:id="rId2" display="braulio.villegas@inec.go.cr" xr:uid="{35FAC0BA-5694-4019-A593-E74F4BA712AB}"/>
  </hyperlinks>
  <pageMargins left="0.7" right="0.7" top="0.75" bottom="0.75" header="0.3" footer="0.3"/>
  <pageSetup orientation="portrait" r:id="rId3"/>
  <drawing r:id="rId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AD68-3FAF-4BD1-B6E9-110A8419CB03}">
  <dimension ref="A1:U48"/>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1" width="16.28515625" style="115" customWidth="1"/>
    <col min="2" max="2" width="16.28515625" style="1048" customWidth="1"/>
    <col min="3" max="3" width="8.28515625" style="115" customWidth="1"/>
    <col min="4" max="4" width="8.42578125" style="115" customWidth="1"/>
    <col min="5" max="5" width="6" style="115" customWidth="1"/>
    <col min="6" max="6" width="1.7109375" style="115" customWidth="1"/>
    <col min="7" max="7" width="11.42578125" style="115" customWidth="1"/>
    <col min="8" max="29" width="11.7109375" style="115" customWidth="1"/>
    <col min="30" max="16384" width="11.42578125" style="115"/>
  </cols>
  <sheetData>
    <row r="1" spans="1:21" s="1032" customFormat="1" ht="19.5" x14ac:dyDescent="0.4">
      <c r="A1" s="15" t="s">
        <v>39</v>
      </c>
      <c r="B1" s="1061"/>
      <c r="C1" s="2421" t="s">
        <v>149</v>
      </c>
      <c r="D1" s="2421"/>
    </row>
    <row r="2" spans="1:21" s="1032" customFormat="1" ht="19.5" x14ac:dyDescent="0.4">
      <c r="B2" s="1061"/>
    </row>
    <row r="3" spans="1:21" s="1032" customFormat="1" ht="19.5" x14ac:dyDescent="0.4">
      <c r="A3" s="3136" t="s">
        <v>41</v>
      </c>
      <c r="B3" s="3136"/>
      <c r="C3" s="3136" t="s">
        <v>4957</v>
      </c>
      <c r="D3" s="3136"/>
      <c r="E3" s="3136"/>
      <c r="F3" s="3136"/>
      <c r="G3" s="3136"/>
      <c r="H3" s="3136"/>
      <c r="I3" s="3136"/>
      <c r="J3" s="3136"/>
      <c r="K3" s="3136"/>
      <c r="L3" s="3136"/>
      <c r="M3" s="3136"/>
      <c r="N3" s="3136"/>
      <c r="O3" s="3136"/>
      <c r="P3" s="3136"/>
      <c r="Q3" s="3136"/>
      <c r="R3" s="3136"/>
      <c r="S3" s="3136"/>
      <c r="T3" s="3136"/>
      <c r="U3" s="3136"/>
    </row>
    <row r="4" spans="1:21" s="1032" customFormat="1" ht="19.5" x14ac:dyDescent="0.4">
      <c r="A4" s="3136" t="s">
        <v>42</v>
      </c>
      <c r="B4" s="3136"/>
      <c r="C4" s="3136" t="s">
        <v>4932</v>
      </c>
      <c r="D4" s="3136"/>
      <c r="E4" s="3136"/>
      <c r="F4" s="3136"/>
      <c r="G4" s="3136"/>
      <c r="H4" s="3136"/>
      <c r="I4" s="3136"/>
      <c r="J4" s="3136"/>
      <c r="K4" s="3136"/>
      <c r="L4" s="3136"/>
      <c r="M4" s="3136"/>
      <c r="N4" s="3136"/>
      <c r="O4" s="3136"/>
      <c r="P4" s="3136"/>
      <c r="Q4" s="3136"/>
      <c r="R4" s="3136"/>
      <c r="S4" s="3136"/>
      <c r="T4" s="3136"/>
      <c r="U4" s="3136"/>
    </row>
    <row r="5" spans="1:21" s="1032" customFormat="1" ht="19.5" x14ac:dyDescent="0.4">
      <c r="A5" s="3136" t="s">
        <v>43</v>
      </c>
      <c r="B5" s="3136"/>
      <c r="C5" s="3161" t="s">
        <v>4934</v>
      </c>
      <c r="D5" s="3162"/>
      <c r="E5" s="3162"/>
      <c r="F5" s="3162"/>
      <c r="G5" s="3162"/>
      <c r="H5" s="3162"/>
      <c r="I5" s="3162"/>
      <c r="J5" s="3162"/>
      <c r="K5" s="3162"/>
      <c r="L5" s="3162"/>
      <c r="M5" s="3162"/>
      <c r="N5" s="3162"/>
      <c r="O5" s="3162"/>
      <c r="P5" s="3162"/>
      <c r="Q5" s="3162"/>
      <c r="R5" s="3162"/>
      <c r="S5" s="3162"/>
      <c r="T5" s="3162"/>
      <c r="U5" s="3163"/>
    </row>
    <row r="6" spans="1:21" s="1032" customFormat="1" ht="12.75" customHeight="1" x14ac:dyDescent="0.4">
      <c r="A6" s="3136" t="s">
        <v>132</v>
      </c>
      <c r="B6" s="3136"/>
      <c r="C6" s="3161" t="s">
        <v>5116</v>
      </c>
      <c r="D6" s="3162"/>
      <c r="E6" s="3162"/>
      <c r="F6" s="3162"/>
      <c r="G6" s="3162"/>
      <c r="H6" s="3162"/>
      <c r="I6" s="3162"/>
      <c r="J6" s="3162"/>
      <c r="K6" s="3162"/>
      <c r="L6" s="3162"/>
      <c r="M6" s="3162"/>
      <c r="N6" s="3162"/>
      <c r="O6" s="3162"/>
      <c r="P6" s="3162"/>
      <c r="Q6" s="3162"/>
      <c r="R6" s="3162"/>
      <c r="S6" s="3162"/>
      <c r="T6" s="3162"/>
      <c r="U6" s="3163"/>
    </row>
    <row r="7" spans="1:21" s="1032" customFormat="1" ht="19.5" x14ac:dyDescent="0.4">
      <c r="B7" s="1061"/>
    </row>
    <row r="8" spans="1:21" s="1032" customFormat="1" ht="19.5" x14ac:dyDescent="0.4">
      <c r="B8" s="1061"/>
    </row>
    <row r="9" spans="1:21" s="1484" customFormat="1" ht="108.6" customHeight="1" x14ac:dyDescent="0.25">
      <c r="B9" s="1485"/>
      <c r="C9" s="3164" t="s">
        <v>5116</v>
      </c>
      <c r="D9" s="3164"/>
      <c r="E9" s="3164"/>
      <c r="F9" s="3164"/>
      <c r="G9" s="3164"/>
      <c r="K9" s="2438" t="s">
        <v>8162</v>
      </c>
      <c r="L9" s="2438"/>
      <c r="M9" s="2438"/>
      <c r="N9" s="2438"/>
      <c r="O9" s="2438"/>
      <c r="P9" s="2438"/>
    </row>
    <row r="10" spans="1:21" s="1032" customFormat="1" ht="9" customHeight="1" x14ac:dyDescent="0.4">
      <c r="B10" s="1061"/>
      <c r="C10" s="533"/>
      <c r="D10" s="533"/>
      <c r="E10" s="531"/>
      <c r="F10" s="531"/>
      <c r="G10" s="531"/>
      <c r="K10" s="533"/>
      <c r="L10" s="533"/>
      <c r="M10" s="533"/>
      <c r="N10" s="533"/>
      <c r="O10" s="533"/>
      <c r="P10" s="533"/>
    </row>
    <row r="11" spans="1:21" x14ac:dyDescent="0.4">
      <c r="C11" s="3165" t="s">
        <v>46</v>
      </c>
      <c r="D11" s="3165" t="s">
        <v>47</v>
      </c>
      <c r="E11" s="3167" t="s">
        <v>48</v>
      </c>
      <c r="F11" s="3167"/>
      <c r="G11" s="3167"/>
    </row>
    <row r="12" spans="1:21" x14ac:dyDescent="0.4">
      <c r="C12" s="3166"/>
      <c r="D12" s="3166"/>
      <c r="E12" s="3167" t="s">
        <v>5017</v>
      </c>
      <c r="F12" s="3167"/>
      <c r="G12" s="1486" t="s">
        <v>5117</v>
      </c>
    </row>
    <row r="13" spans="1:21" x14ac:dyDescent="0.4">
      <c r="C13" s="301">
        <v>1990</v>
      </c>
      <c r="D13" s="416">
        <v>23.820790334759629</v>
      </c>
      <c r="E13" s="417">
        <v>9.4258799940107671</v>
      </c>
      <c r="F13" s="416"/>
      <c r="G13" s="416">
        <v>39.137331504647911</v>
      </c>
    </row>
    <row r="14" spans="1:21" x14ac:dyDescent="0.4">
      <c r="C14" s="301">
        <v>1991</v>
      </c>
      <c r="D14" s="416">
        <v>23.723992321805294</v>
      </c>
      <c r="E14" s="417">
        <v>10.897146883881547</v>
      </c>
      <c r="F14" s="416"/>
      <c r="G14" s="416">
        <v>36.978127782340721</v>
      </c>
    </row>
    <row r="15" spans="1:21" x14ac:dyDescent="0.4">
      <c r="C15" s="301">
        <v>1992</v>
      </c>
      <c r="D15" s="416">
        <v>21.538124303308773</v>
      </c>
      <c r="E15" s="417">
        <v>7.5110248007444271</v>
      </c>
      <c r="F15" s="416"/>
      <c r="G15" s="416">
        <v>35.791662669754565</v>
      </c>
    </row>
    <row r="16" spans="1:21" x14ac:dyDescent="0.4">
      <c r="C16" s="301">
        <v>1993</v>
      </c>
      <c r="D16" s="416">
        <v>20.291162846658246</v>
      </c>
      <c r="E16" s="417">
        <v>8.2178189022439252</v>
      </c>
      <c r="F16" s="416"/>
      <c r="G16" s="416">
        <v>33.216615054581943</v>
      </c>
    </row>
    <row r="17" spans="3:11" x14ac:dyDescent="0.4">
      <c r="C17" s="301">
        <v>1994</v>
      </c>
      <c r="D17" s="416">
        <v>20.483402917500946</v>
      </c>
      <c r="E17" s="417">
        <v>8.3080939126605973</v>
      </c>
      <c r="F17" s="416"/>
      <c r="G17" s="416">
        <v>33.480724938390985</v>
      </c>
    </row>
    <row r="18" spans="3:11" x14ac:dyDescent="0.4">
      <c r="C18" s="301">
        <v>1995</v>
      </c>
      <c r="D18" s="416">
        <v>19.916721832181128</v>
      </c>
      <c r="E18" s="417">
        <v>10.008615868313255</v>
      </c>
      <c r="F18" s="416"/>
      <c r="G18" s="416">
        <v>30.149616280449347</v>
      </c>
    </row>
    <row r="19" spans="3:11" x14ac:dyDescent="0.4">
      <c r="C19" s="301">
        <v>1996</v>
      </c>
      <c r="D19" s="416">
        <v>20.06748214050247</v>
      </c>
      <c r="E19" s="417">
        <v>8.9852247663932072</v>
      </c>
      <c r="F19" s="416"/>
      <c r="G19" s="416">
        <v>31.795569349451757</v>
      </c>
    </row>
    <row r="20" spans="3:11" x14ac:dyDescent="0.4">
      <c r="C20" s="301">
        <v>1997</v>
      </c>
      <c r="D20" s="416">
        <v>20.511361547905228</v>
      </c>
      <c r="E20" s="417">
        <v>10.043573862589795</v>
      </c>
      <c r="F20" s="416"/>
      <c r="G20" s="416">
        <v>31.443780828341183</v>
      </c>
    </row>
    <row r="21" spans="3:11" x14ac:dyDescent="0.4">
      <c r="C21" s="301">
        <v>1998</v>
      </c>
      <c r="D21" s="416">
        <v>18.531462969898445</v>
      </c>
      <c r="E21" s="417">
        <v>8.7994943081189749</v>
      </c>
      <c r="F21" s="416"/>
      <c r="G21" s="416">
        <v>28.573527208196097</v>
      </c>
    </row>
    <row r="22" spans="3:11" x14ac:dyDescent="0.4">
      <c r="C22" s="301">
        <v>1999</v>
      </c>
      <c r="D22" s="416">
        <v>18.666437089578462</v>
      </c>
      <c r="E22" s="417">
        <v>10.916349679586032</v>
      </c>
      <c r="F22" s="416"/>
      <c r="G22" s="416">
        <v>26.118318986229529</v>
      </c>
    </row>
    <row r="23" spans="3:11" x14ac:dyDescent="0.4">
      <c r="C23" s="301">
        <v>2000</v>
      </c>
      <c r="D23" s="416">
        <v>18.869523675410186</v>
      </c>
      <c r="E23" s="417">
        <v>10.659618196505077</v>
      </c>
      <c r="F23" s="416"/>
      <c r="G23" s="416">
        <v>27.581698282620316</v>
      </c>
    </row>
    <row r="24" spans="3:11" x14ac:dyDescent="0.4">
      <c r="C24" s="301">
        <v>2001</v>
      </c>
      <c r="D24" s="416">
        <v>17.719607285399228</v>
      </c>
      <c r="E24" s="417">
        <v>10.240888876123183</v>
      </c>
      <c r="F24" s="416"/>
      <c r="G24" s="416">
        <v>26.252003724811779</v>
      </c>
    </row>
    <row r="25" spans="3:11" x14ac:dyDescent="0.4">
      <c r="C25" s="301">
        <v>2002</v>
      </c>
      <c r="D25" s="416">
        <v>16.653709931399675</v>
      </c>
      <c r="E25" s="417">
        <v>9.7658356348086208</v>
      </c>
      <c r="F25" s="416"/>
      <c r="G25" s="416">
        <v>24.41154880038869</v>
      </c>
    </row>
    <row r="26" spans="3:11" x14ac:dyDescent="0.4">
      <c r="C26" s="301">
        <v>2003</v>
      </c>
      <c r="D26" s="416">
        <v>17.744464578795476</v>
      </c>
      <c r="E26" s="417">
        <v>11.053475475377637</v>
      </c>
      <c r="F26" s="416"/>
      <c r="G26" s="416">
        <v>25.120836155409147</v>
      </c>
    </row>
    <row r="27" spans="3:11" x14ac:dyDescent="0.4">
      <c r="C27" s="301">
        <v>2004</v>
      </c>
      <c r="D27" s="416">
        <v>15.825857642313082</v>
      </c>
      <c r="E27" s="417">
        <v>9.0146284539405137</v>
      </c>
      <c r="F27" s="416"/>
      <c r="G27" s="416">
        <v>23.438684750569973</v>
      </c>
    </row>
    <row r="28" spans="3:11" x14ac:dyDescent="0.4">
      <c r="C28" s="301">
        <v>2005</v>
      </c>
      <c r="D28" s="416">
        <v>15.079368866029553</v>
      </c>
      <c r="E28" s="417">
        <v>8.3021772597316907</v>
      </c>
      <c r="F28" s="416"/>
      <c r="G28" s="416">
        <v>22.441097717567661</v>
      </c>
    </row>
    <row r="29" spans="3:11" x14ac:dyDescent="0.4">
      <c r="C29" s="301">
        <v>2006</v>
      </c>
      <c r="D29" s="416">
        <v>14.430275992084402</v>
      </c>
      <c r="E29" s="417">
        <v>8.549792235122073</v>
      </c>
      <c r="F29" s="416"/>
      <c r="G29" s="416">
        <v>20.936743080118198</v>
      </c>
      <c r="K29" s="155" t="s">
        <v>8163</v>
      </c>
    </row>
    <row r="30" spans="3:11" x14ac:dyDescent="0.4">
      <c r="C30" s="301">
        <v>2007</v>
      </c>
      <c r="D30" s="416">
        <v>13.318967043182237</v>
      </c>
      <c r="E30" s="417">
        <v>6.7483333734446829</v>
      </c>
      <c r="F30" s="416"/>
      <c r="G30" s="416">
        <v>20.493311036789297</v>
      </c>
    </row>
    <row r="31" spans="3:11" x14ac:dyDescent="0.4">
      <c r="C31" s="301">
        <v>2008</v>
      </c>
      <c r="D31" s="416">
        <v>13.303862256178084</v>
      </c>
      <c r="E31" s="417">
        <v>8.0957774031222236</v>
      </c>
      <c r="F31" s="416"/>
      <c r="G31" s="416">
        <v>19.293359613007947</v>
      </c>
    </row>
    <row r="32" spans="3:11" x14ac:dyDescent="0.4">
      <c r="C32" s="301">
        <v>2009</v>
      </c>
      <c r="D32" s="416">
        <v>14.878644571692723</v>
      </c>
      <c r="E32" s="417">
        <v>9.9082209354007666</v>
      </c>
      <c r="F32" s="416"/>
      <c r="G32" s="416">
        <v>20.663566134738296</v>
      </c>
    </row>
    <row r="33" spans="1:7" x14ac:dyDescent="0.4">
      <c r="C33" s="301">
        <v>2010</v>
      </c>
      <c r="D33" s="416">
        <v>16.984842467529461</v>
      </c>
      <c r="E33" s="417">
        <v>13.161295959476494</v>
      </c>
      <c r="F33" s="416"/>
      <c r="G33" s="416">
        <v>21.299839110369327</v>
      </c>
    </row>
    <row r="34" spans="1:7" x14ac:dyDescent="0.4">
      <c r="C34" s="301">
        <v>2011</v>
      </c>
      <c r="D34" s="416">
        <v>17.91472728101084</v>
      </c>
      <c r="E34" s="417">
        <v>13.881777865647679</v>
      </c>
      <c r="F34" s="416"/>
      <c r="G34" s="416">
        <v>22.356809104044345</v>
      </c>
    </row>
    <row r="35" spans="1:7" x14ac:dyDescent="0.4">
      <c r="C35" s="301">
        <v>2012</v>
      </c>
      <c r="D35" s="416">
        <v>13.974752912556673</v>
      </c>
      <c r="E35" s="417">
        <v>10.144985930017384</v>
      </c>
      <c r="F35" s="416"/>
      <c r="G35" s="416">
        <v>18.160161225682771</v>
      </c>
    </row>
    <row r="36" spans="1:7" x14ac:dyDescent="0.4">
      <c r="C36" s="301">
        <v>2013</v>
      </c>
      <c r="D36" s="416">
        <v>14.40465442872906</v>
      </c>
      <c r="E36" s="417">
        <v>10.656923328718223</v>
      </c>
      <c r="F36" s="416"/>
      <c r="G36" s="416">
        <v>18.692042800719584</v>
      </c>
    </row>
    <row r="37" spans="1:7" x14ac:dyDescent="0.4">
      <c r="C37" s="301">
        <v>2014</v>
      </c>
      <c r="D37" s="416">
        <v>14.637035960458505</v>
      </c>
      <c r="E37" s="417">
        <v>11.209832658743286</v>
      </c>
      <c r="F37" s="416"/>
      <c r="G37" s="416">
        <v>18.604909710172869</v>
      </c>
    </row>
    <row r="38" spans="1:7" x14ac:dyDescent="0.4">
      <c r="C38" s="301">
        <v>2015</v>
      </c>
      <c r="D38" s="416">
        <v>14.840907022617653</v>
      </c>
      <c r="E38" s="417">
        <v>11.028157043920906</v>
      </c>
      <c r="F38" s="416"/>
      <c r="G38" s="416">
        <v>19.185792170091386</v>
      </c>
    </row>
    <row r="39" spans="1:7" x14ac:dyDescent="0.4">
      <c r="C39" s="301">
        <v>2016</v>
      </c>
      <c r="D39" s="416">
        <v>17.053634963048204</v>
      </c>
      <c r="E39" s="417">
        <v>13.581513395225036</v>
      </c>
      <c r="F39" s="416"/>
      <c r="G39" s="416">
        <v>21.205618328074593</v>
      </c>
    </row>
    <row r="40" spans="1:7" x14ac:dyDescent="0.4">
      <c r="C40" s="301">
        <v>2017</v>
      </c>
      <c r="D40" s="416">
        <v>16.862776314104213</v>
      </c>
      <c r="E40" s="417">
        <v>13.392847455517161</v>
      </c>
      <c r="F40" s="416"/>
      <c r="G40" s="416">
        <v>20.683287571668298</v>
      </c>
    </row>
    <row r="41" spans="1:7" x14ac:dyDescent="0.4">
      <c r="C41" s="301">
        <v>2018</v>
      </c>
      <c r="D41" s="416">
        <v>16.203923660719802</v>
      </c>
      <c r="E41" s="417">
        <v>12.866316622496839</v>
      </c>
      <c r="F41" s="416"/>
      <c r="G41" s="416">
        <v>20.038917447438319</v>
      </c>
    </row>
    <row r="42" spans="1:7" x14ac:dyDescent="0.4">
      <c r="C42" s="301">
        <v>2019</v>
      </c>
      <c r="D42" s="416">
        <v>16.317849750646999</v>
      </c>
      <c r="E42" s="417">
        <v>13.651967553765894</v>
      </c>
      <c r="F42" s="416"/>
      <c r="G42" s="416">
        <v>19.39372056493443</v>
      </c>
    </row>
    <row r="43" spans="1:7" x14ac:dyDescent="0.4">
      <c r="A43" s="1487"/>
      <c r="C43" s="301">
        <v>2020</v>
      </c>
      <c r="D43" s="416">
        <v>18.495841720512654</v>
      </c>
      <c r="E43" s="417">
        <v>15.336776231848837</v>
      </c>
      <c r="F43" s="416"/>
      <c r="G43" s="416">
        <v>22.109950238727603</v>
      </c>
    </row>
    <row r="44" spans="1:7" x14ac:dyDescent="0.4">
      <c r="A44" s="1487"/>
      <c r="C44" s="301">
        <v>2021</v>
      </c>
      <c r="D44" s="416">
        <v>18.358411268462245</v>
      </c>
      <c r="E44" s="417">
        <v>15.569129242087445</v>
      </c>
      <c r="F44" s="416"/>
      <c r="G44" s="416">
        <v>21.774123373342466</v>
      </c>
    </row>
    <row r="45" spans="1:7" x14ac:dyDescent="0.4">
      <c r="A45" s="1487"/>
      <c r="C45" s="301">
        <v>2022</v>
      </c>
      <c r="D45" s="416">
        <v>16.435684829760426</v>
      </c>
      <c r="E45" s="417">
        <v>13.255328088890964</v>
      </c>
      <c r="F45" s="416"/>
      <c r="G45" s="416">
        <v>20.260643382636783</v>
      </c>
    </row>
    <row r="46" spans="1:7" x14ac:dyDescent="0.4">
      <c r="A46" s="1487"/>
      <c r="C46" s="301">
        <v>2023</v>
      </c>
      <c r="D46" s="416">
        <v>20.016097177503273</v>
      </c>
      <c r="E46" s="417">
        <v>17.991736051992277</v>
      </c>
      <c r="F46" s="416"/>
      <c r="G46" s="416">
        <v>22.532768096574063</v>
      </c>
    </row>
    <row r="47" spans="1:7" s="2371" customFormat="1" x14ac:dyDescent="0.4">
      <c r="A47" s="2376"/>
      <c r="B47" s="1048"/>
      <c r="C47" s="2370">
        <v>2024</v>
      </c>
      <c r="D47" s="416">
        <v>16.823689623071932</v>
      </c>
      <c r="E47" s="417">
        <v>14.140693332382714</v>
      </c>
      <c r="F47" s="416"/>
      <c r="G47" s="416">
        <v>20.048649066386311</v>
      </c>
    </row>
    <row r="48" spans="1:7" ht="85.9" customHeight="1" x14ac:dyDescent="0.4">
      <c r="C48" s="3091" t="s">
        <v>8161</v>
      </c>
      <c r="D48" s="3091"/>
      <c r="E48" s="3091"/>
      <c r="F48" s="3091"/>
      <c r="G48" s="3091"/>
    </row>
  </sheetData>
  <mergeCells count="16">
    <mergeCell ref="A5:B5"/>
    <mergeCell ref="C5:U5"/>
    <mergeCell ref="C1:D1"/>
    <mergeCell ref="A3:B3"/>
    <mergeCell ref="C3:U3"/>
    <mergeCell ref="A4:B4"/>
    <mergeCell ref="C4:U4"/>
    <mergeCell ref="C48:G48"/>
    <mergeCell ref="A6:B6"/>
    <mergeCell ref="C6:U6"/>
    <mergeCell ref="C9:G9"/>
    <mergeCell ref="K9:P9"/>
    <mergeCell ref="C11:C12"/>
    <mergeCell ref="D11:D12"/>
    <mergeCell ref="E11:G11"/>
    <mergeCell ref="E12:F12"/>
  </mergeCells>
  <hyperlinks>
    <hyperlink ref="A1" location="'ODS 8.'!A1" display="REGRESAR" xr:uid="{BDE7A6F5-7912-45BE-B02E-4031A3C3F622}"/>
    <hyperlink ref="C1:D1" location="'Metadato 8.6.1'!A1" display="VER METADATO" xr:uid="{0DF89D4A-80A2-447F-8B50-FE848DA6CFFC}"/>
  </hyperlinks>
  <pageMargins left="0.7" right="0.7" top="0.75" bottom="0.75" header="0.3" footer="0.3"/>
  <pageSetup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B999-0FEA-4A1F-AA5F-F1479E0F4431}">
  <sheetPr>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8.28515625" style="243" customWidth="1"/>
    <col min="2" max="2" width="26.42578125" style="243" customWidth="1"/>
    <col min="3" max="3" width="24" style="243" customWidth="1"/>
    <col min="4" max="4" width="85.7109375" style="243" customWidth="1"/>
    <col min="5" max="5" width="4.42578125" style="243" bestFit="1" customWidth="1"/>
    <col min="6" max="6" width="7.28515625" style="243" customWidth="1"/>
    <col min="7" max="24" width="4.42578125" style="243" bestFit="1" customWidth="1"/>
    <col min="25" max="16384" width="11.42578125" style="243"/>
  </cols>
  <sheetData>
    <row r="1" spans="2:6" x14ac:dyDescent="0.25">
      <c r="B1" s="223" t="s">
        <v>39</v>
      </c>
    </row>
    <row r="2" spans="2:6" ht="19.5" thickBot="1" x14ac:dyDescent="0.3"/>
    <row r="3" spans="2:6" ht="23.25" customHeight="1" thickBot="1" x14ac:dyDescent="0.3">
      <c r="B3" s="3119" t="s">
        <v>75</v>
      </c>
      <c r="C3" s="3119"/>
      <c r="D3" s="3119"/>
      <c r="F3" s="1286" t="s">
        <v>76</v>
      </c>
    </row>
    <row r="4" spans="2:6" ht="29.25" customHeight="1" x14ac:dyDescent="0.25">
      <c r="B4" s="2445" t="s">
        <v>234</v>
      </c>
      <c r="C4" s="2445"/>
      <c r="D4" s="49" t="s">
        <v>4975</v>
      </c>
    </row>
    <row r="5" spans="2:6" ht="37.5" x14ac:dyDescent="0.25">
      <c r="B5" s="2445" t="s">
        <v>79</v>
      </c>
      <c r="C5" s="2445"/>
      <c r="D5" s="49" t="s">
        <v>4932</v>
      </c>
    </row>
    <row r="6" spans="2:6" x14ac:dyDescent="0.25">
      <c r="B6" s="2445" t="s">
        <v>80</v>
      </c>
      <c r="C6" s="2445"/>
      <c r="D6" s="50" t="s">
        <v>4933</v>
      </c>
    </row>
    <row r="7" spans="2:6" ht="37.5" x14ac:dyDescent="0.25">
      <c r="B7" s="2446" t="s">
        <v>81</v>
      </c>
      <c r="C7" s="2446"/>
      <c r="D7" s="93" t="s">
        <v>4934</v>
      </c>
    </row>
    <row r="8" spans="2:6" x14ac:dyDescent="0.25">
      <c r="B8" s="2446" t="s">
        <v>82</v>
      </c>
      <c r="C8" s="2446"/>
      <c r="D8" s="1047" t="s">
        <v>5118</v>
      </c>
    </row>
    <row r="9" spans="2:6" x14ac:dyDescent="0.4">
      <c r="B9" s="115"/>
      <c r="C9" s="115"/>
      <c r="D9" s="115"/>
    </row>
    <row r="10" spans="2:6" ht="23.25" customHeight="1" x14ac:dyDescent="0.25">
      <c r="B10" s="3119" t="s">
        <v>85</v>
      </c>
      <c r="C10" s="3119"/>
      <c r="D10" s="3119"/>
    </row>
    <row r="11" spans="2:6" ht="16.5" customHeight="1" x14ac:dyDescent="0.25">
      <c r="B11" s="2487" t="s">
        <v>86</v>
      </c>
      <c r="C11" s="2456"/>
      <c r="D11" s="49" t="s">
        <v>167</v>
      </c>
    </row>
    <row r="12" spans="2:6" ht="30" customHeight="1" x14ac:dyDescent="0.25">
      <c r="B12" s="2446" t="s">
        <v>88</v>
      </c>
      <c r="C12" s="2446"/>
      <c r="D12" s="184" t="s">
        <v>5119</v>
      </c>
    </row>
    <row r="13" spans="2:6" x14ac:dyDescent="0.25">
      <c r="B13" s="2445" t="s">
        <v>90</v>
      </c>
      <c r="C13" s="2445"/>
      <c r="D13" s="54" t="s">
        <v>4933</v>
      </c>
    </row>
    <row r="14" spans="2:6" x14ac:dyDescent="0.25">
      <c r="B14" s="2445" t="s">
        <v>91</v>
      </c>
      <c r="C14" s="2456"/>
      <c r="D14" s="54" t="s">
        <v>92</v>
      </c>
    </row>
    <row r="15" spans="2:6" ht="300" x14ac:dyDescent="0.25">
      <c r="B15" s="2445" t="s">
        <v>93</v>
      </c>
      <c r="C15" s="2445"/>
      <c r="D15" s="55" t="s">
        <v>5120</v>
      </c>
    </row>
    <row r="16" spans="2:6" ht="62.25" customHeight="1" x14ac:dyDescent="0.25">
      <c r="B16" s="2445" t="s">
        <v>95</v>
      </c>
      <c r="C16" s="2445"/>
      <c r="D16" s="55"/>
    </row>
    <row r="17" spans="2:4" x14ac:dyDescent="0.25">
      <c r="B17" s="2445" t="s">
        <v>97</v>
      </c>
      <c r="C17" s="2445"/>
      <c r="D17" s="55" t="s">
        <v>98</v>
      </c>
    </row>
    <row r="18" spans="2:4" x14ac:dyDescent="0.25">
      <c r="B18" s="2446" t="s">
        <v>99</v>
      </c>
      <c r="C18" s="2446"/>
      <c r="D18" s="55"/>
    </row>
    <row r="19" spans="2:4" ht="31.5" customHeight="1" x14ac:dyDescent="0.25">
      <c r="B19" s="2457" t="s">
        <v>100</v>
      </c>
      <c r="C19" s="2458"/>
      <c r="D19" s="55" t="s">
        <v>5121</v>
      </c>
    </row>
    <row r="20" spans="2:4" x14ac:dyDescent="0.25">
      <c r="B20" s="2445" t="s">
        <v>102</v>
      </c>
      <c r="C20" s="2445"/>
      <c r="D20" s="49" t="s">
        <v>140</v>
      </c>
    </row>
    <row r="21" spans="2:4" x14ac:dyDescent="0.25">
      <c r="B21" s="2451" t="s">
        <v>104</v>
      </c>
      <c r="C21" s="95" t="s">
        <v>105</v>
      </c>
      <c r="D21" s="55" t="s">
        <v>140</v>
      </c>
    </row>
    <row r="22" spans="2:4" x14ac:dyDescent="0.25">
      <c r="B22" s="2452"/>
      <c r="C22" s="96" t="s">
        <v>107</v>
      </c>
      <c r="D22" s="55" t="s">
        <v>5024</v>
      </c>
    </row>
    <row r="23" spans="2:4" x14ac:dyDescent="0.25">
      <c r="B23" s="2445" t="s">
        <v>109</v>
      </c>
      <c r="C23" s="2445"/>
      <c r="D23" s="55" t="s">
        <v>612</v>
      </c>
    </row>
    <row r="24" spans="2:4" x14ac:dyDescent="0.25">
      <c r="B24" s="2445" t="s">
        <v>111</v>
      </c>
      <c r="C24" s="2445"/>
      <c r="D24" s="50" t="s">
        <v>127</v>
      </c>
    </row>
    <row r="25" spans="2:4" x14ac:dyDescent="0.25">
      <c r="B25" s="2445" t="s">
        <v>113</v>
      </c>
      <c r="C25" s="2445"/>
      <c r="D25" s="55" t="s">
        <v>144</v>
      </c>
    </row>
    <row r="26" spans="2:4" ht="15" customHeight="1" x14ac:dyDescent="0.25">
      <c r="B26" s="2446" t="s">
        <v>115</v>
      </c>
      <c r="C26" s="2446"/>
      <c r="D26" s="50" t="s">
        <v>616</v>
      </c>
    </row>
    <row r="27" spans="2:4" x14ac:dyDescent="0.25">
      <c r="B27" s="2447" t="s">
        <v>117</v>
      </c>
      <c r="C27" s="2448"/>
      <c r="D27" s="49"/>
    </row>
    <row r="28" spans="2:4" ht="187.5" x14ac:dyDescent="0.25">
      <c r="B28" s="97" t="s">
        <v>118</v>
      </c>
      <c r="C28" s="98"/>
      <c r="D28" s="55" t="s">
        <v>615</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4C32485-A590-4E00-8691-DEA281BF0A3E}">
      <formula1>Tipo_operación</formula1>
    </dataValidation>
    <dataValidation type="list" allowBlank="1" showInputMessage="1" showErrorMessage="1" sqref="D14" xr:uid="{DAD5E8C4-A2E4-407D-886A-B85792A5E6F8}">
      <formula1>Tipo_indicador</formula1>
    </dataValidation>
    <dataValidation type="list" allowBlank="1" showInputMessage="1" showErrorMessage="1" sqref="D7" xr:uid="{93E30F3A-DE20-40AB-8241-F33671FE609E}">
      <formula1>Nombre_indicador_ODS</formula1>
    </dataValidation>
    <dataValidation type="list" allowBlank="1" showInputMessage="1" showErrorMessage="1" sqref="D6" xr:uid="{603DA6A9-3396-4A02-A8B6-72D83DFA1F5A}">
      <formula1>Numero_indicador</formula1>
    </dataValidation>
    <dataValidation type="list" allowBlank="1" showInputMessage="1" showErrorMessage="1" sqref="D5" xr:uid="{7A16A263-3F6B-48A0-945E-23897F6B1C64}">
      <formula1>Metas_ODS</formula1>
    </dataValidation>
    <dataValidation type="list" allowBlank="1" showInputMessage="1" showErrorMessage="1" sqref="D4" xr:uid="{8A6030E5-D268-4A5D-B9F9-B3E13F36965A}">
      <formula1>ODS</formula1>
    </dataValidation>
    <dataValidation allowBlank="1" showDropDown="1" showInputMessage="1" showErrorMessage="1" sqref="D13" xr:uid="{A7B5BE29-DB6B-469D-B79B-98660A786386}"/>
  </dataValidations>
  <hyperlinks>
    <hyperlink ref="B1" location="'8.6.1'!A1" display="REGRESAR" xr:uid="{4485E5C6-3B93-4269-97E6-90F1A0FF06FD}"/>
    <hyperlink ref="D8" r:id="rId1" xr:uid="{8245C660-3709-40C9-AB66-ABC284C2FA31}"/>
    <hyperlink ref="D36" r:id="rId2" display="braulio.villegas@inec.go.cr" xr:uid="{0C056089-6DA3-4EBC-B513-E0CE8D362CB8}"/>
  </hyperlinks>
  <pageMargins left="0.7" right="0.7" top="0.75" bottom="0.75" header="0.3" footer="0.3"/>
  <pageSetup orientation="portrait" r:id="rId3"/>
  <drawing r:id="rId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6EF0-953D-49DA-919C-427CCAC84ACA}">
  <dimension ref="A1:AN36"/>
  <sheetViews>
    <sheetView showGridLines="0" zoomScaleNormal="100" workbookViewId="0">
      <pane ySplit="1" topLeftCell="A2" activePane="bottomLeft" state="frozen"/>
      <selection sqref="A1:B1"/>
      <selection pane="bottomLeft" activeCell="V25" sqref="V25"/>
    </sheetView>
  </sheetViews>
  <sheetFormatPr baseColWidth="10" defaultColWidth="11.42578125" defaultRowHeight="18.75" x14ac:dyDescent="0.4"/>
  <cols>
    <col min="1" max="2" width="15.7109375" style="115" customWidth="1"/>
    <col min="3" max="3" width="11.42578125" style="115"/>
    <col min="4" max="4" width="6" style="115" customWidth="1"/>
    <col min="5" max="5" width="1.7109375" style="115" customWidth="1"/>
    <col min="6" max="6" width="8.7109375" style="115" customWidth="1"/>
    <col min="7" max="7" width="10" style="115" customWidth="1"/>
    <col min="8" max="8" width="3.28515625" style="115" customWidth="1"/>
    <col min="9" max="9" width="11.28515625" style="115" customWidth="1"/>
    <col min="10" max="10" width="12.28515625" style="115" customWidth="1"/>
    <col min="11" max="11" width="2.7109375" style="115" customWidth="1"/>
    <col min="12" max="12" width="7.28515625" style="115" customWidth="1"/>
    <col min="13" max="13" width="6.28515625" style="115" customWidth="1"/>
    <col min="14" max="14" width="1.42578125" style="115" customWidth="1"/>
    <col min="15" max="15" width="7.42578125" style="115" customWidth="1"/>
    <col min="16" max="16" width="12.42578125" style="115" customWidth="1"/>
    <col min="17" max="17" width="3.28515625" style="115" customWidth="1"/>
    <col min="18" max="18" width="9" style="115" customWidth="1"/>
    <col min="19" max="19" width="10" style="115" customWidth="1"/>
    <col min="20" max="20" width="9.7109375" style="115" customWidth="1"/>
    <col min="21" max="21" width="2.5703125" style="115" customWidth="1"/>
    <col min="22" max="22" width="11.42578125" style="115"/>
    <col min="23" max="23" width="10.28515625" style="115" customWidth="1"/>
    <col min="24" max="24" width="9.5703125" style="115" customWidth="1"/>
    <col min="25" max="25" width="2.42578125" style="115" customWidth="1"/>
    <col min="26" max="26" width="9.28515625" style="115" customWidth="1"/>
    <col min="27" max="27" width="9.42578125" style="115" customWidth="1"/>
    <col min="28" max="28" width="8.7109375" style="115" customWidth="1"/>
    <col min="29" max="29" width="3.28515625" style="115" customWidth="1"/>
    <col min="30" max="30" width="9.42578125" style="115" customWidth="1"/>
    <col min="31" max="31" width="9.7109375" style="115" customWidth="1"/>
    <col min="32" max="32" width="10.28515625" style="115" customWidth="1"/>
    <col min="33" max="33" width="3.28515625" style="115" customWidth="1"/>
    <col min="34" max="34" width="9.42578125" style="115" customWidth="1"/>
    <col min="35" max="35" width="10" style="115" customWidth="1"/>
    <col min="36" max="36" width="9.5703125" style="115" customWidth="1"/>
    <col min="37" max="37" width="2.7109375" style="115" customWidth="1"/>
    <col min="38" max="38" width="8.7109375" style="115" customWidth="1"/>
    <col min="39" max="39" width="9.28515625" style="115" customWidth="1"/>
    <col min="40" max="40" width="9.42578125" style="115" customWidth="1"/>
    <col min="41" max="16384" width="11.42578125" style="115"/>
  </cols>
  <sheetData>
    <row r="1" spans="1:40" s="1032" customFormat="1" ht="19.5" x14ac:dyDescent="0.4">
      <c r="A1" s="15" t="s">
        <v>39</v>
      </c>
      <c r="C1" s="2421" t="s">
        <v>149</v>
      </c>
      <c r="D1" s="2421"/>
    </row>
    <row r="2" spans="1:40" s="1032" customFormat="1" ht="19.5" x14ac:dyDescent="0.4"/>
    <row r="3" spans="1:40" s="1032" customFormat="1" ht="19.5" x14ac:dyDescent="0.4">
      <c r="A3" s="3135" t="s">
        <v>41</v>
      </c>
      <c r="B3" s="3135"/>
      <c r="C3" s="3117" t="s">
        <v>4957</v>
      </c>
      <c r="D3" s="3117"/>
      <c r="E3" s="3117"/>
      <c r="F3" s="3117"/>
      <c r="G3" s="3117"/>
      <c r="H3" s="3117"/>
      <c r="I3" s="3117"/>
      <c r="J3" s="3117"/>
      <c r="K3" s="3117"/>
      <c r="L3" s="3117"/>
      <c r="M3" s="3117"/>
      <c r="N3" s="3117"/>
      <c r="O3" s="3117"/>
      <c r="P3" s="3117"/>
      <c r="Q3" s="3117"/>
      <c r="R3" s="3117"/>
      <c r="S3" s="3117"/>
      <c r="T3" s="3117"/>
      <c r="U3" s="3117"/>
      <c r="V3" s="3117"/>
      <c r="W3" s="3117"/>
      <c r="X3" s="3117"/>
      <c r="Y3" s="3117"/>
      <c r="Z3" s="3117"/>
      <c r="AA3" s="3117"/>
    </row>
    <row r="4" spans="1:40" s="1032" customFormat="1" ht="31.5" customHeight="1" x14ac:dyDescent="0.4">
      <c r="A4" s="3135" t="s">
        <v>42</v>
      </c>
      <c r="B4" s="3135"/>
      <c r="C4" s="3117" t="s">
        <v>4935</v>
      </c>
      <c r="D4" s="3117"/>
      <c r="E4" s="3117"/>
      <c r="F4" s="3117"/>
      <c r="G4" s="3117"/>
      <c r="H4" s="3117"/>
      <c r="I4" s="3117"/>
      <c r="J4" s="3117"/>
      <c r="K4" s="3117"/>
      <c r="L4" s="3117"/>
      <c r="M4" s="3117"/>
      <c r="N4" s="3117"/>
      <c r="O4" s="3117"/>
      <c r="P4" s="3117"/>
      <c r="Q4" s="3117"/>
      <c r="R4" s="3117"/>
      <c r="S4" s="3117"/>
      <c r="T4" s="3117"/>
      <c r="U4" s="3117"/>
      <c r="V4" s="3117"/>
      <c r="W4" s="3117"/>
      <c r="X4" s="3117"/>
      <c r="Y4" s="3117"/>
      <c r="Z4" s="3117"/>
      <c r="AA4" s="3117"/>
    </row>
    <row r="5" spans="1:40" s="1032" customFormat="1" ht="19.5" x14ac:dyDescent="0.4">
      <c r="A5" s="3135" t="s">
        <v>43</v>
      </c>
      <c r="B5" s="3135"/>
      <c r="C5" s="3117" t="s">
        <v>4937</v>
      </c>
      <c r="D5" s="3117"/>
      <c r="E5" s="3117"/>
      <c r="F5" s="3117"/>
      <c r="G5" s="3117"/>
      <c r="H5" s="3117"/>
      <c r="I5" s="3117"/>
      <c r="J5" s="3117"/>
      <c r="K5" s="3117"/>
      <c r="L5" s="3117"/>
      <c r="M5" s="3117"/>
      <c r="N5" s="3117"/>
      <c r="O5" s="3117"/>
      <c r="P5" s="3117"/>
      <c r="Q5" s="3117"/>
      <c r="R5" s="3117"/>
      <c r="S5" s="3117"/>
      <c r="T5" s="3117"/>
      <c r="U5" s="3117"/>
      <c r="V5" s="3117"/>
      <c r="W5" s="3117"/>
      <c r="X5" s="3117"/>
      <c r="Y5" s="3117"/>
      <c r="Z5" s="3117"/>
      <c r="AA5" s="3117"/>
    </row>
    <row r="6" spans="1:40" s="1032" customFormat="1" ht="19.5" x14ac:dyDescent="0.4">
      <c r="A6" s="3135" t="s">
        <v>132</v>
      </c>
      <c r="B6" s="3135"/>
      <c r="C6" s="3117" t="s">
        <v>5122</v>
      </c>
      <c r="D6" s="3117"/>
      <c r="E6" s="3117"/>
      <c r="F6" s="3117"/>
      <c r="G6" s="3117"/>
      <c r="H6" s="3117"/>
      <c r="I6" s="3117"/>
      <c r="J6" s="3117"/>
      <c r="K6" s="3117"/>
      <c r="L6" s="3117"/>
      <c r="M6" s="3117"/>
      <c r="N6" s="3117"/>
      <c r="O6" s="3117"/>
      <c r="P6" s="3117"/>
      <c r="Q6" s="3117"/>
      <c r="R6" s="3117"/>
      <c r="S6" s="3117"/>
      <c r="T6" s="3117"/>
      <c r="U6" s="3117"/>
      <c r="V6" s="3117"/>
      <c r="W6" s="3117"/>
      <c r="X6" s="3117"/>
      <c r="Y6" s="3117"/>
      <c r="Z6" s="3117"/>
      <c r="AA6" s="3117"/>
    </row>
    <row r="7" spans="1:40" s="1032" customFormat="1" ht="19.5" x14ac:dyDescent="0.4"/>
    <row r="8" spans="1:40" s="1032" customFormat="1" ht="19.5" x14ac:dyDescent="0.4"/>
    <row r="9" spans="1:40" s="1032" customFormat="1" ht="19.5" x14ac:dyDescent="0.4">
      <c r="C9" s="800" t="s">
        <v>5122</v>
      </c>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row>
    <row r="10" spans="1:40" ht="9.6" customHeight="1" x14ac:dyDescent="0.4">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row>
    <row r="11" spans="1:40" ht="15" customHeight="1" x14ac:dyDescent="0.4">
      <c r="A11" s="536"/>
      <c r="C11" s="3127" t="s">
        <v>46</v>
      </c>
      <c r="D11" s="3127" t="s">
        <v>47</v>
      </c>
      <c r="E11" s="1488"/>
      <c r="F11" s="3124" t="s">
        <v>47</v>
      </c>
      <c r="G11" s="3124"/>
      <c r="H11" s="3124"/>
      <c r="I11" s="3124"/>
      <c r="J11" s="3124"/>
      <c r="K11" s="3124"/>
      <c r="L11" s="3124"/>
      <c r="M11" s="3124"/>
      <c r="N11" s="3124"/>
      <c r="O11" s="3124"/>
      <c r="P11" s="3124"/>
      <c r="Q11" s="1488"/>
      <c r="R11" s="3168" t="s">
        <v>1238</v>
      </c>
      <c r="S11" s="3168"/>
      <c r="T11" s="3168"/>
      <c r="U11" s="3168"/>
      <c r="V11" s="3168"/>
      <c r="W11" s="3168"/>
      <c r="X11" s="3168"/>
      <c r="Y11" s="1488"/>
      <c r="Z11" s="3168" t="s">
        <v>5123</v>
      </c>
      <c r="AA11" s="3168"/>
      <c r="AB11" s="3168"/>
      <c r="AC11" s="3168"/>
      <c r="AD11" s="3168"/>
      <c r="AE11" s="3168"/>
      <c r="AF11" s="3168"/>
      <c r="AG11" s="1488"/>
      <c r="AH11" s="3168" t="s">
        <v>5124</v>
      </c>
      <c r="AI11" s="3168"/>
      <c r="AJ11" s="3168"/>
      <c r="AK11" s="3168"/>
      <c r="AL11" s="3168"/>
      <c r="AM11" s="3168"/>
      <c r="AN11" s="3168"/>
    </row>
    <row r="12" spans="1:40" x14ac:dyDescent="0.4">
      <c r="A12" s="536"/>
      <c r="C12" s="3128"/>
      <c r="D12" s="3128"/>
      <c r="E12" s="1489"/>
      <c r="F12" s="3126"/>
      <c r="G12" s="3126"/>
      <c r="H12" s="3126"/>
      <c r="I12" s="3126"/>
      <c r="J12" s="3126"/>
      <c r="K12" s="3126"/>
      <c r="L12" s="3126"/>
      <c r="M12" s="3126"/>
      <c r="N12" s="3126"/>
      <c r="O12" s="3126"/>
      <c r="P12" s="3126"/>
      <c r="Q12" s="1455"/>
      <c r="R12" s="3168" t="s">
        <v>5125</v>
      </c>
      <c r="S12" s="3168"/>
      <c r="T12" s="3168"/>
      <c r="U12" s="1489"/>
      <c r="V12" s="3168" t="s">
        <v>5126</v>
      </c>
      <c r="W12" s="3168"/>
      <c r="X12" s="3168"/>
      <c r="Y12" s="1489"/>
      <c r="Z12" s="3168" t="s">
        <v>1433</v>
      </c>
      <c r="AA12" s="3168"/>
      <c r="AB12" s="3168"/>
      <c r="AC12" s="1489"/>
      <c r="AD12" s="3168" t="s">
        <v>56</v>
      </c>
      <c r="AE12" s="3168"/>
      <c r="AF12" s="3168"/>
      <c r="AG12" s="1489"/>
      <c r="AH12" s="3168" t="s">
        <v>57</v>
      </c>
      <c r="AI12" s="3168"/>
      <c r="AJ12" s="3168"/>
      <c r="AK12" s="1489"/>
      <c r="AL12" s="3168" t="s">
        <v>5127</v>
      </c>
      <c r="AM12" s="3168"/>
      <c r="AN12" s="3168"/>
    </row>
    <row r="13" spans="1:40" ht="15" customHeight="1" x14ac:dyDescent="0.4">
      <c r="A13" s="536"/>
      <c r="C13" s="3128"/>
      <c r="D13" s="3128"/>
      <c r="E13" s="1490"/>
      <c r="F13" s="3134" t="s">
        <v>48</v>
      </c>
      <c r="G13" s="3134"/>
      <c r="H13" s="1455"/>
      <c r="I13" s="3134" t="s">
        <v>737</v>
      </c>
      <c r="J13" s="3134"/>
      <c r="K13" s="1455"/>
      <c r="L13" s="3134" t="s">
        <v>49</v>
      </c>
      <c r="M13" s="3134"/>
      <c r="N13" s="1455"/>
      <c r="O13" s="3168" t="s">
        <v>1432</v>
      </c>
      <c r="P13" s="3168"/>
      <c r="Q13" s="1455"/>
      <c r="R13" s="3169" t="s">
        <v>47</v>
      </c>
      <c r="S13" s="3168" t="s">
        <v>48</v>
      </c>
      <c r="T13" s="3168"/>
      <c r="U13" s="1489"/>
      <c r="V13" s="3169" t="s">
        <v>47</v>
      </c>
      <c r="W13" s="3168" t="s">
        <v>48</v>
      </c>
      <c r="X13" s="3168"/>
      <c r="Y13" s="1489"/>
      <c r="Z13" s="3169" t="s">
        <v>47</v>
      </c>
      <c r="AA13" s="3168" t="s">
        <v>48</v>
      </c>
      <c r="AB13" s="3168"/>
      <c r="AC13" s="1489"/>
      <c r="AD13" s="3169" t="s">
        <v>47</v>
      </c>
      <c r="AE13" s="3129" t="s">
        <v>48</v>
      </c>
      <c r="AF13" s="3129"/>
      <c r="AG13" s="1489"/>
      <c r="AH13" s="3169" t="s">
        <v>47</v>
      </c>
      <c r="AI13" s="3168" t="s">
        <v>48</v>
      </c>
      <c r="AJ13" s="3168"/>
      <c r="AK13" s="1489"/>
      <c r="AL13" s="3169" t="s">
        <v>47</v>
      </c>
      <c r="AM13" s="3168" t="s">
        <v>48</v>
      </c>
      <c r="AN13" s="3168"/>
    </row>
    <row r="14" spans="1:40" ht="37.5" x14ac:dyDescent="0.4">
      <c r="A14" s="536"/>
      <c r="C14" s="3129"/>
      <c r="D14" s="3129"/>
      <c r="E14" s="1491"/>
      <c r="F14" s="1491" t="s">
        <v>894</v>
      </c>
      <c r="G14" s="1491" t="s">
        <v>895</v>
      </c>
      <c r="H14" s="1491"/>
      <c r="I14" s="1491" t="s">
        <v>5125</v>
      </c>
      <c r="J14" s="1491" t="s">
        <v>5126</v>
      </c>
      <c r="K14" s="1491"/>
      <c r="L14" s="1491" t="s">
        <v>55</v>
      </c>
      <c r="M14" s="1491" t="s">
        <v>56</v>
      </c>
      <c r="N14" s="1491"/>
      <c r="O14" s="1491" t="s">
        <v>57</v>
      </c>
      <c r="P14" s="1456" t="s">
        <v>5127</v>
      </c>
      <c r="Q14" s="1491"/>
      <c r="R14" s="3170"/>
      <c r="S14" s="1491" t="s">
        <v>894</v>
      </c>
      <c r="T14" s="1491" t="s">
        <v>895</v>
      </c>
      <c r="U14" s="1491"/>
      <c r="V14" s="3170"/>
      <c r="W14" s="1491" t="s">
        <v>894</v>
      </c>
      <c r="X14" s="1491" t="s">
        <v>895</v>
      </c>
      <c r="Y14" s="1491"/>
      <c r="Z14" s="3170"/>
      <c r="AA14" s="1491" t="s">
        <v>894</v>
      </c>
      <c r="AB14" s="1491" t="s">
        <v>895</v>
      </c>
      <c r="AC14" s="1491"/>
      <c r="AD14" s="3170"/>
      <c r="AE14" s="1491" t="s">
        <v>894</v>
      </c>
      <c r="AF14" s="1491" t="s">
        <v>895</v>
      </c>
      <c r="AG14" s="1491"/>
      <c r="AH14" s="3170"/>
      <c r="AI14" s="1491" t="s">
        <v>894</v>
      </c>
      <c r="AJ14" s="1491" t="s">
        <v>895</v>
      </c>
      <c r="AK14" s="1491"/>
      <c r="AL14" s="3170"/>
      <c r="AM14" s="1491" t="s">
        <v>894</v>
      </c>
      <c r="AN14" s="1491" t="s">
        <v>895</v>
      </c>
    </row>
    <row r="15" spans="1:40" x14ac:dyDescent="0.4">
      <c r="A15" s="835"/>
      <c r="C15" s="198">
        <v>2002</v>
      </c>
      <c r="D15" s="537">
        <v>11.4</v>
      </c>
      <c r="E15" s="537"/>
      <c r="F15" s="537">
        <v>15.8</v>
      </c>
      <c r="G15" s="537">
        <v>6.7</v>
      </c>
      <c r="H15" s="537"/>
      <c r="I15" s="417">
        <v>6</v>
      </c>
      <c r="J15" s="417">
        <v>28.1</v>
      </c>
      <c r="K15" s="417"/>
      <c r="L15" s="417">
        <v>19.7</v>
      </c>
      <c r="M15" s="417">
        <v>16.7</v>
      </c>
      <c r="N15" s="417"/>
      <c r="O15" s="417"/>
      <c r="P15" s="417"/>
      <c r="Q15" s="537"/>
      <c r="R15" s="537">
        <v>6</v>
      </c>
      <c r="S15" s="537">
        <v>8.5</v>
      </c>
      <c r="T15" s="537">
        <v>3.2</v>
      </c>
      <c r="U15" s="537"/>
      <c r="V15" s="537">
        <v>28.1</v>
      </c>
      <c r="W15" s="537">
        <v>38.700000000000003</v>
      </c>
      <c r="X15" s="537">
        <v>17.2</v>
      </c>
      <c r="Y15" s="537"/>
      <c r="Z15" s="537">
        <v>19.7</v>
      </c>
      <c r="AA15" s="537"/>
      <c r="AB15" s="537"/>
      <c r="AC15" s="537"/>
      <c r="AD15" s="537">
        <v>16.7</v>
      </c>
      <c r="AE15" s="537"/>
      <c r="AF15" s="537"/>
      <c r="AG15" s="537"/>
      <c r="AH15" s="537"/>
      <c r="AI15" s="537"/>
      <c r="AJ15" s="537"/>
      <c r="AK15" s="537"/>
      <c r="AL15" s="537"/>
      <c r="AM15" s="537"/>
      <c r="AN15" s="537"/>
    </row>
    <row r="16" spans="1:40" x14ac:dyDescent="0.4">
      <c r="A16" s="536"/>
      <c r="C16" s="198">
        <v>2011</v>
      </c>
      <c r="D16" s="1492">
        <v>4.2634610839372344</v>
      </c>
      <c r="E16" s="1492"/>
      <c r="F16" s="1493">
        <v>5.5146642074219239</v>
      </c>
      <c r="G16" s="1493">
        <v>2.9011156366953053</v>
      </c>
      <c r="H16" s="537"/>
      <c r="I16" s="417">
        <v>1.9</v>
      </c>
      <c r="J16" s="417">
        <v>10.502296625570455</v>
      </c>
      <c r="K16" s="417"/>
      <c r="L16" s="417">
        <v>3.2053991938124811</v>
      </c>
      <c r="M16" s="417">
        <v>6.439162054948822</v>
      </c>
      <c r="N16" s="417"/>
      <c r="O16" s="417">
        <v>3.9674789881960901</v>
      </c>
      <c r="P16" s="417">
        <v>4.6545635460330086</v>
      </c>
      <c r="Q16" s="537"/>
      <c r="R16" s="1494">
        <v>100</v>
      </c>
      <c r="S16" s="537">
        <v>66.900000000000006</v>
      </c>
      <c r="T16" s="537">
        <v>33.1</v>
      </c>
      <c r="U16" s="537"/>
      <c r="V16" s="1494">
        <v>100</v>
      </c>
      <c r="W16" s="537">
        <v>67.7</v>
      </c>
      <c r="X16" s="537">
        <v>32.299999999999997</v>
      </c>
      <c r="Y16" s="537"/>
      <c r="Z16" s="1494">
        <v>100</v>
      </c>
      <c r="AA16" s="537">
        <v>55.9</v>
      </c>
      <c r="AB16" s="537">
        <v>44.1</v>
      </c>
      <c r="AC16" s="537"/>
      <c r="AD16" s="1494">
        <v>100</v>
      </c>
      <c r="AE16" s="537">
        <v>79.3</v>
      </c>
      <c r="AF16" s="537">
        <v>20.7</v>
      </c>
      <c r="AG16" s="537"/>
      <c r="AH16" s="1494">
        <v>100</v>
      </c>
      <c r="AI16" s="537">
        <v>60.4</v>
      </c>
      <c r="AJ16" s="537">
        <v>39.6</v>
      </c>
      <c r="AK16" s="537"/>
      <c r="AL16" s="1494">
        <v>100</v>
      </c>
      <c r="AM16" s="537">
        <v>75.400000000000006</v>
      </c>
      <c r="AN16" s="537">
        <v>24.6</v>
      </c>
    </row>
    <row r="17" spans="3:40" x14ac:dyDescent="0.4">
      <c r="C17" s="606">
        <v>2016</v>
      </c>
      <c r="D17" s="1495">
        <v>3.0905331116190369</v>
      </c>
      <c r="E17" s="1495"/>
      <c r="F17" s="1496">
        <v>4.5924227318045867</v>
      </c>
      <c r="G17" s="1496">
        <v>1.5251088027334738</v>
      </c>
      <c r="H17" s="1497"/>
      <c r="I17" s="1498">
        <v>1.103064280042477</v>
      </c>
      <c r="J17" s="1496">
        <v>8.8851875022414184</v>
      </c>
      <c r="K17" s="1497"/>
      <c r="L17" s="1496">
        <v>3.2053991938124811</v>
      </c>
      <c r="M17" s="1496">
        <v>6.439162054948822</v>
      </c>
      <c r="N17" s="1497"/>
      <c r="O17" s="1496">
        <v>3.0894687029390555</v>
      </c>
      <c r="P17" s="1496">
        <v>3.0918889400527116</v>
      </c>
      <c r="Q17" s="1497"/>
      <c r="R17" s="1499">
        <v>100</v>
      </c>
      <c r="S17" s="1497">
        <v>76.3</v>
      </c>
      <c r="T17" s="1497">
        <v>23.7</v>
      </c>
      <c r="U17" s="1497"/>
      <c r="V17" s="1499">
        <v>100</v>
      </c>
      <c r="W17" s="1497">
        <v>75.7</v>
      </c>
      <c r="X17" s="1497">
        <v>24.3</v>
      </c>
      <c r="Y17" s="1497"/>
      <c r="Z17" s="1499">
        <v>100</v>
      </c>
      <c r="AA17" s="1497">
        <v>68</v>
      </c>
      <c r="AB17" s="1497">
        <v>32</v>
      </c>
      <c r="AC17" s="1497"/>
      <c r="AD17" s="1499">
        <v>100</v>
      </c>
      <c r="AE17" s="1497">
        <v>68</v>
      </c>
      <c r="AF17" s="1497">
        <v>14</v>
      </c>
      <c r="AG17" s="1497"/>
      <c r="AH17" s="1499">
        <v>100</v>
      </c>
      <c r="AI17" s="1497">
        <v>74</v>
      </c>
      <c r="AJ17" s="1497">
        <v>26</v>
      </c>
      <c r="AK17" s="1497"/>
      <c r="AL17" s="1499">
        <v>100</v>
      </c>
      <c r="AM17" s="1497">
        <v>78.2</v>
      </c>
      <c r="AN17" s="1497">
        <v>21.8</v>
      </c>
    </row>
    <row r="18" spans="3:40" x14ac:dyDescent="0.4">
      <c r="C18" s="115" t="s">
        <v>5128</v>
      </c>
      <c r="D18" s="1446"/>
      <c r="E18" s="1446"/>
    </row>
    <row r="19" spans="3:40" x14ac:dyDescent="0.4">
      <c r="C19" s="198" t="s">
        <v>5129</v>
      </c>
    </row>
    <row r="22" spans="3:40" ht="19.5" x14ac:dyDescent="0.4">
      <c r="C22" s="800" t="s">
        <v>5130</v>
      </c>
    </row>
    <row r="36" spans="3:3" x14ac:dyDescent="0.4">
      <c r="C36" s="115" t="s">
        <v>5129</v>
      </c>
    </row>
  </sheetData>
  <mergeCells count="37">
    <mergeCell ref="A5:B5"/>
    <mergeCell ref="C5:AA5"/>
    <mergeCell ref="C1:D1"/>
    <mergeCell ref="A3:B3"/>
    <mergeCell ref="C3:AA3"/>
    <mergeCell ref="A4:B4"/>
    <mergeCell ref="C4:AA4"/>
    <mergeCell ref="A6:B6"/>
    <mergeCell ref="C6:AA6"/>
    <mergeCell ref="C11:C14"/>
    <mergeCell ref="D11:D14"/>
    <mergeCell ref="F11:P12"/>
    <mergeCell ref="R11:X11"/>
    <mergeCell ref="Z11:AF11"/>
    <mergeCell ref="F13:G13"/>
    <mergeCell ref="I13:J13"/>
    <mergeCell ref="L13:M13"/>
    <mergeCell ref="Z13:Z14"/>
    <mergeCell ref="O13:P13"/>
    <mergeCell ref="R13:R14"/>
    <mergeCell ref="S13:T13"/>
    <mergeCell ref="V13:V14"/>
    <mergeCell ref="W13:X13"/>
    <mergeCell ref="AH11:AN11"/>
    <mergeCell ref="R12:T12"/>
    <mergeCell ref="V12:X12"/>
    <mergeCell ref="Z12:AB12"/>
    <mergeCell ref="AD12:AF12"/>
    <mergeCell ref="AH12:AJ12"/>
    <mergeCell ref="AL12:AN12"/>
    <mergeCell ref="AM13:AN13"/>
    <mergeCell ref="AA13:AB13"/>
    <mergeCell ref="AD13:AD14"/>
    <mergeCell ref="AE13:AF13"/>
    <mergeCell ref="AH13:AH14"/>
    <mergeCell ref="AI13:AJ13"/>
    <mergeCell ref="AL13:AL14"/>
  </mergeCells>
  <hyperlinks>
    <hyperlink ref="A1" location="'ODS 8.'!A1" display="REGRESAR" xr:uid="{1F25E12E-F617-4C0A-8EAD-C7938D1967FF}"/>
    <hyperlink ref="C1:D1" location="'Metadato 8.7.1'!A1" display="VER METADATO" xr:uid="{E8857529-F1C7-49AB-80E8-ACCEE8C2FFB2}"/>
  </hyperlinks>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0BAD1-E536-4101-9656-15AD8E9BB35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0" style="243" customWidth="1"/>
    <col min="6" max="6" width="7.28515625" style="243" customWidth="1"/>
    <col min="7" max="7" width="11.28515625" style="243" customWidth="1"/>
    <col min="8" max="8" width="12.28515625" style="243" customWidth="1"/>
    <col min="9" max="9" width="2.7109375" style="243" customWidth="1"/>
    <col min="10" max="10" width="7.28515625" style="243" customWidth="1"/>
    <col min="11" max="11" width="6.28515625" style="243" customWidth="1"/>
    <col min="12" max="12" width="1.42578125" style="243" customWidth="1"/>
    <col min="13" max="13" width="7.42578125" style="243" customWidth="1"/>
    <col min="14" max="14" width="12.42578125" style="243" customWidth="1"/>
    <col min="15" max="15" width="3.28515625" style="243" customWidth="1"/>
    <col min="16" max="16" width="9" style="243" customWidth="1"/>
    <col min="17" max="17" width="10" style="243" customWidth="1"/>
    <col min="18" max="18" width="9.7109375" style="243" customWidth="1"/>
    <col min="19" max="19" width="2.5703125" style="243" customWidth="1"/>
    <col min="20" max="20" width="11.42578125" style="243"/>
    <col min="21" max="21" width="10.28515625" style="243" customWidth="1"/>
    <col min="22" max="22" width="9.5703125" style="243" customWidth="1"/>
    <col min="23" max="23" width="2.42578125" style="243" customWidth="1"/>
    <col min="24" max="24" width="9.28515625" style="243" customWidth="1"/>
    <col min="25" max="25" width="9.42578125" style="243" customWidth="1"/>
    <col min="26" max="26" width="8.7109375" style="243" customWidth="1"/>
    <col min="27" max="27" width="3.28515625" style="243" customWidth="1"/>
    <col min="28" max="28" width="9.42578125" style="243" customWidth="1"/>
    <col min="29" max="29" width="9.7109375" style="243" customWidth="1"/>
    <col min="30" max="30" width="10.28515625" style="243" customWidth="1"/>
    <col min="31" max="31" width="3.28515625" style="243" customWidth="1"/>
    <col min="32" max="32" width="9.42578125" style="243" customWidth="1"/>
    <col min="33" max="33" width="10" style="243" customWidth="1"/>
    <col min="34" max="34" width="9.5703125" style="243" customWidth="1"/>
    <col min="35" max="35" width="2.7109375" style="243" customWidth="1"/>
    <col min="36" max="36" width="8.7109375" style="243" customWidth="1"/>
    <col min="37" max="37" width="9.28515625" style="243" customWidth="1"/>
    <col min="38" max="38" width="9.42578125" style="243" customWidth="1"/>
    <col min="39" max="16384" width="11.42578125" style="243"/>
  </cols>
  <sheetData>
    <row r="1" spans="1:6" x14ac:dyDescent="0.25">
      <c r="B1" s="223" t="s">
        <v>39</v>
      </c>
    </row>
    <row r="2" spans="1:6" ht="19.5" thickBot="1" x14ac:dyDescent="0.3"/>
    <row r="3" spans="1:6" ht="23.25" customHeight="1" thickBot="1" x14ac:dyDescent="0.3">
      <c r="B3" s="3129" t="s">
        <v>75</v>
      </c>
      <c r="C3" s="3129"/>
      <c r="D3" s="3129"/>
      <c r="F3" s="1046" t="s">
        <v>76</v>
      </c>
    </row>
    <row r="4" spans="1:6" ht="37.5" x14ac:dyDescent="0.25">
      <c r="A4" s="1079"/>
      <c r="B4" s="2445" t="s">
        <v>234</v>
      </c>
      <c r="C4" s="2445"/>
      <c r="D4" s="49" t="s">
        <v>4975</v>
      </c>
    </row>
    <row r="5" spans="1:6" ht="75" x14ac:dyDescent="0.25">
      <c r="B5" s="2445" t="s">
        <v>79</v>
      </c>
      <c r="C5" s="2445"/>
      <c r="D5" s="49" t="s">
        <v>4935</v>
      </c>
    </row>
    <row r="6" spans="1:6" x14ac:dyDescent="0.25">
      <c r="B6" s="2445" t="s">
        <v>80</v>
      </c>
      <c r="C6" s="2445"/>
      <c r="D6" s="50" t="s">
        <v>4936</v>
      </c>
    </row>
    <row r="7" spans="1:6" ht="37.5" x14ac:dyDescent="0.25">
      <c r="B7" s="2446" t="s">
        <v>81</v>
      </c>
      <c r="C7" s="2446"/>
      <c r="D7" s="93" t="s">
        <v>4937</v>
      </c>
    </row>
    <row r="8" spans="1:6" x14ac:dyDescent="0.25">
      <c r="B8" s="2446" t="s">
        <v>82</v>
      </c>
      <c r="C8" s="2446"/>
      <c r="D8" s="1047" t="s">
        <v>5131</v>
      </c>
    </row>
    <row r="9" spans="1:6" x14ac:dyDescent="0.4">
      <c r="B9" s="115"/>
      <c r="C9" s="115"/>
      <c r="D9" s="115"/>
    </row>
    <row r="10" spans="1:6" ht="23.25" customHeight="1" x14ac:dyDescent="0.25">
      <c r="B10" s="3129" t="s">
        <v>85</v>
      </c>
      <c r="C10" s="3129"/>
      <c r="D10" s="3129"/>
    </row>
    <row r="11" spans="1:6" x14ac:dyDescent="0.25">
      <c r="B11" s="2487" t="s">
        <v>86</v>
      </c>
      <c r="C11" s="2456"/>
      <c r="D11" s="49" t="s">
        <v>167</v>
      </c>
    </row>
    <row r="12" spans="1:6" ht="37.5" x14ac:dyDescent="0.25">
      <c r="B12" s="2446" t="s">
        <v>88</v>
      </c>
      <c r="C12" s="2446"/>
      <c r="D12" s="184" t="s">
        <v>5132</v>
      </c>
    </row>
    <row r="13" spans="1:6" x14ac:dyDescent="0.25">
      <c r="B13" s="2445" t="s">
        <v>90</v>
      </c>
      <c r="C13" s="2445"/>
      <c r="D13" s="54" t="s">
        <v>4936</v>
      </c>
    </row>
    <row r="14" spans="1:6" x14ac:dyDescent="0.25">
      <c r="B14" s="2445" t="s">
        <v>91</v>
      </c>
      <c r="C14" s="2456"/>
      <c r="D14" s="54" t="s">
        <v>92</v>
      </c>
    </row>
    <row r="15" spans="1:6" ht="187.5" x14ac:dyDescent="0.25">
      <c r="B15" s="2445" t="s">
        <v>93</v>
      </c>
      <c r="C15" s="2445"/>
      <c r="D15" s="55" t="s">
        <v>5133</v>
      </c>
    </row>
    <row r="16" spans="1:6" ht="48" customHeight="1" x14ac:dyDescent="0.25">
      <c r="B16" s="2445" t="s">
        <v>95</v>
      </c>
      <c r="C16" s="2445"/>
      <c r="D16" s="55"/>
    </row>
    <row r="17" spans="2:4" x14ac:dyDescent="0.25">
      <c r="B17" s="2445" t="s">
        <v>97</v>
      </c>
      <c r="C17" s="2445"/>
      <c r="D17" s="55" t="s">
        <v>98</v>
      </c>
    </row>
    <row r="18" spans="2:4" x14ac:dyDescent="0.25">
      <c r="B18" s="2446" t="s">
        <v>99</v>
      </c>
      <c r="C18" s="2446"/>
      <c r="D18" s="49"/>
    </row>
    <row r="19" spans="2:4" ht="30.75" customHeight="1" x14ac:dyDescent="0.25">
      <c r="B19" s="2457" t="s">
        <v>100</v>
      </c>
      <c r="C19" s="2458"/>
      <c r="D19" s="55" t="s">
        <v>5134</v>
      </c>
    </row>
    <row r="20" spans="2:4" x14ac:dyDescent="0.25">
      <c r="B20" s="2445" t="s">
        <v>102</v>
      </c>
      <c r="C20" s="2445"/>
      <c r="D20" s="49" t="s">
        <v>140</v>
      </c>
    </row>
    <row r="21" spans="2:4" x14ac:dyDescent="0.25">
      <c r="B21" s="2451" t="s">
        <v>104</v>
      </c>
      <c r="C21" s="95" t="s">
        <v>105</v>
      </c>
      <c r="D21" s="49" t="s">
        <v>5135</v>
      </c>
    </row>
    <row r="22" spans="2:4" x14ac:dyDescent="0.25">
      <c r="B22" s="2452"/>
      <c r="C22" s="96" t="s">
        <v>107</v>
      </c>
      <c r="D22" s="55" t="s">
        <v>1507</v>
      </c>
    </row>
    <row r="23" spans="2:4" x14ac:dyDescent="0.25">
      <c r="B23" s="2445" t="s">
        <v>109</v>
      </c>
      <c r="C23" s="2445"/>
      <c r="D23" s="55" t="s">
        <v>143</v>
      </c>
    </row>
    <row r="24" spans="2:4" x14ac:dyDescent="0.25">
      <c r="B24" s="2445" t="s">
        <v>111</v>
      </c>
      <c r="C24" s="2445"/>
      <c r="D24" s="50" t="s">
        <v>127</v>
      </c>
    </row>
    <row r="25" spans="2:4" x14ac:dyDescent="0.25">
      <c r="B25" s="2445" t="s">
        <v>113</v>
      </c>
      <c r="C25" s="2445"/>
      <c r="D25" s="55" t="s">
        <v>144</v>
      </c>
    </row>
    <row r="26" spans="2:4" x14ac:dyDescent="0.25">
      <c r="B26" s="2446" t="s">
        <v>115</v>
      </c>
      <c r="C26" s="2446"/>
      <c r="D26" s="50" t="s">
        <v>145</v>
      </c>
    </row>
    <row r="27" spans="2:4" x14ac:dyDescent="0.25">
      <c r="B27" s="2447" t="s">
        <v>117</v>
      </c>
      <c r="C27" s="2448"/>
      <c r="D27" s="49"/>
    </row>
    <row r="28" spans="2:4" ht="131.25" x14ac:dyDescent="0.25">
      <c r="B28" s="97" t="s">
        <v>118</v>
      </c>
      <c r="C28" s="98"/>
      <c r="D28" s="55" t="s">
        <v>5136</v>
      </c>
    </row>
    <row r="29" spans="2:4" x14ac:dyDescent="0.25">
      <c r="B29" s="2449" t="s">
        <v>120</v>
      </c>
      <c r="C29" s="2450"/>
      <c r="D29" s="62"/>
    </row>
    <row r="30" spans="2:4" x14ac:dyDescent="0.25">
      <c r="B30" s="63"/>
      <c r="C30" s="63"/>
      <c r="D30" s="64"/>
    </row>
    <row r="31" spans="2:4" ht="23.25" customHeight="1" x14ac:dyDescent="0.25">
      <c r="B31" s="3129" t="s">
        <v>121</v>
      </c>
      <c r="C31" s="3129"/>
      <c r="D31" s="3129"/>
    </row>
    <row r="32" spans="2:4" x14ac:dyDescent="0.25">
      <c r="B32" s="2447" t="s">
        <v>122</v>
      </c>
      <c r="C32" s="2448"/>
      <c r="D32" s="50" t="s">
        <v>123</v>
      </c>
    </row>
    <row r="33" spans="2:4" x14ac:dyDescent="0.25">
      <c r="B33" s="2447" t="s">
        <v>124</v>
      </c>
      <c r="C33" s="2448"/>
      <c r="D33" s="50" t="s">
        <v>4704</v>
      </c>
    </row>
    <row r="34" spans="2:4" x14ac:dyDescent="0.25">
      <c r="B34" s="2447" t="s">
        <v>126</v>
      </c>
      <c r="C34" s="2448"/>
      <c r="D34" s="50" t="s">
        <v>127</v>
      </c>
    </row>
    <row r="35" spans="2:4" x14ac:dyDescent="0.25">
      <c r="B35" s="2447" t="s">
        <v>128</v>
      </c>
      <c r="C35" s="2448"/>
      <c r="D35" s="50" t="s">
        <v>1791</v>
      </c>
    </row>
    <row r="36" spans="2:4" x14ac:dyDescent="0.25">
      <c r="B36" s="2447" t="s">
        <v>130</v>
      </c>
      <c r="C36" s="2448"/>
      <c r="D36" s="1312"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DF68F74-996E-4A3E-BB4A-D922026E9F62}">
      <formula1>Tipo_operación</formula1>
    </dataValidation>
    <dataValidation type="list" allowBlank="1" showInputMessage="1" showErrorMessage="1" sqref="D14" xr:uid="{4891484B-CB32-44AB-8D9A-948A7A86F4BE}">
      <formula1>Tipo_indicador</formula1>
    </dataValidation>
    <dataValidation type="list" allowBlank="1" showInputMessage="1" showErrorMessage="1" sqref="D7" xr:uid="{1CBCC089-CB12-4B40-9194-FF131A22730F}">
      <formula1>Nombre_indicador_ODS</formula1>
    </dataValidation>
    <dataValidation type="list" allowBlank="1" showInputMessage="1" showErrorMessage="1" sqref="D6" xr:uid="{AA312B4F-F113-4A98-BC39-739172EFCBA2}">
      <formula1>Numero_indicador</formula1>
    </dataValidation>
    <dataValidation type="list" allowBlank="1" showInputMessage="1" showErrorMessage="1" sqref="D5" xr:uid="{B13DB4B2-3F5D-4618-9AC5-7C367A4EC90F}">
      <formula1>Metas_ODS</formula1>
    </dataValidation>
    <dataValidation type="list" allowBlank="1" showInputMessage="1" showErrorMessage="1" sqref="D4" xr:uid="{BC706E25-FC99-48B8-9F6E-383CD124868E}">
      <formula1>ODS</formula1>
    </dataValidation>
    <dataValidation allowBlank="1" showDropDown="1" showInputMessage="1" showErrorMessage="1" sqref="D13" xr:uid="{572EB681-14F3-4157-9DDE-AD922D91AFF9}"/>
  </dataValidations>
  <hyperlinks>
    <hyperlink ref="B1" location="'8.7.1'!A1" display="REGRESAR" xr:uid="{57FC0D0D-F169-440A-AA81-C85596E53E05}"/>
    <hyperlink ref="D36" r:id="rId1" xr:uid="{4970743A-3D3C-48B1-B609-1CE7FAF4CB5F}"/>
    <hyperlink ref="D8" r:id="rId2" xr:uid="{464F1EC3-0ECB-420E-8029-7A8571BC7115}"/>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ED17-925E-457B-BCC8-563130106E21}">
  <sheetPr>
    <tabColor theme="0" tint="-0.499984740745262"/>
  </sheetPr>
  <dimension ref="A1:G41"/>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7" x14ac:dyDescent="0.25">
      <c r="B1" s="223" t="s">
        <v>39</v>
      </c>
    </row>
    <row r="2" spans="1:7" ht="19.5" thickBot="1" x14ac:dyDescent="0.3"/>
    <row r="3" spans="1:7" ht="23.25" customHeight="1" thickBot="1" x14ac:dyDescent="0.3">
      <c r="B3" s="2431" t="s">
        <v>75</v>
      </c>
      <c r="C3" s="2431"/>
      <c r="D3" s="2431"/>
      <c r="F3" s="91" t="s">
        <v>76</v>
      </c>
    </row>
    <row r="4" spans="1:7" ht="21.75" customHeight="1" x14ac:dyDescent="0.25">
      <c r="A4" s="224"/>
      <c r="B4" s="2445" t="s">
        <v>234</v>
      </c>
      <c r="C4" s="2445"/>
      <c r="D4" s="49" t="s">
        <v>78</v>
      </c>
    </row>
    <row r="5" spans="1:7" ht="75" x14ac:dyDescent="0.25">
      <c r="B5" s="2445" t="s">
        <v>79</v>
      </c>
      <c r="C5" s="2445"/>
      <c r="D5" s="49" t="s">
        <v>31</v>
      </c>
    </row>
    <row r="6" spans="1:7" x14ac:dyDescent="0.25">
      <c r="B6" s="2445" t="s">
        <v>80</v>
      </c>
      <c r="C6" s="2445"/>
      <c r="D6" s="50" t="s">
        <v>32</v>
      </c>
    </row>
    <row r="7" spans="1:7" ht="56.25" x14ac:dyDescent="0.25">
      <c r="B7" s="2446" t="s">
        <v>81</v>
      </c>
      <c r="C7" s="2446"/>
      <c r="D7" s="93" t="s">
        <v>33</v>
      </c>
    </row>
    <row r="8" spans="1:7" x14ac:dyDescent="0.25">
      <c r="B8" s="2446" t="s">
        <v>82</v>
      </c>
      <c r="C8" s="2446"/>
      <c r="D8" s="94" t="s">
        <v>353</v>
      </c>
    </row>
    <row r="9" spans="1:7" x14ac:dyDescent="0.4">
      <c r="B9" s="5"/>
      <c r="C9" s="5"/>
      <c r="D9" s="5"/>
    </row>
    <row r="10" spans="1:7" ht="23.25" customHeight="1" x14ac:dyDescent="0.25">
      <c r="B10" s="2431" t="s">
        <v>85</v>
      </c>
      <c r="C10" s="2431"/>
      <c r="D10" s="2431"/>
    </row>
    <row r="11" spans="1:7" x14ac:dyDescent="0.25">
      <c r="B11" s="2453" t="s">
        <v>86</v>
      </c>
      <c r="C11" s="2454"/>
      <c r="D11" s="49"/>
    </row>
    <row r="12" spans="1:7" ht="15" customHeight="1" x14ac:dyDescent="0.25">
      <c r="B12" s="2455" t="s">
        <v>88</v>
      </c>
      <c r="C12" s="2455"/>
      <c r="D12" s="242" t="s">
        <v>354</v>
      </c>
    </row>
    <row r="13" spans="1:7" x14ac:dyDescent="0.25">
      <c r="B13" s="2445" t="s">
        <v>90</v>
      </c>
      <c r="C13" s="2445"/>
      <c r="D13" s="54" t="s">
        <v>32</v>
      </c>
    </row>
    <row r="14" spans="1:7" x14ac:dyDescent="0.25">
      <c r="B14" s="2445" t="s">
        <v>91</v>
      </c>
      <c r="C14" s="2456"/>
      <c r="D14" s="54" t="s">
        <v>355</v>
      </c>
    </row>
    <row r="15" spans="1:7" ht="56.25" x14ac:dyDescent="0.25">
      <c r="B15" s="2445" t="s">
        <v>93</v>
      </c>
      <c r="C15" s="2445"/>
      <c r="D15" s="49" t="s">
        <v>356</v>
      </c>
    </row>
    <row r="16" spans="1:7" ht="43.5" customHeight="1" x14ac:dyDescent="0.25">
      <c r="B16" s="2445" t="s">
        <v>95</v>
      </c>
      <c r="C16" s="2445"/>
      <c r="D16" s="55" t="s">
        <v>357</v>
      </c>
      <c r="G16" s="243"/>
    </row>
    <row r="17" spans="2:4" x14ac:dyDescent="0.25">
      <c r="B17" s="2445" t="s">
        <v>97</v>
      </c>
      <c r="C17" s="2445"/>
      <c r="D17" s="55" t="s">
        <v>358</v>
      </c>
    </row>
    <row r="18" spans="2:4" ht="15" customHeight="1" x14ac:dyDescent="0.25">
      <c r="B18" s="2446" t="s">
        <v>99</v>
      </c>
      <c r="C18" s="2446"/>
      <c r="D18" s="49" t="s">
        <v>359</v>
      </c>
    </row>
    <row r="19" spans="2:4" ht="15" customHeight="1" x14ac:dyDescent="0.25">
      <c r="B19" s="2457" t="s">
        <v>100</v>
      </c>
      <c r="C19" s="2458"/>
      <c r="D19" s="55" t="s">
        <v>360</v>
      </c>
    </row>
    <row r="20" spans="2:4" x14ac:dyDescent="0.25">
      <c r="B20" s="2445" t="s">
        <v>102</v>
      </c>
      <c r="C20" s="2445"/>
      <c r="D20" s="55" t="s">
        <v>140</v>
      </c>
    </row>
    <row r="21" spans="2:4" x14ac:dyDescent="0.25">
      <c r="B21" s="2451" t="s">
        <v>104</v>
      </c>
      <c r="C21" s="95" t="s">
        <v>105</v>
      </c>
      <c r="D21" s="55"/>
    </row>
    <row r="22" spans="2:4" x14ac:dyDescent="0.25">
      <c r="B22" s="2452"/>
      <c r="C22" s="96" t="s">
        <v>107</v>
      </c>
      <c r="D22" s="55"/>
    </row>
    <row r="23" spans="2:4" x14ac:dyDescent="0.25">
      <c r="B23" s="2444" t="s">
        <v>109</v>
      </c>
      <c r="C23" s="2444"/>
      <c r="D23" s="55" t="s">
        <v>143</v>
      </c>
    </row>
    <row r="24" spans="2:4" ht="37.5" x14ac:dyDescent="0.25">
      <c r="B24" s="2444" t="s">
        <v>111</v>
      </c>
      <c r="C24" s="2444"/>
      <c r="D24" s="59" t="s">
        <v>361</v>
      </c>
    </row>
    <row r="25" spans="2:4" x14ac:dyDescent="0.25">
      <c r="B25" s="2445" t="s">
        <v>113</v>
      </c>
      <c r="C25" s="2445"/>
      <c r="D25" s="56" t="s">
        <v>220</v>
      </c>
    </row>
    <row r="26" spans="2:4" ht="15" customHeight="1" x14ac:dyDescent="0.25">
      <c r="B26" s="2446" t="s">
        <v>115</v>
      </c>
      <c r="C26" s="2446"/>
      <c r="D26" s="59" t="s">
        <v>362</v>
      </c>
    </row>
    <row r="27" spans="2:4" ht="93.75" x14ac:dyDescent="0.25">
      <c r="B27" s="2447" t="s">
        <v>117</v>
      </c>
      <c r="C27" s="2448"/>
      <c r="D27" s="55" t="s">
        <v>363</v>
      </c>
    </row>
    <row r="28" spans="2:4" ht="37.5" x14ac:dyDescent="0.25">
      <c r="B28" s="97" t="s">
        <v>118</v>
      </c>
      <c r="C28" s="98"/>
      <c r="D28" s="55" t="s">
        <v>364</v>
      </c>
    </row>
    <row r="29" spans="2:4" x14ac:dyDescent="0.25">
      <c r="B29" s="2449" t="s">
        <v>120</v>
      </c>
      <c r="C29" s="2450"/>
      <c r="D29" s="244" t="s">
        <v>365</v>
      </c>
    </row>
    <row r="30" spans="2:4" ht="11.25" customHeight="1" x14ac:dyDescent="0.25">
      <c r="B30" s="63"/>
      <c r="C30" s="63"/>
      <c r="D30" s="64"/>
    </row>
    <row r="31" spans="2:4" ht="23.25" customHeight="1" x14ac:dyDescent="0.25">
      <c r="B31" s="2431" t="s">
        <v>121</v>
      </c>
      <c r="C31" s="2431"/>
      <c r="D31" s="2431"/>
    </row>
    <row r="32" spans="2:4" x14ac:dyDescent="0.25">
      <c r="B32" s="2427" t="s">
        <v>122</v>
      </c>
      <c r="C32" s="2504"/>
      <c r="D32" s="55" t="s">
        <v>366</v>
      </c>
    </row>
    <row r="33" spans="2:4" x14ac:dyDescent="0.25">
      <c r="B33" s="2427" t="s">
        <v>124</v>
      </c>
      <c r="C33" s="2504"/>
      <c r="D33" s="55" t="s">
        <v>367</v>
      </c>
    </row>
    <row r="34" spans="2:4" x14ac:dyDescent="0.4">
      <c r="B34" s="2427" t="s">
        <v>126</v>
      </c>
      <c r="C34" s="2504"/>
      <c r="D34" s="245" t="s">
        <v>368</v>
      </c>
    </row>
    <row r="35" spans="2:4" x14ac:dyDescent="0.25">
      <c r="B35" s="2427" t="s">
        <v>128</v>
      </c>
      <c r="C35" s="2504"/>
      <c r="D35" s="246" t="s">
        <v>369</v>
      </c>
    </row>
    <row r="36" spans="2:4" x14ac:dyDescent="0.25">
      <c r="B36" s="2427" t="s">
        <v>130</v>
      </c>
      <c r="C36" s="2504"/>
      <c r="D36" s="247" t="s">
        <v>370</v>
      </c>
    </row>
    <row r="37" spans="2:4" x14ac:dyDescent="0.25">
      <c r="B37" s="2427" t="s">
        <v>122</v>
      </c>
      <c r="C37" s="2504"/>
      <c r="D37" s="55" t="s">
        <v>371</v>
      </c>
    </row>
    <row r="38" spans="2:4" x14ac:dyDescent="0.25">
      <c r="B38" s="2427" t="s">
        <v>124</v>
      </c>
      <c r="C38" s="2504"/>
      <c r="D38" s="55" t="s">
        <v>372</v>
      </c>
    </row>
    <row r="39" spans="2:4" x14ac:dyDescent="0.25">
      <c r="B39" s="2427" t="s">
        <v>126</v>
      </c>
      <c r="C39" s="2504"/>
      <c r="D39" s="55" t="s">
        <v>373</v>
      </c>
    </row>
    <row r="40" spans="2:4" x14ac:dyDescent="0.25">
      <c r="B40" s="2427" t="s">
        <v>128</v>
      </c>
      <c r="C40" s="2504"/>
      <c r="D40" s="246" t="s">
        <v>374</v>
      </c>
    </row>
    <row r="41" spans="2:4" x14ac:dyDescent="0.25">
      <c r="B41" s="2427" t="s">
        <v>130</v>
      </c>
      <c r="C41" s="2504"/>
      <c r="D41" s="247" t="s">
        <v>375</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CA13E24C-4675-451D-9797-A8A57AE39E9D}">
      <formula1>Tipo_operación</formula1>
    </dataValidation>
    <dataValidation type="list" allowBlank="1" showInputMessage="1" showErrorMessage="1" sqref="D14" xr:uid="{7E9088E8-80C0-4C6A-BF9D-2CFCD514AB46}">
      <formula1>Tipo_indicador</formula1>
    </dataValidation>
    <dataValidation type="list" allowBlank="1" showInputMessage="1" showErrorMessage="1" sqref="D7" xr:uid="{DB40B5B9-0D86-48EF-9028-057AF653EDF2}">
      <formula1>Nombre_indicador_ODS</formula1>
    </dataValidation>
    <dataValidation type="list" allowBlank="1" showInputMessage="1" showErrorMessage="1" sqref="D6" xr:uid="{54BAEEEA-16D9-444C-AE88-0570612450FA}">
      <formula1>Numero_indicador</formula1>
    </dataValidation>
    <dataValidation type="list" allowBlank="1" showInputMessage="1" showErrorMessage="1" sqref="D5" xr:uid="{E5EEF8B4-DA86-42AB-8EEF-092B03339863}">
      <formula1>Metas_ODS</formula1>
    </dataValidation>
    <dataValidation type="list" allowBlank="1" showInputMessage="1" showErrorMessage="1" sqref="D4" xr:uid="{3FA97193-B155-48A7-8936-D040B64138D6}">
      <formula1>ODS</formula1>
    </dataValidation>
    <dataValidation allowBlank="1" showDropDown="1" showInputMessage="1" showErrorMessage="1" sqref="D13" xr:uid="{16A1E780-4BF8-4EEA-A3B5-626D2F1912C5}"/>
  </dataValidations>
  <hyperlinks>
    <hyperlink ref="B1" location="'1.a.1'!A1" display="REGRESAR" xr:uid="{C33C3DAF-99D0-4BC8-8BDA-EA29BA5515EB}"/>
    <hyperlink ref="D8" r:id="rId1" xr:uid="{D2981D6D-7E41-40F9-B2D5-10303CA1A556}"/>
    <hyperlink ref="D29" r:id="rId2" xr:uid="{39077710-E41C-4AA7-ADED-A02DA7C86B6B}"/>
    <hyperlink ref="D41" r:id="rId3" xr:uid="{69E2AA71-D44F-49F0-8D96-678A5C549DEB}"/>
    <hyperlink ref="D36" r:id="rId4" xr:uid="{95B3C291-76EE-4FB7-B691-95F93BA976AC}"/>
  </hyperlinks>
  <pageMargins left="0.7" right="0.7" top="0.75" bottom="0.75" header="0.3" footer="0.3"/>
  <pageSetup orientation="portrait" r:id="rId5"/>
  <drawing r:id="rId6"/>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C241-E706-4412-B5A6-75F8595693CF}">
  <dimension ref="A1:Q75"/>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 style="115" customWidth="1"/>
    <col min="2" max="2" width="15.7109375" style="115" customWidth="1"/>
    <col min="3" max="3" width="10.28515625" style="1048" customWidth="1"/>
    <col min="4" max="4" width="11.28515625" style="115" customWidth="1"/>
    <col min="5" max="5" width="13.42578125" style="115" customWidth="1"/>
    <col min="6" max="6" width="13.7109375" style="115" customWidth="1"/>
    <col min="7" max="7" width="13.5703125" style="115" customWidth="1"/>
    <col min="8" max="8" width="16.7109375" style="115" customWidth="1"/>
    <col min="9" max="9" width="11.42578125" style="115"/>
    <col min="10" max="10" width="14.28515625" style="115" customWidth="1"/>
    <col min="11" max="11" width="16.140625" style="115" customWidth="1"/>
    <col min="12" max="12" width="12.28515625" style="115" customWidth="1"/>
    <col min="13" max="13" width="18.28515625" style="115" customWidth="1"/>
    <col min="14" max="15" width="11.42578125" style="115"/>
    <col min="16" max="16" width="13.42578125" style="115" bestFit="1" customWidth="1"/>
    <col min="17" max="16384" width="11.42578125" style="115"/>
  </cols>
  <sheetData>
    <row r="1" spans="1:16" s="1032" customFormat="1" ht="19.5" x14ac:dyDescent="0.4">
      <c r="A1" s="15" t="s">
        <v>39</v>
      </c>
      <c r="B1" s="1080"/>
      <c r="C1" s="2421" t="s">
        <v>149</v>
      </c>
      <c r="D1" s="2421"/>
    </row>
    <row r="2" spans="1:16" s="1032" customFormat="1" ht="19.5" x14ac:dyDescent="0.4">
      <c r="C2" s="1061"/>
    </row>
    <row r="3" spans="1:16" s="1032" customFormat="1" ht="19.5" x14ac:dyDescent="0.4">
      <c r="A3" s="3135" t="s">
        <v>41</v>
      </c>
      <c r="B3" s="3135"/>
      <c r="C3" s="3135" t="s">
        <v>4957</v>
      </c>
      <c r="D3" s="3135"/>
      <c r="E3" s="3135"/>
      <c r="F3" s="3135"/>
      <c r="G3" s="3135"/>
      <c r="H3" s="3135"/>
      <c r="I3" s="3135"/>
      <c r="J3" s="3135"/>
      <c r="K3" s="3135"/>
      <c r="L3" s="3135"/>
      <c r="M3" s="3135"/>
      <c r="N3" s="3135"/>
      <c r="O3" s="3135"/>
      <c r="P3" s="3135"/>
    </row>
    <row r="4" spans="1:16" s="1032" customFormat="1" ht="19.5" x14ac:dyDescent="0.4">
      <c r="A4" s="3135" t="s">
        <v>42</v>
      </c>
      <c r="B4" s="3135"/>
      <c r="C4" s="3117" t="s">
        <v>4938</v>
      </c>
      <c r="D4" s="3117"/>
      <c r="E4" s="3117"/>
      <c r="F4" s="3117"/>
      <c r="G4" s="3117"/>
      <c r="H4" s="3117"/>
      <c r="I4" s="3117"/>
      <c r="J4" s="3117"/>
      <c r="K4" s="3117"/>
      <c r="L4" s="3117"/>
      <c r="M4" s="3117"/>
      <c r="N4" s="3117"/>
      <c r="O4" s="3117"/>
      <c r="P4" s="3117"/>
    </row>
    <row r="5" spans="1:16" s="1032" customFormat="1" ht="19.5" x14ac:dyDescent="0.4">
      <c r="A5" s="3135" t="s">
        <v>43</v>
      </c>
      <c r="B5" s="3135"/>
      <c r="C5" s="3135" t="s">
        <v>4940</v>
      </c>
      <c r="D5" s="3135"/>
      <c r="E5" s="3135"/>
      <c r="F5" s="3135"/>
      <c r="G5" s="3135"/>
      <c r="H5" s="3135"/>
      <c r="I5" s="3135"/>
      <c r="J5" s="3135"/>
      <c r="K5" s="3135"/>
      <c r="L5" s="3135"/>
      <c r="M5" s="3135"/>
      <c r="N5" s="3135"/>
      <c r="O5" s="3135"/>
      <c r="P5" s="3135"/>
    </row>
    <row r="6" spans="1:16" s="1032" customFormat="1" ht="37.15" customHeight="1" x14ac:dyDescent="0.4">
      <c r="A6" s="1500" t="s">
        <v>132</v>
      </c>
      <c r="B6" s="1500"/>
      <c r="C6" s="3117" t="s">
        <v>5137</v>
      </c>
      <c r="D6" s="3135"/>
      <c r="E6" s="3135"/>
      <c r="F6" s="3135"/>
      <c r="G6" s="3135"/>
      <c r="H6" s="3135"/>
      <c r="I6" s="3135"/>
      <c r="J6" s="3135"/>
      <c r="K6" s="3135"/>
      <c r="L6" s="3135"/>
      <c r="M6" s="3135"/>
      <c r="N6" s="3135"/>
      <c r="O6" s="3135"/>
      <c r="P6" s="3135"/>
    </row>
    <row r="7" spans="1:16" s="1032" customFormat="1" ht="19.5" x14ac:dyDescent="0.4">
      <c r="A7" s="1084"/>
      <c r="C7" s="1061"/>
    </row>
    <row r="8" spans="1:16" s="1032" customFormat="1" ht="19.5" x14ac:dyDescent="0.4">
      <c r="A8" s="1084"/>
      <c r="C8" s="1061"/>
    </row>
    <row r="9" spans="1:16" s="1032" customFormat="1" ht="21" customHeight="1" x14ac:dyDescent="0.4">
      <c r="A9" s="1084"/>
      <c r="C9" s="138" t="s">
        <v>5138</v>
      </c>
      <c r="D9" s="138"/>
      <c r="E9" s="138"/>
      <c r="F9" s="138"/>
      <c r="G9" s="138"/>
      <c r="H9" s="138"/>
      <c r="I9" s="138"/>
      <c r="J9" s="138"/>
      <c r="K9" s="138"/>
      <c r="L9" s="138"/>
      <c r="M9" s="138"/>
      <c r="N9" s="138"/>
      <c r="O9" s="138"/>
      <c r="P9" s="138"/>
    </row>
    <row r="10" spans="1:16" ht="11.45" customHeight="1" x14ac:dyDescent="0.4">
      <c r="A10" s="536"/>
      <c r="C10" s="226"/>
      <c r="D10" s="226"/>
      <c r="E10" s="226"/>
      <c r="F10" s="226"/>
      <c r="G10" s="226"/>
      <c r="H10" s="226"/>
      <c r="I10" s="226"/>
      <c r="J10" s="226"/>
      <c r="K10" s="226"/>
      <c r="L10" s="226"/>
      <c r="M10" s="226"/>
      <c r="N10" s="226"/>
      <c r="O10" s="226"/>
      <c r="P10" s="226"/>
    </row>
    <row r="11" spans="1:16" s="232" customFormat="1" ht="58.5" customHeight="1" x14ac:dyDescent="0.25">
      <c r="C11" s="1442" t="s">
        <v>46</v>
      </c>
      <c r="D11" s="1442" t="s">
        <v>5139</v>
      </c>
      <c r="E11" s="1442" t="s">
        <v>5140</v>
      </c>
      <c r="F11" s="1442" t="s">
        <v>5141</v>
      </c>
      <c r="G11" s="1442" t="s">
        <v>5142</v>
      </c>
      <c r="H11" s="1442" t="s">
        <v>5143</v>
      </c>
      <c r="I11" s="1442" t="s">
        <v>5144</v>
      </c>
      <c r="J11" s="1442" t="s">
        <v>5145</v>
      </c>
      <c r="K11" s="1442" t="s">
        <v>5146</v>
      </c>
      <c r="L11" s="1442" t="s">
        <v>5147</v>
      </c>
      <c r="M11" s="1442" t="s">
        <v>5148</v>
      </c>
      <c r="N11" s="1442" t="s">
        <v>5149</v>
      </c>
      <c r="O11" s="1442" t="s">
        <v>5150</v>
      </c>
      <c r="P11" s="1442" t="s">
        <v>5151</v>
      </c>
    </row>
    <row r="12" spans="1:16" x14ac:dyDescent="0.4">
      <c r="C12" s="1501">
        <v>2011</v>
      </c>
      <c r="D12" s="1502">
        <v>1918109</v>
      </c>
      <c r="E12" s="1503">
        <v>1018189</v>
      </c>
      <c r="F12" s="1503">
        <v>119572</v>
      </c>
      <c r="G12" s="1503"/>
      <c r="H12" s="1503">
        <v>125</v>
      </c>
      <c r="I12" s="1503">
        <v>48</v>
      </c>
      <c r="J12" s="1503">
        <v>104</v>
      </c>
      <c r="K12" s="1503">
        <v>3688350</v>
      </c>
      <c r="L12" s="1504">
        <v>5.4220067785511663</v>
      </c>
      <c r="M12" s="1504">
        <v>117.43595737137211</v>
      </c>
      <c r="N12" s="1503">
        <v>49</v>
      </c>
      <c r="O12" s="1505">
        <v>1.5</v>
      </c>
      <c r="P12" s="1506">
        <v>30846.268357140467</v>
      </c>
    </row>
    <row r="13" spans="1:16" x14ac:dyDescent="0.4">
      <c r="C13" s="232">
        <v>2012</v>
      </c>
      <c r="D13" s="728">
        <v>1994166</v>
      </c>
      <c r="E13" s="1507">
        <v>1014224</v>
      </c>
      <c r="F13" s="1507">
        <v>120318</v>
      </c>
      <c r="G13" s="1507"/>
      <c r="H13" s="1507">
        <v>139</v>
      </c>
      <c r="I13" s="1507">
        <v>50</v>
      </c>
      <c r="J13" s="1507">
        <v>97</v>
      </c>
      <c r="K13" s="1507">
        <v>2042948</v>
      </c>
      <c r="L13" s="1508">
        <v>4.8641888388429049</v>
      </c>
      <c r="M13" s="1504">
        <v>118.63059836880215</v>
      </c>
      <c r="N13" s="1507">
        <v>50</v>
      </c>
      <c r="O13" s="1504">
        <v>0.8</v>
      </c>
      <c r="P13" s="1506">
        <v>16979.570804035971</v>
      </c>
    </row>
    <row r="14" spans="1:16" x14ac:dyDescent="0.4">
      <c r="C14" s="232">
        <v>2013</v>
      </c>
      <c r="D14" s="728">
        <v>2088282</v>
      </c>
      <c r="E14" s="1507">
        <v>1131916</v>
      </c>
      <c r="F14" s="1507">
        <v>116673</v>
      </c>
      <c r="G14" s="1507"/>
      <c r="H14" s="1507">
        <v>191</v>
      </c>
      <c r="I14" s="1507">
        <v>37</v>
      </c>
      <c r="J14" s="1507">
        <v>94</v>
      </c>
      <c r="K14" s="1507">
        <v>1981152</v>
      </c>
      <c r="L14" s="1508">
        <v>4.50130777356698</v>
      </c>
      <c r="M14" s="1504">
        <v>103.07566992603691</v>
      </c>
      <c r="N14" s="1507">
        <v>43</v>
      </c>
      <c r="O14" s="1504">
        <v>1</v>
      </c>
      <c r="P14" s="1506">
        <v>16980.381065027897</v>
      </c>
    </row>
    <row r="15" spans="1:16" x14ac:dyDescent="0.4">
      <c r="C15" s="232">
        <v>2014</v>
      </c>
      <c r="D15" s="728">
        <v>2059600</v>
      </c>
      <c r="E15" s="1507">
        <v>1284868</v>
      </c>
      <c r="F15" s="1507">
        <v>114003</v>
      </c>
      <c r="G15" s="1507"/>
      <c r="H15" s="1507">
        <v>177</v>
      </c>
      <c r="I15" s="1507">
        <v>34</v>
      </c>
      <c r="J15" s="1507">
        <v>75</v>
      </c>
      <c r="K15" s="1507">
        <v>2282231</v>
      </c>
      <c r="L15" s="1508">
        <v>3.6414837832588849</v>
      </c>
      <c r="M15" s="1504">
        <v>88.727402347945471</v>
      </c>
      <c r="N15" s="1507">
        <v>37</v>
      </c>
      <c r="O15" s="1504">
        <v>0.7</v>
      </c>
      <c r="P15" s="1506">
        <v>20019.043358508112</v>
      </c>
    </row>
    <row r="16" spans="1:16" x14ac:dyDescent="0.4">
      <c r="C16" s="232">
        <v>2015</v>
      </c>
      <c r="D16" s="728">
        <v>2027518</v>
      </c>
      <c r="E16" s="1507">
        <v>1298936</v>
      </c>
      <c r="F16" s="1507">
        <v>115817</v>
      </c>
      <c r="G16" s="1507"/>
      <c r="H16" s="1507">
        <v>234</v>
      </c>
      <c r="I16" s="1507">
        <v>35</v>
      </c>
      <c r="J16" s="1507">
        <v>80</v>
      </c>
      <c r="K16" s="1507">
        <v>2089221</v>
      </c>
      <c r="L16" s="1508">
        <v>3.9457109628619822</v>
      </c>
      <c r="M16" s="1504">
        <v>89.1629764668929</v>
      </c>
      <c r="N16" s="1507">
        <v>38</v>
      </c>
      <c r="O16" s="1504">
        <v>0.8</v>
      </c>
      <c r="P16" s="1506">
        <v>18038.98391427856</v>
      </c>
    </row>
    <row r="17" spans="3:17" x14ac:dyDescent="0.4">
      <c r="C17" s="232">
        <v>2016</v>
      </c>
      <c r="D17" s="728">
        <v>2063366</v>
      </c>
      <c r="E17" s="1507">
        <v>1296508</v>
      </c>
      <c r="F17" s="1507">
        <v>122275</v>
      </c>
      <c r="G17" s="1507"/>
      <c r="H17" s="1507">
        <v>377</v>
      </c>
      <c r="I17" s="1507">
        <v>42</v>
      </c>
      <c r="J17" s="1507">
        <v>126</v>
      </c>
      <c r="K17" s="1507">
        <v>2147152</v>
      </c>
      <c r="L17" s="1508">
        <v>6.10652690797464</v>
      </c>
      <c r="M17" s="1504">
        <v>94.311026233544254</v>
      </c>
      <c r="N17" s="1507">
        <v>40</v>
      </c>
      <c r="O17" s="1504">
        <v>0.7</v>
      </c>
      <c r="P17" s="1506">
        <v>17560.024534859946</v>
      </c>
    </row>
    <row r="18" spans="3:17" x14ac:dyDescent="0.4">
      <c r="C18" s="232">
        <v>2017</v>
      </c>
      <c r="D18" s="728">
        <v>1995640</v>
      </c>
      <c r="E18" s="1507">
        <v>1359916</v>
      </c>
      <c r="F18" s="1507">
        <v>127904</v>
      </c>
      <c r="G18" s="1507"/>
      <c r="H18" s="1507">
        <v>786</v>
      </c>
      <c r="I18" s="1507">
        <v>52</v>
      </c>
      <c r="J18" s="1507">
        <v>103</v>
      </c>
      <c r="K18" s="1507">
        <v>2137354</v>
      </c>
      <c r="L18" s="1508">
        <v>5.1612515283317633</v>
      </c>
      <c r="M18" s="1504">
        <v>94.052867971257044</v>
      </c>
      <c r="N18" s="1507">
        <v>39</v>
      </c>
      <c r="O18" s="1504">
        <v>0.65</v>
      </c>
      <c r="P18" s="1506">
        <v>16710.611083312488</v>
      </c>
    </row>
    <row r="19" spans="3:17" x14ac:dyDescent="0.4">
      <c r="C19" s="232">
        <v>2018</v>
      </c>
      <c r="D19" s="728">
        <v>2165323</v>
      </c>
      <c r="E19" s="1507">
        <v>1436410</v>
      </c>
      <c r="F19" s="1507">
        <v>124339</v>
      </c>
      <c r="G19" s="1507"/>
      <c r="H19" s="1507">
        <v>907</v>
      </c>
      <c r="I19" s="1507">
        <v>59</v>
      </c>
      <c r="J19" s="1507">
        <v>98</v>
      </c>
      <c r="K19" s="1507">
        <v>2092691</v>
      </c>
      <c r="L19" s="1508">
        <v>4.5258836672404072</v>
      </c>
      <c r="M19" s="1504">
        <v>86.562332481673053</v>
      </c>
      <c r="N19" s="1507">
        <v>36.067638534030436</v>
      </c>
      <c r="O19" s="1504">
        <v>0.60703739415162339</v>
      </c>
      <c r="P19" s="1506">
        <v>16830.527831171235</v>
      </c>
    </row>
    <row r="20" spans="3:17" x14ac:dyDescent="0.4">
      <c r="C20" s="232">
        <v>2019</v>
      </c>
      <c r="D20" s="728">
        <v>2182818</v>
      </c>
      <c r="E20" s="1507">
        <v>1442339</v>
      </c>
      <c r="F20" s="1507">
        <v>126683</v>
      </c>
      <c r="G20" s="1507"/>
      <c r="H20" s="1507">
        <v>922</v>
      </c>
      <c r="I20" s="1507">
        <v>53</v>
      </c>
      <c r="J20" s="1507">
        <v>55</v>
      </c>
      <c r="K20" s="1507">
        <v>1931431</v>
      </c>
      <c r="L20" s="1508">
        <v>2.5196786905733783</v>
      </c>
      <c r="M20" s="1504">
        <v>87.831640134531483</v>
      </c>
      <c r="N20" s="1507">
        <v>36.596516722721447</v>
      </c>
      <c r="O20" s="1504">
        <v>0.55795684417232472</v>
      </c>
      <c r="P20" s="1506">
        <v>15246.17351973035</v>
      </c>
    </row>
    <row r="21" spans="3:17" x14ac:dyDescent="0.4">
      <c r="C21" s="232">
        <v>2021</v>
      </c>
      <c r="D21" s="728">
        <v>2103963</v>
      </c>
      <c r="E21" s="1507">
        <v>1326119</v>
      </c>
      <c r="F21" s="1507">
        <v>118770</v>
      </c>
      <c r="G21" s="1507">
        <v>5143</v>
      </c>
      <c r="H21" s="1507">
        <v>1898</v>
      </c>
      <c r="I21" s="1507">
        <v>63</v>
      </c>
      <c r="J21" s="1507">
        <v>193</v>
      </c>
      <c r="K21" s="1507">
        <v>2077121</v>
      </c>
      <c r="L21" s="1508">
        <v>9.1731651174474074</v>
      </c>
      <c r="M21" s="1504">
        <v>89.562098122415861</v>
      </c>
      <c r="N21" s="1507">
        <v>38.470697916595434</v>
      </c>
      <c r="O21" s="1504">
        <v>0.67279864045816806</v>
      </c>
      <c r="P21" s="1506">
        <v>17488.59981476804</v>
      </c>
    </row>
    <row r="22" spans="3:17" x14ac:dyDescent="0.4">
      <c r="C22" s="232">
        <v>2022</v>
      </c>
      <c r="D22" s="728">
        <v>2173061</v>
      </c>
      <c r="E22" s="1507">
        <v>1364128</v>
      </c>
      <c r="F22" s="1507">
        <v>116510</v>
      </c>
      <c r="G22" s="1507">
        <v>5408</v>
      </c>
      <c r="H22" s="1507">
        <v>2103</v>
      </c>
      <c r="I22" s="1507">
        <v>22</v>
      </c>
      <c r="J22" s="1507">
        <v>114</v>
      </c>
      <c r="K22" s="1507">
        <v>2541540</v>
      </c>
      <c r="L22" s="1508">
        <v>5.2460561392432155</v>
      </c>
      <c r="M22" s="1504">
        <f>+(F22/E22)*1000</f>
        <v>85.409873560252407</v>
      </c>
      <c r="N22" s="1507">
        <v>35.239766073780949</v>
      </c>
      <c r="O22" s="1504">
        <v>0.76871749263717482</v>
      </c>
      <c r="P22" s="1506">
        <v>21813.921551798128</v>
      </c>
    </row>
    <row r="23" spans="3:17" x14ac:dyDescent="0.4">
      <c r="C23" s="795">
        <v>2023</v>
      </c>
      <c r="D23" s="735">
        <v>2081900</v>
      </c>
      <c r="E23" s="1509">
        <v>1382332</v>
      </c>
      <c r="F23" s="1509">
        <v>121689</v>
      </c>
      <c r="G23" s="1509">
        <v>5645</v>
      </c>
      <c r="H23" s="1509">
        <v>1999</v>
      </c>
      <c r="I23" s="1509">
        <v>9</v>
      </c>
      <c r="J23" s="1509">
        <v>126</v>
      </c>
      <c r="K23" s="1509">
        <v>2962686</v>
      </c>
      <c r="L23" s="1510">
        <f>+(J23/D23)*100000</f>
        <v>6.0521638887554632</v>
      </c>
      <c r="M23" s="1511">
        <f>+(F23/E23)*1000</f>
        <v>88.031674011742467</v>
      </c>
      <c r="N23" s="1509">
        <f>(F23/Q23)*1000000</f>
        <v>143.18687679007348</v>
      </c>
      <c r="O23" s="1511">
        <f>(K23/Q23)*1000</f>
        <v>3.4860813651987912</v>
      </c>
      <c r="P23" s="1512">
        <f>(K23/F23)*1000</f>
        <v>24346.374775041295</v>
      </c>
      <c r="Q23" s="1513">
        <v>849861403</v>
      </c>
    </row>
    <row r="24" spans="3:17" x14ac:dyDescent="0.4">
      <c r="C24" s="1311" t="s">
        <v>5152</v>
      </c>
      <c r="M24" s="1514"/>
    </row>
    <row r="25" spans="3:17" x14ac:dyDescent="0.4">
      <c r="C25" s="3133" t="s">
        <v>5153</v>
      </c>
      <c r="D25" s="3133"/>
      <c r="E25" s="3133"/>
      <c r="F25" s="3133"/>
      <c r="G25" s="3133"/>
      <c r="H25" s="3133"/>
      <c r="I25" s="3133"/>
      <c r="J25" s="3133"/>
      <c r="K25" s="3133"/>
      <c r="L25" s="3133"/>
      <c r="M25" s="3133"/>
      <c r="N25" s="3133"/>
      <c r="O25" s="3133"/>
      <c r="P25" s="3133"/>
    </row>
    <row r="26" spans="3:17" x14ac:dyDescent="0.4">
      <c r="F26" s="728"/>
    </row>
    <row r="27" spans="3:17" x14ac:dyDescent="0.4">
      <c r="F27" s="728"/>
    </row>
    <row r="28" spans="3:17" x14ac:dyDescent="0.4">
      <c r="F28" s="728"/>
    </row>
    <row r="29" spans="3:17" ht="18.600000000000001" customHeight="1" x14ac:dyDescent="0.4">
      <c r="C29" s="138" t="s">
        <v>5154</v>
      </c>
      <c r="D29" s="138"/>
      <c r="E29" s="138"/>
      <c r="F29" s="138"/>
      <c r="G29" s="138"/>
      <c r="H29" s="138"/>
    </row>
    <row r="45" spans="3:15" ht="17.45" customHeight="1" x14ac:dyDescent="0.4">
      <c r="C45" s="155" t="s">
        <v>5155</v>
      </c>
      <c r="D45" s="155"/>
      <c r="E45" s="155"/>
      <c r="F45" s="155"/>
      <c r="G45" s="155"/>
      <c r="H45" s="155"/>
    </row>
    <row r="48" spans="3:15" x14ac:dyDescent="0.4">
      <c r="C48" s="470" t="s">
        <v>5156</v>
      </c>
      <c r="D48" s="470"/>
      <c r="E48" s="470"/>
      <c r="F48" s="470"/>
      <c r="G48" s="470"/>
      <c r="H48" s="470"/>
      <c r="I48" s="470"/>
      <c r="J48" s="470"/>
      <c r="K48" s="470"/>
      <c r="L48" s="470"/>
      <c r="M48" s="470"/>
      <c r="N48" s="470"/>
      <c r="O48" s="470"/>
    </row>
    <row r="49" spans="3:17" ht="75" x14ac:dyDescent="0.4">
      <c r="C49" s="1442" t="s">
        <v>5157</v>
      </c>
      <c r="D49" s="1442" t="s">
        <v>5139</v>
      </c>
      <c r="E49" s="1442" t="s">
        <v>5140</v>
      </c>
      <c r="F49" s="1442" t="s">
        <v>5141</v>
      </c>
      <c r="G49" s="1442" t="s">
        <v>5142</v>
      </c>
      <c r="H49" s="1442" t="s">
        <v>5143</v>
      </c>
      <c r="I49" s="1442" t="s">
        <v>5144</v>
      </c>
      <c r="J49" s="1442" t="s">
        <v>5145</v>
      </c>
      <c r="K49" s="1442" t="s">
        <v>5158</v>
      </c>
      <c r="L49" s="1442" t="s">
        <v>5147</v>
      </c>
      <c r="M49" s="1442" t="s">
        <v>5148</v>
      </c>
      <c r="N49" s="1442" t="s">
        <v>5149</v>
      </c>
      <c r="O49" s="1442" t="s">
        <v>5150</v>
      </c>
      <c r="P49" s="1442" t="s">
        <v>5151</v>
      </c>
      <c r="Q49" s="1442" t="s">
        <v>5159</v>
      </c>
    </row>
    <row r="50" spans="3:17" x14ac:dyDescent="0.4">
      <c r="C50" s="115" t="s">
        <v>154</v>
      </c>
      <c r="D50" s="1515">
        <v>2081900</v>
      </c>
      <c r="E50" s="1515">
        <v>1382332</v>
      </c>
      <c r="F50" s="1515">
        <v>121689</v>
      </c>
      <c r="G50" s="1515">
        <v>5645</v>
      </c>
      <c r="H50" s="1515">
        <v>1999</v>
      </c>
      <c r="I50" s="537">
        <v>9</v>
      </c>
      <c r="J50" s="1515">
        <v>126</v>
      </c>
      <c r="K50" s="1507">
        <v>2962686</v>
      </c>
      <c r="L50" s="1504">
        <f>+(J50/E50)*100000</f>
        <v>9.1150317000546899</v>
      </c>
      <c r="M50" s="1504">
        <f>+(F50/E50)*1000</f>
        <v>88.031674011742467</v>
      </c>
      <c r="N50" s="1507">
        <f>(F50/Q50)*1000000</f>
        <v>143.18687679007348</v>
      </c>
      <c r="O50" s="1504">
        <f>(K50/Q50)*1000</f>
        <v>3.4860813651987912</v>
      </c>
      <c r="P50" s="1506">
        <f>(K50/F50)*1000</f>
        <v>24346.374775041295</v>
      </c>
      <c r="Q50" s="1515">
        <v>849861403</v>
      </c>
    </row>
    <row r="51" spans="3:17" x14ac:dyDescent="0.4">
      <c r="C51" s="115" t="s">
        <v>5160</v>
      </c>
      <c r="D51" s="1515">
        <v>774666</v>
      </c>
      <c r="E51" s="1515">
        <v>529342.94399352546</v>
      </c>
      <c r="F51" s="1515">
        <v>32121</v>
      </c>
      <c r="G51" s="1515">
        <v>1984</v>
      </c>
      <c r="H51" s="1515">
        <v>325</v>
      </c>
      <c r="I51" s="537">
        <v>2</v>
      </c>
      <c r="J51" s="1515">
        <v>11</v>
      </c>
      <c r="K51" s="1507">
        <v>637141</v>
      </c>
      <c r="L51" s="1516">
        <f>+(J51/E51)*100000</f>
        <v>2.0780479129489531</v>
      </c>
      <c r="M51" s="1504">
        <f>+(F51/E51)*1000</f>
        <v>60.680888192575743</v>
      </c>
      <c r="N51" s="1507">
        <f>(F51/Q51)*1000000</f>
        <v>96.470479401098913</v>
      </c>
      <c r="O51" s="1504">
        <f>(K51/Q51)*1000</f>
        <v>1.9135549240713416</v>
      </c>
      <c r="P51" s="1506">
        <f>(K51/F51)*1000</f>
        <v>19835.652688272468</v>
      </c>
      <c r="Q51" s="1515">
        <v>332961961</v>
      </c>
    </row>
    <row r="52" spans="3:17" x14ac:dyDescent="0.4">
      <c r="C52" s="120" t="s">
        <v>5161</v>
      </c>
      <c r="D52" s="1513">
        <v>1307234</v>
      </c>
      <c r="E52" s="1513">
        <v>852989.05600647454</v>
      </c>
      <c r="F52" s="1513">
        <v>89568</v>
      </c>
      <c r="G52" s="1513">
        <v>3661</v>
      </c>
      <c r="H52" s="1513">
        <v>1674</v>
      </c>
      <c r="I52" s="1497">
        <v>7</v>
      </c>
      <c r="J52" s="1513">
        <v>115</v>
      </c>
      <c r="K52" s="1509">
        <v>2325545</v>
      </c>
      <c r="L52" s="1517">
        <f>+(J52/E52)*100000</f>
        <v>13.482001813529376</v>
      </c>
      <c r="M52" s="1511">
        <f>+(F52/E52)*1000</f>
        <v>105.00486421166949</v>
      </c>
      <c r="N52" s="1509">
        <f>(F52/Q52)*1000000</f>
        <v>173.27935130562591</v>
      </c>
      <c r="O52" s="1511">
        <f>(K52/Q52)*1000</f>
        <v>4.4990278786178299</v>
      </c>
      <c r="P52" s="1512">
        <f>(K52/F52)*1000</f>
        <v>25964.016166488032</v>
      </c>
      <c r="Q52" s="1513">
        <v>516899442</v>
      </c>
    </row>
    <row r="53" spans="3:17" x14ac:dyDescent="0.4">
      <c r="C53" s="3133" t="s">
        <v>5153</v>
      </c>
      <c r="D53" s="3133"/>
      <c r="E53" s="3133"/>
      <c r="F53" s="3133"/>
      <c r="G53" s="3133"/>
      <c r="H53" s="3133"/>
      <c r="I53" s="3133"/>
      <c r="J53" s="3133"/>
      <c r="K53" s="3133"/>
      <c r="L53" s="3133"/>
      <c r="M53" s="3133"/>
      <c r="N53" s="3133"/>
      <c r="O53" s="3133"/>
      <c r="P53" s="3133"/>
    </row>
    <row r="56" spans="3:17" x14ac:dyDescent="0.4">
      <c r="C56" s="3171" t="s">
        <v>5162</v>
      </c>
      <c r="D56" s="3171"/>
      <c r="E56" s="3171"/>
      <c r="F56" s="3171"/>
      <c r="G56" s="3171"/>
      <c r="H56" s="3171"/>
      <c r="I56" s="3171"/>
      <c r="J56" s="3171"/>
      <c r="K56" s="3171"/>
      <c r="L56" s="3171"/>
      <c r="M56" s="3171"/>
      <c r="N56" s="3171"/>
      <c r="O56" s="3171"/>
      <c r="P56" s="3171"/>
    </row>
    <row r="57" spans="3:17" ht="75" x14ac:dyDescent="0.4">
      <c r="C57" s="1442" t="s">
        <v>5157</v>
      </c>
      <c r="D57" s="1442" t="s">
        <v>5139</v>
      </c>
      <c r="E57" s="1442" t="s">
        <v>5140</v>
      </c>
      <c r="F57" s="1442" t="s">
        <v>5141</v>
      </c>
      <c r="G57" s="1442" t="s">
        <v>5142</v>
      </c>
      <c r="H57" s="1442" t="s">
        <v>5143</v>
      </c>
      <c r="I57" s="1442" t="s">
        <v>5144</v>
      </c>
      <c r="J57" s="1442" t="s">
        <v>5145</v>
      </c>
      <c r="K57" s="1442" t="s">
        <v>5158</v>
      </c>
      <c r="L57" s="1442" t="s">
        <v>5147</v>
      </c>
      <c r="M57" s="1442" t="s">
        <v>5148</v>
      </c>
      <c r="N57" s="1442" t="s">
        <v>5149</v>
      </c>
      <c r="O57" s="1442" t="s">
        <v>5150</v>
      </c>
      <c r="P57" s="1442" t="s">
        <v>5151</v>
      </c>
    </row>
    <row r="58" spans="3:17" x14ac:dyDescent="0.4">
      <c r="C58" s="115" t="s">
        <v>154</v>
      </c>
      <c r="D58" s="1515">
        <v>2173061</v>
      </c>
      <c r="E58" s="1515">
        <v>1364128</v>
      </c>
      <c r="F58" s="1515">
        <v>116510</v>
      </c>
      <c r="G58" s="1515">
        <v>5408</v>
      </c>
      <c r="H58" s="1515">
        <v>2103</v>
      </c>
      <c r="I58" s="537">
        <v>22</v>
      </c>
      <c r="J58" s="1515">
        <v>114</v>
      </c>
      <c r="K58" s="1507">
        <v>2541540</v>
      </c>
      <c r="L58" s="1504">
        <v>5.2460561392432155</v>
      </c>
      <c r="M58" s="1504">
        <v>85.409873560252407</v>
      </c>
      <c r="N58" s="1507">
        <v>35.239766073780949</v>
      </c>
      <c r="O58" s="1504">
        <v>0.76871749263717482</v>
      </c>
      <c r="P58" s="1506">
        <v>21813.921551798128</v>
      </c>
    </row>
    <row r="59" spans="3:17" x14ac:dyDescent="0.4">
      <c r="C59" s="115" t="s">
        <v>5161</v>
      </c>
      <c r="D59" s="1515">
        <v>1340440</v>
      </c>
      <c r="E59" s="1515">
        <v>841756</v>
      </c>
      <c r="F59" s="1515">
        <v>85801</v>
      </c>
      <c r="G59" s="1515">
        <v>3552</v>
      </c>
      <c r="H59" s="1515">
        <v>1767</v>
      </c>
      <c r="I59" s="537">
        <v>19</v>
      </c>
      <c r="J59" s="1515">
        <v>109</v>
      </c>
      <c r="K59" s="1507">
        <v>2008786</v>
      </c>
      <c r="L59" s="1504">
        <v>8.1316582614663844</v>
      </c>
      <c r="M59" s="1504">
        <v>101.93096336705648</v>
      </c>
      <c r="N59" s="1507">
        <v>42.830813281681998</v>
      </c>
      <c r="O59" s="1504">
        <v>1.0027614840020145</v>
      </c>
      <c r="P59" s="1506">
        <v>23412.151373527118</v>
      </c>
    </row>
    <row r="60" spans="3:17" x14ac:dyDescent="0.4">
      <c r="C60" s="120" t="s">
        <v>5160</v>
      </c>
      <c r="D60" s="1513">
        <v>832621</v>
      </c>
      <c r="E60" s="1513">
        <v>522372</v>
      </c>
      <c r="F60" s="1513">
        <v>30709</v>
      </c>
      <c r="G60" s="1513">
        <v>1856</v>
      </c>
      <c r="H60" s="1513">
        <v>336</v>
      </c>
      <c r="I60" s="1497">
        <v>3</v>
      </c>
      <c r="J60" s="1513">
        <v>5</v>
      </c>
      <c r="K60" s="1509">
        <v>532754</v>
      </c>
      <c r="L60" s="1511">
        <v>0.60051331878489733</v>
      </c>
      <c r="M60" s="1511">
        <v>58.787607299012969</v>
      </c>
      <c r="N60" s="1509">
        <v>23.568751276603919</v>
      </c>
      <c r="O60" s="1511">
        <v>0.40888164764778551</v>
      </c>
      <c r="P60" s="1512">
        <v>17348.464619492657</v>
      </c>
    </row>
    <row r="61" spans="3:17" x14ac:dyDescent="0.4">
      <c r="C61" s="115" t="s">
        <v>5163</v>
      </c>
    </row>
    <row r="63" spans="3:17" x14ac:dyDescent="0.4">
      <c r="C63" s="3171" t="s">
        <v>5164</v>
      </c>
      <c r="D63" s="3171"/>
      <c r="E63" s="3171"/>
      <c r="F63" s="3171"/>
      <c r="G63" s="3171"/>
      <c r="H63" s="3171"/>
      <c r="I63" s="3171"/>
      <c r="J63" s="3171"/>
      <c r="K63" s="3171"/>
      <c r="L63" s="3171"/>
      <c r="M63" s="3171"/>
      <c r="N63" s="3171"/>
      <c r="O63" s="3171"/>
      <c r="P63" s="3171"/>
    </row>
    <row r="64" spans="3:17" ht="75" x14ac:dyDescent="0.4">
      <c r="C64" s="1442" t="s">
        <v>5157</v>
      </c>
      <c r="D64" s="1442" t="s">
        <v>5139</v>
      </c>
      <c r="E64" s="1442" t="s">
        <v>5140</v>
      </c>
      <c r="F64" s="1442" t="s">
        <v>5141</v>
      </c>
      <c r="G64" s="1442" t="s">
        <v>5142</v>
      </c>
      <c r="H64" s="1442" t="s">
        <v>5143</v>
      </c>
      <c r="I64" s="1442" t="s">
        <v>5144</v>
      </c>
      <c r="J64" s="1442" t="s">
        <v>5145</v>
      </c>
      <c r="K64" s="1442" t="s">
        <v>5158</v>
      </c>
      <c r="L64" s="1442" t="s">
        <v>5147</v>
      </c>
      <c r="M64" s="1442" t="s">
        <v>5148</v>
      </c>
      <c r="N64" s="1442" t="s">
        <v>5149</v>
      </c>
      <c r="O64" s="1442" t="s">
        <v>5150</v>
      </c>
      <c r="P64" s="1442" t="s">
        <v>5151</v>
      </c>
    </row>
    <row r="65" spans="3:16" x14ac:dyDescent="0.4">
      <c r="C65" s="115" t="s">
        <v>154</v>
      </c>
      <c r="D65" s="1515">
        <v>2103963</v>
      </c>
      <c r="E65" s="1515">
        <v>1326119</v>
      </c>
      <c r="F65" s="1515">
        <v>118770</v>
      </c>
      <c r="G65" s="1515">
        <v>5143</v>
      </c>
      <c r="H65" s="1515">
        <v>1898</v>
      </c>
      <c r="I65" s="537">
        <v>63</v>
      </c>
      <c r="J65" s="1515">
        <v>193</v>
      </c>
      <c r="K65" s="1507">
        <v>2077121</v>
      </c>
      <c r="L65" s="1504">
        <v>9.1731651174474074</v>
      </c>
      <c r="M65" s="1504">
        <v>89.562098122415861</v>
      </c>
      <c r="N65" s="1507">
        <v>38.470697916595434</v>
      </c>
      <c r="O65" s="1504">
        <v>0.67279864045816806</v>
      </c>
      <c r="P65" s="1506">
        <v>17488.59981476804</v>
      </c>
    </row>
    <row r="66" spans="3:16" x14ac:dyDescent="0.4">
      <c r="C66" s="115" t="s">
        <v>5161</v>
      </c>
      <c r="D66" s="1515">
        <v>1298732</v>
      </c>
      <c r="E66" s="1515">
        <v>811237</v>
      </c>
      <c r="F66" s="1515">
        <v>88620</v>
      </c>
      <c r="G66" s="1515">
        <v>3458</v>
      </c>
      <c r="H66" s="1515">
        <v>1629</v>
      </c>
      <c r="I66" s="537">
        <v>60</v>
      </c>
      <c r="J66" s="1515">
        <v>177</v>
      </c>
      <c r="K66" s="1507">
        <v>1667431</v>
      </c>
      <c r="L66" s="1504">
        <v>13.62867781805638</v>
      </c>
      <c r="M66" s="1504">
        <v>109.24057951005686</v>
      </c>
      <c r="N66" s="1507">
        <v>47.277980313105424</v>
      </c>
      <c r="O66" s="1504">
        <v>0.88955958013384895</v>
      </c>
      <c r="P66" s="1506">
        <v>18815.515684946968</v>
      </c>
    </row>
    <row r="67" spans="3:16" x14ac:dyDescent="0.4">
      <c r="C67" s="120" t="s">
        <v>5160</v>
      </c>
      <c r="D67" s="1513">
        <v>805231</v>
      </c>
      <c r="E67" s="1513">
        <v>514882</v>
      </c>
      <c r="F67" s="1513">
        <v>30150</v>
      </c>
      <c r="G67" s="1513">
        <v>1685</v>
      </c>
      <c r="H67" s="1513">
        <v>269</v>
      </c>
      <c r="I67" s="1497">
        <v>3</v>
      </c>
      <c r="J67" s="1513">
        <v>16</v>
      </c>
      <c r="K67" s="1509">
        <v>409690</v>
      </c>
      <c r="L67" s="1511">
        <v>1.9870074550035952</v>
      </c>
      <c r="M67" s="1511">
        <v>58.557106288431136</v>
      </c>
      <c r="N67" s="1509">
        <v>24.859024554204268</v>
      </c>
      <c r="O67" s="1511">
        <v>0.3377941548793349</v>
      </c>
      <c r="P67" s="1512">
        <v>13588.391376451078</v>
      </c>
    </row>
    <row r="68" spans="3:16" x14ac:dyDescent="0.4">
      <c r="C68" s="115" t="s">
        <v>5165</v>
      </c>
    </row>
    <row r="70" spans="3:16" ht="17.45" customHeight="1" x14ac:dyDescent="0.4">
      <c r="C70" s="470" t="s">
        <v>5166</v>
      </c>
      <c r="D70" s="470"/>
      <c r="E70" s="470"/>
      <c r="F70" s="470"/>
      <c r="G70" s="470"/>
      <c r="H70" s="470"/>
      <c r="I70" s="470"/>
      <c r="J70" s="470"/>
      <c r="K70" s="470"/>
      <c r="L70" s="470"/>
      <c r="M70" s="470"/>
      <c r="N70" s="470"/>
      <c r="O70" s="470"/>
    </row>
    <row r="71" spans="3:16" ht="93.75" x14ac:dyDescent="0.4">
      <c r="C71" s="1442"/>
      <c r="D71" s="1442" t="s">
        <v>5140</v>
      </c>
      <c r="E71" s="1442" t="s">
        <v>5141</v>
      </c>
      <c r="F71" s="1442" t="s">
        <v>5142</v>
      </c>
      <c r="G71" s="1442" t="s">
        <v>5143</v>
      </c>
      <c r="H71" s="1442" t="s">
        <v>5144</v>
      </c>
      <c r="I71" s="1442" t="s">
        <v>5145</v>
      </c>
      <c r="J71" s="1442" t="s">
        <v>5158</v>
      </c>
      <c r="K71" s="1442" t="s">
        <v>5147</v>
      </c>
      <c r="L71" s="1442" t="s">
        <v>5148</v>
      </c>
      <c r="M71" s="1442" t="s">
        <v>5149</v>
      </c>
      <c r="N71" s="1442" t="s">
        <v>5150</v>
      </c>
      <c r="O71" s="1442" t="s">
        <v>5151</v>
      </c>
      <c r="P71" s="1442" t="s">
        <v>5159</v>
      </c>
    </row>
    <row r="72" spans="3:16" x14ac:dyDescent="0.4">
      <c r="C72" s="115" t="s">
        <v>154</v>
      </c>
      <c r="D72" s="1515">
        <v>1237947</v>
      </c>
      <c r="E72" s="1515">
        <v>108040</v>
      </c>
      <c r="F72" s="1515">
        <v>2272</v>
      </c>
      <c r="G72" s="1515">
        <v>397</v>
      </c>
      <c r="H72" s="537">
        <v>41</v>
      </c>
      <c r="I72" s="1515">
        <v>106</v>
      </c>
      <c r="J72" s="1507">
        <v>1667644</v>
      </c>
      <c r="K72" s="1504"/>
      <c r="L72" s="1504">
        <f>(E72/D72)*1000</f>
        <v>87.273526249508265</v>
      </c>
      <c r="M72" s="1507">
        <f>(E72/P72)*1000000</f>
        <v>36.763417925221844</v>
      </c>
      <c r="N72" s="1504">
        <f>(J72/P72)*1000</f>
        <v>0.56745921253691833</v>
      </c>
      <c r="O72" s="1506">
        <f>(J72/E72)*1000</f>
        <v>15435.431321732691</v>
      </c>
      <c r="P72" s="1515">
        <v>2938790953</v>
      </c>
    </row>
    <row r="73" spans="3:16" x14ac:dyDescent="0.4">
      <c r="C73" s="115" t="s">
        <v>5160</v>
      </c>
      <c r="D73" s="1515">
        <v>470046</v>
      </c>
      <c r="E73" s="1515">
        <v>25992</v>
      </c>
      <c r="F73" s="1515">
        <v>1504</v>
      </c>
      <c r="G73" s="1515">
        <v>62</v>
      </c>
      <c r="H73" s="537">
        <v>1</v>
      </c>
      <c r="I73" s="1515">
        <v>14</v>
      </c>
      <c r="J73" s="1507">
        <v>321712</v>
      </c>
      <c r="K73" s="1516"/>
      <c r="L73" s="1504">
        <f>(E73/D73)*1000</f>
        <v>55.296715640596879</v>
      </c>
      <c r="M73" s="1507">
        <f>(E73/P73)*1000000</f>
        <v>22.712929585959774</v>
      </c>
      <c r="N73" s="1504">
        <f>(J73/P73)*1000</f>
        <v>0.28112580805472032</v>
      </c>
      <c r="O73" s="1506">
        <f>(J73/E73)*1000</f>
        <v>12377.346875961834</v>
      </c>
      <c r="P73" s="1515">
        <v>1144370210</v>
      </c>
    </row>
    <row r="74" spans="3:16" x14ac:dyDescent="0.4">
      <c r="C74" s="120" t="s">
        <v>5161</v>
      </c>
      <c r="D74" s="1513">
        <v>767901</v>
      </c>
      <c r="E74" s="1513">
        <v>82048</v>
      </c>
      <c r="F74" s="1513">
        <v>768</v>
      </c>
      <c r="G74" s="1513">
        <v>335</v>
      </c>
      <c r="H74" s="1497">
        <v>40</v>
      </c>
      <c r="I74" s="1513">
        <v>92</v>
      </c>
      <c r="J74" s="1509">
        <v>1345932</v>
      </c>
      <c r="K74" s="1517"/>
      <c r="L74" s="1511">
        <f>(E74/D74)*1000</f>
        <v>106.84710659316761</v>
      </c>
      <c r="M74" s="1509">
        <f>(E74/P74)*1000000</f>
        <v>45.723947585909066</v>
      </c>
      <c r="N74" s="1511">
        <f>(J74/P74)*1000</f>
        <v>0.75006489155369738</v>
      </c>
      <c r="O74" s="1512">
        <f>(J74/E74)*1000</f>
        <v>16404.202418096724</v>
      </c>
      <c r="P74" s="1513">
        <v>1794420743</v>
      </c>
    </row>
    <row r="75" spans="3:16" x14ac:dyDescent="0.4">
      <c r="C75" s="3133" t="s">
        <v>5167</v>
      </c>
      <c r="D75" s="3133"/>
      <c r="E75" s="3133"/>
      <c r="F75" s="3133"/>
      <c r="G75" s="3133"/>
      <c r="H75" s="3133"/>
      <c r="I75" s="3133"/>
      <c r="J75" s="3133"/>
      <c r="K75" s="3133"/>
      <c r="L75" s="3133"/>
      <c r="M75" s="3133"/>
      <c r="N75" s="3133"/>
      <c r="O75" s="3133"/>
      <c r="P75" s="3133"/>
    </row>
  </sheetData>
  <mergeCells count="13">
    <mergeCell ref="C75:P75"/>
    <mergeCell ref="C1:D1"/>
    <mergeCell ref="A3:B3"/>
    <mergeCell ref="C3:P3"/>
    <mergeCell ref="A4:B4"/>
    <mergeCell ref="C4:P4"/>
    <mergeCell ref="A5:B5"/>
    <mergeCell ref="C5:P5"/>
    <mergeCell ref="C6:P6"/>
    <mergeCell ref="C25:P25"/>
    <mergeCell ref="C53:P53"/>
    <mergeCell ref="C56:P56"/>
    <mergeCell ref="C63:P63"/>
  </mergeCells>
  <hyperlinks>
    <hyperlink ref="A1" location="'ODS 8.'!A1" display="REGRESAR" xr:uid="{2B17C4C2-BC4F-44D5-9D09-D357FC07B844}"/>
    <hyperlink ref="C1:D1" location="'Metadato 8.8.1'!A1" display="VER METADATO" xr:uid="{C741775A-C752-4A2B-AD31-0733597453B7}"/>
    <hyperlink ref="C24" r:id="rId1" xr:uid="{F6A3A1CF-274A-44F5-A19B-753B273E7779}"/>
  </hyperlinks>
  <pageMargins left="0.7" right="0.7" top="0.75" bottom="0.75" header="0.3" footer="0.3"/>
  <pageSetup orientation="portrait" r:id="rId2"/>
  <drawing r:id="rId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03EB-5E95-40D2-9329-82964370A8C3}">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7" width="2" style="243" customWidth="1"/>
    <col min="8"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ht="37.5" x14ac:dyDescent="0.25">
      <c r="A4" s="1079"/>
      <c r="B4" s="2445" t="s">
        <v>234</v>
      </c>
      <c r="C4" s="2445"/>
      <c r="D4" s="49" t="s">
        <v>4975</v>
      </c>
    </row>
    <row r="5" spans="1:6" ht="48" customHeight="1" x14ac:dyDescent="0.25">
      <c r="B5" s="2445" t="s">
        <v>79</v>
      </c>
      <c r="C5" s="2445"/>
      <c r="D5" s="49" t="s">
        <v>4938</v>
      </c>
    </row>
    <row r="6" spans="1:6" ht="16.5" customHeight="1" x14ac:dyDescent="0.25">
      <c r="B6" s="2445" t="s">
        <v>80</v>
      </c>
      <c r="C6" s="2445"/>
      <c r="D6" s="50" t="s">
        <v>4939</v>
      </c>
    </row>
    <row r="7" spans="1:6" ht="37.5" x14ac:dyDescent="0.25">
      <c r="B7" s="2446" t="s">
        <v>81</v>
      </c>
      <c r="C7" s="2446"/>
      <c r="D7" s="93" t="s">
        <v>4940</v>
      </c>
    </row>
    <row r="8" spans="1:6" x14ac:dyDescent="0.25">
      <c r="B8" s="2474" t="s">
        <v>82</v>
      </c>
      <c r="C8" s="2474"/>
      <c r="D8" s="1047" t="s">
        <v>5168</v>
      </c>
    </row>
    <row r="9" spans="1:6" x14ac:dyDescent="0.4">
      <c r="B9" s="115"/>
      <c r="C9" s="115"/>
      <c r="D9" s="115"/>
    </row>
    <row r="10" spans="1:6" ht="23.25" customHeight="1" x14ac:dyDescent="0.25">
      <c r="B10" s="3119" t="s">
        <v>85</v>
      </c>
      <c r="C10" s="3119"/>
      <c r="D10" s="3119"/>
    </row>
    <row r="11" spans="1:6" ht="15" customHeight="1" x14ac:dyDescent="0.25">
      <c r="B11" s="2487" t="s">
        <v>86</v>
      </c>
      <c r="C11" s="2456"/>
      <c r="D11" s="49" t="s">
        <v>167</v>
      </c>
    </row>
    <row r="12" spans="1:6" ht="15" customHeight="1" x14ac:dyDescent="0.25">
      <c r="B12" s="2446" t="s">
        <v>88</v>
      </c>
      <c r="C12" s="2446"/>
      <c r="D12" s="184" t="s">
        <v>5169</v>
      </c>
    </row>
    <row r="13" spans="1:6" ht="15" customHeight="1" x14ac:dyDescent="0.25">
      <c r="B13" s="2445" t="s">
        <v>90</v>
      </c>
      <c r="C13" s="2445"/>
      <c r="D13" s="54" t="s">
        <v>4939</v>
      </c>
    </row>
    <row r="14" spans="1:6" ht="15" customHeight="1" x14ac:dyDescent="0.25">
      <c r="B14" s="2445" t="s">
        <v>91</v>
      </c>
      <c r="C14" s="2456"/>
      <c r="D14" s="54" t="s">
        <v>214</v>
      </c>
    </row>
    <row r="15" spans="1:6" ht="300" customHeight="1" x14ac:dyDescent="0.25">
      <c r="B15" s="2449" t="s">
        <v>93</v>
      </c>
      <c r="C15" s="2450"/>
      <c r="D15" s="2559" t="s">
        <v>5170</v>
      </c>
    </row>
    <row r="16" spans="1:6" ht="180.75" customHeight="1" x14ac:dyDescent="0.25">
      <c r="B16" s="2469"/>
      <c r="C16" s="2470"/>
      <c r="D16" s="2560"/>
    </row>
    <row r="17" spans="1:4" ht="177.75" customHeight="1" x14ac:dyDescent="0.25">
      <c r="B17" s="2445" t="s">
        <v>95</v>
      </c>
      <c r="C17" s="2445"/>
      <c r="D17" s="49"/>
    </row>
    <row r="18" spans="1:4" ht="19.5" customHeight="1" x14ac:dyDescent="0.25">
      <c r="B18" s="2445" t="s">
        <v>97</v>
      </c>
      <c r="C18" s="2445"/>
      <c r="D18" s="55" t="s">
        <v>258</v>
      </c>
    </row>
    <row r="19" spans="1:4" ht="150" x14ac:dyDescent="0.25">
      <c r="B19" s="2446" t="s">
        <v>99</v>
      </c>
      <c r="C19" s="2446"/>
      <c r="D19" s="49" t="s">
        <v>5171</v>
      </c>
    </row>
    <row r="20" spans="1:4" ht="356.25" x14ac:dyDescent="0.25">
      <c r="B20" s="2457" t="s">
        <v>100</v>
      </c>
      <c r="C20" s="2458"/>
      <c r="D20" s="55" t="s">
        <v>5172</v>
      </c>
    </row>
    <row r="21" spans="1:4" ht="15" customHeight="1" x14ac:dyDescent="0.25">
      <c r="B21" s="2445" t="s">
        <v>102</v>
      </c>
      <c r="C21" s="2445"/>
      <c r="D21" s="49" t="s">
        <v>140</v>
      </c>
    </row>
    <row r="22" spans="1:4" ht="15" customHeight="1" x14ac:dyDescent="0.25">
      <c r="B22" s="2451" t="s">
        <v>104</v>
      </c>
      <c r="C22" s="95" t="s">
        <v>105</v>
      </c>
      <c r="D22" s="49"/>
    </row>
    <row r="23" spans="1:4" ht="15" customHeight="1" x14ac:dyDescent="0.25">
      <c r="B23" s="2452"/>
      <c r="C23" s="96" t="s">
        <v>107</v>
      </c>
      <c r="D23" s="55"/>
    </row>
    <row r="24" spans="1:4" ht="15" customHeight="1" x14ac:dyDescent="0.25">
      <c r="B24" s="2445" t="s">
        <v>109</v>
      </c>
      <c r="C24" s="2445"/>
      <c r="D24" s="49"/>
    </row>
    <row r="25" spans="1:4" ht="37.5" x14ac:dyDescent="0.25">
      <c r="B25" s="2445" t="s">
        <v>111</v>
      </c>
      <c r="C25" s="2445"/>
      <c r="D25" s="49" t="s">
        <v>5173</v>
      </c>
    </row>
    <row r="26" spans="1:4" ht="15" customHeight="1" x14ac:dyDescent="0.25">
      <c r="B26" s="2445" t="s">
        <v>113</v>
      </c>
      <c r="C26" s="2445"/>
      <c r="D26" s="55" t="s">
        <v>1701</v>
      </c>
    </row>
    <row r="27" spans="1:4" ht="34.5" customHeight="1" x14ac:dyDescent="0.25">
      <c r="B27" s="2446" t="s">
        <v>115</v>
      </c>
      <c r="C27" s="2446"/>
      <c r="D27" s="49" t="s">
        <v>5174</v>
      </c>
    </row>
    <row r="28" spans="1:4" ht="15" customHeight="1" x14ac:dyDescent="0.25">
      <c r="B28" s="2447" t="s">
        <v>117</v>
      </c>
      <c r="C28" s="2448"/>
      <c r="D28" s="49"/>
    </row>
    <row r="29" spans="1:4" ht="112.5" customHeight="1" x14ac:dyDescent="0.25">
      <c r="B29" s="97" t="s">
        <v>118</v>
      </c>
      <c r="C29" s="98"/>
      <c r="D29" s="55" t="s">
        <v>5175</v>
      </c>
    </row>
    <row r="30" spans="1:4" ht="47.25" customHeight="1" x14ac:dyDescent="0.25">
      <c r="B30" s="2449" t="s">
        <v>120</v>
      </c>
      <c r="C30" s="2450"/>
      <c r="D30" s="62" t="s">
        <v>5176</v>
      </c>
    </row>
    <row r="31" spans="1:4" x14ac:dyDescent="0.25">
      <c r="B31" s="63"/>
      <c r="C31" s="63"/>
      <c r="D31" s="64"/>
    </row>
    <row r="32" spans="1:4" ht="23.25" customHeight="1" x14ac:dyDescent="0.25">
      <c r="A32" s="1518"/>
      <c r="B32" s="3119" t="s">
        <v>121</v>
      </c>
      <c r="C32" s="3119"/>
      <c r="D32" s="3119"/>
    </row>
    <row r="33" spans="2:4" x14ac:dyDescent="0.25">
      <c r="B33" s="2447" t="s">
        <v>122</v>
      </c>
      <c r="C33" s="2448"/>
      <c r="D33" s="55" t="s">
        <v>5177</v>
      </c>
    </row>
    <row r="34" spans="2:4" x14ac:dyDescent="0.25">
      <c r="B34" s="2447" t="s">
        <v>124</v>
      </c>
      <c r="C34" s="2448"/>
      <c r="D34" s="55" t="s">
        <v>5178</v>
      </c>
    </row>
    <row r="35" spans="2:4" x14ac:dyDescent="0.25">
      <c r="B35" s="2447" t="s">
        <v>126</v>
      </c>
      <c r="C35" s="2448"/>
      <c r="D35" s="55" t="s">
        <v>5179</v>
      </c>
    </row>
    <row r="36" spans="2:4" x14ac:dyDescent="0.25">
      <c r="B36" s="2447" t="s">
        <v>128</v>
      </c>
      <c r="C36" s="2448"/>
      <c r="D36" s="55" t="s">
        <v>5180</v>
      </c>
    </row>
    <row r="37" spans="2:4" x14ac:dyDescent="0.25">
      <c r="B37" s="2447" t="s">
        <v>130</v>
      </c>
      <c r="C37" s="2448"/>
      <c r="D37" s="1519" t="s">
        <v>5181</v>
      </c>
    </row>
  </sheetData>
  <mergeCells count="31">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D91BCDAF-83CC-4F62-825F-3B56E73B0677}">
      <formula1>Tipo_operación</formula1>
    </dataValidation>
    <dataValidation type="list" allowBlank="1" showInputMessage="1" showErrorMessage="1" sqref="D14" xr:uid="{63FBE1EB-F713-4269-8AAD-757A3AB29F3F}">
      <formula1>Tipo_indicador</formula1>
    </dataValidation>
    <dataValidation type="list" allowBlank="1" showInputMessage="1" showErrorMessage="1" sqref="D7" xr:uid="{63499DBC-267F-44B4-A178-A6C29EA3333F}">
      <formula1>Nombre_indicador_ODS</formula1>
    </dataValidation>
    <dataValidation type="list" allowBlank="1" showInputMessage="1" showErrorMessage="1" sqref="D6" xr:uid="{81D8C1FE-6815-4AA7-BF16-287ED378A340}">
      <formula1>Numero_indicador</formula1>
    </dataValidation>
    <dataValidation type="list" allowBlank="1" showInputMessage="1" showErrorMessage="1" sqref="D5" xr:uid="{5B83A5BD-9B4C-4C6A-814C-96713B81F0C3}">
      <formula1>Metas_ODS</formula1>
    </dataValidation>
    <dataValidation type="list" allowBlank="1" showInputMessage="1" showErrorMessage="1" sqref="D4" xr:uid="{A4886A51-3C64-4637-8266-39D549B0D4B6}">
      <formula1>ODS</formula1>
    </dataValidation>
    <dataValidation allowBlank="1" showDropDown="1" showInputMessage="1" showErrorMessage="1" sqref="D13" xr:uid="{6F094A2A-A0CF-4B70-B5DE-2B295FD9A43B}"/>
  </dataValidations>
  <hyperlinks>
    <hyperlink ref="B1" location="'8.8.1'!A1" display="REGRESAR" xr:uid="{4E577432-A297-48D1-BD17-6845E36C2BBD}"/>
    <hyperlink ref="D8" r:id="rId1" xr:uid="{2954F616-5077-4147-8728-591F3BF34A7B}"/>
    <hyperlink ref="D37" r:id="rId2" display="msalazar@ins-cr.com" xr:uid="{325ABD68-F447-499F-B05E-8F50CC27348B}"/>
  </hyperlinks>
  <pageMargins left="0.7" right="0.7" top="0.75" bottom="0.75" header="0.3" footer="0.3"/>
  <pageSetup orientation="portrait" r:id="rId3"/>
  <drawing r:id="rId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C66F-C3FC-42B5-8C3D-F94F6B60FDA7}">
  <dimension ref="A1:V36"/>
  <sheetViews>
    <sheetView showGridLines="0" workbookViewId="0">
      <pane ySplit="1" topLeftCell="A2" activePane="bottomLeft" state="frozen"/>
      <selection pane="bottomLeft"/>
    </sheetView>
  </sheetViews>
  <sheetFormatPr baseColWidth="10" defaultColWidth="11.42578125" defaultRowHeight="18.75" x14ac:dyDescent="0.4"/>
  <cols>
    <col min="1" max="2" width="15" style="115" customWidth="1"/>
    <col min="3" max="3" width="8" style="115" customWidth="1"/>
    <col min="4" max="4" width="7.5703125" style="115" customWidth="1"/>
    <col min="5" max="5" width="2.42578125" style="115" customWidth="1"/>
    <col min="6" max="10" width="11.42578125" style="115"/>
    <col min="11" max="12" width="13" style="115" customWidth="1"/>
    <col min="13" max="16384" width="11.42578125" style="115"/>
  </cols>
  <sheetData>
    <row r="1" spans="1:22" s="1032" customFormat="1" ht="15" customHeight="1" x14ac:dyDescent="0.4">
      <c r="A1" s="15" t="s">
        <v>39</v>
      </c>
      <c r="C1" s="2759" t="s">
        <v>149</v>
      </c>
      <c r="D1" s="2759"/>
      <c r="E1" s="2759"/>
    </row>
    <row r="2" spans="1:22" s="1032" customFormat="1" ht="19.5" x14ac:dyDescent="0.4"/>
    <row r="3" spans="1:22" s="1032" customFormat="1" ht="19.5" x14ac:dyDescent="0.4">
      <c r="A3" s="3117" t="s">
        <v>41</v>
      </c>
      <c r="B3" s="3117"/>
      <c r="C3" s="3117" t="s">
        <v>4957</v>
      </c>
      <c r="D3" s="3117"/>
      <c r="E3" s="3117"/>
      <c r="F3" s="3117"/>
      <c r="G3" s="3117"/>
      <c r="H3" s="3117"/>
      <c r="I3" s="3117"/>
      <c r="J3" s="3117"/>
      <c r="K3" s="3117"/>
      <c r="L3" s="3117"/>
      <c r="M3" s="3117"/>
      <c r="N3" s="3117"/>
      <c r="O3" s="3117"/>
      <c r="P3" s="3117"/>
      <c r="Q3" s="3117"/>
      <c r="R3" s="3117"/>
      <c r="S3" s="3117"/>
      <c r="T3" s="3117"/>
      <c r="U3" s="3117"/>
      <c r="V3" s="1314"/>
    </row>
    <row r="4" spans="1:22" s="1032" customFormat="1" ht="19.5" x14ac:dyDescent="0.4">
      <c r="A4" s="3117" t="s">
        <v>42</v>
      </c>
      <c r="B4" s="3117"/>
      <c r="C4" s="3117" t="s">
        <v>4938</v>
      </c>
      <c r="D4" s="3117"/>
      <c r="E4" s="3117"/>
      <c r="F4" s="3117"/>
      <c r="G4" s="3117"/>
      <c r="H4" s="3117"/>
      <c r="I4" s="3117"/>
      <c r="J4" s="3117"/>
      <c r="K4" s="3117"/>
      <c r="L4" s="3117"/>
      <c r="M4" s="3117"/>
      <c r="N4" s="3117"/>
      <c r="O4" s="3117"/>
      <c r="P4" s="3117"/>
      <c r="Q4" s="3117"/>
      <c r="R4" s="3117"/>
      <c r="S4" s="3117"/>
      <c r="T4" s="3117"/>
      <c r="U4" s="3117"/>
    </row>
    <row r="5" spans="1:22" s="1032" customFormat="1" ht="19.5" x14ac:dyDescent="0.4">
      <c r="A5" s="3117" t="s">
        <v>43</v>
      </c>
      <c r="B5" s="3117"/>
      <c r="C5" s="3117" t="s">
        <v>5182</v>
      </c>
      <c r="D5" s="3117"/>
      <c r="E5" s="3117"/>
      <c r="F5" s="3117"/>
      <c r="G5" s="3117"/>
      <c r="H5" s="3117"/>
      <c r="I5" s="3117"/>
      <c r="J5" s="3117"/>
      <c r="K5" s="3117"/>
      <c r="L5" s="3117"/>
      <c r="M5" s="3117"/>
      <c r="N5" s="3117"/>
      <c r="O5" s="3117"/>
      <c r="P5" s="3117"/>
      <c r="Q5" s="3117"/>
      <c r="R5" s="3117"/>
      <c r="S5" s="3117"/>
      <c r="T5" s="3117"/>
      <c r="U5" s="3117"/>
    </row>
    <row r="6" spans="1:22" s="1032" customFormat="1" ht="19.5" x14ac:dyDescent="0.4">
      <c r="A6" s="3117" t="s">
        <v>132</v>
      </c>
      <c r="B6" s="3117"/>
      <c r="C6" s="3117" t="s">
        <v>5183</v>
      </c>
      <c r="D6" s="3117"/>
      <c r="E6" s="3117"/>
      <c r="F6" s="3117"/>
      <c r="G6" s="3117"/>
      <c r="H6" s="3117"/>
      <c r="I6" s="3117"/>
      <c r="J6" s="3117"/>
      <c r="K6" s="3117"/>
      <c r="L6" s="3117"/>
      <c r="M6" s="3117"/>
      <c r="N6" s="3117"/>
      <c r="O6" s="3117"/>
      <c r="P6" s="3117"/>
      <c r="Q6" s="3117"/>
      <c r="R6" s="3117"/>
      <c r="S6" s="3117"/>
      <c r="T6" s="3117"/>
      <c r="U6" s="3117"/>
    </row>
    <row r="7" spans="1:22" s="1032" customFormat="1" ht="12.75" customHeight="1" x14ac:dyDescent="0.4"/>
    <row r="8" spans="1:22" s="1032" customFormat="1" ht="12.75" customHeight="1" x14ac:dyDescent="0.4"/>
    <row r="9" spans="1:22" s="1032" customFormat="1" ht="12.75" customHeight="1" x14ac:dyDescent="0.4">
      <c r="C9" s="138" t="s">
        <v>5183</v>
      </c>
      <c r="D9" s="138"/>
      <c r="E9" s="138"/>
      <c r="F9" s="138"/>
      <c r="G9" s="138"/>
      <c r="L9" s="532" t="s">
        <v>5184</v>
      </c>
    </row>
    <row r="10" spans="1:22" s="1032" customFormat="1" ht="12.75" customHeight="1" x14ac:dyDescent="0.4">
      <c r="C10" s="138"/>
      <c r="D10" s="138"/>
      <c r="E10" s="138"/>
      <c r="F10" s="138"/>
      <c r="G10" s="138"/>
      <c r="L10" s="532"/>
    </row>
    <row r="11" spans="1:22" ht="15" customHeight="1" x14ac:dyDescent="0.4">
      <c r="A11" s="536"/>
      <c r="C11" s="3124" t="s">
        <v>46</v>
      </c>
      <c r="D11" s="3124" t="s">
        <v>47</v>
      </c>
      <c r="E11" s="3124"/>
      <c r="F11" s="3174" t="s">
        <v>4997</v>
      </c>
      <c r="G11" s="3174"/>
    </row>
    <row r="12" spans="1:22" x14ac:dyDescent="0.4">
      <c r="A12" s="536"/>
      <c r="C12" s="3126"/>
      <c r="D12" s="3126"/>
      <c r="E12" s="3126"/>
      <c r="F12" s="1456" t="s">
        <v>5185</v>
      </c>
      <c r="G12" s="1456" t="s">
        <v>5075</v>
      </c>
      <c r="I12" s="2812" t="s">
        <v>5186</v>
      </c>
      <c r="J12" s="2812"/>
    </row>
    <row r="13" spans="1:22" x14ac:dyDescent="0.4">
      <c r="A13" s="536"/>
      <c r="C13" s="835">
        <v>2011</v>
      </c>
      <c r="D13" s="1520">
        <v>9.6</v>
      </c>
      <c r="E13" s="1520"/>
      <c r="F13" s="1382">
        <v>39.727874596824599</v>
      </c>
      <c r="G13" s="1382">
        <v>4.1352512609751546</v>
      </c>
      <c r="I13" s="2812"/>
      <c r="J13" s="2812"/>
    </row>
    <row r="14" spans="1:22" x14ac:dyDescent="0.4">
      <c r="A14" s="835"/>
      <c r="C14" s="536">
        <v>2012</v>
      </c>
      <c r="D14" s="1520">
        <v>10</v>
      </c>
      <c r="E14" s="1520"/>
      <c r="F14" s="1382">
        <v>45.744350847200579</v>
      </c>
      <c r="G14" s="1382">
        <v>4.060423676992361</v>
      </c>
    </row>
    <row r="15" spans="1:22" x14ac:dyDescent="0.4">
      <c r="A15" s="536"/>
      <c r="C15" s="536">
        <v>2013</v>
      </c>
      <c r="D15" s="1520">
        <v>10.199999999999999</v>
      </c>
      <c r="E15" s="1520"/>
      <c r="F15" s="1382">
        <v>42.674909538936376</v>
      </c>
      <c r="G15" s="1382">
        <v>3.9588583899352132</v>
      </c>
    </row>
    <row r="16" spans="1:22" x14ac:dyDescent="0.4">
      <c r="A16" s="536"/>
      <c r="C16" s="536">
        <v>2014</v>
      </c>
      <c r="D16" s="1520">
        <v>9.4</v>
      </c>
      <c r="E16" s="1520"/>
      <c r="F16" s="1382">
        <v>52.336821126058794</v>
      </c>
      <c r="G16" s="1382">
        <v>2.5883550168107861</v>
      </c>
    </row>
    <row r="17" spans="1:12" x14ac:dyDescent="0.4">
      <c r="A17" s="536"/>
      <c r="C17" s="835">
        <v>2015</v>
      </c>
      <c r="D17" s="1520">
        <v>14.3</v>
      </c>
      <c r="E17" s="1520"/>
      <c r="F17" s="1382">
        <v>86.880965581311713</v>
      </c>
      <c r="G17" s="1382">
        <v>3.2604781406021917</v>
      </c>
    </row>
    <row r="18" spans="1:12" x14ac:dyDescent="0.4">
      <c r="A18" s="536"/>
      <c r="C18" s="835">
        <v>2016</v>
      </c>
      <c r="D18" s="1520">
        <v>14.3</v>
      </c>
      <c r="E18" s="1520"/>
      <c r="F18" s="1382">
        <v>83.7</v>
      </c>
      <c r="G18" s="1382">
        <v>3</v>
      </c>
    </row>
    <row r="19" spans="1:12" x14ac:dyDescent="0.4">
      <c r="A19" s="536"/>
      <c r="C19" s="835">
        <v>2017</v>
      </c>
      <c r="D19" s="1521">
        <v>14.5</v>
      </c>
      <c r="E19" s="1520"/>
      <c r="F19" s="1382">
        <v>80.8</v>
      </c>
      <c r="G19" s="1382">
        <v>3.2</v>
      </c>
    </row>
    <row r="20" spans="1:12" x14ac:dyDescent="0.4">
      <c r="A20" s="536"/>
      <c r="C20" s="536">
        <v>2018</v>
      </c>
      <c r="D20" s="1521">
        <v>14.4</v>
      </c>
      <c r="E20" s="536"/>
      <c r="F20" s="1382">
        <v>92.9</v>
      </c>
      <c r="G20" s="1382">
        <v>3.2</v>
      </c>
    </row>
    <row r="21" spans="1:12" x14ac:dyDescent="0.4">
      <c r="A21" s="536"/>
      <c r="C21" s="835">
        <v>2019</v>
      </c>
      <c r="D21" s="1521">
        <v>15.2</v>
      </c>
      <c r="E21" s="1520"/>
      <c r="F21" s="1382">
        <v>88.1</v>
      </c>
      <c r="G21" s="1382">
        <v>3</v>
      </c>
    </row>
    <row r="22" spans="1:12" x14ac:dyDescent="0.4">
      <c r="A22" s="536"/>
      <c r="C22" s="835">
        <v>2020</v>
      </c>
      <c r="D22" s="1521">
        <v>17.600000000000001</v>
      </c>
      <c r="E22" s="1520"/>
      <c r="F22" s="1382">
        <v>98.8</v>
      </c>
      <c r="G22" s="1382">
        <v>3.6</v>
      </c>
    </row>
    <row r="23" spans="1:12" x14ac:dyDescent="0.4">
      <c r="A23" s="536"/>
      <c r="C23" s="835">
        <v>2021</v>
      </c>
      <c r="D23" s="1521">
        <v>15.4</v>
      </c>
      <c r="E23" s="1520"/>
      <c r="F23" s="1382">
        <v>89.6</v>
      </c>
      <c r="G23" s="1382">
        <v>3.1</v>
      </c>
    </row>
    <row r="24" spans="1:12" x14ac:dyDescent="0.4">
      <c r="A24" s="536"/>
      <c r="C24" s="835">
        <v>2022</v>
      </c>
      <c r="D24" s="1521">
        <v>15.2</v>
      </c>
      <c r="E24" s="1520"/>
      <c r="F24" s="1382">
        <v>91.1</v>
      </c>
      <c r="G24" s="1382">
        <v>3.9</v>
      </c>
    </row>
    <row r="25" spans="1:12" x14ac:dyDescent="0.4">
      <c r="A25" s="536"/>
      <c r="C25" s="1464">
        <v>2023</v>
      </c>
      <c r="D25" s="1522">
        <v>17.3</v>
      </c>
      <c r="E25" s="1523"/>
      <c r="F25" s="1524">
        <v>100</v>
      </c>
      <c r="G25" s="1388">
        <v>3.9</v>
      </c>
      <c r="L25" s="115" t="s">
        <v>5187</v>
      </c>
    </row>
    <row r="26" spans="1:12" ht="17.45" customHeight="1" x14ac:dyDescent="0.4">
      <c r="A26" s="536"/>
      <c r="C26" s="3175" t="s">
        <v>5188</v>
      </c>
      <c r="D26" s="3175"/>
      <c r="E26" s="3175"/>
      <c r="F26" s="3175"/>
      <c r="G26" s="3175"/>
    </row>
    <row r="27" spans="1:12" ht="69.599999999999994" customHeight="1" x14ac:dyDescent="0.4">
      <c r="A27" s="536"/>
      <c r="C27" s="3175" t="s">
        <v>5189</v>
      </c>
      <c r="D27" s="3175"/>
      <c r="E27" s="3175"/>
      <c r="F27" s="3175"/>
      <c r="G27" s="3175"/>
    </row>
    <row r="28" spans="1:12" x14ac:dyDescent="0.4">
      <c r="A28" s="536"/>
      <c r="C28" s="3176" t="s">
        <v>5190</v>
      </c>
      <c r="D28" s="3177"/>
      <c r="E28" s="3177"/>
      <c r="F28" s="3177"/>
      <c r="G28" s="3177"/>
    </row>
    <row r="29" spans="1:12" ht="33" customHeight="1" x14ac:dyDescent="0.4">
      <c r="A29" s="536"/>
      <c r="C29" s="3178" t="s">
        <v>5191</v>
      </c>
      <c r="D29" s="3179"/>
      <c r="E29" s="3179"/>
      <c r="F29" s="3179"/>
      <c r="G29" s="3179"/>
    </row>
    <row r="30" spans="1:12" x14ac:dyDescent="0.4">
      <c r="A30" s="536"/>
      <c r="C30" s="3175" t="s">
        <v>5192</v>
      </c>
      <c r="D30" s="3175"/>
      <c r="E30" s="3175"/>
      <c r="F30" s="3175"/>
      <c r="G30" s="3175"/>
    </row>
    <row r="31" spans="1:12" x14ac:dyDescent="0.4">
      <c r="A31" s="536"/>
      <c r="C31" s="3172" t="s">
        <v>5193</v>
      </c>
      <c r="D31" s="3173"/>
      <c r="E31" s="3173"/>
      <c r="F31" s="3173"/>
      <c r="G31" s="3173"/>
    </row>
    <row r="32" spans="1:12" x14ac:dyDescent="0.4">
      <c r="A32" s="536"/>
    </row>
    <row r="33" spans="1:1" x14ac:dyDescent="0.4">
      <c r="A33" s="536"/>
    </row>
    <row r="34" spans="1:1" x14ac:dyDescent="0.4">
      <c r="A34" s="536"/>
    </row>
    <row r="35" spans="1:1" x14ac:dyDescent="0.4">
      <c r="A35" s="536"/>
    </row>
    <row r="36" spans="1:1" x14ac:dyDescent="0.4">
      <c r="A36" s="536"/>
    </row>
  </sheetData>
  <mergeCells count="19">
    <mergeCell ref="A5:B5"/>
    <mergeCell ref="C5:U5"/>
    <mergeCell ref="C1:E1"/>
    <mergeCell ref="A3:B3"/>
    <mergeCell ref="C3:U3"/>
    <mergeCell ref="A4:B4"/>
    <mergeCell ref="C4:U4"/>
    <mergeCell ref="C31:G31"/>
    <mergeCell ref="A6:B6"/>
    <mergeCell ref="C6:U6"/>
    <mergeCell ref="C11:C12"/>
    <mergeCell ref="D11:E12"/>
    <mergeCell ref="F11:G11"/>
    <mergeCell ref="I12:J13"/>
    <mergeCell ref="C26:G26"/>
    <mergeCell ref="C27:G27"/>
    <mergeCell ref="C28:G28"/>
    <mergeCell ref="C29:G29"/>
    <mergeCell ref="C30:G30"/>
  </mergeCells>
  <hyperlinks>
    <hyperlink ref="A1" location="'ODS 8.'!A1" display="REGRESAR" xr:uid="{E14690E2-B83C-44DF-B7C4-7E0C28668E3D}"/>
    <hyperlink ref="C1:D1" location="'Metadato 8.8.2.a'!A1" display="VER METADATO" xr:uid="{5DF5E454-4398-4553-AB08-2880925E9AB6}"/>
    <hyperlink ref="I12:J13" location="'8.8.2.b'!A1" display="Ver indicador Tasa de negociación 8.8.2.b" xr:uid="{6EAD2B03-7BE6-4771-A1FA-CFB29E682B7A}"/>
    <hyperlink ref="C31" r:id="rId1" location="!" xr:uid="{27D5544D-BB26-4763-9B19-AB30B90EF687}"/>
    <hyperlink ref="C28" r:id="rId2" xr:uid="{B4C3A36F-0D58-4151-9E26-3799D392A30D}"/>
    <hyperlink ref="C29" r:id="rId3" xr:uid="{CF8E5F4B-ED69-4C64-81B7-B8195017EF0F}"/>
  </hyperlinks>
  <pageMargins left="0.7" right="0.7" top="0.75" bottom="0.75" header="0.3" footer="0.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2668D-5C59-4412-9E88-20DF8E3275D4}">
  <sheetPr>
    <tabColor theme="0" tint="-0.499984740745262"/>
  </sheetPr>
  <dimension ref="A1:F36"/>
  <sheetViews>
    <sheetView showGridLines="0" zoomScaleNormal="100" workbookViewId="0">
      <pane ySplit="1" topLeftCell="A5" activePane="bottomLeft" state="frozen"/>
      <selection pane="bottomLeft"/>
    </sheetView>
  </sheetViews>
  <sheetFormatPr baseColWidth="10" defaultColWidth="11.42578125" defaultRowHeight="18.75" x14ac:dyDescent="0.25"/>
  <cols>
    <col min="1" max="1" width="8"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ht="37.5" x14ac:dyDescent="0.25">
      <c r="A4" s="1079"/>
      <c r="B4" s="2445" t="s">
        <v>234</v>
      </c>
      <c r="C4" s="2445"/>
      <c r="D4" s="49" t="s">
        <v>4975</v>
      </c>
    </row>
    <row r="5" spans="1:6" ht="56.25" x14ac:dyDescent="0.25">
      <c r="B5" s="2445" t="s">
        <v>79</v>
      </c>
      <c r="C5" s="2445"/>
      <c r="D5" s="49" t="s">
        <v>4938</v>
      </c>
    </row>
    <row r="6" spans="1:6" x14ac:dyDescent="0.25">
      <c r="B6" s="2445" t="s">
        <v>80</v>
      </c>
      <c r="C6" s="2445"/>
      <c r="D6" s="50" t="s">
        <v>4941</v>
      </c>
    </row>
    <row r="7" spans="1:6" ht="56.25" x14ac:dyDescent="0.25">
      <c r="B7" s="2446" t="s">
        <v>81</v>
      </c>
      <c r="C7" s="2446"/>
      <c r="D7" s="93" t="s">
        <v>5182</v>
      </c>
    </row>
    <row r="8" spans="1:6" x14ac:dyDescent="0.25">
      <c r="B8" s="2446" t="s">
        <v>82</v>
      </c>
      <c r="C8" s="2446"/>
      <c r="D8" s="1047" t="s">
        <v>5194</v>
      </c>
    </row>
    <row r="9" spans="1:6" x14ac:dyDescent="0.4">
      <c r="B9" s="115"/>
      <c r="C9" s="115"/>
      <c r="D9" s="115"/>
    </row>
    <row r="10" spans="1:6" ht="23.25" customHeight="1" x14ac:dyDescent="0.25">
      <c r="B10" s="3119" t="s">
        <v>85</v>
      </c>
      <c r="C10" s="3119"/>
      <c r="D10" s="3119"/>
    </row>
    <row r="11" spans="1:6" x14ac:dyDescent="0.25">
      <c r="B11" s="2487" t="s">
        <v>86</v>
      </c>
      <c r="C11" s="2456"/>
      <c r="D11" s="49" t="s">
        <v>167</v>
      </c>
    </row>
    <row r="12" spans="1:6" ht="15" customHeight="1" x14ac:dyDescent="0.25">
      <c r="B12" s="2446" t="s">
        <v>88</v>
      </c>
      <c r="C12" s="2446"/>
      <c r="D12" s="184" t="s">
        <v>5195</v>
      </c>
    </row>
    <row r="13" spans="1:6" x14ac:dyDescent="0.25">
      <c r="B13" s="2445" t="s">
        <v>90</v>
      </c>
      <c r="C13" s="2445"/>
      <c r="D13" s="54" t="s">
        <v>5196</v>
      </c>
    </row>
    <row r="14" spans="1:6" x14ac:dyDescent="0.25">
      <c r="B14" s="2445" t="s">
        <v>91</v>
      </c>
      <c r="C14" s="2456"/>
      <c r="D14" s="54" t="s">
        <v>214</v>
      </c>
    </row>
    <row r="15" spans="1:6" ht="93.75" x14ac:dyDescent="0.25">
      <c r="B15" s="2445" t="s">
        <v>93</v>
      </c>
      <c r="C15" s="2445"/>
      <c r="D15" s="55" t="s">
        <v>5197</v>
      </c>
    </row>
    <row r="16" spans="1:6" ht="60.75" customHeight="1" x14ac:dyDescent="0.4">
      <c r="B16" s="2445" t="s">
        <v>95</v>
      </c>
      <c r="C16" s="2445"/>
      <c r="D16" s="594" t="s">
        <v>5198</v>
      </c>
    </row>
    <row r="17" spans="2:4" x14ac:dyDescent="0.25">
      <c r="B17" s="2445" t="s">
        <v>97</v>
      </c>
      <c r="C17" s="2445"/>
      <c r="D17" s="55" t="s">
        <v>98</v>
      </c>
    </row>
    <row r="18" spans="2:4" x14ac:dyDescent="0.25">
      <c r="B18" s="2446" t="s">
        <v>99</v>
      </c>
      <c r="C18" s="2446"/>
      <c r="D18" s="49" t="s">
        <v>5199</v>
      </c>
    </row>
    <row r="19" spans="2:4" ht="37.5" x14ac:dyDescent="0.25">
      <c r="B19" s="2457" t="s">
        <v>100</v>
      </c>
      <c r="C19" s="2458"/>
      <c r="D19" s="55" t="s">
        <v>5200</v>
      </c>
    </row>
    <row r="20" spans="2:4" x14ac:dyDescent="0.25">
      <c r="B20" s="2445" t="s">
        <v>102</v>
      </c>
      <c r="C20" s="2445"/>
      <c r="D20" s="55" t="s">
        <v>140</v>
      </c>
    </row>
    <row r="21" spans="2:4" x14ac:dyDescent="0.25">
      <c r="B21" s="2451" t="s">
        <v>104</v>
      </c>
      <c r="C21" s="95" t="s">
        <v>105</v>
      </c>
      <c r="D21" s="55"/>
    </row>
    <row r="22" spans="2:4" x14ac:dyDescent="0.25">
      <c r="B22" s="2452"/>
      <c r="C22" s="96" t="s">
        <v>107</v>
      </c>
      <c r="D22" s="55" t="s">
        <v>5010</v>
      </c>
    </row>
    <row r="23" spans="2:4" x14ac:dyDescent="0.25">
      <c r="B23" s="2445" t="s">
        <v>109</v>
      </c>
      <c r="C23" s="2445"/>
      <c r="D23" s="55" t="s">
        <v>143</v>
      </c>
    </row>
    <row r="24" spans="2:4" x14ac:dyDescent="0.25">
      <c r="B24" s="2445" t="s">
        <v>111</v>
      </c>
      <c r="C24" s="2445"/>
      <c r="D24" s="50" t="s">
        <v>5201</v>
      </c>
    </row>
    <row r="25" spans="2:4" x14ac:dyDescent="0.25">
      <c r="B25" s="2445" t="s">
        <v>113</v>
      </c>
      <c r="C25" s="2445"/>
      <c r="D25" s="55" t="s">
        <v>220</v>
      </c>
    </row>
    <row r="26" spans="2:4" ht="15" customHeight="1" x14ac:dyDescent="0.25">
      <c r="B26" s="2446" t="s">
        <v>115</v>
      </c>
      <c r="C26" s="2446"/>
      <c r="D26" s="50" t="s">
        <v>5202</v>
      </c>
    </row>
    <row r="27" spans="2:4" ht="37.5" x14ac:dyDescent="0.25">
      <c r="B27" s="2447" t="s">
        <v>117</v>
      </c>
      <c r="C27" s="2448"/>
      <c r="D27" s="49" t="s">
        <v>5203</v>
      </c>
    </row>
    <row r="28" spans="2:4" x14ac:dyDescent="0.25">
      <c r="B28" s="97" t="s">
        <v>118</v>
      </c>
      <c r="C28" s="98"/>
      <c r="D28" s="49"/>
    </row>
    <row r="29" spans="2:4" ht="56.25" x14ac:dyDescent="0.25">
      <c r="B29" s="2449" t="s">
        <v>120</v>
      </c>
      <c r="C29" s="2450"/>
      <c r="D29" s="1525" t="s">
        <v>5204</v>
      </c>
    </row>
    <row r="30" spans="2:4" ht="12.75" customHeight="1" x14ac:dyDescent="0.25">
      <c r="B30" s="63"/>
      <c r="C30" s="63"/>
      <c r="D30" s="64"/>
    </row>
    <row r="31" spans="2:4" ht="23.25" customHeight="1" x14ac:dyDescent="0.25">
      <c r="B31" s="3119" t="s">
        <v>121</v>
      </c>
      <c r="C31" s="3119"/>
      <c r="D31" s="3119"/>
    </row>
    <row r="32" spans="2:4" ht="37.5" x14ac:dyDescent="0.25">
      <c r="B32" s="2447" t="s">
        <v>122</v>
      </c>
      <c r="C32" s="2448"/>
      <c r="D32" s="50" t="s">
        <v>5205</v>
      </c>
    </row>
    <row r="33" spans="2:4" ht="37.5" x14ac:dyDescent="0.25">
      <c r="B33" s="2447" t="s">
        <v>124</v>
      </c>
      <c r="C33" s="2448"/>
      <c r="D33" s="50" t="s">
        <v>5206</v>
      </c>
    </row>
    <row r="34" spans="2:4" x14ac:dyDescent="0.25">
      <c r="B34" s="2447" t="s">
        <v>126</v>
      </c>
      <c r="C34" s="2448"/>
      <c r="D34" s="50" t="s">
        <v>5207</v>
      </c>
    </row>
    <row r="35" spans="2:4" x14ac:dyDescent="0.25">
      <c r="B35" s="2447" t="s">
        <v>128</v>
      </c>
      <c r="C35" s="2448"/>
      <c r="D35" s="50" t="s">
        <v>5208</v>
      </c>
    </row>
    <row r="36" spans="2:4" ht="37.5" x14ac:dyDescent="0.25">
      <c r="B36" s="2447" t="s">
        <v>130</v>
      </c>
      <c r="C36" s="2448"/>
      <c r="D36" s="50" t="s">
        <v>5209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9C5B8D3-DA6B-463F-B14F-B18C742FB223}">
      <formula1>Tipo_operación</formula1>
    </dataValidation>
    <dataValidation type="list" allowBlank="1" showInputMessage="1" showErrorMessage="1" sqref="D14" xr:uid="{20610400-4E94-4F11-9ECE-23ECB671EF10}">
      <formula1>Tipo_indicador</formula1>
    </dataValidation>
    <dataValidation type="list" allowBlank="1" showInputMessage="1" showErrorMessage="1" sqref="D7" xr:uid="{9814E71C-AB13-42F4-BC6C-5E7308717321}">
      <formula1>Nombre_indicador_ODS</formula1>
    </dataValidation>
    <dataValidation type="list" allowBlank="1" showInputMessage="1" showErrorMessage="1" sqref="D6" xr:uid="{7568023D-AA2A-43C7-99B9-6E5648B24E37}">
      <formula1>Numero_indicador</formula1>
    </dataValidation>
    <dataValidation type="list" allowBlank="1" showInputMessage="1" showErrorMessage="1" sqref="D5" xr:uid="{DF2554AC-C49A-4A49-8A47-97282976855B}">
      <formula1>Metas_ODS</formula1>
    </dataValidation>
    <dataValidation type="list" allowBlank="1" showInputMessage="1" showErrorMessage="1" sqref="D4" xr:uid="{CD421E4D-6A4E-4960-B48B-AEFF0E0D6ECA}">
      <formula1>ODS</formula1>
    </dataValidation>
    <dataValidation allowBlank="1" showDropDown="1" showInputMessage="1" showErrorMessage="1" sqref="D13" xr:uid="{9AAAB9E3-677D-4B9E-8AC0-014FE2A33194}"/>
  </dataValidations>
  <hyperlinks>
    <hyperlink ref="B1" location="'8.8.2.a'!A1" display="REGRESAR" xr:uid="{A72C97AB-EBD9-4920-8D95-3C22EB00220E}"/>
    <hyperlink ref="D8" r:id="rId1" xr:uid="{8120F421-5E0A-4A63-8F10-32FA25F68433}"/>
    <hyperlink ref="D29" r:id="rId2" display="https://sites.google.com/d/15Pjsj_thNFKcmECtEMO0H6tIiQYOLsvH/p/14Avrr1xqNEYv6BGqjkqF-MSJCfNpYdQN/edit" xr:uid="{7BA59ED3-3E14-4D4A-97AC-8A4ED305960C}"/>
  </hyperlinks>
  <pageMargins left="0.7" right="0.7" top="0.75" bottom="0.75" header="0.3" footer="0.3"/>
  <pageSetup orientation="portrait" r:id="rId3"/>
  <drawing r:id="rId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1AE8-C513-4081-BB34-3048D3061DC7}">
  <dimension ref="A1:S38"/>
  <sheetViews>
    <sheetView showGridLines="0" workbookViewId="0">
      <pane ySplit="1" topLeftCell="A2" activePane="bottomLeft" state="frozen"/>
      <selection pane="bottomLeft"/>
    </sheetView>
  </sheetViews>
  <sheetFormatPr baseColWidth="10" defaultColWidth="11.42578125" defaultRowHeight="18.75" x14ac:dyDescent="0.4"/>
  <cols>
    <col min="1" max="2" width="15.28515625" style="115" customWidth="1"/>
    <col min="3" max="3" width="7" style="115" customWidth="1"/>
    <col min="4" max="4" width="7.28515625" style="115" customWidth="1"/>
    <col min="5" max="5" width="3.28515625" style="115" customWidth="1"/>
    <col min="6" max="16384" width="11.42578125" style="115"/>
  </cols>
  <sheetData>
    <row r="1" spans="1:19" s="1032" customFormat="1" ht="19.5" x14ac:dyDescent="0.4">
      <c r="A1" s="15" t="s">
        <v>39</v>
      </c>
      <c r="C1" s="2421" t="s">
        <v>149</v>
      </c>
      <c r="D1" s="2421"/>
      <c r="E1" s="2421"/>
    </row>
    <row r="2" spans="1:19" s="1032" customFormat="1" ht="19.5" x14ac:dyDescent="0.4">
      <c r="A2" s="1526"/>
    </row>
    <row r="3" spans="1:19" s="1032" customFormat="1" ht="19.5" x14ac:dyDescent="0.4">
      <c r="A3" s="3117" t="s">
        <v>41</v>
      </c>
      <c r="B3" s="3117"/>
      <c r="C3" s="3117" t="s">
        <v>4957</v>
      </c>
      <c r="D3" s="3117"/>
      <c r="E3" s="3117"/>
      <c r="F3" s="3117"/>
      <c r="G3" s="3117"/>
      <c r="H3" s="3117"/>
      <c r="I3" s="3117"/>
      <c r="J3" s="3117"/>
      <c r="K3" s="3117"/>
      <c r="L3" s="3117"/>
      <c r="M3" s="3117"/>
      <c r="N3" s="3117"/>
      <c r="O3" s="3117"/>
      <c r="P3" s="3117"/>
      <c r="Q3" s="3117"/>
      <c r="R3" s="3117"/>
      <c r="S3" s="3117"/>
    </row>
    <row r="4" spans="1:19" s="1032" customFormat="1" ht="19.5" x14ac:dyDescent="0.4">
      <c r="A4" s="3117" t="s">
        <v>42</v>
      </c>
      <c r="B4" s="3117"/>
      <c r="C4" s="3117" t="s">
        <v>4938</v>
      </c>
      <c r="D4" s="3117"/>
      <c r="E4" s="3117"/>
      <c r="F4" s="3117"/>
      <c r="G4" s="3117"/>
      <c r="H4" s="3117"/>
      <c r="I4" s="3117"/>
      <c r="J4" s="3117"/>
      <c r="K4" s="3117"/>
      <c r="L4" s="3117"/>
      <c r="M4" s="3117"/>
      <c r="N4" s="3117"/>
      <c r="O4" s="3117"/>
      <c r="P4" s="3117"/>
      <c r="Q4" s="3117"/>
      <c r="R4" s="3117"/>
      <c r="S4" s="3117"/>
    </row>
    <row r="5" spans="1:19" s="1032" customFormat="1" ht="19.5" x14ac:dyDescent="0.4">
      <c r="A5" s="3117" t="s">
        <v>43</v>
      </c>
      <c r="B5" s="3117"/>
      <c r="C5" s="3117" t="s">
        <v>5182</v>
      </c>
      <c r="D5" s="3117"/>
      <c r="E5" s="3117"/>
      <c r="F5" s="3117"/>
      <c r="G5" s="3117"/>
      <c r="H5" s="3117"/>
      <c r="I5" s="3117"/>
      <c r="J5" s="3117"/>
      <c r="K5" s="3117"/>
      <c r="L5" s="3117"/>
      <c r="M5" s="3117"/>
      <c r="N5" s="3117"/>
      <c r="O5" s="3117"/>
      <c r="P5" s="3117"/>
      <c r="Q5" s="3117"/>
      <c r="R5" s="3117"/>
      <c r="S5" s="3117"/>
    </row>
    <row r="6" spans="1:19" s="1032" customFormat="1" ht="19.5" x14ac:dyDescent="0.4">
      <c r="A6" s="3117" t="s">
        <v>132</v>
      </c>
      <c r="B6" s="3117"/>
      <c r="C6" s="3117" t="s">
        <v>5210</v>
      </c>
      <c r="D6" s="3117"/>
      <c r="E6" s="3117"/>
      <c r="F6" s="3117"/>
      <c r="G6" s="3117"/>
      <c r="H6" s="3117"/>
      <c r="I6" s="3117"/>
      <c r="J6" s="3117"/>
      <c r="K6" s="3117"/>
      <c r="L6" s="3117"/>
      <c r="M6" s="3117"/>
      <c r="N6" s="3117"/>
      <c r="O6" s="3117"/>
      <c r="P6" s="3117"/>
      <c r="Q6" s="3117"/>
      <c r="R6" s="3117"/>
      <c r="S6" s="3117"/>
    </row>
    <row r="7" spans="1:19" s="1032" customFormat="1" ht="19.5" x14ac:dyDescent="0.4">
      <c r="C7" s="1432"/>
      <c r="D7" s="1432"/>
      <c r="E7" s="138"/>
    </row>
    <row r="8" spans="1:19" s="1032" customFormat="1" ht="19.5" x14ac:dyDescent="0.4">
      <c r="C8" s="1432"/>
      <c r="D8" s="1432"/>
      <c r="E8" s="138"/>
    </row>
    <row r="9" spans="1:19" s="1032" customFormat="1" ht="15" customHeight="1" x14ac:dyDescent="0.4">
      <c r="C9" s="138" t="s">
        <v>5210</v>
      </c>
      <c r="D9" s="138"/>
      <c r="E9" s="138"/>
      <c r="F9" s="138"/>
      <c r="G9" s="138"/>
      <c r="J9" s="532" t="s">
        <v>5211</v>
      </c>
    </row>
    <row r="10" spans="1:19" s="1032" customFormat="1" ht="15" customHeight="1" x14ac:dyDescent="0.4">
      <c r="C10" s="138"/>
      <c r="D10" s="138"/>
      <c r="E10" s="138"/>
      <c r="F10" s="138"/>
      <c r="G10" s="138"/>
      <c r="J10" s="532"/>
    </row>
    <row r="11" spans="1:19" ht="17.25" customHeight="1" x14ac:dyDescent="0.4">
      <c r="A11" s="141"/>
      <c r="C11" s="3124" t="s">
        <v>46</v>
      </c>
      <c r="D11" s="3124" t="s">
        <v>47</v>
      </c>
      <c r="E11" s="3124"/>
      <c r="F11" s="3134" t="s">
        <v>4997</v>
      </c>
      <c r="G11" s="3134"/>
    </row>
    <row r="12" spans="1:19" ht="16.5" customHeight="1" x14ac:dyDescent="0.4">
      <c r="A12" s="835"/>
      <c r="C12" s="3126"/>
      <c r="D12" s="3126"/>
      <c r="E12" s="3126"/>
      <c r="F12" s="1456" t="s">
        <v>5185</v>
      </c>
      <c r="G12" s="1456" t="s">
        <v>5075</v>
      </c>
    </row>
    <row r="13" spans="1:19" x14ac:dyDescent="0.4">
      <c r="A13" s="536"/>
      <c r="C13" s="835">
        <v>2011</v>
      </c>
      <c r="D13" s="417">
        <v>4.243846157875713</v>
      </c>
      <c r="E13" s="416"/>
      <c r="F13" s="1382">
        <v>18.540515432543685</v>
      </c>
      <c r="G13" s="1382">
        <v>0.57698420491177149</v>
      </c>
    </row>
    <row r="14" spans="1:19" x14ac:dyDescent="0.4">
      <c r="A14" s="536"/>
      <c r="C14" s="536">
        <v>2012</v>
      </c>
      <c r="D14" s="417">
        <v>4.254049072822899</v>
      </c>
      <c r="E14" s="416"/>
      <c r="F14" s="1382">
        <v>19.997104766106464</v>
      </c>
      <c r="G14" s="1382">
        <v>0.57609318497463513</v>
      </c>
    </row>
    <row r="15" spans="1:19" x14ac:dyDescent="0.4">
      <c r="A15" s="536"/>
      <c r="C15" s="536">
        <v>2013</v>
      </c>
      <c r="D15" s="417">
        <v>9.3815644038408141</v>
      </c>
      <c r="E15" s="416"/>
      <c r="F15" s="1382">
        <v>41.69702777458005</v>
      </c>
      <c r="G15" s="1382">
        <v>0.74645945930686941</v>
      </c>
    </row>
    <row r="16" spans="1:19" x14ac:dyDescent="0.4">
      <c r="A16" s="835"/>
      <c r="C16" s="536">
        <v>2014</v>
      </c>
      <c r="D16" s="417">
        <v>9.3412975909217266</v>
      </c>
      <c r="E16" s="416"/>
      <c r="F16" s="1382">
        <v>47.620471207915152</v>
      </c>
      <c r="G16" s="1382">
        <v>0.86856717925206794</v>
      </c>
    </row>
    <row r="17" spans="1:10" x14ac:dyDescent="0.4">
      <c r="A17" s="536"/>
      <c r="C17" s="835">
        <v>2015</v>
      </c>
      <c r="D17" s="417">
        <v>9.4052676845079901</v>
      </c>
      <c r="E17" s="416"/>
      <c r="F17" s="1382">
        <v>50.426674858024789</v>
      </c>
      <c r="G17" s="1382">
        <v>0.8465276811659902</v>
      </c>
    </row>
    <row r="18" spans="1:10" x14ac:dyDescent="0.4">
      <c r="A18" s="536"/>
      <c r="C18" s="835">
        <v>2016</v>
      </c>
      <c r="D18" s="417">
        <v>10.4</v>
      </c>
      <c r="E18" s="416"/>
      <c r="F18" s="1382">
        <v>52.3</v>
      </c>
      <c r="G18" s="1382">
        <v>0.9</v>
      </c>
    </row>
    <row r="19" spans="1:10" x14ac:dyDescent="0.4">
      <c r="C19" s="835">
        <v>2017</v>
      </c>
      <c r="D19" s="417">
        <v>11</v>
      </c>
      <c r="E19" s="416"/>
      <c r="F19" s="1382">
        <v>55.6</v>
      </c>
      <c r="G19" s="1382">
        <v>1.2</v>
      </c>
    </row>
    <row r="20" spans="1:10" ht="12.75" customHeight="1" x14ac:dyDescent="0.4">
      <c r="A20" s="536"/>
      <c r="C20" s="536">
        <v>2018</v>
      </c>
      <c r="D20" s="417">
        <v>10.1</v>
      </c>
      <c r="E20" s="536"/>
      <c r="F20" s="1382">
        <v>54.2</v>
      </c>
      <c r="G20" s="1382">
        <v>1</v>
      </c>
    </row>
    <row r="21" spans="1:10" x14ac:dyDescent="0.4">
      <c r="A21" s="536"/>
      <c r="C21" s="536">
        <v>2019</v>
      </c>
      <c r="D21" s="417">
        <v>10.3</v>
      </c>
      <c r="E21" s="536"/>
      <c r="F21" s="1382">
        <v>48.6</v>
      </c>
      <c r="G21" s="1382">
        <v>0.9</v>
      </c>
    </row>
    <row r="22" spans="1:10" x14ac:dyDescent="0.4">
      <c r="C22" s="536">
        <v>2020</v>
      </c>
      <c r="D22" s="417">
        <v>11.8</v>
      </c>
      <c r="E22" s="536"/>
      <c r="F22" s="1382">
        <v>53.2</v>
      </c>
      <c r="G22" s="1382">
        <v>1.2</v>
      </c>
    </row>
    <row r="23" spans="1:10" x14ac:dyDescent="0.4">
      <c r="A23" s="536"/>
      <c r="C23" s="536">
        <v>2021</v>
      </c>
      <c r="D23" s="417">
        <v>10.6</v>
      </c>
      <c r="E23" s="536"/>
      <c r="F23" s="1382">
        <v>50.7</v>
      </c>
      <c r="G23" s="1382">
        <v>1.1000000000000001</v>
      </c>
    </row>
    <row r="24" spans="1:10" x14ac:dyDescent="0.4">
      <c r="A24" s="536"/>
      <c r="C24" s="536">
        <v>2022</v>
      </c>
      <c r="D24" s="417">
        <v>10.3</v>
      </c>
      <c r="E24" s="536"/>
      <c r="F24" s="1382">
        <v>56.1</v>
      </c>
      <c r="G24" s="1382">
        <v>1</v>
      </c>
    </row>
    <row r="25" spans="1:10" x14ac:dyDescent="0.4">
      <c r="A25" s="536"/>
      <c r="C25" s="536">
        <v>2023</v>
      </c>
      <c r="D25" s="417">
        <v>10.6</v>
      </c>
      <c r="E25" s="536"/>
      <c r="F25" s="1382">
        <v>48.6</v>
      </c>
      <c r="G25" s="1382">
        <v>1</v>
      </c>
      <c r="J25" s="115" t="s">
        <v>5187</v>
      </c>
    </row>
    <row r="26" spans="1:10" ht="54.6" customHeight="1" x14ac:dyDescent="0.4">
      <c r="A26" s="536"/>
      <c r="C26" s="3184" t="s">
        <v>5212</v>
      </c>
      <c r="D26" s="3184"/>
      <c r="E26" s="3184"/>
      <c r="F26" s="3184"/>
      <c r="G26" s="3184"/>
    </row>
    <row r="27" spans="1:10" ht="121.9" customHeight="1" x14ac:dyDescent="0.4">
      <c r="A27" s="1527"/>
      <c r="C27" s="3180" t="s">
        <v>5213</v>
      </c>
      <c r="D27" s="3180"/>
      <c r="E27" s="3180"/>
      <c r="F27" s="3180"/>
      <c r="G27" s="3180"/>
    </row>
    <row r="28" spans="1:10" x14ac:dyDescent="0.4">
      <c r="A28" s="155"/>
      <c r="C28" s="3181" t="s">
        <v>5190</v>
      </c>
      <c r="D28" s="2626"/>
      <c r="E28" s="2626"/>
      <c r="F28" s="2626"/>
      <c r="G28" s="2626"/>
    </row>
    <row r="29" spans="1:10" x14ac:dyDescent="0.4">
      <c r="A29" s="536"/>
      <c r="C29" s="3182" t="s">
        <v>5191</v>
      </c>
      <c r="D29" s="3183"/>
      <c r="E29" s="3183"/>
      <c r="F29" s="3183"/>
      <c r="G29" s="3183"/>
    </row>
    <row r="30" spans="1:10" ht="79.900000000000006" customHeight="1" x14ac:dyDescent="0.4">
      <c r="A30" s="536"/>
      <c r="C30" s="3180" t="s">
        <v>5214</v>
      </c>
      <c r="D30" s="3180"/>
      <c r="E30" s="3180"/>
      <c r="F30" s="3180"/>
      <c r="G30" s="3180"/>
    </row>
    <row r="31" spans="1:10" x14ac:dyDescent="0.4">
      <c r="A31" s="536"/>
    </row>
    <row r="32" spans="1:10" x14ac:dyDescent="0.4">
      <c r="A32" s="536"/>
    </row>
    <row r="33" spans="1:1" x14ac:dyDescent="0.4">
      <c r="A33" s="536"/>
    </row>
    <row r="34" spans="1:1" x14ac:dyDescent="0.4">
      <c r="A34" s="536"/>
    </row>
    <row r="35" spans="1:1" x14ac:dyDescent="0.4">
      <c r="A35" s="536"/>
    </row>
    <row r="36" spans="1:1" x14ac:dyDescent="0.4">
      <c r="A36" s="536"/>
    </row>
    <row r="37" spans="1:1" x14ac:dyDescent="0.4">
      <c r="A37" s="536"/>
    </row>
    <row r="38" spans="1:1" x14ac:dyDescent="0.4">
      <c r="A38" s="536"/>
    </row>
  </sheetData>
  <mergeCells count="17">
    <mergeCell ref="A5:B5"/>
    <mergeCell ref="C5:S5"/>
    <mergeCell ref="C1:E1"/>
    <mergeCell ref="A3:B3"/>
    <mergeCell ref="C3:S3"/>
    <mergeCell ref="A4:B4"/>
    <mergeCell ref="C4:S4"/>
    <mergeCell ref="C27:G27"/>
    <mergeCell ref="C28:G28"/>
    <mergeCell ref="C29:G29"/>
    <mergeCell ref="C30:G30"/>
    <mergeCell ref="A6:B6"/>
    <mergeCell ref="C6:S6"/>
    <mergeCell ref="C11:C12"/>
    <mergeCell ref="D11:E12"/>
    <mergeCell ref="F11:G11"/>
    <mergeCell ref="C26:G26"/>
  </mergeCells>
  <hyperlinks>
    <hyperlink ref="A1" location="'ODS 8.'!A1" display="REGRESAR" xr:uid="{6060FD02-7971-4625-A2C3-9E5699D315CC}"/>
    <hyperlink ref="C1:D1" location="'Metadato 8.8.2.b'!A1" display="VER METADATO" xr:uid="{0208E278-4D4F-4EDA-992C-179DB0625622}"/>
    <hyperlink ref="C28" r:id="rId1" xr:uid="{F2003BEF-D697-4A13-96BA-A860F6A54B1A}"/>
    <hyperlink ref="C29" r:id="rId2" xr:uid="{048A42DB-7C09-40BC-A730-E9F1EC0E0618}"/>
  </hyperlinks>
  <pageMargins left="0.7" right="0.7" top="0.75" bottom="0.75" header="0.3" footer="0.3"/>
  <drawing r:id="rId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54ED-3389-4565-8737-87FB5E9C8F4D}">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7"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76</v>
      </c>
    </row>
    <row r="4" spans="1:6" ht="37.5" x14ac:dyDescent="0.25">
      <c r="A4" s="1079"/>
      <c r="B4" s="2445" t="s">
        <v>234</v>
      </c>
      <c r="C4" s="2445"/>
      <c r="D4" s="49" t="s">
        <v>4975</v>
      </c>
    </row>
    <row r="5" spans="1:6" ht="56.25" x14ac:dyDescent="0.25">
      <c r="B5" s="2445" t="s">
        <v>79</v>
      </c>
      <c r="C5" s="2445"/>
      <c r="D5" s="49" t="s">
        <v>4938</v>
      </c>
    </row>
    <row r="6" spans="1:6" x14ac:dyDescent="0.25">
      <c r="B6" s="2445" t="s">
        <v>80</v>
      </c>
      <c r="C6" s="2445"/>
      <c r="D6" s="50" t="s">
        <v>4941</v>
      </c>
    </row>
    <row r="7" spans="1:6" ht="56.25" x14ac:dyDescent="0.25">
      <c r="B7" s="2446" t="s">
        <v>81</v>
      </c>
      <c r="C7" s="2446"/>
      <c r="D7" s="93" t="s">
        <v>5182</v>
      </c>
    </row>
    <row r="8" spans="1:6" x14ac:dyDescent="0.25">
      <c r="B8" s="2446" t="s">
        <v>82</v>
      </c>
      <c r="C8" s="2446"/>
      <c r="D8" s="1047" t="s">
        <v>5194</v>
      </c>
    </row>
    <row r="9" spans="1:6" x14ac:dyDescent="0.4">
      <c r="B9" s="115"/>
      <c r="C9" s="115"/>
      <c r="D9" s="115"/>
    </row>
    <row r="10" spans="1:6" ht="19.5" x14ac:dyDescent="0.25">
      <c r="B10" s="3119" t="s">
        <v>85</v>
      </c>
      <c r="C10" s="3119"/>
      <c r="D10" s="3119"/>
    </row>
    <row r="11" spans="1:6" ht="17.25" customHeight="1" x14ac:dyDescent="0.25">
      <c r="B11" s="2487" t="s">
        <v>86</v>
      </c>
      <c r="C11" s="2456"/>
      <c r="D11" s="49" t="s">
        <v>167</v>
      </c>
    </row>
    <row r="12" spans="1:6" ht="15" customHeight="1" x14ac:dyDescent="0.25">
      <c r="B12" s="2446" t="s">
        <v>88</v>
      </c>
      <c r="C12" s="2446"/>
      <c r="D12" s="184" t="s">
        <v>5215</v>
      </c>
    </row>
    <row r="13" spans="1:6" x14ac:dyDescent="0.25">
      <c r="B13" s="2445" t="s">
        <v>90</v>
      </c>
      <c r="C13" s="2445"/>
      <c r="D13" s="54" t="s">
        <v>5216</v>
      </c>
    </row>
    <row r="14" spans="1:6" x14ac:dyDescent="0.25">
      <c r="B14" s="2445" t="s">
        <v>91</v>
      </c>
      <c r="C14" s="2456"/>
      <c r="D14" s="54" t="s">
        <v>214</v>
      </c>
    </row>
    <row r="15" spans="1:6" ht="75" x14ac:dyDescent="0.25">
      <c r="B15" s="2445" t="s">
        <v>93</v>
      </c>
      <c r="C15" s="2445"/>
      <c r="D15" s="55" t="s">
        <v>5217</v>
      </c>
    </row>
    <row r="16" spans="1:6" ht="75" x14ac:dyDescent="0.25">
      <c r="B16" s="2445" t="s">
        <v>95</v>
      </c>
      <c r="C16" s="2445"/>
      <c r="D16" s="55" t="s">
        <v>5218</v>
      </c>
    </row>
    <row r="17" spans="2:4" x14ac:dyDescent="0.25">
      <c r="B17" s="2445" t="s">
        <v>97</v>
      </c>
      <c r="C17" s="2445"/>
      <c r="D17" s="55" t="s">
        <v>98</v>
      </c>
    </row>
    <row r="18" spans="2:4" ht="37.5" x14ac:dyDescent="0.25">
      <c r="B18" s="2446" t="s">
        <v>99</v>
      </c>
      <c r="C18" s="2446"/>
      <c r="D18" s="55" t="s">
        <v>5219</v>
      </c>
    </row>
    <row r="19" spans="2:4" ht="37.5" x14ac:dyDescent="0.25">
      <c r="B19" s="2457" t="s">
        <v>100</v>
      </c>
      <c r="C19" s="2458"/>
      <c r="D19" s="55" t="s">
        <v>5220</v>
      </c>
    </row>
    <row r="20" spans="2:4" x14ac:dyDescent="0.25">
      <c r="B20" s="2445" t="s">
        <v>102</v>
      </c>
      <c r="C20" s="2445"/>
      <c r="D20" s="55" t="s">
        <v>140</v>
      </c>
    </row>
    <row r="21" spans="2:4" x14ac:dyDescent="0.25">
      <c r="B21" s="2451" t="s">
        <v>104</v>
      </c>
      <c r="C21" s="95" t="s">
        <v>105</v>
      </c>
      <c r="D21" s="55"/>
    </row>
    <row r="22" spans="2:4" x14ac:dyDescent="0.25">
      <c r="B22" s="2452"/>
      <c r="C22" s="96" t="s">
        <v>107</v>
      </c>
      <c r="D22" s="55" t="s">
        <v>5010</v>
      </c>
    </row>
    <row r="23" spans="2:4" x14ac:dyDescent="0.25">
      <c r="B23" s="2445" t="s">
        <v>109</v>
      </c>
      <c r="C23" s="2445"/>
      <c r="D23" s="55" t="s">
        <v>143</v>
      </c>
    </row>
    <row r="24" spans="2:4" x14ac:dyDescent="0.25">
      <c r="B24" s="2445" t="s">
        <v>111</v>
      </c>
      <c r="C24" s="2445"/>
      <c r="D24" s="50" t="s">
        <v>5201</v>
      </c>
    </row>
    <row r="25" spans="2:4" ht="15" customHeight="1" x14ac:dyDescent="0.25">
      <c r="B25" s="2445" t="s">
        <v>113</v>
      </c>
      <c r="C25" s="2445"/>
      <c r="D25" s="55" t="s">
        <v>220</v>
      </c>
    </row>
    <row r="26" spans="2:4" ht="15" customHeight="1" x14ac:dyDescent="0.25">
      <c r="B26" s="2446" t="s">
        <v>115</v>
      </c>
      <c r="C26" s="2446"/>
      <c r="D26" s="50" t="s">
        <v>5202</v>
      </c>
    </row>
    <row r="27" spans="2:4" x14ac:dyDescent="0.25">
      <c r="B27" s="2447" t="s">
        <v>117</v>
      </c>
      <c r="C27" s="2448"/>
      <c r="D27" s="49" t="s">
        <v>5221</v>
      </c>
    </row>
    <row r="28" spans="2:4" x14ac:dyDescent="0.25">
      <c r="B28" s="97" t="s">
        <v>118</v>
      </c>
      <c r="C28" s="98"/>
      <c r="D28" s="49"/>
    </row>
    <row r="29" spans="2:4" ht="56.25" x14ac:dyDescent="0.25">
      <c r="B29" s="2449" t="s">
        <v>120</v>
      </c>
      <c r="C29" s="2450"/>
      <c r="D29" s="1525" t="s">
        <v>5204</v>
      </c>
    </row>
    <row r="30" spans="2:4" x14ac:dyDescent="0.25">
      <c r="B30" s="63"/>
      <c r="C30" s="63"/>
      <c r="D30" s="64"/>
    </row>
    <row r="31" spans="2:4" ht="19.5" x14ac:dyDescent="0.25">
      <c r="B31" s="3119" t="s">
        <v>121</v>
      </c>
      <c r="C31" s="3119"/>
      <c r="D31" s="3119"/>
    </row>
    <row r="32" spans="2:4" ht="37.5" x14ac:dyDescent="0.25">
      <c r="B32" s="2447" t="s">
        <v>122</v>
      </c>
      <c r="C32" s="2448"/>
      <c r="D32" s="50" t="s">
        <v>5205</v>
      </c>
    </row>
    <row r="33" spans="2:4" ht="37.5" x14ac:dyDescent="0.25">
      <c r="B33" s="2447" t="s">
        <v>124</v>
      </c>
      <c r="C33" s="2448"/>
      <c r="D33" s="50" t="s">
        <v>5222</v>
      </c>
    </row>
    <row r="34" spans="2:4" x14ac:dyDescent="0.25">
      <c r="B34" s="2447" t="s">
        <v>126</v>
      </c>
      <c r="C34" s="2448"/>
      <c r="D34" s="50" t="s">
        <v>5207</v>
      </c>
    </row>
    <row r="35" spans="2:4" x14ac:dyDescent="0.25">
      <c r="B35" s="2447" t="s">
        <v>128</v>
      </c>
      <c r="C35" s="2448"/>
      <c r="D35" s="50" t="s">
        <v>5223</v>
      </c>
    </row>
    <row r="36" spans="2:4" ht="37.5" x14ac:dyDescent="0.25">
      <c r="B36" s="2447" t="s">
        <v>130</v>
      </c>
      <c r="C36" s="2448"/>
      <c r="D36" s="50" t="s">
        <v>5209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CC0C7A5-11B9-4C38-BE98-FA628B2947D0}">
      <formula1>Tipo_operación</formula1>
    </dataValidation>
    <dataValidation type="list" allowBlank="1" showInputMessage="1" showErrorMessage="1" sqref="D14" xr:uid="{B615A773-4DDB-493B-ACB2-E081D158392C}">
      <formula1>Tipo_indicador</formula1>
    </dataValidation>
    <dataValidation type="list" allowBlank="1" showInputMessage="1" showErrorMessage="1" sqref="D7" xr:uid="{76AAF5E2-B742-4756-A029-38F748487856}">
      <formula1>Nombre_indicador_ODS</formula1>
    </dataValidation>
    <dataValidation type="list" allowBlank="1" showInputMessage="1" showErrorMessage="1" sqref="D6" xr:uid="{CE3A31B4-DF48-4467-ABEB-FC5E86AD21C8}">
      <formula1>Numero_indicador</formula1>
    </dataValidation>
    <dataValidation type="list" allowBlank="1" showInputMessage="1" showErrorMessage="1" sqref="D5" xr:uid="{8D850743-3ABB-41D1-AF2A-CABDD4CE383F}">
      <formula1>Metas_ODS</formula1>
    </dataValidation>
    <dataValidation type="list" allowBlank="1" showInputMessage="1" showErrorMessage="1" sqref="D4" xr:uid="{30B2F714-2912-48F4-9E0E-339F741EAF8D}">
      <formula1>ODS</formula1>
    </dataValidation>
    <dataValidation allowBlank="1" showDropDown="1" showInputMessage="1" showErrorMessage="1" sqref="D13" xr:uid="{4C698695-DB2B-4099-95EA-C3AE16666BDB}"/>
  </dataValidations>
  <hyperlinks>
    <hyperlink ref="B1" location="'8.8.2.b'!A1" display="REGRESAR" xr:uid="{CFBC04AA-DAC1-4ADE-9B5D-18C3C947FEF5}"/>
    <hyperlink ref="D8" r:id="rId1" xr:uid="{50E89891-B851-4592-BDB7-F0CA41AC5890}"/>
    <hyperlink ref="D29" r:id="rId2" display="https://sites.google.com/d/15Pjsj_thNFKcmECtEMO0H6tIiQYOLsvH/p/14Avrr1xqNEYv6BGqjkqF-MSJCfNpYdQN/edit" xr:uid="{45D6E27A-B20F-4643-BCE7-E5340D13CCF4}"/>
  </hyperlinks>
  <pageMargins left="0.7" right="0.7" top="0.75" bottom="0.75" header="0.3" footer="0.3"/>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EB13-E365-4B7C-B085-6FD25CA3FEE9}">
  <dimension ref="A1:R51"/>
  <sheetViews>
    <sheetView showGridLines="0" workbookViewId="0">
      <pane ySplit="1" topLeftCell="A2" activePane="bottomLeft" state="frozen"/>
      <selection pane="bottomLeft"/>
    </sheetView>
  </sheetViews>
  <sheetFormatPr baseColWidth="10" defaultColWidth="11.42578125" defaultRowHeight="18.75" x14ac:dyDescent="0.4"/>
  <cols>
    <col min="1" max="1" width="15.5703125" style="115" customWidth="1"/>
    <col min="2" max="2" width="16.28515625" style="115" customWidth="1"/>
    <col min="3" max="3" width="8.85546875" style="1048" customWidth="1"/>
    <col min="4" max="4" width="13.7109375" style="115" customWidth="1"/>
    <col min="5" max="5" width="12" style="115" customWidth="1"/>
    <col min="6" max="6" width="12.7109375" style="115" customWidth="1"/>
    <col min="7" max="8" width="16.42578125" style="115" bestFit="1" customWidth="1"/>
    <col min="9" max="16384" width="11.42578125" style="115"/>
  </cols>
  <sheetData>
    <row r="1" spans="1:18" s="1032" customFormat="1" ht="19.5" x14ac:dyDescent="0.4">
      <c r="A1" s="15" t="s">
        <v>39</v>
      </c>
      <c r="B1" s="1080"/>
      <c r="C1" s="2421" t="s">
        <v>149</v>
      </c>
      <c r="D1" s="2421"/>
    </row>
    <row r="2" spans="1:18" s="1032" customFormat="1" ht="19.5" x14ac:dyDescent="0.4">
      <c r="C2" s="1061"/>
    </row>
    <row r="3" spans="1:18" s="1032" customFormat="1" ht="19.5" x14ac:dyDescent="0.4">
      <c r="A3" s="3135" t="s">
        <v>41</v>
      </c>
      <c r="B3" s="3135"/>
      <c r="C3" s="3117" t="s">
        <v>4957</v>
      </c>
      <c r="D3" s="3117"/>
      <c r="E3" s="3117"/>
      <c r="F3" s="3117"/>
      <c r="G3" s="3117"/>
      <c r="H3" s="3117"/>
      <c r="I3" s="3117"/>
      <c r="J3" s="3117"/>
      <c r="K3" s="3117"/>
      <c r="L3" s="3117"/>
      <c r="M3" s="3117"/>
      <c r="N3" s="3117"/>
      <c r="O3" s="3117"/>
      <c r="P3" s="3117"/>
      <c r="Q3" s="3117"/>
      <c r="R3" s="3117"/>
    </row>
    <row r="4" spans="1:18" s="1032" customFormat="1" ht="19.5" x14ac:dyDescent="0.4">
      <c r="A4" s="3135" t="s">
        <v>42</v>
      </c>
      <c r="B4" s="3135"/>
      <c r="C4" s="3115" t="s">
        <v>4943</v>
      </c>
      <c r="D4" s="3122"/>
      <c r="E4" s="3122"/>
      <c r="F4" s="3122"/>
      <c r="G4" s="3122"/>
      <c r="H4" s="3122"/>
      <c r="I4" s="3122"/>
      <c r="J4" s="3122"/>
      <c r="K4" s="3122"/>
      <c r="L4" s="3122"/>
      <c r="M4" s="3122"/>
      <c r="N4" s="3122"/>
      <c r="O4" s="3122"/>
      <c r="P4" s="3122"/>
      <c r="Q4" s="3122"/>
      <c r="R4" s="3116"/>
    </row>
    <row r="5" spans="1:18" s="1032" customFormat="1" ht="19.5" x14ac:dyDescent="0.4">
      <c r="A5" s="3135" t="s">
        <v>43</v>
      </c>
      <c r="B5" s="3135"/>
      <c r="C5" s="3115" t="s">
        <v>4945</v>
      </c>
      <c r="D5" s="3122"/>
      <c r="E5" s="3122"/>
      <c r="F5" s="3122"/>
      <c r="G5" s="3122"/>
      <c r="H5" s="3122"/>
      <c r="I5" s="3122"/>
      <c r="J5" s="3122"/>
      <c r="K5" s="3122"/>
      <c r="L5" s="3122"/>
      <c r="M5" s="3122"/>
      <c r="N5" s="3122"/>
      <c r="O5" s="3122"/>
      <c r="P5" s="3122"/>
      <c r="Q5" s="3122"/>
      <c r="R5" s="3116"/>
    </row>
    <row r="6" spans="1:18" s="1032" customFormat="1" ht="19.5" x14ac:dyDescent="0.4">
      <c r="A6" s="3135" t="s">
        <v>132</v>
      </c>
      <c r="B6" s="3135"/>
      <c r="C6" s="3115" t="s">
        <v>5224</v>
      </c>
      <c r="D6" s="3122"/>
      <c r="E6" s="3122"/>
      <c r="F6" s="3122"/>
      <c r="G6" s="3122"/>
      <c r="H6" s="3122"/>
      <c r="I6" s="3122"/>
      <c r="J6" s="3122"/>
      <c r="K6" s="3122"/>
      <c r="L6" s="3122"/>
      <c r="M6" s="3122"/>
      <c r="N6" s="3122"/>
      <c r="O6" s="3122"/>
      <c r="P6" s="3122"/>
      <c r="Q6" s="3122"/>
      <c r="R6" s="3116"/>
    </row>
    <row r="7" spans="1:18" s="1032" customFormat="1" ht="19.5" x14ac:dyDescent="0.4">
      <c r="A7" s="1084"/>
      <c r="C7" s="1061"/>
    </row>
    <row r="8" spans="1:18" s="1032" customFormat="1" ht="19.5" x14ac:dyDescent="0.4">
      <c r="C8" s="1061"/>
    </row>
    <row r="9" spans="1:18" s="1032" customFormat="1" ht="18.600000000000001" customHeight="1" x14ac:dyDescent="0.4">
      <c r="C9" s="3118" t="s">
        <v>5224</v>
      </c>
      <c r="D9" s="3118"/>
      <c r="E9" s="3118"/>
      <c r="F9" s="3118"/>
      <c r="G9" s="3118"/>
    </row>
    <row r="10" spans="1:18" ht="19.5" x14ac:dyDescent="0.4">
      <c r="C10" s="1528" t="s">
        <v>5225</v>
      </c>
      <c r="D10" s="1528"/>
      <c r="E10" s="1528"/>
      <c r="F10" s="1528"/>
      <c r="G10" s="1528"/>
    </row>
    <row r="11" spans="1:18" ht="56.25" x14ac:dyDescent="0.4">
      <c r="C11" s="1529"/>
      <c r="D11" s="1442" t="s">
        <v>5226</v>
      </c>
      <c r="E11" s="1442" t="s">
        <v>5227</v>
      </c>
      <c r="F11" s="1442" t="s">
        <v>5228</v>
      </c>
      <c r="G11" s="1442" t="s">
        <v>5229</v>
      </c>
    </row>
    <row r="12" spans="1:18" x14ac:dyDescent="0.4">
      <c r="C12" s="232">
        <v>2012</v>
      </c>
      <c r="D12" s="1530">
        <v>1030855.5886949393</v>
      </c>
      <c r="E12" s="1530">
        <v>23752868.570291191</v>
      </c>
      <c r="F12" s="1531">
        <v>4.3399204001165481E-2</v>
      </c>
      <c r="G12" s="537"/>
    </row>
    <row r="13" spans="1:18" x14ac:dyDescent="0.4">
      <c r="C13" s="232">
        <v>2013</v>
      </c>
      <c r="D13" s="1530">
        <v>1165247.2186300897</v>
      </c>
      <c r="E13" s="1532">
        <v>25462954.639352739</v>
      </c>
      <c r="F13" s="1531">
        <v>4.5762451181891199E-2</v>
      </c>
      <c r="G13" s="1533">
        <v>0.1303690171630052</v>
      </c>
    </row>
    <row r="14" spans="1:18" x14ac:dyDescent="0.4">
      <c r="C14" s="232">
        <v>2014</v>
      </c>
      <c r="D14" s="1530">
        <v>1257218.2156431789</v>
      </c>
      <c r="E14" s="1530">
        <v>28001327.620470978</v>
      </c>
      <c r="F14" s="1531">
        <v>4.4898521694523595E-2</v>
      </c>
      <c r="G14" s="1533">
        <v>7.8928312844388504E-2</v>
      </c>
    </row>
    <row r="15" spans="1:18" x14ac:dyDescent="0.4">
      <c r="C15" s="232">
        <v>2015</v>
      </c>
      <c r="D15" s="1530">
        <v>1379123.4751707749</v>
      </c>
      <c r="E15" s="1530">
        <v>30171918.863718431</v>
      </c>
      <c r="F15" s="1531">
        <v>4.5708842099173329E-2</v>
      </c>
      <c r="G15" s="1533">
        <v>9.696428035385285E-2</v>
      </c>
    </row>
    <row r="16" spans="1:18" x14ac:dyDescent="0.4">
      <c r="C16" s="232">
        <v>2016</v>
      </c>
      <c r="D16" s="1530">
        <v>1554928.7547580427</v>
      </c>
      <c r="E16" s="1530">
        <v>32056288.212047994</v>
      </c>
      <c r="F16" s="1531">
        <v>4.8506200857454246E-2</v>
      </c>
      <c r="G16" s="1533">
        <v>0.12747609822644645</v>
      </c>
    </row>
    <row r="17" spans="3:10" x14ac:dyDescent="0.4">
      <c r="C17" s="232">
        <v>2017</v>
      </c>
      <c r="D17" s="1530">
        <v>1651528.259529528</v>
      </c>
      <c r="E17" s="1530">
        <v>34343647.497605249</v>
      </c>
      <c r="F17" s="1531">
        <v>4.8088318506200822E-2</v>
      </c>
      <c r="G17" s="1533">
        <v>6.2124714380574098E-2</v>
      </c>
    </row>
    <row r="18" spans="3:10" x14ac:dyDescent="0.4">
      <c r="C18" s="232">
        <v>2018</v>
      </c>
      <c r="D18" s="1530">
        <v>1676188.2903243129</v>
      </c>
      <c r="E18" s="1530">
        <v>36014718.708003961</v>
      </c>
      <c r="F18" s="1531">
        <v>4.6541757105319125E-2</v>
      </c>
      <c r="G18" s="1533">
        <v>1.4931643253752069E-2</v>
      </c>
    </row>
    <row r="19" spans="3:10" x14ac:dyDescent="0.4">
      <c r="C19" s="232">
        <v>2019</v>
      </c>
      <c r="D19" s="1530">
        <v>1822785.3991457291</v>
      </c>
      <c r="E19" s="1530">
        <v>37832149.784087881</v>
      </c>
      <c r="F19" s="1531">
        <v>4.8180857010467551E-2</v>
      </c>
      <c r="G19" s="1533">
        <v>8.7458616473840456E-2</v>
      </c>
    </row>
    <row r="20" spans="3:10" x14ac:dyDescent="0.4">
      <c r="C20" s="232">
        <v>2020</v>
      </c>
      <c r="D20" s="1530">
        <v>682091.77053361956</v>
      </c>
      <c r="E20" s="1530">
        <v>36495246.08175943</v>
      </c>
      <c r="F20" s="1531">
        <v>1.8689880019045375E-2</v>
      </c>
      <c r="G20" s="1533">
        <v>-0.62579699680868073</v>
      </c>
    </row>
    <row r="21" spans="3:10" x14ac:dyDescent="0.4">
      <c r="C21" s="232">
        <v>2021</v>
      </c>
      <c r="D21" s="1530" t="s">
        <v>5230</v>
      </c>
      <c r="E21" s="1530" t="s">
        <v>5231</v>
      </c>
      <c r="F21" s="1531">
        <v>2.7E-2</v>
      </c>
      <c r="G21" s="1533">
        <v>0.60799999999999998</v>
      </c>
    </row>
    <row r="22" spans="3:10" x14ac:dyDescent="0.4">
      <c r="C22" s="1534" t="s">
        <v>5232</v>
      </c>
      <c r="D22" s="1535"/>
      <c r="E22" s="1535"/>
      <c r="F22" s="1535"/>
      <c r="G22" s="1535"/>
      <c r="H22" s="1063"/>
      <c r="I22" s="1063"/>
      <c r="J22" s="1063"/>
    </row>
    <row r="23" spans="3:10" x14ac:dyDescent="0.4">
      <c r="C23" s="301" t="s">
        <v>5233</v>
      </c>
      <c r="D23" s="545"/>
      <c r="E23" s="545"/>
      <c r="F23" s="545"/>
      <c r="G23" s="545"/>
      <c r="H23" s="545"/>
      <c r="I23" s="545"/>
      <c r="J23" s="545"/>
    </row>
    <row r="24" spans="3:10" x14ac:dyDescent="0.4">
      <c r="C24" s="155" t="s">
        <v>5234</v>
      </c>
    </row>
    <row r="28" spans="3:10" ht="22.5" customHeight="1" x14ac:dyDescent="0.4">
      <c r="C28" s="138" t="s">
        <v>5235</v>
      </c>
      <c r="D28" s="138"/>
      <c r="E28" s="138"/>
      <c r="F28" s="138"/>
      <c r="G28" s="138"/>
    </row>
    <row r="41" spans="3:3" x14ac:dyDescent="0.4">
      <c r="C41" s="155" t="s">
        <v>5232</v>
      </c>
    </row>
    <row r="42" spans="3:3" x14ac:dyDescent="0.4">
      <c r="C42" s="155" t="s">
        <v>5236</v>
      </c>
    </row>
    <row r="50" spans="3:10" ht="17.45" customHeight="1" x14ac:dyDescent="0.4">
      <c r="C50" s="115"/>
      <c r="D50" s="155"/>
      <c r="E50" s="155"/>
      <c r="F50" s="155"/>
      <c r="G50" s="155"/>
      <c r="H50" s="155"/>
      <c r="I50" s="155"/>
      <c r="J50" s="155"/>
    </row>
    <row r="51" spans="3:10" x14ac:dyDescent="0.4">
      <c r="C51" s="115"/>
    </row>
  </sheetData>
  <mergeCells count="10">
    <mergeCell ref="A6:B6"/>
    <mergeCell ref="C6:R6"/>
    <mergeCell ref="C9:G9"/>
    <mergeCell ref="C1:D1"/>
    <mergeCell ref="A3:B3"/>
    <mergeCell ref="C3:R3"/>
    <mergeCell ref="A4:B4"/>
    <mergeCell ref="C4:R4"/>
    <mergeCell ref="A5:B5"/>
    <mergeCell ref="C5:R5"/>
  </mergeCells>
  <hyperlinks>
    <hyperlink ref="A1" location="'ODS 8.'!A1" display="REGRESAR" xr:uid="{1FE781BD-A508-4A5E-87AC-87A489B992EA}"/>
    <hyperlink ref="C1:D1" location="'Metadato 8.9.1'!A1" display="VER METADATO" xr:uid="{08C552D3-7961-4412-A999-8B06905D8D7F}"/>
  </hyperlinks>
  <pageMargins left="0.7" right="0.7" top="0.75" bottom="0.75" header="0.3" footer="0.3"/>
  <pageSetup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884A-A7DF-48DC-8964-2DD916CD33A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265</v>
      </c>
    </row>
    <row r="4" spans="1:6" ht="34.5" customHeight="1" x14ac:dyDescent="0.25">
      <c r="A4" s="1079"/>
      <c r="B4" s="2445" t="s">
        <v>234</v>
      </c>
      <c r="C4" s="2445"/>
      <c r="D4" s="49" t="s">
        <v>4975</v>
      </c>
    </row>
    <row r="5" spans="1:6" ht="37.5" x14ac:dyDescent="0.25">
      <c r="B5" s="2445" t="s">
        <v>79</v>
      </c>
      <c r="C5" s="2445"/>
      <c r="D5" s="49" t="s">
        <v>4943</v>
      </c>
    </row>
    <row r="6" spans="1:6" x14ac:dyDescent="0.25">
      <c r="B6" s="2445" t="s">
        <v>80</v>
      </c>
      <c r="C6" s="2445"/>
      <c r="D6" s="50" t="s">
        <v>4944</v>
      </c>
    </row>
    <row r="7" spans="1:6" ht="37.5" x14ac:dyDescent="0.25">
      <c r="B7" s="2446" t="s">
        <v>81</v>
      </c>
      <c r="C7" s="2446"/>
      <c r="D7" s="93" t="s">
        <v>4945</v>
      </c>
    </row>
    <row r="8" spans="1:6" x14ac:dyDescent="0.25">
      <c r="B8" s="2446" t="s">
        <v>82</v>
      </c>
      <c r="C8" s="2446"/>
      <c r="D8" s="1047" t="s">
        <v>5237</v>
      </c>
    </row>
    <row r="9" spans="1:6" x14ac:dyDescent="0.4">
      <c r="B9" s="115"/>
      <c r="C9" s="115"/>
      <c r="D9" s="115"/>
    </row>
    <row r="10" spans="1:6" ht="23.25" customHeight="1" x14ac:dyDescent="0.25">
      <c r="B10" s="3119" t="s">
        <v>85</v>
      </c>
      <c r="C10" s="3119"/>
      <c r="D10" s="3119"/>
    </row>
    <row r="11" spans="1:6" x14ac:dyDescent="0.25">
      <c r="B11" s="2487" t="s">
        <v>86</v>
      </c>
      <c r="C11" s="2456"/>
      <c r="D11" s="49"/>
    </row>
    <row r="12" spans="1:6" ht="15" customHeight="1" x14ac:dyDescent="0.25">
      <c r="B12" s="2446" t="s">
        <v>88</v>
      </c>
      <c r="C12" s="2446"/>
      <c r="D12" s="184" t="s">
        <v>5238</v>
      </c>
    </row>
    <row r="13" spans="1:6" x14ac:dyDescent="0.25">
      <c r="B13" s="2445" t="s">
        <v>90</v>
      </c>
      <c r="C13" s="2445"/>
      <c r="D13" s="54" t="str">
        <f>+D6</f>
        <v>8.9.1</v>
      </c>
    </row>
    <row r="14" spans="1:6" x14ac:dyDescent="0.25">
      <c r="B14" s="2445" t="s">
        <v>91</v>
      </c>
      <c r="C14" s="2456"/>
      <c r="D14" s="54" t="s">
        <v>92</v>
      </c>
    </row>
    <row r="15" spans="1:6" ht="131.25" x14ac:dyDescent="0.25">
      <c r="B15" s="2445" t="s">
        <v>93</v>
      </c>
      <c r="C15" s="2445"/>
      <c r="D15" s="49" t="s">
        <v>5239</v>
      </c>
    </row>
    <row r="16" spans="1:6" x14ac:dyDescent="0.25">
      <c r="B16" s="2445" t="s">
        <v>95</v>
      </c>
      <c r="C16" s="2445"/>
      <c r="D16" s="49" t="s">
        <v>5240</v>
      </c>
    </row>
    <row r="17" spans="2:4" x14ac:dyDescent="0.25">
      <c r="B17" s="2445" t="s">
        <v>97</v>
      </c>
      <c r="C17" s="2445"/>
      <c r="D17" s="55" t="s">
        <v>5241</v>
      </c>
    </row>
    <row r="18" spans="2:4" x14ac:dyDescent="0.25">
      <c r="B18" s="2446" t="s">
        <v>99</v>
      </c>
      <c r="C18" s="2446"/>
      <c r="D18" s="49" t="s">
        <v>5242</v>
      </c>
    </row>
    <row r="19" spans="2:4" ht="15" customHeight="1" x14ac:dyDescent="0.25">
      <c r="B19" s="2457" t="s">
        <v>100</v>
      </c>
      <c r="C19" s="2458"/>
      <c r="D19" s="55" t="s">
        <v>5243</v>
      </c>
    </row>
    <row r="20" spans="2:4" x14ac:dyDescent="0.25">
      <c r="B20" s="2445" t="s">
        <v>102</v>
      </c>
      <c r="C20" s="2445"/>
      <c r="D20" s="49" t="s">
        <v>140</v>
      </c>
    </row>
    <row r="21" spans="2:4" x14ac:dyDescent="0.25">
      <c r="B21" s="2451" t="s">
        <v>104</v>
      </c>
      <c r="C21" s="95" t="s">
        <v>105</v>
      </c>
      <c r="D21" s="49" t="s">
        <v>4620</v>
      </c>
    </row>
    <row r="22" spans="2:4" x14ac:dyDescent="0.25">
      <c r="B22" s="2452"/>
      <c r="C22" s="96" t="s">
        <v>107</v>
      </c>
      <c r="D22" s="55" t="s">
        <v>4620</v>
      </c>
    </row>
    <row r="23" spans="2:4" x14ac:dyDescent="0.25">
      <c r="B23" s="2445" t="s">
        <v>109</v>
      </c>
      <c r="C23" s="2445"/>
      <c r="D23" s="49" t="s">
        <v>143</v>
      </c>
    </row>
    <row r="24" spans="2:4" x14ac:dyDescent="0.25">
      <c r="B24" s="2445" t="s">
        <v>111</v>
      </c>
      <c r="C24" s="2445"/>
      <c r="D24" s="49" t="s">
        <v>3388</v>
      </c>
    </row>
    <row r="25" spans="2:4" x14ac:dyDescent="0.25">
      <c r="B25" s="2445" t="s">
        <v>113</v>
      </c>
      <c r="C25" s="2445"/>
      <c r="D25" s="55" t="s">
        <v>5244</v>
      </c>
    </row>
    <row r="26" spans="2:4" ht="30" customHeight="1" x14ac:dyDescent="0.25">
      <c r="B26" s="2446" t="s">
        <v>115</v>
      </c>
      <c r="C26" s="2446"/>
      <c r="D26" s="49" t="s">
        <v>5245</v>
      </c>
    </row>
    <row r="27" spans="2:4" x14ac:dyDescent="0.25">
      <c r="B27" s="2447" t="s">
        <v>117</v>
      </c>
      <c r="C27" s="2448"/>
      <c r="D27" s="49" t="s">
        <v>5246</v>
      </c>
    </row>
    <row r="28" spans="2:4" x14ac:dyDescent="0.25">
      <c r="B28" s="97" t="s">
        <v>118</v>
      </c>
      <c r="C28" s="98"/>
      <c r="D28" s="49"/>
    </row>
    <row r="29" spans="2:4" x14ac:dyDescent="0.25">
      <c r="B29" s="2449" t="s">
        <v>120</v>
      </c>
      <c r="C29" s="2450"/>
      <c r="D29" s="1536" t="s">
        <v>5247</v>
      </c>
    </row>
    <row r="30" spans="2:4" x14ac:dyDescent="0.25">
      <c r="B30" s="63"/>
      <c r="C30" s="63"/>
      <c r="D30" s="64"/>
    </row>
    <row r="31" spans="2:4" ht="23.25" customHeight="1" x14ac:dyDescent="0.25">
      <c r="B31" s="3119" t="s">
        <v>121</v>
      </c>
      <c r="C31" s="3119"/>
      <c r="D31" s="3119"/>
    </row>
    <row r="32" spans="2:4" x14ac:dyDescent="0.25">
      <c r="B32" s="2447" t="s">
        <v>122</v>
      </c>
      <c r="C32" s="2448"/>
      <c r="D32" s="55" t="s">
        <v>5248</v>
      </c>
    </row>
    <row r="33" spans="2:4" x14ac:dyDescent="0.25">
      <c r="B33" s="2447" t="s">
        <v>124</v>
      </c>
      <c r="C33" s="2448"/>
      <c r="D33" s="55" t="s">
        <v>5249</v>
      </c>
    </row>
    <row r="34" spans="2:4" x14ac:dyDescent="0.25">
      <c r="B34" s="2447" t="s">
        <v>126</v>
      </c>
      <c r="C34" s="2448"/>
      <c r="D34" s="55" t="s">
        <v>3388</v>
      </c>
    </row>
    <row r="35" spans="2:4" x14ac:dyDescent="0.25">
      <c r="B35" s="2447" t="s">
        <v>128</v>
      </c>
      <c r="C35" s="2448"/>
      <c r="D35" s="246" t="s">
        <v>5250</v>
      </c>
    </row>
    <row r="36" spans="2:4" x14ac:dyDescent="0.25">
      <c r="B36" s="2447" t="s">
        <v>130</v>
      </c>
      <c r="C36" s="2448"/>
      <c r="D36" s="247" t="s">
        <v>5251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E96FDE8-8A59-4DA6-9818-EC210F2AD1FA}">
      <formula1>Tipo_operación</formula1>
    </dataValidation>
    <dataValidation type="list" allowBlank="1" showInputMessage="1" showErrorMessage="1" sqref="D14" xr:uid="{0B635FC2-FF05-4A62-8C15-212D7A6EC990}">
      <formula1>Tipo_indicador</formula1>
    </dataValidation>
    <dataValidation type="list" allowBlank="1" showInputMessage="1" showErrorMessage="1" sqref="D7" xr:uid="{A673C816-EA44-4A41-8C2C-85C1ECBA71A6}">
      <formula1>Nombre_indicador_ODS</formula1>
    </dataValidation>
    <dataValidation type="list" allowBlank="1" showInputMessage="1" showErrorMessage="1" sqref="D6" xr:uid="{E4E5E2F2-9B80-4FF4-A63B-2D00FD43EE97}">
      <formula1>Numero_indicador</formula1>
    </dataValidation>
    <dataValidation type="list" allowBlank="1" showInputMessage="1" showErrorMessage="1" sqref="D5" xr:uid="{00F71A3C-54DE-44B7-AA82-8A723B838334}">
      <formula1>Metas_ODS</formula1>
    </dataValidation>
    <dataValidation type="list" allowBlank="1" showInputMessage="1" showErrorMessage="1" sqref="D4" xr:uid="{2A2381B9-1FB4-46F6-AF11-6677336E3DDA}">
      <formula1>ODS</formula1>
    </dataValidation>
    <dataValidation allowBlank="1" showDropDown="1" showInputMessage="1" showErrorMessage="1" sqref="D13" xr:uid="{5C1EC664-0461-491B-9C10-BBDE094147EF}"/>
  </dataValidations>
  <hyperlinks>
    <hyperlink ref="B1" location="'8.9.1'!A1" display="REGRESAR" xr:uid="{8834E801-6CC6-464B-A065-21679D3D9E37}"/>
    <hyperlink ref="D8" r:id="rId1" xr:uid="{6669EAF5-9391-4A5B-B7F6-18FCEE4ACEF4}"/>
    <hyperlink ref="D36" r:id="rId2" xr:uid="{3D59C3D4-F41B-4614-931F-6EDDC2041870}"/>
    <hyperlink ref="D29" r:id="rId3" xr:uid="{15EE13CC-5162-4E75-A793-740B3882AA9B}"/>
  </hyperlinks>
  <pageMargins left="0.7" right="0.7" top="0.75" bottom="0.75" header="0.3" footer="0.3"/>
  <pageSetup orientation="portrait" r:id="rId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4F53-7D87-4BB7-848A-D20B9FBC568A}">
  <dimension ref="A1:V27"/>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5.42578125" style="1048" customWidth="1"/>
    <col min="3" max="3" width="8.42578125" style="115" customWidth="1"/>
    <col min="4" max="4" width="19.5703125" style="115" customWidth="1"/>
    <col min="5" max="5" width="14.140625" style="115" customWidth="1"/>
    <col min="6" max="6" width="12" style="115" customWidth="1"/>
    <col min="7" max="10" width="10.5703125" style="115" customWidth="1"/>
    <col min="11" max="11" width="12.28515625" style="115" customWidth="1"/>
    <col min="12" max="12" width="14.28515625" style="115" customWidth="1"/>
    <col min="13" max="13" width="6.7109375" style="115" customWidth="1"/>
    <col min="14" max="16384" width="11.42578125" style="115"/>
  </cols>
  <sheetData>
    <row r="1" spans="1:22" x14ac:dyDescent="0.4">
      <c r="A1" s="90" t="s">
        <v>39</v>
      </c>
      <c r="C1" s="2541" t="s">
        <v>149</v>
      </c>
      <c r="D1" s="2541"/>
    </row>
    <row r="3" spans="1:22" x14ac:dyDescent="0.4">
      <c r="A3" s="3145" t="s">
        <v>41</v>
      </c>
      <c r="B3" s="3145"/>
      <c r="C3" s="3145" t="s">
        <v>4957</v>
      </c>
      <c r="D3" s="3145"/>
      <c r="E3" s="3145"/>
      <c r="F3" s="3145"/>
      <c r="G3" s="3145"/>
      <c r="H3" s="3145"/>
      <c r="I3" s="3145"/>
      <c r="J3" s="3145"/>
      <c r="K3" s="3145"/>
      <c r="L3" s="3145"/>
      <c r="M3" s="3145"/>
      <c r="N3" s="3145"/>
      <c r="O3" s="3145"/>
      <c r="P3" s="3145"/>
      <c r="Q3" s="3145"/>
      <c r="R3" s="3145"/>
      <c r="S3" s="3145"/>
      <c r="T3" s="3145"/>
      <c r="U3" s="3145"/>
      <c r="V3" s="3145"/>
    </row>
    <row r="4" spans="1:22" x14ac:dyDescent="0.4">
      <c r="A4" s="3145" t="s">
        <v>42</v>
      </c>
      <c r="B4" s="3145"/>
      <c r="C4" s="3145" t="s">
        <v>4946</v>
      </c>
      <c r="D4" s="3145"/>
      <c r="E4" s="3145"/>
      <c r="F4" s="3145"/>
      <c r="G4" s="3145"/>
      <c r="H4" s="3145"/>
      <c r="I4" s="3145"/>
      <c r="J4" s="3145"/>
      <c r="K4" s="3145"/>
      <c r="L4" s="3145"/>
      <c r="M4" s="3145"/>
      <c r="N4" s="3145"/>
      <c r="O4" s="3145"/>
      <c r="P4" s="3145"/>
      <c r="Q4" s="3145"/>
      <c r="R4" s="3145"/>
      <c r="S4" s="3145"/>
      <c r="T4" s="3145"/>
      <c r="U4" s="3145"/>
      <c r="V4" s="3145"/>
    </row>
    <row r="5" spans="1:22" x14ac:dyDescent="0.4">
      <c r="A5" s="3145" t="s">
        <v>43</v>
      </c>
      <c r="B5" s="3145"/>
      <c r="C5" s="3145" t="s">
        <v>4948</v>
      </c>
      <c r="D5" s="3145"/>
      <c r="E5" s="3145"/>
      <c r="F5" s="3145"/>
      <c r="G5" s="3145"/>
      <c r="H5" s="3145"/>
      <c r="I5" s="3145"/>
      <c r="J5" s="3145"/>
      <c r="K5" s="3145"/>
      <c r="L5" s="3145"/>
      <c r="M5" s="3145"/>
      <c r="N5" s="3145"/>
      <c r="O5" s="3145"/>
      <c r="P5" s="3145"/>
      <c r="Q5" s="3145"/>
      <c r="R5" s="3145"/>
      <c r="S5" s="3145"/>
      <c r="T5" s="3145"/>
      <c r="U5" s="3145"/>
      <c r="V5" s="3145"/>
    </row>
    <row r="6" spans="1:22" x14ac:dyDescent="0.4">
      <c r="A6" s="3145" t="s">
        <v>132</v>
      </c>
      <c r="B6" s="3145"/>
      <c r="C6" s="3145" t="s">
        <v>5252</v>
      </c>
      <c r="D6" s="3145"/>
      <c r="E6" s="3145"/>
      <c r="F6" s="3145"/>
      <c r="G6" s="3145"/>
      <c r="H6" s="3145"/>
      <c r="I6" s="3145"/>
      <c r="J6" s="3145"/>
      <c r="K6" s="3145"/>
      <c r="L6" s="3145"/>
      <c r="M6" s="3145"/>
      <c r="N6" s="3145"/>
      <c r="O6" s="3145"/>
      <c r="P6" s="3145"/>
      <c r="Q6" s="3145"/>
      <c r="R6" s="3145"/>
      <c r="S6" s="3145"/>
      <c r="T6" s="3145"/>
      <c r="U6" s="3145"/>
      <c r="V6" s="3145"/>
    </row>
    <row r="9" spans="1:22" ht="55.15" customHeight="1" x14ac:dyDescent="0.4">
      <c r="C9" s="2628" t="s">
        <v>5252</v>
      </c>
      <c r="D9" s="2628"/>
      <c r="E9" s="2628"/>
      <c r="F9" s="2628"/>
      <c r="G9" s="575"/>
      <c r="H9" s="575"/>
      <c r="I9" s="575"/>
      <c r="J9" s="575"/>
      <c r="K9" s="1048"/>
      <c r="L9" s="2628" t="s">
        <v>5253</v>
      </c>
      <c r="M9" s="2628"/>
      <c r="N9" s="2628"/>
      <c r="O9" s="2628"/>
      <c r="P9" s="2628"/>
      <c r="Q9" s="2628"/>
    </row>
    <row r="10" spans="1:22" ht="75" x14ac:dyDescent="0.4">
      <c r="A10" s="536"/>
      <c r="B10" s="115"/>
      <c r="C10" s="1537" t="s">
        <v>46</v>
      </c>
      <c r="D10" s="1442" t="s">
        <v>5254</v>
      </c>
      <c r="E10" s="1442" t="s">
        <v>5255</v>
      </c>
      <c r="F10" s="1442" t="s">
        <v>5256</v>
      </c>
      <c r="G10" s="1089"/>
      <c r="H10" s="3186" t="s">
        <v>5257</v>
      </c>
      <c r="I10" s="3186"/>
      <c r="J10" s="1089"/>
    </row>
    <row r="11" spans="1:22" x14ac:dyDescent="0.4">
      <c r="A11" s="536"/>
      <c r="C11" s="1538">
        <v>2013</v>
      </c>
      <c r="D11" s="1382">
        <f t="shared" ref="D11:D21" si="0">+E11/F11*100000</f>
        <v>21.235361448024445</v>
      </c>
      <c r="E11" s="1539">
        <v>755</v>
      </c>
      <c r="F11" s="1540">
        <v>3555390.3890354484</v>
      </c>
      <c r="G11" s="1540"/>
      <c r="H11" s="1540"/>
      <c r="I11" s="1540"/>
      <c r="J11" s="1540"/>
    </row>
    <row r="12" spans="1:22" x14ac:dyDescent="0.4">
      <c r="A12" s="536"/>
      <c r="C12" s="1538">
        <v>2014</v>
      </c>
      <c r="D12" s="1382">
        <f t="shared" si="0"/>
        <v>21.270437002266554</v>
      </c>
      <c r="E12" s="1539">
        <v>770</v>
      </c>
      <c r="F12" s="1540">
        <v>3620047.8622886296</v>
      </c>
      <c r="G12" s="1540"/>
      <c r="H12" s="1540"/>
      <c r="I12" s="1540"/>
      <c r="J12" s="1540"/>
    </row>
    <row r="13" spans="1:22" x14ac:dyDescent="0.4">
      <c r="A13" s="536"/>
      <c r="C13" s="1538">
        <v>2015</v>
      </c>
      <c r="D13" s="1382">
        <f t="shared" si="0"/>
        <v>21.257621066227031</v>
      </c>
      <c r="E13" s="1539">
        <v>783</v>
      </c>
      <c r="F13" s="1540">
        <v>3683384.8790539806</v>
      </c>
      <c r="G13" s="1540"/>
      <c r="H13" s="1540"/>
      <c r="I13" s="1540"/>
      <c r="J13" s="1540"/>
    </row>
    <row r="14" spans="1:22" x14ac:dyDescent="0.4">
      <c r="A14" s="536"/>
      <c r="C14" s="1538">
        <v>2016</v>
      </c>
      <c r="D14" s="1382">
        <f t="shared" si="0"/>
        <v>20.690873949218602</v>
      </c>
      <c r="E14" s="1539">
        <v>775</v>
      </c>
      <c r="F14" s="1540">
        <v>3745612.6884832149</v>
      </c>
      <c r="G14" s="1540"/>
      <c r="H14" s="1540"/>
      <c r="I14" s="1540"/>
      <c r="J14" s="1540"/>
    </row>
    <row r="15" spans="1:22" x14ac:dyDescent="0.4">
      <c r="A15" s="536"/>
      <c r="C15" s="1538">
        <v>2017</v>
      </c>
      <c r="D15" s="1382">
        <f t="shared" si="0"/>
        <v>19.702913005292995</v>
      </c>
      <c r="E15" s="1539">
        <v>749</v>
      </c>
      <c r="F15" s="1540">
        <v>3801468.3402336929</v>
      </c>
      <c r="G15" s="1540"/>
      <c r="H15" s="1540"/>
      <c r="I15" s="1540"/>
      <c r="J15" s="1540"/>
    </row>
    <row r="16" spans="1:22" x14ac:dyDescent="0.4">
      <c r="A16" s="536"/>
      <c r="C16" s="1538">
        <v>2018</v>
      </c>
      <c r="D16" s="1382">
        <f t="shared" si="0"/>
        <v>19.702180531124036</v>
      </c>
      <c r="E16" s="1539">
        <v>760</v>
      </c>
      <c r="F16" s="1541">
        <v>3857441.0522703752</v>
      </c>
      <c r="G16" s="1540"/>
      <c r="H16" s="1540"/>
      <c r="I16" s="1540"/>
      <c r="J16" s="1540"/>
    </row>
    <row r="17" spans="1:15" x14ac:dyDescent="0.4">
      <c r="A17" s="536"/>
      <c r="C17" s="1538">
        <v>2019</v>
      </c>
      <c r="D17" s="1382">
        <f t="shared" si="0"/>
        <v>18.947276041731069</v>
      </c>
      <c r="E17" s="536">
        <v>741</v>
      </c>
      <c r="F17" s="1541">
        <v>3910852.4009887204</v>
      </c>
      <c r="G17" s="1540"/>
      <c r="H17" s="1540"/>
      <c r="I17" s="1540"/>
      <c r="J17" s="1540"/>
    </row>
    <row r="18" spans="1:15" x14ac:dyDescent="0.4">
      <c r="A18" s="536"/>
      <c r="C18" s="1538">
        <v>2020</v>
      </c>
      <c r="D18" s="1382">
        <f t="shared" si="0"/>
        <v>17.149552159576483</v>
      </c>
      <c r="E18" s="536">
        <v>679</v>
      </c>
      <c r="F18" s="1541">
        <v>3959287.062903503</v>
      </c>
      <c r="G18" s="545"/>
      <c r="H18" s="545"/>
      <c r="I18" s="545"/>
      <c r="J18" s="545"/>
    </row>
    <row r="19" spans="1:15" x14ac:dyDescent="0.4">
      <c r="A19" s="536"/>
      <c r="C19" s="1538">
        <v>2021</v>
      </c>
      <c r="D19" s="1382">
        <f t="shared" si="0"/>
        <v>16.297170627467466</v>
      </c>
      <c r="E19" s="536">
        <v>653</v>
      </c>
      <c r="F19" s="1541">
        <v>4006830.4795154147</v>
      </c>
    </row>
    <row r="20" spans="1:15" x14ac:dyDescent="0.4">
      <c r="A20" s="536"/>
      <c r="C20" s="1538">
        <v>2022</v>
      </c>
      <c r="D20" s="1382">
        <f t="shared" si="0"/>
        <v>15.800580154336417</v>
      </c>
      <c r="E20" s="536">
        <v>641</v>
      </c>
      <c r="F20" s="1541">
        <v>4056813.0647030682</v>
      </c>
    </row>
    <row r="21" spans="1:15" x14ac:dyDescent="0.4">
      <c r="A21" s="536"/>
      <c r="C21" s="1542">
        <v>2023</v>
      </c>
      <c r="D21" s="1388">
        <f t="shared" si="0"/>
        <v>15.731241900508305</v>
      </c>
      <c r="E21" s="824">
        <v>647</v>
      </c>
      <c r="F21" s="1543">
        <v>4112834.8549461584</v>
      </c>
    </row>
    <row r="22" spans="1:15" x14ac:dyDescent="0.4">
      <c r="A22" s="536"/>
      <c r="C22" s="3185" t="s">
        <v>5258</v>
      </c>
      <c r="D22" s="3185"/>
      <c r="E22" s="3185"/>
      <c r="F22" s="3185"/>
    </row>
    <row r="23" spans="1:15" x14ac:dyDescent="0.4">
      <c r="A23" s="536"/>
      <c r="C23" s="3068"/>
      <c r="D23" s="3068"/>
      <c r="E23" s="3068"/>
      <c r="F23" s="3068"/>
    </row>
    <row r="24" spans="1:15" ht="22.15" customHeight="1" x14ac:dyDescent="0.4">
      <c r="A24" s="536"/>
      <c r="L24" s="155" t="s">
        <v>5259</v>
      </c>
      <c r="M24" s="155"/>
      <c r="N24" s="155"/>
      <c r="O24" s="155"/>
    </row>
    <row r="25" spans="1:15" x14ac:dyDescent="0.4">
      <c r="A25" s="536"/>
    </row>
    <row r="26" spans="1:15" x14ac:dyDescent="0.4">
      <c r="A26" s="536"/>
    </row>
    <row r="27" spans="1:15" x14ac:dyDescent="0.4">
      <c r="A27" s="536"/>
    </row>
  </sheetData>
  <mergeCells count="13">
    <mergeCell ref="C22:F23"/>
    <mergeCell ref="C1:D1"/>
    <mergeCell ref="A3:B3"/>
    <mergeCell ref="C3:V3"/>
    <mergeCell ref="A4:B4"/>
    <mergeCell ref="C4:V4"/>
    <mergeCell ref="A5:B5"/>
    <mergeCell ref="C5:V5"/>
    <mergeCell ref="A6:B6"/>
    <mergeCell ref="C6:V6"/>
    <mergeCell ref="C9:F9"/>
    <mergeCell ref="L9:Q9"/>
    <mergeCell ref="H10:I10"/>
  </mergeCells>
  <hyperlinks>
    <hyperlink ref="A1" location="'ODS 8.'!A1" display="REGRESAR" xr:uid="{A1E69DAA-8E50-4E5E-A8A8-F6D1C0783EA3}"/>
    <hyperlink ref="C1:D1" location="'Metadato 8.10.1.a'!A1" display="VER METADATO" xr:uid="{51A7AC2D-1B84-4473-A7A0-58DF900792BC}"/>
    <hyperlink ref="H10:I10" location="'8.10.1.b'!A1" display="Ver indicador 8.10.1.b" xr:uid="{4D388944-07CF-4A4C-BAA0-B4C49A3355EA}"/>
  </hyperlinks>
  <pageMargins left="0.7" right="0.7" top="0.75" bottom="0.75" header="0.3" footer="0.3"/>
  <pageSetup orientation="portrait" horizontalDpi="4294967293"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79B6-0959-4608-96C5-60EC37539091}">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8.42578125" style="243" customWidth="1"/>
    <col min="2" max="2" width="26.42578125" style="243" customWidth="1"/>
    <col min="3" max="3" width="24" style="243" customWidth="1"/>
    <col min="4" max="4" width="85.7109375" style="243" customWidth="1"/>
    <col min="5" max="5" width="12.28515625" style="243" customWidth="1"/>
    <col min="6" max="6" width="7.28515625" style="243" customWidth="1"/>
    <col min="7" max="7" width="6.7109375" style="243" customWidth="1"/>
    <col min="8" max="16384" width="11.42578125" style="243"/>
  </cols>
  <sheetData>
    <row r="1" spans="2:6" x14ac:dyDescent="0.25">
      <c r="B1" s="223" t="s">
        <v>39</v>
      </c>
    </row>
    <row r="2" spans="2:6" ht="19.5" thickBot="1" x14ac:dyDescent="0.3"/>
    <row r="3" spans="2:6" ht="23.25" customHeight="1" thickBot="1" x14ac:dyDescent="0.3">
      <c r="B3" s="3119" t="s">
        <v>75</v>
      </c>
      <c r="C3" s="3119"/>
      <c r="D3" s="3119"/>
      <c r="F3" s="1046" t="s">
        <v>76</v>
      </c>
    </row>
    <row r="4" spans="2:6" ht="37.5" x14ac:dyDescent="0.25">
      <c r="B4" s="2445" t="s">
        <v>234</v>
      </c>
      <c r="C4" s="2445"/>
      <c r="D4" s="49" t="s">
        <v>4975</v>
      </c>
    </row>
    <row r="5" spans="2:6" ht="37.5" x14ac:dyDescent="0.25">
      <c r="B5" s="2445" t="s">
        <v>79</v>
      </c>
      <c r="C5" s="2445"/>
      <c r="D5" s="49" t="s">
        <v>4946</v>
      </c>
    </row>
    <row r="6" spans="2:6" x14ac:dyDescent="0.25">
      <c r="B6" s="2445" t="s">
        <v>80</v>
      </c>
      <c r="C6" s="2445"/>
      <c r="D6" s="50" t="s">
        <v>4947</v>
      </c>
    </row>
    <row r="7" spans="2:6" ht="32.25" customHeight="1" x14ac:dyDescent="0.25">
      <c r="B7" s="2446" t="s">
        <v>81</v>
      </c>
      <c r="C7" s="2446"/>
      <c r="D7" s="93" t="s">
        <v>4948</v>
      </c>
    </row>
    <row r="8" spans="2:6" x14ac:dyDescent="0.25">
      <c r="B8" s="2446" t="s">
        <v>82</v>
      </c>
      <c r="C8" s="2446"/>
      <c r="D8" s="1047" t="s">
        <v>5260</v>
      </c>
    </row>
    <row r="9" spans="2:6" x14ac:dyDescent="0.4">
      <c r="B9" s="115"/>
      <c r="C9" s="115"/>
      <c r="D9" s="115"/>
    </row>
    <row r="10" spans="2:6" ht="23.25" customHeight="1" x14ac:dyDescent="0.25">
      <c r="B10" s="3119" t="s">
        <v>85</v>
      </c>
      <c r="C10" s="3119"/>
      <c r="D10" s="3119"/>
    </row>
    <row r="11" spans="2:6" x14ac:dyDescent="0.25">
      <c r="B11" s="2487" t="s">
        <v>86</v>
      </c>
      <c r="C11" s="2456"/>
      <c r="D11" s="49" t="s">
        <v>167</v>
      </c>
    </row>
    <row r="12" spans="2:6" ht="33" customHeight="1" x14ac:dyDescent="0.25">
      <c r="B12" s="2446" t="s">
        <v>88</v>
      </c>
      <c r="C12" s="2446"/>
      <c r="D12" s="755" t="s">
        <v>5261</v>
      </c>
    </row>
    <row r="13" spans="2:6" x14ac:dyDescent="0.25">
      <c r="B13" s="2445" t="s">
        <v>90</v>
      </c>
      <c r="C13" s="2445"/>
      <c r="D13" s="54" t="s">
        <v>5262</v>
      </c>
    </row>
    <row r="14" spans="2:6" x14ac:dyDescent="0.25">
      <c r="B14" s="2445" t="s">
        <v>91</v>
      </c>
      <c r="C14" s="2456"/>
      <c r="D14" s="54" t="s">
        <v>92</v>
      </c>
    </row>
    <row r="15" spans="2:6" ht="150" x14ac:dyDescent="0.25">
      <c r="B15" s="2445" t="s">
        <v>93</v>
      </c>
      <c r="C15" s="2445"/>
      <c r="D15" s="50" t="s">
        <v>5263</v>
      </c>
    </row>
    <row r="16" spans="2:6" ht="48.75" customHeight="1" x14ac:dyDescent="0.25">
      <c r="B16" s="2445" t="s">
        <v>95</v>
      </c>
      <c r="C16" s="2445"/>
      <c r="D16" s="55"/>
    </row>
    <row r="17" spans="2:4" x14ac:dyDescent="0.25">
      <c r="B17" s="2445" t="s">
        <v>97</v>
      </c>
      <c r="C17" s="2445"/>
      <c r="D17" s="55" t="s">
        <v>5264</v>
      </c>
    </row>
    <row r="18" spans="2:4" x14ac:dyDescent="0.25">
      <c r="B18" s="2446" t="s">
        <v>99</v>
      </c>
      <c r="C18" s="2446"/>
      <c r="D18" s="49"/>
    </row>
    <row r="19" spans="2:4" ht="37.5" x14ac:dyDescent="0.25">
      <c r="B19" s="2457" t="s">
        <v>100</v>
      </c>
      <c r="C19" s="2458"/>
      <c r="D19" s="55" t="s">
        <v>5265</v>
      </c>
    </row>
    <row r="20" spans="2:4" x14ac:dyDescent="0.25">
      <c r="B20" s="2445" t="s">
        <v>102</v>
      </c>
      <c r="C20" s="2445"/>
      <c r="D20" s="55" t="s">
        <v>140</v>
      </c>
    </row>
    <row r="21" spans="2:4" x14ac:dyDescent="0.25">
      <c r="B21" s="2451" t="s">
        <v>104</v>
      </c>
      <c r="C21" s="95" t="s">
        <v>105</v>
      </c>
      <c r="D21" s="55" t="s">
        <v>2730</v>
      </c>
    </row>
    <row r="22" spans="2:4" x14ac:dyDescent="0.25">
      <c r="B22" s="2452"/>
      <c r="C22" s="96" t="s">
        <v>107</v>
      </c>
      <c r="D22" s="55"/>
    </row>
    <row r="23" spans="2:4" x14ac:dyDescent="0.25">
      <c r="B23" s="2445" t="s">
        <v>109</v>
      </c>
      <c r="C23" s="2445"/>
      <c r="D23" s="55" t="s">
        <v>143</v>
      </c>
    </row>
    <row r="24" spans="2:4" x14ac:dyDescent="0.25">
      <c r="B24" s="2445" t="s">
        <v>111</v>
      </c>
      <c r="C24" s="2445"/>
      <c r="D24" s="50" t="s">
        <v>5266</v>
      </c>
    </row>
    <row r="25" spans="2:4" x14ac:dyDescent="0.25">
      <c r="B25" s="2445" t="s">
        <v>113</v>
      </c>
      <c r="C25" s="2445"/>
      <c r="D25" s="55" t="s">
        <v>144</v>
      </c>
    </row>
    <row r="26" spans="2:4" ht="15" customHeight="1" x14ac:dyDescent="0.25">
      <c r="B26" s="2446" t="s">
        <v>115</v>
      </c>
      <c r="C26" s="2446"/>
      <c r="D26" s="50" t="s">
        <v>5267</v>
      </c>
    </row>
    <row r="27" spans="2:4" x14ac:dyDescent="0.25">
      <c r="B27" s="2447" t="s">
        <v>117</v>
      </c>
      <c r="C27" s="2448"/>
      <c r="D27" s="49"/>
    </row>
    <row r="28" spans="2:4" ht="175.5" customHeight="1" x14ac:dyDescent="0.25">
      <c r="B28" s="97" t="s">
        <v>118</v>
      </c>
      <c r="C28" s="98"/>
      <c r="D28" s="55" t="s">
        <v>5268</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0" t="s">
        <v>5269</v>
      </c>
    </row>
    <row r="33" spans="2:4" x14ac:dyDescent="0.25">
      <c r="B33" s="2447" t="s">
        <v>124</v>
      </c>
      <c r="C33" s="2448"/>
      <c r="D33" s="50"/>
    </row>
    <row r="34" spans="2:4" x14ac:dyDescent="0.25">
      <c r="B34" s="2447" t="s">
        <v>126</v>
      </c>
      <c r="C34" s="2448"/>
      <c r="D34" s="50" t="s">
        <v>5270</v>
      </c>
    </row>
    <row r="35" spans="2:4" x14ac:dyDescent="0.25">
      <c r="B35" s="2447" t="s">
        <v>128</v>
      </c>
      <c r="C35" s="2448"/>
      <c r="D35" s="50" t="s">
        <v>5271</v>
      </c>
    </row>
    <row r="36" spans="2:4" x14ac:dyDescent="0.25">
      <c r="B36" s="2447" t="s">
        <v>130</v>
      </c>
      <c r="C36" s="2448"/>
      <c r="D36" s="1312" t="s">
        <v>5272</v>
      </c>
    </row>
    <row r="37" spans="2:4" x14ac:dyDescent="0.25">
      <c r="B37" s="2447" t="s">
        <v>122</v>
      </c>
      <c r="C37" s="2448"/>
      <c r="D37" s="50"/>
    </row>
    <row r="38" spans="2:4" x14ac:dyDescent="0.25">
      <c r="B38" s="2447" t="s">
        <v>124</v>
      </c>
      <c r="C38" s="2448"/>
      <c r="D38" s="50"/>
    </row>
    <row r="39" spans="2:4" x14ac:dyDescent="0.25">
      <c r="B39" s="2447" t="s">
        <v>126</v>
      </c>
      <c r="C39" s="2448"/>
      <c r="D39" s="50"/>
    </row>
    <row r="40" spans="2:4" x14ac:dyDescent="0.25">
      <c r="B40" s="2447" t="s">
        <v>128</v>
      </c>
      <c r="C40" s="2448"/>
      <c r="D40" s="50"/>
    </row>
    <row r="41" spans="2:4" x14ac:dyDescent="0.25">
      <c r="B41" s="2447" t="s">
        <v>130</v>
      </c>
      <c r="C41" s="2448"/>
      <c r="D41" s="1312"/>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2FCAA4D7-6E7B-41CC-820F-C59E07F70E84}">
      <formula1>Tipo_operación</formula1>
    </dataValidation>
    <dataValidation type="list" allowBlank="1" showInputMessage="1" showErrorMessage="1" sqref="D14" xr:uid="{0D506C07-E990-4FF1-8059-AF62E6F0CFBC}">
      <formula1>Tipo_indicador</formula1>
    </dataValidation>
    <dataValidation type="list" allowBlank="1" showInputMessage="1" showErrorMessage="1" sqref="D7" xr:uid="{141389D5-62D4-49AD-9C43-0F67E660160D}">
      <formula1>Nombre_indicador_ODS</formula1>
    </dataValidation>
    <dataValidation type="list" allowBlank="1" showInputMessage="1" showErrorMessage="1" sqref="D6" xr:uid="{3F2874EE-CE1D-4F31-8209-9B1C12DBF3B1}">
      <formula1>Numero_indicador</formula1>
    </dataValidation>
    <dataValidation type="list" allowBlank="1" showInputMessage="1" showErrorMessage="1" sqref="D5" xr:uid="{0F6E73C7-82AE-4345-9B86-9DD268559567}">
      <formula1>Metas_ODS</formula1>
    </dataValidation>
    <dataValidation type="list" allowBlank="1" showInputMessage="1" showErrorMessage="1" sqref="D4" xr:uid="{86C7224D-7880-4021-B764-A13AEB3F4094}">
      <formula1>ODS</formula1>
    </dataValidation>
    <dataValidation allowBlank="1" showDropDown="1" showInputMessage="1" showErrorMessage="1" sqref="D13" xr:uid="{BC66E04D-8F32-4BA5-905F-56D511F6A4BE}"/>
  </dataValidations>
  <hyperlinks>
    <hyperlink ref="B1" location="'8.10.1.a'!A1" display="REGRESAR" xr:uid="{EFCF5A3F-9DF1-4B2F-8A24-FAA0D4584F5D}"/>
    <hyperlink ref="D8" r:id="rId1" xr:uid="{B8B20BDA-45B7-4AD5-8427-6FDF1ACF503C}"/>
  </hyperlinks>
  <pageMargins left="0.7" right="0.7" top="0.75" bottom="0.75" header="0.3" footer="0.3"/>
  <pageSetup orientation="portrait" horizontalDpi="4294967293"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1FD8E-96E3-4730-8064-D56328C0A1B5}">
  <dimension ref="A1:P54"/>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2" width="15.42578125" style="22" customWidth="1"/>
    <col min="3" max="3" width="11.42578125" style="22" customWidth="1"/>
    <col min="4" max="16384" width="11.42578125" style="22"/>
  </cols>
  <sheetData>
    <row r="1" spans="1:16" s="16" customFormat="1" ht="19.5" x14ac:dyDescent="0.4">
      <c r="A1" s="15" t="s">
        <v>39</v>
      </c>
      <c r="C1" s="2421" t="s">
        <v>149</v>
      </c>
      <c r="D1" s="2421"/>
    </row>
    <row r="2" spans="1:16" s="16" customFormat="1" ht="12" customHeight="1" x14ac:dyDescent="0.4"/>
    <row r="3" spans="1:16" s="162" customFormat="1" ht="15.75" customHeight="1" x14ac:dyDescent="0.25">
      <c r="A3" s="2413" t="s">
        <v>41</v>
      </c>
      <c r="B3" s="2413"/>
      <c r="C3" s="2414" t="s">
        <v>2</v>
      </c>
      <c r="D3" s="2415"/>
      <c r="E3" s="2415"/>
      <c r="F3" s="2415"/>
      <c r="G3" s="2415"/>
      <c r="H3" s="2415"/>
      <c r="I3" s="2415"/>
      <c r="J3" s="2415"/>
      <c r="K3" s="2415"/>
      <c r="L3" s="2415"/>
      <c r="M3" s="2415"/>
      <c r="N3" s="2415"/>
      <c r="O3" s="2415"/>
      <c r="P3" s="2415"/>
    </row>
    <row r="4" spans="1:16" s="162" customFormat="1" ht="56.45" customHeight="1" x14ac:dyDescent="0.25">
      <c r="A4" s="2413" t="s">
        <v>42</v>
      </c>
      <c r="B4" s="2413"/>
      <c r="C4" s="2414" t="s">
        <v>31</v>
      </c>
      <c r="D4" s="2415"/>
      <c r="E4" s="2415"/>
      <c r="F4" s="2415"/>
      <c r="G4" s="2415"/>
      <c r="H4" s="2415"/>
      <c r="I4" s="2415"/>
      <c r="J4" s="2415"/>
      <c r="K4" s="2415"/>
      <c r="L4" s="2415"/>
      <c r="M4" s="2415"/>
      <c r="N4" s="2415"/>
      <c r="O4" s="2505"/>
      <c r="P4" s="2505"/>
    </row>
    <row r="5" spans="1:16" s="162" customFormat="1" ht="15.75" customHeight="1" x14ac:dyDescent="0.25">
      <c r="A5" s="2413" t="s">
        <v>43</v>
      </c>
      <c r="B5" s="2413"/>
      <c r="C5" s="2414" t="s">
        <v>35</v>
      </c>
      <c r="D5" s="2415"/>
      <c r="E5" s="2415"/>
      <c r="F5" s="2415"/>
      <c r="G5" s="2415"/>
      <c r="H5" s="2415"/>
      <c r="I5" s="2415"/>
      <c r="J5" s="2415"/>
      <c r="K5" s="2415"/>
      <c r="L5" s="2415"/>
      <c r="M5" s="2415"/>
      <c r="N5" s="2415"/>
      <c r="O5" s="2505"/>
      <c r="P5" s="2505"/>
    </row>
    <row r="6" spans="1:16" s="162" customFormat="1" ht="15.75" customHeight="1" x14ac:dyDescent="0.25">
      <c r="A6" s="2413" t="s">
        <v>132</v>
      </c>
      <c r="B6" s="2413"/>
      <c r="C6" s="2414" t="s">
        <v>376</v>
      </c>
      <c r="D6" s="2415"/>
      <c r="E6" s="2415"/>
      <c r="F6" s="2415"/>
      <c r="G6" s="2415"/>
      <c r="H6" s="2415"/>
      <c r="I6" s="2415"/>
      <c r="J6" s="2415"/>
      <c r="K6" s="2415"/>
      <c r="L6" s="2415"/>
      <c r="M6" s="2415"/>
      <c r="N6" s="2415"/>
      <c r="O6" s="2505"/>
      <c r="P6" s="2505"/>
    </row>
    <row r="7" spans="1:16" s="16" customFormat="1" ht="19.5" x14ac:dyDescent="0.4">
      <c r="C7" s="248"/>
      <c r="D7" s="249"/>
      <c r="E7" s="248"/>
      <c r="F7" s="248"/>
      <c r="G7" s="248"/>
      <c r="H7" s="248"/>
      <c r="I7" s="248"/>
      <c r="J7" s="248"/>
      <c r="K7" s="248"/>
      <c r="L7" s="248"/>
      <c r="M7" s="248"/>
      <c r="N7" s="248"/>
      <c r="O7" s="248"/>
      <c r="P7" s="248"/>
    </row>
    <row r="8" spans="1:16" s="16" customFormat="1" ht="19.5" x14ac:dyDescent="0.4">
      <c r="C8" s="248"/>
      <c r="D8" s="249"/>
      <c r="E8" s="248"/>
      <c r="F8" s="248"/>
      <c r="G8" s="248"/>
      <c r="H8" s="248"/>
      <c r="I8" s="248"/>
      <c r="J8" s="248"/>
      <c r="K8" s="248"/>
      <c r="L8" s="248"/>
      <c r="M8" s="248"/>
      <c r="N8" s="248"/>
      <c r="O8" s="248"/>
      <c r="P8" s="248"/>
    </row>
    <row r="9" spans="1:16" s="16" customFormat="1" ht="19.5" x14ac:dyDescent="0.4">
      <c r="C9" s="138" t="s">
        <v>377</v>
      </c>
      <c r="D9" s="138"/>
      <c r="E9" s="138"/>
      <c r="F9" s="138"/>
      <c r="G9" s="138"/>
      <c r="H9" s="248"/>
      <c r="I9" s="248"/>
      <c r="J9" s="248"/>
      <c r="K9" s="248"/>
      <c r="L9" s="248"/>
      <c r="M9" s="248"/>
      <c r="N9" s="248"/>
      <c r="O9" s="248"/>
      <c r="P9" s="248"/>
    </row>
    <row r="10" spans="1:16" ht="16.5" x14ac:dyDescent="0.25">
      <c r="C10" s="139"/>
      <c r="D10" s="139"/>
      <c r="E10" s="139"/>
      <c r="F10" s="139"/>
      <c r="G10" s="139"/>
      <c r="H10" s="250"/>
      <c r="I10" s="250"/>
      <c r="J10" s="250"/>
      <c r="K10" s="250"/>
      <c r="L10" s="250"/>
      <c r="M10" s="250"/>
      <c r="N10" s="250"/>
      <c r="O10" s="250"/>
      <c r="P10" s="250"/>
    </row>
    <row r="11" spans="1:16" ht="37.5" x14ac:dyDescent="0.35">
      <c r="C11" s="237" t="s">
        <v>46</v>
      </c>
      <c r="D11" s="190" t="s">
        <v>378</v>
      </c>
      <c r="E11" s="190" t="s">
        <v>157</v>
      </c>
      <c r="F11" s="190" t="s">
        <v>155</v>
      </c>
      <c r="G11" s="190" t="s">
        <v>379</v>
      </c>
      <c r="I11" s="251"/>
      <c r="J11" s="251"/>
      <c r="K11" s="251"/>
    </row>
    <row r="12" spans="1:16" ht="18.75" x14ac:dyDescent="0.4">
      <c r="C12" s="4">
        <v>2006</v>
      </c>
      <c r="D12" s="252">
        <v>31.27</v>
      </c>
      <c r="E12" s="253">
        <v>10.126585674523012</v>
      </c>
      <c r="F12" s="253">
        <v>10.42954460570634</v>
      </c>
      <c r="G12" s="254">
        <v>10.718007207106648</v>
      </c>
      <c r="I12" s="255"/>
      <c r="J12" s="255"/>
      <c r="K12" s="255"/>
    </row>
    <row r="13" spans="1:16" ht="18.75" x14ac:dyDescent="0.4">
      <c r="C13" s="256">
        <v>2007</v>
      </c>
      <c r="D13" s="252">
        <v>32.729999999999997</v>
      </c>
      <c r="E13" s="253">
        <v>10.666411914768611</v>
      </c>
      <c r="F13" s="253">
        <v>10.905727390875057</v>
      </c>
      <c r="G13" s="254">
        <v>11.162110789089351</v>
      </c>
      <c r="I13" s="255"/>
      <c r="J13" s="255"/>
      <c r="K13" s="255"/>
    </row>
    <row r="14" spans="1:16" ht="18.75" x14ac:dyDescent="0.4">
      <c r="C14" s="4">
        <v>2008</v>
      </c>
      <c r="D14" s="252">
        <v>31.5</v>
      </c>
      <c r="E14" s="253">
        <v>10.739340111543004</v>
      </c>
      <c r="F14" s="253">
        <v>10.54575690905313</v>
      </c>
      <c r="G14" s="254">
        <v>10.216975685652349</v>
      </c>
      <c r="I14" s="255"/>
      <c r="J14" s="255"/>
      <c r="K14" s="255"/>
    </row>
    <row r="15" spans="1:16" ht="18.75" x14ac:dyDescent="0.4">
      <c r="C15" s="4">
        <v>2009</v>
      </c>
      <c r="D15" s="252">
        <v>34.43</v>
      </c>
      <c r="E15" s="253">
        <v>11.505866688810428</v>
      </c>
      <c r="F15" s="253">
        <v>11.786015056788408</v>
      </c>
      <c r="G15" s="254">
        <v>11.14219810843213</v>
      </c>
      <c r="I15" s="257"/>
    </row>
    <row r="16" spans="1:16" ht="18.75" x14ac:dyDescent="0.4">
      <c r="C16" s="256">
        <v>2010</v>
      </c>
      <c r="D16" s="252">
        <v>34.93</v>
      </c>
      <c r="E16" s="253">
        <v>11.237434795258789</v>
      </c>
      <c r="F16" s="253">
        <v>12.45920839636217</v>
      </c>
      <c r="G16" s="254">
        <v>11.237817033837453</v>
      </c>
      <c r="I16" s="257"/>
    </row>
    <row r="17" spans="1:9" ht="18.75" x14ac:dyDescent="0.4">
      <c r="C17" s="4">
        <v>2011</v>
      </c>
      <c r="D17" s="252">
        <v>38.01</v>
      </c>
      <c r="E17" s="253">
        <v>12.325891101058135</v>
      </c>
      <c r="F17" s="253">
        <v>13.262613393570858</v>
      </c>
      <c r="G17" s="254">
        <v>12.42458697758137</v>
      </c>
      <c r="I17" s="257"/>
    </row>
    <row r="18" spans="1:9" ht="18.75" x14ac:dyDescent="0.4">
      <c r="C18" s="4">
        <v>2012</v>
      </c>
      <c r="D18" s="252">
        <v>38.69</v>
      </c>
      <c r="E18" s="253">
        <v>12.681932423280017</v>
      </c>
      <c r="F18" s="253">
        <v>13.519972025686549</v>
      </c>
      <c r="G18" s="254">
        <v>12.490027385327201</v>
      </c>
      <c r="I18" s="257"/>
    </row>
    <row r="19" spans="1:9" ht="18.75" x14ac:dyDescent="0.4">
      <c r="C19" s="256">
        <v>2013</v>
      </c>
      <c r="D19" s="252">
        <v>38.79</v>
      </c>
      <c r="E19" s="253">
        <v>12.289958797884628</v>
      </c>
      <c r="F19" s="253">
        <v>13.72625991841398</v>
      </c>
      <c r="G19" s="254">
        <v>12.764732019577918</v>
      </c>
      <c r="I19" s="257"/>
    </row>
    <row r="20" spans="1:9" ht="18.75" x14ac:dyDescent="0.4">
      <c r="C20" s="4">
        <v>2014</v>
      </c>
      <c r="D20" s="252">
        <v>39.51</v>
      </c>
      <c r="E20" s="253">
        <v>12.254888088888348</v>
      </c>
      <c r="F20" s="253">
        <v>14.106554510919883</v>
      </c>
      <c r="G20" s="254">
        <v>13.149979725226707</v>
      </c>
      <c r="I20" s="257"/>
    </row>
    <row r="21" spans="1:9" ht="18.75" x14ac:dyDescent="0.4">
      <c r="A21" s="23"/>
      <c r="C21" s="4">
        <v>2015</v>
      </c>
      <c r="D21" s="252">
        <v>42.93</v>
      </c>
      <c r="E21" s="253">
        <v>13.377338072749625</v>
      </c>
      <c r="F21" s="253">
        <v>15.333379461666684</v>
      </c>
      <c r="G21" s="254">
        <v>14.217578965128611</v>
      </c>
      <c r="I21" s="257"/>
    </row>
    <row r="22" spans="1:9" ht="18.75" x14ac:dyDescent="0.4">
      <c r="A22" s="23"/>
      <c r="C22" s="4">
        <v>2016</v>
      </c>
      <c r="D22" s="252">
        <v>43.546085852572745</v>
      </c>
      <c r="E22" s="253">
        <v>13.538922113150559</v>
      </c>
      <c r="F22" s="253">
        <v>15.615287984950028</v>
      </c>
      <c r="G22" s="254">
        <v>14.391875754472164</v>
      </c>
    </row>
    <row r="23" spans="1:9" ht="18.75" x14ac:dyDescent="0.4">
      <c r="A23" s="23"/>
      <c r="C23" s="4">
        <v>2017</v>
      </c>
      <c r="D23" s="252">
        <v>43.464910882462028</v>
      </c>
      <c r="E23" s="253">
        <v>13.263291493670703</v>
      </c>
      <c r="F23" s="253">
        <v>15.720000069576439</v>
      </c>
      <c r="G23" s="254">
        <v>14.481619319214884</v>
      </c>
    </row>
    <row r="24" spans="1:9" ht="18.75" x14ac:dyDescent="0.4">
      <c r="A24" s="23"/>
      <c r="C24" s="4">
        <v>2018</v>
      </c>
      <c r="D24" s="252">
        <v>43.07</v>
      </c>
      <c r="E24" s="253">
        <v>13.36</v>
      </c>
      <c r="F24" s="253">
        <v>14.95</v>
      </c>
      <c r="G24" s="254">
        <v>14.76</v>
      </c>
    </row>
    <row r="25" spans="1:9" ht="18.75" x14ac:dyDescent="0.4">
      <c r="A25" s="23"/>
      <c r="C25" s="4">
        <v>2019</v>
      </c>
      <c r="D25" s="252">
        <v>43.18</v>
      </c>
      <c r="E25" s="253">
        <v>13.2</v>
      </c>
      <c r="F25" s="253">
        <v>14.51</v>
      </c>
      <c r="G25" s="254">
        <v>15.47</v>
      </c>
    </row>
    <row r="26" spans="1:9" ht="18.75" x14ac:dyDescent="0.4">
      <c r="A26" s="23"/>
      <c r="C26" s="4">
        <v>2020</v>
      </c>
      <c r="D26" s="252">
        <v>45.21</v>
      </c>
      <c r="E26" s="253">
        <v>14.24</v>
      </c>
      <c r="F26" s="253">
        <v>14.34</v>
      </c>
      <c r="G26" s="254">
        <v>16.63</v>
      </c>
    </row>
    <row r="27" spans="1:9" ht="18.75" x14ac:dyDescent="0.4">
      <c r="A27" s="23"/>
      <c r="C27" s="4">
        <v>2021</v>
      </c>
      <c r="D27" s="252">
        <v>45.6</v>
      </c>
      <c r="E27" s="253">
        <v>14.52</v>
      </c>
      <c r="F27" s="253">
        <v>13.96</v>
      </c>
      <c r="G27" s="254">
        <v>17.12</v>
      </c>
    </row>
    <row r="28" spans="1:9" ht="18.75" x14ac:dyDescent="0.4">
      <c r="A28" s="23"/>
      <c r="C28" s="4">
        <v>2022</v>
      </c>
      <c r="D28" s="252">
        <v>45.41</v>
      </c>
      <c r="E28" s="253">
        <v>14.63</v>
      </c>
      <c r="F28" s="253">
        <v>13.77</v>
      </c>
      <c r="G28" s="254">
        <v>17.010000000000002</v>
      </c>
    </row>
    <row r="29" spans="1:9" ht="18.75" x14ac:dyDescent="0.4">
      <c r="A29" s="23"/>
      <c r="C29" s="82">
        <v>2023</v>
      </c>
      <c r="D29" s="258">
        <v>42.42</v>
      </c>
      <c r="E29" s="259">
        <v>13.36</v>
      </c>
      <c r="F29" s="259">
        <v>12.73</v>
      </c>
      <c r="G29" s="260">
        <v>16.329999999999998</v>
      </c>
    </row>
    <row r="30" spans="1:9" ht="18.75" x14ac:dyDescent="0.4">
      <c r="A30" s="23"/>
      <c r="C30" s="5" t="s">
        <v>380</v>
      </c>
      <c r="D30" s="5"/>
      <c r="E30" s="5"/>
      <c r="F30" s="5"/>
      <c r="G30" s="5"/>
    </row>
    <row r="31" spans="1:9" ht="18.75" x14ac:dyDescent="0.4">
      <c r="A31" s="23"/>
      <c r="C31" s="5"/>
      <c r="D31" s="5"/>
      <c r="E31" s="5"/>
      <c r="F31" s="5"/>
      <c r="G31" s="5"/>
    </row>
    <row r="32" spans="1:9" x14ac:dyDescent="0.25">
      <c r="A32" s="23"/>
    </row>
    <row r="33" spans="1:3" ht="19.5" x14ac:dyDescent="0.25">
      <c r="A33" s="23"/>
      <c r="C33" s="105" t="s">
        <v>381</v>
      </c>
    </row>
    <row r="34" spans="1:3" x14ac:dyDescent="0.25">
      <c r="A34" s="23"/>
    </row>
    <row r="35" spans="1:3" x14ac:dyDescent="0.25">
      <c r="A35" s="23"/>
    </row>
    <row r="36" spans="1:3" x14ac:dyDescent="0.25">
      <c r="A36" s="23"/>
    </row>
    <row r="37" spans="1:3" x14ac:dyDescent="0.25">
      <c r="A37" s="23"/>
    </row>
    <row r="38" spans="1:3" x14ac:dyDescent="0.25">
      <c r="A38" s="23"/>
    </row>
    <row r="39" spans="1:3" x14ac:dyDescent="0.25">
      <c r="A39" s="23"/>
    </row>
    <row r="40" spans="1:3" x14ac:dyDescent="0.25">
      <c r="A40" s="23"/>
    </row>
    <row r="41" spans="1:3" x14ac:dyDescent="0.25">
      <c r="A41" s="23"/>
    </row>
    <row r="42" spans="1:3" x14ac:dyDescent="0.25">
      <c r="A42" s="23"/>
    </row>
    <row r="43" spans="1:3" x14ac:dyDescent="0.25">
      <c r="A43" s="23"/>
    </row>
    <row r="44" spans="1:3" x14ac:dyDescent="0.25">
      <c r="A44" s="23"/>
    </row>
    <row r="54" spans="3:3" ht="18.75" x14ac:dyDescent="0.25">
      <c r="C54" s="36" t="s">
        <v>382</v>
      </c>
    </row>
  </sheetData>
  <mergeCells count="9">
    <mergeCell ref="A6:B6"/>
    <mergeCell ref="C6:P6"/>
    <mergeCell ref="C1:D1"/>
    <mergeCell ref="A3:B3"/>
    <mergeCell ref="C3:P3"/>
    <mergeCell ref="A4:B4"/>
    <mergeCell ref="C4:P4"/>
    <mergeCell ref="A5:B5"/>
    <mergeCell ref="C5:P5"/>
  </mergeCells>
  <hyperlinks>
    <hyperlink ref="A1" location="'ODS 1.'!A1" display="REGRESAR" xr:uid="{8AEB0010-ACD1-4398-8F29-BB3BD180F687}"/>
    <hyperlink ref="C1" location="'Metadato 1.a.2'!A1" display="VER METADATO" xr:uid="{A126B1AF-67BE-41C4-8CEE-42FBDEE2C4FC}"/>
  </hyperlinks>
  <pageMargins left="0.7" right="0.7" top="0.75" bottom="0.75" header="0.3" footer="0.3"/>
  <pageSetup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EC4C3-C500-45AD-AC2A-5E325450DA0D}">
  <dimension ref="A1:T32"/>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5" style="115" customWidth="1"/>
    <col min="2" max="2" width="15" style="1048" customWidth="1"/>
    <col min="3" max="3" width="8.42578125" style="115" customWidth="1"/>
    <col min="4" max="4" width="11.7109375" style="115" customWidth="1"/>
    <col min="5" max="5" width="12.7109375" style="115" customWidth="1"/>
    <col min="6" max="6" width="10.7109375" style="115" customWidth="1"/>
    <col min="7" max="7" width="12.5703125" style="115" customWidth="1"/>
    <col min="8" max="8" width="11.28515625" style="115" customWidth="1"/>
    <col min="9" max="17" width="11.42578125" style="115"/>
    <col min="18" max="21" width="11" style="115" customWidth="1"/>
    <col min="22" max="16384" width="11.42578125" style="115"/>
  </cols>
  <sheetData>
    <row r="1" spans="1:20" s="1032" customFormat="1" ht="19.5" x14ac:dyDescent="0.4">
      <c r="A1" s="15" t="s">
        <v>39</v>
      </c>
      <c r="B1" s="1061"/>
      <c r="C1" s="2421" t="s">
        <v>149</v>
      </c>
      <c r="D1" s="2421"/>
    </row>
    <row r="2" spans="1:20" s="1032" customFormat="1" ht="19.5" x14ac:dyDescent="0.4">
      <c r="B2" s="1061"/>
    </row>
    <row r="3" spans="1:20" s="1032" customFormat="1" ht="19.5" x14ac:dyDescent="0.4">
      <c r="A3" s="3117" t="s">
        <v>41</v>
      </c>
      <c r="B3" s="3117"/>
      <c r="C3" s="3117" t="s">
        <v>4957</v>
      </c>
      <c r="D3" s="3117"/>
      <c r="E3" s="3117"/>
      <c r="F3" s="3117"/>
      <c r="G3" s="3117"/>
      <c r="H3" s="3117"/>
      <c r="I3" s="3117"/>
      <c r="J3" s="3117"/>
      <c r="K3" s="3117"/>
      <c r="L3" s="3117"/>
      <c r="M3" s="3117"/>
      <c r="N3" s="3117"/>
      <c r="O3" s="3117"/>
      <c r="P3" s="3117"/>
      <c r="Q3" s="3117"/>
      <c r="R3" s="3117"/>
      <c r="S3" s="3117"/>
      <c r="T3" s="3117"/>
    </row>
    <row r="4" spans="1:20" s="1032" customFormat="1" ht="19.5" x14ac:dyDescent="0.4">
      <c r="A4" s="3117" t="s">
        <v>42</v>
      </c>
      <c r="B4" s="3117"/>
      <c r="C4" s="3117" t="s">
        <v>5273</v>
      </c>
      <c r="D4" s="3117"/>
      <c r="E4" s="3117"/>
      <c r="F4" s="3117"/>
      <c r="G4" s="3117"/>
      <c r="H4" s="3117"/>
      <c r="I4" s="3117"/>
      <c r="J4" s="3117"/>
      <c r="K4" s="3117"/>
      <c r="L4" s="3117"/>
      <c r="M4" s="3117"/>
      <c r="N4" s="3117"/>
      <c r="O4" s="3117"/>
      <c r="P4" s="3117"/>
      <c r="Q4" s="3117"/>
      <c r="R4" s="3117"/>
      <c r="S4" s="3117"/>
      <c r="T4" s="3117"/>
    </row>
    <row r="5" spans="1:20" s="1032" customFormat="1" ht="19.5" x14ac:dyDescent="0.4">
      <c r="A5" s="3117" t="s">
        <v>43</v>
      </c>
      <c r="B5" s="3117"/>
      <c r="C5" s="3117" t="s">
        <v>5274</v>
      </c>
      <c r="D5" s="3117"/>
      <c r="E5" s="3117"/>
      <c r="F5" s="3117"/>
      <c r="G5" s="3117"/>
      <c r="H5" s="3117"/>
      <c r="I5" s="3117"/>
      <c r="J5" s="3117"/>
      <c r="K5" s="3117"/>
      <c r="L5" s="3117"/>
      <c r="M5" s="3117"/>
      <c r="N5" s="3117"/>
      <c r="O5" s="3117"/>
      <c r="P5" s="3117"/>
      <c r="Q5" s="3117"/>
      <c r="R5" s="3117"/>
      <c r="S5" s="3117"/>
      <c r="T5" s="3117"/>
    </row>
    <row r="6" spans="1:20" s="1032" customFormat="1" ht="19.5" x14ac:dyDescent="0.4">
      <c r="A6" s="3117" t="s">
        <v>132</v>
      </c>
      <c r="B6" s="3117"/>
      <c r="C6" s="3117" t="s">
        <v>5275</v>
      </c>
      <c r="D6" s="3117"/>
      <c r="E6" s="3117"/>
      <c r="F6" s="3117"/>
      <c r="G6" s="3117"/>
      <c r="H6" s="3117"/>
      <c r="I6" s="3117"/>
      <c r="J6" s="3117"/>
      <c r="K6" s="3117"/>
      <c r="L6" s="3117"/>
      <c r="M6" s="3117"/>
      <c r="N6" s="3117"/>
      <c r="O6" s="3117"/>
      <c r="P6" s="3117"/>
      <c r="Q6" s="3117"/>
      <c r="R6" s="3117"/>
      <c r="S6" s="3117"/>
      <c r="T6" s="3117"/>
    </row>
    <row r="8" spans="1:20" x14ac:dyDescent="0.4">
      <c r="B8" s="115"/>
    </row>
    <row r="9" spans="1:20" ht="17.45" customHeight="1" x14ac:dyDescent="0.4">
      <c r="A9" s="536"/>
      <c r="B9" s="115"/>
      <c r="C9" s="138" t="s">
        <v>5275</v>
      </c>
      <c r="D9" s="226"/>
      <c r="E9" s="226"/>
      <c r="F9" s="226"/>
      <c r="G9" s="226"/>
      <c r="H9" s="226"/>
      <c r="L9" s="138" t="s">
        <v>5276</v>
      </c>
      <c r="M9" s="138"/>
      <c r="N9" s="138"/>
      <c r="O9" s="138"/>
      <c r="P9" s="138"/>
      <c r="Q9" s="138"/>
    </row>
    <row r="10" spans="1:20" x14ac:dyDescent="0.4">
      <c r="A10" s="536"/>
      <c r="B10" s="115"/>
      <c r="C10" s="226"/>
      <c r="D10" s="226"/>
      <c r="E10" s="226"/>
      <c r="F10" s="226"/>
      <c r="G10" s="226"/>
      <c r="H10" s="226"/>
      <c r="M10" s="575"/>
      <c r="N10" s="575"/>
      <c r="O10" s="575"/>
      <c r="P10" s="575"/>
      <c r="Q10" s="575"/>
    </row>
    <row r="11" spans="1:20" ht="93.75" x14ac:dyDescent="0.4">
      <c r="A11" s="536"/>
      <c r="C11" s="1537" t="s">
        <v>46</v>
      </c>
      <c r="D11" s="1442" t="s">
        <v>5277</v>
      </c>
      <c r="E11" s="1442" t="s">
        <v>5278</v>
      </c>
      <c r="F11" s="1442" t="s">
        <v>5279</v>
      </c>
      <c r="G11" s="1442" t="s">
        <v>5280</v>
      </c>
      <c r="H11" s="1442" t="s">
        <v>5256</v>
      </c>
    </row>
    <row r="12" spans="1:20" x14ac:dyDescent="0.4">
      <c r="A12" s="536"/>
      <c r="C12" s="1538">
        <v>2011</v>
      </c>
      <c r="D12" s="1540">
        <f t="shared" ref="D12:D23" si="0">+(E12/H12)*100000</f>
        <v>2825.6756200287668</v>
      </c>
      <c r="E12" s="1540">
        <v>96677</v>
      </c>
      <c r="F12" s="1544">
        <v>2085</v>
      </c>
      <c r="G12" s="1540">
        <f t="shared" ref="G12:G24" si="1">+(F12/H12)*100000</f>
        <v>60.940385694218683</v>
      </c>
      <c r="H12" s="1540">
        <v>3421376.4423184488</v>
      </c>
    </row>
    <row r="13" spans="1:20" x14ac:dyDescent="0.4">
      <c r="A13" s="536"/>
      <c r="C13" s="1538">
        <v>2012</v>
      </c>
      <c r="D13" s="1540">
        <f t="shared" si="0"/>
        <v>3550.0521145595267</v>
      </c>
      <c r="E13" s="1540">
        <v>123920</v>
      </c>
      <c r="F13" s="1544">
        <v>2231</v>
      </c>
      <c r="G13" s="1540">
        <f t="shared" si="1"/>
        <v>63.913543153504719</v>
      </c>
      <c r="H13" s="1540">
        <v>3490652.9820161639</v>
      </c>
    </row>
    <row r="14" spans="1:20" x14ac:dyDescent="0.4">
      <c r="A14" s="536"/>
      <c r="C14" s="1538">
        <v>2013</v>
      </c>
      <c r="D14" s="1540">
        <f t="shared" si="0"/>
        <v>3591.6168416780524</v>
      </c>
      <c r="E14" s="1540">
        <v>127696</v>
      </c>
      <c r="F14" s="1544">
        <v>2341</v>
      </c>
      <c r="G14" s="1540">
        <f t="shared" si="1"/>
        <v>65.843683642152627</v>
      </c>
      <c r="H14" s="1540">
        <v>3555390.3890354484</v>
      </c>
    </row>
    <row r="15" spans="1:20" x14ac:dyDescent="0.4">
      <c r="A15" s="536"/>
      <c r="C15" s="1538">
        <v>2014</v>
      </c>
      <c r="D15" s="1540">
        <f t="shared" si="0"/>
        <v>4085.7194608054997</v>
      </c>
      <c r="E15" s="1540">
        <v>147905</v>
      </c>
      <c r="F15" s="1544">
        <v>2346</v>
      </c>
      <c r="G15" s="1540">
        <f t="shared" si="1"/>
        <v>64.805772996516012</v>
      </c>
      <c r="H15" s="1540">
        <v>3620047.8622886296</v>
      </c>
    </row>
    <row r="16" spans="1:20" x14ac:dyDescent="0.4">
      <c r="A16" s="536"/>
      <c r="C16" s="1538">
        <v>2015</v>
      </c>
      <c r="D16" s="1540">
        <f t="shared" si="0"/>
        <v>3981.2836511850946</v>
      </c>
      <c r="E16" s="1540">
        <v>146646</v>
      </c>
      <c r="F16" s="1544">
        <v>2454</v>
      </c>
      <c r="G16" s="1540">
        <f t="shared" si="1"/>
        <v>66.623502038979737</v>
      </c>
      <c r="H16" s="1540">
        <v>3683384.8790539806</v>
      </c>
    </row>
    <row r="17" spans="1:12" x14ac:dyDescent="0.4">
      <c r="A17" s="536"/>
      <c r="C17" s="1538">
        <v>2016</v>
      </c>
      <c r="D17" s="1540">
        <f t="shared" si="0"/>
        <v>4549.3224786410965</v>
      </c>
      <c r="E17" s="1540">
        <v>170400</v>
      </c>
      <c r="F17" s="1544">
        <v>2647</v>
      </c>
      <c r="G17" s="1540">
        <f t="shared" si="1"/>
        <v>70.669346249782762</v>
      </c>
      <c r="H17" s="1540">
        <v>3745612.6884832149</v>
      </c>
    </row>
    <row r="18" spans="1:12" x14ac:dyDescent="0.4">
      <c r="A18" s="536"/>
      <c r="C18" s="1538">
        <v>2017</v>
      </c>
      <c r="D18" s="1540">
        <f t="shared" si="0"/>
        <v>4645.573346775358</v>
      </c>
      <c r="E18" s="1540">
        <v>176600</v>
      </c>
      <c r="F18" s="1544">
        <v>2592</v>
      </c>
      <c r="G18" s="1540">
        <f t="shared" si="1"/>
        <v>68.184179585740239</v>
      </c>
      <c r="H18" s="1540">
        <v>3801468.3402336929</v>
      </c>
    </row>
    <row r="19" spans="1:12" x14ac:dyDescent="0.4">
      <c r="A19" s="536"/>
      <c r="C19" s="1538">
        <v>2018</v>
      </c>
      <c r="D19" s="1540">
        <f t="shared" si="0"/>
        <v>4904.9615389103346</v>
      </c>
      <c r="E19" s="1540">
        <v>189206</v>
      </c>
      <c r="F19" s="1544">
        <v>2682</v>
      </c>
      <c r="G19" s="1540">
        <f t="shared" si="1"/>
        <v>69.527958137466669</v>
      </c>
      <c r="H19" s="1541">
        <v>3857441.0522703752</v>
      </c>
    </row>
    <row r="20" spans="1:12" x14ac:dyDescent="0.4">
      <c r="A20" s="536"/>
      <c r="C20" s="1538">
        <v>2019</v>
      </c>
      <c r="D20" s="1540">
        <f t="shared" si="0"/>
        <v>4495.1837086859941</v>
      </c>
      <c r="E20" s="1540">
        <v>175800</v>
      </c>
      <c r="F20" s="1544">
        <v>2809</v>
      </c>
      <c r="G20" s="1540">
        <f t="shared" si="1"/>
        <v>71.825773820813183</v>
      </c>
      <c r="H20" s="1541">
        <v>3910852.4009887204</v>
      </c>
      <c r="L20" s="1487" t="s">
        <v>5281</v>
      </c>
    </row>
    <row r="21" spans="1:12" x14ac:dyDescent="0.4">
      <c r="A21" s="536"/>
      <c r="C21" s="1538">
        <v>2020</v>
      </c>
      <c r="D21" s="1540">
        <f t="shared" si="0"/>
        <v>4842.0586068697594</v>
      </c>
      <c r="E21" s="1540">
        <v>191710.99999999997</v>
      </c>
      <c r="F21" s="1544">
        <v>2695</v>
      </c>
      <c r="G21" s="1540">
        <f t="shared" si="1"/>
        <v>68.06781011790666</v>
      </c>
      <c r="H21" s="1541">
        <v>3959287.062903503</v>
      </c>
    </row>
    <row r="22" spans="1:12" x14ac:dyDescent="0.4">
      <c r="A22" s="536"/>
      <c r="C22" s="1538">
        <v>2021</v>
      </c>
      <c r="D22" s="1540">
        <f t="shared" si="0"/>
        <v>4803.7220687029949</v>
      </c>
      <c r="E22" s="1540">
        <v>192477</v>
      </c>
      <c r="F22" s="1544">
        <v>2646</v>
      </c>
      <c r="G22" s="1540">
        <f t="shared" si="1"/>
        <v>66.037233507318405</v>
      </c>
      <c r="H22" s="1541">
        <v>4006830.4795154147</v>
      </c>
    </row>
    <row r="23" spans="1:12" x14ac:dyDescent="0.4">
      <c r="A23" s="536"/>
      <c r="C23" s="1538">
        <v>2022</v>
      </c>
      <c r="D23" s="1540">
        <f t="shared" si="0"/>
        <v>4787.4032375266797</v>
      </c>
      <c r="E23" s="1540">
        <v>194216</v>
      </c>
      <c r="F23" s="1544">
        <v>2629</v>
      </c>
      <c r="G23" s="1540">
        <f t="shared" si="1"/>
        <v>64.804563534712088</v>
      </c>
      <c r="H23" s="1541">
        <v>4056813.0647030682</v>
      </c>
    </row>
    <row r="24" spans="1:12" ht="19.5" x14ac:dyDescent="0.4">
      <c r="A24" s="536"/>
      <c r="C24" s="1538">
        <v>2023</v>
      </c>
      <c r="D24" s="1540">
        <f>+(E24/H24)*100000</f>
        <v>4818.8903029172216</v>
      </c>
      <c r="E24" s="1540">
        <v>198193</v>
      </c>
      <c r="F24" s="1544">
        <v>2636</v>
      </c>
      <c r="G24" s="1540">
        <f t="shared" si="1"/>
        <v>64.092045826491329</v>
      </c>
      <c r="H24" s="1541">
        <v>4112834.8549461584</v>
      </c>
      <c r="L24" s="138" t="s">
        <v>5282</v>
      </c>
    </row>
    <row r="25" spans="1:12" ht="17.45" customHeight="1" x14ac:dyDescent="0.4">
      <c r="A25" s="536"/>
      <c r="C25" s="3185" t="s">
        <v>5283</v>
      </c>
      <c r="D25" s="3185"/>
      <c r="E25" s="3185"/>
      <c r="F25" s="3185"/>
      <c r="G25" s="3185"/>
      <c r="H25" s="3185"/>
    </row>
    <row r="26" spans="1:12" x14ac:dyDescent="0.4">
      <c r="A26" s="536"/>
      <c r="C26" s="2815" t="s">
        <v>5284</v>
      </c>
      <c r="D26" s="2815"/>
      <c r="E26" s="2815"/>
      <c r="F26" s="2815"/>
      <c r="G26" s="2815"/>
      <c r="H26" s="2815"/>
    </row>
    <row r="27" spans="1:12" ht="17.45" customHeight="1" x14ac:dyDescent="0.4">
      <c r="A27" s="536"/>
      <c r="C27" s="2815" t="s">
        <v>5285</v>
      </c>
      <c r="D27" s="2815"/>
      <c r="E27" s="2815"/>
      <c r="F27" s="2815"/>
      <c r="G27" s="2815"/>
      <c r="H27" s="2815"/>
    </row>
    <row r="28" spans="1:12" x14ac:dyDescent="0.4">
      <c r="C28" s="2526" t="s">
        <v>5286</v>
      </c>
      <c r="D28" s="2526"/>
      <c r="E28" s="2526"/>
      <c r="F28" s="2526"/>
      <c r="G28" s="2526"/>
      <c r="H28" s="2526"/>
    </row>
    <row r="29" spans="1:12" x14ac:dyDescent="0.4">
      <c r="C29" s="2526"/>
      <c r="D29" s="2526"/>
      <c r="E29" s="2526"/>
      <c r="F29" s="2526"/>
      <c r="G29" s="2526"/>
      <c r="H29" s="2526"/>
    </row>
    <row r="32" spans="1:12" x14ac:dyDescent="0.4">
      <c r="L32" s="1487" t="s">
        <v>5281</v>
      </c>
    </row>
  </sheetData>
  <mergeCells count="13">
    <mergeCell ref="C28:H29"/>
    <mergeCell ref="C1:D1"/>
    <mergeCell ref="A3:B3"/>
    <mergeCell ref="C3:T3"/>
    <mergeCell ref="A4:B4"/>
    <mergeCell ref="C4:T4"/>
    <mergeCell ref="A5:B5"/>
    <mergeCell ref="C5:T5"/>
    <mergeCell ref="A6:B6"/>
    <mergeCell ref="C6:T6"/>
    <mergeCell ref="C25:H25"/>
    <mergeCell ref="C26:H26"/>
    <mergeCell ref="C27:H27"/>
  </mergeCells>
  <hyperlinks>
    <hyperlink ref="A1" location="'ODS 8.'!A1" display="REGRESAR" xr:uid="{3DA11CE2-B29A-4618-9ABF-06750EFBFAC5}"/>
    <hyperlink ref="C1:D1" location="'Metadato 8.10.1.b'!A1" display="VER METADATO" xr:uid="{D52277DB-DC77-41AD-9A56-2336BF4D5C99}"/>
  </hyperlinks>
  <pageMargins left="0.7" right="0.7" top="0.75" bottom="0.75" header="0.3" footer="0.3"/>
  <pageSetup orientation="portrait" horizontalDpi="4294967293"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B0CA3-5411-4557-8D70-D2B1EEB1FC2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8.42578125" style="243" customWidth="1"/>
    <col min="2" max="2" width="26.42578125" style="243" customWidth="1"/>
    <col min="3" max="3" width="24" style="243" customWidth="1"/>
    <col min="4" max="4" width="85.7109375" style="243" customWidth="1"/>
    <col min="5" max="5" width="12.5703125" style="243" customWidth="1"/>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119" t="s">
        <v>75</v>
      </c>
      <c r="C3" s="3119"/>
      <c r="D3" s="3119"/>
      <c r="F3" s="1046" t="s">
        <v>76</v>
      </c>
    </row>
    <row r="4" spans="2:6" ht="37.5" x14ac:dyDescent="0.25">
      <c r="B4" s="2445" t="s">
        <v>234</v>
      </c>
      <c r="C4" s="2445"/>
      <c r="D4" s="49" t="s">
        <v>4975</v>
      </c>
    </row>
    <row r="5" spans="2:6" ht="37.5" x14ac:dyDescent="0.25">
      <c r="B5" s="2445" t="s">
        <v>79</v>
      </c>
      <c r="C5" s="2445"/>
      <c r="D5" s="49" t="s">
        <v>4946</v>
      </c>
    </row>
    <row r="6" spans="2:6" x14ac:dyDescent="0.25">
      <c r="B6" s="2445" t="s">
        <v>80</v>
      </c>
      <c r="C6" s="2445"/>
      <c r="D6" s="50" t="s">
        <v>4947</v>
      </c>
    </row>
    <row r="7" spans="2:6" ht="37.5" x14ac:dyDescent="0.25">
      <c r="B7" s="2446" t="s">
        <v>81</v>
      </c>
      <c r="C7" s="2446"/>
      <c r="D7" s="93" t="s">
        <v>5287</v>
      </c>
    </row>
    <row r="8" spans="2:6" x14ac:dyDescent="0.25">
      <c r="B8" s="2446" t="s">
        <v>82</v>
      </c>
      <c r="C8" s="2446"/>
      <c r="D8" s="1047" t="s">
        <v>5260</v>
      </c>
    </row>
    <row r="9" spans="2:6" ht="23.25" customHeight="1" x14ac:dyDescent="0.4">
      <c r="B9" s="115"/>
      <c r="C9" s="115"/>
      <c r="D9" s="115"/>
    </row>
    <row r="10" spans="2:6" ht="18" customHeight="1" x14ac:dyDescent="0.25">
      <c r="B10" s="3119" t="s">
        <v>85</v>
      </c>
      <c r="C10" s="3119"/>
      <c r="D10" s="3119"/>
    </row>
    <row r="11" spans="2:6" ht="19.5" customHeight="1" x14ac:dyDescent="0.25">
      <c r="B11" s="2487" t="s">
        <v>86</v>
      </c>
      <c r="C11" s="2456"/>
      <c r="D11" s="49" t="s">
        <v>167</v>
      </c>
    </row>
    <row r="12" spans="2:6" ht="15" customHeight="1" x14ac:dyDescent="0.25">
      <c r="B12" s="2446" t="s">
        <v>88</v>
      </c>
      <c r="C12" s="2446"/>
      <c r="D12" s="877" t="s">
        <v>5288</v>
      </c>
    </row>
    <row r="13" spans="2:6" x14ac:dyDescent="0.25">
      <c r="B13" s="2445" t="s">
        <v>90</v>
      </c>
      <c r="C13" s="2445"/>
      <c r="D13" s="55" t="s">
        <v>4947</v>
      </c>
    </row>
    <row r="14" spans="2:6" x14ac:dyDescent="0.25">
      <c r="B14" s="2445" t="s">
        <v>91</v>
      </c>
      <c r="C14" s="2456"/>
      <c r="D14" s="54" t="s">
        <v>92</v>
      </c>
    </row>
    <row r="15" spans="2:6" ht="43.5" customHeight="1" x14ac:dyDescent="0.25">
      <c r="B15" s="2445" t="s">
        <v>93</v>
      </c>
      <c r="C15" s="2445"/>
      <c r="D15" s="55" t="s">
        <v>5289</v>
      </c>
    </row>
    <row r="16" spans="2:6" ht="45.75" customHeight="1" x14ac:dyDescent="0.25">
      <c r="B16" s="2445" t="s">
        <v>95</v>
      </c>
      <c r="C16" s="2445"/>
      <c r="D16" s="55"/>
    </row>
    <row r="17" spans="2:4" x14ac:dyDescent="0.25">
      <c r="B17" s="2445" t="s">
        <v>97</v>
      </c>
      <c r="C17" s="2445"/>
      <c r="D17" s="55" t="s">
        <v>5290</v>
      </c>
    </row>
    <row r="18" spans="2:4" x14ac:dyDescent="0.25">
      <c r="B18" s="2446" t="s">
        <v>99</v>
      </c>
      <c r="C18" s="2446"/>
      <c r="D18" s="49"/>
    </row>
    <row r="19" spans="2:4" ht="37.5" x14ac:dyDescent="0.25">
      <c r="B19" s="2457" t="s">
        <v>100</v>
      </c>
      <c r="C19" s="2458"/>
      <c r="D19" s="55" t="s">
        <v>5291</v>
      </c>
    </row>
    <row r="20" spans="2:4" x14ac:dyDescent="0.25">
      <c r="B20" s="2445" t="s">
        <v>102</v>
      </c>
      <c r="C20" s="2445"/>
      <c r="D20" s="55" t="s">
        <v>140</v>
      </c>
    </row>
    <row r="21" spans="2:4" x14ac:dyDescent="0.25">
      <c r="B21" s="2451" t="s">
        <v>104</v>
      </c>
      <c r="C21" s="95" t="s">
        <v>105</v>
      </c>
      <c r="D21" s="49"/>
    </row>
    <row r="22" spans="2:4" ht="18.75" customHeight="1" x14ac:dyDescent="0.25">
      <c r="B22" s="2452"/>
      <c r="C22" s="96" t="s">
        <v>107</v>
      </c>
      <c r="D22" s="55"/>
    </row>
    <row r="23" spans="2:4" x14ac:dyDescent="0.25">
      <c r="B23" s="2445" t="s">
        <v>109</v>
      </c>
      <c r="C23" s="2445"/>
      <c r="D23" s="55" t="s">
        <v>143</v>
      </c>
    </row>
    <row r="24" spans="2:4" x14ac:dyDescent="0.25">
      <c r="B24" s="2445" t="s">
        <v>111</v>
      </c>
      <c r="C24" s="2445"/>
      <c r="D24" s="50" t="s">
        <v>3388</v>
      </c>
    </row>
    <row r="25" spans="2:4" x14ac:dyDescent="0.25">
      <c r="B25" s="2445" t="s">
        <v>113</v>
      </c>
      <c r="C25" s="2445"/>
      <c r="D25" s="55" t="s">
        <v>144</v>
      </c>
    </row>
    <row r="26" spans="2:4" ht="15" customHeight="1" x14ac:dyDescent="0.25">
      <c r="B26" s="2446" t="s">
        <v>115</v>
      </c>
      <c r="C26" s="2446"/>
      <c r="D26" s="50" t="s">
        <v>5267</v>
      </c>
    </row>
    <row r="27" spans="2:4" x14ac:dyDescent="0.25">
      <c r="B27" s="2447" t="s">
        <v>117</v>
      </c>
      <c r="C27" s="2448"/>
      <c r="D27" s="49"/>
    </row>
    <row r="28" spans="2:4" ht="131.25" x14ac:dyDescent="0.25">
      <c r="B28" s="97" t="s">
        <v>118</v>
      </c>
      <c r="C28" s="98"/>
      <c r="D28" s="55" t="s">
        <v>5292</v>
      </c>
    </row>
    <row r="29" spans="2:4" x14ac:dyDescent="0.25">
      <c r="B29" s="2449" t="s">
        <v>120</v>
      </c>
      <c r="C29" s="2450"/>
      <c r="D29" s="62"/>
    </row>
    <row r="30" spans="2:4" ht="23.25" customHeight="1" x14ac:dyDescent="0.25">
      <c r="B30" s="63"/>
      <c r="C30" s="63"/>
      <c r="D30" s="64"/>
    </row>
    <row r="31" spans="2:4" ht="19.5" x14ac:dyDescent="0.25">
      <c r="B31" s="3119" t="s">
        <v>121</v>
      </c>
      <c r="C31" s="3119"/>
      <c r="D31" s="3119"/>
    </row>
    <row r="32" spans="2:4" x14ac:dyDescent="0.25">
      <c r="B32" s="2447" t="s">
        <v>122</v>
      </c>
      <c r="C32" s="2448"/>
      <c r="D32" s="50"/>
    </row>
    <row r="33" spans="2:4" x14ac:dyDescent="0.25">
      <c r="B33" s="2447" t="s">
        <v>124</v>
      </c>
      <c r="C33" s="2448"/>
      <c r="D33" s="50" t="s">
        <v>5293</v>
      </c>
    </row>
    <row r="34" spans="2:4" x14ac:dyDescent="0.25">
      <c r="B34" s="2447" t="s">
        <v>126</v>
      </c>
      <c r="C34" s="2448"/>
      <c r="D34" s="50" t="s">
        <v>3388</v>
      </c>
    </row>
    <row r="35" spans="2:4" x14ac:dyDescent="0.25">
      <c r="B35" s="2447" t="s">
        <v>128</v>
      </c>
      <c r="C35" s="2448"/>
      <c r="D35" s="50"/>
    </row>
    <row r="36" spans="2:4" x14ac:dyDescent="0.25">
      <c r="B36" s="2447" t="s">
        <v>130</v>
      </c>
      <c r="C36" s="2448"/>
      <c r="D36" s="1312" t="s">
        <v>5294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14646AB8-269B-4E7F-AFC3-894210E36E76}">
      <formula1>ODS</formula1>
    </dataValidation>
    <dataValidation type="list" allowBlank="1" showInputMessage="1" showErrorMessage="1" sqref="D5" xr:uid="{E883CC94-1061-428C-BEA4-6398022D0A13}">
      <formula1>Metas_ODS</formula1>
    </dataValidation>
    <dataValidation type="list" allowBlank="1" showInputMessage="1" showErrorMessage="1" sqref="D6" xr:uid="{9B851406-2D71-48FA-8B21-BAFBCFA1167C}">
      <formula1>Numero_indicador</formula1>
    </dataValidation>
    <dataValidation type="list" allowBlank="1" showInputMessage="1" showErrorMessage="1" sqref="D7" xr:uid="{27B8D252-A919-478B-BE59-4C5F5365D86D}">
      <formula1>Nombre_indicador_ODS</formula1>
    </dataValidation>
    <dataValidation type="list" allowBlank="1" showInputMessage="1" showErrorMessage="1" sqref="D14" xr:uid="{89849595-7F46-4C2C-A5F5-3155499737FE}">
      <formula1>Tipo_indicador</formula1>
    </dataValidation>
    <dataValidation type="list" allowBlank="1" showInputMessage="1" showErrorMessage="1" sqref="D25" xr:uid="{158B4C95-AF73-4B6C-8974-5B886C27D484}">
      <formula1>Tipo_operación</formula1>
    </dataValidation>
  </dataValidations>
  <hyperlinks>
    <hyperlink ref="B1" location="'8.10.1.b'!A1" display="REGRESAR" xr:uid="{955EAF7F-FC3F-4286-82D2-780824A1F344}"/>
    <hyperlink ref="D8" r:id="rId1" xr:uid="{E36FBDD1-2DD9-40F9-BC38-4528D2B37F86}"/>
    <hyperlink ref="D36" r:id="rId2" xr:uid="{DB5944A1-2F5C-45B6-8092-CAD1C6452E1E}"/>
  </hyperlinks>
  <pageMargins left="0.7" right="0.7" top="0.75" bottom="0.75" header="0.3" footer="0.3"/>
  <pageSetup orientation="portrait" horizontalDpi="4294967293" r:id="rId3"/>
  <drawing r:id="rId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ACA6A-2312-4109-AC20-DEFC1C688A2B}">
  <dimension ref="A1:R44"/>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5.28515625" style="1048" customWidth="1"/>
    <col min="3" max="4" width="7.28515625" style="115" customWidth="1"/>
    <col min="5" max="5" width="9.28515625" style="115" customWidth="1"/>
    <col min="6" max="6" width="10.42578125" style="115" customWidth="1"/>
    <col min="7" max="7" width="2.7109375" style="115" customWidth="1"/>
    <col min="8" max="8" width="11.42578125" style="115"/>
    <col min="9" max="9" width="10.28515625" style="115" customWidth="1"/>
    <col min="10" max="16" width="11.42578125" style="115"/>
    <col min="17" max="18" width="13.28515625" style="115" customWidth="1"/>
    <col min="19" max="16384" width="11.42578125" style="115"/>
  </cols>
  <sheetData>
    <row r="1" spans="1:18" s="1032" customFormat="1" ht="19.5" x14ac:dyDescent="0.4">
      <c r="A1" s="15" t="s">
        <v>39</v>
      </c>
      <c r="B1" s="1061"/>
      <c r="C1" s="2421" t="s">
        <v>149</v>
      </c>
      <c r="D1" s="2421"/>
      <c r="E1" s="2421"/>
    </row>
    <row r="2" spans="1:18" s="1032" customFormat="1" ht="19.5" x14ac:dyDescent="0.4">
      <c r="B2" s="1061"/>
    </row>
    <row r="3" spans="1:18" s="1032" customFormat="1" ht="19.5" x14ac:dyDescent="0.4">
      <c r="A3" s="3117" t="s">
        <v>41</v>
      </c>
      <c r="B3" s="3117"/>
      <c r="C3" s="3117" t="s">
        <v>4957</v>
      </c>
      <c r="D3" s="3117"/>
      <c r="E3" s="3117"/>
      <c r="F3" s="3117"/>
      <c r="G3" s="3117"/>
      <c r="H3" s="3117"/>
      <c r="I3" s="3117"/>
      <c r="J3" s="3117"/>
      <c r="K3" s="3117"/>
      <c r="L3" s="3117"/>
      <c r="M3" s="3117"/>
      <c r="N3" s="3117"/>
      <c r="O3" s="3117"/>
      <c r="P3" s="3117"/>
      <c r="Q3" s="3117"/>
      <c r="R3" s="3117"/>
    </row>
    <row r="4" spans="1:18" s="1032" customFormat="1" ht="19.5" x14ac:dyDescent="0.4">
      <c r="A4" s="3117" t="s">
        <v>42</v>
      </c>
      <c r="B4" s="3117"/>
      <c r="C4" s="3117" t="s">
        <v>4946</v>
      </c>
      <c r="D4" s="3117"/>
      <c r="E4" s="3117"/>
      <c r="F4" s="3117"/>
      <c r="G4" s="3117"/>
      <c r="H4" s="3117"/>
      <c r="I4" s="3117"/>
      <c r="J4" s="3117"/>
      <c r="K4" s="3117"/>
      <c r="L4" s="3117"/>
      <c r="M4" s="3117"/>
      <c r="N4" s="3117"/>
      <c r="O4" s="3117"/>
      <c r="P4" s="3117"/>
      <c r="Q4" s="3117"/>
      <c r="R4" s="3117"/>
    </row>
    <row r="5" spans="1:18" s="1032" customFormat="1" ht="19.5" x14ac:dyDescent="0.4">
      <c r="A5" s="3117" t="s">
        <v>43</v>
      </c>
      <c r="B5" s="3117"/>
      <c r="C5" s="3117" t="s">
        <v>4950</v>
      </c>
      <c r="D5" s="3117"/>
      <c r="E5" s="3117"/>
      <c r="F5" s="3117"/>
      <c r="G5" s="3117"/>
      <c r="H5" s="3117"/>
      <c r="I5" s="3117"/>
      <c r="J5" s="3117"/>
      <c r="K5" s="3117"/>
      <c r="L5" s="3117"/>
      <c r="M5" s="3117"/>
      <c r="N5" s="3117"/>
      <c r="O5" s="3117"/>
      <c r="P5" s="3117"/>
      <c r="Q5" s="3117"/>
      <c r="R5" s="3117"/>
    </row>
    <row r="6" spans="1:18" s="1032" customFormat="1" ht="19.5" x14ac:dyDescent="0.4">
      <c r="A6" s="3117" t="s">
        <v>132</v>
      </c>
      <c r="B6" s="3117"/>
      <c r="C6" s="3117" t="s">
        <v>5295</v>
      </c>
      <c r="D6" s="3117"/>
      <c r="E6" s="3117"/>
      <c r="F6" s="3117"/>
      <c r="G6" s="3117"/>
      <c r="H6" s="3117"/>
      <c r="I6" s="3117"/>
      <c r="J6" s="3117"/>
      <c r="K6" s="3117"/>
      <c r="L6" s="3117"/>
      <c r="M6" s="3117"/>
      <c r="N6" s="3117"/>
      <c r="O6" s="3117"/>
      <c r="P6" s="3117"/>
      <c r="Q6" s="3117"/>
      <c r="R6" s="3117"/>
    </row>
    <row r="7" spans="1:18" s="1032" customFormat="1" ht="19.5" x14ac:dyDescent="0.4">
      <c r="B7" s="1061"/>
    </row>
    <row r="8" spans="1:18" s="1032" customFormat="1" ht="19.5" x14ac:dyDescent="0.4">
      <c r="H8" s="1545"/>
      <c r="I8" s="1545"/>
      <c r="J8" s="1545"/>
      <c r="K8" s="1545"/>
    </row>
    <row r="9" spans="1:18" s="1032" customFormat="1" ht="13.15" customHeight="1" x14ac:dyDescent="0.4">
      <c r="A9" s="1084"/>
      <c r="B9" s="1061"/>
      <c r="C9" s="1546" t="s">
        <v>5295</v>
      </c>
      <c r="D9" s="1546"/>
      <c r="E9" s="1546"/>
      <c r="F9" s="1546"/>
      <c r="G9" s="1546"/>
      <c r="H9" s="1546"/>
      <c r="I9" s="1546"/>
      <c r="J9" s="1546"/>
      <c r="K9" s="1546"/>
      <c r="L9" s="1546"/>
      <c r="M9" s="1546"/>
    </row>
    <row r="10" spans="1:18" s="1032" customFormat="1" ht="13.15" customHeight="1" x14ac:dyDescent="0.4">
      <c r="A10" s="1084"/>
      <c r="B10" s="1061"/>
      <c r="C10" s="1547"/>
      <c r="D10" s="1547"/>
      <c r="E10" s="1547"/>
      <c r="F10" s="1547"/>
      <c r="G10" s="1547"/>
      <c r="H10" s="1547"/>
      <c r="I10" s="1547"/>
      <c r="J10" s="1547"/>
      <c r="K10" s="1547"/>
      <c r="L10" s="1547"/>
      <c r="M10" s="1547"/>
    </row>
    <row r="11" spans="1:18" ht="30.75" customHeight="1" x14ac:dyDescent="0.4">
      <c r="A11" s="536"/>
      <c r="C11" s="3124" t="s">
        <v>247</v>
      </c>
      <c r="D11" s="3134" t="s">
        <v>5296</v>
      </c>
      <c r="E11" s="3134"/>
      <c r="F11" s="3134"/>
      <c r="G11" s="1454"/>
      <c r="H11" s="3187" t="s">
        <v>5297</v>
      </c>
      <c r="I11" s="3187"/>
      <c r="J11" s="3187"/>
      <c r="K11" s="1548"/>
      <c r="L11" s="3187" t="s">
        <v>5256</v>
      </c>
      <c r="M11" s="3187"/>
      <c r="N11" s="3187"/>
    </row>
    <row r="12" spans="1:18" ht="17.45" customHeight="1" x14ac:dyDescent="0.4">
      <c r="A12" s="536"/>
      <c r="C12" s="3125"/>
      <c r="D12" s="3187" t="s">
        <v>48</v>
      </c>
      <c r="E12" s="3187"/>
      <c r="F12" s="3187"/>
      <c r="G12" s="1549"/>
      <c r="H12" s="3187" t="s">
        <v>48</v>
      </c>
      <c r="I12" s="3187"/>
      <c r="J12" s="3187"/>
      <c r="K12" s="1549"/>
      <c r="L12" s="3187" t="s">
        <v>48</v>
      </c>
      <c r="M12" s="3187"/>
      <c r="N12" s="3187"/>
    </row>
    <row r="13" spans="1:18" x14ac:dyDescent="0.4">
      <c r="A13" s="536"/>
      <c r="C13" s="3126"/>
      <c r="D13" s="1456" t="s">
        <v>47</v>
      </c>
      <c r="E13" s="1491" t="s">
        <v>894</v>
      </c>
      <c r="F13" s="1491" t="s">
        <v>895</v>
      </c>
      <c r="G13" s="1550"/>
      <c r="H13" s="1551" t="s">
        <v>47</v>
      </c>
      <c r="I13" s="1491" t="s">
        <v>894</v>
      </c>
      <c r="J13" s="1491" t="s">
        <v>895</v>
      </c>
      <c r="K13" s="1491"/>
      <c r="L13" s="1551" t="s">
        <v>47</v>
      </c>
      <c r="M13" s="1491" t="s">
        <v>894</v>
      </c>
      <c r="N13" s="1491" t="s">
        <v>895</v>
      </c>
    </row>
    <row r="14" spans="1:18" x14ac:dyDescent="0.4">
      <c r="A14" s="536"/>
      <c r="C14" s="1552">
        <v>2015</v>
      </c>
      <c r="D14" s="1553">
        <f>+(H14/L14)*100</f>
        <v>65.638074423349437</v>
      </c>
      <c r="E14" s="1553">
        <v>69.497055289902605</v>
      </c>
      <c r="F14" s="1553">
        <v>60.45842093138922</v>
      </c>
      <c r="G14" s="1446"/>
      <c r="H14" s="1541">
        <v>2417702.9082118515</v>
      </c>
      <c r="I14" s="1541">
        <v>1298853.1169336054</v>
      </c>
      <c r="J14" s="1541">
        <v>1118849.7912782461</v>
      </c>
      <c r="K14" s="1541"/>
      <c r="L14" s="1554">
        <v>3683384.8790539806</v>
      </c>
      <c r="M14" s="1555">
        <v>1837661.7925005904</v>
      </c>
      <c r="N14" s="1555">
        <v>1845723.0865533915</v>
      </c>
    </row>
    <row r="15" spans="1:18" x14ac:dyDescent="0.4">
      <c r="A15" s="536"/>
      <c r="C15" s="1552">
        <v>2017</v>
      </c>
      <c r="D15" s="1553">
        <f t="shared" ref="D15:F20" si="0">+(H15/L15)*100</f>
        <v>72.710986963591822</v>
      </c>
      <c r="E15" s="1553">
        <v>73.395266537541417</v>
      </c>
      <c r="F15" s="1553">
        <v>70.592949354594367</v>
      </c>
      <c r="G15" s="1446"/>
      <c r="H15" s="1541">
        <v>2764085.1492923908</v>
      </c>
      <c r="I15" s="1541">
        <v>1414749.0569185209</v>
      </c>
      <c r="J15" s="1541">
        <v>1349336.0923738701</v>
      </c>
      <c r="K15" s="1541"/>
      <c r="L15" s="1554">
        <v>3801468.3402336929</v>
      </c>
      <c r="M15" s="1555">
        <v>1895130.3836813336</v>
      </c>
      <c r="N15" s="1555">
        <v>1906337.9565523579</v>
      </c>
    </row>
    <row r="16" spans="1:18" x14ac:dyDescent="0.4">
      <c r="A16" s="536"/>
      <c r="C16" s="1552">
        <v>2018</v>
      </c>
      <c r="D16" s="1556"/>
      <c r="E16" s="1556"/>
      <c r="F16" s="1556"/>
      <c r="G16" s="1557"/>
      <c r="H16" s="1541"/>
      <c r="I16" s="1541"/>
      <c r="J16" s="1541"/>
      <c r="K16" s="1541"/>
      <c r="L16" s="1554">
        <v>3857441.0522703752</v>
      </c>
      <c r="M16" s="1558">
        <v>1922135.7540393905</v>
      </c>
      <c r="N16" s="1558">
        <v>1935305.2982309854</v>
      </c>
    </row>
    <row r="17" spans="1:14" x14ac:dyDescent="0.4">
      <c r="A17" s="536"/>
      <c r="C17" s="1552">
        <v>2019</v>
      </c>
      <c r="D17" s="1553">
        <f t="shared" si="0"/>
        <v>81.237993006250591</v>
      </c>
      <c r="E17" s="1553">
        <f t="shared" si="0"/>
        <v>82.043767206406955</v>
      </c>
      <c r="F17" s="1553">
        <f t="shared" si="0"/>
        <v>80.438569655967854</v>
      </c>
      <c r="G17" s="1557"/>
      <c r="H17" s="1541">
        <v>3177098</v>
      </c>
      <c r="I17" s="1541">
        <v>1597958</v>
      </c>
      <c r="J17" s="1541">
        <v>1579140</v>
      </c>
      <c r="K17" s="1541"/>
      <c r="L17" s="1554">
        <v>3910852.4009887204</v>
      </c>
      <c r="M17" s="1558">
        <v>1947689.6958910152</v>
      </c>
      <c r="N17" s="1558">
        <v>1963162.7050977049</v>
      </c>
    </row>
    <row r="18" spans="1:14" s="1048" customFormat="1" x14ac:dyDescent="0.4">
      <c r="A18" s="835"/>
      <c r="C18" s="1552">
        <v>2020</v>
      </c>
      <c r="D18" s="1553">
        <f t="shared" si="0"/>
        <v>83.458586040911555</v>
      </c>
      <c r="E18" s="1553">
        <f t="shared" si="0"/>
        <v>83.984594274318525</v>
      </c>
      <c r="F18" s="1553">
        <f t="shared" si="0"/>
        <v>82.937431694161518</v>
      </c>
      <c r="G18" s="1557"/>
      <c r="H18" s="1541">
        <v>3304365</v>
      </c>
      <c r="I18" s="1541">
        <v>1654889</v>
      </c>
      <c r="J18" s="1541">
        <v>1649476</v>
      </c>
      <c r="K18" s="1541"/>
      <c r="L18" s="1554">
        <v>3959287.062903503</v>
      </c>
      <c r="M18" s="1558">
        <v>1970467.3390391613</v>
      </c>
      <c r="N18" s="1558">
        <v>1988819.7238643416</v>
      </c>
    </row>
    <row r="19" spans="1:14" s="1048" customFormat="1" x14ac:dyDescent="0.4">
      <c r="A19" s="835"/>
      <c r="C19" s="1552">
        <v>2021</v>
      </c>
      <c r="D19" s="1553">
        <f t="shared" si="0"/>
        <v>86.429935523971224</v>
      </c>
      <c r="E19" s="1553">
        <f t="shared" si="0"/>
        <v>86.877531352828512</v>
      </c>
      <c r="F19" s="1553">
        <f t="shared" si="0"/>
        <v>85.986963999291547</v>
      </c>
      <c r="G19" s="1557"/>
      <c r="H19" s="1541">
        <v>3463101</v>
      </c>
      <c r="I19" s="1541">
        <v>1731480</v>
      </c>
      <c r="J19" s="1541">
        <v>1731621</v>
      </c>
      <c r="K19" s="1541"/>
      <c r="L19" s="1554">
        <v>4006830.4795154147</v>
      </c>
      <c r="M19" s="1558">
        <v>1993012.4314514459</v>
      </c>
      <c r="N19" s="1558">
        <v>2013818.0480639683</v>
      </c>
    </row>
    <row r="20" spans="1:14" s="1048" customFormat="1" x14ac:dyDescent="0.4">
      <c r="A20" s="835"/>
      <c r="C20" s="1552">
        <v>2022</v>
      </c>
      <c r="D20" s="1553">
        <f t="shared" si="0"/>
        <v>88.719074371829194</v>
      </c>
      <c r="E20" s="1553">
        <f>+(I20/M20)*100</f>
        <v>89.243722441824801</v>
      </c>
      <c r="F20" s="1553">
        <f>+(J20/N20)*100</f>
        <v>88.20019410168473</v>
      </c>
      <c r="G20" s="1557"/>
      <c r="H20" s="1541">
        <v>3599167</v>
      </c>
      <c r="I20" s="1541">
        <v>1800220</v>
      </c>
      <c r="J20" s="1541">
        <v>1798947</v>
      </c>
      <c r="K20" s="1541"/>
      <c r="L20" s="1554">
        <v>4056813.0647030701</v>
      </c>
      <c r="M20" s="1558">
        <v>2017195.1043094457</v>
      </c>
      <c r="N20" s="1558">
        <v>2039617.9603936244</v>
      </c>
    </row>
    <row r="21" spans="1:14" x14ac:dyDescent="0.4">
      <c r="A21" s="536"/>
      <c r="C21" s="1552">
        <v>2023</v>
      </c>
      <c r="D21" s="1553">
        <f>+(H21/L21)*100</f>
        <v>90.743152390660669</v>
      </c>
      <c r="E21" s="1553">
        <f>+(I21/M21)*100</f>
        <v>91.230143825927968</v>
      </c>
      <c r="F21" s="1553">
        <f>+(J21/N21)*100</f>
        <v>90.261690555312043</v>
      </c>
      <c r="G21" s="1048"/>
      <c r="H21" s="1541">
        <v>3732116</v>
      </c>
      <c r="I21" s="1541">
        <v>1865360.7219942594</v>
      </c>
      <c r="J21" s="1541">
        <v>1866755.2780057406</v>
      </c>
      <c r="K21" s="1541"/>
      <c r="L21" s="1554">
        <v>4112834.8549461584</v>
      </c>
      <c r="M21" s="1558">
        <v>2044675.8535791286</v>
      </c>
      <c r="N21" s="1558">
        <v>2068159.0013670302</v>
      </c>
    </row>
    <row r="22" spans="1:14" x14ac:dyDescent="0.4">
      <c r="A22" s="536"/>
      <c r="C22" s="3091" t="s">
        <v>5298</v>
      </c>
      <c r="D22" s="3091"/>
      <c r="E22" s="3091"/>
      <c r="F22" s="3091"/>
      <c r="G22" s="3091"/>
      <c r="H22" s="3091"/>
      <c r="I22" s="3091"/>
      <c r="J22" s="3091"/>
      <c r="K22" s="3091"/>
      <c r="L22" s="3091"/>
      <c r="M22" s="3091"/>
      <c r="N22" s="3091"/>
    </row>
    <row r="23" spans="1:14" x14ac:dyDescent="0.4">
      <c r="A23" s="536"/>
      <c r="C23" s="115" t="s">
        <v>195</v>
      </c>
    </row>
    <row r="24" spans="1:14" ht="37.15" customHeight="1" x14ac:dyDescent="0.4">
      <c r="A24" s="536"/>
      <c r="C24" s="3177" t="s">
        <v>5299</v>
      </c>
      <c r="D24" s="3177"/>
      <c r="E24" s="3177"/>
      <c r="F24" s="3177"/>
      <c r="G24" s="3177"/>
      <c r="H24" s="3177"/>
      <c r="I24" s="3177"/>
      <c r="J24" s="3177"/>
      <c r="K24" s="3177"/>
      <c r="L24" s="3177"/>
      <c r="M24" s="3177"/>
      <c r="N24" s="3177"/>
    </row>
    <row r="25" spans="1:14" x14ac:dyDescent="0.4">
      <c r="A25" s="536"/>
      <c r="C25" s="3177" t="s">
        <v>5300</v>
      </c>
      <c r="D25" s="3177"/>
      <c r="E25" s="3177"/>
      <c r="F25" s="3177"/>
      <c r="G25" s="3177"/>
      <c r="H25" s="3177"/>
      <c r="I25" s="3177"/>
      <c r="J25" s="3177"/>
      <c r="K25" s="3177"/>
      <c r="L25" s="3177"/>
      <c r="M25" s="3177"/>
      <c r="N25" s="3177"/>
    </row>
    <row r="26" spans="1:14" x14ac:dyDescent="0.4">
      <c r="A26" s="536"/>
      <c r="C26" s="155" t="s">
        <v>5301</v>
      </c>
    </row>
    <row r="27" spans="1:14" x14ac:dyDescent="0.4">
      <c r="A27" s="536"/>
      <c r="C27" s="155"/>
    </row>
    <row r="28" spans="1:14" x14ac:dyDescent="0.4">
      <c r="A28" s="536"/>
    </row>
    <row r="29" spans="1:14" ht="36.75" customHeight="1" x14ac:dyDescent="0.4">
      <c r="A29" s="536"/>
      <c r="C29" s="2628" t="s">
        <v>5302</v>
      </c>
      <c r="D29" s="2628"/>
      <c r="E29" s="2628"/>
      <c r="F29" s="2628"/>
      <c r="G29" s="2628"/>
      <c r="H29" s="2628"/>
      <c r="I29" s="2628"/>
      <c r="J29" s="2628"/>
      <c r="K29" s="2628"/>
    </row>
    <row r="30" spans="1:14" x14ac:dyDescent="0.4">
      <c r="A30" s="536"/>
    </row>
    <row r="31" spans="1:14" x14ac:dyDescent="0.4">
      <c r="A31" s="536"/>
    </row>
    <row r="32" spans="1:14" x14ac:dyDescent="0.4">
      <c r="A32" s="536"/>
    </row>
    <row r="33" spans="1:3" x14ac:dyDescent="0.4">
      <c r="A33" s="536"/>
    </row>
    <row r="34" spans="1:3" x14ac:dyDescent="0.4">
      <c r="A34" s="536"/>
    </row>
    <row r="35" spans="1:3" x14ac:dyDescent="0.4">
      <c r="A35" s="536"/>
    </row>
    <row r="36" spans="1:3" x14ac:dyDescent="0.4">
      <c r="A36" s="536"/>
    </row>
    <row r="37" spans="1:3" x14ac:dyDescent="0.4">
      <c r="A37" s="536"/>
    </row>
    <row r="38" spans="1:3" x14ac:dyDescent="0.4">
      <c r="A38" s="536"/>
    </row>
    <row r="44" spans="1:3" x14ac:dyDescent="0.4">
      <c r="C44" s="155" t="s">
        <v>5303</v>
      </c>
    </row>
  </sheetData>
  <mergeCells count="20">
    <mergeCell ref="A5:B5"/>
    <mergeCell ref="C5:R5"/>
    <mergeCell ref="C1:E1"/>
    <mergeCell ref="A3:B3"/>
    <mergeCell ref="C3:R3"/>
    <mergeCell ref="A4:B4"/>
    <mergeCell ref="C4:R4"/>
    <mergeCell ref="C22:N22"/>
    <mergeCell ref="C24:N24"/>
    <mergeCell ref="C25:N25"/>
    <mergeCell ref="C29:K29"/>
    <mergeCell ref="A6:B6"/>
    <mergeCell ref="C6:R6"/>
    <mergeCell ref="C11:C13"/>
    <mergeCell ref="D11:F11"/>
    <mergeCell ref="H11:J11"/>
    <mergeCell ref="L11:N11"/>
    <mergeCell ref="D12:F12"/>
    <mergeCell ref="H12:J12"/>
    <mergeCell ref="L12:N12"/>
  </mergeCells>
  <hyperlinks>
    <hyperlink ref="A1" location="'ODS 8.'!A1" display="REGRESAR" xr:uid="{5D608CD2-D3C9-4A7F-AA66-1550CDF291E1}"/>
    <hyperlink ref="C1:D1" location="'Metadato 8.10.2'!A1" display="VER METADATO" xr:uid="{A4F861F5-7240-4D02-857D-1100147EA413}"/>
  </hyperlinks>
  <pageMargins left="0.7" right="0.7" top="0.75" bottom="0.75" header="0.3" footer="0.3"/>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26A7-8E24-4A14-A2F9-A983C4C0CEC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7.28515625" style="243" customWidth="1"/>
    <col min="2" max="2" width="26.42578125" style="243" customWidth="1"/>
    <col min="3" max="3" width="24" style="243" customWidth="1"/>
    <col min="4" max="4" width="85.7109375" style="243" customWidth="1"/>
    <col min="5" max="5" width="4.28515625" style="243" customWidth="1"/>
    <col min="6" max="6" width="7.28515625" style="243" customWidth="1"/>
    <col min="7" max="7" width="10.28515625" style="243" customWidth="1"/>
    <col min="8" max="16384" width="11.42578125" style="243"/>
  </cols>
  <sheetData>
    <row r="1" spans="2:6" x14ac:dyDescent="0.25">
      <c r="B1" s="223" t="s">
        <v>39</v>
      </c>
    </row>
    <row r="2" spans="2:6" ht="19.5" thickBot="1" x14ac:dyDescent="0.3"/>
    <row r="3" spans="2:6" ht="23.25" customHeight="1" thickBot="1" x14ac:dyDescent="0.3">
      <c r="B3" s="3119" t="s">
        <v>75</v>
      </c>
      <c r="C3" s="3119"/>
      <c r="D3" s="3119"/>
      <c r="F3" s="1286" t="s">
        <v>265</v>
      </c>
    </row>
    <row r="4" spans="2:6" ht="32.25" customHeight="1" x14ac:dyDescent="0.25">
      <c r="B4" s="2445" t="s">
        <v>234</v>
      </c>
      <c r="C4" s="2445"/>
      <c r="D4" s="49" t="s">
        <v>4975</v>
      </c>
    </row>
    <row r="5" spans="2:6" ht="31.5" customHeight="1" x14ac:dyDescent="0.25">
      <c r="B5" s="2445" t="s">
        <v>79</v>
      </c>
      <c r="C5" s="2445"/>
      <c r="D5" s="49" t="s">
        <v>4946</v>
      </c>
    </row>
    <row r="6" spans="2:6" x14ac:dyDescent="0.25">
      <c r="B6" s="2445" t="s">
        <v>80</v>
      </c>
      <c r="C6" s="2445"/>
      <c r="D6" s="50" t="s">
        <v>4949</v>
      </c>
    </row>
    <row r="7" spans="2:6" ht="37.5" x14ac:dyDescent="0.25">
      <c r="B7" s="2446" t="s">
        <v>81</v>
      </c>
      <c r="C7" s="2446"/>
      <c r="D7" s="93" t="s">
        <v>4950</v>
      </c>
    </row>
    <row r="8" spans="2:6" x14ac:dyDescent="0.25">
      <c r="B8" s="2446" t="s">
        <v>82</v>
      </c>
      <c r="C8" s="2446"/>
      <c r="D8" s="1047" t="s">
        <v>5304</v>
      </c>
    </row>
    <row r="9" spans="2:6" x14ac:dyDescent="0.4">
      <c r="B9" s="115"/>
      <c r="C9" s="115"/>
      <c r="D9" s="115"/>
    </row>
    <row r="10" spans="2:6" ht="23.25" customHeight="1" x14ac:dyDescent="0.25">
      <c r="B10" s="3119" t="s">
        <v>85</v>
      </c>
      <c r="C10" s="3119"/>
      <c r="D10" s="3119"/>
    </row>
    <row r="11" spans="2:6" x14ac:dyDescent="0.25">
      <c r="B11" s="2487" t="s">
        <v>86</v>
      </c>
      <c r="C11" s="2456"/>
      <c r="D11" s="49" t="s">
        <v>167</v>
      </c>
    </row>
    <row r="12" spans="2:6" ht="30.75" customHeight="1" x14ac:dyDescent="0.25">
      <c r="B12" s="2446" t="s">
        <v>88</v>
      </c>
      <c r="C12" s="2446"/>
      <c r="D12" s="184" t="s">
        <v>5305</v>
      </c>
    </row>
    <row r="13" spans="2:6" x14ac:dyDescent="0.25">
      <c r="B13" s="2445" t="s">
        <v>90</v>
      </c>
      <c r="C13" s="2445"/>
      <c r="D13" s="55" t="s">
        <v>4949</v>
      </c>
    </row>
    <row r="14" spans="2:6" x14ac:dyDescent="0.25">
      <c r="B14" s="2445" t="s">
        <v>91</v>
      </c>
      <c r="C14" s="2456"/>
      <c r="D14" s="54" t="s">
        <v>92</v>
      </c>
    </row>
    <row r="15" spans="2:6" ht="56.25" x14ac:dyDescent="0.25">
      <c r="B15" s="2445" t="s">
        <v>93</v>
      </c>
      <c r="C15" s="2445"/>
      <c r="D15" s="55" t="s">
        <v>5306</v>
      </c>
    </row>
    <row r="16" spans="2:6" ht="53.25" customHeight="1" x14ac:dyDescent="0.25">
      <c r="B16" s="2445" t="s">
        <v>95</v>
      </c>
      <c r="C16" s="2445"/>
      <c r="D16" s="55"/>
    </row>
    <row r="17" spans="2:4" x14ac:dyDescent="0.25">
      <c r="B17" s="2445" t="s">
        <v>97</v>
      </c>
      <c r="C17" s="2445"/>
      <c r="D17" s="55" t="s">
        <v>98</v>
      </c>
    </row>
    <row r="18" spans="2:4" x14ac:dyDescent="0.25">
      <c r="B18" s="2446" t="s">
        <v>99</v>
      </c>
      <c r="C18" s="2446"/>
      <c r="D18" s="49"/>
    </row>
    <row r="19" spans="2:4" ht="37.5" customHeight="1" x14ac:dyDescent="0.25">
      <c r="B19" s="2457" t="s">
        <v>100</v>
      </c>
      <c r="C19" s="2458"/>
      <c r="D19" s="55" t="s">
        <v>5307</v>
      </c>
    </row>
    <row r="20" spans="2:4" x14ac:dyDescent="0.25">
      <c r="B20" s="2445" t="s">
        <v>102</v>
      </c>
      <c r="C20" s="2445"/>
      <c r="D20" s="55" t="s">
        <v>140</v>
      </c>
    </row>
    <row r="21" spans="2:4" x14ac:dyDescent="0.25">
      <c r="B21" s="2451" t="s">
        <v>104</v>
      </c>
      <c r="C21" s="95" t="s">
        <v>105</v>
      </c>
      <c r="D21" s="55" t="s">
        <v>313</v>
      </c>
    </row>
    <row r="22" spans="2:4" ht="15" customHeight="1" x14ac:dyDescent="0.25">
      <c r="B22" s="2452"/>
      <c r="C22" s="96" t="s">
        <v>107</v>
      </c>
      <c r="D22" s="55"/>
    </row>
    <row r="23" spans="2:4" ht="16.5" customHeight="1" x14ac:dyDescent="0.25">
      <c r="B23" s="2445" t="s">
        <v>109</v>
      </c>
      <c r="C23" s="2445"/>
      <c r="D23" s="55" t="s">
        <v>143</v>
      </c>
    </row>
    <row r="24" spans="2:4" x14ac:dyDescent="0.25">
      <c r="B24" s="2445" t="s">
        <v>111</v>
      </c>
      <c r="C24" s="2445"/>
      <c r="D24" s="50" t="s">
        <v>3388</v>
      </c>
    </row>
    <row r="25" spans="2:4" x14ac:dyDescent="0.25">
      <c r="B25" s="2445" t="s">
        <v>113</v>
      </c>
      <c r="C25" s="2445"/>
      <c r="D25" s="55" t="s">
        <v>220</v>
      </c>
    </row>
    <row r="26" spans="2:4" ht="15" customHeight="1" x14ac:dyDescent="0.25">
      <c r="B26" s="2446" t="s">
        <v>115</v>
      </c>
      <c r="C26" s="2446"/>
      <c r="D26" s="49"/>
    </row>
    <row r="27" spans="2:4" x14ac:dyDescent="0.25">
      <c r="B27" s="2447" t="s">
        <v>117</v>
      </c>
      <c r="C27" s="2448"/>
      <c r="D27" s="49"/>
    </row>
    <row r="28" spans="2:4" ht="233.45" customHeight="1" x14ac:dyDescent="0.25">
      <c r="B28" s="97" t="s">
        <v>118</v>
      </c>
      <c r="C28" s="98"/>
      <c r="D28" s="55" t="s">
        <v>5308</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0"/>
    </row>
    <row r="33" spans="2:4" x14ac:dyDescent="0.25">
      <c r="B33" s="2447" t="s">
        <v>124</v>
      </c>
      <c r="C33" s="2448"/>
      <c r="D33" s="50" t="s">
        <v>5293</v>
      </c>
    </row>
    <row r="34" spans="2:4" x14ac:dyDescent="0.25">
      <c r="B34" s="2447" t="s">
        <v>126</v>
      </c>
      <c r="C34" s="2448"/>
      <c r="D34" s="50" t="s">
        <v>3388</v>
      </c>
    </row>
    <row r="35" spans="2:4" x14ac:dyDescent="0.25">
      <c r="B35" s="2447" t="s">
        <v>128</v>
      </c>
      <c r="C35" s="2448"/>
      <c r="D35" s="50"/>
    </row>
    <row r="36" spans="2:4" x14ac:dyDescent="0.25">
      <c r="B36" s="2447" t="s">
        <v>130</v>
      </c>
      <c r="C36" s="2448"/>
      <c r="D36" s="1312" t="s">
        <v>5294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81AC9966-67FC-42B5-9481-ABA973FE3F9D}">
      <formula1>Tipo_operación</formula1>
    </dataValidation>
    <dataValidation type="list" allowBlank="1" showInputMessage="1" showErrorMessage="1" sqref="D14" xr:uid="{7267295E-C96E-4D64-AE95-0F471C118D0A}">
      <formula1>Tipo_indicador</formula1>
    </dataValidation>
    <dataValidation type="list" allowBlank="1" showInputMessage="1" showErrorMessage="1" sqref="D7" xr:uid="{019C1D9A-C9E8-418B-AFE1-63F6B397FE89}">
      <formula1>Nombre_indicador_ODS</formula1>
    </dataValidation>
    <dataValidation type="list" allowBlank="1" showInputMessage="1" showErrorMessage="1" sqref="D6" xr:uid="{E446E907-8EAB-490B-A3C4-E031E85CE0A0}">
      <formula1>Numero_indicador</formula1>
    </dataValidation>
    <dataValidation type="list" allowBlank="1" showInputMessage="1" showErrorMessage="1" sqref="D5" xr:uid="{D789DE9E-424D-4C16-B2AC-5F28C2B7E8CB}">
      <formula1>Metas_ODS</formula1>
    </dataValidation>
    <dataValidation type="list" allowBlank="1" showInputMessage="1" showErrorMessage="1" sqref="D4" xr:uid="{9AB9E7BB-5F40-49E5-8F36-A2341AD62735}">
      <formula1>ODS</formula1>
    </dataValidation>
  </dataValidations>
  <hyperlinks>
    <hyperlink ref="B1" location="'8.10.2'!A1" display="REGRESAR" xr:uid="{D61BB92F-0AB0-4037-AFF7-8710B825BCA6}"/>
    <hyperlink ref="D8" r:id="rId1" xr:uid="{34E59626-90DE-4BBD-AE1E-5F69A56BD4B1}"/>
    <hyperlink ref="D36" r:id="rId2" xr:uid="{5BF9CD34-4323-48AC-B3E9-ECC15CA56B25}"/>
  </hyperlinks>
  <pageMargins left="0.7" right="0.7" top="0.75" bottom="0.75" header="0.3" footer="0.3"/>
  <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445B-12DD-430C-BCF3-DE0C5703B803}">
  <sheetPr>
    <tabColor rgb="FF7030A0"/>
  </sheetPr>
  <dimension ref="A1:P26"/>
  <sheetViews>
    <sheetView showGridLines="0" workbookViewId="0">
      <pane ySplit="1" topLeftCell="A2" activePane="bottomLeft" state="frozen"/>
      <selection sqref="A1:B1"/>
      <selection pane="bottomLeft"/>
    </sheetView>
  </sheetViews>
  <sheetFormatPr baseColWidth="10" defaultColWidth="11.42578125" defaultRowHeight="19.5" x14ac:dyDescent="0.4"/>
  <cols>
    <col min="1" max="1" width="15" style="1032" customWidth="1"/>
    <col min="2" max="2" width="18.7109375" style="1032" customWidth="1"/>
    <col min="3" max="3" width="11.7109375" style="1061" customWidth="1"/>
    <col min="4" max="7" width="11.7109375" style="1032" customWidth="1"/>
    <col min="8" max="16384" width="11.42578125" style="1032"/>
  </cols>
  <sheetData>
    <row r="1" spans="1:16" x14ac:dyDescent="0.4">
      <c r="A1" s="15" t="s">
        <v>39</v>
      </c>
      <c r="B1" s="1080"/>
      <c r="C1" s="2421" t="s">
        <v>149</v>
      </c>
      <c r="D1" s="2421"/>
    </row>
    <row r="3" spans="1:16" x14ac:dyDescent="0.4">
      <c r="A3" s="3135" t="s">
        <v>41</v>
      </c>
      <c r="B3" s="3135"/>
      <c r="C3" s="3135" t="s">
        <v>4957</v>
      </c>
      <c r="D3" s="3135"/>
      <c r="E3" s="3135"/>
      <c r="F3" s="3135"/>
      <c r="G3" s="3135"/>
      <c r="H3" s="3135"/>
      <c r="I3" s="3135"/>
      <c r="J3" s="3135"/>
      <c r="K3" s="3135"/>
      <c r="L3" s="3135"/>
      <c r="M3" s="3135"/>
      <c r="N3" s="3135"/>
      <c r="O3" s="3135"/>
      <c r="P3" s="3135"/>
    </row>
    <row r="4" spans="1:16" ht="36.6" customHeight="1" x14ac:dyDescent="0.4">
      <c r="A4" s="3135" t="s">
        <v>42</v>
      </c>
      <c r="B4" s="3135"/>
      <c r="C4" s="3117" t="s">
        <v>4951</v>
      </c>
      <c r="D4" s="3117"/>
      <c r="E4" s="3117"/>
      <c r="F4" s="3117"/>
      <c r="G4" s="3117"/>
      <c r="H4" s="3117"/>
      <c r="I4" s="3117"/>
      <c r="J4" s="3117"/>
      <c r="K4" s="3117"/>
      <c r="L4" s="3117"/>
      <c r="M4" s="3117"/>
      <c r="N4" s="3117"/>
      <c r="O4" s="3117"/>
      <c r="P4" s="3117"/>
    </row>
    <row r="5" spans="1:16" x14ac:dyDescent="0.4">
      <c r="A5" s="3135" t="s">
        <v>43</v>
      </c>
      <c r="B5" s="3135"/>
      <c r="C5" s="3117" t="s">
        <v>4953</v>
      </c>
      <c r="D5" s="3117"/>
      <c r="E5" s="3117"/>
      <c r="F5" s="3117"/>
      <c r="G5" s="3117"/>
      <c r="H5" s="3117"/>
      <c r="I5" s="3117"/>
      <c r="J5" s="3117"/>
      <c r="K5" s="3117"/>
      <c r="L5" s="3117"/>
      <c r="M5" s="3117"/>
      <c r="N5" s="3117"/>
      <c r="O5" s="3117"/>
      <c r="P5" s="3117"/>
    </row>
    <row r="6" spans="1:16" ht="21" customHeight="1" x14ac:dyDescent="0.4">
      <c r="A6" s="1500" t="s">
        <v>132</v>
      </c>
      <c r="B6" s="1500"/>
      <c r="C6" s="3135" t="s">
        <v>242</v>
      </c>
      <c r="D6" s="3135"/>
      <c r="E6" s="3135"/>
      <c r="F6" s="3135"/>
      <c r="G6" s="3135"/>
      <c r="H6" s="3135"/>
      <c r="I6" s="3135"/>
      <c r="J6" s="3135"/>
      <c r="K6" s="3135"/>
      <c r="L6" s="3135"/>
      <c r="M6" s="3135"/>
      <c r="N6" s="3135"/>
      <c r="O6" s="3135"/>
      <c r="P6" s="3135"/>
    </row>
    <row r="7" spans="1:16" x14ac:dyDescent="0.4">
      <c r="A7" s="1084"/>
    </row>
    <row r="8" spans="1:16" x14ac:dyDescent="0.4">
      <c r="A8" s="1084"/>
    </row>
    <row r="9" spans="1:16" ht="15.75" customHeight="1" x14ac:dyDescent="0.4">
      <c r="A9" s="1084"/>
      <c r="C9" s="2506" t="s">
        <v>650</v>
      </c>
      <c r="D9" s="2506"/>
      <c r="E9" s="2506"/>
      <c r="F9" s="2506"/>
      <c r="G9" s="2506"/>
      <c r="H9" s="2506"/>
      <c r="I9" s="2506"/>
      <c r="J9" s="2506"/>
      <c r="K9" s="2506"/>
      <c r="L9" s="2506"/>
      <c r="M9" s="2506"/>
      <c r="N9" s="2506"/>
      <c r="O9" s="2506"/>
      <c r="P9" s="2506"/>
    </row>
    <row r="10" spans="1:16" ht="15.75" customHeight="1" x14ac:dyDescent="0.4">
      <c r="A10" s="1084"/>
      <c r="C10" s="2506"/>
      <c r="D10" s="2506"/>
      <c r="E10" s="2506"/>
      <c r="F10" s="2506"/>
      <c r="G10" s="2506"/>
      <c r="H10" s="2506"/>
      <c r="I10" s="2506"/>
      <c r="J10" s="2506"/>
      <c r="K10" s="2506"/>
      <c r="L10" s="2506"/>
      <c r="M10" s="2506"/>
      <c r="N10" s="2506"/>
      <c r="O10" s="2506"/>
      <c r="P10" s="2506"/>
    </row>
    <row r="11" spans="1:16" x14ac:dyDescent="0.4">
      <c r="A11" s="1084"/>
    </row>
    <row r="12" spans="1:16" ht="11.25" customHeight="1" x14ac:dyDescent="0.4">
      <c r="A12" s="1084"/>
    </row>
    <row r="13" spans="1:16" ht="11.25" customHeight="1" x14ac:dyDescent="0.4">
      <c r="C13" s="3070" t="s">
        <v>5309</v>
      </c>
      <c r="D13" s="3070"/>
      <c r="E13" s="3070"/>
      <c r="F13" s="3070"/>
      <c r="G13" s="3070"/>
      <c r="H13" s="3070"/>
      <c r="I13" s="3070"/>
      <c r="J13" s="3070"/>
      <c r="K13" s="3070"/>
      <c r="L13" s="3070"/>
      <c r="M13" s="3070"/>
      <c r="N13" s="3070"/>
      <c r="O13" s="654"/>
    </row>
    <row r="14" spans="1:16" ht="11.25" customHeight="1" x14ac:dyDescent="0.4">
      <c r="C14" s="3070"/>
      <c r="D14" s="3070"/>
      <c r="E14" s="3070"/>
      <c r="F14" s="3070"/>
      <c r="G14" s="3070"/>
      <c r="H14" s="3070"/>
      <c r="I14" s="3070"/>
      <c r="J14" s="3070"/>
      <c r="K14" s="3070"/>
      <c r="L14" s="3070"/>
      <c r="M14" s="3070"/>
      <c r="N14" s="3070"/>
      <c r="O14" s="654"/>
    </row>
    <row r="15" spans="1:16" ht="11.25" customHeight="1" x14ac:dyDescent="0.4">
      <c r="C15" s="3070"/>
      <c r="D15" s="3070"/>
      <c r="E15" s="3070"/>
      <c r="F15" s="3070"/>
      <c r="G15" s="3070"/>
      <c r="H15" s="3070"/>
      <c r="I15" s="3070"/>
      <c r="J15" s="3070"/>
      <c r="K15" s="3070"/>
      <c r="L15" s="3070"/>
      <c r="M15" s="3070"/>
      <c r="N15" s="3070"/>
      <c r="O15" s="654"/>
    </row>
    <row r="16" spans="1:16" x14ac:dyDescent="0.4">
      <c r="C16" s="3070"/>
      <c r="D16" s="3070"/>
      <c r="E16" s="3070"/>
      <c r="F16" s="3070"/>
      <c r="G16" s="3070"/>
      <c r="H16" s="3070"/>
      <c r="I16" s="3070"/>
      <c r="J16" s="3070"/>
      <c r="K16" s="3070"/>
      <c r="L16" s="3070"/>
      <c r="M16" s="3070"/>
      <c r="N16" s="3070"/>
      <c r="O16" s="654"/>
    </row>
    <row r="17" spans="1:15" x14ac:dyDescent="0.4">
      <c r="C17" s="3070"/>
      <c r="D17" s="3070"/>
      <c r="E17" s="3070"/>
      <c r="F17" s="3070"/>
      <c r="G17" s="3070"/>
      <c r="H17" s="3070"/>
      <c r="I17" s="3070"/>
      <c r="J17" s="3070"/>
      <c r="K17" s="3070"/>
      <c r="L17" s="3070"/>
      <c r="M17" s="3070"/>
      <c r="N17" s="3070"/>
      <c r="O17" s="654"/>
    </row>
    <row r="18" spans="1:15" x14ac:dyDescent="0.4">
      <c r="C18" s="3070"/>
      <c r="D18" s="3070"/>
      <c r="E18" s="3070"/>
      <c r="F18" s="3070"/>
      <c r="G18" s="3070"/>
      <c r="H18" s="3070"/>
      <c r="I18" s="3070"/>
      <c r="J18" s="3070"/>
      <c r="K18" s="3070"/>
      <c r="L18" s="3070"/>
      <c r="M18" s="3070"/>
      <c r="N18" s="3070"/>
      <c r="O18" s="654"/>
    </row>
    <row r="19" spans="1:15" x14ac:dyDescent="0.4">
      <c r="C19" s="3070"/>
      <c r="D19" s="3070"/>
      <c r="E19" s="3070"/>
      <c r="F19" s="3070"/>
      <c r="G19" s="3070"/>
      <c r="H19" s="3070"/>
      <c r="I19" s="3070"/>
      <c r="J19" s="3070"/>
      <c r="K19" s="3070"/>
      <c r="L19" s="3070"/>
      <c r="M19" s="3070"/>
      <c r="N19" s="3070"/>
      <c r="O19" s="654"/>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494" t="s">
        <v>652</v>
      </c>
      <c r="B26" s="2494"/>
      <c r="C26" s="2494"/>
      <c r="D26" s="2494"/>
      <c r="E26" s="2494"/>
      <c r="F26" s="2494"/>
      <c r="G26" s="2494"/>
      <c r="H26" s="2494"/>
      <c r="I26" s="2494"/>
      <c r="J26" s="2494"/>
      <c r="K26" s="2494"/>
      <c r="L26" s="2494"/>
      <c r="M26" s="2494"/>
      <c r="N26" s="2494"/>
      <c r="O26" s="2494"/>
    </row>
  </sheetData>
  <mergeCells count="11">
    <mergeCell ref="C6:P6"/>
    <mergeCell ref="C9:P10"/>
    <mergeCell ref="C13:N19"/>
    <mergeCell ref="A26:O26"/>
    <mergeCell ref="C1:D1"/>
    <mergeCell ref="A3:B3"/>
    <mergeCell ref="C3:P3"/>
    <mergeCell ref="A4:B4"/>
    <mergeCell ref="C4:P4"/>
    <mergeCell ref="A5:B5"/>
    <mergeCell ref="C5:P5"/>
  </mergeCells>
  <hyperlinks>
    <hyperlink ref="A1" location="'ODS 8.'!A1" display="REGRESAR" xr:uid="{B3A80888-20B9-4F46-8B70-8758BCB6C9F9}"/>
    <hyperlink ref="C1:D1" location="'Metadato 8.a.1'!A1" display="VER METADATO" xr:uid="{689DC551-AC58-4488-8601-4F75F4E0725C}"/>
  </hyperlinks>
  <pageMargins left="0.7" right="0.7" top="0.75" bottom="0.75" header="0.3" footer="0.3"/>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1AFD-5DB6-47A5-9007-097669CDCFF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317</v>
      </c>
    </row>
    <row r="4" spans="1:6" ht="37.5" x14ac:dyDescent="0.25">
      <c r="A4" s="1079"/>
      <c r="B4" s="2445" t="s">
        <v>234</v>
      </c>
      <c r="C4" s="2445"/>
      <c r="D4" s="49" t="s">
        <v>4975</v>
      </c>
    </row>
    <row r="5" spans="1:6" ht="56.25" x14ac:dyDescent="0.25">
      <c r="B5" s="2445" t="s">
        <v>79</v>
      </c>
      <c r="C5" s="2445"/>
      <c r="D5" s="49" t="s">
        <v>4951</v>
      </c>
    </row>
    <row r="6" spans="1:6" x14ac:dyDescent="0.25">
      <c r="B6" s="2445" t="s">
        <v>80</v>
      </c>
      <c r="C6" s="2445"/>
      <c r="D6" s="50" t="s">
        <v>4952</v>
      </c>
    </row>
    <row r="7" spans="1:6" x14ac:dyDescent="0.25">
      <c r="B7" s="2446" t="s">
        <v>81</v>
      </c>
      <c r="C7" s="2446"/>
      <c r="D7" s="93" t="s">
        <v>4953</v>
      </c>
    </row>
    <row r="8" spans="1:6" x14ac:dyDescent="0.25">
      <c r="B8" s="2446" t="s">
        <v>82</v>
      </c>
      <c r="C8" s="2446"/>
      <c r="D8" s="1047" t="s">
        <v>5310</v>
      </c>
    </row>
    <row r="9" spans="1:6" x14ac:dyDescent="0.4">
      <c r="B9" s="115"/>
      <c r="C9" s="115"/>
      <c r="D9" s="115"/>
    </row>
    <row r="10" spans="1:6" ht="23.25" customHeight="1" x14ac:dyDescent="0.25">
      <c r="B10" s="3119" t="s">
        <v>85</v>
      </c>
      <c r="C10" s="3119"/>
      <c r="D10" s="3119"/>
    </row>
    <row r="11" spans="1:6" x14ac:dyDescent="0.25">
      <c r="B11" s="2487" t="s">
        <v>86</v>
      </c>
      <c r="C11" s="2456"/>
      <c r="D11" s="49"/>
    </row>
    <row r="12" spans="1:6" x14ac:dyDescent="0.25">
      <c r="B12" s="2446" t="s">
        <v>88</v>
      </c>
      <c r="C12" s="2446"/>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5" t="s">
        <v>109</v>
      </c>
      <c r="C23" s="2445"/>
      <c r="D23" s="49"/>
    </row>
    <row r="24" spans="2:4" x14ac:dyDescent="0.25">
      <c r="B24" s="2445" t="s">
        <v>111</v>
      </c>
      <c r="C24" s="2445"/>
      <c r="D24" s="50" t="s">
        <v>321</v>
      </c>
    </row>
    <row r="25" spans="2:4" x14ac:dyDescent="0.25">
      <c r="B25" s="2445" t="s">
        <v>113</v>
      </c>
      <c r="C25" s="2445"/>
      <c r="D25" s="55"/>
    </row>
    <row r="26" spans="2:4" x14ac:dyDescent="0.25">
      <c r="B26" s="2446" t="s">
        <v>115</v>
      </c>
      <c r="C26" s="2446"/>
      <c r="D26" s="49"/>
    </row>
    <row r="27" spans="2:4" x14ac:dyDescent="0.25">
      <c r="B27" s="2447" t="s">
        <v>117</v>
      </c>
      <c r="C27" s="2448"/>
      <c r="D27" s="49"/>
    </row>
    <row r="28" spans="2:4" ht="94.5" customHeight="1" x14ac:dyDescent="0.25">
      <c r="B28" s="97" t="s">
        <v>118</v>
      </c>
      <c r="C28" s="98"/>
      <c r="D28" s="55" t="s">
        <v>5311</v>
      </c>
    </row>
    <row r="29" spans="2:4" x14ac:dyDescent="0.25">
      <c r="B29" s="2449" t="s">
        <v>120</v>
      </c>
      <c r="C29" s="2450"/>
      <c r="D29" s="62"/>
    </row>
    <row r="30" spans="2:4" x14ac:dyDescent="0.25">
      <c r="B30" s="63"/>
      <c r="C30" s="63"/>
      <c r="D30" s="64"/>
    </row>
    <row r="31" spans="2:4" ht="23.25" customHeight="1" x14ac:dyDescent="0.25">
      <c r="B31" s="3119" t="s">
        <v>121</v>
      </c>
      <c r="C31" s="3119"/>
      <c r="D31" s="3119"/>
    </row>
    <row r="32" spans="2:4" x14ac:dyDescent="0.25">
      <c r="B32" s="2447" t="s">
        <v>122</v>
      </c>
      <c r="C32" s="2448"/>
      <c r="D32" s="55"/>
    </row>
    <row r="33" spans="2:4" x14ac:dyDescent="0.25">
      <c r="B33" s="2447" t="s">
        <v>124</v>
      </c>
      <c r="C33" s="2448"/>
      <c r="D33" s="55"/>
    </row>
    <row r="34" spans="2:4" x14ac:dyDescent="0.25">
      <c r="B34" s="2447" t="s">
        <v>126</v>
      </c>
      <c r="C34" s="2448"/>
      <c r="D34" s="55"/>
    </row>
    <row r="35" spans="2:4" x14ac:dyDescent="0.25">
      <c r="B35" s="2447" t="s">
        <v>128</v>
      </c>
      <c r="C35" s="2448"/>
      <c r="D35" s="246"/>
    </row>
    <row r="36" spans="2:4" x14ac:dyDescent="0.25">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010854C-FF14-44A3-A219-E53416AABD36}">
      <formula1>Tipo_operación</formula1>
    </dataValidation>
    <dataValidation type="list" allowBlank="1" showInputMessage="1" showErrorMessage="1" sqref="D14" xr:uid="{17F19436-E68D-47FE-B0E1-6F85E3AF2193}">
      <formula1>Tipo_indicador</formula1>
    </dataValidation>
    <dataValidation type="list" allowBlank="1" showInputMessage="1" showErrorMessage="1" sqref="D7" xr:uid="{2DE97503-FBA9-451C-B8B8-F9205C5728F1}">
      <formula1>Nombre_indicador_ODS</formula1>
    </dataValidation>
    <dataValidation type="list" allowBlank="1" showInputMessage="1" showErrorMessage="1" sqref="D6" xr:uid="{5367EB70-F684-4C0F-8923-9B0C7A5CF78F}">
      <formula1>Numero_indicador</formula1>
    </dataValidation>
    <dataValidation type="list" allowBlank="1" showInputMessage="1" showErrorMessage="1" sqref="D5" xr:uid="{70909A94-9DBA-4BFF-A5A9-BF435CE0F372}">
      <formula1>Metas_ODS</formula1>
    </dataValidation>
    <dataValidation type="list" allowBlank="1" showInputMessage="1" showErrorMessage="1" sqref="D4" xr:uid="{0851FDCD-A679-48C8-9BC8-8CEAF703B21F}">
      <formula1>ODS</formula1>
    </dataValidation>
    <dataValidation allowBlank="1" showDropDown="1" showInputMessage="1" showErrorMessage="1" sqref="D13" xr:uid="{DEDFE4B5-FB27-4DDC-B818-083E6BCB3589}"/>
  </dataValidations>
  <hyperlinks>
    <hyperlink ref="B1" location="'8.a.1'!A1" display="REGRESAR" xr:uid="{CF0CCF0D-3B04-4D4A-998A-4AC95397EABD}"/>
    <hyperlink ref="D8" r:id="rId1" xr:uid="{5AFA8B12-EB37-46E1-B329-FC890D6DFA64}"/>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9411-E016-44DB-98B7-4BC34F92D3DB}">
  <dimension ref="A1:R35"/>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2" style="1048" customWidth="1"/>
    <col min="4" max="7" width="12" style="115" customWidth="1"/>
    <col min="8" max="16384" width="11.42578125" style="115"/>
  </cols>
  <sheetData>
    <row r="1" spans="1:18" x14ac:dyDescent="0.4">
      <c r="A1" s="90" t="s">
        <v>39</v>
      </c>
      <c r="B1" s="1311"/>
      <c r="C1" s="2541" t="s">
        <v>149</v>
      </c>
      <c r="D1" s="2541"/>
    </row>
    <row r="3" spans="1:18" x14ac:dyDescent="0.4">
      <c r="A3" s="3188" t="s">
        <v>41</v>
      </c>
      <c r="B3" s="3188"/>
      <c r="C3" s="3145" t="s">
        <v>4957</v>
      </c>
      <c r="D3" s="3145"/>
      <c r="E3" s="3145"/>
      <c r="F3" s="3145"/>
      <c r="G3" s="3145"/>
      <c r="H3" s="3145"/>
      <c r="I3" s="3145"/>
      <c r="J3" s="3145"/>
      <c r="K3" s="3145"/>
      <c r="L3" s="3145"/>
      <c r="M3" s="3145"/>
      <c r="N3" s="3145"/>
      <c r="O3" s="3145"/>
      <c r="P3" s="3145"/>
      <c r="Q3" s="3145"/>
      <c r="R3" s="3145"/>
    </row>
    <row r="4" spans="1:18" x14ac:dyDescent="0.4">
      <c r="A4" s="3188" t="s">
        <v>42</v>
      </c>
      <c r="B4" s="3188"/>
      <c r="C4" s="3145" t="s">
        <v>4954</v>
      </c>
      <c r="D4" s="3145"/>
      <c r="E4" s="3145"/>
      <c r="F4" s="3145"/>
      <c r="G4" s="3145"/>
      <c r="H4" s="3145"/>
      <c r="I4" s="3145"/>
      <c r="J4" s="3145"/>
      <c r="K4" s="3145"/>
      <c r="L4" s="3145"/>
      <c r="M4" s="3145"/>
      <c r="N4" s="3145"/>
      <c r="O4" s="3145"/>
      <c r="P4" s="3145"/>
      <c r="Q4" s="3145"/>
      <c r="R4" s="3145"/>
    </row>
    <row r="5" spans="1:18" x14ac:dyDescent="0.4">
      <c r="A5" s="3188" t="s">
        <v>43</v>
      </c>
      <c r="B5" s="3188"/>
      <c r="C5" s="3145" t="s">
        <v>4956</v>
      </c>
      <c r="D5" s="3145"/>
      <c r="E5" s="3145"/>
      <c r="F5" s="3145"/>
      <c r="G5" s="3145"/>
      <c r="H5" s="3145"/>
      <c r="I5" s="3145"/>
      <c r="J5" s="3145"/>
      <c r="K5" s="3145"/>
      <c r="L5" s="3145"/>
      <c r="M5" s="3145"/>
      <c r="N5" s="3145"/>
      <c r="O5" s="3145"/>
      <c r="P5" s="3145"/>
      <c r="Q5" s="3145"/>
      <c r="R5" s="3145"/>
    </row>
    <row r="6" spans="1:18" x14ac:dyDescent="0.4">
      <c r="A6" s="3145" t="s">
        <v>132</v>
      </c>
      <c r="B6" s="3145"/>
      <c r="C6" s="3145" t="s">
        <v>5312</v>
      </c>
      <c r="D6" s="3145"/>
      <c r="E6" s="3145"/>
      <c r="F6" s="3145"/>
      <c r="G6" s="3145"/>
      <c r="H6" s="3145"/>
      <c r="I6" s="3145"/>
      <c r="J6" s="3145"/>
      <c r="K6" s="3145"/>
      <c r="L6" s="3145"/>
      <c r="M6" s="3145"/>
      <c r="N6" s="3145"/>
      <c r="O6" s="3145"/>
      <c r="P6" s="3145"/>
      <c r="Q6" s="3145"/>
      <c r="R6" s="3145"/>
    </row>
    <row r="7" spans="1:18" x14ac:dyDescent="0.4">
      <c r="A7" s="835"/>
    </row>
    <row r="8" spans="1:18" x14ac:dyDescent="0.4">
      <c r="A8" s="536"/>
    </row>
    <row r="9" spans="1:18" s="1048" customFormat="1" x14ac:dyDescent="0.4">
      <c r="A9" s="835"/>
      <c r="B9" s="115"/>
      <c r="C9" s="1559" t="s">
        <v>5313</v>
      </c>
      <c r="D9" s="1559"/>
      <c r="E9" s="115"/>
    </row>
    <row r="10" spans="1:18" s="1048" customFormat="1" ht="10.15" customHeight="1" x14ac:dyDescent="0.4">
      <c r="A10" s="835"/>
      <c r="B10" s="115"/>
      <c r="C10" s="322"/>
      <c r="D10" s="322"/>
      <c r="E10" s="115"/>
    </row>
    <row r="11" spans="1:18" s="1048" customFormat="1" x14ac:dyDescent="0.4">
      <c r="A11" s="536"/>
      <c r="B11" s="115"/>
      <c r="C11" s="1560" t="s">
        <v>46</v>
      </c>
      <c r="D11" s="1442" t="s">
        <v>5314</v>
      </c>
      <c r="E11" s="115"/>
    </row>
    <row r="12" spans="1:18" s="1048" customFormat="1" x14ac:dyDescent="0.4">
      <c r="A12" s="536"/>
      <c r="B12" s="115"/>
      <c r="C12" s="541">
        <v>2010</v>
      </c>
      <c r="D12" s="536" t="s">
        <v>2014</v>
      </c>
      <c r="E12" s="115"/>
    </row>
    <row r="13" spans="1:18" s="1048" customFormat="1" x14ac:dyDescent="0.4">
      <c r="A13" s="536"/>
      <c r="B13" s="115"/>
      <c r="C13" s="541">
        <v>2011</v>
      </c>
      <c r="D13" s="536" t="s">
        <v>2014</v>
      </c>
      <c r="E13" s="115"/>
    </row>
    <row r="14" spans="1:18" s="1048" customFormat="1" x14ac:dyDescent="0.4">
      <c r="A14" s="536"/>
      <c r="B14" s="115"/>
      <c r="C14" s="541">
        <v>2012</v>
      </c>
      <c r="D14" s="536" t="s">
        <v>2014</v>
      </c>
      <c r="E14" s="115"/>
    </row>
    <row r="15" spans="1:18" s="1048" customFormat="1" x14ac:dyDescent="0.4">
      <c r="A15" s="536"/>
      <c r="B15" s="115"/>
      <c r="C15" s="541">
        <v>2013</v>
      </c>
      <c r="D15" s="536" t="s">
        <v>2014</v>
      </c>
      <c r="E15" s="115"/>
    </row>
    <row r="16" spans="1:18" s="1048" customFormat="1" x14ac:dyDescent="0.4">
      <c r="A16" s="536"/>
      <c r="B16" s="115"/>
      <c r="C16" s="541">
        <v>2014</v>
      </c>
      <c r="D16" s="536" t="s">
        <v>2014</v>
      </c>
      <c r="E16" s="115"/>
    </row>
    <row r="17" spans="1:5" s="1048" customFormat="1" x14ac:dyDescent="0.4">
      <c r="A17" s="536"/>
      <c r="B17" s="115"/>
      <c r="C17" s="541">
        <v>2015</v>
      </c>
      <c r="D17" s="536" t="s">
        <v>2014</v>
      </c>
      <c r="E17" s="115"/>
    </row>
    <row r="18" spans="1:5" s="1048" customFormat="1" x14ac:dyDescent="0.4">
      <c r="A18" s="536"/>
      <c r="B18" s="115"/>
      <c r="C18" s="541">
        <v>2016</v>
      </c>
      <c r="D18" s="536" t="s">
        <v>2014</v>
      </c>
      <c r="E18" s="115"/>
    </row>
    <row r="19" spans="1:5" s="1048" customFormat="1" x14ac:dyDescent="0.4">
      <c r="A19" s="536"/>
      <c r="B19" s="115"/>
      <c r="C19" s="541">
        <v>2017</v>
      </c>
      <c r="D19" s="536" t="s">
        <v>2014</v>
      </c>
      <c r="E19" s="115"/>
    </row>
    <row r="20" spans="1:5" s="1048" customFormat="1" x14ac:dyDescent="0.4">
      <c r="A20" s="536"/>
      <c r="B20" s="115"/>
      <c r="C20" s="541">
        <v>2018</v>
      </c>
      <c r="D20" s="536" t="s">
        <v>2014</v>
      </c>
      <c r="E20" s="115"/>
    </row>
    <row r="21" spans="1:5" s="1048" customFormat="1" x14ac:dyDescent="0.4">
      <c r="A21" s="536"/>
      <c r="B21" s="115"/>
      <c r="C21" s="541">
        <v>2019</v>
      </c>
      <c r="D21" s="536" t="s">
        <v>2014</v>
      </c>
      <c r="E21" s="115"/>
    </row>
    <row r="22" spans="1:5" s="1048" customFormat="1" x14ac:dyDescent="0.4">
      <c r="A22" s="536"/>
      <c r="B22" s="115"/>
      <c r="C22" s="541">
        <v>2020</v>
      </c>
      <c r="D22" s="536" t="s">
        <v>4617</v>
      </c>
      <c r="E22" s="115"/>
    </row>
    <row r="23" spans="1:5" s="1048" customFormat="1" x14ac:dyDescent="0.4">
      <c r="A23" s="536"/>
      <c r="B23" s="115"/>
      <c r="C23" s="541">
        <v>2021</v>
      </c>
      <c r="D23" s="536" t="s">
        <v>4617</v>
      </c>
      <c r="E23" s="115"/>
    </row>
    <row r="24" spans="1:5" s="1048" customFormat="1" x14ac:dyDescent="0.4">
      <c r="A24" s="536"/>
      <c r="B24" s="115"/>
      <c r="C24" s="541">
        <v>2022</v>
      </c>
      <c r="D24" s="536" t="s">
        <v>4617</v>
      </c>
      <c r="E24" s="115"/>
    </row>
    <row r="25" spans="1:5" s="1048" customFormat="1" x14ac:dyDescent="0.4">
      <c r="A25" s="536"/>
      <c r="B25" s="115"/>
      <c r="C25" s="634">
        <v>2023</v>
      </c>
      <c r="D25" s="824" t="s">
        <v>2014</v>
      </c>
      <c r="E25" s="115"/>
    </row>
    <row r="26" spans="1:5" s="1048" customFormat="1" x14ac:dyDescent="0.4">
      <c r="A26" s="536"/>
      <c r="B26" s="115"/>
      <c r="C26" s="629" t="s">
        <v>5315</v>
      </c>
      <c r="D26" s="629"/>
      <c r="E26" s="115"/>
    </row>
    <row r="27" spans="1:5" s="1048" customFormat="1" x14ac:dyDescent="0.4">
      <c r="A27" s="536"/>
      <c r="B27" s="115"/>
      <c r="C27" s="155" t="s">
        <v>5316</v>
      </c>
      <c r="D27" s="155"/>
      <c r="E27" s="115"/>
    </row>
    <row r="28" spans="1:5" x14ac:dyDescent="0.4">
      <c r="A28" s="536"/>
    </row>
    <row r="29" spans="1:5" x14ac:dyDescent="0.4">
      <c r="A29" s="536"/>
    </row>
    <row r="30" spans="1:5" x14ac:dyDescent="0.4">
      <c r="A30" s="536"/>
    </row>
    <row r="31" spans="1:5" x14ac:dyDescent="0.4">
      <c r="A31" s="536"/>
    </row>
    <row r="32" spans="1:5" x14ac:dyDescent="0.4">
      <c r="A32" s="536"/>
    </row>
    <row r="33" spans="1:1" x14ac:dyDescent="0.4">
      <c r="A33" s="536"/>
    </row>
    <row r="34" spans="1:1" x14ac:dyDescent="0.4">
      <c r="A34" s="536"/>
    </row>
    <row r="35" spans="1:1" x14ac:dyDescent="0.4">
      <c r="A35" s="536"/>
    </row>
  </sheetData>
  <mergeCells count="9">
    <mergeCell ref="A6:B6"/>
    <mergeCell ref="C6:R6"/>
    <mergeCell ref="C1:D1"/>
    <mergeCell ref="A3:B3"/>
    <mergeCell ref="C3:R3"/>
    <mergeCell ref="A4:B4"/>
    <mergeCell ref="C4:R4"/>
    <mergeCell ref="A5:B5"/>
    <mergeCell ref="C5:R5"/>
  </mergeCells>
  <hyperlinks>
    <hyperlink ref="A1" location="'ODS 8.'!A1" display="REGRESAR" xr:uid="{7599829F-5F7B-4212-9D23-1ACA8E22514D}"/>
    <hyperlink ref="C1:D1" location="'Metadato 8.b.1'!A1" display="VER METADATO" xr:uid="{413CD996-17A6-45BB-8C9D-B5B1C55CED49}"/>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E3B0-8EB2-4B22-9490-774FA5CC2D10}">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68.4257812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19" t="s">
        <v>75</v>
      </c>
      <c r="C3" s="3119"/>
      <c r="D3" s="3119"/>
      <c r="F3" s="1046" t="s">
        <v>265</v>
      </c>
    </row>
    <row r="4" spans="1:6" ht="34.5" customHeight="1" x14ac:dyDescent="0.25">
      <c r="A4" s="1079"/>
      <c r="B4" s="2445" t="s">
        <v>234</v>
      </c>
      <c r="C4" s="2445"/>
      <c r="D4" s="49" t="s">
        <v>4975</v>
      </c>
    </row>
    <row r="5" spans="1:6" ht="56.25" x14ac:dyDescent="0.25">
      <c r="B5" s="2445" t="s">
        <v>79</v>
      </c>
      <c r="C5" s="2445"/>
      <c r="D5" s="49" t="s">
        <v>4954</v>
      </c>
    </row>
    <row r="6" spans="1:6" x14ac:dyDescent="0.25">
      <c r="B6" s="2445" t="s">
        <v>80</v>
      </c>
      <c r="C6" s="2445"/>
      <c r="D6" s="50" t="s">
        <v>4955</v>
      </c>
    </row>
    <row r="7" spans="1:6" ht="56.25" x14ac:dyDescent="0.25">
      <c r="B7" s="2446" t="s">
        <v>81</v>
      </c>
      <c r="C7" s="2446"/>
      <c r="D7" s="93" t="s">
        <v>4956</v>
      </c>
    </row>
    <row r="8" spans="1:6" x14ac:dyDescent="0.25">
      <c r="B8" s="2446" t="s">
        <v>82</v>
      </c>
      <c r="C8" s="2446"/>
      <c r="D8" s="1047" t="s">
        <v>5317</v>
      </c>
    </row>
    <row r="9" spans="1:6" x14ac:dyDescent="0.4">
      <c r="B9" s="115"/>
      <c r="C9" s="115"/>
      <c r="D9" s="115"/>
    </row>
    <row r="10" spans="1:6" ht="23.25" customHeight="1" x14ac:dyDescent="0.25">
      <c r="B10" s="3119" t="s">
        <v>85</v>
      </c>
      <c r="C10" s="3119"/>
      <c r="D10" s="3119"/>
    </row>
    <row r="11" spans="1:6" x14ac:dyDescent="0.25">
      <c r="B11" s="2487" t="s">
        <v>86</v>
      </c>
      <c r="C11" s="2456"/>
      <c r="D11" s="49"/>
    </row>
    <row r="12" spans="1:6" ht="33" customHeight="1" x14ac:dyDescent="0.25">
      <c r="B12" s="2446" t="s">
        <v>88</v>
      </c>
      <c r="C12" s="2446"/>
      <c r="D12" s="184" t="s">
        <v>5318</v>
      </c>
    </row>
    <row r="13" spans="1:6" x14ac:dyDescent="0.25">
      <c r="B13" s="2445" t="s">
        <v>90</v>
      </c>
      <c r="C13" s="2445"/>
      <c r="D13" s="54" t="s">
        <v>4955</v>
      </c>
    </row>
    <row r="14" spans="1:6" x14ac:dyDescent="0.25">
      <c r="B14" s="2445" t="s">
        <v>91</v>
      </c>
      <c r="C14" s="2456"/>
      <c r="D14" s="54" t="s">
        <v>214</v>
      </c>
    </row>
    <row r="15" spans="1:6" ht="130.5" customHeight="1" x14ac:dyDescent="0.25">
      <c r="B15" s="2445" t="s">
        <v>93</v>
      </c>
      <c r="C15" s="2445"/>
      <c r="D15" s="49" t="s">
        <v>5319</v>
      </c>
    </row>
    <row r="16" spans="1:6" x14ac:dyDescent="0.25">
      <c r="B16" s="2445" t="s">
        <v>95</v>
      </c>
      <c r="C16" s="2445"/>
      <c r="D16" s="49" t="s">
        <v>5320</v>
      </c>
    </row>
    <row r="17" spans="2:4" x14ac:dyDescent="0.25">
      <c r="B17" s="2445" t="s">
        <v>97</v>
      </c>
      <c r="C17" s="2445"/>
      <c r="D17" s="55" t="s">
        <v>1581</v>
      </c>
    </row>
    <row r="18" spans="2:4" x14ac:dyDescent="0.25">
      <c r="B18" s="2446" t="s">
        <v>99</v>
      </c>
      <c r="C18" s="2446"/>
      <c r="D18" s="49" t="s">
        <v>5321</v>
      </c>
    </row>
    <row r="19" spans="2:4" ht="15" customHeight="1" x14ac:dyDescent="0.25">
      <c r="B19" s="2457" t="s">
        <v>100</v>
      </c>
      <c r="C19" s="2458"/>
      <c r="D19" s="55" t="s">
        <v>1581</v>
      </c>
    </row>
    <row r="20" spans="2:4" x14ac:dyDescent="0.25">
      <c r="B20" s="2445" t="s">
        <v>102</v>
      </c>
      <c r="C20" s="2445"/>
      <c r="D20" s="49" t="s">
        <v>140</v>
      </c>
    </row>
    <row r="21" spans="2:4" x14ac:dyDescent="0.25">
      <c r="B21" s="2451" t="s">
        <v>104</v>
      </c>
      <c r="C21" s="95" t="s">
        <v>105</v>
      </c>
      <c r="D21" s="49"/>
    </row>
    <row r="22" spans="2:4" x14ac:dyDescent="0.25">
      <c r="B22" s="2452"/>
      <c r="C22" s="96" t="s">
        <v>107</v>
      </c>
      <c r="D22" s="55"/>
    </row>
    <row r="23" spans="2:4" x14ac:dyDescent="0.25">
      <c r="B23" s="2445" t="s">
        <v>109</v>
      </c>
      <c r="C23" s="2445"/>
      <c r="D23" s="49" t="s">
        <v>1581</v>
      </c>
    </row>
    <row r="24" spans="2:4" x14ac:dyDescent="0.25">
      <c r="B24" s="2445" t="s">
        <v>111</v>
      </c>
      <c r="C24" s="2445"/>
      <c r="D24" s="50" t="s">
        <v>5322</v>
      </c>
    </row>
    <row r="25" spans="2:4" x14ac:dyDescent="0.25">
      <c r="B25" s="2445" t="s">
        <v>113</v>
      </c>
      <c r="C25" s="2445"/>
      <c r="D25" s="55" t="s">
        <v>1701</v>
      </c>
    </row>
    <row r="26" spans="2:4" ht="15" customHeight="1" x14ac:dyDescent="0.25">
      <c r="B26" s="2446" t="s">
        <v>115</v>
      </c>
      <c r="C26" s="2446"/>
      <c r="D26" s="50" t="s">
        <v>5323</v>
      </c>
    </row>
    <row r="27" spans="2:4" x14ac:dyDescent="0.25">
      <c r="B27" s="2447" t="s">
        <v>117</v>
      </c>
      <c r="C27" s="2448"/>
      <c r="D27" s="49" t="s">
        <v>5324</v>
      </c>
    </row>
    <row r="28" spans="2:4" x14ac:dyDescent="0.25">
      <c r="B28" s="97" t="s">
        <v>118</v>
      </c>
      <c r="C28" s="98"/>
      <c r="D28" s="55"/>
    </row>
    <row r="29" spans="2:4" ht="131.25" x14ac:dyDescent="0.25">
      <c r="B29" s="2449" t="s">
        <v>120</v>
      </c>
      <c r="C29" s="2450"/>
      <c r="D29" s="1525" t="s">
        <v>5325</v>
      </c>
    </row>
    <row r="30" spans="2:4" x14ac:dyDescent="0.25">
      <c r="B30" s="703"/>
      <c r="C30" s="703"/>
      <c r="D30" s="1525"/>
    </row>
    <row r="31" spans="2:4" ht="23.25" customHeight="1" x14ac:dyDescent="0.25">
      <c r="B31" s="63"/>
      <c r="C31" s="63"/>
      <c r="D31" s="64"/>
    </row>
    <row r="32" spans="2:4" ht="19.5" x14ac:dyDescent="0.25">
      <c r="B32" s="3119" t="s">
        <v>121</v>
      </c>
      <c r="C32" s="3119"/>
      <c r="D32" s="3119"/>
    </row>
    <row r="33" spans="2:4" x14ac:dyDescent="0.25">
      <c r="B33" s="2447" t="s">
        <v>122</v>
      </c>
      <c r="C33" s="2448"/>
      <c r="D33" s="50" t="s">
        <v>5326</v>
      </c>
    </row>
    <row r="34" spans="2:4" x14ac:dyDescent="0.25">
      <c r="B34" s="2447" t="s">
        <v>124</v>
      </c>
      <c r="C34" s="2448"/>
      <c r="D34" s="50" t="s">
        <v>5327</v>
      </c>
    </row>
    <row r="35" spans="2:4" x14ac:dyDescent="0.25">
      <c r="B35" s="2447" t="s">
        <v>126</v>
      </c>
      <c r="C35" s="2448"/>
      <c r="D35" s="50" t="s">
        <v>5328</v>
      </c>
    </row>
    <row r="36" spans="2:4" x14ac:dyDescent="0.25">
      <c r="B36" s="2447" t="s">
        <v>128</v>
      </c>
      <c r="C36" s="2448"/>
      <c r="D36" s="50" t="s">
        <v>5329</v>
      </c>
    </row>
    <row r="37" spans="2:4" x14ac:dyDescent="0.25">
      <c r="B37" s="2447" t="s">
        <v>130</v>
      </c>
      <c r="C37" s="2448"/>
      <c r="D37" s="1312" t="s">
        <v>5330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7:C37"/>
    <mergeCell ref="B23:C23"/>
    <mergeCell ref="B24:C24"/>
    <mergeCell ref="B25:C25"/>
    <mergeCell ref="B26:C26"/>
    <mergeCell ref="B27:C27"/>
    <mergeCell ref="B29:C29"/>
    <mergeCell ref="B32:D32"/>
    <mergeCell ref="B33:C33"/>
    <mergeCell ref="B34:C34"/>
    <mergeCell ref="B35:C35"/>
    <mergeCell ref="B36:C36"/>
  </mergeCells>
  <dataValidations count="7">
    <dataValidation type="list" allowBlank="1" showInputMessage="1" showErrorMessage="1" sqref="D25" xr:uid="{60B16028-1C1B-466D-85E5-69218953340F}">
      <formula1>Tipo_operación</formula1>
    </dataValidation>
    <dataValidation type="list" allowBlank="1" showInputMessage="1" showErrorMessage="1" sqref="D14" xr:uid="{9BEEAFC2-905B-425A-88D8-9448C1B098E0}">
      <formula1>Tipo_indicador</formula1>
    </dataValidation>
    <dataValidation type="list" allowBlank="1" showInputMessage="1" showErrorMessage="1" sqref="D7" xr:uid="{DEE1E004-986A-42DF-B768-D712E172BBA7}">
      <formula1>Nombre_indicador_ODS</formula1>
    </dataValidation>
    <dataValidation type="list" allowBlank="1" showInputMessage="1" showErrorMessage="1" sqref="D6" xr:uid="{C3E9A403-52C0-4370-94FF-204BDF50823C}">
      <formula1>Numero_indicador</formula1>
    </dataValidation>
    <dataValidation type="list" allowBlank="1" showInputMessage="1" showErrorMessage="1" sqref="D5" xr:uid="{FE1B057E-EA1F-40EE-B48B-889037380694}">
      <formula1>Metas_ODS</formula1>
    </dataValidation>
    <dataValidation type="list" allowBlank="1" showInputMessage="1" showErrorMessage="1" sqref="D4" xr:uid="{90C4AEFC-473F-44C3-8648-97F0B185C0CE}">
      <formula1>ODS</formula1>
    </dataValidation>
    <dataValidation allowBlank="1" showDropDown="1" showInputMessage="1" showErrorMessage="1" sqref="D13" xr:uid="{767FACF5-CA10-4C49-93B7-0D999967766B}"/>
  </dataValidations>
  <hyperlinks>
    <hyperlink ref="B1" location="'8.b.1'!A1" display="REGRESAR" xr:uid="{8D8AF454-BB7D-4593-B009-04AEE9E2548B}"/>
    <hyperlink ref="D8" r:id="rId1" xr:uid="{339F3C26-8311-474D-8BAD-0E3728DB1F09}"/>
    <hyperlink ref="D29" r:id="rId2" display="http://www.mtss.go.cr/elministerio/estructura/direccion-empleo/direccion-nacional-empleo.html" xr:uid="{1C063399-98C6-4174-A7DB-42BAE0B0A94D}"/>
    <hyperlink ref="D37" r:id="rId3" xr:uid="{A685F3AE-B457-44E8-87BC-F0B5D878685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EFC-86EA-4A69-AFCF-85905B9A9F85}">
  <sheetPr>
    <tabColor rgb="FFFD6925"/>
  </sheetPr>
  <dimension ref="A1:E16"/>
  <sheetViews>
    <sheetView showGridLines="0" workbookViewId="0">
      <pane ySplit="4" topLeftCell="A14" activePane="bottomLeft" state="frozen"/>
      <selection sqref="A1:B1"/>
      <selection pane="bottomLeft" sqref="A1:B1"/>
    </sheetView>
  </sheetViews>
  <sheetFormatPr baseColWidth="10" defaultColWidth="11.42578125" defaultRowHeight="18.75" x14ac:dyDescent="0.4"/>
  <cols>
    <col min="1" max="2" width="11.42578125" style="5"/>
    <col min="3" max="3" width="61.42578125" style="5" customWidth="1"/>
    <col min="4" max="4" width="14" style="5" customWidth="1"/>
    <col min="5" max="5" width="82" style="5" customWidth="1"/>
    <col min="6" max="16384" width="11.42578125" style="5"/>
  </cols>
  <sheetData>
    <row r="1" spans="1:5" ht="19.5" x14ac:dyDescent="0.4">
      <c r="A1" s="2410" t="s">
        <v>1</v>
      </c>
      <c r="B1" s="2410"/>
    </row>
    <row r="3" spans="1:5" ht="59.45" customHeight="1" x14ac:dyDescent="0.4">
      <c r="C3" s="3189" t="s">
        <v>5331</v>
      </c>
      <c r="D3" s="3189"/>
      <c r="E3" s="3189"/>
    </row>
    <row r="4" spans="1:5" ht="42" customHeight="1" x14ac:dyDescent="0.4">
      <c r="C4" s="8" t="s">
        <v>3</v>
      </c>
      <c r="D4" s="8" t="s">
        <v>4</v>
      </c>
      <c r="E4" s="8" t="s">
        <v>5</v>
      </c>
    </row>
    <row r="5" spans="1:5" ht="48.6" customHeight="1" x14ac:dyDescent="0.4">
      <c r="C5" s="2408" t="s">
        <v>5332</v>
      </c>
      <c r="D5" s="13" t="s">
        <v>5333</v>
      </c>
      <c r="E5" s="14" t="s">
        <v>5334</v>
      </c>
    </row>
    <row r="6" spans="1:5" ht="46.15" customHeight="1" x14ac:dyDescent="0.4">
      <c r="C6" s="2409"/>
      <c r="D6" s="13" t="s">
        <v>5335</v>
      </c>
      <c r="E6" s="14" t="s">
        <v>5336</v>
      </c>
    </row>
    <row r="7" spans="1:5" ht="49.15" customHeight="1" x14ac:dyDescent="0.4">
      <c r="C7" s="2408" t="s">
        <v>5337</v>
      </c>
      <c r="D7" s="11" t="s">
        <v>5338</v>
      </c>
      <c r="E7" s="12" t="s">
        <v>5339</v>
      </c>
    </row>
    <row r="8" spans="1:5" ht="45" customHeight="1" x14ac:dyDescent="0.4">
      <c r="C8" s="2409"/>
      <c r="D8" s="11" t="s">
        <v>5340</v>
      </c>
      <c r="E8" s="12" t="s">
        <v>5341</v>
      </c>
    </row>
    <row r="9" spans="1:5" ht="40.9" customHeight="1" x14ac:dyDescent="0.4">
      <c r="C9" s="2408" t="s">
        <v>5342</v>
      </c>
      <c r="D9" s="11" t="s">
        <v>5343</v>
      </c>
      <c r="E9" s="12" t="s">
        <v>5344</v>
      </c>
    </row>
    <row r="10" spans="1:5" ht="39.6" customHeight="1" x14ac:dyDescent="0.4">
      <c r="C10" s="2409"/>
      <c r="D10" s="11" t="s">
        <v>5345</v>
      </c>
      <c r="E10" s="12" t="s">
        <v>5346</v>
      </c>
    </row>
    <row r="11" spans="1:5" ht="117" x14ac:dyDescent="0.4">
      <c r="C11" s="10" t="s">
        <v>5347</v>
      </c>
      <c r="D11" s="11" t="s">
        <v>5348</v>
      </c>
      <c r="E11" s="12" t="s">
        <v>5349</v>
      </c>
    </row>
    <row r="12" spans="1:5" ht="65.45" customHeight="1" x14ac:dyDescent="0.4">
      <c r="C12" s="2408" t="s">
        <v>5350</v>
      </c>
      <c r="D12" s="11" t="s">
        <v>5351</v>
      </c>
      <c r="E12" s="12" t="s">
        <v>5352</v>
      </c>
    </row>
    <row r="13" spans="1:5" ht="67.150000000000006" customHeight="1" x14ac:dyDescent="0.4">
      <c r="C13" s="2409"/>
      <c r="D13" s="11" t="s">
        <v>5353</v>
      </c>
      <c r="E13" s="12" t="s">
        <v>5354</v>
      </c>
    </row>
    <row r="14" spans="1:5" ht="97.5" x14ac:dyDescent="0.4">
      <c r="C14" s="10" t="s">
        <v>5355</v>
      </c>
      <c r="D14" s="13" t="s">
        <v>5356</v>
      </c>
      <c r="E14" s="14" t="s">
        <v>5357</v>
      </c>
    </row>
    <row r="15" spans="1:5" ht="97.5" x14ac:dyDescent="0.4">
      <c r="C15" s="10" t="s">
        <v>5358</v>
      </c>
      <c r="D15" s="11" t="s">
        <v>5359</v>
      </c>
      <c r="E15" s="12" t="s">
        <v>5360</v>
      </c>
    </row>
    <row r="16" spans="1:5" ht="78" x14ac:dyDescent="0.4">
      <c r="C16" s="10" t="s">
        <v>5361</v>
      </c>
      <c r="D16" s="11" t="s">
        <v>5362</v>
      </c>
      <c r="E16" s="12" t="s">
        <v>5363</v>
      </c>
    </row>
  </sheetData>
  <mergeCells count="6">
    <mergeCell ref="C12:C13"/>
    <mergeCell ref="A1:B1"/>
    <mergeCell ref="C3:E3"/>
    <mergeCell ref="C5:C6"/>
    <mergeCell ref="C7:C8"/>
    <mergeCell ref="C9:C10"/>
  </mergeCells>
  <hyperlinks>
    <hyperlink ref="A1" location="Objetivos!A1" display="REGRESAR A INICIO" xr:uid="{E6E3F837-862A-4E9E-B3DE-AE1F413798AF}"/>
    <hyperlink ref="A1:B1" location="'Lista de Objetivos'!A1" display="REGRESAR A INICIO" xr:uid="{EE4AC585-D254-4E41-94DA-AFDCC2218950}"/>
    <hyperlink ref="D5" location="'9.1.1'!A1" display="9.1.1" xr:uid="{5FF22ED1-44A2-4419-975B-E813976D8916}"/>
    <hyperlink ref="E5" location="'9.1.1'!A1" display="9.1.1 Proporción de la población rural que vive a menos de 2 km de una carretera transitable todo el año" xr:uid="{4666D75B-EF25-4200-9D67-3BE4C1E7759A}"/>
    <hyperlink ref="D6" location="'9.1.2'!A1" display="9.1.2" xr:uid="{46B74703-B93A-448F-B26A-4029E7F386E7}"/>
    <hyperlink ref="E6" location="'9.1.2'!A1" display="9.1.2 Volumen de transporte de pasajeros y carga, desglosado por medio de transporte" xr:uid="{BFAFC118-22A9-4B97-8E97-C719541277E7}"/>
    <hyperlink ref="D7" location="'9.2.1'!A1" display="9.2.1" xr:uid="{07DD45F2-81E1-40FD-AB1B-C9386408D8F9}"/>
    <hyperlink ref="E7" location="'9.2.1'!A1" display="9.2.1 Valor añadido del sector manufacturo en proporción al PIB y per cápita" xr:uid="{64634FA3-B8B0-4554-AAF0-4A3924751483}"/>
    <hyperlink ref="D8" location="'9.2.2'!A1" display="9.2.2" xr:uid="{3D09D9AE-DD39-48F6-858F-63A715E63298}"/>
    <hyperlink ref="E8" location="'9.2.2'!A1" display="9.2.2 Empleo del sector manufacturero en proporción al empleo total" xr:uid="{90D94161-2EAD-4DBD-9910-2307B03A1DC3}"/>
    <hyperlink ref="D9" location="'9.3.1'!A1" display="9.3.1" xr:uid="{3B725070-3E7A-4851-BA1A-550354222AC4}"/>
    <hyperlink ref="E9" location="'9.3.1'!A1" display="9.3.1 Proporción del valor añadido total del sector industrial correspondiente a las pequeñas industrias" xr:uid="{EC35E311-A53B-471A-90BB-0BD132142868}"/>
    <hyperlink ref="D10" location="'9.3.2'!A1" display="9.3.2" xr:uid="{70A5F819-DAC8-4704-8DDF-CB0C669346C1}"/>
    <hyperlink ref="E10" location="'9.3.2'!A1" display="9.3.2 Proporción de las pequeñas industrias que han obtenido un préstamo o una línea de crédito" xr:uid="{F518FFB9-3251-42EC-8F5A-CC26C0EA00CA}"/>
    <hyperlink ref="D11" location="'9.4.1'!A1" display="9.4.1" xr:uid="{E1BB8075-31BA-4487-B005-C6314481495A}"/>
    <hyperlink ref="E11" location="'9.4.1'!A1" display="9.4.1 Emisiones de CO2 por unidad de valor añadido" xr:uid="{75E66B4F-5932-4003-9D34-24FF1700DDF5}"/>
    <hyperlink ref="D12" location="'9.5.1'!A1" display="9.5.1" xr:uid="{5EF3B2F2-38E8-4ECC-BF0E-CF3B812C1CE3}"/>
    <hyperlink ref="E12" location="'9.5.1'!A1" display="9.5.1 Gastos en investigación y desarrollo en proporción al PIB" xr:uid="{00DB42EA-0D4F-42E0-A993-8C11CC9650EE}"/>
    <hyperlink ref="D13" location="'9.5.2'!A1" display="9.5.2" xr:uid="{D8DFB7F5-E5C5-4749-8B5A-4027909370CC}"/>
    <hyperlink ref="E13" location="'9.5.2'!A1" display="9.5.2 Número de investigadores (en equivalente a tiempo completo) por cada millón de habitantes" xr:uid="{79222102-C193-4F13-AF01-BFE954A20ABA}"/>
    <hyperlink ref="D14" location="'9.a.1'!A1" display="9.a.1" xr:uid="{16EEC450-C8F9-493C-91D5-9D308AB8164D}"/>
    <hyperlink ref="E14" location="'9.a.1'!A1" display="9.a.1 Total de apoyo internacional oficial (asistencia oficial para el desarrollo más otras corrientes oficiales de recursos) destinado a la infraestructura" xr:uid="{63E83984-FA98-4008-AEEF-E0F794CD8BF7}"/>
    <hyperlink ref="D15" location="'9.b.1'!A1" display="9.b.1" xr:uid="{6C783783-734C-4F83-BC56-A9AA5ADAF459}"/>
    <hyperlink ref="E15" location="'9.b.1'!A1" display="9.b.1 Proporción del valor añadido por la industria de tecnología mediana y alta en el valor añadido total" xr:uid="{870E76A6-B7C7-4716-AAEE-AFD24AAFB9F6}"/>
    <hyperlink ref="D16" location="'9.c.1'!A1" display="9.c.1" xr:uid="{73527500-4BB1-4286-A216-C8A86DF13EC0}"/>
    <hyperlink ref="E16" location="'9.c.1'!A1" display="9.c.1 Proporción de la población con cobertura de red móvil, desglosada por tecnología" xr:uid="{63EFED34-8408-48E7-B1CA-E1257B735E4C}"/>
  </hyperlinks>
  <pageMargins left="0.7" right="0.7" top="0.75" bottom="0.75" header="0.3" footer="0.3"/>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C001-EA08-443B-A7BE-0DDFDEEE06EE}">
  <sheetPr>
    <tabColor theme="5"/>
  </sheetPr>
  <dimension ref="A1:P11"/>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28515625" style="115" customWidth="1"/>
    <col min="3" max="3" width="11.7109375" style="1048" customWidth="1"/>
    <col min="4" max="5" width="11.7109375" style="115" customWidth="1"/>
    <col min="6" max="16384" width="11.42578125" style="115"/>
  </cols>
  <sheetData>
    <row r="1" spans="1:16" s="1032" customFormat="1" ht="19.5" x14ac:dyDescent="0.4">
      <c r="A1" s="15" t="s">
        <v>39</v>
      </c>
      <c r="B1" s="1080"/>
      <c r="C1" s="2421" t="s">
        <v>149</v>
      </c>
      <c r="D1" s="2421"/>
    </row>
    <row r="2" spans="1:16" s="1032" customFormat="1" ht="19.5" x14ac:dyDescent="0.4">
      <c r="C2" s="1061"/>
    </row>
    <row r="3" spans="1:16" s="1032" customFormat="1" ht="19.899999999999999" customHeight="1" x14ac:dyDescent="0.4">
      <c r="A3" s="3190" t="s">
        <v>41</v>
      </c>
      <c r="B3" s="3193"/>
      <c r="C3" s="3190" t="s">
        <v>5364</v>
      </c>
      <c r="D3" s="3192"/>
      <c r="E3" s="3192"/>
      <c r="F3" s="3192"/>
      <c r="G3" s="3192"/>
      <c r="H3" s="3192"/>
      <c r="I3" s="3192"/>
      <c r="J3" s="3192"/>
      <c r="K3" s="3192"/>
      <c r="L3" s="3192"/>
      <c r="M3" s="3192"/>
      <c r="N3" s="3192"/>
      <c r="O3" s="3192"/>
      <c r="P3" s="3192"/>
    </row>
    <row r="4" spans="1:16" s="1032" customFormat="1" ht="33.6" customHeight="1" x14ac:dyDescent="0.4">
      <c r="A4" s="3190" t="s">
        <v>42</v>
      </c>
      <c r="B4" s="3191"/>
      <c r="C4" s="3190" t="s">
        <v>5332</v>
      </c>
      <c r="D4" s="3192"/>
      <c r="E4" s="3192"/>
      <c r="F4" s="3192"/>
      <c r="G4" s="3192"/>
      <c r="H4" s="3192"/>
      <c r="I4" s="3192"/>
      <c r="J4" s="3192"/>
      <c r="K4" s="3192"/>
      <c r="L4" s="3192"/>
      <c r="M4" s="3192"/>
      <c r="N4" s="3192"/>
      <c r="O4" s="3192"/>
      <c r="P4" s="3192"/>
    </row>
    <row r="5" spans="1:16" s="1032" customFormat="1" ht="20.45" customHeight="1" x14ac:dyDescent="0.4">
      <c r="A5" s="3190" t="s">
        <v>43</v>
      </c>
      <c r="B5" s="3191"/>
      <c r="C5" s="3190" t="s">
        <v>5334</v>
      </c>
      <c r="D5" s="3192"/>
      <c r="E5" s="3192"/>
      <c r="F5" s="3192"/>
      <c r="G5" s="3192"/>
      <c r="H5" s="3192"/>
      <c r="I5" s="3192"/>
      <c r="J5" s="3192"/>
      <c r="K5" s="3192"/>
      <c r="L5" s="3192"/>
      <c r="M5" s="3192"/>
      <c r="N5" s="3192"/>
      <c r="O5" s="3192"/>
      <c r="P5" s="3192"/>
    </row>
    <row r="6" spans="1:16" s="1032" customFormat="1" ht="19.5" x14ac:dyDescent="0.4">
      <c r="A6" s="3190" t="s">
        <v>132</v>
      </c>
      <c r="B6" s="3191"/>
      <c r="C6" s="3190"/>
      <c r="D6" s="3192"/>
      <c r="E6" s="3192"/>
      <c r="F6" s="3192"/>
      <c r="G6" s="3192"/>
      <c r="H6" s="3192"/>
      <c r="I6" s="3192"/>
      <c r="J6" s="3192"/>
      <c r="K6" s="3192"/>
      <c r="L6" s="3192"/>
      <c r="M6" s="3192"/>
      <c r="N6" s="3192"/>
      <c r="O6" s="3192"/>
      <c r="P6" s="3192"/>
    </row>
    <row r="7" spans="1:16" s="1032" customFormat="1" ht="19.5" x14ac:dyDescent="0.4">
      <c r="C7" s="1061"/>
    </row>
    <row r="8" spans="1:16" s="1032" customFormat="1" ht="19.5" x14ac:dyDescent="0.4">
      <c r="C8" s="1061"/>
    </row>
    <row r="9" spans="1:16" s="1032" customFormat="1" ht="11.25" customHeight="1" x14ac:dyDescent="0.4">
      <c r="C9" s="2506" t="s">
        <v>243</v>
      </c>
      <c r="D9" s="2506"/>
      <c r="E9" s="2506"/>
      <c r="F9" s="2506"/>
      <c r="G9" s="2506"/>
      <c r="H9" s="2506"/>
      <c r="I9" s="2506"/>
      <c r="J9" s="2506"/>
      <c r="K9" s="2506"/>
      <c r="L9" s="2506"/>
      <c r="M9" s="2506"/>
      <c r="N9" s="2506"/>
      <c r="O9" s="2506"/>
      <c r="P9" s="2506"/>
    </row>
    <row r="10" spans="1:16" s="1032" customFormat="1" ht="11.25" customHeight="1" x14ac:dyDescent="0.4">
      <c r="C10" s="2506"/>
      <c r="D10" s="2506"/>
      <c r="E10" s="2506"/>
      <c r="F10" s="2506"/>
      <c r="G10" s="2506"/>
      <c r="H10" s="2506"/>
      <c r="I10" s="2506"/>
      <c r="J10" s="2506"/>
      <c r="K10" s="2506"/>
      <c r="L10" s="2506"/>
      <c r="M10" s="2506"/>
      <c r="N10" s="2506"/>
      <c r="O10" s="2506"/>
      <c r="P10" s="2506"/>
    </row>
    <row r="11" spans="1:16" x14ac:dyDescent="0.4">
      <c r="C11" s="649"/>
      <c r="D11" s="649"/>
      <c r="E11" s="649"/>
    </row>
  </sheetData>
  <mergeCells count="10">
    <mergeCell ref="A6:B6"/>
    <mergeCell ref="C6:P6"/>
    <mergeCell ref="C9:P10"/>
    <mergeCell ref="C1:D1"/>
    <mergeCell ref="A3:B3"/>
    <mergeCell ref="C3:P3"/>
    <mergeCell ref="A4:B4"/>
    <mergeCell ref="C4:P4"/>
    <mergeCell ref="A5:B5"/>
    <mergeCell ref="C5:P5"/>
  </mergeCells>
  <hyperlinks>
    <hyperlink ref="A1" location="'ODS 9.'!A1" display="REGRESAR" xr:uid="{C98F97C0-8E20-4EF9-A11A-4A78523354F5}"/>
    <hyperlink ref="C1:D1" location="'Metadato 9.1.1'!A1" display="VER METADATO" xr:uid="{B78EE378-8BCE-4D13-9FB3-01EC5633E83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0469-33E9-4695-BB29-77B6511D706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9.710937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2" customHeight="1" thickBot="1" x14ac:dyDescent="0.3"/>
    <row r="3" spans="1:6" ht="23.25" customHeight="1" thickBot="1" x14ac:dyDescent="0.3">
      <c r="B3" s="2431" t="s">
        <v>75</v>
      </c>
      <c r="C3" s="2431"/>
      <c r="D3" s="2431"/>
      <c r="E3" s="261"/>
      <c r="F3" s="91" t="s">
        <v>76</v>
      </c>
    </row>
    <row r="4" spans="1:6" x14ac:dyDescent="0.25">
      <c r="A4" s="224"/>
      <c r="B4" s="2445" t="s">
        <v>234</v>
      </c>
      <c r="C4" s="2445"/>
      <c r="D4" s="49" t="s">
        <v>78</v>
      </c>
      <c r="E4" s="261"/>
    </row>
    <row r="5" spans="1:6" ht="57" customHeight="1" x14ac:dyDescent="0.25">
      <c r="B5" s="2445" t="s">
        <v>79</v>
      </c>
      <c r="C5" s="2445"/>
      <c r="D5" s="49" t="s">
        <v>31</v>
      </c>
    </row>
    <row r="6" spans="1:6" x14ac:dyDescent="0.25">
      <c r="B6" s="2445" t="s">
        <v>80</v>
      </c>
      <c r="C6" s="2445"/>
      <c r="D6" s="50" t="s">
        <v>34</v>
      </c>
    </row>
    <row r="7" spans="1:6" ht="30.75" customHeight="1" x14ac:dyDescent="0.25">
      <c r="B7" s="2474" t="s">
        <v>81</v>
      </c>
      <c r="C7" s="2474"/>
      <c r="D7" s="93" t="s">
        <v>35</v>
      </c>
    </row>
    <row r="8" spans="1:6" ht="21.75" customHeight="1" x14ac:dyDescent="0.25">
      <c r="B8" s="2474" t="s">
        <v>82</v>
      </c>
      <c r="C8" s="2474"/>
      <c r="D8" s="94" t="s">
        <v>383</v>
      </c>
    </row>
    <row r="9" spans="1:6" x14ac:dyDescent="0.4">
      <c r="B9" s="5"/>
      <c r="C9" s="5"/>
      <c r="D9" s="5"/>
    </row>
    <row r="10" spans="1:6" ht="23.25" customHeight="1" x14ac:dyDescent="0.25">
      <c r="B10" s="2431" t="s">
        <v>85</v>
      </c>
      <c r="C10" s="2431"/>
      <c r="D10" s="2431"/>
    </row>
    <row r="11" spans="1:6" ht="20.25" customHeight="1" x14ac:dyDescent="0.25">
      <c r="B11" s="2453" t="s">
        <v>86</v>
      </c>
      <c r="C11" s="2454"/>
      <c r="D11" s="49" t="s">
        <v>307</v>
      </c>
    </row>
    <row r="12" spans="1:6" ht="20.25" customHeight="1" x14ac:dyDescent="0.25">
      <c r="B12" s="2455" t="s">
        <v>88</v>
      </c>
      <c r="C12" s="2455"/>
      <c r="D12" s="169" t="s">
        <v>384</v>
      </c>
    </row>
    <row r="13" spans="1:6" ht="15" customHeight="1" x14ac:dyDescent="0.25">
      <c r="B13" s="2445" t="s">
        <v>90</v>
      </c>
      <c r="C13" s="2445"/>
      <c r="D13" s="54" t="s">
        <v>34</v>
      </c>
    </row>
    <row r="14" spans="1:6" x14ac:dyDescent="0.25">
      <c r="B14" s="2445" t="s">
        <v>91</v>
      </c>
      <c r="C14" s="2456"/>
      <c r="D14" s="54" t="s">
        <v>92</v>
      </c>
    </row>
    <row r="15" spans="1:6" ht="409.15" customHeight="1" x14ac:dyDescent="0.25">
      <c r="B15" s="2445" t="s">
        <v>93</v>
      </c>
      <c r="C15" s="2445"/>
      <c r="D15" s="56" t="s">
        <v>385</v>
      </c>
    </row>
    <row r="16" spans="1:6" ht="63" customHeight="1" x14ac:dyDescent="0.25">
      <c r="B16" s="2445" t="s">
        <v>95</v>
      </c>
      <c r="C16" s="2445"/>
      <c r="D16" s="49" t="s">
        <v>386</v>
      </c>
    </row>
    <row r="17" spans="2:4" x14ac:dyDescent="0.25">
      <c r="B17" s="2445" t="s">
        <v>97</v>
      </c>
      <c r="C17" s="2445"/>
      <c r="D17" s="56" t="s">
        <v>387</v>
      </c>
    </row>
    <row r="18" spans="2:4" x14ac:dyDescent="0.25">
      <c r="B18" s="2446" t="s">
        <v>99</v>
      </c>
      <c r="C18" s="2446"/>
      <c r="D18" s="49"/>
    </row>
    <row r="19" spans="2:4" ht="34.5" customHeight="1" x14ac:dyDescent="0.25">
      <c r="B19" s="2457" t="s">
        <v>100</v>
      </c>
      <c r="C19" s="2458"/>
      <c r="D19" s="56" t="s">
        <v>388</v>
      </c>
    </row>
    <row r="20" spans="2:4" x14ac:dyDescent="0.25">
      <c r="B20" s="2445" t="s">
        <v>102</v>
      </c>
      <c r="C20" s="2445"/>
      <c r="D20" s="56" t="s">
        <v>140</v>
      </c>
    </row>
    <row r="21" spans="2:4" x14ac:dyDescent="0.25">
      <c r="B21" s="2451" t="s">
        <v>104</v>
      </c>
      <c r="C21" s="95" t="s">
        <v>105</v>
      </c>
      <c r="D21" s="49"/>
    </row>
    <row r="22" spans="2:4" x14ac:dyDescent="0.25">
      <c r="B22" s="2452"/>
      <c r="C22" s="96" t="s">
        <v>107</v>
      </c>
      <c r="D22" s="56" t="s">
        <v>389</v>
      </c>
    </row>
    <row r="23" spans="2:4" x14ac:dyDescent="0.25">
      <c r="B23" s="2444" t="s">
        <v>109</v>
      </c>
      <c r="C23" s="2444"/>
      <c r="D23" s="56" t="s">
        <v>143</v>
      </c>
    </row>
    <row r="24" spans="2:4" x14ac:dyDescent="0.25">
      <c r="B24" s="2444" t="s">
        <v>111</v>
      </c>
      <c r="C24" s="2444"/>
      <c r="D24" s="59" t="s">
        <v>390</v>
      </c>
    </row>
    <row r="25" spans="2:4" x14ac:dyDescent="0.25">
      <c r="B25" s="2445" t="s">
        <v>113</v>
      </c>
      <c r="C25" s="2445"/>
      <c r="D25" s="56" t="s">
        <v>220</v>
      </c>
    </row>
    <row r="26" spans="2:4" ht="15" customHeight="1" x14ac:dyDescent="0.25">
      <c r="B26" s="2446" t="s">
        <v>115</v>
      </c>
      <c r="C26" s="2446"/>
      <c r="D26" s="49" t="s">
        <v>391</v>
      </c>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2431" t="s">
        <v>121</v>
      </c>
      <c r="C31" s="2431"/>
      <c r="D31" s="2431"/>
    </row>
    <row r="32" spans="2:4" x14ac:dyDescent="0.25">
      <c r="B32" s="2442" t="s">
        <v>122</v>
      </c>
      <c r="C32" s="2443"/>
      <c r="D32" s="59" t="s">
        <v>392</v>
      </c>
    </row>
    <row r="33" spans="2:4" x14ac:dyDescent="0.25">
      <c r="B33" s="2442" t="s">
        <v>124</v>
      </c>
      <c r="C33" s="2443"/>
      <c r="D33" s="59" t="s">
        <v>393</v>
      </c>
    </row>
    <row r="34" spans="2:4" x14ac:dyDescent="0.25">
      <c r="B34" s="2442" t="s">
        <v>126</v>
      </c>
      <c r="C34" s="2443"/>
      <c r="D34" s="59" t="s">
        <v>390</v>
      </c>
    </row>
    <row r="35" spans="2:4" x14ac:dyDescent="0.25">
      <c r="B35" s="2442" t="s">
        <v>128</v>
      </c>
      <c r="C35" s="2443"/>
      <c r="D35" s="59" t="s">
        <v>394</v>
      </c>
    </row>
    <row r="36" spans="2:4" x14ac:dyDescent="0.25">
      <c r="B36" s="2442" t="s">
        <v>130</v>
      </c>
      <c r="C36" s="2443"/>
      <c r="D36" s="65" t="s">
        <v>395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6407124-2F66-4719-8CBF-8E359EFA6824}">
      <formula1>Tipo_operación</formula1>
    </dataValidation>
    <dataValidation type="list" allowBlank="1" showInputMessage="1" showErrorMessage="1" sqref="D14" xr:uid="{F39C86AE-35F0-44E2-AF3E-DD3FA638B570}">
      <formula1>Tipo_indicador</formula1>
    </dataValidation>
    <dataValidation type="list" allowBlank="1" showInputMessage="1" showErrorMessage="1" sqref="D7" xr:uid="{6C4EC25A-F142-4515-A03E-E80C7CD4C6D6}">
      <formula1>Nombre_indicador_ODS</formula1>
    </dataValidation>
    <dataValidation type="list" allowBlank="1" showInputMessage="1" showErrorMessage="1" sqref="D6" xr:uid="{DD027A54-5570-4EBA-946C-CFDB5E9C2C47}">
      <formula1>Numero_indicador</formula1>
    </dataValidation>
    <dataValidation type="list" allowBlank="1" showInputMessage="1" showErrorMessage="1" sqref="D5" xr:uid="{086015B7-036D-44C2-9362-AC03FC6A20A7}">
      <formula1>Metas_ODS</formula1>
    </dataValidation>
    <dataValidation type="list" allowBlank="1" showInputMessage="1" showErrorMessage="1" sqref="D4" xr:uid="{6B2E1B47-F71E-4661-9608-86411BB06B53}">
      <formula1>ODS</formula1>
    </dataValidation>
    <dataValidation allowBlank="1" showDropDown="1" showInputMessage="1" showErrorMessage="1" sqref="D13" xr:uid="{2FEF6003-FF6C-4B11-9BF5-39B543230200}"/>
  </dataValidations>
  <hyperlinks>
    <hyperlink ref="B1" location="'1.a.2'!A1" display="REGRESAR" xr:uid="{B5D34C86-0DEC-4BA0-AC95-2906E1B8A776}"/>
    <hyperlink ref="D8" r:id="rId1" xr:uid="{68E330B5-D9CF-4B1C-9147-248E1E29738D}"/>
    <hyperlink ref="D36" r:id="rId2" xr:uid="{A8A6ED57-6039-4D54-A175-52C624051E48}"/>
  </hyperlinks>
  <pageMargins left="0.7" right="0.7" top="0.75" bottom="0.75" header="0.3" footer="0.3"/>
  <pageSetup orientation="portrait" r:id="rId3"/>
  <drawing r:id="rId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C8379-998C-42FA-8E60-E93337C826F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265</v>
      </c>
    </row>
    <row r="4" spans="1:6" ht="36" customHeight="1" x14ac:dyDescent="0.25">
      <c r="A4" s="1079"/>
      <c r="B4" s="2445" t="s">
        <v>234</v>
      </c>
      <c r="C4" s="2445"/>
      <c r="D4" s="49" t="s">
        <v>4975</v>
      </c>
    </row>
    <row r="5" spans="1:6" ht="56.25" x14ac:dyDescent="0.25">
      <c r="B5" s="2445" t="s">
        <v>79</v>
      </c>
      <c r="C5" s="2445"/>
      <c r="D5" s="49" t="s">
        <v>5332</v>
      </c>
    </row>
    <row r="6" spans="1:6" x14ac:dyDescent="0.25">
      <c r="B6" s="2445" t="s">
        <v>80</v>
      </c>
      <c r="C6" s="2445"/>
      <c r="D6" s="50" t="s">
        <v>5333</v>
      </c>
    </row>
    <row r="7" spans="1:6" ht="37.5" x14ac:dyDescent="0.25">
      <c r="B7" s="2446" t="s">
        <v>81</v>
      </c>
      <c r="C7" s="2446"/>
      <c r="D7" s="93" t="s">
        <v>5334</v>
      </c>
    </row>
    <row r="8" spans="1:6" x14ac:dyDescent="0.25">
      <c r="B8" s="2446" t="s">
        <v>82</v>
      </c>
      <c r="C8" s="2446"/>
      <c r="D8" s="1047" t="s">
        <v>5365</v>
      </c>
    </row>
    <row r="9" spans="1:6" x14ac:dyDescent="0.4">
      <c r="B9" s="115"/>
      <c r="C9" s="115"/>
      <c r="D9" s="115"/>
    </row>
    <row r="10" spans="1:6" ht="23.25" customHeight="1" x14ac:dyDescent="0.25">
      <c r="B10" s="3194" t="s">
        <v>85</v>
      </c>
      <c r="C10" s="3194"/>
      <c r="D10" s="3194"/>
    </row>
    <row r="11" spans="1:6" x14ac:dyDescent="0.25">
      <c r="B11" s="2487" t="s">
        <v>86</v>
      </c>
      <c r="C11" s="2456"/>
      <c r="D11" s="49"/>
    </row>
    <row r="12" spans="1:6" ht="37.5" x14ac:dyDescent="0.25">
      <c r="B12" s="2446" t="s">
        <v>88</v>
      </c>
      <c r="C12" s="2446"/>
      <c r="D12" s="184" t="s">
        <v>5366</v>
      </c>
    </row>
    <row r="13" spans="1:6" x14ac:dyDescent="0.25">
      <c r="B13" s="2445" t="s">
        <v>90</v>
      </c>
      <c r="C13" s="2445"/>
      <c r="D13" s="55" t="s">
        <v>5333</v>
      </c>
    </row>
    <row r="14" spans="1:6" x14ac:dyDescent="0.25">
      <c r="B14" s="2445" t="s">
        <v>91</v>
      </c>
      <c r="C14" s="2456"/>
      <c r="D14" s="54" t="s">
        <v>214</v>
      </c>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5" t="s">
        <v>109</v>
      </c>
      <c r="C23" s="2445"/>
      <c r="D23" s="49"/>
    </row>
    <row r="24" spans="2:4" x14ac:dyDescent="0.25">
      <c r="B24" s="2445" t="s">
        <v>111</v>
      </c>
      <c r="C24" s="2445"/>
      <c r="D24" s="49"/>
    </row>
    <row r="25" spans="2:4" x14ac:dyDescent="0.25">
      <c r="B25" s="2445" t="s">
        <v>113</v>
      </c>
      <c r="C25" s="2445"/>
      <c r="D25" s="55"/>
    </row>
    <row r="26" spans="2:4" x14ac:dyDescent="0.25">
      <c r="B26" s="2446" t="s">
        <v>115</v>
      </c>
      <c r="C26" s="2446"/>
      <c r="D26" s="49"/>
    </row>
    <row r="27" spans="2:4" x14ac:dyDescent="0.25">
      <c r="B27" s="2447" t="s">
        <v>117</v>
      </c>
      <c r="C27" s="2448"/>
      <c r="D27" s="49"/>
    </row>
    <row r="28" spans="2:4" ht="37.5" x14ac:dyDescent="0.25">
      <c r="B28" s="97" t="s">
        <v>118</v>
      </c>
      <c r="C28" s="98"/>
      <c r="D28" s="55" t="s">
        <v>5367</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5"/>
    </row>
    <row r="33" spans="2:4" x14ac:dyDescent="0.25">
      <c r="B33" s="2447" t="s">
        <v>124</v>
      </c>
      <c r="C33" s="2448"/>
      <c r="D33" s="55"/>
    </row>
    <row r="34" spans="2:4" x14ac:dyDescent="0.25">
      <c r="B34" s="2447" t="s">
        <v>126</v>
      </c>
      <c r="C34" s="2448"/>
      <c r="D34" s="55"/>
    </row>
    <row r="35" spans="2:4" x14ac:dyDescent="0.25">
      <c r="B35" s="2447" t="s">
        <v>128</v>
      </c>
      <c r="C35" s="2448"/>
      <c r="D35" s="246"/>
    </row>
    <row r="36" spans="2:4" x14ac:dyDescent="0.25">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30CD81D9-49CB-4C15-ADD5-9FCDCF614B44}">
      <formula1>Tipo_operación</formula1>
    </dataValidation>
    <dataValidation type="list" allowBlank="1" showInputMessage="1" showErrorMessage="1" sqref="D14" xr:uid="{E0FEDB3E-3111-4DC6-AE8C-0CA9121C05A9}">
      <formula1>Tipo_indicador</formula1>
    </dataValidation>
    <dataValidation type="list" allowBlank="1" showInputMessage="1" showErrorMessage="1" sqref="D7" xr:uid="{5CE1170A-3912-46AB-9994-E184BCE97B32}">
      <formula1>Nombre_indicador_ODS</formula1>
    </dataValidation>
    <dataValidation type="list" allowBlank="1" showInputMessage="1" showErrorMessage="1" sqref="D6" xr:uid="{3F7FABF7-72DA-4D56-930F-64CABA14A890}">
      <formula1>Numero_indicador</formula1>
    </dataValidation>
    <dataValidation type="list" allowBlank="1" showInputMessage="1" showErrorMessage="1" sqref="D5" xr:uid="{FD5E68D0-9A49-4ABB-8C49-AB633A6997C5}">
      <formula1>Metas_ODS</formula1>
    </dataValidation>
    <dataValidation type="list" allowBlank="1" showInputMessage="1" showErrorMessage="1" sqref="D4" xr:uid="{8A9711FF-1047-4B5B-A7CE-6189FD3FB100}">
      <formula1>ODS</formula1>
    </dataValidation>
  </dataValidations>
  <hyperlinks>
    <hyperlink ref="B1" location="'9.1.1'!A1" display="REGRESAR" xr:uid="{98E7AD6C-A8B9-4EA4-88DA-924B53B5685C}"/>
    <hyperlink ref="D8" r:id="rId1" xr:uid="{341C4406-A10C-4D8D-81F0-F0FBDA4B9C7A}"/>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26EA8-44D9-4C35-A096-719FBFFA4916}">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28515625" style="1032" customWidth="1"/>
    <col min="2" max="2" width="20" style="1032" customWidth="1"/>
    <col min="3" max="3" width="11.7109375" style="1061" customWidth="1"/>
    <col min="4" max="6" width="11.7109375" style="1032" customWidth="1"/>
    <col min="7" max="16384" width="11.42578125" style="1032"/>
  </cols>
  <sheetData>
    <row r="1" spans="1:15" x14ac:dyDescent="0.4">
      <c r="A1" s="15" t="s">
        <v>39</v>
      </c>
      <c r="B1" s="1080"/>
      <c r="C1" s="2421" t="s">
        <v>149</v>
      </c>
      <c r="D1" s="2421"/>
    </row>
    <row r="3" spans="1:15" x14ac:dyDescent="0.4">
      <c r="A3" s="3190" t="s">
        <v>41</v>
      </c>
      <c r="B3" s="3193"/>
      <c r="C3" s="3190" t="s">
        <v>5364</v>
      </c>
      <c r="D3" s="3192"/>
      <c r="E3" s="3192"/>
      <c r="F3" s="3192"/>
      <c r="G3" s="3192"/>
      <c r="H3" s="3192"/>
      <c r="I3" s="3192"/>
      <c r="J3" s="3192"/>
      <c r="K3" s="3192"/>
      <c r="L3" s="3192"/>
      <c r="M3" s="3192"/>
      <c r="N3" s="3192"/>
      <c r="O3" s="3192"/>
    </row>
    <row r="4" spans="1:15" ht="38.450000000000003" customHeight="1" x14ac:dyDescent="0.4">
      <c r="A4" s="3190" t="s">
        <v>42</v>
      </c>
      <c r="B4" s="3191"/>
      <c r="C4" s="3190" t="s">
        <v>5332</v>
      </c>
      <c r="D4" s="3192"/>
      <c r="E4" s="3192"/>
      <c r="F4" s="3192"/>
      <c r="G4" s="3192"/>
      <c r="H4" s="3192"/>
      <c r="I4" s="3192"/>
      <c r="J4" s="3192"/>
      <c r="K4" s="3192"/>
      <c r="L4" s="3192"/>
      <c r="M4" s="3192"/>
      <c r="N4" s="3192"/>
      <c r="O4" s="3192"/>
    </row>
    <row r="5" spans="1:15" x14ac:dyDescent="0.4">
      <c r="A5" s="3190" t="s">
        <v>43</v>
      </c>
      <c r="B5" s="3191"/>
      <c r="C5" s="3190" t="s">
        <v>5336</v>
      </c>
      <c r="D5" s="3192"/>
      <c r="E5" s="3192"/>
      <c r="F5" s="3192"/>
      <c r="G5" s="3192"/>
      <c r="H5" s="3192"/>
      <c r="I5" s="3192"/>
      <c r="J5" s="3192"/>
      <c r="K5" s="3192"/>
      <c r="L5" s="3192"/>
      <c r="M5" s="3192"/>
      <c r="N5" s="3192"/>
      <c r="O5" s="3192"/>
    </row>
    <row r="6" spans="1:15" x14ac:dyDescent="0.4">
      <c r="A6" s="3190" t="s">
        <v>132</v>
      </c>
      <c r="B6" s="3191"/>
      <c r="C6" s="3190" t="s">
        <v>242</v>
      </c>
      <c r="D6" s="3192"/>
      <c r="E6" s="3192"/>
      <c r="F6" s="3192"/>
      <c r="G6" s="3192"/>
      <c r="H6" s="3192"/>
      <c r="I6" s="3192"/>
      <c r="J6" s="3192"/>
      <c r="K6" s="3192"/>
      <c r="L6" s="3192"/>
      <c r="M6" s="3192"/>
      <c r="N6" s="3192"/>
      <c r="O6" s="3192"/>
    </row>
    <row r="7" spans="1:15" x14ac:dyDescent="0.4">
      <c r="A7" s="1084"/>
    </row>
    <row r="8" spans="1:15" x14ac:dyDescent="0.4">
      <c r="A8" s="1084"/>
    </row>
    <row r="9" spans="1:15" ht="11.25" customHeight="1" x14ac:dyDescent="0.4">
      <c r="C9" s="2506" t="s">
        <v>243</v>
      </c>
      <c r="D9" s="2506"/>
      <c r="E9" s="2506"/>
      <c r="F9" s="2506"/>
      <c r="G9" s="2506"/>
      <c r="H9" s="2506"/>
      <c r="I9" s="2506"/>
      <c r="J9" s="2506"/>
      <c r="K9" s="2506"/>
      <c r="L9" s="2506"/>
      <c r="M9" s="2506"/>
      <c r="N9" s="2506"/>
      <c r="O9" s="2506"/>
    </row>
    <row r="10" spans="1:15" ht="11.25" customHeight="1" x14ac:dyDescent="0.4">
      <c r="C10" s="2506"/>
      <c r="D10" s="2506"/>
      <c r="E10" s="2506"/>
      <c r="F10" s="2506"/>
      <c r="G10" s="2506"/>
      <c r="H10" s="2506"/>
      <c r="I10" s="2506"/>
      <c r="J10" s="2506"/>
      <c r="K10" s="2506"/>
      <c r="L10" s="2506"/>
      <c r="M10" s="2506"/>
      <c r="N10" s="2506"/>
      <c r="O10" s="2506"/>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38C5636A-4CA6-45C6-A74F-FF768F9D7F46}"/>
    <hyperlink ref="C1:D1" location="'Metadato 9.1.2'!A1" display="VER METADATO" xr:uid="{CB40399C-B5F5-4011-AE22-8D6B07F7947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52AE-106B-4C53-8C07-A4E24BABDFE2}">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68.4257812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265</v>
      </c>
    </row>
    <row r="4" spans="1:6" ht="34.5" customHeight="1" x14ac:dyDescent="0.25">
      <c r="A4" s="1079"/>
      <c r="B4" s="2445" t="s">
        <v>234</v>
      </c>
      <c r="C4" s="2445"/>
      <c r="D4" s="49" t="s">
        <v>5368</v>
      </c>
    </row>
    <row r="5" spans="1:6" ht="75" x14ac:dyDescent="0.25">
      <c r="B5" s="2445" t="s">
        <v>79</v>
      </c>
      <c r="C5" s="2445"/>
      <c r="D5" s="49" t="s">
        <v>5332</v>
      </c>
    </row>
    <row r="6" spans="1:6" x14ac:dyDescent="0.25">
      <c r="B6" s="2445" t="s">
        <v>80</v>
      </c>
      <c r="C6" s="2445"/>
      <c r="D6" s="50" t="s">
        <v>5369</v>
      </c>
    </row>
    <row r="7" spans="1:6" ht="37.5" x14ac:dyDescent="0.25">
      <c r="B7" s="2446" t="s">
        <v>81</v>
      </c>
      <c r="C7" s="2446"/>
      <c r="D7" s="93" t="s">
        <v>5336</v>
      </c>
    </row>
    <row r="8" spans="1:6" x14ac:dyDescent="0.25">
      <c r="B8" s="2446" t="s">
        <v>82</v>
      </c>
      <c r="C8" s="2446"/>
      <c r="D8" s="1047" t="s">
        <v>5370</v>
      </c>
    </row>
    <row r="9" spans="1:6" x14ac:dyDescent="0.4">
      <c r="B9" s="115"/>
      <c r="C9" s="115"/>
      <c r="D9" s="115"/>
    </row>
    <row r="10" spans="1:6" ht="23.25" customHeight="1" x14ac:dyDescent="0.25">
      <c r="B10" s="3194" t="s">
        <v>85</v>
      </c>
      <c r="C10" s="3194"/>
      <c r="D10" s="3194"/>
    </row>
    <row r="11" spans="1:6" x14ac:dyDescent="0.25">
      <c r="B11" s="2487" t="s">
        <v>86</v>
      </c>
      <c r="C11" s="2456"/>
      <c r="D11" s="49"/>
    </row>
    <row r="12" spans="1:6" x14ac:dyDescent="0.25">
      <c r="B12" s="2446" t="s">
        <v>88</v>
      </c>
      <c r="C12" s="2446"/>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5" t="s">
        <v>109</v>
      </c>
      <c r="C23" s="2445"/>
      <c r="D23" s="49"/>
    </row>
    <row r="24" spans="2:4" x14ac:dyDescent="0.25">
      <c r="B24" s="2445" t="s">
        <v>111</v>
      </c>
      <c r="C24" s="2445"/>
      <c r="D24" s="50" t="s">
        <v>5371</v>
      </c>
    </row>
    <row r="25" spans="2:4" x14ac:dyDescent="0.25">
      <c r="B25" s="2445" t="s">
        <v>113</v>
      </c>
      <c r="C25" s="2445"/>
      <c r="D25" s="55"/>
    </row>
    <row r="26" spans="2:4" x14ac:dyDescent="0.25">
      <c r="B26" s="2446" t="s">
        <v>115</v>
      </c>
      <c r="C26" s="2446"/>
      <c r="D26" s="49"/>
    </row>
    <row r="27" spans="2:4" x14ac:dyDescent="0.25">
      <c r="B27" s="2447" t="s">
        <v>117</v>
      </c>
      <c r="C27" s="2448"/>
      <c r="D27" s="49"/>
    </row>
    <row r="28" spans="2:4" ht="93.75" x14ac:dyDescent="0.25">
      <c r="B28" s="97" t="s">
        <v>118</v>
      </c>
      <c r="C28" s="98"/>
      <c r="D28" s="55" t="s">
        <v>5372</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5"/>
    </row>
    <row r="33" spans="2:4" x14ac:dyDescent="0.25">
      <c r="B33" s="2447" t="s">
        <v>124</v>
      </c>
      <c r="C33" s="2448"/>
      <c r="D33" s="55"/>
    </row>
    <row r="34" spans="2:4" x14ac:dyDescent="0.25">
      <c r="B34" s="2447" t="s">
        <v>126</v>
      </c>
      <c r="C34" s="2448"/>
      <c r="D34" s="55"/>
    </row>
    <row r="35" spans="2:4" x14ac:dyDescent="0.25">
      <c r="B35" s="2447" t="s">
        <v>128</v>
      </c>
      <c r="C35" s="2448"/>
      <c r="D35" s="246"/>
    </row>
    <row r="36" spans="2:4" x14ac:dyDescent="0.25">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12CFA6E-09CB-4FA1-A4CB-EB443E48EBF3}">
      <formula1>Tipo_operación</formula1>
    </dataValidation>
    <dataValidation type="list" allowBlank="1" showInputMessage="1" showErrorMessage="1" sqref="D14" xr:uid="{AA8FBFDE-BD79-4276-A674-54F9B9A42FDA}">
      <formula1>Tipo_indicador</formula1>
    </dataValidation>
    <dataValidation type="list" allowBlank="1" showInputMessage="1" showErrorMessage="1" sqref="D7" xr:uid="{01FD944F-939B-421F-8E6F-8DFA90875ACE}">
      <formula1>Nombre_indicador_ODS</formula1>
    </dataValidation>
    <dataValidation type="list" allowBlank="1" showInputMessage="1" showErrorMessage="1" sqref="D6" xr:uid="{D7358AA5-379C-462D-A982-3F7A28CF2C6E}">
      <formula1>Numero_indicador</formula1>
    </dataValidation>
    <dataValidation type="list" allowBlank="1" showInputMessage="1" showErrorMessage="1" sqref="D5" xr:uid="{FB429358-B73F-44C5-AD49-BDA8D0D7D7F2}">
      <formula1>Metas_ODS</formula1>
    </dataValidation>
    <dataValidation type="list" allowBlank="1" showInputMessage="1" showErrorMessage="1" sqref="D4" xr:uid="{A503B813-4580-482D-904B-84EF72D94854}">
      <formula1>ODS</formula1>
    </dataValidation>
    <dataValidation allowBlank="1" showDropDown="1" showInputMessage="1" showErrorMessage="1" sqref="D13" xr:uid="{8C1B6BEF-DF06-4B71-A8D5-E9D8538B4FD5}"/>
  </dataValidations>
  <hyperlinks>
    <hyperlink ref="B1" location="'9.1.2'!A1" display="REGRESAR" xr:uid="{9820FA52-F8BD-4786-9A9F-025085B91B30}"/>
    <hyperlink ref="D8" r:id="rId1" xr:uid="{517A6DF9-825B-4B8B-BBBB-7D4A0F99577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0650-C982-49E0-9A01-FBD1296BD530}">
  <dimension ref="A1:R46"/>
  <sheetViews>
    <sheetView showGridLines="0" workbookViewId="0">
      <pane ySplit="1" topLeftCell="A2" activePane="bottomLeft" state="frozen"/>
      <selection activeCell="E7" sqref="E7"/>
      <selection pane="bottomLeft" activeCell="E7" sqref="E7"/>
    </sheetView>
  </sheetViews>
  <sheetFormatPr baseColWidth="10" defaultColWidth="11.42578125" defaultRowHeight="18.75" x14ac:dyDescent="0.4"/>
  <cols>
    <col min="1" max="2" width="15.42578125" style="115" customWidth="1"/>
    <col min="3" max="3" width="11.42578125" style="115"/>
    <col min="4" max="4" width="16.28515625" style="115" customWidth="1"/>
    <col min="5" max="16384" width="11.42578125" style="115"/>
  </cols>
  <sheetData>
    <row r="1" spans="1:18" s="1032" customFormat="1" ht="19.5" x14ac:dyDescent="0.4">
      <c r="A1" s="15" t="s">
        <v>39</v>
      </c>
      <c r="C1" s="2421" t="s">
        <v>149</v>
      </c>
      <c r="D1" s="2421"/>
    </row>
    <row r="2" spans="1:18" s="1032" customFormat="1" ht="19.5" x14ac:dyDescent="0.4"/>
    <row r="3" spans="1:18" s="1032" customFormat="1" ht="19.899999999999999" customHeight="1" x14ac:dyDescent="0.4">
      <c r="A3" s="3190" t="s">
        <v>41</v>
      </c>
      <c r="B3" s="3193"/>
      <c r="C3" s="3190" t="s">
        <v>5364</v>
      </c>
      <c r="D3" s="3192"/>
      <c r="E3" s="3192"/>
      <c r="F3" s="3192"/>
      <c r="G3" s="3192"/>
      <c r="H3" s="3192"/>
      <c r="I3" s="3192"/>
      <c r="J3" s="3192"/>
      <c r="K3" s="3192"/>
      <c r="L3" s="3192"/>
      <c r="M3" s="3192"/>
      <c r="N3" s="3192"/>
      <c r="O3" s="3192"/>
      <c r="P3" s="3192"/>
      <c r="Q3" s="3192"/>
      <c r="R3" s="3192"/>
    </row>
    <row r="4" spans="1:18" s="1032" customFormat="1" ht="38.450000000000003" customHeight="1" x14ac:dyDescent="0.4">
      <c r="A4" s="3190" t="s">
        <v>42</v>
      </c>
      <c r="B4" s="3191"/>
      <c r="C4" s="3190" t="s">
        <v>5337</v>
      </c>
      <c r="D4" s="3192"/>
      <c r="E4" s="3192"/>
      <c r="F4" s="3192"/>
      <c r="G4" s="3192"/>
      <c r="H4" s="3192"/>
      <c r="I4" s="3192"/>
      <c r="J4" s="3192"/>
      <c r="K4" s="3192"/>
      <c r="L4" s="3192"/>
      <c r="M4" s="3192"/>
      <c r="N4" s="3192"/>
      <c r="O4" s="3192"/>
      <c r="P4" s="3192"/>
      <c r="Q4" s="3192"/>
      <c r="R4" s="3192"/>
    </row>
    <row r="5" spans="1:18" s="1032" customFormat="1" ht="19.5" x14ac:dyDescent="0.4">
      <c r="A5" s="3190" t="s">
        <v>43</v>
      </c>
      <c r="B5" s="3191"/>
      <c r="C5" s="3190" t="s">
        <v>5373</v>
      </c>
      <c r="D5" s="3192"/>
      <c r="E5" s="3192"/>
      <c r="F5" s="3192"/>
      <c r="G5" s="3192"/>
      <c r="H5" s="3192"/>
      <c r="I5" s="3192"/>
      <c r="J5" s="3192"/>
      <c r="K5" s="3192"/>
      <c r="L5" s="3192"/>
      <c r="M5" s="3192"/>
      <c r="N5" s="3192"/>
      <c r="O5" s="3192"/>
      <c r="P5" s="3192"/>
      <c r="Q5" s="3192"/>
      <c r="R5" s="3192"/>
    </row>
    <row r="6" spans="1:18" s="1032" customFormat="1" ht="19.5" x14ac:dyDescent="0.4">
      <c r="A6" s="3190" t="s">
        <v>132</v>
      </c>
      <c r="B6" s="3191"/>
      <c r="C6" s="3190" t="s">
        <v>5374</v>
      </c>
      <c r="D6" s="3192"/>
      <c r="E6" s="3192"/>
      <c r="F6" s="3192"/>
      <c r="G6" s="3192"/>
      <c r="H6" s="3192"/>
      <c r="I6" s="3192"/>
      <c r="J6" s="3192"/>
      <c r="K6" s="3192"/>
      <c r="L6" s="3192"/>
      <c r="M6" s="3192"/>
      <c r="N6" s="3192"/>
      <c r="O6" s="3192"/>
      <c r="P6" s="3192"/>
      <c r="Q6" s="3192"/>
      <c r="R6" s="3192"/>
    </row>
    <row r="9" spans="1:18" ht="54.6" customHeight="1" x14ac:dyDescent="0.4">
      <c r="C9" s="2628" t="s">
        <v>5374</v>
      </c>
      <c r="D9" s="2628"/>
      <c r="G9" s="138" t="s">
        <v>5375</v>
      </c>
    </row>
    <row r="10" spans="1:18" x14ac:dyDescent="0.4">
      <c r="C10" s="1561" t="s">
        <v>46</v>
      </c>
      <c r="D10" s="1562" t="s">
        <v>98</v>
      </c>
    </row>
    <row r="11" spans="1:18" x14ac:dyDescent="0.4">
      <c r="C11" s="232">
        <v>1991</v>
      </c>
      <c r="D11" s="1457">
        <v>20.567965049279266</v>
      </c>
    </row>
    <row r="12" spans="1:18" x14ac:dyDescent="0.4">
      <c r="C12" s="232">
        <v>1992</v>
      </c>
      <c r="D12" s="1457">
        <v>20.700939985420042</v>
      </c>
    </row>
    <row r="13" spans="1:18" x14ac:dyDescent="0.4">
      <c r="C13" s="232">
        <v>1993</v>
      </c>
      <c r="D13" s="1457">
        <v>19.71731341979137</v>
      </c>
    </row>
    <row r="14" spans="1:18" x14ac:dyDescent="0.4">
      <c r="C14" s="232">
        <v>1994</v>
      </c>
      <c r="D14" s="1457">
        <v>19.071576141125625</v>
      </c>
    </row>
    <row r="15" spans="1:18" x14ac:dyDescent="0.4">
      <c r="C15" s="232">
        <v>1995</v>
      </c>
      <c r="D15" s="1457">
        <v>19.006935644292113</v>
      </c>
    </row>
    <row r="16" spans="1:18" x14ac:dyDescent="0.4">
      <c r="C16" s="232">
        <v>1996</v>
      </c>
      <c r="D16" s="1457">
        <v>19.143603964781779</v>
      </c>
    </row>
    <row r="17" spans="3:7" x14ac:dyDescent="0.4">
      <c r="C17" s="232">
        <v>1997</v>
      </c>
      <c r="D17" s="1457">
        <v>19.458014682517842</v>
      </c>
    </row>
    <row r="18" spans="3:7" x14ac:dyDescent="0.4">
      <c r="C18" s="232">
        <v>1998</v>
      </c>
      <c r="D18" s="1457">
        <v>18.949301018225835</v>
      </c>
    </row>
    <row r="19" spans="3:7" x14ac:dyDescent="0.4">
      <c r="C19" s="232">
        <v>1999</v>
      </c>
      <c r="D19" s="1457">
        <v>18.677494167102722</v>
      </c>
    </row>
    <row r="20" spans="3:7" x14ac:dyDescent="0.4">
      <c r="C20" s="232">
        <v>2000</v>
      </c>
      <c r="D20" s="1457">
        <v>18.317543203618552</v>
      </c>
    </row>
    <row r="21" spans="3:7" x14ac:dyDescent="0.4">
      <c r="C21" s="232">
        <v>2001</v>
      </c>
      <c r="D21" s="1457">
        <v>17.427424419436193</v>
      </c>
    </row>
    <row r="22" spans="3:7" x14ac:dyDescent="0.4">
      <c r="C22" s="232">
        <v>2002</v>
      </c>
      <c r="D22" s="1457">
        <v>17.393252282982512</v>
      </c>
    </row>
    <row r="23" spans="3:7" x14ac:dyDescent="0.4">
      <c r="C23" s="232">
        <v>2003</v>
      </c>
      <c r="D23" s="1457">
        <v>17.10222913124052</v>
      </c>
    </row>
    <row r="24" spans="3:7" x14ac:dyDescent="0.4">
      <c r="C24" s="232">
        <v>2004</v>
      </c>
      <c r="D24" s="1457">
        <v>16.888551555905259</v>
      </c>
    </row>
    <row r="25" spans="3:7" x14ac:dyDescent="0.4">
      <c r="C25" s="232">
        <v>2005</v>
      </c>
      <c r="D25" s="1457">
        <v>16.867489377819318</v>
      </c>
    </row>
    <row r="26" spans="3:7" x14ac:dyDescent="0.4">
      <c r="C26" s="232">
        <v>2006</v>
      </c>
      <c r="D26" s="1457">
        <v>16.485979173975775</v>
      </c>
    </row>
    <row r="27" spans="3:7" x14ac:dyDescent="0.4">
      <c r="C27" s="232">
        <v>2007</v>
      </c>
      <c r="D27" s="1457">
        <v>16.131120600290881</v>
      </c>
      <c r="G27" s="115" t="s">
        <v>5376</v>
      </c>
    </row>
    <row r="28" spans="3:7" x14ac:dyDescent="0.4">
      <c r="C28" s="232">
        <v>2008</v>
      </c>
      <c r="D28" s="1457">
        <v>15.134255008537972</v>
      </c>
      <c r="G28" s="115" t="s">
        <v>5377</v>
      </c>
    </row>
    <row r="29" spans="3:7" x14ac:dyDescent="0.4">
      <c r="C29" s="232">
        <v>2009</v>
      </c>
      <c r="D29" s="1457">
        <v>14.152998692716348</v>
      </c>
    </row>
    <row r="30" spans="3:7" x14ac:dyDescent="0.4">
      <c r="C30" s="232">
        <v>2010</v>
      </c>
      <c r="D30" s="1457">
        <v>14.575650762576911</v>
      </c>
    </row>
    <row r="31" spans="3:7" x14ac:dyDescent="0.4">
      <c r="C31" s="232">
        <v>2011</v>
      </c>
      <c r="D31" s="1457">
        <v>14.296141483714687</v>
      </c>
    </row>
    <row r="32" spans="3:7" x14ac:dyDescent="0.4">
      <c r="C32" s="232">
        <v>2012</v>
      </c>
      <c r="D32" s="1457">
        <v>13.877888237665772</v>
      </c>
    </row>
    <row r="33" spans="3:6" x14ac:dyDescent="0.4">
      <c r="C33" s="232">
        <v>2013</v>
      </c>
      <c r="D33" s="1457">
        <v>12.842633491790062</v>
      </c>
    </row>
    <row r="34" spans="3:6" x14ac:dyDescent="0.4">
      <c r="C34" s="232">
        <v>2014</v>
      </c>
      <c r="D34" s="1457">
        <v>12.28790196901692</v>
      </c>
    </row>
    <row r="35" spans="3:6" x14ac:dyDescent="0.4">
      <c r="C35" s="232">
        <v>2015</v>
      </c>
      <c r="D35" s="1457">
        <v>11.607081709134558</v>
      </c>
    </row>
    <row r="36" spans="3:6" x14ac:dyDescent="0.4">
      <c r="C36" s="232">
        <v>2016</v>
      </c>
      <c r="D36" s="1457">
        <v>11.605164816170866</v>
      </c>
    </row>
    <row r="37" spans="3:6" x14ac:dyDescent="0.4">
      <c r="C37" s="232">
        <v>2017</v>
      </c>
      <c r="D37" s="1457">
        <v>11.734001609649154</v>
      </c>
    </row>
    <row r="38" spans="3:6" x14ac:dyDescent="0.4">
      <c r="C38" s="232">
        <v>2018</v>
      </c>
      <c r="D38" s="1457">
        <v>11.924330640333146</v>
      </c>
    </row>
    <row r="39" spans="3:6" x14ac:dyDescent="0.4">
      <c r="C39" s="232">
        <v>2019</v>
      </c>
      <c r="D39" s="1457">
        <v>12.046444945978488</v>
      </c>
    </row>
    <row r="40" spans="3:6" x14ac:dyDescent="0.4">
      <c r="C40" s="232">
        <v>2020</v>
      </c>
      <c r="D40" s="1457">
        <v>12.790846486885876</v>
      </c>
    </row>
    <row r="41" spans="3:6" x14ac:dyDescent="0.4">
      <c r="C41" s="232">
        <v>2021</v>
      </c>
      <c r="D41" s="1457">
        <v>13.733396136461174</v>
      </c>
    </row>
    <row r="42" spans="3:6" x14ac:dyDescent="0.4">
      <c r="C42" s="232">
        <v>2022</v>
      </c>
      <c r="D42" s="1457">
        <v>14.080061161719213</v>
      </c>
    </row>
    <row r="43" spans="3:6" x14ac:dyDescent="0.4">
      <c r="C43" s="232">
        <v>2023</v>
      </c>
      <c r="D43" s="1457">
        <v>13.618787523609969</v>
      </c>
      <c r="F43" s="646"/>
    </row>
    <row r="44" spans="3:6" ht="17.45" customHeight="1" x14ac:dyDescent="0.4">
      <c r="C44" s="3185" t="s">
        <v>5378</v>
      </c>
      <c r="D44" s="3185"/>
    </row>
    <row r="45" spans="3:6" x14ac:dyDescent="0.4">
      <c r="C45" s="3068" t="s">
        <v>5379</v>
      </c>
      <c r="D45" s="3068"/>
    </row>
    <row r="46" spans="3:6" x14ac:dyDescent="0.4">
      <c r="C46" s="115" t="s">
        <v>5380</v>
      </c>
      <c r="D46" s="729"/>
    </row>
  </sheetData>
  <mergeCells count="12">
    <mergeCell ref="A5:B5"/>
    <mergeCell ref="C5:R5"/>
    <mergeCell ref="C1:D1"/>
    <mergeCell ref="A3:B3"/>
    <mergeCell ref="C3:R3"/>
    <mergeCell ref="A4:B4"/>
    <mergeCell ref="C4:R4"/>
    <mergeCell ref="A6:B6"/>
    <mergeCell ref="C6:R6"/>
    <mergeCell ref="C9:D9"/>
    <mergeCell ref="C44:D44"/>
    <mergeCell ref="C45:D45"/>
  </mergeCells>
  <hyperlinks>
    <hyperlink ref="A1" location="'ODS 9.'!A1" display="REGRESAR" xr:uid="{1D65E19F-E948-4F71-8E85-FAA958A65FFE}"/>
    <hyperlink ref="C1:D1" location="'Metadato 9.2.1'!A1" display="VER METADATO" xr:uid="{7D756D97-B937-4ADA-80FD-8B8F9328D6CD}"/>
  </hyperlinks>
  <pageMargins left="0.7" right="0.7" top="0.75" bottom="0.75" header="0.3" footer="0.3"/>
  <pageSetup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B03F-C29F-4AFD-BFF2-687F8289EEA1}">
  <sheetPr>
    <tabColor theme="0" tint="-0.499984740745262"/>
  </sheetPr>
  <dimension ref="A1:F36"/>
  <sheetViews>
    <sheetView showGridLines="0" zoomScaleNormal="100" workbookViewId="0">
      <pane ySplit="1" topLeftCell="A2" activePane="bottomLeft" state="frozen"/>
      <selection pane="bottomLeft" activeCell="E7" sqref="E7"/>
    </sheetView>
  </sheetViews>
  <sheetFormatPr baseColWidth="10" defaultColWidth="11.42578125" defaultRowHeight="18.75" x14ac:dyDescent="0.25"/>
  <cols>
    <col min="1" max="1" width="11.42578125" style="243"/>
    <col min="2" max="2" width="26.42578125" style="243" customWidth="1"/>
    <col min="3" max="3" width="24" style="243" customWidth="1"/>
    <col min="4" max="4" width="68.4257812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76</v>
      </c>
    </row>
    <row r="4" spans="1:6" ht="33" customHeight="1" x14ac:dyDescent="0.25">
      <c r="A4" s="1079"/>
      <c r="B4" s="2445" t="s">
        <v>234</v>
      </c>
      <c r="C4" s="2445"/>
      <c r="D4" s="49" t="s">
        <v>5368</v>
      </c>
    </row>
    <row r="5" spans="1:6" ht="75" x14ac:dyDescent="0.25">
      <c r="B5" s="2445" t="s">
        <v>79</v>
      </c>
      <c r="C5" s="2445"/>
      <c r="D5" s="49" t="s">
        <v>5337</v>
      </c>
    </row>
    <row r="6" spans="1:6" x14ac:dyDescent="0.25">
      <c r="B6" s="2445" t="s">
        <v>80</v>
      </c>
      <c r="C6" s="2445"/>
      <c r="D6" s="50" t="s">
        <v>5338</v>
      </c>
    </row>
    <row r="7" spans="1:6" ht="15" customHeight="1" x14ac:dyDescent="0.25">
      <c r="B7" s="2446" t="s">
        <v>81</v>
      </c>
      <c r="C7" s="2446"/>
      <c r="D7" s="93" t="s">
        <v>5339</v>
      </c>
    </row>
    <row r="8" spans="1:6" ht="15" customHeight="1" x14ac:dyDescent="0.25">
      <c r="B8" s="2446" t="s">
        <v>82</v>
      </c>
      <c r="C8" s="2446"/>
      <c r="D8" s="1047" t="s">
        <v>5381</v>
      </c>
    </row>
    <row r="9" spans="1:6" x14ac:dyDescent="0.4">
      <c r="B9" s="115"/>
      <c r="C9" s="115"/>
      <c r="D9" s="115"/>
    </row>
    <row r="10" spans="1:6" ht="19.5" x14ac:dyDescent="0.25">
      <c r="B10" s="3194" t="s">
        <v>85</v>
      </c>
      <c r="C10" s="3194"/>
      <c r="D10" s="3194"/>
    </row>
    <row r="11" spans="1:6" ht="18.75" customHeight="1" x14ac:dyDescent="0.25">
      <c r="B11" s="2487" t="s">
        <v>86</v>
      </c>
      <c r="C11" s="2456"/>
      <c r="D11" s="49" t="s">
        <v>1754</v>
      </c>
    </row>
    <row r="12" spans="1:6" ht="15" customHeight="1" x14ac:dyDescent="0.25">
      <c r="B12" s="2446" t="s">
        <v>88</v>
      </c>
      <c r="C12" s="2446"/>
      <c r="D12" s="184" t="s">
        <v>5382</v>
      </c>
    </row>
    <row r="13" spans="1:6" x14ac:dyDescent="0.25">
      <c r="B13" s="2445" t="s">
        <v>90</v>
      </c>
      <c r="C13" s="2445"/>
      <c r="D13" s="54" t="s">
        <v>5338</v>
      </c>
    </row>
    <row r="14" spans="1:6" x14ac:dyDescent="0.25">
      <c r="B14" s="2445" t="s">
        <v>91</v>
      </c>
      <c r="C14" s="2456"/>
      <c r="D14" s="54" t="s">
        <v>92</v>
      </c>
    </row>
    <row r="15" spans="1:6" ht="409.5" customHeight="1" x14ac:dyDescent="0.25">
      <c r="B15" s="2445" t="s">
        <v>93</v>
      </c>
      <c r="C15" s="2445"/>
      <c r="D15" s="55" t="s">
        <v>5383</v>
      </c>
    </row>
    <row r="16" spans="1:6" ht="72" customHeight="1" x14ac:dyDescent="0.4">
      <c r="B16" s="2445" t="s">
        <v>95</v>
      </c>
      <c r="C16" s="2445"/>
      <c r="D16" s="594" t="s">
        <v>5384</v>
      </c>
    </row>
    <row r="17" spans="2:4" x14ac:dyDescent="0.25">
      <c r="B17" s="2445" t="s">
        <v>97</v>
      </c>
      <c r="C17" s="2445"/>
      <c r="D17" s="55" t="s">
        <v>98</v>
      </c>
    </row>
    <row r="18" spans="2:4" x14ac:dyDescent="0.25">
      <c r="B18" s="2446" t="s">
        <v>99</v>
      </c>
      <c r="C18" s="2446"/>
      <c r="D18" s="49"/>
    </row>
    <row r="19" spans="2:4" ht="56.25" x14ac:dyDescent="0.25">
      <c r="B19" s="2457" t="s">
        <v>100</v>
      </c>
      <c r="C19" s="2458"/>
      <c r="D19" s="55" t="s">
        <v>5385</v>
      </c>
    </row>
    <row r="20" spans="2:4" x14ac:dyDescent="0.25">
      <c r="B20" s="2445" t="s">
        <v>102</v>
      </c>
      <c r="C20" s="2445"/>
      <c r="D20" s="55" t="s">
        <v>140</v>
      </c>
    </row>
    <row r="21" spans="2:4" x14ac:dyDescent="0.25">
      <c r="B21" s="2451" t="s">
        <v>104</v>
      </c>
      <c r="C21" s="95" t="s">
        <v>105</v>
      </c>
      <c r="D21" s="55" t="s">
        <v>2730</v>
      </c>
    </row>
    <row r="22" spans="2:4" x14ac:dyDescent="0.25">
      <c r="B22" s="2452"/>
      <c r="C22" s="96" t="s">
        <v>107</v>
      </c>
      <c r="D22" s="55"/>
    </row>
    <row r="23" spans="2:4" x14ac:dyDescent="0.25">
      <c r="B23" s="2445" t="s">
        <v>109</v>
      </c>
      <c r="C23" s="2445"/>
      <c r="D23" s="55" t="s">
        <v>143</v>
      </c>
    </row>
    <row r="24" spans="2:4" x14ac:dyDescent="0.25">
      <c r="B24" s="2445" t="s">
        <v>111</v>
      </c>
      <c r="C24" s="2445"/>
      <c r="D24" s="50" t="s">
        <v>3388</v>
      </c>
    </row>
    <row r="25" spans="2:4" x14ac:dyDescent="0.25">
      <c r="B25" s="2445" t="s">
        <v>113</v>
      </c>
      <c r="C25" s="2445"/>
      <c r="D25" s="55" t="s">
        <v>220</v>
      </c>
    </row>
    <row r="26" spans="2:4" ht="15" customHeight="1" x14ac:dyDescent="0.25">
      <c r="B26" s="2446" t="s">
        <v>115</v>
      </c>
      <c r="C26" s="2446"/>
      <c r="D26" s="50" t="s">
        <v>4983</v>
      </c>
    </row>
    <row r="27" spans="2:4" x14ac:dyDescent="0.25">
      <c r="B27" s="2447" t="s">
        <v>117</v>
      </c>
      <c r="C27" s="2448"/>
      <c r="D27" s="49"/>
    </row>
    <row r="28" spans="2:4" ht="75" x14ac:dyDescent="0.25">
      <c r="B28" s="97" t="s">
        <v>118</v>
      </c>
      <c r="C28" s="98"/>
      <c r="D28" s="55" t="s">
        <v>5386</v>
      </c>
    </row>
    <row r="29" spans="2:4" x14ac:dyDescent="0.25">
      <c r="B29" s="2449" t="s">
        <v>120</v>
      </c>
      <c r="C29" s="2450"/>
      <c r="D29" s="62"/>
    </row>
    <row r="30" spans="2:4" x14ac:dyDescent="0.25">
      <c r="B30" s="63"/>
      <c r="C30" s="63"/>
      <c r="D30" s="64"/>
    </row>
    <row r="31" spans="2:4" ht="19.5" x14ac:dyDescent="0.25">
      <c r="B31" s="3194" t="s">
        <v>121</v>
      </c>
      <c r="C31" s="3194"/>
      <c r="D31" s="3194"/>
    </row>
    <row r="32" spans="2:4" x14ac:dyDescent="0.25">
      <c r="B32" s="2447" t="s">
        <v>122</v>
      </c>
      <c r="C32" s="2448"/>
      <c r="D32" s="50" t="s">
        <v>4814</v>
      </c>
    </row>
    <row r="33" spans="2:4" x14ac:dyDescent="0.25">
      <c r="B33" s="2447" t="s">
        <v>124</v>
      </c>
      <c r="C33" s="2448"/>
      <c r="D33" s="50" t="s">
        <v>5027</v>
      </c>
    </row>
    <row r="34" spans="2:4" x14ac:dyDescent="0.25">
      <c r="B34" s="2447" t="s">
        <v>126</v>
      </c>
      <c r="C34" s="2448"/>
      <c r="D34" s="50" t="s">
        <v>3388</v>
      </c>
    </row>
    <row r="35" spans="2:4" x14ac:dyDescent="0.25">
      <c r="B35" s="2447" t="s">
        <v>128</v>
      </c>
      <c r="C35" s="2448"/>
      <c r="D35" s="50" t="s">
        <v>4985</v>
      </c>
    </row>
    <row r="36" spans="2:4" x14ac:dyDescent="0.25">
      <c r="B36" s="2447" t="s">
        <v>130</v>
      </c>
      <c r="C36" s="2448"/>
      <c r="D36" s="50" t="s">
        <v>5028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CE21974-B2BF-46A3-969F-85C860B5FF96}">
      <formula1>Tipo_operación</formula1>
    </dataValidation>
    <dataValidation type="list" allowBlank="1" showInputMessage="1" showErrorMessage="1" sqref="D14" xr:uid="{FB0FEB8D-0076-40BE-BB5A-F39EC1E51628}">
      <formula1>Tipo_indicador</formula1>
    </dataValidation>
    <dataValidation type="list" allowBlank="1" showInputMessage="1" showErrorMessage="1" sqref="D7" xr:uid="{EC691815-1080-4720-A732-AC6323F74A54}">
      <formula1>Nombre_indicador_ODS</formula1>
    </dataValidation>
    <dataValidation type="list" allowBlank="1" showInputMessage="1" showErrorMessage="1" sqref="D6" xr:uid="{58419A14-1782-49D0-B5C1-48190F3DE1F0}">
      <formula1>Numero_indicador</formula1>
    </dataValidation>
    <dataValidation type="list" allowBlank="1" showInputMessage="1" showErrorMessage="1" sqref="D5" xr:uid="{2897B7D1-BED2-408C-A9FD-113E9A9D7166}">
      <formula1>Metas_ODS</formula1>
    </dataValidation>
    <dataValidation type="list" allowBlank="1" showInputMessage="1" showErrorMessage="1" sqref="D4" xr:uid="{07764DA5-DF8E-4D3B-9A57-8C9FF98E108B}">
      <formula1>ODS</formula1>
    </dataValidation>
    <dataValidation allowBlank="1" showDropDown="1" showInputMessage="1" showErrorMessage="1" sqref="D13" xr:uid="{91774E6D-6207-48EC-A79C-4BB64DC10CD4}"/>
  </dataValidations>
  <hyperlinks>
    <hyperlink ref="B1" location="'9.2.1'!A1" display="REGRESAR" xr:uid="{877491C3-1009-4C7A-80CA-9378A2890CDB}"/>
    <hyperlink ref="D8" r:id="rId1" xr:uid="{83E8671D-521A-4B95-86F9-099BF6E41B08}"/>
  </hyperlinks>
  <pageMargins left="0.7" right="0.7" top="0.75" bottom="0.75" header="0.3" footer="0.3"/>
  <pageSetup orientation="portrait" r:id="rId2"/>
  <drawing r:id="rId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48961-8B36-4A86-8B9B-9BFC3DB2A29C}">
  <dimension ref="A1:S49"/>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2" width="15.7109375" style="155" customWidth="1"/>
    <col min="3" max="3" width="8.28515625" style="115" customWidth="1"/>
    <col min="4" max="5" width="8.7109375" style="115" customWidth="1"/>
    <col min="6" max="6" width="7.7109375" style="115" customWidth="1"/>
    <col min="7" max="28" width="11.5703125" style="115" customWidth="1"/>
    <col min="29" max="16384" width="11.42578125" style="115"/>
  </cols>
  <sheetData>
    <row r="1" spans="1:19" s="1032" customFormat="1" ht="19.5" x14ac:dyDescent="0.4">
      <c r="A1" s="68" t="s">
        <v>39</v>
      </c>
      <c r="B1" s="1432"/>
      <c r="C1" s="2421" t="s">
        <v>149</v>
      </c>
      <c r="D1" s="2421"/>
    </row>
    <row r="2" spans="1:19" s="1032" customFormat="1" ht="19.5" x14ac:dyDescent="0.4">
      <c r="A2" s="1432"/>
      <c r="B2" s="1432"/>
    </row>
    <row r="3" spans="1:19" s="1032" customFormat="1" ht="22.15" customHeight="1" x14ac:dyDescent="0.4">
      <c r="A3" s="3190" t="s">
        <v>41</v>
      </c>
      <c r="B3" s="3193"/>
      <c r="C3" s="3190" t="s">
        <v>5364</v>
      </c>
      <c r="D3" s="3195"/>
      <c r="E3" s="3195"/>
      <c r="F3" s="3195"/>
      <c r="G3" s="3195"/>
      <c r="H3" s="3195"/>
      <c r="I3" s="3195"/>
      <c r="J3" s="3195"/>
      <c r="K3" s="3195"/>
      <c r="L3" s="3195"/>
      <c r="M3" s="3195"/>
      <c r="N3" s="3195"/>
      <c r="O3" s="3195"/>
      <c r="P3" s="3195"/>
      <c r="Q3" s="3195"/>
      <c r="R3" s="3195"/>
      <c r="S3" s="3195"/>
    </row>
    <row r="4" spans="1:19" s="1032" customFormat="1" ht="37.15" customHeight="1" x14ac:dyDescent="0.4">
      <c r="A4" s="3190" t="s">
        <v>42</v>
      </c>
      <c r="B4" s="3191"/>
      <c r="C4" s="3190" t="s">
        <v>5337</v>
      </c>
      <c r="D4" s="3192"/>
      <c r="E4" s="3192"/>
      <c r="F4" s="3192"/>
      <c r="G4" s="3192"/>
      <c r="H4" s="3192"/>
      <c r="I4" s="3192"/>
      <c r="J4" s="3192"/>
      <c r="K4" s="3192"/>
      <c r="L4" s="3192"/>
      <c r="M4" s="3192"/>
      <c r="N4" s="3192"/>
      <c r="O4" s="3192"/>
      <c r="P4" s="3192"/>
      <c r="Q4" s="3192"/>
      <c r="R4" s="3192"/>
      <c r="S4" s="3192"/>
    </row>
    <row r="5" spans="1:19" s="1032" customFormat="1" ht="19.149999999999999" customHeight="1" x14ac:dyDescent="0.4">
      <c r="A5" s="3190" t="s">
        <v>43</v>
      </c>
      <c r="B5" s="3191"/>
      <c r="C5" s="3190" t="s">
        <v>5341</v>
      </c>
      <c r="D5" s="3192"/>
      <c r="E5" s="3192"/>
      <c r="F5" s="3192"/>
      <c r="G5" s="3192"/>
      <c r="H5" s="3192"/>
      <c r="I5" s="3192"/>
      <c r="J5" s="3192"/>
      <c r="K5" s="3192"/>
      <c r="L5" s="3192"/>
      <c r="M5" s="3192"/>
      <c r="N5" s="3192"/>
      <c r="O5" s="3192"/>
      <c r="P5" s="3192"/>
      <c r="Q5" s="3192"/>
      <c r="R5" s="3192"/>
      <c r="S5" s="3192"/>
    </row>
    <row r="6" spans="1:19" s="1032" customFormat="1" ht="18.600000000000001" customHeight="1" x14ac:dyDescent="0.4">
      <c r="A6" s="3190" t="s">
        <v>132</v>
      </c>
      <c r="B6" s="3191"/>
      <c r="C6" s="3190" t="s">
        <v>5387</v>
      </c>
      <c r="D6" s="3192"/>
      <c r="E6" s="3192"/>
      <c r="F6" s="3192"/>
      <c r="G6" s="3192"/>
      <c r="H6" s="3192"/>
      <c r="I6" s="3192"/>
      <c r="J6" s="3192"/>
      <c r="K6" s="3192"/>
      <c r="L6" s="3192"/>
      <c r="M6" s="3192"/>
      <c r="N6" s="3192"/>
      <c r="O6" s="3192"/>
      <c r="P6" s="3192"/>
      <c r="Q6" s="3192"/>
      <c r="R6" s="3192"/>
      <c r="S6" s="3192"/>
    </row>
    <row r="7" spans="1:19" s="1032" customFormat="1" ht="19.5" x14ac:dyDescent="0.4">
      <c r="A7" s="1432"/>
      <c r="B7" s="1432"/>
    </row>
    <row r="8" spans="1:19" s="1032" customFormat="1" ht="19.5" x14ac:dyDescent="0.4">
      <c r="A8" s="1432"/>
      <c r="B8" s="1432"/>
    </row>
    <row r="9" spans="1:19" s="1032" customFormat="1" ht="19.5" x14ac:dyDescent="0.4">
      <c r="A9" s="1432"/>
      <c r="B9" s="1432"/>
      <c r="C9" s="138" t="s">
        <v>5388</v>
      </c>
      <c r="D9" s="138"/>
      <c r="E9" s="138"/>
      <c r="F9" s="138"/>
      <c r="I9" s="1062" t="s">
        <v>8165</v>
      </c>
      <c r="J9" s="1062"/>
      <c r="K9" s="1062"/>
      <c r="L9" s="1062"/>
      <c r="M9" s="1062"/>
      <c r="N9" s="1062"/>
      <c r="O9" s="1062"/>
    </row>
    <row r="10" spans="1:19" s="1032" customFormat="1" ht="19.5" x14ac:dyDescent="0.4">
      <c r="A10" s="1432"/>
      <c r="B10" s="1432"/>
      <c r="C10" s="138" t="s">
        <v>5389</v>
      </c>
      <c r="D10" s="138"/>
      <c r="E10" s="138"/>
      <c r="F10" s="138"/>
      <c r="I10" s="867"/>
      <c r="J10" s="867"/>
      <c r="K10" s="867"/>
      <c r="L10" s="867"/>
      <c r="M10" s="867"/>
      <c r="N10" s="867"/>
      <c r="O10" s="867"/>
    </row>
    <row r="11" spans="1:19" s="1032" customFormat="1" ht="12.6" customHeight="1" x14ac:dyDescent="0.4">
      <c r="A11" s="1432"/>
      <c r="B11" s="1432"/>
      <c r="C11" s="138"/>
      <c r="D11" s="138"/>
      <c r="E11" s="138"/>
      <c r="F11" s="138"/>
      <c r="I11" s="867"/>
      <c r="J11" s="867"/>
      <c r="K11" s="867"/>
      <c r="L11" s="867"/>
      <c r="M11" s="867"/>
      <c r="N11" s="867"/>
      <c r="O11" s="867"/>
    </row>
    <row r="12" spans="1:19" x14ac:dyDescent="0.4">
      <c r="C12" s="3196" t="s">
        <v>46</v>
      </c>
      <c r="D12" s="3196" t="s">
        <v>154</v>
      </c>
      <c r="E12" s="3198" t="s">
        <v>48</v>
      </c>
      <c r="F12" s="3198"/>
      <c r="I12" s="339"/>
    </row>
    <row r="13" spans="1:19" ht="37.5" x14ac:dyDescent="0.4">
      <c r="C13" s="3197"/>
      <c r="D13" s="3197"/>
      <c r="E13" s="1563" t="s">
        <v>894</v>
      </c>
      <c r="F13" s="1563" t="s">
        <v>895</v>
      </c>
    </row>
    <row r="14" spans="1:19" x14ac:dyDescent="0.4">
      <c r="C14" s="232">
        <v>1990</v>
      </c>
      <c r="D14" s="1564">
        <v>18.308666116790079</v>
      </c>
      <c r="E14" s="1564">
        <v>16.219918409147326</v>
      </c>
      <c r="F14" s="1564">
        <v>23.500150203016336</v>
      </c>
    </row>
    <row r="15" spans="1:19" x14ac:dyDescent="0.4">
      <c r="C15" s="232">
        <v>1991</v>
      </c>
      <c r="D15" s="1564">
        <v>19.235586456046033</v>
      </c>
      <c r="E15" s="1564">
        <v>16.531667844240332</v>
      </c>
      <c r="F15" s="1564">
        <v>25.56317794270419</v>
      </c>
    </row>
    <row r="16" spans="1:19" x14ac:dyDescent="0.4">
      <c r="C16" s="232">
        <v>1992</v>
      </c>
      <c r="D16" s="1564">
        <v>19.231404488753746</v>
      </c>
      <c r="E16" s="1564">
        <v>17.352541430490991</v>
      </c>
      <c r="F16" s="1564">
        <v>23.641636833280462</v>
      </c>
    </row>
    <row r="17" spans="3:9" x14ac:dyDescent="0.4">
      <c r="C17" s="232">
        <v>1993</v>
      </c>
      <c r="D17" s="1564">
        <v>18.180985426549313</v>
      </c>
      <c r="E17" s="1564">
        <v>16.932697618764767</v>
      </c>
      <c r="F17" s="1564">
        <v>21.080057114576164</v>
      </c>
    </row>
    <row r="18" spans="3:9" x14ac:dyDescent="0.4">
      <c r="C18" s="232">
        <v>1994</v>
      </c>
      <c r="D18" s="1564">
        <v>18.013635293239215</v>
      </c>
      <c r="E18" s="1564">
        <v>16.767106415008858</v>
      </c>
      <c r="F18" s="1564">
        <v>20.860423071430688</v>
      </c>
    </row>
    <row r="19" spans="3:9" x14ac:dyDescent="0.4">
      <c r="C19" s="232">
        <v>1995</v>
      </c>
      <c r="D19" s="1564">
        <v>16.804402255022321</v>
      </c>
      <c r="E19" s="1564">
        <v>15.439444117062569</v>
      </c>
      <c r="F19" s="1564">
        <v>19.842065167930382</v>
      </c>
    </row>
    <row r="20" spans="3:9" x14ac:dyDescent="0.4">
      <c r="C20" s="232">
        <v>1996</v>
      </c>
      <c r="D20" s="1564">
        <v>17.015908944968857</v>
      </c>
      <c r="E20" s="1564">
        <v>16.707745646339394</v>
      </c>
      <c r="F20" s="1564">
        <v>17.721238295614437</v>
      </c>
    </row>
    <row r="21" spans="3:9" x14ac:dyDescent="0.4">
      <c r="C21" s="232">
        <v>1997</v>
      </c>
      <c r="D21" s="1564">
        <v>15.910547888598096</v>
      </c>
      <c r="E21" s="1564">
        <v>15.887408445461412</v>
      </c>
      <c r="F21" s="1564">
        <v>15.959737010531217</v>
      </c>
    </row>
    <row r="22" spans="3:9" x14ac:dyDescent="0.4">
      <c r="C22" s="232">
        <v>1998</v>
      </c>
      <c r="D22" s="1564">
        <v>15.97145751970343</v>
      </c>
      <c r="E22" s="1564">
        <v>15.483637799404404</v>
      </c>
      <c r="F22" s="1564">
        <v>16.955168172014019</v>
      </c>
    </row>
    <row r="23" spans="3:9" x14ac:dyDescent="0.4">
      <c r="C23" s="232">
        <v>1999</v>
      </c>
      <c r="D23" s="1564">
        <v>15.99950734553345</v>
      </c>
      <c r="E23" s="1564">
        <v>15.958477159706625</v>
      </c>
      <c r="F23" s="1564">
        <v>16.078690545214222</v>
      </c>
    </row>
    <row r="24" spans="3:9" x14ac:dyDescent="0.4">
      <c r="C24" s="232">
        <v>2000</v>
      </c>
      <c r="D24" s="1564">
        <v>14.872106194930373</v>
      </c>
      <c r="E24" s="1564">
        <v>14.788762569267364</v>
      </c>
      <c r="F24" s="1564">
        <v>15.049784271696574</v>
      </c>
    </row>
    <row r="25" spans="3:9" x14ac:dyDescent="0.4">
      <c r="C25" s="232">
        <v>2001</v>
      </c>
      <c r="D25" s="1564">
        <v>14.953146259046573</v>
      </c>
      <c r="E25" s="1564">
        <v>14.564816837741844</v>
      </c>
      <c r="F25" s="1564">
        <v>15.70954597493372</v>
      </c>
    </row>
    <row r="26" spans="3:9" x14ac:dyDescent="0.4">
      <c r="C26" s="232">
        <v>2002</v>
      </c>
      <c r="D26" s="1564">
        <v>14.131560909073205</v>
      </c>
      <c r="E26" s="1564">
        <v>14.453065889816596</v>
      </c>
      <c r="F26" s="1564">
        <v>13.507017881176697</v>
      </c>
      <c r="I26" s="155" t="s">
        <v>8163</v>
      </c>
    </row>
    <row r="27" spans="3:9" x14ac:dyDescent="0.4">
      <c r="C27" s="232">
        <v>2003</v>
      </c>
      <c r="D27" s="1564">
        <v>13.835417599187098</v>
      </c>
      <c r="E27" s="1564">
        <v>14.134546142938806</v>
      </c>
      <c r="F27" s="1564">
        <v>13.259782956146571</v>
      </c>
    </row>
    <row r="28" spans="3:9" x14ac:dyDescent="0.4">
      <c r="C28" s="232">
        <v>2004</v>
      </c>
      <c r="D28" s="1564">
        <v>13.768186605887673</v>
      </c>
      <c r="E28" s="1564">
        <v>14.760736430203334</v>
      </c>
      <c r="F28" s="1564">
        <v>11.777556087934814</v>
      </c>
    </row>
    <row r="29" spans="3:9" x14ac:dyDescent="0.4">
      <c r="C29" s="232">
        <v>2005</v>
      </c>
      <c r="D29" s="1564">
        <v>13.515256525703801</v>
      </c>
      <c r="E29" s="1564">
        <v>14.730969900829827</v>
      </c>
      <c r="F29" s="1564">
        <v>11.216923033891806</v>
      </c>
    </row>
    <row r="30" spans="3:9" x14ac:dyDescent="0.4">
      <c r="C30" s="232">
        <v>2006</v>
      </c>
      <c r="D30" s="1564">
        <v>13.199298909346899</v>
      </c>
      <c r="E30" s="1564">
        <v>14.073069766770995</v>
      </c>
      <c r="F30" s="1564">
        <v>11.560120457381515</v>
      </c>
    </row>
    <row r="31" spans="3:9" x14ac:dyDescent="0.4">
      <c r="C31" s="232">
        <v>2007</v>
      </c>
      <c r="D31" s="1564">
        <v>12.919176926293966</v>
      </c>
      <c r="E31" s="1564">
        <v>13.783972646980583</v>
      </c>
      <c r="F31" s="1564">
        <v>11.330816204255013</v>
      </c>
    </row>
    <row r="32" spans="3:9" x14ac:dyDescent="0.4">
      <c r="C32" s="232">
        <v>2008</v>
      </c>
      <c r="D32" s="1564">
        <v>11.956287052861866</v>
      </c>
      <c r="E32" s="1564">
        <v>12.481330451017</v>
      </c>
      <c r="F32" s="1564">
        <v>11.041385755766253</v>
      </c>
    </row>
    <row r="33" spans="1:6" x14ac:dyDescent="0.4">
      <c r="C33" s="232">
        <v>2009</v>
      </c>
      <c r="D33" s="1564">
        <v>11.659196867562901</v>
      </c>
      <c r="E33" s="1564">
        <v>12.684229179762207</v>
      </c>
      <c r="F33" s="1564">
        <v>9.8806346812090275</v>
      </c>
    </row>
    <row r="34" spans="1:6" x14ac:dyDescent="0.4">
      <c r="C34" s="232">
        <v>2010</v>
      </c>
      <c r="D34" s="818">
        <v>10.771633347028517</v>
      </c>
      <c r="E34" s="818">
        <v>11.090861078160563</v>
      </c>
      <c r="F34" s="818">
        <v>10.220561526695022</v>
      </c>
    </row>
    <row r="35" spans="1:6" x14ac:dyDescent="0.4">
      <c r="C35" s="232">
        <v>2011</v>
      </c>
      <c r="D35" s="818">
        <v>11.021340235049886</v>
      </c>
      <c r="E35" s="818">
        <v>12.234970212986184</v>
      </c>
      <c r="F35" s="818">
        <v>8.8764575354549962</v>
      </c>
    </row>
    <row r="36" spans="1:6" x14ac:dyDescent="0.4">
      <c r="C36" s="232">
        <v>2012</v>
      </c>
      <c r="D36" s="818">
        <v>9.9408918922350189</v>
      </c>
      <c r="E36" s="818">
        <v>10.956178910699686</v>
      </c>
      <c r="F36" s="818">
        <v>8.3052719882792196</v>
      </c>
    </row>
    <row r="37" spans="1:6" x14ac:dyDescent="0.4">
      <c r="C37" s="232">
        <v>2013</v>
      </c>
      <c r="D37" s="818">
        <v>8.9456337586730683</v>
      </c>
      <c r="E37" s="818">
        <v>10.084235628205468</v>
      </c>
      <c r="F37" s="818">
        <v>7.1352737504226562</v>
      </c>
    </row>
    <row r="38" spans="1:6" x14ac:dyDescent="0.4">
      <c r="C38" s="232">
        <v>2014</v>
      </c>
      <c r="D38" s="818">
        <v>9.3023754296333738</v>
      </c>
      <c r="E38" s="818">
        <v>10.162402685279668</v>
      </c>
      <c r="F38" s="818">
        <v>7.9000041095248914</v>
      </c>
    </row>
    <row r="39" spans="1:6" x14ac:dyDescent="0.4">
      <c r="C39" s="232">
        <v>2015</v>
      </c>
      <c r="D39" s="818">
        <v>10.856721778504513</v>
      </c>
      <c r="E39" s="818">
        <v>12.361144192227053</v>
      </c>
      <c r="F39" s="818">
        <v>8.3980972563230054</v>
      </c>
    </row>
    <row r="40" spans="1:6" x14ac:dyDescent="0.4">
      <c r="C40" s="232">
        <v>2016</v>
      </c>
      <c r="D40" s="818">
        <v>10.216646868322913</v>
      </c>
      <c r="E40" s="818">
        <v>11.51575058252137</v>
      </c>
      <c r="F40" s="818">
        <v>7.9746437802825172</v>
      </c>
    </row>
    <row r="41" spans="1:6" x14ac:dyDescent="0.4">
      <c r="C41" s="232">
        <v>2017</v>
      </c>
      <c r="D41" s="818">
        <v>10.016956843231286</v>
      </c>
      <c r="E41" s="818">
        <v>10.937200022930512</v>
      </c>
      <c r="F41" s="818">
        <v>8.425903660340321</v>
      </c>
    </row>
    <row r="42" spans="1:6" x14ac:dyDescent="0.4">
      <c r="C42" s="232">
        <v>2018</v>
      </c>
      <c r="D42" s="542">
        <v>10.803688146609495</v>
      </c>
      <c r="E42" s="542">
        <v>11.60693099954181</v>
      </c>
      <c r="F42" s="542">
        <v>9.4501755804459666</v>
      </c>
    </row>
    <row r="43" spans="1:6" x14ac:dyDescent="0.4">
      <c r="C43" s="232">
        <v>2019</v>
      </c>
      <c r="D43" s="542">
        <v>10.37001551194475</v>
      </c>
      <c r="E43" s="542">
        <v>11.476913994968164</v>
      </c>
      <c r="F43" s="542">
        <v>8.6144288063698156</v>
      </c>
    </row>
    <row r="44" spans="1:6" x14ac:dyDescent="0.4">
      <c r="C44" s="232">
        <v>2020</v>
      </c>
      <c r="D44" s="542">
        <v>10.4</v>
      </c>
      <c r="E44" s="542">
        <v>11.4</v>
      </c>
      <c r="F44" s="542">
        <v>8.6</v>
      </c>
    </row>
    <row r="45" spans="1:6" x14ac:dyDescent="0.4">
      <c r="C45" s="232">
        <v>2021</v>
      </c>
      <c r="D45" s="542">
        <v>10.380266610191427</v>
      </c>
      <c r="E45" s="542">
        <v>11.470290717301152</v>
      </c>
      <c r="F45" s="542">
        <v>8.5706209476463702</v>
      </c>
    </row>
    <row r="46" spans="1:6" x14ac:dyDescent="0.4">
      <c r="C46" s="232">
        <v>2022</v>
      </c>
      <c r="D46" s="818">
        <v>11.578657977495439</v>
      </c>
      <c r="E46" s="818">
        <v>12.253420317809731</v>
      </c>
      <c r="F46" s="818">
        <v>10.496391620800171</v>
      </c>
    </row>
    <row r="47" spans="1:6" x14ac:dyDescent="0.4">
      <c r="C47" s="2375">
        <v>2023</v>
      </c>
      <c r="D47" s="542">
        <v>12.4204562786105</v>
      </c>
      <c r="E47" s="542">
        <v>12.857318036508195</v>
      </c>
      <c r="F47" s="542">
        <v>11.683831612030241</v>
      </c>
    </row>
    <row r="48" spans="1:6" s="2371" customFormat="1" x14ac:dyDescent="0.4">
      <c r="A48" s="2374"/>
      <c r="B48" s="2374"/>
      <c r="C48" s="2375">
        <v>2024</v>
      </c>
      <c r="D48" s="818">
        <v>11.211378389530879</v>
      </c>
      <c r="E48" s="818">
        <v>11.690018491308788</v>
      </c>
      <c r="F48" s="818">
        <v>10.461995968094545</v>
      </c>
    </row>
    <row r="49" spans="3:6" x14ac:dyDescent="0.4">
      <c r="C49" s="2402" t="s">
        <v>8164</v>
      </c>
      <c r="D49" s="2388"/>
      <c r="E49" s="2388"/>
      <c r="F49" s="2388"/>
    </row>
  </sheetData>
  <mergeCells count="12">
    <mergeCell ref="A5:B5"/>
    <mergeCell ref="C5:S5"/>
    <mergeCell ref="A6:B6"/>
    <mergeCell ref="C6:S6"/>
    <mergeCell ref="C12:C13"/>
    <mergeCell ref="D12:D13"/>
    <mergeCell ref="E12:F12"/>
    <mergeCell ref="C1:D1"/>
    <mergeCell ref="A3:B3"/>
    <mergeCell ref="C3:S3"/>
    <mergeCell ref="A4:B4"/>
    <mergeCell ref="C4:S4"/>
  </mergeCells>
  <hyperlinks>
    <hyperlink ref="A1" location="'ODS 9.'!A1" display="REGRESAR" xr:uid="{A40F126A-2DC3-476B-8965-5EA1B0ABBCAC}"/>
    <hyperlink ref="C1:D1" location="'Metadato 9.2.2'!A1" display="VER METADATO" xr:uid="{0D414523-84BA-419B-9729-63D1024D91BA}"/>
  </hyperlinks>
  <pageMargins left="0.7" right="0.7" top="0.75" bottom="0.75" header="0.3" footer="0.3"/>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0933-7764-4D16-917E-9C28808A99AA}">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8.28515625" style="243" customWidth="1"/>
    <col min="2" max="2" width="26.42578125" style="243" customWidth="1"/>
    <col min="3" max="3" width="24" style="243" customWidth="1"/>
    <col min="4" max="4" width="95.42578125" style="243" customWidth="1"/>
    <col min="5" max="5" width="4.42578125" style="243" bestFit="1" customWidth="1"/>
    <col min="6" max="6" width="7.28515625" style="243" customWidth="1"/>
    <col min="7" max="25" width="4.42578125" style="243" bestFit="1" customWidth="1"/>
    <col min="26"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76</v>
      </c>
    </row>
    <row r="4" spans="1:6" x14ac:dyDescent="0.25">
      <c r="A4" s="1079"/>
      <c r="B4" s="2445" t="s">
        <v>234</v>
      </c>
      <c r="C4" s="2445"/>
      <c r="D4" s="49" t="s">
        <v>5368</v>
      </c>
    </row>
    <row r="5" spans="1:6" ht="56.25" x14ac:dyDescent="0.25">
      <c r="B5" s="2445" t="s">
        <v>79</v>
      </c>
      <c r="C5" s="2445"/>
      <c r="D5" s="49" t="s">
        <v>5337</v>
      </c>
    </row>
    <row r="6" spans="1:6" x14ac:dyDescent="0.25">
      <c r="B6" s="2445" t="s">
        <v>80</v>
      </c>
      <c r="C6" s="2445"/>
      <c r="D6" s="50" t="s">
        <v>5340</v>
      </c>
    </row>
    <row r="7" spans="1:6" ht="20.25" customHeight="1" x14ac:dyDescent="0.25">
      <c r="B7" s="2446" t="s">
        <v>81</v>
      </c>
      <c r="C7" s="2446"/>
      <c r="D7" s="93" t="s">
        <v>5341</v>
      </c>
    </row>
    <row r="8" spans="1:6" x14ac:dyDescent="0.25">
      <c r="B8" s="2446" t="s">
        <v>82</v>
      </c>
      <c r="C8" s="2446"/>
      <c r="D8" s="1047" t="s">
        <v>5390</v>
      </c>
    </row>
    <row r="9" spans="1:6" ht="20.25" customHeight="1" x14ac:dyDescent="0.4">
      <c r="B9" s="115"/>
      <c r="C9" s="115"/>
      <c r="D9" s="115"/>
    </row>
    <row r="10" spans="1:6" ht="23.25" customHeight="1" x14ac:dyDescent="0.25">
      <c r="B10" s="3194" t="s">
        <v>85</v>
      </c>
      <c r="C10" s="3194"/>
      <c r="D10" s="3194"/>
    </row>
    <row r="11" spans="1:6" ht="18" customHeight="1" x14ac:dyDescent="0.25">
      <c r="B11" s="2487" t="s">
        <v>86</v>
      </c>
      <c r="C11" s="2456"/>
      <c r="D11" s="49" t="s">
        <v>167</v>
      </c>
    </row>
    <row r="12" spans="1:6" ht="15" customHeight="1" x14ac:dyDescent="0.25">
      <c r="B12" s="2446" t="s">
        <v>88</v>
      </c>
      <c r="C12" s="2446"/>
      <c r="D12" s="184" t="s">
        <v>5391</v>
      </c>
    </row>
    <row r="13" spans="1:6" x14ac:dyDescent="0.25">
      <c r="B13" s="2445" t="s">
        <v>90</v>
      </c>
      <c r="C13" s="2445"/>
      <c r="D13" s="55" t="s">
        <v>5340</v>
      </c>
    </row>
    <row r="14" spans="1:6" x14ac:dyDescent="0.25">
      <c r="B14" s="2445" t="s">
        <v>91</v>
      </c>
      <c r="C14" s="2456"/>
      <c r="D14" s="54" t="s">
        <v>92</v>
      </c>
    </row>
    <row r="15" spans="1:6" ht="153.75" customHeight="1" x14ac:dyDescent="0.25">
      <c r="B15" s="2445" t="s">
        <v>93</v>
      </c>
      <c r="C15" s="2445"/>
      <c r="D15" s="55" t="s">
        <v>5392</v>
      </c>
    </row>
    <row r="16" spans="1:6" ht="74.25" customHeight="1" x14ac:dyDescent="0.25">
      <c r="B16" s="2445" t="s">
        <v>95</v>
      </c>
      <c r="C16" s="2445"/>
      <c r="D16" s="55"/>
    </row>
    <row r="17" spans="2:4" ht="15" customHeight="1" x14ac:dyDescent="0.25">
      <c r="B17" s="2445" t="s">
        <v>97</v>
      </c>
      <c r="C17" s="2445"/>
      <c r="D17" s="55" t="s">
        <v>98</v>
      </c>
    </row>
    <row r="18" spans="2:4" x14ac:dyDescent="0.25">
      <c r="B18" s="2446" t="s">
        <v>99</v>
      </c>
      <c r="C18" s="2446"/>
      <c r="D18" s="49"/>
    </row>
    <row r="19" spans="2:4" ht="31.5" customHeight="1" x14ac:dyDescent="0.25">
      <c r="B19" s="2457" t="s">
        <v>100</v>
      </c>
      <c r="C19" s="2458"/>
      <c r="D19" s="55" t="s">
        <v>5393</v>
      </c>
    </row>
    <row r="20" spans="2:4" x14ac:dyDescent="0.25">
      <c r="B20" s="2445" t="s">
        <v>102</v>
      </c>
      <c r="C20" s="2445"/>
      <c r="D20" s="55" t="s">
        <v>1521</v>
      </c>
    </row>
    <row r="21" spans="2:4" x14ac:dyDescent="0.25">
      <c r="B21" s="2451" t="s">
        <v>104</v>
      </c>
      <c r="C21" s="95" t="s">
        <v>105</v>
      </c>
      <c r="D21" s="49"/>
    </row>
    <row r="22" spans="2:4" x14ac:dyDescent="0.25">
      <c r="B22" s="2452"/>
      <c r="C22" s="96" t="s">
        <v>107</v>
      </c>
      <c r="D22" s="55" t="s">
        <v>5024</v>
      </c>
    </row>
    <row r="23" spans="2:4" x14ac:dyDescent="0.25">
      <c r="B23" s="2445" t="s">
        <v>109</v>
      </c>
      <c r="C23" s="2445"/>
      <c r="D23" s="55" t="s">
        <v>612</v>
      </c>
    </row>
    <row r="24" spans="2:4" x14ac:dyDescent="0.25">
      <c r="B24" s="2445" t="s">
        <v>111</v>
      </c>
      <c r="C24" s="2445"/>
      <c r="D24" s="50" t="s">
        <v>127</v>
      </c>
    </row>
    <row r="25" spans="2:4" x14ac:dyDescent="0.25">
      <c r="B25" s="2445" t="s">
        <v>113</v>
      </c>
      <c r="C25" s="2445"/>
      <c r="D25" s="55" t="s">
        <v>5025</v>
      </c>
    </row>
    <row r="26" spans="2:4" ht="15" customHeight="1" x14ac:dyDescent="0.25">
      <c r="B26" s="2446" t="s">
        <v>115</v>
      </c>
      <c r="C26" s="2446"/>
      <c r="D26" s="50" t="s">
        <v>614</v>
      </c>
    </row>
    <row r="27" spans="2:4" x14ac:dyDescent="0.25">
      <c r="B27" s="2447" t="s">
        <v>117</v>
      </c>
      <c r="C27" s="2448"/>
      <c r="D27" s="49"/>
    </row>
    <row r="28" spans="2:4" ht="209.25" customHeight="1" x14ac:dyDescent="0.25">
      <c r="B28" s="97" t="s">
        <v>118</v>
      </c>
      <c r="C28" s="98"/>
      <c r="D28" s="55" t="s">
        <v>615</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9" t="s">
        <v>8145</v>
      </c>
    </row>
    <row r="33" spans="2:4" x14ac:dyDescent="0.25">
      <c r="B33" s="2447" t="s">
        <v>124</v>
      </c>
      <c r="C33" s="2448"/>
      <c r="D33" s="59" t="s">
        <v>8146</v>
      </c>
    </row>
    <row r="34" spans="2:4" x14ac:dyDescent="0.25">
      <c r="B34" s="2447" t="s">
        <v>126</v>
      </c>
      <c r="C34" s="2448"/>
      <c r="D34" s="59" t="s">
        <v>127</v>
      </c>
    </row>
    <row r="35" spans="2:4" x14ac:dyDescent="0.25">
      <c r="B35" s="2447" t="s">
        <v>128</v>
      </c>
      <c r="C35" s="2448"/>
      <c r="D35" s="59" t="s">
        <v>8147</v>
      </c>
    </row>
    <row r="36" spans="2:4" x14ac:dyDescent="0.25">
      <c r="B36" s="2447" t="s">
        <v>130</v>
      </c>
      <c r="C36" s="244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55BDEC59-1252-4687-A1FA-DB432C20A783}">
      <formula1>Tipo_operación</formula1>
    </dataValidation>
    <dataValidation type="list" allowBlank="1" showInputMessage="1" showErrorMessage="1" sqref="D14" xr:uid="{837450A4-6151-400D-A0C0-8B81628DB056}">
      <formula1>Tipo_indicador</formula1>
    </dataValidation>
    <dataValidation type="list" allowBlank="1" showInputMessage="1" showErrorMessage="1" sqref="D7" xr:uid="{38E3F4D9-8734-430B-A65C-9C76F2352287}">
      <formula1>Nombre_indicador_ODS</formula1>
    </dataValidation>
    <dataValidation type="list" allowBlank="1" showInputMessage="1" showErrorMessage="1" sqref="D6" xr:uid="{CFC6AFB6-F0E5-40A9-93BC-3E226ECE0AF1}">
      <formula1>Numero_indicador</formula1>
    </dataValidation>
    <dataValidation type="list" allowBlank="1" showInputMessage="1" showErrorMessage="1" sqref="D5" xr:uid="{19969E0B-7832-44AD-99C8-FBBB8C6096C8}">
      <formula1>Metas_ODS</formula1>
    </dataValidation>
    <dataValidation type="list" allowBlank="1" showInputMessage="1" showErrorMessage="1" sqref="D4" xr:uid="{1B98723E-6E52-4F0E-8083-74F5C91A0390}">
      <formula1>ODS</formula1>
    </dataValidation>
  </dataValidations>
  <hyperlinks>
    <hyperlink ref="B1" location="'9.2.2'!A1" display="REGRESAR" xr:uid="{08CC86D3-AC06-45C3-B791-7928C31BEE43}"/>
    <hyperlink ref="D8" r:id="rId1" xr:uid="{6ECDA01A-6C15-4E75-9749-3DCAF47BF7F8}"/>
    <hyperlink ref="D36" r:id="rId2" display="braulio.villegas@inec.go.cr" xr:uid="{ECD82BB8-843C-4261-A3C2-1C0D19104A35}"/>
  </hyperlinks>
  <pageMargins left="0.7" right="0.7" top="0.75" bottom="0.75" header="0.3" footer="0.3"/>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45C2F-0918-4224-905E-A25D20A06349}">
  <dimension ref="A1:R36"/>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42578125" style="115" customWidth="1"/>
    <col min="3" max="3" width="11.42578125" style="115"/>
    <col min="4" max="4" width="16" style="115" customWidth="1"/>
    <col min="5" max="16384" width="11.42578125" style="115"/>
  </cols>
  <sheetData>
    <row r="1" spans="1:18" x14ac:dyDescent="0.4">
      <c r="A1" s="90" t="s">
        <v>39</v>
      </c>
      <c r="C1" s="2541" t="s">
        <v>149</v>
      </c>
      <c r="D1" s="2541"/>
    </row>
    <row r="3" spans="1:18" ht="15" customHeight="1" x14ac:dyDescent="0.4">
      <c r="A3" s="3199" t="s">
        <v>41</v>
      </c>
      <c r="B3" s="3202"/>
      <c r="C3" s="3199" t="s">
        <v>5364</v>
      </c>
      <c r="D3" s="3203"/>
      <c r="E3" s="3203"/>
      <c r="F3" s="3203"/>
      <c r="G3" s="3203"/>
      <c r="H3" s="3203"/>
      <c r="I3" s="3203"/>
      <c r="J3" s="3203"/>
      <c r="K3" s="3203"/>
      <c r="L3" s="3203"/>
      <c r="M3" s="3203"/>
      <c r="N3" s="3203"/>
      <c r="O3" s="3203"/>
      <c r="P3" s="3203"/>
      <c r="Q3" s="3203"/>
      <c r="R3" s="3203"/>
    </row>
    <row r="4" spans="1:18" ht="15" customHeight="1" x14ac:dyDescent="0.4">
      <c r="A4" s="3199" t="s">
        <v>42</v>
      </c>
      <c r="B4" s="3200"/>
      <c r="C4" s="3199" t="s">
        <v>5342</v>
      </c>
      <c r="D4" s="3201"/>
      <c r="E4" s="3201"/>
      <c r="F4" s="3201"/>
      <c r="G4" s="3201"/>
      <c r="H4" s="3201"/>
      <c r="I4" s="3201"/>
      <c r="J4" s="3201"/>
      <c r="K4" s="3201"/>
      <c r="L4" s="3201"/>
      <c r="M4" s="3201"/>
      <c r="N4" s="3201"/>
      <c r="O4" s="3201"/>
      <c r="P4" s="3201"/>
      <c r="Q4" s="3201"/>
      <c r="R4" s="3201"/>
    </row>
    <row r="5" spans="1:18" ht="15" customHeight="1" x14ac:dyDescent="0.4">
      <c r="A5" s="3199" t="s">
        <v>43</v>
      </c>
      <c r="B5" s="3200"/>
      <c r="C5" s="3199" t="s">
        <v>5344</v>
      </c>
      <c r="D5" s="3201"/>
      <c r="E5" s="3201"/>
      <c r="F5" s="3201"/>
      <c r="G5" s="3201"/>
      <c r="H5" s="3201"/>
      <c r="I5" s="3201"/>
      <c r="J5" s="3201"/>
      <c r="K5" s="3201"/>
      <c r="L5" s="3201"/>
      <c r="M5" s="3201"/>
      <c r="N5" s="3201"/>
      <c r="O5" s="3201"/>
      <c r="P5" s="3201"/>
      <c r="Q5" s="3201"/>
      <c r="R5" s="3201"/>
    </row>
    <row r="6" spans="1:18" ht="15" customHeight="1" x14ac:dyDescent="0.4">
      <c r="A6" s="3199" t="s">
        <v>132</v>
      </c>
      <c r="B6" s="3200"/>
      <c r="C6" s="3199" t="s">
        <v>5394</v>
      </c>
      <c r="D6" s="3201"/>
      <c r="E6" s="3201"/>
      <c r="F6" s="3201"/>
      <c r="G6" s="3201"/>
      <c r="H6" s="3201"/>
      <c r="I6" s="3201"/>
      <c r="J6" s="3201"/>
      <c r="K6" s="3201"/>
      <c r="L6" s="3201"/>
      <c r="M6" s="3201"/>
      <c r="N6" s="3201"/>
      <c r="O6" s="3201"/>
      <c r="P6" s="3201"/>
      <c r="Q6" s="3201"/>
      <c r="R6" s="3201"/>
    </row>
    <row r="9" spans="1:18" x14ac:dyDescent="0.4">
      <c r="C9" s="226" t="s">
        <v>5394</v>
      </c>
      <c r="D9" s="226"/>
    </row>
    <row r="10" spans="1:18" ht="6.6" customHeight="1" x14ac:dyDescent="0.4">
      <c r="C10" s="226"/>
      <c r="D10" s="226"/>
    </row>
    <row r="11" spans="1:18" x14ac:dyDescent="0.4">
      <c r="C11" s="1561" t="s">
        <v>46</v>
      </c>
      <c r="D11" s="1561" t="s">
        <v>98</v>
      </c>
    </row>
    <row r="12" spans="1:18" x14ac:dyDescent="0.4">
      <c r="C12" s="536">
        <v>2013</v>
      </c>
      <c r="D12" s="1382">
        <v>33.049999999999997</v>
      </c>
    </row>
    <row r="13" spans="1:18" x14ac:dyDescent="0.4">
      <c r="C13" s="824">
        <v>2017</v>
      </c>
      <c r="D13" s="1388">
        <v>35.369999999999997</v>
      </c>
    </row>
    <row r="14" spans="1:18" x14ac:dyDescent="0.4">
      <c r="A14" s="536"/>
      <c r="C14" s="243" t="s">
        <v>5395</v>
      </c>
      <c r="D14" s="243"/>
    </row>
    <row r="15" spans="1:18" x14ac:dyDescent="0.4">
      <c r="A15" s="536"/>
    </row>
    <row r="16" spans="1:18" x14ac:dyDescent="0.4">
      <c r="A16" s="536"/>
    </row>
    <row r="17" spans="1:1" x14ac:dyDescent="0.4">
      <c r="A17" s="536"/>
    </row>
    <row r="18" spans="1:1" x14ac:dyDescent="0.4">
      <c r="A18" s="536"/>
    </row>
    <row r="19" spans="1:1" x14ac:dyDescent="0.4">
      <c r="A19" s="536"/>
    </row>
    <row r="20" spans="1:1" x14ac:dyDescent="0.4">
      <c r="A20" s="536"/>
    </row>
    <row r="21" spans="1:1" x14ac:dyDescent="0.4">
      <c r="A21" s="536"/>
    </row>
    <row r="22" spans="1:1" x14ac:dyDescent="0.4">
      <c r="A22" s="536"/>
    </row>
    <row r="23" spans="1:1" x14ac:dyDescent="0.4">
      <c r="A23" s="536"/>
    </row>
    <row r="24" spans="1:1" x14ac:dyDescent="0.4">
      <c r="A24" s="536"/>
    </row>
    <row r="25" spans="1:1" x14ac:dyDescent="0.4">
      <c r="A25" s="536"/>
    </row>
    <row r="26" spans="1:1" x14ac:dyDescent="0.4">
      <c r="A26" s="536"/>
    </row>
    <row r="27" spans="1:1" x14ac:dyDescent="0.4">
      <c r="A27" s="536"/>
    </row>
    <row r="28" spans="1:1" x14ac:dyDescent="0.4">
      <c r="A28" s="536"/>
    </row>
    <row r="29" spans="1:1" x14ac:dyDescent="0.4">
      <c r="A29" s="536"/>
    </row>
    <row r="30" spans="1:1" x14ac:dyDescent="0.4">
      <c r="A30" s="536"/>
    </row>
    <row r="31" spans="1:1" x14ac:dyDescent="0.4">
      <c r="A31" s="536"/>
    </row>
    <row r="32" spans="1:1" x14ac:dyDescent="0.4">
      <c r="A32" s="536"/>
    </row>
    <row r="33" spans="1:1" x14ac:dyDescent="0.4">
      <c r="A33" s="536"/>
    </row>
    <row r="34" spans="1:1" x14ac:dyDescent="0.4">
      <c r="A34" s="536"/>
    </row>
    <row r="35" spans="1:1" x14ac:dyDescent="0.4">
      <c r="A35" s="536"/>
    </row>
    <row r="36" spans="1:1" x14ac:dyDescent="0.4">
      <c r="A36" s="536"/>
    </row>
  </sheetData>
  <mergeCells count="9">
    <mergeCell ref="A6:B6"/>
    <mergeCell ref="C6:R6"/>
    <mergeCell ref="C1:D1"/>
    <mergeCell ref="A3:B3"/>
    <mergeCell ref="C3:R3"/>
    <mergeCell ref="A4:B4"/>
    <mergeCell ref="C4:R4"/>
    <mergeCell ref="A5:B5"/>
    <mergeCell ref="C5:R5"/>
  </mergeCells>
  <hyperlinks>
    <hyperlink ref="A1" location="'ODS 9.'!A1" display="REGRESAR" xr:uid="{A3126B37-AD64-4CC8-89B9-2AF12B530C23}"/>
    <hyperlink ref="C1:D1" location="'Metadato 9.3.1'!A1" display="VER METADATO" xr:uid="{FB644E4A-99C0-415F-94C1-BC11BBBEE567}"/>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AE853-9153-4AA9-885C-2477AAE17B73}">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265</v>
      </c>
    </row>
    <row r="4" spans="1:6" ht="37.5" x14ac:dyDescent="0.25">
      <c r="A4" s="1079"/>
      <c r="B4" s="2445" t="s">
        <v>234</v>
      </c>
      <c r="C4" s="2445"/>
      <c r="D4" s="49" t="s">
        <v>5368</v>
      </c>
    </row>
    <row r="5" spans="1:6" ht="37.5" x14ac:dyDescent="0.25">
      <c r="B5" s="2445" t="s">
        <v>79</v>
      </c>
      <c r="C5" s="2445"/>
      <c r="D5" s="49" t="s">
        <v>5342</v>
      </c>
    </row>
    <row r="6" spans="1:6" x14ac:dyDescent="0.25">
      <c r="B6" s="2445" t="s">
        <v>80</v>
      </c>
      <c r="C6" s="2445"/>
      <c r="D6" s="50" t="s">
        <v>5343</v>
      </c>
    </row>
    <row r="7" spans="1:6" ht="37.5" x14ac:dyDescent="0.25">
      <c r="B7" s="2446" t="s">
        <v>81</v>
      </c>
      <c r="C7" s="2446"/>
      <c r="D7" s="93" t="s">
        <v>5344</v>
      </c>
    </row>
    <row r="8" spans="1:6" x14ac:dyDescent="0.25">
      <c r="B8" s="2446" t="s">
        <v>82</v>
      </c>
      <c r="C8" s="2446"/>
      <c r="D8" s="1047" t="s">
        <v>5396</v>
      </c>
    </row>
    <row r="9" spans="1:6" x14ac:dyDescent="0.4">
      <c r="B9" s="115"/>
      <c r="C9" s="115"/>
      <c r="D9" s="115"/>
    </row>
    <row r="10" spans="1:6" ht="23.25" customHeight="1" x14ac:dyDescent="0.25">
      <c r="B10" s="3194" t="s">
        <v>85</v>
      </c>
      <c r="C10" s="3194"/>
      <c r="D10" s="3194"/>
    </row>
    <row r="11" spans="1:6" x14ac:dyDescent="0.25">
      <c r="B11" s="2487" t="s">
        <v>86</v>
      </c>
      <c r="C11" s="2456"/>
      <c r="D11" s="49" t="s">
        <v>167</v>
      </c>
    </row>
    <row r="12" spans="1:6" ht="18.75" customHeight="1" x14ac:dyDescent="0.25">
      <c r="B12" s="2446" t="s">
        <v>88</v>
      </c>
      <c r="C12" s="2446"/>
      <c r="D12" s="184" t="s">
        <v>5397</v>
      </c>
    </row>
    <row r="13" spans="1:6" x14ac:dyDescent="0.25">
      <c r="B13" s="2445" t="s">
        <v>90</v>
      </c>
      <c r="C13" s="2445"/>
      <c r="D13" s="55" t="s">
        <v>5343</v>
      </c>
    </row>
    <row r="14" spans="1:6" x14ac:dyDescent="0.25">
      <c r="B14" s="2445" t="s">
        <v>91</v>
      </c>
      <c r="C14" s="2456"/>
      <c r="D14" s="54" t="s">
        <v>92</v>
      </c>
    </row>
    <row r="15" spans="1:6" ht="409.5" x14ac:dyDescent="0.25">
      <c r="B15" s="2445" t="s">
        <v>93</v>
      </c>
      <c r="C15" s="2445"/>
      <c r="D15" s="55" t="s">
        <v>5398</v>
      </c>
    </row>
    <row r="16" spans="1:6" ht="48.75" customHeight="1" x14ac:dyDescent="0.25">
      <c r="B16" s="2445" t="s">
        <v>95</v>
      </c>
      <c r="C16" s="2445"/>
      <c r="D16" s="55"/>
    </row>
    <row r="17" spans="2:4" x14ac:dyDescent="0.25">
      <c r="B17" s="2445" t="s">
        <v>97</v>
      </c>
      <c r="C17" s="2445"/>
      <c r="D17" s="55" t="s">
        <v>238</v>
      </c>
    </row>
    <row r="18" spans="2:4" x14ac:dyDescent="0.25">
      <c r="B18" s="2446" t="s">
        <v>99</v>
      </c>
      <c r="C18" s="2446"/>
      <c r="D18" s="49"/>
    </row>
    <row r="19" spans="2:4" ht="37.5" x14ac:dyDescent="0.25">
      <c r="B19" s="2457" t="s">
        <v>100</v>
      </c>
      <c r="C19" s="2458"/>
      <c r="D19" s="55" t="s">
        <v>5399</v>
      </c>
    </row>
    <row r="20" spans="2:4" x14ac:dyDescent="0.25">
      <c r="B20" s="2445" t="s">
        <v>102</v>
      </c>
      <c r="C20" s="2445"/>
      <c r="D20" s="1565" t="s">
        <v>5400</v>
      </c>
    </row>
    <row r="21" spans="2:4" x14ac:dyDescent="0.25">
      <c r="B21" s="2451" t="s">
        <v>104</v>
      </c>
      <c r="C21" s="95" t="s">
        <v>105</v>
      </c>
      <c r="D21" s="49"/>
    </row>
    <row r="22" spans="2:4" x14ac:dyDescent="0.25">
      <c r="B22" s="2452"/>
      <c r="C22" s="96" t="s">
        <v>107</v>
      </c>
      <c r="D22" s="55"/>
    </row>
    <row r="23" spans="2:4" x14ac:dyDescent="0.25">
      <c r="B23" s="2445" t="s">
        <v>109</v>
      </c>
      <c r="C23" s="2445"/>
      <c r="D23" s="1565" t="s">
        <v>5400</v>
      </c>
    </row>
    <row r="24" spans="2:4" x14ac:dyDescent="0.25">
      <c r="B24" s="2445" t="s">
        <v>111</v>
      </c>
      <c r="C24" s="2445"/>
      <c r="D24" s="50" t="s">
        <v>3388</v>
      </c>
    </row>
    <row r="25" spans="2:4" x14ac:dyDescent="0.25">
      <c r="B25" s="2445" t="s">
        <v>113</v>
      </c>
      <c r="C25" s="2445"/>
      <c r="D25" s="55" t="s">
        <v>1701</v>
      </c>
    </row>
    <row r="26" spans="2:4" x14ac:dyDescent="0.25">
      <c r="B26" s="2446" t="s">
        <v>115</v>
      </c>
      <c r="C26" s="2446"/>
      <c r="D26" s="50" t="s">
        <v>5401</v>
      </c>
    </row>
    <row r="27" spans="2:4" x14ac:dyDescent="0.25">
      <c r="B27" s="2447" t="s">
        <v>117</v>
      </c>
      <c r="C27" s="2448"/>
      <c r="D27" s="49"/>
    </row>
    <row r="28" spans="2:4" ht="37.5" x14ac:dyDescent="0.25">
      <c r="B28" s="97" t="s">
        <v>118</v>
      </c>
      <c r="C28" s="98"/>
      <c r="D28" s="55" t="s">
        <v>5402</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0" t="s">
        <v>5403</v>
      </c>
    </row>
    <row r="33" spans="2:4" x14ac:dyDescent="0.25">
      <c r="B33" s="2447" t="s">
        <v>124</v>
      </c>
      <c r="C33" s="2448"/>
      <c r="D33" s="50" t="s">
        <v>5404</v>
      </c>
    </row>
    <row r="34" spans="2:4" ht="17.25" customHeight="1" x14ac:dyDescent="0.25">
      <c r="B34" s="2447" t="s">
        <v>126</v>
      </c>
      <c r="C34" s="2448"/>
      <c r="D34" s="50" t="s">
        <v>5405</v>
      </c>
    </row>
    <row r="35" spans="2:4" x14ac:dyDescent="0.25">
      <c r="B35" s="2447" t="s">
        <v>128</v>
      </c>
      <c r="C35" s="2448"/>
      <c r="D35" s="50" t="s">
        <v>5406</v>
      </c>
    </row>
    <row r="36" spans="2:4" x14ac:dyDescent="0.4">
      <c r="B36" s="2447" t="s">
        <v>130</v>
      </c>
      <c r="C36" s="2448"/>
      <c r="D36" s="1421" t="s">
        <v>5407</v>
      </c>
    </row>
    <row r="37" spans="2:4" x14ac:dyDescent="0.25">
      <c r="B37" s="2447" t="s">
        <v>122</v>
      </c>
      <c r="C37" s="2448"/>
      <c r="D37" s="50" t="s">
        <v>5408</v>
      </c>
    </row>
    <row r="38" spans="2:4" x14ac:dyDescent="0.25">
      <c r="B38" s="2447" t="s">
        <v>124</v>
      </c>
      <c r="C38" s="2448"/>
      <c r="D38" s="50" t="s">
        <v>5409</v>
      </c>
    </row>
    <row r="39" spans="2:4" ht="15.75" customHeight="1" x14ac:dyDescent="0.25">
      <c r="B39" s="2447" t="s">
        <v>126</v>
      </c>
      <c r="C39" s="2448"/>
      <c r="D39" s="50" t="s">
        <v>5405</v>
      </c>
    </row>
    <row r="40" spans="2:4" x14ac:dyDescent="0.25">
      <c r="B40" s="2447" t="s">
        <v>128</v>
      </c>
      <c r="C40" s="2448"/>
      <c r="D40" s="50" t="s">
        <v>5410</v>
      </c>
    </row>
    <row r="41" spans="2:4" x14ac:dyDescent="0.4">
      <c r="B41" s="2447" t="s">
        <v>130</v>
      </c>
      <c r="C41" s="2448"/>
      <c r="D41" s="1421" t="s">
        <v>5411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2D7C060B-A989-4D85-968D-B7063DFE1A00}">
      <formula1>ODS</formula1>
    </dataValidation>
    <dataValidation type="list" allowBlank="1" showInputMessage="1" showErrorMessage="1" sqref="D5" xr:uid="{ACF89963-CA7A-40E8-90FE-F53881764C2F}">
      <formula1>Metas_ODS</formula1>
    </dataValidation>
    <dataValidation type="list" allowBlank="1" showInputMessage="1" showErrorMessage="1" sqref="D6" xr:uid="{5811A652-EE5C-41B8-A797-7E0965FF07D4}">
      <formula1>Numero_indicador</formula1>
    </dataValidation>
    <dataValidation type="list" allowBlank="1" showInputMessage="1" showErrorMessage="1" sqref="D7" xr:uid="{7779017B-A99F-48F2-B43B-60FFC12F554D}">
      <formula1>Nombre_indicador_ODS</formula1>
    </dataValidation>
    <dataValidation type="list" allowBlank="1" showInputMessage="1" showErrorMessage="1" sqref="D14" xr:uid="{D3761A12-C438-4B5A-BD7E-BF45B8B6505C}">
      <formula1>Tipo_indicador</formula1>
    </dataValidation>
    <dataValidation type="list" allowBlank="1" showInputMessage="1" showErrorMessage="1" sqref="D25" xr:uid="{93965C24-994B-4EB9-9804-841FE0A37ACE}">
      <formula1>Tipo_operación</formula1>
    </dataValidation>
  </dataValidations>
  <hyperlinks>
    <hyperlink ref="B1" location="'9.3.1'!A1" display="REGRESAR" xr:uid="{290A0E26-9FF3-4CE4-A9BC-FE5378E2F699}"/>
    <hyperlink ref="D36" r:id="rId1" display="mailto:gleon@meic.go.cr" xr:uid="{C5252F47-DFA1-47B6-8804-E63E47EF3A6E}"/>
    <hyperlink ref="D41" r:id="rId2" xr:uid="{8B4C1616-D71F-48CD-AFFA-06C208FB1693}"/>
    <hyperlink ref="D8" r:id="rId3" xr:uid="{9C238C43-922E-4727-8819-B4581639A7EB}"/>
  </hyperlinks>
  <pageMargins left="0.7" right="0.7" top="0.75" bottom="0.75" header="0.3" footer="0.3"/>
  <drawing r:id="rId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FAAC-75E8-45DB-8E36-9BE7BB31C97F}">
  <dimension ref="A1:P31"/>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6.42578125" style="115" customWidth="1"/>
    <col min="2" max="2" width="14.42578125" style="115" customWidth="1"/>
    <col min="3" max="3" width="11.42578125" style="115"/>
    <col min="4" max="4" width="14.28515625" style="115" customWidth="1"/>
    <col min="5" max="16384" width="11.42578125" style="115"/>
  </cols>
  <sheetData>
    <row r="1" spans="1:16" s="1032" customFormat="1" ht="15.6" customHeight="1" x14ac:dyDescent="0.4">
      <c r="A1" s="15" t="s">
        <v>39</v>
      </c>
      <c r="C1" s="2421" t="s">
        <v>149</v>
      </c>
      <c r="D1" s="2421"/>
    </row>
    <row r="2" spans="1:16" s="1032" customFormat="1" ht="19.5" x14ac:dyDescent="0.4"/>
    <row r="3" spans="1:16" s="1032" customFormat="1" ht="15" customHeight="1" x14ac:dyDescent="0.4">
      <c r="A3" s="3190" t="s">
        <v>41</v>
      </c>
      <c r="B3" s="3193"/>
      <c r="C3" s="3190" t="s">
        <v>5364</v>
      </c>
      <c r="D3" s="3195"/>
      <c r="E3" s="3195"/>
      <c r="F3" s="3195"/>
      <c r="G3" s="3195"/>
      <c r="H3" s="3195"/>
      <c r="I3" s="3195"/>
      <c r="J3" s="3195"/>
      <c r="K3" s="3195"/>
      <c r="L3" s="3195"/>
      <c r="M3" s="3195"/>
      <c r="N3" s="3195"/>
      <c r="O3" s="3195"/>
      <c r="P3" s="3195"/>
    </row>
    <row r="4" spans="1:16" s="1032" customFormat="1" ht="15" customHeight="1" x14ac:dyDescent="0.4">
      <c r="A4" s="3190" t="s">
        <v>42</v>
      </c>
      <c r="B4" s="3191"/>
      <c r="C4" s="3190" t="s">
        <v>5342</v>
      </c>
      <c r="D4" s="3192"/>
      <c r="E4" s="3192"/>
      <c r="F4" s="3192"/>
      <c r="G4" s="3192"/>
      <c r="H4" s="3192"/>
      <c r="I4" s="3192"/>
      <c r="J4" s="3192"/>
      <c r="K4" s="3192"/>
      <c r="L4" s="3192"/>
      <c r="M4" s="3192"/>
      <c r="N4" s="3192"/>
      <c r="O4" s="3192"/>
      <c r="P4" s="3192"/>
    </row>
    <row r="5" spans="1:16" s="1032" customFormat="1" ht="15" customHeight="1" x14ac:dyDescent="0.4">
      <c r="A5" s="3190" t="s">
        <v>43</v>
      </c>
      <c r="B5" s="3191"/>
      <c r="C5" s="3190" t="s">
        <v>5346</v>
      </c>
      <c r="D5" s="3192"/>
      <c r="E5" s="3192"/>
      <c r="F5" s="3192"/>
      <c r="G5" s="3192"/>
      <c r="H5" s="3192"/>
      <c r="I5" s="3192"/>
      <c r="J5" s="3192"/>
      <c r="K5" s="3192"/>
      <c r="L5" s="3192"/>
      <c r="M5" s="3192"/>
      <c r="N5" s="3192"/>
      <c r="O5" s="3192"/>
      <c r="P5" s="3192"/>
    </row>
    <row r="6" spans="1:16" s="1032" customFormat="1" ht="15" customHeight="1" x14ac:dyDescent="0.4">
      <c r="A6" s="3190" t="s">
        <v>132</v>
      </c>
      <c r="B6" s="3191"/>
      <c r="C6" s="3190" t="s">
        <v>5412</v>
      </c>
      <c r="D6" s="3192"/>
      <c r="E6" s="3192"/>
      <c r="F6" s="3192"/>
      <c r="G6" s="3192"/>
      <c r="H6" s="3192"/>
      <c r="I6" s="3192"/>
      <c r="J6" s="3192"/>
      <c r="K6" s="3192"/>
      <c r="L6" s="3192"/>
      <c r="M6" s="3192"/>
      <c r="N6" s="3192"/>
      <c r="O6" s="3192"/>
      <c r="P6" s="3192"/>
    </row>
    <row r="7" spans="1:16" s="1032" customFormat="1" ht="19.5" x14ac:dyDescent="0.4"/>
    <row r="8" spans="1:16" s="1032" customFormat="1" ht="19.5" x14ac:dyDescent="0.4"/>
    <row r="9" spans="1:16" s="1032" customFormat="1" ht="19.5" x14ac:dyDescent="0.4">
      <c r="A9" s="1084"/>
      <c r="C9" s="138" t="s">
        <v>5412</v>
      </c>
      <c r="D9" s="138"/>
    </row>
    <row r="10" spans="1:16" x14ac:dyDescent="0.4">
      <c r="A10" s="536"/>
      <c r="C10" s="226"/>
      <c r="D10" s="226"/>
    </row>
    <row r="11" spans="1:16" x14ac:dyDescent="0.4">
      <c r="A11" s="536"/>
      <c r="C11" s="1562" t="s">
        <v>46</v>
      </c>
      <c r="D11" s="1562" t="s">
        <v>98</v>
      </c>
    </row>
    <row r="12" spans="1:16" x14ac:dyDescent="0.4">
      <c r="A12" s="536"/>
      <c r="C12" s="824">
        <v>2013</v>
      </c>
      <c r="D12" s="1388">
        <v>81.099999999999994</v>
      </c>
    </row>
    <row r="13" spans="1:16" x14ac:dyDescent="0.4">
      <c r="A13" s="536"/>
      <c r="C13" s="1566" t="s">
        <v>5413</v>
      </c>
      <c r="D13" s="1566"/>
    </row>
    <row r="14" spans="1:16" ht="23.25" customHeight="1" x14ac:dyDescent="0.4">
      <c r="A14" s="536"/>
      <c r="C14" s="115" t="s">
        <v>5414</v>
      </c>
    </row>
    <row r="15" spans="1:16" x14ac:dyDescent="0.4">
      <c r="A15" s="536"/>
    </row>
    <row r="16" spans="1:16" x14ac:dyDescent="0.4">
      <c r="A16" s="536"/>
    </row>
    <row r="17" spans="1:1" x14ac:dyDescent="0.4">
      <c r="A17" s="536"/>
    </row>
    <row r="18" spans="1:1" x14ac:dyDescent="0.4">
      <c r="A18" s="536"/>
    </row>
    <row r="19" spans="1:1" x14ac:dyDescent="0.4">
      <c r="A19" s="536"/>
    </row>
    <row r="20" spans="1:1" x14ac:dyDescent="0.4">
      <c r="A20" s="536"/>
    </row>
    <row r="21" spans="1:1" x14ac:dyDescent="0.4">
      <c r="A21" s="536"/>
    </row>
    <row r="22" spans="1:1" x14ac:dyDescent="0.4">
      <c r="A22" s="536"/>
    </row>
    <row r="23" spans="1:1" x14ac:dyDescent="0.4">
      <c r="A23" s="536"/>
    </row>
    <row r="24" spans="1:1" x14ac:dyDescent="0.4">
      <c r="A24" s="536"/>
    </row>
    <row r="25" spans="1:1" x14ac:dyDescent="0.4">
      <c r="A25" s="536"/>
    </row>
    <row r="26" spans="1:1" x14ac:dyDescent="0.4">
      <c r="A26" s="536"/>
    </row>
    <row r="27" spans="1:1" x14ac:dyDescent="0.4">
      <c r="A27" s="536"/>
    </row>
    <row r="28" spans="1:1" x14ac:dyDescent="0.4">
      <c r="A28" s="536"/>
    </row>
    <row r="29" spans="1:1" x14ac:dyDescent="0.4">
      <c r="A29" s="536"/>
    </row>
    <row r="30" spans="1:1" x14ac:dyDescent="0.4">
      <c r="A30" s="536"/>
    </row>
    <row r="31" spans="1:1" x14ac:dyDescent="0.4">
      <c r="A31" s="536"/>
    </row>
  </sheetData>
  <mergeCells count="9">
    <mergeCell ref="A6:B6"/>
    <mergeCell ref="C6:P6"/>
    <mergeCell ref="C1:D1"/>
    <mergeCell ref="A3:B3"/>
    <mergeCell ref="C3:P3"/>
    <mergeCell ref="A4:B4"/>
    <mergeCell ref="C4:P4"/>
    <mergeCell ref="A5:B5"/>
    <mergeCell ref="C5:P5"/>
  </mergeCells>
  <hyperlinks>
    <hyperlink ref="A1" location="'ODS 9.'!A1" display="REGRESAR" xr:uid="{A0E93B5C-B19B-4EB0-94E7-3EB6E7CC0163}"/>
    <hyperlink ref="C1:D1" location="'Metadato 9.3.2'!A1" display="VER METADATO" xr:uid="{ACFD7254-9DE4-403B-A6E4-6FE1C5AAB6A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B394-88AB-447C-91BD-E622B1CC76D8}">
  <sheetPr>
    <tabColor theme="5"/>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3.28515625" style="175" customWidth="1"/>
    <col min="2" max="2" width="17.42578125" style="175" customWidth="1"/>
    <col min="3" max="3" width="11.5703125" style="34" customWidth="1"/>
    <col min="4" max="15" width="11.5703125" style="22" customWidth="1"/>
    <col min="16" max="16384" width="11.42578125" style="22"/>
  </cols>
  <sheetData>
    <row r="1" spans="1:16" s="16" customFormat="1" ht="19.5" x14ac:dyDescent="0.4">
      <c r="A1" s="15" t="s">
        <v>39</v>
      </c>
      <c r="B1" s="171"/>
      <c r="C1" s="2421" t="s">
        <v>149</v>
      </c>
      <c r="D1" s="2421"/>
    </row>
    <row r="2" spans="1:16" s="16" customFormat="1" ht="19.5" x14ac:dyDescent="0.4">
      <c r="A2" s="162"/>
      <c r="B2" s="162"/>
      <c r="C2" s="172"/>
    </row>
    <row r="3" spans="1:16" s="16" customFormat="1" ht="19.5" x14ac:dyDescent="0.4">
      <c r="A3" s="2413" t="s">
        <v>41</v>
      </c>
      <c r="B3" s="2413"/>
      <c r="C3" s="2414" t="s">
        <v>2</v>
      </c>
      <c r="D3" s="2415"/>
      <c r="E3" s="2415"/>
      <c r="F3" s="2415"/>
      <c r="G3" s="2415"/>
      <c r="H3" s="2415"/>
      <c r="I3" s="2415"/>
      <c r="J3" s="2415"/>
      <c r="K3" s="2415"/>
      <c r="L3" s="2415"/>
      <c r="M3" s="2415"/>
      <c r="N3" s="2415"/>
      <c r="O3" s="2415"/>
      <c r="P3" s="2415"/>
    </row>
    <row r="4" spans="1:16" s="16" customFormat="1" ht="37.15" customHeight="1" x14ac:dyDescent="0.4">
      <c r="A4" s="2413" t="s">
        <v>42</v>
      </c>
      <c r="B4" s="2413"/>
      <c r="C4" s="2414" t="s">
        <v>36</v>
      </c>
      <c r="D4" s="2415"/>
      <c r="E4" s="2415"/>
      <c r="F4" s="2415"/>
      <c r="G4" s="2415"/>
      <c r="H4" s="2415"/>
      <c r="I4" s="2415"/>
      <c r="J4" s="2415"/>
      <c r="K4" s="2415"/>
      <c r="L4" s="2415"/>
      <c r="M4" s="2415"/>
      <c r="N4" s="2415"/>
      <c r="O4" s="2415"/>
      <c r="P4" s="2505"/>
    </row>
    <row r="5" spans="1:16" s="16" customFormat="1" ht="19.5" x14ac:dyDescent="0.4">
      <c r="A5" s="2413" t="s">
        <v>43</v>
      </c>
      <c r="B5" s="2413"/>
      <c r="C5" s="2414" t="s">
        <v>38</v>
      </c>
      <c r="D5" s="2415"/>
      <c r="E5" s="2415"/>
      <c r="F5" s="2415"/>
      <c r="G5" s="2415"/>
      <c r="H5" s="2415"/>
      <c r="I5" s="2415"/>
      <c r="J5" s="2415"/>
      <c r="K5" s="2415"/>
      <c r="L5" s="2415"/>
      <c r="M5" s="2415"/>
      <c r="N5" s="2415"/>
      <c r="O5" s="2415"/>
      <c r="P5" s="2505"/>
    </row>
    <row r="6" spans="1:16" s="16" customFormat="1" ht="19.5" x14ac:dyDescent="0.4">
      <c r="A6" s="2413" t="s">
        <v>132</v>
      </c>
      <c r="B6" s="2413"/>
      <c r="C6" s="2414"/>
      <c r="D6" s="2415"/>
      <c r="E6" s="2415"/>
      <c r="F6" s="2415"/>
      <c r="G6" s="2415"/>
      <c r="H6" s="2415"/>
      <c r="I6" s="2415"/>
      <c r="J6" s="2415"/>
      <c r="K6" s="2415"/>
      <c r="L6" s="2415"/>
      <c r="M6" s="2415"/>
      <c r="N6" s="2415"/>
      <c r="O6" s="2415"/>
      <c r="P6" s="2505"/>
    </row>
    <row r="7" spans="1:16" s="16" customFormat="1" ht="19.5" x14ac:dyDescent="0.4">
      <c r="A7" s="174"/>
      <c r="B7" s="162"/>
      <c r="C7" s="172"/>
    </row>
    <row r="8" spans="1:16" s="162" customFormat="1" ht="19.5" x14ac:dyDescent="0.4">
      <c r="A8" s="173"/>
      <c r="C8" s="172"/>
      <c r="D8" s="16"/>
      <c r="E8" s="16"/>
    </row>
    <row r="9" spans="1:16" s="162" customFormat="1" ht="15" customHeight="1" x14ac:dyDescent="0.25">
      <c r="A9" s="173"/>
      <c r="C9" s="2506" t="s">
        <v>243</v>
      </c>
      <c r="D9" s="2506"/>
      <c r="E9" s="2506"/>
      <c r="F9" s="2506"/>
      <c r="G9" s="2506"/>
      <c r="H9" s="2506"/>
      <c r="I9" s="2506"/>
      <c r="J9" s="2506"/>
      <c r="K9" s="2506"/>
      <c r="L9" s="2506"/>
      <c r="M9" s="2506"/>
      <c r="N9" s="2506"/>
      <c r="O9" s="2506"/>
      <c r="P9" s="2506"/>
    </row>
    <row r="10" spans="1:16" s="162" customFormat="1" ht="15.75" customHeight="1" x14ac:dyDescent="0.25">
      <c r="A10" s="173"/>
      <c r="C10" s="2506"/>
      <c r="D10" s="2506"/>
      <c r="E10" s="2506"/>
      <c r="F10" s="2506"/>
      <c r="G10" s="2506"/>
      <c r="H10" s="2506"/>
      <c r="I10" s="2506"/>
      <c r="J10" s="2506"/>
      <c r="K10" s="2506"/>
      <c r="L10" s="2506"/>
      <c r="M10" s="2506"/>
      <c r="N10" s="2506"/>
      <c r="O10" s="2506"/>
      <c r="P10" s="2506"/>
    </row>
    <row r="11" spans="1:16" s="175" customFormat="1" x14ac:dyDescent="0.25">
      <c r="A11" s="262"/>
      <c r="C11" s="34"/>
      <c r="D11" s="22"/>
      <c r="E11" s="22"/>
    </row>
    <row r="12" spans="1:16" s="175" customFormat="1" x14ac:dyDescent="0.25">
      <c r="A12" s="35"/>
      <c r="C12" s="34"/>
      <c r="D12" s="22"/>
      <c r="E12" s="22"/>
    </row>
    <row r="13" spans="1:16" s="175" customFormat="1" x14ac:dyDescent="0.25">
      <c r="A13" s="35"/>
      <c r="C13" s="34"/>
      <c r="D13" s="22"/>
      <c r="E13" s="22"/>
    </row>
    <row r="14" spans="1:16" s="175" customFormat="1" x14ac:dyDescent="0.25">
      <c r="A14" s="35"/>
      <c r="C14" s="34"/>
      <c r="D14" s="22"/>
      <c r="E14" s="22"/>
    </row>
    <row r="15" spans="1:16" s="175" customFormat="1" x14ac:dyDescent="0.25">
      <c r="A15" s="35"/>
      <c r="C15" s="34"/>
      <c r="D15" s="22"/>
      <c r="E15" s="22"/>
    </row>
    <row r="16" spans="1:16" s="175" customFormat="1" x14ac:dyDescent="0.25">
      <c r="A16" s="35"/>
      <c r="C16" s="34"/>
      <c r="D16" s="22"/>
      <c r="E16" s="22"/>
    </row>
    <row r="17" spans="1:5" s="175" customFormat="1" x14ac:dyDescent="0.25">
      <c r="A17" s="35"/>
      <c r="C17" s="34"/>
      <c r="D17" s="22"/>
      <c r="E17" s="22"/>
    </row>
    <row r="18" spans="1:5" s="175" customFormat="1" x14ac:dyDescent="0.25">
      <c r="A18" s="35"/>
      <c r="C18" s="34"/>
      <c r="D18" s="22"/>
      <c r="E18" s="22"/>
    </row>
    <row r="19" spans="1:5" s="175" customFormat="1" x14ac:dyDescent="0.25">
      <c r="A19" s="35"/>
      <c r="C19" s="34"/>
      <c r="D19" s="22"/>
      <c r="E19" s="22"/>
    </row>
    <row r="20" spans="1:5" s="175" customFormat="1" x14ac:dyDescent="0.25">
      <c r="A20" s="35"/>
      <c r="C20" s="34"/>
      <c r="D20" s="22"/>
      <c r="E20" s="22"/>
    </row>
    <row r="21" spans="1:5" s="175" customFormat="1" x14ac:dyDescent="0.25">
      <c r="A21" s="35"/>
      <c r="C21" s="34"/>
      <c r="D21" s="22"/>
      <c r="E21" s="22"/>
    </row>
    <row r="22" spans="1:5" s="175" customFormat="1" x14ac:dyDescent="0.25">
      <c r="A22" s="35"/>
      <c r="C22" s="34"/>
      <c r="D22" s="22"/>
      <c r="E22" s="22"/>
    </row>
    <row r="23" spans="1:5" s="175" customFormat="1" x14ac:dyDescent="0.25">
      <c r="A23" s="35"/>
      <c r="C23" s="34"/>
      <c r="D23" s="22"/>
      <c r="E23" s="22"/>
    </row>
    <row r="24" spans="1:5" s="175" customFormat="1" x14ac:dyDescent="0.25">
      <c r="A24" s="35"/>
      <c r="C24" s="34"/>
      <c r="D24" s="22"/>
      <c r="E24" s="22"/>
    </row>
    <row r="25" spans="1:5" s="175" customFormat="1" x14ac:dyDescent="0.25">
      <c r="A25" s="35"/>
      <c r="C25" s="34"/>
      <c r="D25" s="22"/>
      <c r="E25" s="22"/>
    </row>
    <row r="26" spans="1:5" s="175" customFormat="1" x14ac:dyDescent="0.25">
      <c r="A26" s="35"/>
      <c r="C26" s="34"/>
      <c r="D26" s="22"/>
      <c r="E26" s="22"/>
    </row>
    <row r="27" spans="1:5" s="175" customFormat="1" x14ac:dyDescent="0.25">
      <c r="A27" s="35"/>
      <c r="C27" s="34"/>
      <c r="D27" s="22"/>
      <c r="E27" s="22"/>
    </row>
    <row r="28" spans="1:5" s="175" customFormat="1" x14ac:dyDescent="0.25">
      <c r="A28" s="35"/>
      <c r="C28" s="34"/>
      <c r="D28" s="22"/>
      <c r="E28" s="22"/>
    </row>
    <row r="29" spans="1:5" s="175" customFormat="1" x14ac:dyDescent="0.25">
      <c r="A29" s="35"/>
      <c r="C29" s="34"/>
      <c r="D29" s="22"/>
      <c r="E29" s="22"/>
    </row>
    <row r="30" spans="1:5" s="175" customFormat="1" x14ac:dyDescent="0.25">
      <c r="A30" s="35"/>
      <c r="C30" s="34"/>
      <c r="D30" s="22"/>
      <c r="E30" s="22"/>
    </row>
    <row r="31" spans="1:5" s="175" customFormat="1" x14ac:dyDescent="0.25">
      <c r="A31" s="35"/>
      <c r="C31" s="34"/>
      <c r="D31" s="22"/>
      <c r="E31" s="22"/>
    </row>
    <row r="32" spans="1:5" s="175" customFormat="1" x14ac:dyDescent="0.25">
      <c r="A32" s="35"/>
      <c r="C32" s="34"/>
      <c r="D32" s="22"/>
      <c r="E32" s="22"/>
    </row>
  </sheetData>
  <mergeCells count="10">
    <mergeCell ref="A6:B6"/>
    <mergeCell ref="C6:P6"/>
    <mergeCell ref="C9:P10"/>
    <mergeCell ref="C1:D1"/>
    <mergeCell ref="A3:B3"/>
    <mergeCell ref="C3:P3"/>
    <mergeCell ref="A4:B4"/>
    <mergeCell ref="C4:P4"/>
    <mergeCell ref="A5:B5"/>
    <mergeCell ref="C5:P5"/>
  </mergeCells>
  <hyperlinks>
    <hyperlink ref="A1" location="'ODS 1.'!A1" display="REGRESAR" xr:uid="{A1B42067-ADA6-4B77-956E-B375C25C7D0C}"/>
    <hyperlink ref="C1" location="'Metadato 1.b.1'!A1" display="VER METADATO" xr:uid="{700D5FAE-80B0-4FE2-81A9-199FE80A8D5D}"/>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F83D-EBFB-44E2-83B8-AEC6436ABACC}">
  <sheetPr>
    <tabColor theme="0" tint="-0.499984740745262"/>
  </sheetPr>
  <dimension ref="A1:F42"/>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76</v>
      </c>
    </row>
    <row r="4" spans="1:6" ht="33" customHeight="1" x14ac:dyDescent="0.25">
      <c r="A4" s="1079"/>
      <c r="B4" s="2445" t="s">
        <v>234</v>
      </c>
      <c r="C4" s="2445"/>
      <c r="D4" s="49" t="s">
        <v>5368</v>
      </c>
    </row>
    <row r="5" spans="1:6" ht="37.5" x14ac:dyDescent="0.25">
      <c r="B5" s="2445" t="s">
        <v>79</v>
      </c>
      <c r="C5" s="2445"/>
      <c r="D5" s="49" t="s">
        <v>5342</v>
      </c>
    </row>
    <row r="6" spans="1:6" ht="14.25" customHeight="1" x14ac:dyDescent="0.25">
      <c r="B6" s="2445" t="s">
        <v>80</v>
      </c>
      <c r="C6" s="2445"/>
      <c r="D6" s="50" t="s">
        <v>5345</v>
      </c>
    </row>
    <row r="7" spans="1:6" x14ac:dyDescent="0.25">
      <c r="B7" s="2446" t="s">
        <v>81</v>
      </c>
      <c r="C7" s="2446"/>
      <c r="D7" s="93" t="s">
        <v>5346</v>
      </c>
    </row>
    <row r="8" spans="1:6" x14ac:dyDescent="0.25">
      <c r="B8" s="2446" t="s">
        <v>82</v>
      </c>
      <c r="C8" s="2446"/>
      <c r="D8" s="1047" t="s">
        <v>5415</v>
      </c>
    </row>
    <row r="9" spans="1:6" x14ac:dyDescent="0.4">
      <c r="B9" s="115"/>
      <c r="C9" s="115"/>
      <c r="D9" s="115"/>
    </row>
    <row r="10" spans="1:6" ht="23.25" customHeight="1" x14ac:dyDescent="0.25">
      <c r="B10" s="3194" t="s">
        <v>85</v>
      </c>
      <c r="C10" s="3194"/>
      <c r="D10" s="3194"/>
    </row>
    <row r="11" spans="1:6" ht="15.75" customHeight="1" x14ac:dyDescent="0.25">
      <c r="B11" s="2487" t="s">
        <v>86</v>
      </c>
      <c r="C11" s="2456"/>
      <c r="D11" s="49" t="s">
        <v>167</v>
      </c>
    </row>
    <row r="12" spans="1:6" ht="37.5" x14ac:dyDescent="0.25">
      <c r="B12" s="2446" t="s">
        <v>88</v>
      </c>
      <c r="C12" s="2446"/>
      <c r="D12" s="184" t="s">
        <v>5416</v>
      </c>
    </row>
    <row r="13" spans="1:6" x14ac:dyDescent="0.25">
      <c r="B13" s="2445" t="s">
        <v>90</v>
      </c>
      <c r="C13" s="2445"/>
      <c r="D13" s="55" t="s">
        <v>5345</v>
      </c>
    </row>
    <row r="14" spans="1:6" x14ac:dyDescent="0.25">
      <c r="B14" s="2445" t="s">
        <v>91</v>
      </c>
      <c r="C14" s="2456"/>
      <c r="D14" s="54" t="s">
        <v>92</v>
      </c>
    </row>
    <row r="15" spans="1:6" ht="409.5" x14ac:dyDescent="0.25">
      <c r="B15" s="2445" t="s">
        <v>93</v>
      </c>
      <c r="C15" s="2445"/>
      <c r="D15" s="55" t="s">
        <v>5417</v>
      </c>
    </row>
    <row r="16" spans="1:6" ht="45" customHeight="1" x14ac:dyDescent="0.25">
      <c r="B16" s="2445" t="s">
        <v>95</v>
      </c>
      <c r="C16" s="2445"/>
      <c r="D16" s="55"/>
    </row>
    <row r="17" spans="2:4" x14ac:dyDescent="0.25">
      <c r="B17" s="2445" t="s">
        <v>97</v>
      </c>
      <c r="C17" s="2445"/>
      <c r="D17" s="55" t="s">
        <v>238</v>
      </c>
    </row>
    <row r="18" spans="2:4" x14ac:dyDescent="0.25">
      <c r="B18" s="2446" t="s">
        <v>99</v>
      </c>
      <c r="C18" s="2446"/>
      <c r="D18" s="49"/>
    </row>
    <row r="19" spans="2:4" ht="37.5" x14ac:dyDescent="0.25">
      <c r="B19" s="2457" t="s">
        <v>100</v>
      </c>
      <c r="C19" s="2458"/>
      <c r="D19" s="55" t="s">
        <v>5418</v>
      </c>
    </row>
    <row r="20" spans="2:4" x14ac:dyDescent="0.25">
      <c r="B20" s="2445" t="s">
        <v>102</v>
      </c>
      <c r="C20" s="2445"/>
      <c r="D20" s="55" t="s">
        <v>140</v>
      </c>
    </row>
    <row r="21" spans="2:4" x14ac:dyDescent="0.25">
      <c r="B21" s="2451" t="s">
        <v>104</v>
      </c>
      <c r="C21" s="95" t="s">
        <v>105</v>
      </c>
      <c r="D21" s="55" t="s">
        <v>5419</v>
      </c>
    </row>
    <row r="22" spans="2:4" x14ac:dyDescent="0.25">
      <c r="B22" s="2452"/>
      <c r="C22" s="96" t="s">
        <v>107</v>
      </c>
      <c r="D22" s="55"/>
    </row>
    <row r="23" spans="2:4" x14ac:dyDescent="0.25">
      <c r="B23" s="2445" t="s">
        <v>109</v>
      </c>
      <c r="C23" s="2445"/>
      <c r="D23" s="55" t="s">
        <v>1345</v>
      </c>
    </row>
    <row r="24" spans="2:4" ht="37.5" x14ac:dyDescent="0.25">
      <c r="B24" s="2445" t="s">
        <v>111</v>
      </c>
      <c r="C24" s="2445"/>
      <c r="D24" s="50" t="s">
        <v>5420</v>
      </c>
    </row>
    <row r="25" spans="2:4" x14ac:dyDescent="0.25">
      <c r="B25" s="2445" t="s">
        <v>113</v>
      </c>
      <c r="C25" s="2445"/>
      <c r="D25" s="55" t="s">
        <v>220</v>
      </c>
    </row>
    <row r="26" spans="2:4" x14ac:dyDescent="0.25">
      <c r="B26" s="2446" t="s">
        <v>115</v>
      </c>
      <c r="C26" s="2446"/>
      <c r="D26" s="50" t="s">
        <v>5421</v>
      </c>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0" t="s">
        <v>5422</v>
      </c>
    </row>
    <row r="33" spans="2:4" x14ac:dyDescent="0.25">
      <c r="B33" s="2447" t="s">
        <v>124</v>
      </c>
      <c r="C33" s="2448"/>
      <c r="D33" s="50" t="s">
        <v>5423</v>
      </c>
    </row>
    <row r="34" spans="2:4" x14ac:dyDescent="0.25">
      <c r="B34" s="2447" t="s">
        <v>126</v>
      </c>
      <c r="C34" s="2448"/>
      <c r="D34" s="50" t="s">
        <v>5424</v>
      </c>
    </row>
    <row r="35" spans="2:4" x14ac:dyDescent="0.25">
      <c r="B35" s="2447" t="s">
        <v>128</v>
      </c>
      <c r="C35" s="2448"/>
      <c r="D35" s="50" t="s">
        <v>5425</v>
      </c>
    </row>
    <row r="36" spans="2:4" x14ac:dyDescent="0.25">
      <c r="B36" s="2447" t="s">
        <v>130</v>
      </c>
      <c r="C36" s="2448"/>
      <c r="D36" s="1312" t="s">
        <v>5426</v>
      </c>
    </row>
    <row r="37" spans="2:4" x14ac:dyDescent="0.25">
      <c r="B37" s="97"/>
      <c r="C37" s="98"/>
      <c r="D37" s="98"/>
    </row>
    <row r="38" spans="2:4" x14ac:dyDescent="0.25">
      <c r="B38" s="2447" t="s">
        <v>122</v>
      </c>
      <c r="C38" s="2448"/>
      <c r="D38" s="50" t="s">
        <v>4814</v>
      </c>
    </row>
    <row r="39" spans="2:4" x14ac:dyDescent="0.25">
      <c r="B39" s="2447" t="s">
        <v>124</v>
      </c>
      <c r="C39" s="2448"/>
      <c r="D39" s="50" t="s">
        <v>5027</v>
      </c>
    </row>
    <row r="40" spans="2:4" x14ac:dyDescent="0.25">
      <c r="B40" s="2447" t="s">
        <v>126</v>
      </c>
      <c r="C40" s="2448"/>
      <c r="D40" s="50" t="s">
        <v>3388</v>
      </c>
    </row>
    <row r="41" spans="2:4" x14ac:dyDescent="0.25">
      <c r="B41" s="2447" t="s">
        <v>128</v>
      </c>
      <c r="C41" s="2448"/>
      <c r="D41" s="50" t="s">
        <v>4985</v>
      </c>
    </row>
    <row r="42" spans="2:4" x14ac:dyDescent="0.25">
      <c r="B42" s="2447" t="s">
        <v>130</v>
      </c>
      <c r="C42" s="2448"/>
      <c r="D42" s="50" t="s">
        <v>5028</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8:C38"/>
    <mergeCell ref="B39:C39"/>
    <mergeCell ref="B40:C40"/>
    <mergeCell ref="B41:C41"/>
    <mergeCell ref="B42:C42"/>
  </mergeCells>
  <dataValidations count="6">
    <dataValidation type="list" allowBlank="1" showInputMessage="1" showErrorMessage="1" sqref="D4" xr:uid="{14707F40-41A8-472E-9376-11920B567E51}">
      <formula1>ODS</formula1>
    </dataValidation>
    <dataValidation type="list" allowBlank="1" showInputMessage="1" showErrorMessage="1" sqref="D5" xr:uid="{213B66C8-B7C9-4B1B-9F40-1B9EC8AD945E}">
      <formula1>Metas_ODS</formula1>
    </dataValidation>
    <dataValidation type="list" allowBlank="1" showInputMessage="1" showErrorMessage="1" sqref="D6" xr:uid="{967CBCF6-9515-4053-AB4C-95BC77CBC6CA}">
      <formula1>Numero_indicador</formula1>
    </dataValidation>
    <dataValidation type="list" allowBlank="1" showInputMessage="1" showErrorMessage="1" sqref="D7" xr:uid="{EF0CA8AC-4119-4E71-B5F0-9EDBF75625BE}">
      <formula1>Nombre_indicador_ODS</formula1>
    </dataValidation>
    <dataValidation type="list" allowBlank="1" showInputMessage="1" showErrorMessage="1" sqref="D14" xr:uid="{09E42498-B0F0-459D-B1C7-D3C2C04C0E0B}">
      <formula1>Tipo_indicador</formula1>
    </dataValidation>
    <dataValidation type="list" allowBlank="1" showInputMessage="1" showErrorMessage="1" sqref="D25" xr:uid="{8EBAD48B-7F4F-439C-BE2C-BCC328BE94D6}">
      <formula1>Tipo_operación</formula1>
    </dataValidation>
  </dataValidations>
  <hyperlinks>
    <hyperlink ref="B1" location="'9.3.2'!A1" display="REGRESAR" xr:uid="{401E703E-B9F6-4858-8B2B-773C2E374713}"/>
    <hyperlink ref="D36" r:id="rId1" xr:uid="{F1C02C97-286D-438A-978E-EB810F136AE8}"/>
    <hyperlink ref="D8" r:id="rId2" xr:uid="{CBE42893-F3D0-4AF2-8A8C-5E2C2E12F238}"/>
  </hyperlinks>
  <pageMargins left="0.7" right="0.7" top="0.75" bottom="0.75" header="0.3" footer="0.3"/>
  <drawing r:id="rId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4461-E170-46F3-88F5-712C7A406C39}">
  <dimension ref="A1:R44"/>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2" width="15.28515625" style="115" customWidth="1"/>
    <col min="3" max="3" width="11.42578125" style="115"/>
    <col min="4" max="4" width="16" style="115" customWidth="1"/>
    <col min="5" max="5" width="13.28515625" style="115" customWidth="1"/>
    <col min="6" max="6" width="14.7109375" style="115" customWidth="1"/>
    <col min="7" max="7" width="11.42578125" style="115"/>
    <col min="8" max="8" width="13.42578125" style="115" bestFit="1" customWidth="1"/>
    <col min="9" max="13" width="11.42578125" style="115"/>
    <col min="14" max="14" width="13.5703125" style="115" customWidth="1"/>
    <col min="15" max="16384" width="11.42578125" style="115"/>
  </cols>
  <sheetData>
    <row r="1" spans="1:18" s="1032" customFormat="1" ht="19.5" x14ac:dyDescent="0.4">
      <c r="A1" s="15" t="s">
        <v>39</v>
      </c>
      <c r="C1" s="2421" t="s">
        <v>149</v>
      </c>
      <c r="D1" s="2421"/>
    </row>
    <row r="2" spans="1:18" s="1032" customFormat="1" ht="19.5" x14ac:dyDescent="0.4"/>
    <row r="3" spans="1:18" s="1032" customFormat="1" ht="21.6" customHeight="1" x14ac:dyDescent="0.4">
      <c r="A3" s="3190" t="s">
        <v>41</v>
      </c>
      <c r="B3" s="3193"/>
      <c r="C3" s="3190" t="s">
        <v>5364</v>
      </c>
      <c r="D3" s="3195"/>
      <c r="E3" s="3195"/>
      <c r="F3" s="3195"/>
      <c r="G3" s="3195"/>
      <c r="H3" s="3195"/>
      <c r="I3" s="3195"/>
      <c r="J3" s="3195"/>
      <c r="K3" s="3195"/>
      <c r="L3" s="3195"/>
      <c r="M3" s="3195"/>
      <c r="N3" s="3195"/>
      <c r="O3" s="3195"/>
      <c r="P3" s="3195"/>
      <c r="Q3" s="3195"/>
      <c r="R3" s="3195"/>
    </row>
    <row r="4" spans="1:18" s="1032" customFormat="1" ht="33.6" customHeight="1" x14ac:dyDescent="0.4">
      <c r="A4" s="3190" t="s">
        <v>42</v>
      </c>
      <c r="B4" s="3191"/>
      <c r="C4" s="3190" t="s">
        <v>5347</v>
      </c>
      <c r="D4" s="3192"/>
      <c r="E4" s="3192"/>
      <c r="F4" s="3192"/>
      <c r="G4" s="3192"/>
      <c r="H4" s="3192"/>
      <c r="I4" s="3192"/>
      <c r="J4" s="3192"/>
      <c r="K4" s="3192"/>
      <c r="L4" s="3192"/>
      <c r="M4" s="3192"/>
      <c r="N4" s="3192"/>
      <c r="O4" s="3192"/>
      <c r="P4" s="3192"/>
      <c r="Q4" s="3192"/>
      <c r="R4" s="3192"/>
    </row>
    <row r="5" spans="1:18" s="1032" customFormat="1" ht="19.5" x14ac:dyDescent="0.4">
      <c r="A5" s="3190" t="s">
        <v>43</v>
      </c>
      <c r="B5" s="3191"/>
      <c r="C5" s="3190" t="s">
        <v>5349</v>
      </c>
      <c r="D5" s="3192"/>
      <c r="E5" s="3192"/>
      <c r="F5" s="3192"/>
      <c r="G5" s="3192"/>
      <c r="H5" s="3192"/>
      <c r="I5" s="3192"/>
      <c r="J5" s="3192"/>
      <c r="K5" s="3192"/>
      <c r="L5" s="3192"/>
      <c r="M5" s="3192"/>
      <c r="N5" s="3192"/>
      <c r="O5" s="3192"/>
      <c r="P5" s="3192"/>
      <c r="Q5" s="3192"/>
      <c r="R5" s="3192"/>
    </row>
    <row r="6" spans="1:18" s="1032" customFormat="1" ht="19.5" x14ac:dyDescent="0.4">
      <c r="A6" s="3190" t="s">
        <v>132</v>
      </c>
      <c r="B6" s="3191"/>
      <c r="C6" s="3205" t="s">
        <v>5427</v>
      </c>
      <c r="D6" s="3206"/>
      <c r="E6" s="3206"/>
      <c r="F6" s="3206"/>
      <c r="G6" s="3206"/>
      <c r="H6" s="3206"/>
      <c r="I6" s="3206"/>
      <c r="J6" s="3206"/>
      <c r="K6" s="3206"/>
      <c r="L6" s="3206"/>
      <c r="M6" s="3206"/>
      <c r="N6" s="3206"/>
      <c r="O6" s="3206"/>
      <c r="P6" s="3206"/>
      <c r="Q6" s="3206"/>
      <c r="R6" s="3206"/>
    </row>
    <row r="7" spans="1:18" s="1032" customFormat="1" ht="19.5" x14ac:dyDescent="0.4"/>
    <row r="8" spans="1:18" s="1032" customFormat="1" ht="19.5" x14ac:dyDescent="0.4"/>
    <row r="9" spans="1:18" s="1032" customFormat="1" ht="37.9" customHeight="1" x14ac:dyDescent="0.4">
      <c r="C9" s="2628" t="s">
        <v>5428</v>
      </c>
      <c r="D9" s="2628"/>
      <c r="E9" s="2628"/>
      <c r="F9" s="2628"/>
      <c r="K9" s="2648" t="s">
        <v>5429</v>
      </c>
      <c r="L9" s="2648"/>
      <c r="M9" s="2648"/>
    </row>
    <row r="10" spans="1:18" ht="59.45" customHeight="1" x14ac:dyDescent="0.4">
      <c r="C10" s="1562" t="s">
        <v>46</v>
      </c>
      <c r="D10" s="1562" t="s">
        <v>5430</v>
      </c>
      <c r="E10" s="1562" t="s">
        <v>5431</v>
      </c>
      <c r="F10" s="1562" t="s">
        <v>5432</v>
      </c>
    </row>
    <row r="11" spans="1:18" x14ac:dyDescent="0.4">
      <c r="C11" s="1567">
        <v>2011</v>
      </c>
      <c r="D11" s="1568">
        <v>6944.0110658470821</v>
      </c>
      <c r="E11" s="1568">
        <v>25280269.378846001</v>
      </c>
      <c r="F11" s="1569">
        <f>+D11*1000000/E11</f>
        <v>274.68105508629134</v>
      </c>
    </row>
    <row r="12" spans="1:18" x14ac:dyDescent="0.4">
      <c r="C12" s="1567">
        <v>2012</v>
      </c>
      <c r="D12" s="1568">
        <v>6961.8500518492656</v>
      </c>
      <c r="E12" s="1568">
        <v>26576282.544396099</v>
      </c>
      <c r="F12" s="1569">
        <f t="shared" ref="F12:F21" si="0">+D12*1000000/E12</f>
        <v>261.95725606918069</v>
      </c>
    </row>
    <row r="13" spans="1:18" x14ac:dyDescent="0.4">
      <c r="C13" s="1567">
        <v>2013</v>
      </c>
      <c r="D13" s="1568">
        <v>7189.2550629361676</v>
      </c>
      <c r="E13" s="1568">
        <v>27238738.370313399</v>
      </c>
      <c r="F13" s="1569">
        <f t="shared" si="0"/>
        <v>263.93495048109497</v>
      </c>
    </row>
    <row r="14" spans="1:18" x14ac:dyDescent="0.4">
      <c r="C14" s="1567">
        <v>2014</v>
      </c>
      <c r="D14" s="1568">
        <v>7151.8609983741771</v>
      </c>
      <c r="E14" s="1568">
        <v>28225383.159130301</v>
      </c>
      <c r="F14" s="1569">
        <f t="shared" si="0"/>
        <v>253.38401813903116</v>
      </c>
    </row>
    <row r="15" spans="1:18" x14ac:dyDescent="0.4">
      <c r="C15" s="1567">
        <v>2015</v>
      </c>
      <c r="D15" s="1568">
        <v>6843.3820331395482</v>
      </c>
      <c r="E15" s="1568">
        <v>29233409.149092302</v>
      </c>
      <c r="F15" s="1569">
        <f t="shared" si="0"/>
        <v>234.09455935289148</v>
      </c>
    </row>
    <row r="16" spans="1:18" x14ac:dyDescent="0.4">
      <c r="C16" s="1567">
        <v>2016</v>
      </c>
      <c r="D16" s="1568">
        <v>7221.4220992133414</v>
      </c>
      <c r="E16" s="1568">
        <v>30404270.914146099</v>
      </c>
      <c r="F16" s="1569">
        <f t="shared" si="0"/>
        <v>237.51341117847537</v>
      </c>
    </row>
    <row r="17" spans="3:6" x14ac:dyDescent="0.4">
      <c r="C17" s="1567">
        <v>2017</v>
      </c>
      <c r="D17" s="1568">
        <v>7340.5518830488027</v>
      </c>
      <c r="E17" s="1568">
        <v>31718871.592282999</v>
      </c>
      <c r="F17" s="1569">
        <f t="shared" si="0"/>
        <v>231.42537910569027</v>
      </c>
    </row>
    <row r="18" spans="3:6" x14ac:dyDescent="0.4">
      <c r="C18" s="1567">
        <v>2018</v>
      </c>
      <c r="D18" s="1568">
        <v>7409.2289092048404</v>
      </c>
      <c r="E18" s="1568">
        <v>32626007.185472999</v>
      </c>
      <c r="F18" s="1569">
        <f t="shared" si="0"/>
        <v>227.09579100760641</v>
      </c>
    </row>
    <row r="19" spans="3:6" x14ac:dyDescent="0.4">
      <c r="C19" s="1567">
        <v>2019</v>
      </c>
      <c r="D19" s="1568">
        <v>7474.8406832498558</v>
      </c>
      <c r="E19" s="1568">
        <v>33465388.215418998</v>
      </c>
      <c r="F19" s="1569">
        <f t="shared" si="0"/>
        <v>223.36034577378257</v>
      </c>
    </row>
    <row r="20" spans="3:6" ht="17.45" customHeight="1" x14ac:dyDescent="0.4">
      <c r="C20" s="1567">
        <v>2020</v>
      </c>
      <c r="D20" s="1568">
        <v>6594.647811284045</v>
      </c>
      <c r="E20" s="1568">
        <v>32220430.827587299</v>
      </c>
      <c r="F20" s="1569">
        <f t="shared" si="0"/>
        <v>204.67286258747583</v>
      </c>
    </row>
    <row r="21" spans="3:6" x14ac:dyDescent="0.4">
      <c r="C21" s="1570">
        <v>2021</v>
      </c>
      <c r="D21" s="1571">
        <v>7533.4192165752802</v>
      </c>
      <c r="E21" s="1571">
        <v>34551965.032051601</v>
      </c>
      <c r="F21" s="1572">
        <f t="shared" si="0"/>
        <v>218.03157098552916</v>
      </c>
    </row>
    <row r="22" spans="3:6" ht="16.149999999999999" customHeight="1" x14ac:dyDescent="0.4">
      <c r="C22" s="3207" t="s">
        <v>5433</v>
      </c>
      <c r="D22" s="3207"/>
      <c r="E22" s="3207"/>
      <c r="F22" s="3207"/>
    </row>
    <row r="23" spans="3:6" x14ac:dyDescent="0.4">
      <c r="C23" s="3207" t="s">
        <v>5434</v>
      </c>
      <c r="D23" s="3207"/>
      <c r="E23" s="3207"/>
      <c r="F23" s="3207"/>
    </row>
    <row r="24" spans="3:6" x14ac:dyDescent="0.4">
      <c r="C24" s="3204" t="s">
        <v>5435</v>
      </c>
      <c r="D24" s="3204"/>
      <c r="E24" s="3204"/>
      <c r="F24" s="3204"/>
    </row>
    <row r="27" spans="3:6" ht="19.5" x14ac:dyDescent="0.4">
      <c r="C27" s="266" t="s">
        <v>5436</v>
      </c>
    </row>
    <row r="43" spans="3:3" x14ac:dyDescent="0.4">
      <c r="C43" s="115" t="s">
        <v>5437</v>
      </c>
    </row>
    <row r="44" spans="3:3" x14ac:dyDescent="0.4">
      <c r="C44" s="115" t="s">
        <v>5438</v>
      </c>
    </row>
  </sheetData>
  <mergeCells count="14">
    <mergeCell ref="A5:B5"/>
    <mergeCell ref="C5:R5"/>
    <mergeCell ref="C1:D1"/>
    <mergeCell ref="A3:B3"/>
    <mergeCell ref="C3:R3"/>
    <mergeCell ref="A4:B4"/>
    <mergeCell ref="C4:R4"/>
    <mergeCell ref="C24:F24"/>
    <mergeCell ref="A6:B6"/>
    <mergeCell ref="C6:R6"/>
    <mergeCell ref="C9:F9"/>
    <mergeCell ref="K9:M9"/>
    <mergeCell ref="C22:F22"/>
    <mergeCell ref="C23:F23"/>
  </mergeCells>
  <hyperlinks>
    <hyperlink ref="A1" location="'ODS 9.'!A1" display="REGRESAR" xr:uid="{8B83D5AB-CEFC-4FC2-9DA7-C4709958BD72}"/>
    <hyperlink ref="C1:D1" location="'Metadato 9.4.1'!A1" display="VER METADATO" xr:uid="{6AEFFC12-6986-45AF-A81A-A2B2619D1D7C}"/>
    <hyperlink ref="K9:M9" location="'9.4.1. ae'!A1" display="VER EMISIONES DE CO2/VA POR ACTIVIDAD ECONÓMICA" xr:uid="{5138A1D6-02C0-4AC8-B547-38B18FD07C01}"/>
  </hyperlinks>
  <pageMargins left="0.7" right="0.7" top="0.75" bottom="0.75" header="0.3" footer="0.3"/>
  <pageSetup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872B-4CC2-4583-BBE7-F0CDC5F7F7DA}">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265</v>
      </c>
    </row>
    <row r="4" spans="1:6" ht="37.5" x14ac:dyDescent="0.25">
      <c r="A4" s="1079"/>
      <c r="B4" s="2445" t="s">
        <v>234</v>
      </c>
      <c r="C4" s="2445"/>
      <c r="D4" s="49" t="s">
        <v>5368</v>
      </c>
    </row>
    <row r="5" spans="1:6" ht="75" x14ac:dyDescent="0.25">
      <c r="B5" s="2445" t="s">
        <v>79</v>
      </c>
      <c r="C5" s="2445"/>
      <c r="D5" s="49" t="s">
        <v>5347</v>
      </c>
    </row>
    <row r="6" spans="1:6" ht="18" customHeight="1" x14ac:dyDescent="0.25">
      <c r="B6" s="2445" t="s">
        <v>80</v>
      </c>
      <c r="C6" s="2445"/>
      <c r="D6" s="50" t="s">
        <v>5348</v>
      </c>
    </row>
    <row r="7" spans="1:6" ht="15" customHeight="1" x14ac:dyDescent="0.25">
      <c r="B7" s="2446" t="s">
        <v>81</v>
      </c>
      <c r="C7" s="2446"/>
      <c r="D7" s="93" t="s">
        <v>5349</v>
      </c>
    </row>
    <row r="8" spans="1:6" ht="15" customHeight="1" x14ac:dyDescent="0.25">
      <c r="B8" s="2446" t="s">
        <v>82</v>
      </c>
      <c r="C8" s="2446"/>
      <c r="D8" s="1047" t="s">
        <v>5439</v>
      </c>
    </row>
    <row r="9" spans="1:6" x14ac:dyDescent="0.4">
      <c r="B9" s="115"/>
      <c r="C9" s="115"/>
      <c r="D9" s="115"/>
    </row>
    <row r="10" spans="1:6" ht="23.25" customHeight="1" x14ac:dyDescent="0.25">
      <c r="B10" s="3194" t="s">
        <v>85</v>
      </c>
      <c r="C10" s="3194"/>
      <c r="D10" s="3194"/>
    </row>
    <row r="11" spans="1:6" ht="17.25" customHeight="1" x14ac:dyDescent="0.25">
      <c r="B11" s="2487" t="s">
        <v>86</v>
      </c>
      <c r="C11" s="2456"/>
      <c r="D11" s="49" t="s">
        <v>167</v>
      </c>
    </row>
    <row r="12" spans="1:6" ht="15" customHeight="1" x14ac:dyDescent="0.25">
      <c r="B12" s="2446" t="s">
        <v>88</v>
      </c>
      <c r="C12" s="2446"/>
      <c r="D12" s="184" t="s">
        <v>5440</v>
      </c>
    </row>
    <row r="13" spans="1:6" x14ac:dyDescent="0.25">
      <c r="B13" s="2445" t="s">
        <v>90</v>
      </c>
      <c r="C13" s="2445"/>
      <c r="D13" s="55" t="s">
        <v>5348</v>
      </c>
    </row>
    <row r="14" spans="1:6" x14ac:dyDescent="0.25">
      <c r="B14" s="2445" t="s">
        <v>91</v>
      </c>
      <c r="C14" s="2456"/>
      <c r="D14" s="54" t="s">
        <v>355</v>
      </c>
    </row>
    <row r="15" spans="1:6" ht="212.25" customHeight="1" x14ac:dyDescent="0.25">
      <c r="B15" s="2445" t="s">
        <v>93</v>
      </c>
      <c r="C15" s="2445"/>
      <c r="D15" s="55" t="s">
        <v>5441</v>
      </c>
    </row>
    <row r="16" spans="1:6" ht="351.75" customHeight="1" x14ac:dyDescent="0.4">
      <c r="B16" s="2445" t="s">
        <v>95</v>
      </c>
      <c r="C16" s="2445"/>
      <c r="D16" s="594" t="s">
        <v>5442</v>
      </c>
    </row>
    <row r="17" spans="2:4" ht="94.5" customHeight="1" x14ac:dyDescent="0.25">
      <c r="B17" s="2445" t="s">
        <v>97</v>
      </c>
      <c r="C17" s="2445"/>
      <c r="D17" s="55" t="s">
        <v>5443</v>
      </c>
    </row>
    <row r="18" spans="2:4" ht="150" x14ac:dyDescent="0.25">
      <c r="B18" s="2446" t="s">
        <v>99</v>
      </c>
      <c r="C18" s="2446"/>
      <c r="D18" s="49" t="s">
        <v>5444</v>
      </c>
    </row>
    <row r="19" spans="2:4" ht="37.5" x14ac:dyDescent="0.25">
      <c r="B19" s="2457" t="s">
        <v>100</v>
      </c>
      <c r="C19" s="2458"/>
      <c r="D19" s="55" t="s">
        <v>5445</v>
      </c>
    </row>
    <row r="20" spans="2:4" x14ac:dyDescent="0.25">
      <c r="B20" s="2445" t="s">
        <v>102</v>
      </c>
      <c r="C20" s="2445"/>
      <c r="D20" s="55" t="s">
        <v>140</v>
      </c>
    </row>
    <row r="21" spans="2:4" x14ac:dyDescent="0.25">
      <c r="B21" s="3093" t="s">
        <v>104</v>
      </c>
      <c r="C21" s="95" t="s">
        <v>105</v>
      </c>
      <c r="D21" s="55"/>
    </row>
    <row r="22" spans="2:4" x14ac:dyDescent="0.25">
      <c r="B22" s="3094"/>
      <c r="C22" s="96" t="s">
        <v>107</v>
      </c>
      <c r="D22" s="55"/>
    </row>
    <row r="23" spans="2:4" x14ac:dyDescent="0.25">
      <c r="B23" s="2445" t="s">
        <v>109</v>
      </c>
      <c r="C23" s="2445"/>
      <c r="D23" s="49" t="s">
        <v>143</v>
      </c>
    </row>
    <row r="24" spans="2:4" ht="56.25" x14ac:dyDescent="0.25">
      <c r="B24" s="2445" t="s">
        <v>111</v>
      </c>
      <c r="C24" s="2445"/>
      <c r="D24" s="50" t="s">
        <v>4873</v>
      </c>
    </row>
    <row r="25" spans="2:4" x14ac:dyDescent="0.25">
      <c r="B25" s="2445" t="s">
        <v>113</v>
      </c>
      <c r="C25" s="2445"/>
      <c r="D25" s="55" t="s">
        <v>1701</v>
      </c>
    </row>
    <row r="26" spans="2:4" ht="33" customHeight="1" x14ac:dyDescent="0.25">
      <c r="B26" s="2446" t="s">
        <v>115</v>
      </c>
      <c r="C26" s="2446"/>
      <c r="D26" s="50" t="s">
        <v>4874</v>
      </c>
    </row>
    <row r="27" spans="2:4" ht="67.5" customHeight="1" x14ac:dyDescent="0.25">
      <c r="B27" s="2447" t="s">
        <v>117</v>
      </c>
      <c r="C27" s="2448"/>
      <c r="D27" s="49" t="s">
        <v>5446</v>
      </c>
    </row>
    <row r="28" spans="2:4" ht="206.25" x14ac:dyDescent="0.25">
      <c r="B28" s="97" t="s">
        <v>118</v>
      </c>
      <c r="C28" s="98"/>
      <c r="D28" s="55" t="s">
        <v>5447</v>
      </c>
    </row>
    <row r="29" spans="2:4" x14ac:dyDescent="0.25">
      <c r="B29" s="2449" t="s">
        <v>120</v>
      </c>
      <c r="C29" s="2450"/>
      <c r="D29" s="62"/>
    </row>
    <row r="30" spans="2:4" x14ac:dyDescent="0.25">
      <c r="B30" s="63"/>
      <c r="C30" s="63"/>
      <c r="D30" s="64"/>
    </row>
    <row r="31" spans="2:4" ht="23.25" customHeight="1" thickBot="1" x14ac:dyDescent="0.3">
      <c r="B31" s="3208" t="s">
        <v>121</v>
      </c>
      <c r="C31" s="3208"/>
      <c r="D31" s="3208"/>
    </row>
    <row r="32" spans="2:4" x14ac:dyDescent="0.25">
      <c r="B32" s="2885" t="s">
        <v>122</v>
      </c>
      <c r="C32" s="2886"/>
      <c r="D32" s="1287" t="s">
        <v>4814</v>
      </c>
    </row>
    <row r="33" spans="2:4" x14ac:dyDescent="0.25">
      <c r="B33" s="2882" t="s">
        <v>124</v>
      </c>
      <c r="C33" s="2448"/>
      <c r="D33" s="1288" t="s">
        <v>4815</v>
      </c>
    </row>
    <row r="34" spans="2:4" x14ac:dyDescent="0.25">
      <c r="B34" s="2882" t="s">
        <v>126</v>
      </c>
      <c r="C34" s="2448"/>
      <c r="D34" s="1288" t="s">
        <v>3388</v>
      </c>
    </row>
    <row r="35" spans="2:4" x14ac:dyDescent="0.25">
      <c r="B35" s="2882" t="s">
        <v>128</v>
      </c>
      <c r="C35" s="2448"/>
      <c r="D35" s="1288" t="s">
        <v>4816</v>
      </c>
    </row>
    <row r="36" spans="2:4" ht="19.5" thickBot="1" x14ac:dyDescent="0.3">
      <c r="B36" s="2883" t="s">
        <v>130</v>
      </c>
      <c r="C36" s="2884"/>
      <c r="D36" s="1289" t="s">
        <v>3397</v>
      </c>
    </row>
    <row r="37" spans="2:4" x14ac:dyDescent="0.25">
      <c r="B37" s="2885" t="s">
        <v>122</v>
      </c>
      <c r="C37" s="2886"/>
      <c r="D37" s="1287" t="s">
        <v>4817</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4818</v>
      </c>
    </row>
    <row r="41" spans="2:4" ht="19.5" thickBot="1" x14ac:dyDescent="0.3">
      <c r="B41" s="2883" t="s">
        <v>130</v>
      </c>
      <c r="C41" s="2884"/>
      <c r="D41" s="1289" t="s">
        <v>3393</v>
      </c>
    </row>
    <row r="42" spans="2:4" x14ac:dyDescent="0.25">
      <c r="B42" s="2885" t="s">
        <v>122</v>
      </c>
      <c r="C42" s="2886"/>
      <c r="D42" s="1287" t="s">
        <v>4819</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4820</v>
      </c>
    </row>
    <row r="46" spans="2:4" ht="19.5" thickBot="1" x14ac:dyDescent="0.3">
      <c r="B46" s="2883" t="s">
        <v>130</v>
      </c>
      <c r="C46" s="2884"/>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6202A6E9-DCF3-46B9-91FA-3F21810A9EC2}">
      <formula1>Tipo_operación</formula1>
    </dataValidation>
    <dataValidation type="list" allowBlank="1" showInputMessage="1" showErrorMessage="1" sqref="D14" xr:uid="{24777EF1-58D4-4E18-AD5D-41BA3C70A4C4}">
      <formula1>Tipo_indicador</formula1>
    </dataValidation>
    <dataValidation type="list" allowBlank="1" showInputMessage="1" showErrorMessage="1" sqref="D7" xr:uid="{26C42E2B-02FF-4C9E-BFA0-C7B620A38A0F}">
      <formula1>Nombre_indicador_ODS</formula1>
    </dataValidation>
    <dataValidation type="list" allowBlank="1" showInputMessage="1" showErrorMessage="1" sqref="D6" xr:uid="{96387BE8-6287-429D-B564-F325FA159AA0}">
      <formula1>Numero_indicador</formula1>
    </dataValidation>
    <dataValidation type="list" allowBlank="1" showInputMessage="1" showErrorMessage="1" sqref="D5" xr:uid="{4415CF19-B30E-46C3-90AA-254CFBAE5D9A}">
      <formula1>Metas_ODS</formula1>
    </dataValidation>
    <dataValidation type="list" allowBlank="1" showInputMessage="1" showErrorMessage="1" sqref="D4" xr:uid="{759FE2CB-71CE-49BA-8654-D073E8A53404}">
      <formula1>ODS</formula1>
    </dataValidation>
  </dataValidations>
  <hyperlinks>
    <hyperlink ref="B1" location="'9.4.1'!A1" display="REGRESAR" xr:uid="{F31F309B-A927-4434-8F27-CA9BB136F079}"/>
    <hyperlink ref="D8" r:id="rId1" xr:uid="{9114CC0C-5865-4990-8AB6-93A898A3FC18}"/>
    <hyperlink ref="D46" r:id="rId2" xr:uid="{9AB95AAB-C42D-4E47-AB91-BCDC1F0125B9}"/>
    <hyperlink ref="D36" r:id="rId3" xr:uid="{CD5D0B0F-059E-4E0D-8743-EAA5D78A51BD}"/>
    <hyperlink ref="D41" r:id="rId4" display="alvaradoqi@bccr.fi.cr" xr:uid="{6FBE18C1-9668-46F4-9BAF-42903DB7BDFF}"/>
  </hyperlinks>
  <pageMargins left="0.7" right="0.7" top="0.75" bottom="0.75" header="0.3" footer="0.3"/>
  <drawing r:id="rId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F5949-5024-4B23-AAA3-1DE8AC7A7597}">
  <dimension ref="A1:R58"/>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2" width="15.28515625" style="115" customWidth="1"/>
    <col min="3" max="3" width="11.42578125" style="115"/>
    <col min="4" max="4" width="11.28515625" style="115" customWidth="1"/>
    <col min="5" max="5" width="10.42578125" style="115" customWidth="1"/>
    <col min="6" max="6" width="13.42578125" style="115" bestFit="1" customWidth="1"/>
    <col min="7" max="7" width="11.42578125" style="115"/>
    <col min="8" max="8" width="13.42578125" style="115" bestFit="1" customWidth="1"/>
    <col min="9" max="13" width="11.42578125" style="115"/>
    <col min="14" max="14" width="13.5703125" style="115" customWidth="1"/>
    <col min="15" max="16384" width="11.42578125" style="115"/>
  </cols>
  <sheetData>
    <row r="1" spans="1:18" s="1032" customFormat="1" ht="19.5" x14ac:dyDescent="0.4">
      <c r="A1" s="15" t="s">
        <v>39</v>
      </c>
      <c r="C1" s="2421" t="s">
        <v>149</v>
      </c>
      <c r="D1" s="2421"/>
    </row>
    <row r="2" spans="1:18" s="1032" customFormat="1" ht="19.5" x14ac:dyDescent="0.4"/>
    <row r="3" spans="1:18" s="1032" customFormat="1" ht="20.45" customHeight="1" x14ac:dyDescent="0.4">
      <c r="A3" s="3190" t="s">
        <v>41</v>
      </c>
      <c r="B3" s="3193"/>
      <c r="C3" s="3190" t="s">
        <v>5364</v>
      </c>
      <c r="D3" s="3195"/>
      <c r="E3" s="3195"/>
      <c r="F3" s="3195"/>
      <c r="G3" s="3195"/>
      <c r="H3" s="3195"/>
      <c r="I3" s="3195"/>
      <c r="J3" s="3195"/>
      <c r="K3" s="3195"/>
      <c r="L3" s="3195"/>
      <c r="M3" s="3195"/>
      <c r="N3" s="3195"/>
      <c r="O3" s="3195"/>
      <c r="P3" s="3195"/>
      <c r="Q3" s="3195"/>
      <c r="R3" s="3195"/>
    </row>
    <row r="4" spans="1:18" s="1032" customFormat="1" ht="38.450000000000003" customHeight="1" x14ac:dyDescent="0.4">
      <c r="A4" s="3190" t="s">
        <v>42</v>
      </c>
      <c r="B4" s="3191"/>
      <c r="C4" s="3190" t="s">
        <v>5347</v>
      </c>
      <c r="D4" s="3192"/>
      <c r="E4" s="3192"/>
      <c r="F4" s="3192"/>
      <c r="G4" s="3192"/>
      <c r="H4" s="3192"/>
      <c r="I4" s="3192"/>
      <c r="J4" s="3192"/>
      <c r="K4" s="3192"/>
      <c r="L4" s="3192"/>
      <c r="M4" s="3192"/>
      <c r="N4" s="3192"/>
      <c r="O4" s="3192"/>
      <c r="P4" s="3192"/>
      <c r="Q4" s="3192"/>
      <c r="R4" s="3192"/>
    </row>
    <row r="5" spans="1:18" s="1032" customFormat="1" ht="19.5" x14ac:dyDescent="0.4">
      <c r="A5" s="3190" t="s">
        <v>43</v>
      </c>
      <c r="B5" s="3191"/>
      <c r="C5" s="3190" t="s">
        <v>5448</v>
      </c>
      <c r="D5" s="3192"/>
      <c r="E5" s="3192"/>
      <c r="F5" s="3192"/>
      <c r="G5" s="3192"/>
      <c r="H5" s="3192"/>
      <c r="I5" s="3192"/>
      <c r="J5" s="3192"/>
      <c r="K5" s="3192"/>
      <c r="L5" s="3192"/>
      <c r="M5" s="3192"/>
      <c r="N5" s="3192"/>
      <c r="O5" s="3192"/>
      <c r="P5" s="3192"/>
      <c r="Q5" s="3192"/>
      <c r="R5" s="3192"/>
    </row>
    <row r="6" spans="1:18" s="1032" customFormat="1" ht="19.5" x14ac:dyDescent="0.4">
      <c r="A6" s="3190" t="s">
        <v>132</v>
      </c>
      <c r="B6" s="3191"/>
      <c r="C6" s="3205" t="s">
        <v>5449</v>
      </c>
      <c r="D6" s="3206"/>
      <c r="E6" s="3206"/>
      <c r="F6" s="3206"/>
      <c r="G6" s="3206"/>
      <c r="H6" s="3206"/>
      <c r="I6" s="3206"/>
      <c r="J6" s="3206"/>
      <c r="K6" s="3206"/>
      <c r="L6" s="3206"/>
      <c r="M6" s="3206"/>
      <c r="N6" s="3206"/>
      <c r="O6" s="3206"/>
      <c r="P6" s="3206"/>
      <c r="Q6" s="3206"/>
      <c r="R6" s="3206"/>
    </row>
    <row r="7" spans="1:18" s="1032" customFormat="1" ht="19.5" x14ac:dyDescent="0.4"/>
    <row r="8" spans="1:18" s="1032" customFormat="1" ht="19.5" x14ac:dyDescent="0.4"/>
    <row r="9" spans="1:18" s="1032" customFormat="1" ht="17.45" customHeight="1" x14ac:dyDescent="0.4">
      <c r="C9" s="138" t="s">
        <v>5450</v>
      </c>
      <c r="D9" s="138"/>
      <c r="E9" s="138"/>
      <c r="F9" s="138"/>
      <c r="G9" s="138"/>
      <c r="H9" s="138"/>
      <c r="I9" s="138"/>
      <c r="J9" s="138"/>
      <c r="K9" s="138"/>
      <c r="L9" s="138"/>
      <c r="M9" s="138"/>
      <c r="N9" s="138"/>
      <c r="O9" s="138"/>
      <c r="P9" s="138"/>
      <c r="Q9" s="138"/>
      <c r="R9" s="138"/>
    </row>
    <row r="10" spans="1:18" ht="10.15" customHeight="1" x14ac:dyDescent="0.4">
      <c r="C10" s="226"/>
      <c r="D10" s="226"/>
      <c r="E10" s="226"/>
      <c r="F10" s="226"/>
      <c r="G10" s="226"/>
      <c r="H10" s="226"/>
      <c r="I10" s="226"/>
      <c r="J10" s="226"/>
      <c r="K10" s="226"/>
      <c r="L10" s="226"/>
      <c r="M10" s="226"/>
      <c r="N10" s="226"/>
      <c r="O10" s="226"/>
      <c r="P10" s="226"/>
      <c r="Q10" s="226"/>
      <c r="R10" s="226"/>
    </row>
    <row r="11" spans="1:18" ht="206.25" x14ac:dyDescent="0.4">
      <c r="C11" s="1561" t="s">
        <v>1674</v>
      </c>
      <c r="D11" s="1562" t="s">
        <v>5451</v>
      </c>
      <c r="E11" s="1562" t="s">
        <v>5452</v>
      </c>
      <c r="F11" s="1562" t="s">
        <v>5453</v>
      </c>
      <c r="G11" s="1562" t="s">
        <v>5454</v>
      </c>
      <c r="H11" s="1562" t="s">
        <v>5455</v>
      </c>
      <c r="I11" s="1562" t="s">
        <v>5456</v>
      </c>
      <c r="J11" s="1562" t="s">
        <v>5457</v>
      </c>
      <c r="K11" s="1562" t="s">
        <v>5458</v>
      </c>
      <c r="L11" s="1562" t="s">
        <v>5459</v>
      </c>
      <c r="M11" s="1562" t="s">
        <v>5460</v>
      </c>
      <c r="N11" s="1562" t="s">
        <v>5461</v>
      </c>
      <c r="O11" s="1562" t="s">
        <v>5462</v>
      </c>
      <c r="P11" s="1562" t="s">
        <v>5463</v>
      </c>
      <c r="Q11" s="1562" t="s">
        <v>5464</v>
      </c>
      <c r="R11" s="1562" t="s">
        <v>5465</v>
      </c>
    </row>
    <row r="12" spans="1:18" x14ac:dyDescent="0.4">
      <c r="C12" s="1573">
        <v>2011</v>
      </c>
      <c r="D12" s="1574">
        <v>391.36158450818272</v>
      </c>
      <c r="E12" s="1574">
        <v>184.65624020801474</v>
      </c>
      <c r="F12" s="1574">
        <v>370.18123906196524</v>
      </c>
      <c r="G12" s="1574">
        <v>1045.6782641013756</v>
      </c>
      <c r="H12" s="1574">
        <v>162.19485420253847</v>
      </c>
      <c r="I12" s="1574">
        <v>43.976695726301188</v>
      </c>
      <c r="J12" s="1574">
        <v>984.87420482390314</v>
      </c>
      <c r="K12" s="1574">
        <v>62.935869973256118</v>
      </c>
      <c r="L12" s="1574">
        <v>17.528885337217332</v>
      </c>
      <c r="M12" s="1574">
        <v>3.6200582282855143</v>
      </c>
      <c r="N12" s="1574">
        <v>2.6811451216904496</v>
      </c>
      <c r="O12" s="1574">
        <v>42.302817918102072</v>
      </c>
      <c r="P12" s="1574">
        <v>42.188253527733352</v>
      </c>
      <c r="Q12" s="1574">
        <v>54.780107591133728</v>
      </c>
      <c r="R12" s="1574">
        <v>8.6104110212574287</v>
      </c>
    </row>
    <row r="13" spans="1:18" x14ac:dyDescent="0.4">
      <c r="C13" s="1573">
        <v>2012</v>
      </c>
      <c r="D13" s="1574">
        <v>384.98841763470904</v>
      </c>
      <c r="E13" s="1574">
        <v>629.71267337260565</v>
      </c>
      <c r="F13" s="1574">
        <v>338.90253634350603</v>
      </c>
      <c r="G13" s="1574">
        <v>766.87763648232635</v>
      </c>
      <c r="H13" s="1574">
        <v>156.094772983496</v>
      </c>
      <c r="I13" s="1574">
        <v>75.383242867933944</v>
      </c>
      <c r="J13" s="1574">
        <v>882.2067835382461</v>
      </c>
      <c r="K13" s="1574">
        <v>91.864476446048911</v>
      </c>
      <c r="L13" s="1574">
        <v>10.697976104745941</v>
      </c>
      <c r="M13" s="1574">
        <v>3.8618523204534445</v>
      </c>
      <c r="N13" s="1574">
        <v>3.4745532318591072</v>
      </c>
      <c r="O13" s="1574">
        <v>51.208199485201163</v>
      </c>
      <c r="P13" s="1574">
        <v>105.45845068982861</v>
      </c>
      <c r="Q13" s="1574">
        <v>33.345473141980492</v>
      </c>
      <c r="R13" s="1574">
        <v>26.447253808451268</v>
      </c>
    </row>
    <row r="14" spans="1:18" x14ac:dyDescent="0.4">
      <c r="C14" s="1573">
        <v>2013</v>
      </c>
      <c r="D14" s="1574">
        <v>390.25146894261161</v>
      </c>
      <c r="E14" s="1574">
        <v>534.87022339090208</v>
      </c>
      <c r="F14" s="1574">
        <v>328.70831778580333</v>
      </c>
      <c r="G14" s="1574">
        <v>1384.8044502571151</v>
      </c>
      <c r="H14" s="1574">
        <v>177.50530619704583</v>
      </c>
      <c r="I14" s="1574">
        <v>70.651753439971387</v>
      </c>
      <c r="J14" s="1574">
        <v>825.98762161891909</v>
      </c>
      <c r="K14" s="1574">
        <v>80.770522713419368</v>
      </c>
      <c r="L14" s="1574">
        <v>9.5513120568188672</v>
      </c>
      <c r="M14" s="1574">
        <v>3.6977939310006587</v>
      </c>
      <c r="N14" s="1574">
        <v>3.115950390202503</v>
      </c>
      <c r="O14" s="1574">
        <v>42.967905248052332</v>
      </c>
      <c r="P14" s="1574">
        <v>122.0111800276043</v>
      </c>
      <c r="Q14" s="1574">
        <v>23.97650846416898</v>
      </c>
      <c r="R14" s="1574">
        <v>21.515660107012309</v>
      </c>
    </row>
    <row r="15" spans="1:18" x14ac:dyDescent="0.4">
      <c r="C15" s="1573">
        <v>2014</v>
      </c>
      <c r="D15" s="1574">
        <v>385.66215874522356</v>
      </c>
      <c r="E15" s="1574">
        <v>520.07967693923615</v>
      </c>
      <c r="F15" s="1574">
        <v>317.55537816881076</v>
      </c>
      <c r="G15" s="1574">
        <v>1215.6890851595083</v>
      </c>
      <c r="H15" s="1574">
        <v>194.33740863022555</v>
      </c>
      <c r="I15" s="1574">
        <v>60.912651516522864</v>
      </c>
      <c r="J15" s="1574">
        <v>811.59110682090272</v>
      </c>
      <c r="K15" s="1574">
        <v>80.503731857951436</v>
      </c>
      <c r="L15" s="1574">
        <v>10.210307804680951</v>
      </c>
      <c r="M15" s="1574">
        <v>4.5698072321613363</v>
      </c>
      <c r="N15" s="1574">
        <v>3.3655772365870114</v>
      </c>
      <c r="O15" s="1574">
        <v>42.167897825582607</v>
      </c>
      <c r="P15" s="1574">
        <v>121.19961014322519</v>
      </c>
      <c r="Q15" s="1574">
        <v>25.012982405888543</v>
      </c>
      <c r="R15" s="1574">
        <v>23.769008757440375</v>
      </c>
    </row>
    <row r="16" spans="1:18" x14ac:dyDescent="0.4">
      <c r="C16" s="1573">
        <v>2015</v>
      </c>
      <c r="D16" s="1574">
        <v>409.8019706437027</v>
      </c>
      <c r="E16" s="1574">
        <v>702.02913318230401</v>
      </c>
      <c r="F16" s="1574">
        <v>326.51776504806458</v>
      </c>
      <c r="G16" s="1574">
        <v>211.4740891468565</v>
      </c>
      <c r="H16" s="1574">
        <v>174.11147279973528</v>
      </c>
      <c r="I16" s="1574">
        <v>52.557627770529635</v>
      </c>
      <c r="J16" s="1574">
        <v>843.12703370044164</v>
      </c>
      <c r="K16" s="1574">
        <v>82.386734475493029</v>
      </c>
      <c r="L16" s="1574">
        <v>10.490422954537793</v>
      </c>
      <c r="M16" s="1574">
        <v>5.9647657079688203</v>
      </c>
      <c r="N16" s="1574">
        <v>4.9176756455823538</v>
      </c>
      <c r="O16" s="1574">
        <v>56.191229989496961</v>
      </c>
      <c r="P16" s="1574">
        <v>126.48813162724933</v>
      </c>
      <c r="Q16" s="1574">
        <v>26.750053761286967</v>
      </c>
      <c r="R16" s="1574">
        <v>34.828569015364486</v>
      </c>
    </row>
    <row r="17" spans="3:18" ht="12.75" customHeight="1" x14ac:dyDescent="0.4">
      <c r="C17" s="1573">
        <v>2016</v>
      </c>
      <c r="D17" s="1574">
        <v>411.79629072657787</v>
      </c>
      <c r="E17" s="1574">
        <v>885.73774079248824</v>
      </c>
      <c r="F17" s="1574">
        <v>329.95191468126222</v>
      </c>
      <c r="G17" s="1574">
        <v>274.04168655086261</v>
      </c>
      <c r="H17" s="1574">
        <v>181.98002269954694</v>
      </c>
      <c r="I17" s="1574">
        <v>45.412195133863712</v>
      </c>
      <c r="J17" s="1574">
        <v>852.22271404420064</v>
      </c>
      <c r="K17" s="1574">
        <v>76.431238415682444</v>
      </c>
      <c r="L17" s="1574">
        <v>12.620458786682411</v>
      </c>
      <c r="M17" s="1574">
        <v>8.0023434955555039</v>
      </c>
      <c r="N17" s="1574">
        <v>4.8797598716090125</v>
      </c>
      <c r="O17" s="1574">
        <v>52.247532079933244</v>
      </c>
      <c r="P17" s="1574">
        <v>131.79308561979795</v>
      </c>
      <c r="Q17" s="1574">
        <v>25.712869000549418</v>
      </c>
      <c r="R17" s="1574">
        <v>36.340432768358951</v>
      </c>
    </row>
    <row r="18" spans="3:18" ht="15" customHeight="1" x14ac:dyDescent="0.4">
      <c r="C18" s="1573">
        <v>2017</v>
      </c>
      <c r="D18" s="1574">
        <v>407.01018963827062</v>
      </c>
      <c r="E18" s="1574">
        <v>959.5100960473934</v>
      </c>
      <c r="F18" s="1574">
        <v>356.24285280423595</v>
      </c>
      <c r="G18" s="1574">
        <v>77.924969633103217</v>
      </c>
      <c r="H18" s="1574">
        <v>182.003546200502</v>
      </c>
      <c r="I18" s="1574">
        <v>69.641590375139643</v>
      </c>
      <c r="J18" s="1574">
        <v>876.70302909731026</v>
      </c>
      <c r="K18" s="1574">
        <v>81.895934994889885</v>
      </c>
      <c r="L18" s="1574">
        <v>7.9886283713272928</v>
      </c>
      <c r="M18" s="1574">
        <v>4.5049850467766417</v>
      </c>
      <c r="N18" s="1574">
        <v>1.85366304934021</v>
      </c>
      <c r="O18" s="1574">
        <v>40.965869017497297</v>
      </c>
      <c r="P18" s="1574">
        <v>135.21207412329326</v>
      </c>
      <c r="Q18" s="1574">
        <v>21.499998459680448</v>
      </c>
      <c r="R18" s="1574">
        <v>47.660998282813374</v>
      </c>
    </row>
    <row r="19" spans="3:18" ht="15" customHeight="1" x14ac:dyDescent="0.4">
      <c r="C19" s="1573">
        <v>2018</v>
      </c>
      <c r="D19" s="1574">
        <v>379.40497390814949</v>
      </c>
      <c r="E19" s="1574">
        <v>664.23785037277867</v>
      </c>
      <c r="F19" s="1574">
        <v>316.74387034069105</v>
      </c>
      <c r="G19" s="1574">
        <v>173.29615598774078</v>
      </c>
      <c r="H19" s="1574">
        <v>188.38650205669973</v>
      </c>
      <c r="I19" s="1574">
        <v>54.882388747417266</v>
      </c>
      <c r="J19" s="1574">
        <v>850.18089481228265</v>
      </c>
      <c r="K19" s="1574">
        <v>83.170419568697511</v>
      </c>
      <c r="L19" s="1574">
        <v>7.5233425139300465</v>
      </c>
      <c r="M19" s="1574">
        <v>3.9365643565737432</v>
      </c>
      <c r="N19" s="1574">
        <v>0.50481995383443456</v>
      </c>
      <c r="O19" s="1574">
        <v>37.696310333999136</v>
      </c>
      <c r="P19" s="1574">
        <v>134.45125475312128</v>
      </c>
      <c r="Q19" s="1574">
        <v>21.675990184033999</v>
      </c>
      <c r="R19" s="1574">
        <v>42.700678584924013</v>
      </c>
    </row>
    <row r="20" spans="3:18" ht="14.65" customHeight="1" x14ac:dyDescent="0.4">
      <c r="C20" s="1573">
        <v>2019</v>
      </c>
      <c r="D20" s="1574">
        <v>395.85421830481761</v>
      </c>
      <c r="E20" s="1574">
        <v>994.86985209124828</v>
      </c>
      <c r="F20" s="1574">
        <v>250.81994803942024</v>
      </c>
      <c r="G20" s="1574">
        <v>102.15496488458059</v>
      </c>
      <c r="H20" s="1574">
        <v>195.56225102609994</v>
      </c>
      <c r="I20" s="1574">
        <v>54.510749605187272</v>
      </c>
      <c r="J20" s="1574">
        <v>809.89871572911102</v>
      </c>
      <c r="K20" s="1574">
        <v>82.344963690788063</v>
      </c>
      <c r="L20" s="1574">
        <v>5.6948766875685548</v>
      </c>
      <c r="M20" s="1574">
        <v>4.0609089609769988</v>
      </c>
      <c r="N20" s="1574">
        <v>0.49135597829201766</v>
      </c>
      <c r="O20" s="1574">
        <v>38.507427032706076</v>
      </c>
      <c r="P20" s="1574">
        <v>140.66244412325551</v>
      </c>
      <c r="Q20" s="1574">
        <v>21.649948065664233</v>
      </c>
      <c r="R20" s="1574">
        <v>42.141805006814209</v>
      </c>
    </row>
    <row r="21" spans="3:18" x14ac:dyDescent="0.4">
      <c r="C21" s="1573">
        <v>2020</v>
      </c>
      <c r="D21" s="1574">
        <v>344.90300568011264</v>
      </c>
      <c r="E21" s="1574">
        <v>1227.8499268237108</v>
      </c>
      <c r="F21" s="1574">
        <v>267.1967762897778</v>
      </c>
      <c r="G21" s="1574">
        <v>42.311733507074678</v>
      </c>
      <c r="H21" s="1574">
        <v>191.85545892920157</v>
      </c>
      <c r="I21" s="1574">
        <v>44.560653203962289</v>
      </c>
      <c r="J21" s="1574">
        <v>797.72586153419081</v>
      </c>
      <c r="K21" s="1574">
        <v>115.71427114962228</v>
      </c>
      <c r="L21" s="1574">
        <v>6.8941674505639412</v>
      </c>
      <c r="M21" s="1574">
        <v>3.6083255801418885</v>
      </c>
      <c r="N21" s="1574">
        <v>0.37047975075859307</v>
      </c>
      <c r="O21" s="1574">
        <v>37.418584808576924</v>
      </c>
      <c r="P21" s="1574">
        <v>124.42795402700588</v>
      </c>
      <c r="Q21" s="1574">
        <v>17.554989466738</v>
      </c>
      <c r="R21" s="1574">
        <v>37.589179369696637</v>
      </c>
    </row>
    <row r="22" spans="3:18" ht="17.45" customHeight="1" x14ac:dyDescent="0.4">
      <c r="C22" s="1575">
        <v>2021</v>
      </c>
      <c r="D22" s="1576">
        <v>387.81580022962015</v>
      </c>
      <c r="E22" s="1576">
        <v>1309.8481372573513</v>
      </c>
      <c r="F22" s="1576">
        <v>255.53842633393239</v>
      </c>
      <c r="G22" s="1576">
        <v>51.246258662902221</v>
      </c>
      <c r="H22" s="1576">
        <v>213.2815194527013</v>
      </c>
      <c r="I22" s="1576">
        <v>48.796944462625142</v>
      </c>
      <c r="J22" s="1576">
        <v>840.3039307948186</v>
      </c>
      <c r="K22" s="1576">
        <v>115.14824081773121</v>
      </c>
      <c r="L22" s="1576">
        <v>5.8941280316031293</v>
      </c>
      <c r="M22" s="1576">
        <v>0.91196502850353134</v>
      </c>
      <c r="N22" s="1576">
        <v>0.50474532996943033</v>
      </c>
      <c r="O22" s="1576">
        <v>41.106933529330277</v>
      </c>
      <c r="P22" s="1576">
        <v>124.09556294668137</v>
      </c>
      <c r="Q22" s="1576">
        <v>21.945661527964319</v>
      </c>
      <c r="R22" s="1576">
        <v>38.121471646721183</v>
      </c>
    </row>
    <row r="23" spans="3:18" ht="17.45" customHeight="1" x14ac:dyDescent="0.4">
      <c r="C23" s="3207" t="s">
        <v>5466</v>
      </c>
      <c r="D23" s="3207"/>
      <c r="E23" s="3207"/>
      <c r="F23" s="3207"/>
      <c r="G23" s="3207"/>
      <c r="H23" s="3207"/>
      <c r="I23" s="3207"/>
      <c r="J23" s="3207"/>
      <c r="K23" s="3207"/>
      <c r="L23" s="3207"/>
      <c r="M23" s="3207"/>
      <c r="N23" s="3207"/>
      <c r="O23" s="3207"/>
      <c r="P23" s="3207"/>
      <c r="Q23" s="1577"/>
      <c r="R23" s="1577"/>
    </row>
    <row r="24" spans="3:18" x14ac:dyDescent="0.4">
      <c r="C24" s="3207" t="s">
        <v>5435</v>
      </c>
      <c r="D24" s="3209"/>
      <c r="E24" s="3209"/>
      <c r="F24" s="3209"/>
      <c r="G24" s="3209"/>
      <c r="H24" s="3209"/>
      <c r="I24" s="3209"/>
      <c r="J24" s="3209"/>
      <c r="K24" s="3209"/>
      <c r="L24" s="3209"/>
      <c r="M24" s="3209"/>
      <c r="N24" s="3209"/>
      <c r="O24" s="3209"/>
      <c r="P24" s="3209"/>
      <c r="Q24" s="1577"/>
      <c r="R24" s="1577"/>
    </row>
    <row r="25" spans="3:18" x14ac:dyDescent="0.4">
      <c r="C25" s="545"/>
      <c r="D25" s="545"/>
      <c r="E25" s="545"/>
      <c r="F25" s="545"/>
      <c r="G25" s="545"/>
      <c r="H25" s="545"/>
      <c r="I25" s="545"/>
      <c r="J25" s="545"/>
      <c r="K25" s="545"/>
      <c r="L25" s="545"/>
      <c r="M25" s="545"/>
      <c r="N25" s="545"/>
      <c r="O25" s="545"/>
      <c r="P25" s="545"/>
    </row>
    <row r="26" spans="3:18" x14ac:dyDescent="0.4">
      <c r="C26" s="545"/>
      <c r="D26" s="545"/>
      <c r="E26" s="545"/>
      <c r="F26" s="545"/>
      <c r="G26" s="545"/>
      <c r="H26" s="545"/>
      <c r="I26" s="545"/>
      <c r="J26" s="545"/>
      <c r="K26" s="545"/>
      <c r="L26" s="545"/>
      <c r="M26" s="545"/>
      <c r="N26" s="545"/>
      <c r="O26" s="545"/>
      <c r="P26" s="545"/>
    </row>
    <row r="27" spans="3:18" x14ac:dyDescent="0.4">
      <c r="C27" s="545"/>
      <c r="D27" s="545"/>
      <c r="E27" s="545"/>
      <c r="F27" s="545"/>
      <c r="G27" s="545"/>
      <c r="H27" s="545"/>
      <c r="I27" s="545"/>
      <c r="J27" s="545"/>
      <c r="K27" s="545"/>
      <c r="L27" s="545"/>
      <c r="M27" s="545"/>
      <c r="N27" s="545"/>
      <c r="O27" s="545"/>
      <c r="P27" s="545"/>
    </row>
    <row r="28" spans="3:18" ht="21" customHeight="1" x14ac:dyDescent="0.4">
      <c r="C28" s="266" t="s">
        <v>5467</v>
      </c>
      <c r="D28" s="545"/>
      <c r="E28" s="545"/>
      <c r="F28" s="545"/>
      <c r="G28" s="545"/>
      <c r="H28" s="545"/>
      <c r="I28" s="545"/>
      <c r="J28" s="545"/>
      <c r="K28" s="545"/>
      <c r="L28" s="545"/>
      <c r="M28" s="545"/>
      <c r="N28" s="545"/>
      <c r="O28" s="545"/>
      <c r="P28" s="545"/>
    </row>
    <row r="47" spans="4:16" ht="17.45" customHeight="1" x14ac:dyDescent="0.4">
      <c r="D47" s="155"/>
      <c r="E47" s="155"/>
      <c r="F47" s="155"/>
      <c r="G47" s="155"/>
      <c r="H47" s="155"/>
      <c r="I47" s="155"/>
      <c r="J47" s="155"/>
      <c r="K47" s="155"/>
      <c r="L47" s="155"/>
      <c r="M47" s="155"/>
      <c r="N47" s="155"/>
      <c r="O47" s="155"/>
      <c r="P47" s="155"/>
    </row>
    <row r="57" spans="3:3" x14ac:dyDescent="0.4">
      <c r="C57" s="155" t="s">
        <v>5468</v>
      </c>
    </row>
    <row r="58" spans="3:3" x14ac:dyDescent="0.4">
      <c r="C58" s="115" t="s">
        <v>5438</v>
      </c>
    </row>
  </sheetData>
  <mergeCells count="11">
    <mergeCell ref="A6:B6"/>
    <mergeCell ref="C6:R6"/>
    <mergeCell ref="C23:P23"/>
    <mergeCell ref="C24:P24"/>
    <mergeCell ref="C1:D1"/>
    <mergeCell ref="A3:B3"/>
    <mergeCell ref="C3:R3"/>
    <mergeCell ref="A4:B4"/>
    <mergeCell ref="C4:R4"/>
    <mergeCell ref="A5:B5"/>
    <mergeCell ref="C5:R5"/>
  </mergeCells>
  <hyperlinks>
    <hyperlink ref="A1" location="'9.4.1'!A1" display="REGRESAR" xr:uid="{D3EF198D-5254-4CCA-B4AD-13C27428769C}"/>
    <hyperlink ref="C1:D1" location="'Metadato 9.4.1. ae'!A1" display="VER METADATO" xr:uid="{E5826D02-593C-4720-A900-CD27D2D8C081}"/>
  </hyperlinks>
  <pageMargins left="0.7" right="0.7" top="0.75" bottom="0.75" header="0.3" footer="0.3"/>
  <pageSetup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AD01-36D8-49EB-BB5A-4355F17F3834}">
  <sheetPr>
    <tabColor theme="0" tint="-0.499984740745262"/>
  </sheetPr>
  <dimension ref="A1:F4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265</v>
      </c>
    </row>
    <row r="4" spans="1:6" ht="37.5" x14ac:dyDescent="0.25">
      <c r="A4" s="1079"/>
      <c r="B4" s="2445" t="s">
        <v>234</v>
      </c>
      <c r="C4" s="2445"/>
      <c r="D4" s="49" t="s">
        <v>5368</v>
      </c>
    </row>
    <row r="5" spans="1:6" ht="75" x14ac:dyDescent="0.25">
      <c r="B5" s="2445" t="s">
        <v>79</v>
      </c>
      <c r="C5" s="2445"/>
      <c r="D5" s="49" t="s">
        <v>5347</v>
      </c>
    </row>
    <row r="6" spans="1:6" ht="18" customHeight="1" x14ac:dyDescent="0.25">
      <c r="B6" s="2445" t="s">
        <v>80</v>
      </c>
      <c r="C6" s="2445"/>
      <c r="D6" s="50" t="s">
        <v>5469</v>
      </c>
    </row>
    <row r="7" spans="1:6" ht="15" customHeight="1" x14ac:dyDescent="0.25">
      <c r="B7" s="2446" t="s">
        <v>81</v>
      </c>
      <c r="C7" s="2446"/>
      <c r="D7" s="93" t="s">
        <v>5470</v>
      </c>
    </row>
    <row r="8" spans="1:6" x14ac:dyDescent="0.25">
      <c r="B8" s="2446" t="s">
        <v>82</v>
      </c>
      <c r="C8" s="2446"/>
      <c r="D8" s="1047" t="s">
        <v>5439</v>
      </c>
    </row>
    <row r="9" spans="1:6" ht="23.25" customHeight="1" x14ac:dyDescent="0.4">
      <c r="B9" s="115"/>
      <c r="C9" s="115"/>
      <c r="D9" s="115"/>
    </row>
    <row r="10" spans="1:6" ht="17.25" customHeight="1" x14ac:dyDescent="0.25">
      <c r="B10" s="3194" t="s">
        <v>85</v>
      </c>
      <c r="C10" s="3194"/>
      <c r="D10" s="3194"/>
    </row>
    <row r="11" spans="1:6" ht="15" customHeight="1" x14ac:dyDescent="0.25">
      <c r="B11" s="2487" t="s">
        <v>86</v>
      </c>
      <c r="C11" s="2456"/>
      <c r="D11" s="49" t="s">
        <v>167</v>
      </c>
    </row>
    <row r="12" spans="1:6" x14ac:dyDescent="0.25">
      <c r="B12" s="2446" t="s">
        <v>88</v>
      </c>
      <c r="C12" s="2446"/>
      <c r="D12" s="184" t="s">
        <v>5440</v>
      </c>
    </row>
    <row r="13" spans="1:6" x14ac:dyDescent="0.25">
      <c r="B13" s="2445" t="s">
        <v>90</v>
      </c>
      <c r="C13" s="2445"/>
      <c r="D13" s="55" t="s">
        <v>5348</v>
      </c>
    </row>
    <row r="14" spans="1:6" x14ac:dyDescent="0.25">
      <c r="B14" s="2445" t="s">
        <v>91</v>
      </c>
      <c r="C14" s="2456"/>
      <c r="D14" s="54" t="s">
        <v>355</v>
      </c>
    </row>
    <row r="15" spans="1:6" ht="231" customHeight="1" x14ac:dyDescent="0.4">
      <c r="B15" s="2445" t="s">
        <v>93</v>
      </c>
      <c r="C15" s="2445"/>
      <c r="D15" s="55" t="s">
        <v>5471</v>
      </c>
      <c r="E15" s="115"/>
    </row>
    <row r="16" spans="1:6" ht="94.5" customHeight="1" x14ac:dyDescent="0.25">
      <c r="B16" s="2445" t="s">
        <v>95</v>
      </c>
      <c r="C16" s="2445"/>
      <c r="D16" s="55" t="s">
        <v>5472</v>
      </c>
    </row>
    <row r="17" spans="2:4" ht="112.5" x14ac:dyDescent="0.25">
      <c r="B17" s="2445" t="s">
        <v>97</v>
      </c>
      <c r="C17" s="2445"/>
      <c r="D17" s="55" t="s">
        <v>5473</v>
      </c>
    </row>
    <row r="18" spans="2:4" ht="150" x14ac:dyDescent="0.25">
      <c r="B18" s="2446" t="s">
        <v>99</v>
      </c>
      <c r="C18" s="2446"/>
      <c r="D18" s="49" t="s">
        <v>5474</v>
      </c>
    </row>
    <row r="19" spans="2:4" ht="37.5" x14ac:dyDescent="0.25">
      <c r="B19" s="2457" t="s">
        <v>100</v>
      </c>
      <c r="C19" s="2458"/>
      <c r="D19" s="55" t="s">
        <v>5475</v>
      </c>
    </row>
    <row r="20" spans="2:4" x14ac:dyDescent="0.25">
      <c r="B20" s="2445" t="s">
        <v>102</v>
      </c>
      <c r="C20" s="2445"/>
      <c r="D20" s="55" t="s">
        <v>140</v>
      </c>
    </row>
    <row r="21" spans="2:4" x14ac:dyDescent="0.25">
      <c r="B21" s="2451" t="s">
        <v>104</v>
      </c>
      <c r="C21" s="95" t="s">
        <v>105</v>
      </c>
      <c r="D21" s="55" t="s">
        <v>4810</v>
      </c>
    </row>
    <row r="22" spans="2:4" x14ac:dyDescent="0.25">
      <c r="B22" s="2452"/>
      <c r="C22" s="96" t="s">
        <v>107</v>
      </c>
      <c r="D22" s="55" t="s">
        <v>5476</v>
      </c>
    </row>
    <row r="23" spans="2:4" x14ac:dyDescent="0.25">
      <c r="B23" s="2445" t="s">
        <v>109</v>
      </c>
      <c r="C23" s="2445"/>
      <c r="D23" s="49" t="s">
        <v>143</v>
      </c>
    </row>
    <row r="24" spans="2:4" ht="56.25" x14ac:dyDescent="0.25">
      <c r="B24" s="2445" t="s">
        <v>111</v>
      </c>
      <c r="C24" s="2445"/>
      <c r="D24" s="50" t="s">
        <v>4873</v>
      </c>
    </row>
    <row r="25" spans="2:4" x14ac:dyDescent="0.25">
      <c r="B25" s="2445" t="s">
        <v>113</v>
      </c>
      <c r="C25" s="2445"/>
      <c r="D25" s="55" t="s">
        <v>1701</v>
      </c>
    </row>
    <row r="26" spans="2:4" ht="34.5" customHeight="1" x14ac:dyDescent="0.25">
      <c r="B26" s="2446" t="s">
        <v>115</v>
      </c>
      <c r="C26" s="2446"/>
      <c r="D26" s="50" t="s">
        <v>4874</v>
      </c>
    </row>
    <row r="27" spans="2:4" ht="63" customHeight="1" x14ac:dyDescent="0.25">
      <c r="B27" s="2447" t="s">
        <v>117</v>
      </c>
      <c r="C27" s="2448"/>
      <c r="D27" s="49" t="s">
        <v>5446</v>
      </c>
    </row>
    <row r="28" spans="2:4" ht="206.25" x14ac:dyDescent="0.25">
      <c r="B28" s="97" t="s">
        <v>118</v>
      </c>
      <c r="C28" s="98"/>
      <c r="D28" s="55" t="s">
        <v>5447</v>
      </c>
    </row>
    <row r="29" spans="2:4" x14ac:dyDescent="0.25">
      <c r="B29" s="2449" t="s">
        <v>120</v>
      </c>
      <c r="C29" s="2450"/>
      <c r="D29" s="62"/>
    </row>
    <row r="30" spans="2:4" ht="23.25" customHeight="1" x14ac:dyDescent="0.25">
      <c r="B30" s="63"/>
      <c r="C30" s="63"/>
      <c r="D30" s="64"/>
    </row>
    <row r="31" spans="2:4" ht="20.25" thickBot="1" x14ac:dyDescent="0.3">
      <c r="B31" s="3194" t="s">
        <v>121</v>
      </c>
      <c r="C31" s="3194"/>
      <c r="D31" s="3194"/>
    </row>
    <row r="32" spans="2:4" x14ac:dyDescent="0.25">
      <c r="B32" s="2885" t="s">
        <v>122</v>
      </c>
      <c r="C32" s="2886"/>
      <c r="D32" s="1287" t="s">
        <v>4814</v>
      </c>
    </row>
    <row r="33" spans="2:4" x14ac:dyDescent="0.25">
      <c r="B33" s="2882" t="s">
        <v>124</v>
      </c>
      <c r="C33" s="2448"/>
      <c r="D33" s="1288" t="s">
        <v>4815</v>
      </c>
    </row>
    <row r="34" spans="2:4" x14ac:dyDescent="0.25">
      <c r="B34" s="2882" t="s">
        <v>126</v>
      </c>
      <c r="C34" s="2448"/>
      <c r="D34" s="1288" t="s">
        <v>3388</v>
      </c>
    </row>
    <row r="35" spans="2:4" x14ac:dyDescent="0.25">
      <c r="B35" s="2882" t="s">
        <v>128</v>
      </c>
      <c r="C35" s="2448"/>
      <c r="D35" s="1288" t="s">
        <v>4816</v>
      </c>
    </row>
    <row r="36" spans="2:4" ht="19.5" thickBot="1" x14ac:dyDescent="0.3">
      <c r="B36" s="2883" t="s">
        <v>130</v>
      </c>
      <c r="C36" s="2884"/>
      <c r="D36" s="1289" t="s">
        <v>3397</v>
      </c>
    </row>
    <row r="37" spans="2:4" x14ac:dyDescent="0.25">
      <c r="B37" s="2885" t="s">
        <v>122</v>
      </c>
      <c r="C37" s="2886"/>
      <c r="D37" s="1287" t="s">
        <v>4817</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4818</v>
      </c>
    </row>
    <row r="41" spans="2:4" ht="19.5" thickBot="1" x14ac:dyDescent="0.3">
      <c r="B41" s="2883" t="s">
        <v>130</v>
      </c>
      <c r="C41" s="2884"/>
      <c r="D41" s="1289" t="s">
        <v>3393</v>
      </c>
    </row>
    <row r="42" spans="2:4" x14ac:dyDescent="0.25">
      <c r="B42" s="2885" t="s">
        <v>122</v>
      </c>
      <c r="C42" s="2886"/>
      <c r="D42" s="1287" t="s">
        <v>4819</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4820</v>
      </c>
    </row>
    <row r="46" spans="2:4" ht="19.5" thickBot="1" x14ac:dyDescent="0.3">
      <c r="B46" s="2883" t="s">
        <v>130</v>
      </c>
      <c r="C46" s="2884"/>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CD8012C0-FF61-4AEA-B9C2-D7BDEA4D7521}">
      <formula1>ODS</formula1>
    </dataValidation>
    <dataValidation type="list" allowBlank="1" showInputMessage="1" showErrorMessage="1" sqref="D5" xr:uid="{ECBD1A31-5A82-4843-A111-B5E244A9E04F}">
      <formula1>Metas_ODS</formula1>
    </dataValidation>
    <dataValidation type="list" allowBlank="1" showInputMessage="1" showErrorMessage="1" sqref="D6" xr:uid="{45D88399-6788-465C-8839-4B4B2895A500}">
      <formula1>Numero_indicador</formula1>
    </dataValidation>
    <dataValidation type="list" allowBlank="1" showInputMessage="1" showErrorMessage="1" sqref="D7" xr:uid="{E2147593-8993-4FCD-8531-2FA18459F46B}">
      <formula1>Nombre_indicador_ODS</formula1>
    </dataValidation>
    <dataValidation type="list" allowBlank="1" showInputMessage="1" showErrorMessage="1" sqref="D14" xr:uid="{1E0D8AF6-20EF-439A-9352-4D5A56855C44}">
      <formula1>Tipo_indicador</formula1>
    </dataValidation>
    <dataValidation type="list" allowBlank="1" showInputMessage="1" showErrorMessage="1" sqref="D25" xr:uid="{9766540C-1042-4A10-B8D5-DEE19CA45D93}">
      <formula1>Tipo_operación</formula1>
    </dataValidation>
  </dataValidations>
  <hyperlinks>
    <hyperlink ref="B1" location="'9.4.1. ae'!A1" display="REGRESAR" xr:uid="{1964EB3A-70E2-4427-B987-203BC9914562}"/>
    <hyperlink ref="D8" r:id="rId1" xr:uid="{4ECAAE9A-1E00-4DA4-9D4B-D5E73ACED961}"/>
    <hyperlink ref="D41" r:id="rId2" display="alvaradoqi@bccr.fi.cr" xr:uid="{BF292953-38B3-4C94-85A0-B9F45858157C}"/>
    <hyperlink ref="D36" r:id="rId3" xr:uid="{C323D9F0-BA14-4CF4-9266-1DD6412A4A33}"/>
    <hyperlink ref="D46" r:id="rId4" display="rodriguezzm@bccr.fi.cr" xr:uid="{651EB852-0BCE-4AB2-82E3-DA740E4E6115}"/>
  </hyperlinks>
  <pageMargins left="0.7" right="0.7" top="0.75" bottom="0.75" header="0.3" footer="0.3"/>
  <pageSetup orientation="portrait" r:id="rId5"/>
  <drawing r:id="rId6"/>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25C9-BB4E-4445-8E9A-9947A946E7B1}">
  <dimension ref="A1:AE45"/>
  <sheetViews>
    <sheetView showGridLines="0" workbookViewId="0">
      <pane ySplit="1" topLeftCell="A2" activePane="bottomLeft" state="frozen"/>
      <selection pane="bottomLeft"/>
    </sheetView>
  </sheetViews>
  <sheetFormatPr baseColWidth="10" defaultColWidth="11.42578125" defaultRowHeight="18.75" x14ac:dyDescent="0.4"/>
  <cols>
    <col min="1" max="2" width="15.28515625" style="115" customWidth="1"/>
    <col min="3" max="3" width="7" style="115" customWidth="1"/>
    <col min="4" max="4" width="9.7109375" style="115" customWidth="1"/>
    <col min="5" max="5" width="11.42578125" style="115"/>
    <col min="6" max="6" width="12.7109375" style="115" customWidth="1"/>
    <col min="7" max="9" width="11.42578125" style="115"/>
    <col min="10" max="10" width="8.28515625" style="115" customWidth="1"/>
    <col min="11" max="11" width="4.42578125" style="115" customWidth="1"/>
    <col min="12" max="12" width="12" style="115" customWidth="1"/>
    <col min="13" max="13" width="7.7109375" style="115" customWidth="1"/>
    <col min="14" max="14" width="3.7109375" style="115" customWidth="1"/>
    <col min="15" max="15" width="1.7109375" style="115" customWidth="1"/>
    <col min="16" max="16" width="11.42578125" style="115"/>
    <col min="17" max="17" width="8.28515625" style="115" customWidth="1"/>
    <col min="18" max="18" width="3.5703125" style="115" customWidth="1"/>
    <col min="19" max="19" width="11.42578125" style="115"/>
    <col min="20" max="20" width="7.7109375" style="115" customWidth="1"/>
    <col min="21" max="21" width="2.7109375" style="115" customWidth="1"/>
    <col min="22" max="16384" width="11.42578125" style="115"/>
  </cols>
  <sheetData>
    <row r="1" spans="1:31" s="1032" customFormat="1" ht="19.5" x14ac:dyDescent="0.4">
      <c r="A1" s="15" t="s">
        <v>39</v>
      </c>
      <c r="C1" s="2421" t="s">
        <v>149</v>
      </c>
      <c r="D1" s="2421"/>
    </row>
    <row r="2" spans="1:31" s="1032" customFormat="1" ht="19.5" x14ac:dyDescent="0.4"/>
    <row r="3" spans="1:31" s="1032" customFormat="1" ht="15" customHeight="1" x14ac:dyDescent="0.4">
      <c r="A3" s="3190" t="s">
        <v>41</v>
      </c>
      <c r="B3" s="3193"/>
      <c r="C3" s="3190" t="s">
        <v>5364</v>
      </c>
      <c r="D3" s="3195"/>
      <c r="E3" s="3195"/>
      <c r="F3" s="3195"/>
      <c r="G3" s="3195"/>
      <c r="H3" s="3195"/>
      <c r="I3" s="3195"/>
      <c r="J3" s="3195"/>
      <c r="K3" s="3195"/>
      <c r="L3" s="3195"/>
      <c r="M3" s="3195"/>
      <c r="N3" s="3195"/>
      <c r="O3" s="3195"/>
      <c r="P3" s="3195"/>
      <c r="Q3" s="3195"/>
      <c r="R3" s="3195"/>
      <c r="S3" s="3195"/>
      <c r="T3" s="3195"/>
      <c r="U3" s="3195"/>
      <c r="V3" s="3195"/>
      <c r="W3" s="3195"/>
    </row>
    <row r="4" spans="1:31" s="1032" customFormat="1" ht="39" customHeight="1" x14ac:dyDescent="0.4">
      <c r="A4" s="3190" t="s">
        <v>42</v>
      </c>
      <c r="B4" s="3191"/>
      <c r="C4" s="3190" t="s">
        <v>5350</v>
      </c>
      <c r="D4" s="3192"/>
      <c r="E4" s="3192"/>
      <c r="F4" s="3192"/>
      <c r="G4" s="3192"/>
      <c r="H4" s="3192"/>
      <c r="I4" s="3192"/>
      <c r="J4" s="3192"/>
      <c r="K4" s="3192"/>
      <c r="L4" s="3192"/>
      <c r="M4" s="3192"/>
      <c r="N4" s="3192"/>
      <c r="O4" s="3192"/>
      <c r="P4" s="3192"/>
      <c r="Q4" s="3192"/>
      <c r="R4" s="3192"/>
      <c r="S4" s="3192"/>
      <c r="T4" s="3192"/>
      <c r="U4" s="3192"/>
      <c r="V4" s="3192"/>
      <c r="W4" s="3192"/>
    </row>
    <row r="5" spans="1:31" s="1032" customFormat="1" ht="16.899999999999999" customHeight="1" x14ac:dyDescent="0.4">
      <c r="A5" s="3190" t="s">
        <v>43</v>
      </c>
      <c r="B5" s="3191"/>
      <c r="C5" s="3190" t="s">
        <v>5352</v>
      </c>
      <c r="D5" s="3192"/>
      <c r="E5" s="3192"/>
      <c r="F5" s="3192"/>
      <c r="G5" s="3192"/>
      <c r="H5" s="3192"/>
      <c r="I5" s="3192"/>
      <c r="J5" s="3192"/>
      <c r="K5" s="3192"/>
      <c r="L5" s="3192"/>
      <c r="M5" s="3192"/>
      <c r="N5" s="3192"/>
      <c r="O5" s="3192"/>
      <c r="P5" s="3192"/>
      <c r="Q5" s="3192"/>
      <c r="R5" s="3192"/>
      <c r="S5" s="3192"/>
      <c r="T5" s="3192"/>
      <c r="U5" s="3192"/>
      <c r="V5" s="3192"/>
      <c r="W5" s="3192"/>
    </row>
    <row r="6" spans="1:31" s="1032" customFormat="1" ht="16.899999999999999" customHeight="1" x14ac:dyDescent="0.4">
      <c r="A6" s="3190" t="s">
        <v>132</v>
      </c>
      <c r="B6" s="3191"/>
      <c r="C6" s="3190" t="s">
        <v>5477</v>
      </c>
      <c r="D6" s="3192"/>
      <c r="E6" s="3192"/>
      <c r="F6" s="3192"/>
      <c r="G6" s="3192"/>
      <c r="H6" s="3192"/>
      <c r="I6" s="3192"/>
      <c r="J6" s="3192"/>
      <c r="K6" s="3192"/>
      <c r="L6" s="3192"/>
      <c r="M6" s="3192"/>
      <c r="N6" s="3192"/>
      <c r="O6" s="3192"/>
      <c r="P6" s="3192"/>
      <c r="Q6" s="3192"/>
      <c r="R6" s="3192"/>
      <c r="S6" s="3192"/>
      <c r="T6" s="3192"/>
      <c r="U6" s="3192"/>
      <c r="V6" s="3192"/>
      <c r="W6" s="3192"/>
    </row>
    <row r="8" spans="1:31" x14ac:dyDescent="0.4">
      <c r="B8" s="1063"/>
      <c r="C8" s="1063"/>
      <c r="D8" s="1063"/>
      <c r="E8" s="1063"/>
      <c r="F8" s="1063"/>
      <c r="G8" s="1063"/>
      <c r="H8" s="1063"/>
      <c r="I8" s="1063"/>
      <c r="J8" s="1063"/>
      <c r="K8" s="1063"/>
      <c r="L8" s="1063"/>
    </row>
    <row r="9" spans="1:31" ht="21" customHeight="1" x14ac:dyDescent="0.4">
      <c r="A9" s="536"/>
      <c r="C9" s="138" t="s">
        <v>5477</v>
      </c>
      <c r="D9" s="226"/>
      <c r="E9" s="226"/>
      <c r="F9" s="226"/>
      <c r="G9" s="226"/>
      <c r="H9" s="226"/>
      <c r="I9" s="226"/>
      <c r="J9" s="226"/>
      <c r="K9" s="226"/>
      <c r="L9" s="226"/>
      <c r="M9" s="226"/>
      <c r="N9" s="226"/>
      <c r="O9" s="226"/>
      <c r="P9" s="226"/>
      <c r="Q9" s="226"/>
      <c r="R9" s="226"/>
      <c r="S9" s="226"/>
      <c r="T9" s="226"/>
      <c r="U9" s="226"/>
      <c r="V9" s="226"/>
      <c r="W9" s="1578"/>
      <c r="X9" s="1578"/>
      <c r="Y9" s="1578"/>
      <c r="Z9" s="1578"/>
      <c r="AA9" s="1578"/>
      <c r="AB9" s="1578"/>
      <c r="AC9" s="1578"/>
      <c r="AD9" s="1578"/>
      <c r="AE9" s="1578"/>
    </row>
    <row r="10" spans="1:31" ht="9" customHeight="1" x14ac:dyDescent="0.4">
      <c r="A10" s="536"/>
      <c r="C10" s="226"/>
      <c r="D10" s="226"/>
      <c r="E10" s="226"/>
      <c r="F10" s="226"/>
      <c r="G10" s="226"/>
      <c r="H10" s="226"/>
      <c r="I10" s="226"/>
      <c r="J10" s="226"/>
      <c r="K10" s="226"/>
      <c r="L10" s="226"/>
      <c r="M10" s="226"/>
      <c r="N10" s="226"/>
      <c r="O10" s="226"/>
      <c r="P10" s="226"/>
      <c r="Q10" s="226"/>
      <c r="R10" s="226"/>
      <c r="S10" s="226"/>
      <c r="T10" s="226"/>
      <c r="U10" s="226"/>
      <c r="V10" s="226"/>
      <c r="W10" s="1578"/>
      <c r="X10" s="1578"/>
      <c r="Y10" s="1578"/>
      <c r="Z10" s="1578"/>
      <c r="AA10" s="1578"/>
      <c r="AB10" s="1578"/>
      <c r="AC10" s="1578"/>
      <c r="AD10" s="1578"/>
      <c r="AE10" s="1578"/>
    </row>
    <row r="11" spans="1:31" ht="16.149999999999999" customHeight="1" x14ac:dyDescent="0.4">
      <c r="A11" s="536"/>
      <c r="C11" s="3210" t="s">
        <v>46</v>
      </c>
      <c r="D11" s="3196" t="s">
        <v>5478</v>
      </c>
      <c r="E11" s="3212" t="s">
        <v>5479</v>
      </c>
      <c r="F11" s="3212"/>
      <c r="G11" s="3212"/>
      <c r="H11" s="3212"/>
      <c r="I11" s="3212"/>
      <c r="J11" s="3212"/>
      <c r="K11" s="3212"/>
      <c r="L11" s="3212"/>
      <c r="M11" s="3212"/>
      <c r="N11" s="1579"/>
      <c r="O11" s="1580"/>
      <c r="P11" s="3213" t="s">
        <v>5480</v>
      </c>
      <c r="Q11" s="3213"/>
      <c r="R11" s="3213"/>
      <c r="S11" s="3213"/>
      <c r="T11" s="3213"/>
      <c r="U11" s="3213"/>
      <c r="V11" s="3213"/>
    </row>
    <row r="12" spans="1:31" ht="51.6" customHeight="1" x14ac:dyDescent="0.4">
      <c r="A12" s="835"/>
      <c r="C12" s="3211"/>
      <c r="D12" s="3197"/>
      <c r="E12" s="1563" t="s">
        <v>5481</v>
      </c>
      <c r="F12" s="1563" t="s">
        <v>5482</v>
      </c>
      <c r="G12" s="1563" t="s">
        <v>5483</v>
      </c>
      <c r="H12" s="1563" t="s">
        <v>5484</v>
      </c>
      <c r="I12" s="1563" t="s">
        <v>5485</v>
      </c>
      <c r="J12" s="3214" t="s">
        <v>5486</v>
      </c>
      <c r="K12" s="3214"/>
      <c r="L12" s="1563" t="s">
        <v>5487</v>
      </c>
      <c r="M12" s="3214" t="s">
        <v>5488</v>
      </c>
      <c r="N12" s="3214"/>
      <c r="O12" s="1581"/>
      <c r="P12" s="1563" t="s">
        <v>47</v>
      </c>
      <c r="Q12" s="3214" t="s">
        <v>5489</v>
      </c>
      <c r="R12" s="3214"/>
      <c r="S12" s="1563" t="s">
        <v>5490</v>
      </c>
      <c r="T12" s="3214" t="s">
        <v>5491</v>
      </c>
      <c r="U12" s="3214"/>
      <c r="V12" s="1563" t="s">
        <v>5492</v>
      </c>
    </row>
    <row r="13" spans="1:31" x14ac:dyDescent="0.4">
      <c r="A13" s="536"/>
      <c r="C13" s="232">
        <v>2010</v>
      </c>
      <c r="D13" s="546">
        <v>0.5</v>
      </c>
      <c r="E13" s="1457">
        <v>134.1</v>
      </c>
      <c r="F13" s="1457">
        <v>35.200000000000003</v>
      </c>
      <c r="G13" s="1457">
        <v>28</v>
      </c>
      <c r="H13" s="1457">
        <v>23.6</v>
      </c>
      <c r="I13" s="1457">
        <v>16.899999999999999</v>
      </c>
      <c r="J13" s="1478">
        <v>6.3</v>
      </c>
      <c r="K13" s="1478"/>
      <c r="L13" s="1457">
        <v>2.4</v>
      </c>
      <c r="M13" s="1478">
        <v>21.7</v>
      </c>
      <c r="N13" s="1478"/>
      <c r="O13" s="1582"/>
      <c r="P13" s="1457">
        <v>180.7</v>
      </c>
      <c r="Q13" s="1478">
        <v>77</v>
      </c>
      <c r="R13" s="1478"/>
      <c r="S13" s="1457">
        <v>66.400000000000006</v>
      </c>
      <c r="T13" s="1478">
        <v>33.299999999999997</v>
      </c>
      <c r="U13" s="1478"/>
      <c r="V13" s="1457">
        <v>4</v>
      </c>
    </row>
    <row r="14" spans="1:31" x14ac:dyDescent="0.4">
      <c r="A14" s="536"/>
      <c r="C14" s="232">
        <v>2011</v>
      </c>
      <c r="D14" s="546">
        <v>0.48</v>
      </c>
      <c r="E14" s="1457">
        <v>135.5</v>
      </c>
      <c r="F14" s="1457">
        <v>31.6</v>
      </c>
      <c r="G14" s="1457">
        <v>28.1</v>
      </c>
      <c r="H14" s="1457">
        <v>25.7</v>
      </c>
      <c r="I14" s="1457">
        <v>18.600000000000001</v>
      </c>
      <c r="J14" s="1478">
        <v>9.9</v>
      </c>
      <c r="K14" s="1478"/>
      <c r="L14" s="1457">
        <v>2.4</v>
      </c>
      <c r="M14" s="1478">
        <v>19.2</v>
      </c>
      <c r="N14" s="1478"/>
      <c r="O14" s="1582"/>
      <c r="P14" s="1457">
        <v>197.7</v>
      </c>
      <c r="Q14" s="1478">
        <v>88.4</v>
      </c>
      <c r="R14" s="1478"/>
      <c r="S14" s="1457">
        <v>56.6</v>
      </c>
      <c r="T14" s="1478">
        <v>48.2</v>
      </c>
      <c r="U14" s="1478"/>
      <c r="V14" s="1457">
        <v>4.5</v>
      </c>
    </row>
    <row r="15" spans="1:31" x14ac:dyDescent="0.4">
      <c r="A15" s="536"/>
      <c r="C15" s="232">
        <v>2012</v>
      </c>
      <c r="D15" s="546">
        <v>0.56999999999999995</v>
      </c>
      <c r="E15" s="1457">
        <v>139.69999999999999</v>
      </c>
      <c r="F15" s="1457">
        <v>44.8</v>
      </c>
      <c r="G15" s="1457">
        <v>25.4</v>
      </c>
      <c r="H15" s="1457">
        <v>27.3</v>
      </c>
      <c r="I15" s="1457">
        <v>25.8</v>
      </c>
      <c r="J15" s="1478">
        <v>8.8000000000000007</v>
      </c>
      <c r="K15" s="1478"/>
      <c r="L15" s="1457">
        <v>4.7</v>
      </c>
      <c r="M15" s="1478">
        <v>2.9</v>
      </c>
      <c r="N15" s="1478"/>
      <c r="O15" s="1582"/>
      <c r="P15" s="1457">
        <v>257.7</v>
      </c>
      <c r="Q15" s="1478">
        <v>102.6</v>
      </c>
      <c r="R15" s="1478"/>
      <c r="S15" s="1457">
        <v>69.8</v>
      </c>
      <c r="T15" s="1478">
        <v>80.599999999999994</v>
      </c>
      <c r="U15" s="1478"/>
      <c r="V15" s="1457">
        <v>4.7</v>
      </c>
    </row>
    <row r="16" spans="1:31" x14ac:dyDescent="0.4">
      <c r="A16" s="536"/>
      <c r="C16" s="232">
        <v>2013</v>
      </c>
      <c r="D16" s="546">
        <v>0.56000000000000005</v>
      </c>
      <c r="E16" s="1457">
        <v>145.1780712284914</v>
      </c>
      <c r="F16" s="1457">
        <v>30.192076830732294</v>
      </c>
      <c r="G16" s="1457">
        <v>28.547418967587035</v>
      </c>
      <c r="H16" s="1457">
        <v>34.859943977591037</v>
      </c>
      <c r="I16" s="1457">
        <v>31.732693077230891</v>
      </c>
      <c r="J16" s="1478">
        <v>12.410964385754301</v>
      </c>
      <c r="K16" s="1478"/>
      <c r="L16" s="1457">
        <v>4.3577430972388953</v>
      </c>
      <c r="M16" s="1478">
        <v>3.0772308923569391</v>
      </c>
      <c r="N16" s="1478"/>
      <c r="O16" s="1582"/>
      <c r="P16" s="1457">
        <v>276.37370948379345</v>
      </c>
      <c r="Q16" s="1478">
        <v>104.45178071228491</v>
      </c>
      <c r="R16" s="1478"/>
      <c r="S16" s="1457">
        <v>79.791916766706677</v>
      </c>
      <c r="T16" s="1478">
        <v>87.1</v>
      </c>
      <c r="U16" s="1478"/>
      <c r="V16" s="1457">
        <v>5.0300120048019208</v>
      </c>
    </row>
    <row r="17" spans="1:22" x14ac:dyDescent="0.4">
      <c r="A17" s="536"/>
      <c r="C17" s="232">
        <v>2014</v>
      </c>
      <c r="D17" s="546">
        <v>0.57999999999999996</v>
      </c>
      <c r="E17" s="542">
        <v>154.10000000000002</v>
      </c>
      <c r="F17" s="542">
        <v>33.700000000000003</v>
      </c>
      <c r="G17" s="542">
        <v>26</v>
      </c>
      <c r="H17" s="542">
        <v>38.200000000000003</v>
      </c>
      <c r="I17" s="542">
        <v>36.1</v>
      </c>
      <c r="J17" s="1471">
        <v>15</v>
      </c>
      <c r="K17" s="1471"/>
      <c r="L17" s="542">
        <v>3.8</v>
      </c>
      <c r="M17" s="1471">
        <v>1.3</v>
      </c>
      <c r="N17" s="1471"/>
      <c r="O17" s="1582"/>
      <c r="P17" s="542">
        <v>289.30757800891502</v>
      </c>
      <c r="Q17" s="1471">
        <v>103.53268945022292</v>
      </c>
      <c r="R17" s="1471"/>
      <c r="S17" s="542">
        <v>77.897473997028229</v>
      </c>
      <c r="T17" s="1471">
        <v>105.5</v>
      </c>
      <c r="U17" s="1471"/>
      <c r="V17" s="542">
        <v>2.3774145616641902</v>
      </c>
    </row>
    <row r="18" spans="1:22" x14ac:dyDescent="0.4">
      <c r="A18" s="536"/>
      <c r="C18" s="232">
        <v>2015</v>
      </c>
      <c r="D18" s="546">
        <v>0.48</v>
      </c>
      <c r="E18" s="542">
        <v>164.5</v>
      </c>
      <c r="F18" s="542">
        <v>31.2</v>
      </c>
      <c r="G18" s="542">
        <v>26.5</v>
      </c>
      <c r="H18" s="542">
        <v>36</v>
      </c>
      <c r="I18" s="542">
        <v>33</v>
      </c>
      <c r="J18" s="1471">
        <v>13.3</v>
      </c>
      <c r="K18" s="1471"/>
      <c r="L18" s="542">
        <v>5.8</v>
      </c>
      <c r="M18" s="1471">
        <v>18.899999999999999</v>
      </c>
      <c r="N18" s="1471"/>
      <c r="O18" s="1582"/>
      <c r="P18" s="542">
        <v>266.3</v>
      </c>
      <c r="Q18" s="1471">
        <v>121.5</v>
      </c>
      <c r="R18" s="1471"/>
      <c r="S18" s="542">
        <v>58.2</v>
      </c>
      <c r="T18" s="1471">
        <v>85.4</v>
      </c>
      <c r="U18" s="1471"/>
      <c r="V18" s="542">
        <v>1.2</v>
      </c>
    </row>
    <row r="19" spans="1:22" x14ac:dyDescent="0.4">
      <c r="C19" s="232">
        <v>2016</v>
      </c>
      <c r="D19" s="546">
        <v>0.47</v>
      </c>
      <c r="E19" s="542">
        <v>144.30000000000001</v>
      </c>
      <c r="F19" s="542">
        <v>32.5</v>
      </c>
      <c r="G19" s="542">
        <v>24.4</v>
      </c>
      <c r="H19" s="542">
        <v>25</v>
      </c>
      <c r="I19" s="542">
        <v>28.8</v>
      </c>
      <c r="J19" s="1471">
        <v>10.3</v>
      </c>
      <c r="K19" s="1471"/>
      <c r="L19" s="542">
        <v>4.8</v>
      </c>
      <c r="M19" s="1471">
        <v>18.600000000000001</v>
      </c>
      <c r="N19" s="1471"/>
      <c r="O19" s="1582"/>
      <c r="P19" s="542">
        <v>260.89999999999998</v>
      </c>
      <c r="Q19" s="1471">
        <v>126</v>
      </c>
      <c r="R19" s="1471"/>
      <c r="S19" s="542">
        <v>48.6</v>
      </c>
      <c r="T19" s="1471">
        <v>85.5</v>
      </c>
      <c r="U19" s="1471"/>
      <c r="V19" s="542">
        <v>0.6</v>
      </c>
    </row>
    <row r="20" spans="1:22" x14ac:dyDescent="0.4">
      <c r="C20" s="232">
        <v>2017</v>
      </c>
      <c r="D20" s="546">
        <v>0.45</v>
      </c>
      <c r="E20" s="542">
        <v>127.157</v>
      </c>
      <c r="F20" s="542">
        <v>23.8</v>
      </c>
      <c r="G20" s="542">
        <v>21.3</v>
      </c>
      <c r="H20" s="542">
        <v>21.6</v>
      </c>
      <c r="I20" s="542">
        <v>26.4</v>
      </c>
      <c r="J20" s="1471">
        <v>10.199999999999999</v>
      </c>
      <c r="K20" s="1471"/>
      <c r="L20" s="542">
        <v>4.2</v>
      </c>
      <c r="M20" s="1471">
        <v>14.7</v>
      </c>
      <c r="N20" s="1471"/>
      <c r="O20" s="1582"/>
      <c r="P20" s="542">
        <v>257.7</v>
      </c>
      <c r="Q20" s="1471">
        <v>137.5</v>
      </c>
      <c r="R20" s="1471"/>
      <c r="S20" s="542">
        <v>32.299999999999997</v>
      </c>
      <c r="T20" s="1471">
        <v>87.3</v>
      </c>
      <c r="U20" s="1471"/>
      <c r="V20" s="542">
        <v>0.5</v>
      </c>
    </row>
    <row r="21" spans="1:22" x14ac:dyDescent="0.4">
      <c r="C21" s="232">
        <v>2018</v>
      </c>
      <c r="D21" s="546">
        <v>0.39</v>
      </c>
      <c r="E21" s="542">
        <v>114.5</v>
      </c>
      <c r="F21" s="542">
        <v>17.600000000000001</v>
      </c>
      <c r="G21" s="542">
        <v>20.6</v>
      </c>
      <c r="H21" s="542">
        <v>22.1</v>
      </c>
      <c r="I21" s="542">
        <v>26</v>
      </c>
      <c r="J21" s="1471">
        <v>9.1999999999999993</v>
      </c>
      <c r="K21" s="1471"/>
      <c r="L21" s="542">
        <v>4</v>
      </c>
      <c r="M21" s="1471">
        <v>15</v>
      </c>
      <c r="N21" s="1471"/>
      <c r="O21" s="1582"/>
      <c r="P21" s="542">
        <v>231.8</v>
      </c>
      <c r="Q21" s="1471">
        <v>111.8</v>
      </c>
      <c r="R21" s="1471"/>
      <c r="S21" s="542">
        <v>30.5</v>
      </c>
      <c r="T21" s="1471">
        <v>86.9</v>
      </c>
      <c r="U21" s="1471"/>
      <c r="V21" s="542">
        <v>2.7</v>
      </c>
    </row>
    <row r="22" spans="1:22" ht="19.5" x14ac:dyDescent="0.4">
      <c r="C22" s="232" t="s">
        <v>5493</v>
      </c>
      <c r="D22" s="546"/>
      <c r="E22" s="542"/>
      <c r="F22" s="542"/>
      <c r="G22" s="542"/>
      <c r="H22" s="542"/>
      <c r="I22" s="542"/>
      <c r="J22" s="1471"/>
      <c r="K22" s="1471"/>
      <c r="L22" s="542"/>
      <c r="M22" s="1471"/>
      <c r="N22" s="1471"/>
      <c r="O22" s="1582"/>
      <c r="P22" s="542"/>
      <c r="Q22" s="1471"/>
      <c r="R22" s="1471"/>
      <c r="S22" s="542"/>
      <c r="T22" s="1471"/>
      <c r="U22" s="1471"/>
      <c r="V22" s="542"/>
    </row>
    <row r="23" spans="1:22" x14ac:dyDescent="0.4">
      <c r="C23" s="232">
        <v>2020</v>
      </c>
      <c r="D23" s="546">
        <v>0.34</v>
      </c>
      <c r="E23" s="542">
        <v>137.80000000000001</v>
      </c>
      <c r="F23" s="542">
        <v>19.600000000000001</v>
      </c>
      <c r="G23" s="542">
        <v>28.1</v>
      </c>
      <c r="H23" s="542">
        <v>22.8</v>
      </c>
      <c r="I23" s="542">
        <v>35.5</v>
      </c>
      <c r="J23" s="1471">
        <v>15.3</v>
      </c>
      <c r="K23" s="1471"/>
      <c r="L23" s="542">
        <v>4.9000000000000004</v>
      </c>
      <c r="M23" s="1471">
        <v>11.5</v>
      </c>
      <c r="N23" s="1471"/>
      <c r="O23" s="1582"/>
      <c r="P23" s="542">
        <v>200.7</v>
      </c>
      <c r="Q23" s="1471">
        <v>123</v>
      </c>
      <c r="R23" s="1471"/>
      <c r="S23" s="542">
        <v>30.5</v>
      </c>
      <c r="T23" s="1471">
        <v>46.9</v>
      </c>
      <c r="U23" s="1471"/>
      <c r="V23" s="542">
        <v>0.3</v>
      </c>
    </row>
    <row r="24" spans="1:22" x14ac:dyDescent="0.4">
      <c r="C24" s="232">
        <v>2021</v>
      </c>
      <c r="D24" s="546">
        <v>0.32</v>
      </c>
      <c r="E24" s="542">
        <v>124.2</v>
      </c>
      <c r="F24" s="542">
        <v>15</v>
      </c>
      <c r="G24" s="542">
        <v>26.1</v>
      </c>
      <c r="H24" s="542">
        <v>24.6</v>
      </c>
      <c r="I24" s="542">
        <v>34.299999999999997</v>
      </c>
      <c r="J24" s="1471">
        <v>16</v>
      </c>
      <c r="K24" s="1471"/>
      <c r="L24" s="542">
        <v>7.8</v>
      </c>
      <c r="M24" s="1471">
        <v>0.4</v>
      </c>
      <c r="N24" s="1471"/>
      <c r="O24" s="1582"/>
      <c r="P24" s="542">
        <v>198.3</v>
      </c>
      <c r="Q24" s="1471">
        <v>108.1</v>
      </c>
      <c r="R24" s="1471"/>
      <c r="S24" s="542">
        <v>21</v>
      </c>
      <c r="T24" s="1471">
        <v>68.8</v>
      </c>
      <c r="U24" s="1471"/>
      <c r="V24" s="542">
        <v>0.4</v>
      </c>
    </row>
    <row r="25" spans="1:22" x14ac:dyDescent="0.4">
      <c r="C25" s="795">
        <v>2022</v>
      </c>
      <c r="D25" s="1051">
        <v>0.34</v>
      </c>
      <c r="E25" s="764">
        <v>157.69999999999999</v>
      </c>
      <c r="F25" s="764">
        <v>11.7</v>
      </c>
      <c r="G25" s="764">
        <v>25.42</v>
      </c>
      <c r="H25" s="764">
        <v>27.62</v>
      </c>
      <c r="I25" s="764">
        <v>41.74</v>
      </c>
      <c r="J25" s="1583">
        <v>30.31</v>
      </c>
      <c r="K25" s="1583"/>
      <c r="L25" s="764">
        <v>4.29</v>
      </c>
      <c r="M25" s="1583">
        <v>16.64</v>
      </c>
      <c r="N25" s="1583"/>
      <c r="O25" s="1584"/>
      <c r="P25" s="764">
        <v>234</v>
      </c>
      <c r="Q25" s="1583">
        <v>111.3</v>
      </c>
      <c r="R25" s="1583"/>
      <c r="S25" s="764">
        <v>52.9</v>
      </c>
      <c r="T25" s="1583">
        <v>69.599999999999994</v>
      </c>
      <c r="U25" s="1583"/>
      <c r="V25" s="764">
        <v>0.2</v>
      </c>
    </row>
    <row r="26" spans="1:22" x14ac:dyDescent="0.4">
      <c r="C26" s="115" t="s">
        <v>5494</v>
      </c>
    </row>
    <row r="27" spans="1:22" x14ac:dyDescent="0.4">
      <c r="C27" s="155" t="s">
        <v>5495</v>
      </c>
    </row>
    <row r="30" spans="1:22" ht="19.5" x14ac:dyDescent="0.4">
      <c r="C30" s="532" t="s">
        <v>5496</v>
      </c>
    </row>
    <row r="44" spans="3:3" x14ac:dyDescent="0.4">
      <c r="C44" s="840" t="s">
        <v>5494</v>
      </c>
    </row>
    <row r="45" spans="3:3" x14ac:dyDescent="0.4">
      <c r="C45" s="155" t="s">
        <v>5495</v>
      </c>
    </row>
  </sheetData>
  <mergeCells count="17">
    <mergeCell ref="A5:B5"/>
    <mergeCell ref="C5:W5"/>
    <mergeCell ref="C1:D1"/>
    <mergeCell ref="A3:B3"/>
    <mergeCell ref="C3:W3"/>
    <mergeCell ref="A4:B4"/>
    <mergeCell ref="C4:W4"/>
    <mergeCell ref="A6:B6"/>
    <mergeCell ref="C6:W6"/>
    <mergeCell ref="C11:C12"/>
    <mergeCell ref="D11:D12"/>
    <mergeCell ref="E11:M11"/>
    <mergeCell ref="P11:V11"/>
    <mergeCell ref="J12:K12"/>
    <mergeCell ref="M12:N12"/>
    <mergeCell ref="Q12:R12"/>
    <mergeCell ref="T12:U12"/>
  </mergeCells>
  <hyperlinks>
    <hyperlink ref="A1" location="'ODS 9.'!A1" display="REGRESAR" xr:uid="{68EECBC4-FFD1-42CD-8B40-D44E754C7D7C}"/>
    <hyperlink ref="C1:D1" location="'Metadato 9.5.1'!A1" display="VER METADATO" xr:uid="{E3D9678A-BF3D-472B-B17B-5460D13A7787}"/>
  </hyperlinks>
  <pageMargins left="0.7" right="0.7" top="0.75" bottom="0.75" header="0.3" footer="0.3"/>
  <pageSetup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5049-BD97-413D-A7D6-CE048DCD172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0.7109375" style="243" customWidth="1"/>
    <col min="2" max="2" width="26.42578125" style="243" customWidth="1"/>
    <col min="3" max="3" width="24" style="243" customWidth="1"/>
    <col min="4" max="4" width="85.7109375" style="243" customWidth="1"/>
    <col min="5" max="5" width="11.42578125" style="243"/>
    <col min="6" max="6" width="7.28515625" style="243" customWidth="1"/>
    <col min="7" max="8" width="11.42578125" style="243"/>
    <col min="9" max="9" width="12" style="243" customWidth="1"/>
    <col min="10" max="10" width="12.28515625" style="243" customWidth="1"/>
    <col min="11" max="11" width="1.7109375" style="243" customWidth="1"/>
    <col min="12"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76</v>
      </c>
    </row>
    <row r="4" spans="1:6" ht="37.5" x14ac:dyDescent="0.25">
      <c r="A4" s="1079"/>
      <c r="B4" s="2445" t="s">
        <v>234</v>
      </c>
      <c r="C4" s="2445"/>
      <c r="D4" s="49" t="s">
        <v>5368</v>
      </c>
    </row>
    <row r="5" spans="1:6" ht="75" x14ac:dyDescent="0.25">
      <c r="B5" s="2445" t="s">
        <v>79</v>
      </c>
      <c r="C5" s="2445"/>
      <c r="D5" s="49" t="s">
        <v>5350</v>
      </c>
    </row>
    <row r="6" spans="1:6" ht="15.75" customHeight="1" x14ac:dyDescent="0.25">
      <c r="B6" s="2445" t="s">
        <v>80</v>
      </c>
      <c r="C6" s="2445"/>
      <c r="D6" s="50" t="s">
        <v>5351</v>
      </c>
    </row>
    <row r="7" spans="1:6" ht="15" customHeight="1" x14ac:dyDescent="0.25">
      <c r="B7" s="2446" t="s">
        <v>81</v>
      </c>
      <c r="C7" s="2446"/>
      <c r="D7" s="93" t="s">
        <v>5352</v>
      </c>
    </row>
    <row r="8" spans="1:6" ht="15" customHeight="1" x14ac:dyDescent="0.25">
      <c r="B8" s="2446" t="s">
        <v>82</v>
      </c>
      <c r="C8" s="2446"/>
      <c r="D8" s="1047" t="s">
        <v>5439</v>
      </c>
    </row>
    <row r="9" spans="1:6" x14ac:dyDescent="0.4">
      <c r="B9" s="115"/>
      <c r="C9" s="115"/>
      <c r="D9" s="115"/>
    </row>
    <row r="10" spans="1:6" ht="23.25" customHeight="1" x14ac:dyDescent="0.25">
      <c r="B10" s="3194" t="s">
        <v>85</v>
      </c>
      <c r="C10" s="3194"/>
      <c r="D10" s="3194"/>
    </row>
    <row r="11" spans="1:6" x14ac:dyDescent="0.25">
      <c r="B11" s="2487" t="s">
        <v>86</v>
      </c>
      <c r="C11" s="2456"/>
      <c r="D11" s="49" t="s">
        <v>167</v>
      </c>
    </row>
    <row r="12" spans="1:6" ht="32.25" customHeight="1" x14ac:dyDescent="0.25">
      <c r="B12" s="2446" t="s">
        <v>88</v>
      </c>
      <c r="C12" s="2446"/>
      <c r="D12" s="184" t="s">
        <v>5497</v>
      </c>
    </row>
    <row r="13" spans="1:6" x14ac:dyDescent="0.25">
      <c r="B13" s="2445" t="s">
        <v>90</v>
      </c>
      <c r="C13" s="2445"/>
      <c r="D13" s="55" t="s">
        <v>5351</v>
      </c>
    </row>
    <row r="14" spans="1:6" x14ac:dyDescent="0.25">
      <c r="B14" s="2445" t="s">
        <v>91</v>
      </c>
      <c r="C14" s="2456"/>
      <c r="D14" s="54" t="s">
        <v>214</v>
      </c>
    </row>
    <row r="15" spans="1:6" ht="310.14999999999998" customHeight="1" x14ac:dyDescent="0.25">
      <c r="B15" s="2445" t="s">
        <v>93</v>
      </c>
      <c r="C15" s="2445"/>
      <c r="D15" s="55" t="s">
        <v>5498</v>
      </c>
    </row>
    <row r="16" spans="1:6" ht="39.75" customHeight="1" x14ac:dyDescent="0.25">
      <c r="B16" s="2445" t="s">
        <v>95</v>
      </c>
      <c r="C16" s="2445"/>
      <c r="D16" s="55"/>
    </row>
    <row r="17" spans="2:4" x14ac:dyDescent="0.25">
      <c r="B17" s="2445" t="s">
        <v>97</v>
      </c>
      <c r="C17" s="2445"/>
      <c r="D17" s="55" t="s">
        <v>98</v>
      </c>
    </row>
    <row r="18" spans="2:4" x14ac:dyDescent="0.25">
      <c r="B18" s="2446" t="s">
        <v>99</v>
      </c>
      <c r="C18" s="2446"/>
      <c r="D18" s="49"/>
    </row>
    <row r="19" spans="2:4" ht="37.5" x14ac:dyDescent="0.25">
      <c r="B19" s="2457" t="s">
        <v>100</v>
      </c>
      <c r="C19" s="2458"/>
      <c r="D19" s="49" t="s">
        <v>5499</v>
      </c>
    </row>
    <row r="20" spans="2:4" x14ac:dyDescent="0.25">
      <c r="B20" s="2445" t="s">
        <v>102</v>
      </c>
      <c r="C20" s="2445"/>
      <c r="D20" s="55" t="s">
        <v>140</v>
      </c>
    </row>
    <row r="21" spans="2:4" x14ac:dyDescent="0.25">
      <c r="B21" s="2451" t="s">
        <v>104</v>
      </c>
      <c r="C21" s="95" t="s">
        <v>105</v>
      </c>
      <c r="D21" s="49"/>
    </row>
    <row r="22" spans="2:4" ht="37.5" x14ac:dyDescent="0.25">
      <c r="B22" s="2452"/>
      <c r="C22" s="96" t="s">
        <v>107</v>
      </c>
      <c r="D22" s="55" t="s">
        <v>5500</v>
      </c>
    </row>
    <row r="23" spans="2:4" x14ac:dyDescent="0.25">
      <c r="B23" s="2445" t="s">
        <v>109</v>
      </c>
      <c r="C23" s="2445"/>
      <c r="D23" s="55" t="s">
        <v>143</v>
      </c>
    </row>
    <row r="24" spans="2:4" x14ac:dyDescent="0.25">
      <c r="B24" s="2445" t="s">
        <v>111</v>
      </c>
      <c r="C24" s="2445"/>
      <c r="D24" s="50" t="s">
        <v>1827</v>
      </c>
    </row>
    <row r="25" spans="2:4" x14ac:dyDescent="0.25">
      <c r="B25" s="2445" t="s">
        <v>113</v>
      </c>
      <c r="C25" s="2445"/>
      <c r="D25" s="55" t="s">
        <v>144</v>
      </c>
    </row>
    <row r="26" spans="2:4" ht="15" customHeight="1" x14ac:dyDescent="0.25">
      <c r="B26" s="2446" t="s">
        <v>115</v>
      </c>
      <c r="C26" s="2446"/>
      <c r="D26" s="50" t="s">
        <v>5501</v>
      </c>
    </row>
    <row r="27" spans="2:4" x14ac:dyDescent="0.25">
      <c r="B27" s="2447" t="s">
        <v>117</v>
      </c>
      <c r="C27" s="2448"/>
      <c r="D27" s="49"/>
    </row>
    <row r="28" spans="2:4" ht="77.25" customHeight="1" x14ac:dyDescent="0.25">
      <c r="B28" s="97" t="s">
        <v>118</v>
      </c>
      <c r="C28" s="98"/>
      <c r="D28" s="55" t="s">
        <v>5502</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74" t="s">
        <v>1825</v>
      </c>
    </row>
    <row r="33" spans="2:4" ht="15.75" customHeight="1" x14ac:dyDescent="0.25">
      <c r="B33" s="2447" t="s">
        <v>124</v>
      </c>
      <c r="C33" s="2448"/>
      <c r="D33" s="59" t="s">
        <v>1826</v>
      </c>
    </row>
    <row r="34" spans="2:4" x14ac:dyDescent="0.25">
      <c r="B34" s="2447" t="s">
        <v>126</v>
      </c>
      <c r="C34" s="2448"/>
      <c r="D34" s="59" t="s">
        <v>1827</v>
      </c>
    </row>
    <row r="35" spans="2:4" x14ac:dyDescent="0.25">
      <c r="B35" s="2447" t="s">
        <v>128</v>
      </c>
      <c r="C35" s="2448"/>
      <c r="D35" s="59" t="s">
        <v>1828</v>
      </c>
    </row>
    <row r="36" spans="2:4" x14ac:dyDescent="0.25">
      <c r="B36" s="2447" t="s">
        <v>130</v>
      </c>
      <c r="C36" s="2448"/>
      <c r="D36" s="460" t="s">
        <v>1829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D6D4A1E9-C6CB-4F03-85C3-F374E78DCC05}">
      <formula1>ODS</formula1>
    </dataValidation>
    <dataValidation type="list" allowBlank="1" showInputMessage="1" showErrorMessage="1" sqref="D5" xr:uid="{2AD28CDF-F734-40A0-A869-905D0BEC6986}">
      <formula1>Metas_ODS</formula1>
    </dataValidation>
    <dataValidation type="list" allowBlank="1" showInputMessage="1" showErrorMessage="1" sqref="D6" xr:uid="{58DE2505-7F07-4D74-84D5-4FD3BB1A075B}">
      <formula1>Numero_indicador</formula1>
    </dataValidation>
    <dataValidation type="list" allowBlank="1" showInputMessage="1" showErrorMessage="1" sqref="D7" xr:uid="{11645442-CD19-4EDF-A307-11E6B03D6178}">
      <formula1>Nombre_indicador_ODS</formula1>
    </dataValidation>
    <dataValidation type="list" allowBlank="1" showInputMessage="1" showErrorMessage="1" sqref="D14" xr:uid="{545F4742-BBE5-440B-B22F-81BFD861971C}">
      <formula1>Tipo_indicador</formula1>
    </dataValidation>
    <dataValidation type="list" allowBlank="1" showInputMessage="1" showErrorMessage="1" sqref="D25" xr:uid="{A1BB22D6-0617-4FA8-925F-C7CACCA91C10}">
      <formula1>Tipo_operación</formula1>
    </dataValidation>
  </dataValidations>
  <hyperlinks>
    <hyperlink ref="B1" location="'9.5.1'!A1" display="REGRESAR" xr:uid="{02F67329-0AA6-4D30-B1F4-69FF92DA66F2}"/>
    <hyperlink ref="D8" r:id="rId1" xr:uid="{87869A0F-CE3E-491B-8273-2D35976761A6}"/>
    <hyperlink ref="D36" r:id="rId2" display="greivin.barboza@micitt.go.cr" xr:uid="{924B57E7-1BF5-43CE-AE52-F030CAC007C9}"/>
  </hyperlinks>
  <pageMargins left="0.7" right="0.7" top="0.75" bottom="0.75" header="0.3" footer="0.3"/>
  <pageSetup orientation="portrait" r:id="rId3"/>
  <drawing r:id="rId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DB7B-4006-470E-B680-657221E018EC}">
  <dimension ref="A1:R32"/>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1" width="15.7109375" style="115" customWidth="1"/>
    <col min="2" max="2" width="18" style="115" customWidth="1"/>
    <col min="3" max="3" width="11.42578125" style="115"/>
    <col min="4" max="4" width="12.5703125" style="115" customWidth="1"/>
    <col min="5" max="16384" width="11.42578125" style="115"/>
  </cols>
  <sheetData>
    <row r="1" spans="1:18" s="1032" customFormat="1" ht="19.5" x14ac:dyDescent="0.4">
      <c r="A1" s="15" t="s">
        <v>39</v>
      </c>
      <c r="C1" s="2421" t="s">
        <v>149</v>
      </c>
      <c r="D1" s="2421"/>
    </row>
    <row r="2" spans="1:18" s="1032" customFormat="1" ht="19.5" x14ac:dyDescent="0.4"/>
    <row r="3" spans="1:18" s="1032" customFormat="1" ht="15" customHeight="1" x14ac:dyDescent="0.4">
      <c r="A3" s="3190" t="s">
        <v>41</v>
      </c>
      <c r="B3" s="3193"/>
      <c r="C3" s="3190" t="s">
        <v>5364</v>
      </c>
      <c r="D3" s="3195"/>
      <c r="E3" s="3195"/>
      <c r="F3" s="3195"/>
      <c r="G3" s="3195"/>
      <c r="H3" s="3195"/>
      <c r="I3" s="3195"/>
      <c r="J3" s="3195"/>
      <c r="K3" s="3195"/>
      <c r="L3" s="3195"/>
      <c r="M3" s="3195"/>
      <c r="N3" s="3195"/>
      <c r="O3" s="3195"/>
      <c r="P3" s="3195"/>
      <c r="Q3" s="3195"/>
      <c r="R3" s="3195"/>
    </row>
    <row r="4" spans="1:18" s="1032" customFormat="1" ht="35.450000000000003" customHeight="1" x14ac:dyDescent="0.4">
      <c r="A4" s="3190" t="s">
        <v>42</v>
      </c>
      <c r="B4" s="3191"/>
      <c r="C4" s="3190" t="s">
        <v>5350</v>
      </c>
      <c r="D4" s="3192"/>
      <c r="E4" s="3192"/>
      <c r="F4" s="3192"/>
      <c r="G4" s="3192"/>
      <c r="H4" s="3192"/>
      <c r="I4" s="3192"/>
      <c r="J4" s="3192"/>
      <c r="K4" s="3192"/>
      <c r="L4" s="3192"/>
      <c r="M4" s="3192"/>
      <c r="N4" s="3192"/>
      <c r="O4" s="3192"/>
      <c r="P4" s="3192"/>
      <c r="Q4" s="3192"/>
      <c r="R4" s="3192"/>
    </row>
    <row r="5" spans="1:18" s="1032" customFormat="1" ht="19.5" x14ac:dyDescent="0.4">
      <c r="A5" s="3190" t="s">
        <v>43</v>
      </c>
      <c r="B5" s="3191"/>
      <c r="C5" s="3190" t="s">
        <v>5354</v>
      </c>
      <c r="D5" s="3192"/>
      <c r="E5" s="3192"/>
      <c r="F5" s="3192"/>
      <c r="G5" s="3192"/>
      <c r="H5" s="3192"/>
      <c r="I5" s="3192"/>
      <c r="J5" s="3192"/>
      <c r="K5" s="3192"/>
      <c r="L5" s="3192"/>
      <c r="M5" s="3192"/>
      <c r="N5" s="3192"/>
      <c r="O5" s="3192"/>
      <c r="P5" s="3192"/>
      <c r="Q5" s="3192"/>
      <c r="R5" s="3192"/>
    </row>
    <row r="6" spans="1:18" s="1032" customFormat="1" ht="19.5" x14ac:dyDescent="0.4">
      <c r="A6" s="3190" t="s">
        <v>132</v>
      </c>
      <c r="B6" s="3191"/>
      <c r="C6" s="3190" t="s">
        <v>5503</v>
      </c>
      <c r="D6" s="3192"/>
      <c r="E6" s="3192"/>
      <c r="F6" s="3192"/>
      <c r="G6" s="3192"/>
      <c r="H6" s="3192"/>
      <c r="I6" s="3192"/>
      <c r="J6" s="3192"/>
      <c r="K6" s="3192"/>
      <c r="L6" s="3192"/>
      <c r="M6" s="3192"/>
      <c r="N6" s="3192"/>
      <c r="O6" s="3192"/>
      <c r="P6" s="3192"/>
      <c r="Q6" s="3192"/>
      <c r="R6" s="3192"/>
    </row>
    <row r="7" spans="1:18" s="1032" customFormat="1" ht="19.5" x14ac:dyDescent="0.4"/>
    <row r="8" spans="1:18" s="1032" customFormat="1" ht="19.5" x14ac:dyDescent="0.4"/>
    <row r="9" spans="1:18" s="1032" customFormat="1" ht="67.900000000000006" customHeight="1" x14ac:dyDescent="0.4">
      <c r="C9" s="2628" t="s">
        <v>5504</v>
      </c>
      <c r="D9" s="2628"/>
      <c r="I9" s="532" t="s">
        <v>5505</v>
      </c>
    </row>
    <row r="10" spans="1:18" x14ac:dyDescent="0.4">
      <c r="C10" s="575"/>
      <c r="D10" s="575"/>
      <c r="G10" s="339"/>
    </row>
    <row r="11" spans="1:18" x14ac:dyDescent="0.4">
      <c r="C11" s="1562" t="s">
        <v>46</v>
      </c>
      <c r="D11" s="1562" t="s">
        <v>258</v>
      </c>
    </row>
    <row r="12" spans="1:18" x14ac:dyDescent="0.4">
      <c r="C12" s="536">
        <v>2008</v>
      </c>
      <c r="D12" s="1382">
        <v>735.08184862301323</v>
      </c>
    </row>
    <row r="13" spans="1:18" x14ac:dyDescent="0.4">
      <c r="C13" s="536">
        <v>2009</v>
      </c>
      <c r="D13" s="1382">
        <v>746.01544810823884</v>
      </c>
    </row>
    <row r="14" spans="1:18" x14ac:dyDescent="0.4">
      <c r="C14" s="536">
        <v>2010</v>
      </c>
      <c r="D14" s="1382">
        <v>746.37827880404791</v>
      </c>
    </row>
    <row r="15" spans="1:18" x14ac:dyDescent="0.4">
      <c r="C15" s="835">
        <v>2011</v>
      </c>
      <c r="D15" s="1382">
        <v>864.51898664437931</v>
      </c>
    </row>
    <row r="16" spans="1:18" x14ac:dyDescent="0.4">
      <c r="C16" s="536">
        <v>2012</v>
      </c>
      <c r="D16" s="1382">
        <v>733.80551037531382</v>
      </c>
    </row>
    <row r="17" spans="1:14" x14ac:dyDescent="0.4">
      <c r="C17" s="536">
        <v>2013</v>
      </c>
      <c r="D17" s="1382">
        <v>824.07414364765941</v>
      </c>
    </row>
    <row r="18" spans="1:14" x14ac:dyDescent="0.4">
      <c r="C18" s="536">
        <v>2014</v>
      </c>
      <c r="D18" s="1382">
        <v>791.09516236417733</v>
      </c>
    </row>
    <row r="19" spans="1:14" x14ac:dyDescent="0.4">
      <c r="A19" s="536"/>
      <c r="C19" s="536">
        <v>2015</v>
      </c>
      <c r="D19" s="1382">
        <v>848.46887759761978</v>
      </c>
    </row>
    <row r="20" spans="1:14" x14ac:dyDescent="0.4">
      <c r="A20" s="536"/>
      <c r="C20" s="536">
        <v>2016</v>
      </c>
      <c r="D20" s="1382">
        <v>767.42511223729207</v>
      </c>
    </row>
    <row r="21" spans="1:14" x14ac:dyDescent="0.4">
      <c r="A21" s="536"/>
      <c r="C21" s="536">
        <v>2017</v>
      </c>
      <c r="D21" s="1382">
        <v>735.32241581874155</v>
      </c>
    </row>
    <row r="22" spans="1:14" x14ac:dyDescent="0.4">
      <c r="A22" s="536"/>
      <c r="C22" s="536">
        <v>2018</v>
      </c>
      <c r="D22" s="1382">
        <v>687.33234489119832</v>
      </c>
    </row>
    <row r="23" spans="1:14" ht="19.5" x14ac:dyDescent="0.4">
      <c r="A23" s="536"/>
      <c r="C23" s="536" t="s">
        <v>5493</v>
      </c>
      <c r="D23" s="536"/>
      <c r="I23" s="115" t="s">
        <v>5494</v>
      </c>
    </row>
    <row r="24" spans="1:14" x14ac:dyDescent="0.4">
      <c r="A24" s="536"/>
      <c r="C24" s="536">
        <v>2020</v>
      </c>
      <c r="D24" s="546">
        <f>+(3501/5111238)*1000000</f>
        <v>684.96125596186278</v>
      </c>
      <c r="I24" s="155" t="s">
        <v>5506</v>
      </c>
      <c r="J24" s="155"/>
      <c r="K24" s="155"/>
      <c r="L24" s="155"/>
      <c r="M24" s="155"/>
      <c r="N24" s="155"/>
    </row>
    <row r="25" spans="1:14" x14ac:dyDescent="0.4">
      <c r="A25" s="536"/>
      <c r="C25" s="141">
        <v>2021</v>
      </c>
      <c r="D25" s="546">
        <f>+(3660/5163038)*1000000</f>
        <v>708.88496269057089</v>
      </c>
    </row>
    <row r="26" spans="1:14" ht="17.45" customHeight="1" x14ac:dyDescent="0.4">
      <c r="A26" s="536"/>
      <c r="C26" s="694">
        <v>2022</v>
      </c>
      <c r="D26" s="1051">
        <f>+(4122/5213374)*1000000</f>
        <v>790.65879409380568</v>
      </c>
    </row>
    <row r="27" spans="1:14" ht="17.45" customHeight="1" x14ac:dyDescent="0.4">
      <c r="A27" s="536"/>
      <c r="C27" s="155"/>
      <c r="D27" s="226"/>
    </row>
    <row r="28" spans="1:14" ht="17.45" customHeight="1" x14ac:dyDescent="0.4">
      <c r="A28" s="536"/>
      <c r="C28" s="155" t="s">
        <v>5494</v>
      </c>
      <c r="D28" s="155"/>
      <c r="E28" s="155"/>
      <c r="F28" s="155"/>
      <c r="G28" s="155"/>
    </row>
    <row r="29" spans="1:14" ht="17.45" customHeight="1" x14ac:dyDescent="0.4">
      <c r="A29" s="536"/>
      <c r="C29" s="155" t="s">
        <v>5507</v>
      </c>
      <c r="D29" s="155"/>
      <c r="E29" s="155"/>
      <c r="F29" s="155"/>
      <c r="G29" s="155"/>
    </row>
    <row r="30" spans="1:14" x14ac:dyDescent="0.4">
      <c r="A30" s="536"/>
      <c r="C30" s="155"/>
      <c r="D30" s="155"/>
      <c r="E30" s="155"/>
      <c r="F30" s="155"/>
      <c r="G30" s="155"/>
    </row>
    <row r="31" spans="1:14" x14ac:dyDescent="0.4">
      <c r="A31" s="536"/>
      <c r="C31" s="155"/>
      <c r="D31" s="155"/>
      <c r="E31" s="155"/>
      <c r="F31" s="155"/>
      <c r="G31" s="155"/>
    </row>
    <row r="32" spans="1:14" x14ac:dyDescent="0.4">
      <c r="A32" s="536"/>
      <c r="C32" s="155"/>
      <c r="D32" s="155"/>
      <c r="E32" s="155"/>
      <c r="F32" s="155"/>
      <c r="G32" s="155"/>
    </row>
  </sheetData>
  <mergeCells count="10">
    <mergeCell ref="A6:B6"/>
    <mergeCell ref="C6:R6"/>
    <mergeCell ref="C9:D9"/>
    <mergeCell ref="C1:D1"/>
    <mergeCell ref="A3:B3"/>
    <mergeCell ref="C3:R3"/>
    <mergeCell ref="A4:B4"/>
    <mergeCell ref="C4:R4"/>
    <mergeCell ref="A5:B5"/>
    <mergeCell ref="C5:R5"/>
  </mergeCells>
  <hyperlinks>
    <hyperlink ref="A1" location="'ODS 9.'!A1" display="REGRESAR" xr:uid="{0F105119-9502-4387-A13F-9C42DE9EDB6E}"/>
    <hyperlink ref="C1:D1" location="'Metadato 9.5.2'!A1" display="VER METADATO" xr:uid="{EF8EBDD8-84A6-446A-82FB-C58BD9DAF988}"/>
  </hyperlinks>
  <pageMargins left="0.7" right="0.7" top="0.75" bottom="0.75" header="0.3" footer="0.3"/>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1954-BEB8-4666-BF33-14CCC3AF6B22}">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76</v>
      </c>
    </row>
    <row r="4" spans="1:6" ht="37.5" x14ac:dyDescent="0.25">
      <c r="A4" s="1079"/>
      <c r="B4" s="2445" t="s">
        <v>234</v>
      </c>
      <c r="C4" s="2445"/>
      <c r="D4" s="49" t="s">
        <v>5368</v>
      </c>
    </row>
    <row r="5" spans="1:6" ht="75" x14ac:dyDescent="0.25">
      <c r="B5" s="2445" t="s">
        <v>79</v>
      </c>
      <c r="C5" s="2445"/>
      <c r="D5" s="49" t="s">
        <v>5350</v>
      </c>
    </row>
    <row r="6" spans="1:6" x14ac:dyDescent="0.25">
      <c r="B6" s="2445" t="s">
        <v>80</v>
      </c>
      <c r="C6" s="2445"/>
      <c r="D6" s="50" t="s">
        <v>5353</v>
      </c>
    </row>
    <row r="7" spans="1:6" ht="31.5" customHeight="1" x14ac:dyDescent="0.25">
      <c r="B7" s="2446" t="s">
        <v>81</v>
      </c>
      <c r="C7" s="2446"/>
      <c r="D7" s="93" t="s">
        <v>5354</v>
      </c>
    </row>
    <row r="8" spans="1:6" ht="15" customHeight="1" x14ac:dyDescent="0.25">
      <c r="B8" s="2446" t="s">
        <v>82</v>
      </c>
      <c r="C8" s="2446"/>
      <c r="D8" s="1047" t="s">
        <v>5508</v>
      </c>
    </row>
    <row r="9" spans="1:6" x14ac:dyDescent="0.4">
      <c r="B9" s="115"/>
      <c r="C9" s="115"/>
      <c r="D9" s="115"/>
    </row>
    <row r="10" spans="1:6" ht="23.25" customHeight="1" x14ac:dyDescent="0.25">
      <c r="B10" s="3194" t="s">
        <v>85</v>
      </c>
      <c r="C10" s="3194"/>
      <c r="D10" s="3194"/>
    </row>
    <row r="11" spans="1:6" x14ac:dyDescent="0.25">
      <c r="B11" s="2487" t="s">
        <v>86</v>
      </c>
      <c r="C11" s="2456"/>
      <c r="D11" s="49" t="s">
        <v>167</v>
      </c>
    </row>
    <row r="12" spans="1:6" ht="18" customHeight="1" x14ac:dyDescent="0.25">
      <c r="B12" s="2446" t="s">
        <v>88</v>
      </c>
      <c r="C12" s="2446"/>
      <c r="D12" s="184" t="s">
        <v>5509</v>
      </c>
    </row>
    <row r="13" spans="1:6" x14ac:dyDescent="0.25">
      <c r="B13" s="2445" t="s">
        <v>90</v>
      </c>
      <c r="C13" s="2445"/>
      <c r="D13" s="55" t="s">
        <v>5353</v>
      </c>
    </row>
    <row r="14" spans="1:6" x14ac:dyDescent="0.25">
      <c r="B14" s="2445" t="s">
        <v>91</v>
      </c>
      <c r="C14" s="2456"/>
      <c r="D14" s="54" t="s">
        <v>214</v>
      </c>
    </row>
    <row r="15" spans="1:6" ht="88.15" customHeight="1" x14ac:dyDescent="0.25">
      <c r="B15" s="2445" t="s">
        <v>93</v>
      </c>
      <c r="C15" s="2445"/>
      <c r="D15" s="55" t="s">
        <v>5510</v>
      </c>
    </row>
    <row r="16" spans="1:6" ht="48" customHeight="1" x14ac:dyDescent="0.25">
      <c r="B16" s="2445" t="s">
        <v>95</v>
      </c>
      <c r="C16" s="2445"/>
      <c r="D16" s="55"/>
    </row>
    <row r="17" spans="2:4" x14ac:dyDescent="0.25">
      <c r="B17" s="2445" t="s">
        <v>97</v>
      </c>
      <c r="C17" s="2445"/>
      <c r="D17" s="55" t="s">
        <v>5511</v>
      </c>
    </row>
    <row r="18" spans="2:4" x14ac:dyDescent="0.25">
      <c r="B18" s="2446" t="s">
        <v>99</v>
      </c>
      <c r="C18" s="2446"/>
      <c r="D18" s="49"/>
    </row>
    <row r="19" spans="2:4" ht="37.5" x14ac:dyDescent="0.25">
      <c r="B19" s="2457" t="s">
        <v>100</v>
      </c>
      <c r="C19" s="2458"/>
      <c r="D19" s="55" t="s">
        <v>5512</v>
      </c>
    </row>
    <row r="20" spans="2:4" x14ac:dyDescent="0.25">
      <c r="B20" s="2445" t="s">
        <v>102</v>
      </c>
      <c r="C20" s="2445"/>
      <c r="D20" s="55" t="s">
        <v>140</v>
      </c>
    </row>
    <row r="21" spans="2:4" x14ac:dyDescent="0.25">
      <c r="B21" s="2451" t="s">
        <v>104</v>
      </c>
      <c r="C21" s="95" t="s">
        <v>105</v>
      </c>
      <c r="D21" s="55" t="s">
        <v>5419</v>
      </c>
    </row>
    <row r="22" spans="2:4" x14ac:dyDescent="0.25">
      <c r="B22" s="2452"/>
      <c r="C22" s="96" t="s">
        <v>107</v>
      </c>
      <c r="D22" s="55"/>
    </row>
    <row r="23" spans="2:4" x14ac:dyDescent="0.25">
      <c r="B23" s="2445" t="s">
        <v>109</v>
      </c>
      <c r="C23" s="2445"/>
      <c r="D23" s="55" t="s">
        <v>143</v>
      </c>
    </row>
    <row r="24" spans="2:4" x14ac:dyDescent="0.25">
      <c r="B24" s="2445" t="s">
        <v>111</v>
      </c>
      <c r="C24" s="2445"/>
      <c r="D24" s="50" t="s">
        <v>5513</v>
      </c>
    </row>
    <row r="25" spans="2:4" x14ac:dyDescent="0.25">
      <c r="B25" s="2445" t="s">
        <v>113</v>
      </c>
      <c r="C25" s="2445"/>
      <c r="D25" s="55" t="s">
        <v>144</v>
      </c>
    </row>
    <row r="26" spans="2:4" ht="15" customHeight="1" x14ac:dyDescent="0.25">
      <c r="B26" s="2446" t="s">
        <v>115</v>
      </c>
      <c r="C26" s="2446"/>
      <c r="D26" s="50" t="s">
        <v>5501</v>
      </c>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74" t="s">
        <v>1825</v>
      </c>
    </row>
    <row r="33" spans="2:4" ht="14.25" customHeight="1" x14ac:dyDescent="0.25">
      <c r="B33" s="2447" t="s">
        <v>124</v>
      </c>
      <c r="C33" s="2448"/>
      <c r="D33" s="59" t="s">
        <v>1826</v>
      </c>
    </row>
    <row r="34" spans="2:4" x14ac:dyDescent="0.25">
      <c r="B34" s="2447" t="s">
        <v>126</v>
      </c>
      <c r="C34" s="2448"/>
      <c r="D34" s="59" t="s">
        <v>5513</v>
      </c>
    </row>
    <row r="35" spans="2:4" x14ac:dyDescent="0.25">
      <c r="B35" s="2447" t="s">
        <v>128</v>
      </c>
      <c r="C35" s="2448"/>
      <c r="D35" s="59" t="s">
        <v>1828</v>
      </c>
    </row>
    <row r="36" spans="2:4" x14ac:dyDescent="0.25">
      <c r="B36" s="2447" t="s">
        <v>130</v>
      </c>
      <c r="C36" s="2448"/>
      <c r="D36" s="460" t="s">
        <v>1829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584E281F-A5D5-4824-B26C-EA9A319CE763}">
      <formula1>ODS</formula1>
    </dataValidation>
    <dataValidation type="list" allowBlank="1" showInputMessage="1" showErrorMessage="1" sqref="D5" xr:uid="{1026558D-06DF-46B5-BB95-E5076C6DF747}">
      <formula1>Metas_ODS</formula1>
    </dataValidation>
    <dataValidation type="list" allowBlank="1" showInputMessage="1" showErrorMessage="1" sqref="D6" xr:uid="{9959A744-35B7-418E-93C2-63549999318E}">
      <formula1>Numero_indicador</formula1>
    </dataValidation>
    <dataValidation type="list" allowBlank="1" showInputMessage="1" showErrorMessage="1" sqref="D7" xr:uid="{C05B6DC2-93DF-4E03-8867-253601CC4216}">
      <formula1>Nombre_indicador_ODS</formula1>
    </dataValidation>
    <dataValidation type="list" allowBlank="1" showInputMessage="1" showErrorMessage="1" sqref="D14" xr:uid="{82DA23FE-4950-496D-807C-DEC2E06CDE15}">
      <formula1>Tipo_indicador</formula1>
    </dataValidation>
    <dataValidation type="list" allowBlank="1" showInputMessage="1" showErrorMessage="1" sqref="D25" xr:uid="{1ED157B0-331C-490D-BAE2-4D450B07BC95}">
      <formula1>Tipo_operación</formula1>
    </dataValidation>
  </dataValidations>
  <hyperlinks>
    <hyperlink ref="B1" location="'9.5.2'!A1" display="REGRESAR" xr:uid="{145F8A7D-C4B3-40AC-9408-046EFE2D3242}"/>
    <hyperlink ref="D8" r:id="rId1" xr:uid="{61065F11-ECAF-41AD-A6B1-390809D7F045}"/>
    <hyperlink ref="D36" r:id="rId2" display="greivin.barboza@micitt.go.cr" xr:uid="{C09415EA-AE5A-4826-B0CF-0DD1CDBC6C16}"/>
  </hyperlinks>
  <pageMargins left="0.7" right="0.7" top="0.75" bottom="0.75" header="0.3" footer="0.3"/>
  <drawing r:id="rId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AA4CC-338E-465A-8C47-F42BD3BA952C}">
  <sheetPr>
    <tabColor rgb="FF7030A0"/>
  </sheetPr>
  <dimension ref="A1:P32"/>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42578125" style="115" customWidth="1"/>
    <col min="3" max="3" width="12" style="1048" customWidth="1"/>
    <col min="4" max="6" width="12" style="115" customWidth="1"/>
    <col min="7" max="16384" width="11.42578125" style="115"/>
  </cols>
  <sheetData>
    <row r="1" spans="1:16" s="1032" customFormat="1" ht="19.5" x14ac:dyDescent="0.4">
      <c r="A1" s="15" t="s">
        <v>39</v>
      </c>
      <c r="B1" s="1080"/>
      <c r="C1" s="2421" t="s">
        <v>149</v>
      </c>
      <c r="D1" s="2421"/>
    </row>
    <row r="2" spans="1:16" s="1032" customFormat="1" ht="19.5" x14ac:dyDescent="0.4">
      <c r="C2" s="1061"/>
    </row>
    <row r="3" spans="1:16" s="1032" customFormat="1" ht="18" customHeight="1" x14ac:dyDescent="0.4">
      <c r="A3" s="3190" t="s">
        <v>41</v>
      </c>
      <c r="B3" s="3193"/>
      <c r="C3" s="3190" t="s">
        <v>5364</v>
      </c>
      <c r="D3" s="3195"/>
      <c r="E3" s="3195"/>
      <c r="F3" s="3195"/>
      <c r="G3" s="3195"/>
      <c r="H3" s="3195"/>
      <c r="I3" s="3195"/>
      <c r="J3" s="3195"/>
      <c r="K3" s="3195"/>
      <c r="L3" s="3195"/>
      <c r="M3" s="3195"/>
      <c r="N3" s="3195"/>
      <c r="O3" s="3195"/>
      <c r="P3" s="3195"/>
    </row>
    <row r="4" spans="1:16" s="1032" customFormat="1" ht="39.6" customHeight="1" x14ac:dyDescent="0.4">
      <c r="A4" s="3190" t="s">
        <v>42</v>
      </c>
      <c r="B4" s="3191"/>
      <c r="C4" s="3190" t="s">
        <v>5355</v>
      </c>
      <c r="D4" s="3192"/>
      <c r="E4" s="3192"/>
      <c r="F4" s="3192"/>
      <c r="G4" s="3192"/>
      <c r="H4" s="3192"/>
      <c r="I4" s="3192"/>
      <c r="J4" s="3192"/>
      <c r="K4" s="3192"/>
      <c r="L4" s="3192"/>
      <c r="M4" s="3192"/>
      <c r="N4" s="3192"/>
      <c r="O4" s="3192"/>
      <c r="P4" s="3192"/>
    </row>
    <row r="5" spans="1:16" s="1032" customFormat="1" ht="19.899999999999999" customHeight="1" x14ac:dyDescent="0.4">
      <c r="A5" s="3190" t="s">
        <v>43</v>
      </c>
      <c r="B5" s="3191"/>
      <c r="C5" s="3190" t="s">
        <v>5357</v>
      </c>
      <c r="D5" s="3192"/>
      <c r="E5" s="3192"/>
      <c r="F5" s="3192"/>
      <c r="G5" s="3192"/>
      <c r="H5" s="3192"/>
      <c r="I5" s="3192"/>
      <c r="J5" s="3192"/>
      <c r="K5" s="3192"/>
      <c r="L5" s="3192"/>
      <c r="M5" s="3192"/>
      <c r="N5" s="3192"/>
      <c r="O5" s="3192"/>
      <c r="P5" s="3192"/>
    </row>
    <row r="6" spans="1:16" s="1032" customFormat="1" ht="21.6" customHeight="1" x14ac:dyDescent="0.4">
      <c r="A6" s="3190" t="s">
        <v>132</v>
      </c>
      <c r="B6" s="3191"/>
      <c r="C6" s="3190" t="s">
        <v>242</v>
      </c>
      <c r="D6" s="3192"/>
      <c r="E6" s="3192"/>
      <c r="F6" s="3192"/>
      <c r="G6" s="3192"/>
      <c r="H6" s="3192"/>
      <c r="I6" s="3192"/>
      <c r="J6" s="3192"/>
      <c r="K6" s="3192"/>
      <c r="L6" s="3192"/>
      <c r="M6" s="3192"/>
      <c r="N6" s="3192"/>
      <c r="O6" s="3192"/>
      <c r="P6" s="3192"/>
    </row>
    <row r="7" spans="1:16" s="1032" customFormat="1" ht="19.5" x14ac:dyDescent="0.4">
      <c r="A7" s="1084"/>
      <c r="C7" s="1061"/>
    </row>
    <row r="8" spans="1:16" s="1032" customFormat="1" ht="19.5" x14ac:dyDescent="0.4">
      <c r="A8" s="1084"/>
      <c r="C8" s="1061"/>
    </row>
    <row r="9" spans="1:16" s="1032" customFormat="1" ht="11.25" customHeight="1" x14ac:dyDescent="0.4">
      <c r="A9" s="1084"/>
      <c r="C9" s="2506" t="s">
        <v>650</v>
      </c>
      <c r="D9" s="2506"/>
      <c r="E9" s="2506"/>
      <c r="F9" s="2506"/>
      <c r="G9" s="2506"/>
      <c r="H9" s="2506"/>
      <c r="I9" s="2506"/>
      <c r="J9" s="2506"/>
      <c r="K9" s="2506"/>
      <c r="L9" s="2506"/>
      <c r="M9" s="2506"/>
      <c r="N9" s="2506"/>
      <c r="O9" s="2506"/>
      <c r="P9" s="2506"/>
    </row>
    <row r="10" spans="1:16" s="1032" customFormat="1" ht="11.25" customHeight="1" x14ac:dyDescent="0.4">
      <c r="A10" s="1084"/>
      <c r="C10" s="2506"/>
      <c r="D10" s="2506"/>
      <c r="E10" s="2506"/>
      <c r="F10" s="2506"/>
      <c r="G10" s="2506"/>
      <c r="H10" s="2506"/>
      <c r="I10" s="2506"/>
      <c r="J10" s="2506"/>
      <c r="K10" s="2506"/>
      <c r="L10" s="2506"/>
      <c r="M10" s="2506"/>
      <c r="N10" s="2506"/>
      <c r="O10" s="2506"/>
      <c r="P10" s="2506"/>
    </row>
    <row r="11" spans="1:16" s="1032" customFormat="1" ht="19.5" x14ac:dyDescent="0.4">
      <c r="A11" s="1084"/>
      <c r="C11" s="1061"/>
    </row>
    <row r="12" spans="1:16" s="1032" customFormat="1" ht="11.25" customHeight="1" x14ac:dyDescent="0.4">
      <c r="A12" s="1084"/>
      <c r="C12" s="1061"/>
    </row>
    <row r="13" spans="1:16" s="1032" customFormat="1" ht="11.25" customHeight="1" x14ac:dyDescent="0.4">
      <c r="A13" s="1084"/>
      <c r="C13" s="3070" t="s">
        <v>5514</v>
      </c>
      <c r="D13" s="3070"/>
      <c r="E13" s="3070"/>
      <c r="F13" s="3070"/>
      <c r="G13" s="3070"/>
      <c r="H13" s="3070"/>
      <c r="I13" s="3070"/>
      <c r="J13" s="3070"/>
      <c r="K13" s="3070"/>
      <c r="L13" s="3070"/>
      <c r="M13" s="3070"/>
      <c r="N13" s="3070"/>
      <c r="O13" s="654"/>
    </row>
    <row r="14" spans="1:16" s="1032" customFormat="1" ht="11.25" customHeight="1" x14ac:dyDescent="0.4">
      <c r="A14" s="1084"/>
      <c r="C14" s="3070"/>
      <c r="D14" s="3070"/>
      <c r="E14" s="3070"/>
      <c r="F14" s="3070"/>
      <c r="G14" s="3070"/>
      <c r="H14" s="3070"/>
      <c r="I14" s="3070"/>
      <c r="J14" s="3070"/>
      <c r="K14" s="3070"/>
      <c r="L14" s="3070"/>
      <c r="M14" s="3070"/>
      <c r="N14" s="3070"/>
      <c r="O14" s="654"/>
    </row>
    <row r="15" spans="1:16" s="1032" customFormat="1" ht="11.25" customHeight="1" x14ac:dyDescent="0.4">
      <c r="A15" s="1084"/>
      <c r="C15" s="3070"/>
      <c r="D15" s="3070"/>
      <c r="E15" s="3070"/>
      <c r="F15" s="3070"/>
      <c r="G15" s="3070"/>
      <c r="H15" s="3070"/>
      <c r="I15" s="3070"/>
      <c r="J15" s="3070"/>
      <c r="K15" s="3070"/>
      <c r="L15" s="3070"/>
      <c r="M15" s="3070"/>
      <c r="N15" s="3070"/>
      <c r="O15" s="654"/>
    </row>
    <row r="16" spans="1:16" s="1032" customFormat="1" ht="19.5" x14ac:dyDescent="0.4">
      <c r="A16" s="1084"/>
      <c r="C16" s="3070"/>
      <c r="D16" s="3070"/>
      <c r="E16" s="3070"/>
      <c r="F16" s="3070"/>
      <c r="G16" s="3070"/>
      <c r="H16" s="3070"/>
      <c r="I16" s="3070"/>
      <c r="J16" s="3070"/>
      <c r="K16" s="3070"/>
      <c r="L16" s="3070"/>
      <c r="M16" s="3070"/>
      <c r="N16" s="3070"/>
      <c r="O16" s="654"/>
    </row>
    <row r="17" spans="1:15" s="1032" customFormat="1" ht="19.5" x14ac:dyDescent="0.4">
      <c r="A17" s="1084"/>
      <c r="C17" s="3070"/>
      <c r="D17" s="3070"/>
      <c r="E17" s="3070"/>
      <c r="F17" s="3070"/>
      <c r="G17" s="3070"/>
      <c r="H17" s="3070"/>
      <c r="I17" s="3070"/>
      <c r="J17" s="3070"/>
      <c r="K17" s="3070"/>
      <c r="L17" s="3070"/>
      <c r="M17" s="3070"/>
      <c r="N17" s="3070"/>
      <c r="O17" s="654"/>
    </row>
    <row r="18" spans="1:15" s="1032" customFormat="1" ht="19.5" x14ac:dyDescent="0.4">
      <c r="A18" s="1084"/>
      <c r="C18" s="3070"/>
      <c r="D18" s="3070"/>
      <c r="E18" s="3070"/>
      <c r="F18" s="3070"/>
      <c r="G18" s="3070"/>
      <c r="H18" s="3070"/>
      <c r="I18" s="3070"/>
      <c r="J18" s="3070"/>
      <c r="K18" s="3070"/>
      <c r="L18" s="3070"/>
      <c r="M18" s="3070"/>
      <c r="N18" s="3070"/>
      <c r="O18" s="654"/>
    </row>
    <row r="19" spans="1:15" s="1032" customFormat="1" ht="19.5" x14ac:dyDescent="0.4">
      <c r="A19" s="1084"/>
      <c r="C19" s="3070"/>
      <c r="D19" s="3070"/>
      <c r="E19" s="3070"/>
      <c r="F19" s="3070"/>
      <c r="G19" s="3070"/>
      <c r="H19" s="3070"/>
      <c r="I19" s="3070"/>
      <c r="J19" s="3070"/>
      <c r="K19" s="3070"/>
      <c r="L19" s="3070"/>
      <c r="M19" s="3070"/>
      <c r="N19" s="3070"/>
      <c r="O19" s="654"/>
    </row>
    <row r="20" spans="1:15" s="1032" customFormat="1" ht="19.5" x14ac:dyDescent="0.4">
      <c r="A20" s="1084"/>
      <c r="C20" s="1061"/>
    </row>
    <row r="21" spans="1:15" x14ac:dyDescent="0.4">
      <c r="A21" s="536"/>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21"/>
      <c r="B26" s="220"/>
      <c r="C26" s="220"/>
      <c r="D26" s="220"/>
      <c r="E26" s="220"/>
      <c r="F26" s="220"/>
      <c r="G26" s="220"/>
      <c r="H26" s="220"/>
      <c r="I26" s="220"/>
      <c r="J26" s="220"/>
      <c r="K26" s="220"/>
      <c r="L26" s="220"/>
      <c r="M26" s="220"/>
      <c r="N26" s="220"/>
      <c r="O26" s="220"/>
    </row>
    <row r="27" spans="1:15" x14ac:dyDescent="0.4">
      <c r="A27" s="2494" t="s">
        <v>652</v>
      </c>
      <c r="B27" s="2494"/>
      <c r="C27" s="2494"/>
      <c r="D27" s="2494"/>
      <c r="E27" s="2494"/>
      <c r="F27" s="2494"/>
      <c r="G27" s="2494"/>
      <c r="H27" s="2494"/>
      <c r="I27" s="2494"/>
      <c r="J27" s="2494"/>
      <c r="K27" s="2494"/>
      <c r="L27" s="2494"/>
      <c r="M27" s="2494"/>
      <c r="N27" s="2494"/>
      <c r="O27" s="2494"/>
    </row>
    <row r="28" spans="1:15" x14ac:dyDescent="0.4">
      <c r="A28" s="536"/>
    </row>
    <row r="29" spans="1:15" x14ac:dyDescent="0.4">
      <c r="A29" s="536"/>
    </row>
    <row r="30" spans="1:15" x14ac:dyDescent="0.4">
      <c r="A30" s="536"/>
    </row>
    <row r="31" spans="1:15" x14ac:dyDescent="0.4">
      <c r="A31" s="536"/>
    </row>
    <row r="32" spans="1:15" x14ac:dyDescent="0.4">
      <c r="A32" s="536"/>
    </row>
  </sheetData>
  <mergeCells count="12">
    <mergeCell ref="A5:B5"/>
    <mergeCell ref="C5:P5"/>
    <mergeCell ref="C1:D1"/>
    <mergeCell ref="A3:B3"/>
    <mergeCell ref="C3:P3"/>
    <mergeCell ref="A4:B4"/>
    <mergeCell ref="C4:P4"/>
    <mergeCell ref="A6:B6"/>
    <mergeCell ref="C6:P6"/>
    <mergeCell ref="C9:P10"/>
    <mergeCell ref="C13:N19"/>
    <mergeCell ref="A27:O27"/>
  </mergeCells>
  <hyperlinks>
    <hyperlink ref="A1" location="'ODS 9.'!A1" display="REGRESAR" xr:uid="{84617537-91F1-4719-91E4-4A43598A104B}"/>
    <hyperlink ref="C1:D1" location="'Metadato 9.a.1'!A1" display="VER METADATO" xr:uid="{20F48122-6F1B-4B8A-A93D-D7D1351FBCE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1A3E-C1D2-4FE7-B116-E23D086F837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431" t="s">
        <v>75</v>
      </c>
      <c r="C3" s="2431"/>
      <c r="D3" s="2431"/>
      <c r="F3" s="91" t="s">
        <v>244</v>
      </c>
    </row>
    <row r="4" spans="1:6" x14ac:dyDescent="0.25">
      <c r="A4" s="224"/>
      <c r="B4" s="2445" t="s">
        <v>234</v>
      </c>
      <c r="C4" s="2445"/>
      <c r="D4" s="49" t="s">
        <v>78</v>
      </c>
    </row>
    <row r="5" spans="1:6" ht="56.25" x14ac:dyDescent="0.25">
      <c r="B5" s="2445" t="s">
        <v>79</v>
      </c>
      <c r="C5" s="2445"/>
      <c r="D5" s="49" t="s">
        <v>36</v>
      </c>
    </row>
    <row r="6" spans="1:6" x14ac:dyDescent="0.25">
      <c r="B6" s="2445" t="s">
        <v>80</v>
      </c>
      <c r="C6" s="2445"/>
      <c r="D6" s="50" t="s">
        <v>37</v>
      </c>
    </row>
    <row r="7" spans="1:6" x14ac:dyDescent="0.25">
      <c r="B7" s="2446" t="s">
        <v>81</v>
      </c>
      <c r="C7" s="2446"/>
      <c r="D7" s="93" t="s">
        <v>38</v>
      </c>
    </row>
    <row r="8" spans="1:6" x14ac:dyDescent="0.25">
      <c r="B8" s="2446" t="s">
        <v>82</v>
      </c>
      <c r="C8" s="2446"/>
      <c r="D8" s="94" t="s">
        <v>353</v>
      </c>
    </row>
    <row r="9" spans="1:6" x14ac:dyDescent="0.4">
      <c r="B9" s="5"/>
      <c r="C9" s="5"/>
      <c r="D9" s="5"/>
    </row>
    <row r="10" spans="1:6" ht="23.25" customHeight="1" x14ac:dyDescent="0.25">
      <c r="B10" s="2431" t="s">
        <v>85</v>
      </c>
      <c r="C10" s="2431"/>
      <c r="D10" s="2431"/>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2431" t="s">
        <v>121</v>
      </c>
      <c r="C31" s="2431"/>
      <c r="D31" s="2431"/>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508070A-F7DA-4151-92F2-050EB0D5BA95}">
      <formula1>Tipo_operación</formula1>
    </dataValidation>
    <dataValidation type="list" allowBlank="1" showInputMessage="1" showErrorMessage="1" sqref="D14" xr:uid="{C359230A-BA73-498D-B7BB-5788C872C2D3}">
      <formula1>Tipo_indicador</formula1>
    </dataValidation>
    <dataValidation type="list" allowBlank="1" showInputMessage="1" showErrorMessage="1" sqref="D7" xr:uid="{2DF99B1A-760B-47F4-BF28-4E415A0D49BF}">
      <formula1>Nombre_indicador_ODS</formula1>
    </dataValidation>
    <dataValidation type="list" allowBlank="1" showInputMessage="1" showErrorMessage="1" sqref="D6" xr:uid="{506078C7-B7F5-419F-82DB-1D1F7914FED3}">
      <formula1>Numero_indicador</formula1>
    </dataValidation>
    <dataValidation type="list" allowBlank="1" showInputMessage="1" showErrorMessage="1" sqref="D5" xr:uid="{01FC890D-19B2-4A5A-AAAF-2F9BE8AF24F6}">
      <formula1>Metas_ODS</formula1>
    </dataValidation>
    <dataValidation type="list" allowBlank="1" showInputMessage="1" showErrorMessage="1" sqref="D4" xr:uid="{B474E1E2-06DF-491D-8502-B7D800C101BC}">
      <formula1>ODS</formula1>
    </dataValidation>
    <dataValidation allowBlank="1" showDropDown="1" showInputMessage="1" showErrorMessage="1" sqref="D13" xr:uid="{D8CF0F29-E026-4ED9-BF0C-BB67AFD6389C}"/>
  </dataValidations>
  <hyperlinks>
    <hyperlink ref="B1" location="'1.b.1'!A1" display="REGRESAR" xr:uid="{DD98EC92-8B5A-4281-B309-756B6E43815A}"/>
    <hyperlink ref="D8" r:id="rId1" xr:uid="{1201E3AB-4EC2-4ADD-83B9-F416F260EFCB}"/>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5275-F7A7-4DE7-A89C-9E1D0563BC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317</v>
      </c>
    </row>
    <row r="4" spans="1:6" ht="37.5" x14ac:dyDescent="0.25">
      <c r="A4" s="1079"/>
      <c r="B4" s="2445" t="s">
        <v>234</v>
      </c>
      <c r="C4" s="2445"/>
      <c r="D4" s="49" t="s">
        <v>5368</v>
      </c>
    </row>
    <row r="5" spans="1:6" ht="56.25" x14ac:dyDescent="0.25">
      <c r="B5" s="2445" t="s">
        <v>79</v>
      </c>
      <c r="C5" s="2445"/>
      <c r="D5" s="49" t="s">
        <v>5355</v>
      </c>
    </row>
    <row r="6" spans="1:6" x14ac:dyDescent="0.25">
      <c r="B6" s="2445" t="s">
        <v>80</v>
      </c>
      <c r="C6" s="2445"/>
      <c r="D6" s="50" t="s">
        <v>5356</v>
      </c>
    </row>
    <row r="7" spans="1:6" ht="33.75" customHeight="1" x14ac:dyDescent="0.25">
      <c r="B7" s="2446" t="s">
        <v>81</v>
      </c>
      <c r="C7" s="2446"/>
      <c r="D7" s="93" t="s">
        <v>5357</v>
      </c>
    </row>
    <row r="8" spans="1:6" x14ac:dyDescent="0.25">
      <c r="B8" s="2457" t="s">
        <v>82</v>
      </c>
      <c r="C8" s="2458"/>
      <c r="D8" s="1047" t="s">
        <v>5515</v>
      </c>
    </row>
    <row r="9" spans="1:6" x14ac:dyDescent="0.4">
      <c r="B9" s="115"/>
      <c r="C9" s="115"/>
      <c r="D9" s="115"/>
    </row>
    <row r="10" spans="1:6" ht="23.25" customHeight="1" x14ac:dyDescent="0.25">
      <c r="B10" s="3194" t="s">
        <v>85</v>
      </c>
      <c r="C10" s="3194"/>
      <c r="D10" s="3194"/>
    </row>
    <row r="11" spans="1:6" x14ac:dyDescent="0.25">
      <c r="B11" s="2487" t="s">
        <v>86</v>
      </c>
      <c r="C11" s="2456"/>
      <c r="D11" s="49"/>
    </row>
    <row r="12" spans="1:6" ht="15" customHeight="1" x14ac:dyDescent="0.25">
      <c r="B12" s="2446" t="s">
        <v>88</v>
      </c>
      <c r="C12" s="2446"/>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ht="15" customHeight="1"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5" t="s">
        <v>109</v>
      </c>
      <c r="C23" s="2445"/>
      <c r="D23" s="49"/>
    </row>
    <row r="24" spans="2:4" x14ac:dyDescent="0.25">
      <c r="B24" s="2445" t="s">
        <v>111</v>
      </c>
      <c r="C24" s="2445"/>
      <c r="D24" s="49"/>
    </row>
    <row r="25" spans="2:4" x14ac:dyDescent="0.25">
      <c r="B25" s="2445" t="s">
        <v>113</v>
      </c>
      <c r="C25" s="2445"/>
      <c r="D25" s="55"/>
    </row>
    <row r="26" spans="2:4" ht="15" customHeight="1" x14ac:dyDescent="0.25">
      <c r="B26" s="2446" t="s">
        <v>115</v>
      </c>
      <c r="C26" s="2446"/>
      <c r="D26" s="49"/>
    </row>
    <row r="27" spans="2:4" x14ac:dyDescent="0.25">
      <c r="B27" s="2447" t="s">
        <v>117</v>
      </c>
      <c r="C27" s="2448"/>
      <c r="D27" s="49"/>
    </row>
    <row r="28" spans="2:4" ht="75" x14ac:dyDescent="0.25">
      <c r="B28" s="97" t="s">
        <v>118</v>
      </c>
      <c r="C28" s="98"/>
      <c r="D28" s="55" t="s">
        <v>5516</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5"/>
    </row>
    <row r="33" spans="2:4" x14ac:dyDescent="0.25">
      <c r="B33" s="2447" t="s">
        <v>124</v>
      </c>
      <c r="C33" s="2448"/>
      <c r="D33" s="55"/>
    </row>
    <row r="34" spans="2:4" x14ac:dyDescent="0.25">
      <c r="B34" s="2447" t="s">
        <v>126</v>
      </c>
      <c r="C34" s="2448"/>
      <c r="D34" s="55"/>
    </row>
    <row r="35" spans="2:4" x14ac:dyDescent="0.25">
      <c r="B35" s="2447" t="s">
        <v>128</v>
      </c>
      <c r="C35" s="2448"/>
      <c r="D35" s="246"/>
    </row>
    <row r="36" spans="2:4" x14ac:dyDescent="0.25">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CD0E704-1A61-4C98-B05B-6E93FB4ABF67}"/>
    <dataValidation type="list" allowBlank="1" showInputMessage="1" showErrorMessage="1" sqref="D4" xr:uid="{129CB0FF-523D-4B60-84E1-E1C5692DCD97}">
      <formula1>ODS</formula1>
    </dataValidation>
    <dataValidation type="list" allowBlank="1" showInputMessage="1" showErrorMessage="1" sqref="D5" xr:uid="{B90A72C5-2998-4185-8B85-F71B27A7F2F0}">
      <formula1>Metas_ODS</formula1>
    </dataValidation>
    <dataValidation type="list" allowBlank="1" showInputMessage="1" showErrorMessage="1" sqref="D6" xr:uid="{2373E787-F0C5-414C-94A7-8CAA8AEA667E}">
      <formula1>Numero_indicador</formula1>
    </dataValidation>
    <dataValidation type="list" allowBlank="1" showInputMessage="1" showErrorMessage="1" sqref="D7" xr:uid="{1E456AC8-4E0C-4EE6-B33F-0DEAB2E4C704}">
      <formula1>Nombre_indicador_ODS</formula1>
    </dataValidation>
    <dataValidation type="list" allowBlank="1" showInputMessage="1" showErrorMessage="1" sqref="D14" xr:uid="{6666CEDC-895D-4E6D-9010-0CBBA7B4F8BA}">
      <formula1>Tipo_indicador</formula1>
    </dataValidation>
    <dataValidation type="list" allowBlank="1" showInputMessage="1" showErrorMessage="1" sqref="D25" xr:uid="{DDD9A063-32DF-4587-8E57-F80DA4CB76A8}">
      <formula1>Tipo_operación</formula1>
    </dataValidation>
  </dataValidations>
  <hyperlinks>
    <hyperlink ref="B1" location="'9.a.1'!A1" display="REGRESAR" xr:uid="{F81DD190-6F1A-4412-84CF-204707DA68CD}"/>
    <hyperlink ref="D8" r:id="rId1" xr:uid="{31A44ADE-F32D-4307-8908-24EA12F4CBA6}"/>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8603-B7FB-40E9-8D46-1FE579560509}">
  <dimension ref="A1:Q33"/>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3.5703125" style="115" customWidth="1"/>
    <col min="4" max="4" width="17.5703125" style="115" customWidth="1"/>
    <col min="5" max="5" width="17.7109375" style="115" customWidth="1"/>
    <col min="6" max="16384" width="11.42578125" style="115"/>
  </cols>
  <sheetData>
    <row r="1" spans="1:17" s="1032" customFormat="1" ht="19.5" x14ac:dyDescent="0.4">
      <c r="A1" s="15" t="s">
        <v>39</v>
      </c>
      <c r="C1" s="2421" t="s">
        <v>149</v>
      </c>
      <c r="D1" s="2421"/>
    </row>
    <row r="2" spans="1:17" s="1032" customFormat="1" ht="19.5" x14ac:dyDescent="0.4"/>
    <row r="3" spans="1:17" s="1032" customFormat="1" ht="19.5" x14ac:dyDescent="0.4">
      <c r="A3" s="3190" t="s">
        <v>41</v>
      </c>
      <c r="B3" s="3193"/>
      <c r="C3" s="3190" t="s">
        <v>5364</v>
      </c>
      <c r="D3" s="3195"/>
      <c r="E3" s="3195"/>
      <c r="F3" s="3195"/>
      <c r="G3" s="3195"/>
      <c r="H3" s="3195"/>
      <c r="I3" s="3195"/>
      <c r="J3" s="3195"/>
      <c r="K3" s="3195"/>
      <c r="L3" s="3195"/>
      <c r="M3" s="3195"/>
      <c r="N3" s="3195"/>
      <c r="O3" s="3195"/>
      <c r="P3" s="3195"/>
      <c r="Q3" s="3195"/>
    </row>
    <row r="4" spans="1:17" s="1032" customFormat="1" ht="41.45" customHeight="1" x14ac:dyDescent="0.4">
      <c r="A4" s="3190" t="s">
        <v>42</v>
      </c>
      <c r="B4" s="3191"/>
      <c r="C4" s="3190" t="s">
        <v>5358</v>
      </c>
      <c r="D4" s="3192"/>
      <c r="E4" s="3192"/>
      <c r="F4" s="3192"/>
      <c r="G4" s="3192"/>
      <c r="H4" s="3192"/>
      <c r="I4" s="3192"/>
      <c r="J4" s="3192"/>
      <c r="K4" s="3192"/>
      <c r="L4" s="3192"/>
      <c r="M4" s="3192"/>
      <c r="N4" s="3192"/>
      <c r="O4" s="3192"/>
      <c r="P4" s="3192"/>
      <c r="Q4" s="3192"/>
    </row>
    <row r="5" spans="1:17" s="1032" customFormat="1" ht="19.5" x14ac:dyDescent="0.4">
      <c r="A5" s="3190" t="s">
        <v>43</v>
      </c>
      <c r="B5" s="3191"/>
      <c r="C5" s="3190" t="s">
        <v>5360</v>
      </c>
      <c r="D5" s="3192"/>
      <c r="E5" s="3192"/>
      <c r="F5" s="3192"/>
      <c r="G5" s="3192"/>
      <c r="H5" s="3192"/>
      <c r="I5" s="3192"/>
      <c r="J5" s="3192"/>
      <c r="K5" s="3192"/>
      <c r="L5" s="3192"/>
      <c r="M5" s="3192"/>
      <c r="N5" s="3192"/>
      <c r="O5" s="3192"/>
      <c r="P5" s="3192"/>
      <c r="Q5" s="3192"/>
    </row>
    <row r="6" spans="1:17" s="1032" customFormat="1" ht="19.5" x14ac:dyDescent="0.4">
      <c r="A6" s="3190" t="s">
        <v>132</v>
      </c>
      <c r="B6" s="3191"/>
      <c r="C6" s="3190" t="s">
        <v>5517</v>
      </c>
      <c r="D6" s="3192"/>
      <c r="E6" s="3192"/>
      <c r="F6" s="3192"/>
      <c r="G6" s="3192"/>
      <c r="H6" s="3192"/>
      <c r="I6" s="3192"/>
      <c r="J6" s="3192"/>
      <c r="K6" s="3192"/>
      <c r="L6" s="3192"/>
      <c r="M6" s="3192"/>
      <c r="N6" s="3192"/>
      <c r="O6" s="3192"/>
      <c r="P6" s="3192"/>
      <c r="Q6" s="3192"/>
    </row>
    <row r="7" spans="1:17" s="1032" customFormat="1" ht="19.5" x14ac:dyDescent="0.4"/>
    <row r="8" spans="1:17" s="1032" customFormat="1" ht="19.5" x14ac:dyDescent="0.4"/>
    <row r="9" spans="1:17" s="1032" customFormat="1" ht="75.599999999999994" customHeight="1" x14ac:dyDescent="0.4">
      <c r="C9" s="2628" t="s">
        <v>5517</v>
      </c>
      <c r="D9" s="2628"/>
      <c r="G9" s="2438" t="s">
        <v>5518</v>
      </c>
      <c r="H9" s="2438"/>
      <c r="I9" s="2438"/>
      <c r="J9" s="2438"/>
      <c r="K9" s="2438"/>
      <c r="L9" s="2438"/>
    </row>
    <row r="10" spans="1:17" x14ac:dyDescent="0.4">
      <c r="C10" s="1562" t="s">
        <v>46</v>
      </c>
      <c r="D10" s="1562" t="s">
        <v>387</v>
      </c>
    </row>
    <row r="11" spans="1:17" x14ac:dyDescent="0.4">
      <c r="A11" s="536"/>
      <c r="C11" s="536">
        <v>2010</v>
      </c>
      <c r="D11" s="536">
        <v>1.88</v>
      </c>
    </row>
    <row r="12" spans="1:17" x14ac:dyDescent="0.4">
      <c r="A12" s="835"/>
      <c r="C12" s="835">
        <v>2011</v>
      </c>
      <c r="D12" s="536">
        <v>1.81</v>
      </c>
    </row>
    <row r="13" spans="1:17" x14ac:dyDescent="0.4">
      <c r="A13" s="536"/>
      <c r="C13" s="536">
        <v>2012</v>
      </c>
      <c r="D13" s="536">
        <v>1.98</v>
      </c>
    </row>
    <row r="14" spans="1:17" x14ac:dyDescent="0.4">
      <c r="A14" s="536"/>
      <c r="C14" s="536">
        <v>2013</v>
      </c>
      <c r="D14" s="536">
        <v>2.0099999999999998</v>
      </c>
    </row>
    <row r="15" spans="1:17" x14ac:dyDescent="0.4">
      <c r="C15" s="835">
        <v>2014</v>
      </c>
      <c r="D15" s="536">
        <v>2.58</v>
      </c>
    </row>
    <row r="16" spans="1:17" x14ac:dyDescent="0.4">
      <c r="A16" s="198"/>
      <c r="C16" s="536">
        <v>2015</v>
      </c>
      <c r="D16" s="536">
        <v>2.15</v>
      </c>
    </row>
    <row r="17" spans="1:13" x14ac:dyDescent="0.4">
      <c r="A17" s="198"/>
      <c r="C17" s="536">
        <v>2016</v>
      </c>
      <c r="D17" s="1382">
        <v>2.16</v>
      </c>
    </row>
    <row r="18" spans="1:13" x14ac:dyDescent="0.4">
      <c r="A18" s="536"/>
      <c r="C18" s="232">
        <v>2017</v>
      </c>
      <c r="D18" s="232">
        <v>2.38</v>
      </c>
    </row>
    <row r="19" spans="1:13" x14ac:dyDescent="0.4">
      <c r="A19" s="536"/>
      <c r="C19" s="232">
        <v>2018</v>
      </c>
      <c r="D19" s="232">
        <v>2.67</v>
      </c>
    </row>
    <row r="20" spans="1:13" ht="19.5" x14ac:dyDescent="0.4">
      <c r="A20" s="536"/>
      <c r="C20" s="232" t="s">
        <v>5493</v>
      </c>
      <c r="D20" s="536"/>
    </row>
    <row r="21" spans="1:13" x14ac:dyDescent="0.4">
      <c r="A21" s="536"/>
      <c r="C21" s="536">
        <v>2020</v>
      </c>
      <c r="D21" s="536">
        <v>2.17</v>
      </c>
      <c r="G21" s="115" t="s">
        <v>5519</v>
      </c>
    </row>
    <row r="22" spans="1:13" ht="17.45" customHeight="1" x14ac:dyDescent="0.4">
      <c r="A22" s="536"/>
      <c r="C22" s="536">
        <v>2021</v>
      </c>
      <c r="D22" s="536">
        <v>2.41</v>
      </c>
      <c r="G22" s="243" t="s">
        <v>5495</v>
      </c>
      <c r="H22" s="243"/>
      <c r="I22" s="243"/>
      <c r="J22" s="243"/>
      <c r="K22" s="243"/>
      <c r="L22" s="243"/>
      <c r="M22" s="243"/>
    </row>
    <row r="23" spans="1:13" x14ac:dyDescent="0.4">
      <c r="A23" s="536"/>
      <c r="C23" s="824">
        <v>2022</v>
      </c>
      <c r="D23" s="824">
        <v>1.83</v>
      </c>
      <c r="G23" s="243"/>
      <c r="H23" s="243"/>
      <c r="I23" s="243"/>
      <c r="J23" s="243"/>
      <c r="K23" s="243"/>
      <c r="L23" s="243"/>
      <c r="M23" s="243"/>
    </row>
    <row r="24" spans="1:13" ht="17.45" customHeight="1" x14ac:dyDescent="0.4">
      <c r="A24" s="536"/>
      <c r="C24" s="840" t="s">
        <v>5519</v>
      </c>
      <c r="G24" s="243"/>
      <c r="H24" s="243"/>
      <c r="I24" s="243"/>
      <c r="J24" s="243"/>
      <c r="K24" s="243"/>
      <c r="L24" s="243"/>
      <c r="M24" s="243"/>
    </row>
    <row r="25" spans="1:13" ht="27.75" customHeight="1" x14ac:dyDescent="0.4">
      <c r="A25" s="536"/>
      <c r="C25" s="3175" t="s">
        <v>5495</v>
      </c>
      <c r="D25" s="3175"/>
      <c r="E25" s="3175"/>
    </row>
    <row r="26" spans="1:13" x14ac:dyDescent="0.4">
      <c r="A26" s="536"/>
      <c r="C26" s="3175"/>
      <c r="D26" s="3175"/>
      <c r="E26" s="3175"/>
    </row>
    <row r="27" spans="1:13" x14ac:dyDescent="0.4">
      <c r="A27" s="536"/>
      <c r="C27" s="3175"/>
      <c r="D27" s="3175"/>
      <c r="E27" s="3175"/>
    </row>
    <row r="28" spans="1:13" x14ac:dyDescent="0.4">
      <c r="A28" s="536"/>
    </row>
    <row r="29" spans="1:13" x14ac:dyDescent="0.4">
      <c r="A29" s="536"/>
    </row>
    <row r="30" spans="1:13" x14ac:dyDescent="0.4">
      <c r="A30" s="536"/>
    </row>
    <row r="31" spans="1:13" x14ac:dyDescent="0.4">
      <c r="A31" s="536"/>
    </row>
    <row r="32" spans="1:13" x14ac:dyDescent="0.4">
      <c r="A32" s="536"/>
    </row>
    <row r="33" spans="1:1" x14ac:dyDescent="0.4">
      <c r="A33" s="536"/>
    </row>
  </sheetData>
  <mergeCells count="12">
    <mergeCell ref="A5:B5"/>
    <mergeCell ref="C5:Q5"/>
    <mergeCell ref="C1:D1"/>
    <mergeCell ref="A3:B3"/>
    <mergeCell ref="C3:Q3"/>
    <mergeCell ref="A4:B4"/>
    <mergeCell ref="C4:Q4"/>
    <mergeCell ref="A6:B6"/>
    <mergeCell ref="C6:Q6"/>
    <mergeCell ref="C9:D9"/>
    <mergeCell ref="G9:L9"/>
    <mergeCell ref="C25:E27"/>
  </mergeCells>
  <hyperlinks>
    <hyperlink ref="A1" location="'ODS 9.'!A1" display="REGRESAR" xr:uid="{9E022640-2C16-459C-829E-3EA3F28F3C31}"/>
    <hyperlink ref="C1:D1" location="'Metadato 9.b.1'!A1" display="VER METADATO" xr:uid="{5AF3F20D-B5DD-4DF1-A93C-1400B7D12A2A}"/>
  </hyperlinks>
  <pageMargins left="0.7" right="0.7" top="0.75" bottom="0.75" header="0.3" footer="0.3"/>
  <pageSetup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D73D-E58A-4D1B-A12C-98F5264238A9}">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194" t="s">
        <v>75</v>
      </c>
      <c r="C3" s="3194"/>
      <c r="D3" s="3194"/>
      <c r="F3" s="1286" t="s">
        <v>265</v>
      </c>
    </row>
    <row r="4" spans="1:6" ht="22.15" customHeight="1" x14ac:dyDescent="0.25">
      <c r="A4" s="1079"/>
      <c r="B4" s="2445" t="s">
        <v>234</v>
      </c>
      <c r="C4" s="2445"/>
      <c r="D4" s="49" t="s">
        <v>5368</v>
      </c>
    </row>
    <row r="5" spans="1:6" ht="56.25" x14ac:dyDescent="0.25">
      <c r="B5" s="2445" t="s">
        <v>79</v>
      </c>
      <c r="C5" s="2445"/>
      <c r="D5" s="49" t="s">
        <v>5358</v>
      </c>
    </row>
    <row r="6" spans="1:6" x14ac:dyDescent="0.25">
      <c r="B6" s="2445" t="s">
        <v>80</v>
      </c>
      <c r="C6" s="2445"/>
      <c r="D6" s="50" t="s">
        <v>5359</v>
      </c>
    </row>
    <row r="7" spans="1:6" ht="37.5" x14ac:dyDescent="0.25">
      <c r="B7" s="2446" t="s">
        <v>81</v>
      </c>
      <c r="C7" s="2446"/>
      <c r="D7" s="93" t="s">
        <v>5360</v>
      </c>
    </row>
    <row r="8" spans="1:6" x14ac:dyDescent="0.25">
      <c r="B8" s="2446" t="s">
        <v>82</v>
      </c>
      <c r="C8" s="2446"/>
      <c r="D8" s="1047" t="s">
        <v>5520</v>
      </c>
    </row>
    <row r="9" spans="1:6" x14ac:dyDescent="0.4">
      <c r="B9" s="115"/>
      <c r="C9" s="115"/>
      <c r="D9" s="115"/>
    </row>
    <row r="10" spans="1:6" ht="23.25" customHeight="1" x14ac:dyDescent="0.25">
      <c r="B10" s="3194" t="s">
        <v>85</v>
      </c>
      <c r="C10" s="3194"/>
      <c r="D10" s="3194"/>
    </row>
    <row r="11" spans="1:6" x14ac:dyDescent="0.25">
      <c r="B11" s="2487" t="s">
        <v>86</v>
      </c>
      <c r="C11" s="2456"/>
      <c r="D11" s="49" t="s">
        <v>1754</v>
      </c>
    </row>
    <row r="12" spans="1:6" ht="15" customHeight="1" x14ac:dyDescent="0.25">
      <c r="B12" s="2446" t="s">
        <v>88</v>
      </c>
      <c r="C12" s="2446"/>
      <c r="D12" s="184" t="s">
        <v>5521</v>
      </c>
    </row>
    <row r="13" spans="1:6" x14ac:dyDescent="0.25">
      <c r="B13" s="2445" t="s">
        <v>90</v>
      </c>
      <c r="C13" s="2445"/>
      <c r="D13" s="55" t="s">
        <v>5359</v>
      </c>
    </row>
    <row r="14" spans="1:6" x14ac:dyDescent="0.25">
      <c r="B14" s="2445" t="s">
        <v>91</v>
      </c>
      <c r="C14" s="2456"/>
      <c r="D14" s="54" t="s">
        <v>214</v>
      </c>
    </row>
    <row r="15" spans="1:6" ht="168.75" x14ac:dyDescent="0.25">
      <c r="B15" s="2445" t="s">
        <v>93</v>
      </c>
      <c r="C15" s="2445"/>
      <c r="D15" s="55" t="s">
        <v>5522</v>
      </c>
    </row>
    <row r="16" spans="1:6" ht="39" customHeight="1" x14ac:dyDescent="0.25">
      <c r="B16" s="2445" t="s">
        <v>95</v>
      </c>
      <c r="C16" s="2445"/>
      <c r="D16" s="49"/>
    </row>
    <row r="17" spans="2:4" x14ac:dyDescent="0.25">
      <c r="B17" s="2445" t="s">
        <v>97</v>
      </c>
      <c r="C17" s="2445"/>
      <c r="D17" s="55" t="s">
        <v>387</v>
      </c>
    </row>
    <row r="18" spans="2:4" x14ac:dyDescent="0.25">
      <c r="B18" s="2446" t="s">
        <v>99</v>
      </c>
      <c r="C18" s="2446"/>
      <c r="D18" s="49"/>
    </row>
    <row r="19" spans="2:4" ht="37.5" x14ac:dyDescent="0.25">
      <c r="B19" s="2457" t="s">
        <v>100</v>
      </c>
      <c r="C19" s="2458"/>
      <c r="D19" s="55" t="s">
        <v>5523</v>
      </c>
    </row>
    <row r="20" spans="2:4" x14ac:dyDescent="0.25">
      <c r="B20" s="2445" t="s">
        <v>102</v>
      </c>
      <c r="C20" s="2445"/>
      <c r="D20" s="55" t="s">
        <v>140</v>
      </c>
    </row>
    <row r="21" spans="2:4" x14ac:dyDescent="0.25">
      <c r="B21" s="2451" t="s">
        <v>104</v>
      </c>
      <c r="C21" s="95" t="s">
        <v>105</v>
      </c>
      <c r="D21" s="49"/>
    </row>
    <row r="22" spans="2:4" x14ac:dyDescent="0.25">
      <c r="B22" s="2452"/>
      <c r="C22" s="96" t="s">
        <v>107</v>
      </c>
      <c r="D22" s="55" t="s">
        <v>154</v>
      </c>
    </row>
    <row r="23" spans="2:4" x14ac:dyDescent="0.25">
      <c r="B23" s="2445" t="s">
        <v>109</v>
      </c>
      <c r="C23" s="2445"/>
      <c r="D23" s="55" t="s">
        <v>1345</v>
      </c>
    </row>
    <row r="24" spans="2:4" x14ac:dyDescent="0.25">
      <c r="B24" s="2445" t="s">
        <v>111</v>
      </c>
      <c r="C24" s="2445"/>
      <c r="D24" s="50" t="s">
        <v>1827</v>
      </c>
    </row>
    <row r="25" spans="2:4" x14ac:dyDescent="0.25">
      <c r="B25" s="2445" t="s">
        <v>113</v>
      </c>
      <c r="C25" s="2445"/>
      <c r="D25" s="55" t="s">
        <v>144</v>
      </c>
    </row>
    <row r="26" spans="2:4" ht="15" customHeight="1" x14ac:dyDescent="0.25">
      <c r="B26" s="2446" t="s">
        <v>115</v>
      </c>
      <c r="C26" s="2446"/>
      <c r="D26" s="50" t="s">
        <v>5501</v>
      </c>
    </row>
    <row r="27" spans="2:4" x14ac:dyDescent="0.25">
      <c r="B27" s="2447" t="s">
        <v>117</v>
      </c>
      <c r="C27" s="2448"/>
      <c r="D27" s="49"/>
    </row>
    <row r="28" spans="2:4" ht="37.5" x14ac:dyDescent="0.25">
      <c r="B28" s="97" t="s">
        <v>118</v>
      </c>
      <c r="C28" s="98"/>
      <c r="D28" s="55" t="s">
        <v>5524</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74" t="s">
        <v>1825</v>
      </c>
    </row>
    <row r="33" spans="2:4" ht="19.5" customHeight="1" x14ac:dyDescent="0.25">
      <c r="B33" s="2447" t="s">
        <v>124</v>
      </c>
      <c r="C33" s="2448"/>
      <c r="D33" s="59" t="s">
        <v>1826</v>
      </c>
    </row>
    <row r="34" spans="2:4" x14ac:dyDescent="0.25">
      <c r="B34" s="2447" t="s">
        <v>126</v>
      </c>
      <c r="C34" s="2448"/>
      <c r="D34" s="59" t="s">
        <v>1827</v>
      </c>
    </row>
    <row r="35" spans="2:4" x14ac:dyDescent="0.25">
      <c r="B35" s="2447" t="s">
        <v>128</v>
      </c>
      <c r="C35" s="2448"/>
      <c r="D35" s="59" t="s">
        <v>1828</v>
      </c>
    </row>
    <row r="36" spans="2:4" x14ac:dyDescent="0.25">
      <c r="B36" s="2447" t="s">
        <v>130</v>
      </c>
      <c r="C36" s="2448"/>
      <c r="D36" s="460" t="s">
        <v>1829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0C29788-71C0-451D-B470-13BE73A2A5DF}">
      <formula1>ODS</formula1>
    </dataValidation>
    <dataValidation type="list" allowBlank="1" showInputMessage="1" showErrorMessage="1" sqref="D5" xr:uid="{55C55E6B-02EB-4780-8AFC-C4F631411792}">
      <formula1>Metas_ODS</formula1>
    </dataValidation>
    <dataValidation type="list" allowBlank="1" showInputMessage="1" showErrorMessage="1" sqref="D6" xr:uid="{9D28D1D1-C5A9-4080-B2B7-0265C09A6426}">
      <formula1>Numero_indicador</formula1>
    </dataValidation>
    <dataValidation type="list" allowBlank="1" showInputMessage="1" showErrorMessage="1" sqref="D7" xr:uid="{4752E370-63CC-4EF8-8AA2-2B6CD8D45B02}">
      <formula1>Nombre_indicador_ODS</formula1>
    </dataValidation>
    <dataValidation type="list" allowBlank="1" showInputMessage="1" showErrorMessage="1" sqref="D14" xr:uid="{FF006A54-D15F-4339-8DEE-3425F9E08FBD}">
      <formula1>Tipo_indicador</formula1>
    </dataValidation>
    <dataValidation type="list" allowBlank="1" showInputMessage="1" showErrorMessage="1" sqref="D25" xr:uid="{F906D379-9460-46C0-AE8C-B4CF47BBF98C}">
      <formula1>Tipo_operación</formula1>
    </dataValidation>
  </dataValidations>
  <hyperlinks>
    <hyperlink ref="B1" location="'9.b.1'!A1" display="REGRESAR" xr:uid="{92F8F9DF-2BFD-4831-B54F-69DCA68E2C0A}"/>
    <hyperlink ref="D8" r:id="rId1" xr:uid="{7C183C86-F7EC-43CA-8F52-E87A69930F2B}"/>
    <hyperlink ref="D36" r:id="rId2" display="greivin.barboza@micitt.go.cr" xr:uid="{16932A66-5549-437F-8D0F-68273309DD6E}"/>
  </hyperlinks>
  <pageMargins left="0.7" right="0.7" top="0.75" bottom="0.75" header="0.3" footer="0.3"/>
  <pageSetup orientation="portrait" r:id="rId3"/>
  <drawing r:id="rId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6125D-0F8A-4932-9119-A524FC06D553}">
  <dimension ref="A1:AU67"/>
  <sheetViews>
    <sheetView showGridLines="0" zoomScaleNormal="100" workbookViewId="0">
      <pane ySplit="1" topLeftCell="A7"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5.5703125" style="115" customWidth="1"/>
    <col min="3" max="3" width="10.28515625" style="115" customWidth="1"/>
    <col min="4" max="4" width="12.5703125" style="115" customWidth="1"/>
    <col min="5" max="5" width="11.28515625" style="115" customWidth="1"/>
    <col min="6" max="6" width="12.7109375" style="115" customWidth="1"/>
    <col min="7" max="7" width="10.7109375" style="115" customWidth="1"/>
    <col min="8" max="8" width="3.28515625" style="115" customWidth="1"/>
    <col min="9" max="9" width="13.28515625" style="115" customWidth="1"/>
    <col min="10" max="10" width="9.7109375" style="115" customWidth="1"/>
    <col min="11" max="11" width="3.42578125" style="115" customWidth="1"/>
    <col min="12" max="12" width="15.7109375" style="115" customWidth="1"/>
    <col min="13" max="13" width="11.5703125" style="115" customWidth="1"/>
    <col min="14" max="14" width="9.7109375" style="115" customWidth="1"/>
    <col min="15" max="15" width="3.7109375" style="115" customWidth="1"/>
    <col min="16" max="16" width="10" style="115" customWidth="1"/>
    <col min="17" max="17" width="4.28515625" style="115" customWidth="1"/>
    <col min="18" max="18" width="9.5703125" style="115" customWidth="1"/>
    <col min="19" max="19" width="1.28515625" style="115" customWidth="1"/>
    <col min="20" max="20" width="2.7109375" style="115" customWidth="1"/>
    <col min="21" max="21" width="11.28515625" style="115" customWidth="1"/>
    <col min="22" max="22" width="13.7109375" style="115" customWidth="1"/>
    <col min="23" max="23" width="12.28515625" style="115" customWidth="1"/>
    <col min="24" max="24" width="14.28515625" style="115" customWidth="1"/>
    <col min="25" max="25" width="11.28515625" style="115" customWidth="1"/>
    <col min="26" max="26" width="12.5703125" style="115" customWidth="1"/>
    <col min="27" max="27" width="2" style="115" customWidth="1"/>
    <col min="28" max="28" width="13" style="115" customWidth="1"/>
    <col min="29" max="29" width="11.7109375" style="115" customWidth="1"/>
    <col min="30" max="30" width="13.28515625" style="115" customWidth="1"/>
    <col min="31" max="31" width="14.28515625" style="115" customWidth="1"/>
    <col min="32" max="32" width="13.28515625" style="115" customWidth="1"/>
    <col min="33" max="33" width="9" style="115" customWidth="1"/>
    <col min="34" max="34" width="5.5703125" style="115" customWidth="1"/>
    <col min="35" max="35" width="15.7109375" style="115" customWidth="1"/>
    <col min="36" max="36" width="11.7109375" style="115" customWidth="1"/>
    <col min="37" max="37" width="14" style="115" customWidth="1"/>
    <col min="38" max="38" width="11.28515625" style="115" customWidth="1"/>
    <col min="39" max="39" width="3.28515625" style="115" customWidth="1"/>
    <col min="40" max="40" width="11.7109375" style="115" customWidth="1"/>
    <col min="41" max="41" width="11.42578125" style="115" customWidth="1"/>
    <col min="42" max="42" width="11" style="115" customWidth="1"/>
    <col min="43" max="43" width="2.7109375" style="115" customWidth="1"/>
    <col min="44" max="44" width="9.7109375" style="115" customWidth="1"/>
    <col min="45" max="45" width="19" style="115" customWidth="1"/>
    <col min="46" max="46" width="11.42578125" style="115" customWidth="1"/>
    <col min="47" max="16384" width="11.42578125" style="115"/>
  </cols>
  <sheetData>
    <row r="1" spans="1:47" s="1032" customFormat="1" ht="19.5" x14ac:dyDescent="0.4">
      <c r="A1" s="15" t="s">
        <v>39</v>
      </c>
      <c r="C1" s="2421" t="s">
        <v>149</v>
      </c>
      <c r="D1" s="2421"/>
    </row>
    <row r="2" spans="1:47" s="1032" customFormat="1" ht="19.5" x14ac:dyDescent="0.4"/>
    <row r="3" spans="1:47" s="1032" customFormat="1" ht="19.5" x14ac:dyDescent="0.4">
      <c r="A3" s="3190" t="s">
        <v>41</v>
      </c>
      <c r="B3" s="3193"/>
      <c r="C3" s="3215" t="s">
        <v>5364</v>
      </c>
      <c r="D3" s="3215"/>
      <c r="E3" s="3215"/>
      <c r="F3" s="3215"/>
      <c r="G3" s="3215"/>
      <c r="H3" s="3215"/>
      <c r="I3" s="3215"/>
      <c r="J3" s="3215"/>
      <c r="K3" s="3215"/>
      <c r="L3" s="3215"/>
      <c r="M3" s="3215"/>
      <c r="N3" s="3215"/>
      <c r="O3" s="3215"/>
      <c r="P3" s="3215"/>
      <c r="Q3" s="3215"/>
      <c r="R3" s="3215"/>
      <c r="S3" s="3215"/>
      <c r="T3" s="3215"/>
      <c r="U3" s="3215"/>
      <c r="V3" s="3215"/>
    </row>
    <row r="4" spans="1:47" s="1032" customFormat="1" ht="19.5" x14ac:dyDescent="0.4">
      <c r="A4" s="3190" t="s">
        <v>42</v>
      </c>
      <c r="B4" s="3191"/>
      <c r="C4" s="3215" t="s">
        <v>5525</v>
      </c>
      <c r="D4" s="3216"/>
      <c r="E4" s="3216"/>
      <c r="F4" s="3216"/>
      <c r="G4" s="3216"/>
      <c r="H4" s="3216"/>
      <c r="I4" s="3216"/>
      <c r="J4" s="3216"/>
      <c r="K4" s="3216"/>
      <c r="L4" s="3216"/>
      <c r="M4" s="3216"/>
      <c r="N4" s="3216"/>
      <c r="O4" s="3216"/>
      <c r="P4" s="3216"/>
      <c r="Q4" s="3216"/>
      <c r="R4" s="3216"/>
      <c r="S4" s="3216"/>
      <c r="T4" s="3216"/>
      <c r="U4" s="3216"/>
      <c r="V4" s="3216"/>
    </row>
    <row r="5" spans="1:47" s="1032" customFormat="1" ht="19.5" x14ac:dyDescent="0.4">
      <c r="A5" s="3190" t="s">
        <v>43</v>
      </c>
      <c r="B5" s="3191"/>
      <c r="C5" s="3215" t="s">
        <v>5363</v>
      </c>
      <c r="D5" s="3216"/>
      <c r="E5" s="3216"/>
      <c r="F5" s="3216"/>
      <c r="G5" s="3216"/>
      <c r="H5" s="3216"/>
      <c r="I5" s="3216"/>
      <c r="J5" s="3216"/>
      <c r="K5" s="3216"/>
      <c r="L5" s="3216"/>
      <c r="M5" s="3216"/>
      <c r="N5" s="3216"/>
      <c r="O5" s="3216"/>
      <c r="P5" s="3216"/>
      <c r="Q5" s="3216"/>
      <c r="R5" s="3216"/>
      <c r="S5" s="3216"/>
      <c r="T5" s="3216"/>
      <c r="U5" s="3216"/>
      <c r="V5" s="3216"/>
    </row>
    <row r="6" spans="1:47" s="1032" customFormat="1" ht="19.5" x14ac:dyDescent="0.4">
      <c r="A6" s="3190" t="s">
        <v>132</v>
      </c>
      <c r="B6" s="3191"/>
      <c r="C6" s="3215" t="s">
        <v>5526</v>
      </c>
      <c r="D6" s="3216"/>
      <c r="E6" s="3216"/>
      <c r="F6" s="3216"/>
      <c r="G6" s="3216"/>
      <c r="H6" s="3216"/>
      <c r="I6" s="3216"/>
      <c r="J6" s="3216"/>
      <c r="K6" s="3216"/>
      <c r="L6" s="3216"/>
      <c r="M6" s="3216"/>
      <c r="N6" s="3216"/>
      <c r="O6" s="3216"/>
      <c r="P6" s="3216"/>
      <c r="Q6" s="3216"/>
      <c r="R6" s="3216"/>
      <c r="S6" s="3216"/>
      <c r="T6" s="3216"/>
      <c r="U6" s="3216"/>
      <c r="V6" s="3216"/>
    </row>
    <row r="7" spans="1:47" s="1032" customFormat="1" ht="19.5" x14ac:dyDescent="0.4"/>
    <row r="8" spans="1:47" s="1032" customFormat="1" ht="19.5" x14ac:dyDescent="0.4"/>
    <row r="9" spans="1:47" s="1032" customFormat="1" ht="19.5" x14ac:dyDescent="0.4">
      <c r="C9" s="800" t="s">
        <v>5526</v>
      </c>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c r="AO9" s="800"/>
      <c r="AP9" s="800"/>
      <c r="AQ9" s="800"/>
      <c r="AR9" s="800"/>
      <c r="AS9" s="800"/>
      <c r="AT9" s="800"/>
      <c r="AU9" s="800"/>
    </row>
    <row r="10" spans="1:47" x14ac:dyDescent="0.4">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c r="AP10" s="470"/>
      <c r="AQ10" s="470"/>
      <c r="AR10" s="470"/>
      <c r="AS10" s="470"/>
      <c r="AT10" s="470"/>
      <c r="AU10" s="470"/>
    </row>
    <row r="11" spans="1:47" ht="15" customHeight="1" x14ac:dyDescent="0.4">
      <c r="B11" s="536"/>
      <c r="C11" s="3196" t="s">
        <v>46</v>
      </c>
      <c r="D11" s="3196" t="s">
        <v>5527</v>
      </c>
      <c r="E11" s="3196"/>
      <c r="F11" s="3196"/>
      <c r="G11" s="3196"/>
      <c r="H11" s="3196"/>
      <c r="I11" s="3196"/>
      <c r="J11" s="3218" t="s">
        <v>5528</v>
      </c>
      <c r="K11" s="3218"/>
      <c r="L11" s="3218"/>
      <c r="M11" s="3218"/>
      <c r="N11" s="3218"/>
      <c r="O11" s="3218"/>
      <c r="P11" s="3218"/>
      <c r="Q11" s="3218"/>
      <c r="R11" s="3218"/>
      <c r="S11" s="3218"/>
      <c r="T11" s="3218"/>
      <c r="U11" s="3218"/>
      <c r="V11" s="3218"/>
      <c r="W11" s="3218"/>
      <c r="X11" s="3218"/>
      <c r="Y11" s="3218"/>
      <c r="Z11" s="3218"/>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row>
    <row r="12" spans="1:47" ht="15" customHeight="1" x14ac:dyDescent="0.4">
      <c r="B12" s="536"/>
      <c r="C12" s="3217"/>
      <c r="D12" s="3217"/>
      <c r="E12" s="3217"/>
      <c r="F12" s="3217"/>
      <c r="G12" s="3217"/>
      <c r="H12" s="3217"/>
      <c r="I12" s="3217"/>
      <c r="J12" s="3196" t="s">
        <v>5529</v>
      </c>
      <c r="K12" s="3196"/>
      <c r="L12" s="3196"/>
      <c r="M12" s="3196"/>
      <c r="N12" s="3196"/>
      <c r="O12" s="3196"/>
      <c r="P12" s="3196"/>
      <c r="Q12" s="3196"/>
      <c r="R12" s="3196"/>
      <c r="S12" s="1585"/>
      <c r="T12" s="1585"/>
      <c r="U12" s="3196" t="s">
        <v>5530</v>
      </c>
      <c r="V12" s="3196"/>
      <c r="W12" s="3196"/>
      <c r="X12" s="3196"/>
      <c r="Y12" s="3196"/>
      <c r="Z12" s="3196"/>
      <c r="AA12" s="1585"/>
      <c r="AB12" s="3219" t="s">
        <v>5531</v>
      </c>
      <c r="AC12" s="3219"/>
      <c r="AD12" s="3219"/>
      <c r="AE12" s="3219"/>
      <c r="AF12" s="3219"/>
      <c r="AG12" s="3219"/>
      <c r="AH12" s="3219"/>
      <c r="AI12" s="3219"/>
      <c r="AJ12" s="3219"/>
      <c r="AK12" s="3219"/>
      <c r="AL12" s="3219"/>
      <c r="AM12" s="1585"/>
      <c r="AN12" s="3196" t="s">
        <v>5532</v>
      </c>
      <c r="AO12" s="3196"/>
      <c r="AP12" s="3196"/>
      <c r="AQ12" s="1585"/>
      <c r="AR12" s="3196" t="s">
        <v>5533</v>
      </c>
      <c r="AS12" s="3196"/>
      <c r="AT12" s="3196"/>
      <c r="AU12" s="3196"/>
    </row>
    <row r="13" spans="1:47" x14ac:dyDescent="0.4">
      <c r="B13" s="536"/>
      <c r="C13" s="3217"/>
      <c r="D13" s="3197"/>
      <c r="E13" s="3197"/>
      <c r="F13" s="3197"/>
      <c r="G13" s="3197"/>
      <c r="H13" s="3197"/>
      <c r="I13" s="3197"/>
      <c r="J13" s="3197"/>
      <c r="K13" s="3197"/>
      <c r="L13" s="3197"/>
      <c r="M13" s="3197"/>
      <c r="N13" s="3197"/>
      <c r="O13" s="3197"/>
      <c r="P13" s="3197"/>
      <c r="Q13" s="3197"/>
      <c r="R13" s="3197"/>
      <c r="S13" s="1585"/>
      <c r="T13" s="1585"/>
      <c r="U13" s="3197"/>
      <c r="V13" s="3197"/>
      <c r="W13" s="3197"/>
      <c r="X13" s="3197"/>
      <c r="Y13" s="3197"/>
      <c r="Z13" s="3197"/>
      <c r="AA13" s="1585"/>
      <c r="AB13" s="1586"/>
      <c r="AC13" s="3220" t="s">
        <v>5534</v>
      </c>
      <c r="AD13" s="3220"/>
      <c r="AE13" s="3220"/>
      <c r="AF13" s="3220"/>
      <c r="AG13" s="3220"/>
      <c r="AH13" s="3220"/>
      <c r="AI13" s="3220"/>
      <c r="AJ13" s="3220" t="s">
        <v>5535</v>
      </c>
      <c r="AK13" s="3220"/>
      <c r="AL13" s="1586" t="s">
        <v>5536</v>
      </c>
      <c r="AM13" s="1585"/>
      <c r="AN13" s="3197"/>
      <c r="AO13" s="3197"/>
      <c r="AP13" s="3197"/>
      <c r="AQ13" s="1585"/>
      <c r="AR13" s="3197"/>
      <c r="AS13" s="3197"/>
      <c r="AT13" s="3197"/>
      <c r="AU13" s="3197"/>
    </row>
    <row r="14" spans="1:47" ht="150" x14ac:dyDescent="0.4">
      <c r="B14" s="536"/>
      <c r="C14" s="3197"/>
      <c r="D14" s="1586" t="s">
        <v>5537</v>
      </c>
      <c r="E14" s="1586" t="s">
        <v>5538</v>
      </c>
      <c r="F14" s="1586" t="s">
        <v>5539</v>
      </c>
      <c r="G14" s="3197" t="s">
        <v>5540</v>
      </c>
      <c r="H14" s="3197"/>
      <c r="I14" s="1586" t="s">
        <v>5541</v>
      </c>
      <c r="J14" s="3197" t="s">
        <v>5542</v>
      </c>
      <c r="K14" s="3197"/>
      <c r="L14" s="1586" t="s">
        <v>5543</v>
      </c>
      <c r="M14" s="1586" t="s">
        <v>5544</v>
      </c>
      <c r="N14" s="3197" t="s">
        <v>5545</v>
      </c>
      <c r="O14" s="3197"/>
      <c r="P14" s="3197" t="s">
        <v>5546</v>
      </c>
      <c r="Q14" s="3197"/>
      <c r="R14" s="3197" t="s">
        <v>5547</v>
      </c>
      <c r="S14" s="3197"/>
      <c r="T14" s="1586"/>
      <c r="U14" s="1586" t="s">
        <v>5542</v>
      </c>
      <c r="V14" s="1586" t="s">
        <v>5548</v>
      </c>
      <c r="W14" s="1586" t="s">
        <v>5549</v>
      </c>
      <c r="X14" s="1586" t="s">
        <v>5543</v>
      </c>
      <c r="Y14" s="1586" t="s">
        <v>5550</v>
      </c>
      <c r="Z14" s="1586" t="s">
        <v>5551</v>
      </c>
      <c r="AA14" s="1586"/>
      <c r="AB14" s="1586" t="s">
        <v>5552</v>
      </c>
      <c r="AC14" s="1586" t="s">
        <v>5553</v>
      </c>
      <c r="AD14" s="1586" t="s">
        <v>5554</v>
      </c>
      <c r="AE14" s="1586" t="s">
        <v>5555</v>
      </c>
      <c r="AF14" s="1586" t="s">
        <v>5556</v>
      </c>
      <c r="AG14" s="3197" t="s">
        <v>5557</v>
      </c>
      <c r="AH14" s="3197"/>
      <c r="AI14" s="1586" t="s">
        <v>5558</v>
      </c>
      <c r="AJ14" s="1586" t="s">
        <v>5559</v>
      </c>
      <c r="AK14" s="1586" t="s">
        <v>5560</v>
      </c>
      <c r="AL14" s="1586" t="s">
        <v>5561</v>
      </c>
      <c r="AM14" s="1586"/>
      <c r="AN14" s="1586" t="s">
        <v>5542</v>
      </c>
      <c r="AO14" s="1586" t="s">
        <v>5562</v>
      </c>
      <c r="AP14" s="1586" t="s">
        <v>5563</v>
      </c>
      <c r="AQ14" s="1586"/>
      <c r="AR14" s="1586" t="s">
        <v>177</v>
      </c>
      <c r="AS14" s="1586" t="s">
        <v>5564</v>
      </c>
      <c r="AT14" s="1586" t="s">
        <v>5565</v>
      </c>
      <c r="AU14" s="1586" t="s">
        <v>5566</v>
      </c>
    </row>
    <row r="15" spans="1:47" x14ac:dyDescent="0.4">
      <c r="B15" s="536"/>
      <c r="C15" s="141">
        <v>2011</v>
      </c>
      <c r="D15" s="1587">
        <v>437672</v>
      </c>
      <c r="E15" s="142">
        <v>2.31</v>
      </c>
      <c r="F15" s="142">
        <v>1.91</v>
      </c>
      <c r="G15" s="1588">
        <v>9618</v>
      </c>
      <c r="H15" s="1589"/>
      <c r="I15" s="142">
        <v>0.45</v>
      </c>
      <c r="J15" s="1589">
        <v>1031719</v>
      </c>
      <c r="K15" s="1589"/>
      <c r="L15" s="1590">
        <v>22</v>
      </c>
      <c r="M15" s="1590">
        <v>80</v>
      </c>
      <c r="N15" s="1589">
        <v>1027847</v>
      </c>
      <c r="O15" s="1589"/>
      <c r="P15" s="1589">
        <v>3872</v>
      </c>
      <c r="Q15" s="1589"/>
      <c r="R15" s="1589">
        <v>18960</v>
      </c>
      <c r="S15" s="1589"/>
      <c r="T15" s="1589"/>
      <c r="U15" s="1587">
        <v>4135185</v>
      </c>
      <c r="V15" s="1587">
        <v>2872496</v>
      </c>
      <c r="W15" s="1587">
        <v>1262689</v>
      </c>
      <c r="X15" s="1590">
        <v>90.049022712459887</v>
      </c>
      <c r="Y15" s="1590">
        <v>69.464751879299229</v>
      </c>
      <c r="Z15" s="1590">
        <v>30.535248120700764</v>
      </c>
      <c r="AA15" s="1087"/>
      <c r="AB15" s="1587">
        <v>2008763</v>
      </c>
      <c r="AC15" s="1587">
        <v>414384</v>
      </c>
      <c r="AD15" s="1587">
        <v>5398</v>
      </c>
      <c r="AE15" s="1587">
        <v>419782</v>
      </c>
      <c r="AF15" s="1587">
        <v>1588981</v>
      </c>
      <c r="AG15" s="1591">
        <v>9</v>
      </c>
      <c r="AH15" s="1591"/>
      <c r="AI15" s="1590">
        <v>32</v>
      </c>
      <c r="AJ15" s="1590">
        <v>35</v>
      </c>
      <c r="AK15" s="1590">
        <v>38</v>
      </c>
      <c r="AL15" s="1587">
        <v>10273</v>
      </c>
      <c r="AM15" s="1587"/>
      <c r="AN15" s="1587">
        <v>498137</v>
      </c>
      <c r="AO15" s="1590">
        <v>11</v>
      </c>
      <c r="AP15" s="1590">
        <v>38</v>
      </c>
      <c r="AQ15" s="1592"/>
      <c r="AR15" s="1587">
        <v>4592149</v>
      </c>
      <c r="AS15" s="1587">
        <v>18952079</v>
      </c>
      <c r="AT15" s="1587">
        <v>20852225</v>
      </c>
      <c r="AU15" s="1587">
        <v>1297522</v>
      </c>
    </row>
    <row r="16" spans="1:47" x14ac:dyDescent="0.4">
      <c r="B16" s="536"/>
      <c r="C16" s="141">
        <v>2012</v>
      </c>
      <c r="D16" s="1587">
        <v>501648</v>
      </c>
      <c r="E16" s="142">
        <v>2.42</v>
      </c>
      <c r="F16" s="142">
        <v>2.19</v>
      </c>
      <c r="G16" s="1588">
        <v>9900</v>
      </c>
      <c r="H16" s="1589"/>
      <c r="I16" s="142">
        <v>0.45</v>
      </c>
      <c r="J16" s="1589">
        <v>995089</v>
      </c>
      <c r="K16" s="1589"/>
      <c r="L16" s="1590">
        <v>21</v>
      </c>
      <c r="M16" s="1590">
        <v>75</v>
      </c>
      <c r="N16" s="1589">
        <v>976824</v>
      </c>
      <c r="O16" s="1589"/>
      <c r="P16" s="1589">
        <v>18265</v>
      </c>
      <c r="Q16" s="1589"/>
      <c r="R16" s="1589">
        <v>16348</v>
      </c>
      <c r="S16" s="1589"/>
      <c r="T16" s="1589"/>
      <c r="U16" s="1587">
        <v>4826480</v>
      </c>
      <c r="V16" s="1587">
        <v>3689365</v>
      </c>
      <c r="W16" s="1587">
        <v>1137115</v>
      </c>
      <c r="X16" s="1590">
        <v>103.74040910408884</v>
      </c>
      <c r="Y16" s="1590">
        <v>76.440076411794934</v>
      </c>
      <c r="Z16" s="1590">
        <v>23.55992358820507</v>
      </c>
      <c r="AA16" s="1087"/>
      <c r="AB16" s="1587">
        <v>3118155</v>
      </c>
      <c r="AC16" s="1587">
        <v>439043</v>
      </c>
      <c r="AD16" s="1587">
        <v>8904</v>
      </c>
      <c r="AE16" s="1587">
        <v>447947</v>
      </c>
      <c r="AF16" s="1587">
        <v>2670208</v>
      </c>
      <c r="AG16" s="1591">
        <v>10</v>
      </c>
      <c r="AH16" s="1591"/>
      <c r="AI16" s="1590">
        <v>34</v>
      </c>
      <c r="AJ16" s="1590">
        <v>57</v>
      </c>
      <c r="AK16" s="1590">
        <v>50</v>
      </c>
      <c r="AL16" s="1587">
        <v>11993</v>
      </c>
      <c r="AM16" s="1587"/>
      <c r="AN16" s="1587">
        <v>540693</v>
      </c>
      <c r="AO16" s="1590">
        <v>12</v>
      </c>
      <c r="AP16" s="1590">
        <v>41</v>
      </c>
      <c r="AQ16" s="1592"/>
      <c r="AR16" s="1587">
        <v>4652459</v>
      </c>
      <c r="AS16" s="1587">
        <v>20750192</v>
      </c>
      <c r="AT16" s="1587">
        <v>22781773</v>
      </c>
      <c r="AU16" s="1587">
        <v>1326805</v>
      </c>
    </row>
    <row r="17" spans="3:47" x14ac:dyDescent="0.4">
      <c r="C17" s="141">
        <v>2013</v>
      </c>
      <c r="D17" s="1587">
        <v>576742</v>
      </c>
      <c r="E17" s="142">
        <v>2.34</v>
      </c>
      <c r="F17" s="142">
        <v>0.91</v>
      </c>
      <c r="G17" s="1588">
        <v>10442</v>
      </c>
      <c r="H17" s="1589"/>
      <c r="I17" s="142">
        <v>0.47</v>
      </c>
      <c r="J17" s="1589">
        <v>968459</v>
      </c>
      <c r="K17" s="1589"/>
      <c r="L17" s="1590">
        <v>21</v>
      </c>
      <c r="M17" s="1590">
        <v>72</v>
      </c>
      <c r="N17" s="1589">
        <v>936035</v>
      </c>
      <c r="O17" s="1589"/>
      <c r="P17" s="1589">
        <v>32424</v>
      </c>
      <c r="Q17" s="1589"/>
      <c r="R17" s="1589">
        <v>13145</v>
      </c>
      <c r="S17" s="1589"/>
      <c r="T17" s="1589"/>
      <c r="U17" s="1587">
        <v>6018836.7476961501</v>
      </c>
      <c r="V17" s="1587">
        <v>4791244.114695495</v>
      </c>
      <c r="W17" s="1587">
        <v>1227593</v>
      </c>
      <c r="X17" s="1590">
        <v>127.70257176693363</v>
      </c>
      <c r="Y17" s="1590">
        <v>79.604154682039777</v>
      </c>
      <c r="Z17" s="1590">
        <v>20.395851415473096</v>
      </c>
      <c r="AA17" s="1087"/>
      <c r="AB17" s="1587">
        <v>4028302</v>
      </c>
      <c r="AC17" s="1587">
        <v>474433</v>
      </c>
      <c r="AD17" s="1587">
        <v>10450</v>
      </c>
      <c r="AE17" s="1587">
        <v>484883</v>
      </c>
      <c r="AF17" s="1587">
        <v>3543419</v>
      </c>
      <c r="AG17" s="1591">
        <v>10</v>
      </c>
      <c r="AH17" s="1591"/>
      <c r="AI17" s="1590">
        <v>36</v>
      </c>
      <c r="AJ17" s="1590">
        <v>75</v>
      </c>
      <c r="AK17" s="1590">
        <v>50</v>
      </c>
      <c r="AL17" s="1587">
        <v>16375</v>
      </c>
      <c r="AM17" s="1587"/>
      <c r="AN17" s="1587">
        <v>641042</v>
      </c>
      <c r="AO17" s="1590">
        <v>14</v>
      </c>
      <c r="AP17" s="1590">
        <v>48</v>
      </c>
      <c r="AQ17" s="1592"/>
      <c r="AR17" s="1587">
        <v>4713168</v>
      </c>
      <c r="AS17" s="1587">
        <v>22451324</v>
      </c>
      <c r="AT17" s="1587">
        <v>24606875</v>
      </c>
      <c r="AU17" s="1587">
        <v>1348036</v>
      </c>
    </row>
    <row r="18" spans="3:47" x14ac:dyDescent="0.4">
      <c r="C18" s="141">
        <v>2014</v>
      </c>
      <c r="D18" s="1587">
        <v>718491</v>
      </c>
      <c r="E18" s="142">
        <v>2.69</v>
      </c>
      <c r="F18" s="142">
        <v>0.93</v>
      </c>
      <c r="G18" s="1588">
        <v>11017</v>
      </c>
      <c r="H18" s="1589"/>
      <c r="I18" s="142">
        <v>0.48</v>
      </c>
      <c r="J18" s="1589">
        <v>881217</v>
      </c>
      <c r="K18" s="1589"/>
      <c r="L18" s="1590">
        <v>18.462036441496458</v>
      </c>
      <c r="M18" s="1590">
        <v>62.976864381524379</v>
      </c>
      <c r="N18" s="1589">
        <v>839968</v>
      </c>
      <c r="O18" s="1589"/>
      <c r="P18" s="1589">
        <v>41249</v>
      </c>
      <c r="Q18" s="1589"/>
      <c r="R18" s="1589">
        <v>8188</v>
      </c>
      <c r="S18" s="1589"/>
      <c r="T18" s="1589"/>
      <c r="U18" s="1587">
        <v>6199044</v>
      </c>
      <c r="V18" s="1587">
        <v>4777543</v>
      </c>
      <c r="W18" s="1587">
        <v>1421501</v>
      </c>
      <c r="X18" s="1590">
        <v>129.87377255595385</v>
      </c>
      <c r="Y18" s="1590">
        <v>77.069028708297608</v>
      </c>
      <c r="Z18" s="1590">
        <v>22.930971291702399</v>
      </c>
      <c r="AA18" s="1087"/>
      <c r="AB18" s="1587">
        <v>4806217</v>
      </c>
      <c r="AC18" s="1587">
        <v>503347</v>
      </c>
      <c r="AD18" s="1587">
        <v>12493</v>
      </c>
      <c r="AE18" s="1587">
        <v>515840</v>
      </c>
      <c r="AF18" s="1587">
        <v>3796619</v>
      </c>
      <c r="AG18" s="1591">
        <v>11</v>
      </c>
      <c r="AH18" s="1591"/>
      <c r="AI18" s="1590">
        <v>37</v>
      </c>
      <c r="AJ18" s="1590">
        <v>80</v>
      </c>
      <c r="AK18" s="1590">
        <v>54</v>
      </c>
      <c r="AL18" s="1587">
        <v>16286</v>
      </c>
      <c r="AM18" s="1587"/>
      <c r="AN18" s="1587">
        <v>732546</v>
      </c>
      <c r="AO18" s="1590">
        <v>15</v>
      </c>
      <c r="AP18" s="1590">
        <v>52</v>
      </c>
      <c r="AQ18" s="1592"/>
      <c r="AR18" s="1587">
        <v>4773130</v>
      </c>
      <c r="AS18" s="1587">
        <v>24358069</v>
      </c>
      <c r="AT18" s="1587">
        <v>26675006</v>
      </c>
      <c r="AU18" s="1587">
        <v>1399271</v>
      </c>
    </row>
    <row r="19" spans="3:47" x14ac:dyDescent="0.4">
      <c r="C19" s="141">
        <v>2015</v>
      </c>
      <c r="D19" s="1587">
        <v>711584.8323718959</v>
      </c>
      <c r="E19" s="142">
        <v>2.5324232961371704</v>
      </c>
      <c r="F19" s="142">
        <v>0.90425776630345778</v>
      </c>
      <c r="G19" s="1588">
        <v>11426</v>
      </c>
      <c r="H19" s="1589"/>
      <c r="I19" s="142">
        <v>0.5</v>
      </c>
      <c r="J19" s="1589">
        <v>850377</v>
      </c>
      <c r="K19" s="1589"/>
      <c r="L19" s="1590">
        <v>17.598009533478717</v>
      </c>
      <c r="M19" s="1590">
        <v>59.213505835166977</v>
      </c>
      <c r="N19" s="1589">
        <v>804468</v>
      </c>
      <c r="O19" s="1589"/>
      <c r="P19" s="1589">
        <v>45909</v>
      </c>
      <c r="Q19" s="1589"/>
      <c r="R19" s="1589">
        <v>5726</v>
      </c>
      <c r="S19" s="1589"/>
      <c r="T19" s="1589"/>
      <c r="U19" s="1587">
        <v>6673151</v>
      </c>
      <c r="V19" s="1587">
        <v>5088889</v>
      </c>
      <c r="W19" s="1587">
        <v>1584262</v>
      </c>
      <c r="X19" s="1590">
        <v>138.09660293768886</v>
      </c>
      <c r="Y19" s="1590">
        <v>76.259161526541206</v>
      </c>
      <c r="Z19" s="1590">
        <v>23.740838473458791</v>
      </c>
      <c r="AA19" s="1087"/>
      <c r="AB19" s="1587">
        <v>4713075</v>
      </c>
      <c r="AC19" s="1587">
        <v>545813</v>
      </c>
      <c r="AD19" s="1587">
        <v>12843</v>
      </c>
      <c r="AE19" s="1587">
        <v>558656</v>
      </c>
      <c r="AF19" s="1587">
        <v>4154419</v>
      </c>
      <c r="AG19" s="1591">
        <v>12</v>
      </c>
      <c r="AH19" s="1591"/>
      <c r="AI19" s="1590">
        <v>39</v>
      </c>
      <c r="AJ19" s="1590">
        <v>86</v>
      </c>
      <c r="AK19" s="1590">
        <v>55</v>
      </c>
      <c r="AL19" s="1587">
        <v>14093</v>
      </c>
      <c r="AM19" s="1587"/>
      <c r="AN19" s="1587">
        <v>797230</v>
      </c>
      <c r="AO19" s="1590">
        <v>16</v>
      </c>
      <c r="AP19" s="1590">
        <v>56</v>
      </c>
      <c r="AQ19" s="1592"/>
      <c r="AR19" s="1587">
        <v>4832234</v>
      </c>
      <c r="AS19" s="1587">
        <v>25629763</v>
      </c>
      <c r="AT19" s="1587">
        <v>28098969</v>
      </c>
      <c r="AU19" s="1587">
        <v>1436120</v>
      </c>
    </row>
    <row r="20" spans="3:47" x14ac:dyDescent="0.4">
      <c r="C20" s="141">
        <v>2016</v>
      </c>
      <c r="D20" s="1587">
        <v>728372.06074974057</v>
      </c>
      <c r="E20" s="142">
        <v>2.4239698824537004</v>
      </c>
      <c r="F20" s="142">
        <v>0.66951780000523609</v>
      </c>
      <c r="G20" s="1588">
        <v>11870</v>
      </c>
      <c r="H20" s="1589"/>
      <c r="I20" s="142">
        <v>0.54</v>
      </c>
      <c r="J20" s="1589">
        <v>833590</v>
      </c>
      <c r="K20" s="1589"/>
      <c r="L20" s="1590">
        <v>17.045509151744682</v>
      </c>
      <c r="M20" s="1590">
        <v>56.89028356079028</v>
      </c>
      <c r="N20" s="1589">
        <v>779972</v>
      </c>
      <c r="O20" s="1589"/>
      <c r="P20" s="1589">
        <v>53618</v>
      </c>
      <c r="Q20" s="1589"/>
      <c r="R20" s="1589">
        <v>4731</v>
      </c>
      <c r="S20" s="1589"/>
      <c r="T20" s="1589"/>
      <c r="U20" s="1587">
        <v>7449575</v>
      </c>
      <c r="V20" s="1587">
        <v>5587604</v>
      </c>
      <c r="W20" s="1587">
        <v>1861971</v>
      </c>
      <c r="X20" s="1590">
        <v>152.33124058482991</v>
      </c>
      <c r="Y20" s="1590">
        <v>75.00567482037566</v>
      </c>
      <c r="Z20" s="1590">
        <v>24.99432517962434</v>
      </c>
      <c r="AA20" s="1087"/>
      <c r="AB20" s="1587">
        <v>4972171</v>
      </c>
      <c r="AC20" s="1587">
        <v>625466</v>
      </c>
      <c r="AD20" s="1587">
        <v>10621</v>
      </c>
      <c r="AE20" s="1587">
        <v>636087</v>
      </c>
      <c r="AF20" s="1587">
        <v>4336084</v>
      </c>
      <c r="AG20" s="1591">
        <v>13</v>
      </c>
      <c r="AH20" s="1591"/>
      <c r="AI20" s="1590">
        <v>43</v>
      </c>
      <c r="AJ20" s="1590">
        <v>89</v>
      </c>
      <c r="AK20" s="1590">
        <v>52</v>
      </c>
      <c r="AL20" s="1587">
        <v>16032</v>
      </c>
      <c r="AM20" s="1587"/>
      <c r="AN20" s="1587">
        <v>821575</v>
      </c>
      <c r="AO20" s="1590">
        <v>17</v>
      </c>
      <c r="AP20" s="1590">
        <v>56</v>
      </c>
      <c r="AQ20" s="1592"/>
      <c r="AR20" s="1587">
        <v>4890379</v>
      </c>
      <c r="AS20" s="1587">
        <v>27437498</v>
      </c>
      <c r="AT20" s="1587">
        <v>30048726</v>
      </c>
      <c r="AU20" s="1587">
        <v>1465259</v>
      </c>
    </row>
    <row r="21" spans="3:47" x14ac:dyDescent="0.4">
      <c r="C21" s="141">
        <v>2017</v>
      </c>
      <c r="D21" s="1587">
        <v>745581.21366936702</v>
      </c>
      <c r="E21" s="142">
        <v>2.2936474681312156</v>
      </c>
      <c r="F21" s="142">
        <v>0.9217145849210705</v>
      </c>
      <c r="G21" s="1588">
        <v>12186</v>
      </c>
      <c r="H21" s="1589"/>
      <c r="I21" s="536">
        <v>0.54</v>
      </c>
      <c r="J21" s="1589">
        <v>808967</v>
      </c>
      <c r="K21"/>
      <c r="L21" s="1590">
        <v>16.351058819724749</v>
      </c>
      <c r="M21" s="1552">
        <v>54.073418521937391</v>
      </c>
      <c r="N21" s="1589">
        <v>747428</v>
      </c>
      <c r="O21"/>
      <c r="P21" s="1589">
        <v>61539</v>
      </c>
      <c r="Q21"/>
      <c r="R21" s="1589">
        <v>4674</v>
      </c>
      <c r="S21" s="1589"/>
      <c r="T21"/>
      <c r="U21" s="1587">
        <v>7778436</v>
      </c>
      <c r="V21" s="1587">
        <v>5733685</v>
      </c>
      <c r="W21" s="1587">
        <v>2044751</v>
      </c>
      <c r="X21" s="1590">
        <v>157.21984278896977</v>
      </c>
      <c r="Y21" s="1590">
        <v>73.712568953450287</v>
      </c>
      <c r="Z21" s="1590">
        <v>26.28743104654972</v>
      </c>
      <c r="AA21" s="536"/>
      <c r="AB21" s="1587">
        <v>5529009</v>
      </c>
      <c r="AC21" s="1587">
        <v>735833</v>
      </c>
      <c r="AD21" s="1587">
        <v>8208</v>
      </c>
      <c r="AE21" s="1587">
        <v>744041</v>
      </c>
      <c r="AF21" s="1587">
        <v>4784968</v>
      </c>
      <c r="AG21" s="1591">
        <v>15</v>
      </c>
      <c r="AH21" s="1591"/>
      <c r="AI21" s="536">
        <v>50</v>
      </c>
      <c r="AJ21" s="1590">
        <v>96.715061576678281</v>
      </c>
      <c r="AK21" s="1552">
        <v>60.054977633035747</v>
      </c>
      <c r="AL21" s="1587">
        <v>18486</v>
      </c>
      <c r="AM21" s="536"/>
      <c r="AN21" s="1587">
        <v>831907</v>
      </c>
      <c r="AO21" s="1590">
        <v>17</v>
      </c>
      <c r="AP21" s="536">
        <v>56</v>
      </c>
      <c r="AQ21"/>
      <c r="AR21" s="1587">
        <v>4947490</v>
      </c>
      <c r="AS21" s="1587">
        <v>29644843</v>
      </c>
      <c r="AT21" s="1587">
        <v>32506356</v>
      </c>
      <c r="AU21" s="1587">
        <v>1496053</v>
      </c>
    </row>
    <row r="22" spans="3:47" x14ac:dyDescent="0.4">
      <c r="C22" s="141">
        <v>2018</v>
      </c>
      <c r="D22" s="1587">
        <v>762007.09533709427</v>
      </c>
      <c r="E22" s="142">
        <v>2.19655195773981</v>
      </c>
      <c r="F22" s="142">
        <v>0.49513517418700415</v>
      </c>
      <c r="G22" s="1588">
        <v>11804</v>
      </c>
      <c r="H22" s="1589"/>
      <c r="I22" s="536">
        <v>0.5</v>
      </c>
      <c r="J22" s="1589">
        <v>763254</v>
      </c>
      <c r="K22"/>
      <c r="L22" s="1590">
        <v>15.254700701642602</v>
      </c>
      <c r="M22" s="1552">
        <v>49.561014760111661</v>
      </c>
      <c r="N22" s="1589">
        <v>695518</v>
      </c>
      <c r="O22"/>
      <c r="P22" s="1589">
        <v>67736</v>
      </c>
      <c r="Q22"/>
      <c r="R22" s="1589">
        <v>4581</v>
      </c>
      <c r="S22" s="1589"/>
      <c r="T22"/>
      <c r="U22" s="1587">
        <v>6920090</v>
      </c>
      <c r="V22" s="1587">
        <v>4709693</v>
      </c>
      <c r="W22" s="1587">
        <v>2210397</v>
      </c>
      <c r="X22" s="1590">
        <v>138.30769544401988</v>
      </c>
      <c r="Y22" s="1590">
        <v>68.058262248034353</v>
      </c>
      <c r="Z22" s="1590">
        <v>31.941737751965654</v>
      </c>
      <c r="AA22" s="536"/>
      <c r="AB22" s="1587">
        <v>5914140</v>
      </c>
      <c r="AC22" s="1587">
        <v>829296</v>
      </c>
      <c r="AD22" s="1587">
        <v>5488</v>
      </c>
      <c r="AE22" s="1587">
        <v>834784</v>
      </c>
      <c r="AF22" s="1587">
        <v>5079356</v>
      </c>
      <c r="AG22" s="1591">
        <v>16.684327983240198</v>
      </c>
      <c r="AH22" s="1591"/>
      <c r="AI22" s="1552">
        <v>54.205732489453119</v>
      </c>
      <c r="AJ22" s="1590">
        <v>101.51804712073904</v>
      </c>
      <c r="AK22" s="1552">
        <v>71.699327609901033</v>
      </c>
      <c r="AL22" s="1587">
        <v>19137</v>
      </c>
      <c r="AM22" s="536"/>
      <c r="AN22" s="1587">
        <v>883883</v>
      </c>
      <c r="AO22" s="1590">
        <v>18</v>
      </c>
      <c r="AP22" s="536">
        <v>57</v>
      </c>
      <c r="AQ22"/>
      <c r="AR22" s="1587">
        <v>5003402</v>
      </c>
      <c r="AS22" s="1587">
        <v>34691057.165849097</v>
      </c>
      <c r="AT22" s="1587">
        <v>34691057</v>
      </c>
      <c r="AU22" s="1587">
        <v>1540029</v>
      </c>
    </row>
    <row r="23" spans="3:47" x14ac:dyDescent="0.4">
      <c r="C23" s="141">
        <v>2019</v>
      </c>
      <c r="D23" s="1587">
        <v>765468.85726339556</v>
      </c>
      <c r="E23" s="142">
        <v>2.1099209666241197</v>
      </c>
      <c r="F23" s="142">
        <v>0.57773182726085137</v>
      </c>
      <c r="G23" s="1588">
        <v>10761</v>
      </c>
      <c r="H23" s="1589"/>
      <c r="I23" s="536">
        <v>0.44</v>
      </c>
      <c r="J23" s="1589">
        <v>636504</v>
      </c>
      <c r="K23"/>
      <c r="L23" s="1590">
        <v>12.584086973386949</v>
      </c>
      <c r="M23" s="1552">
        <v>40.332006683728721</v>
      </c>
      <c r="N23" s="1589">
        <v>571808</v>
      </c>
      <c r="O23"/>
      <c r="P23" s="1589">
        <v>64696</v>
      </c>
      <c r="Q23"/>
      <c r="R23" s="1589">
        <v>3798</v>
      </c>
      <c r="S23" s="1589"/>
      <c r="T23"/>
      <c r="U23" s="1587">
        <v>7309970</v>
      </c>
      <c r="V23" s="1587">
        <v>4892208</v>
      </c>
      <c r="W23" s="1587">
        <v>2417762</v>
      </c>
      <c r="X23" s="1590">
        <v>144.52273395430254</v>
      </c>
      <c r="Y23" s="1590">
        <v>66.925144699636249</v>
      </c>
      <c r="Z23" s="1590">
        <v>33.074855300363751</v>
      </c>
      <c r="AA23" s="536"/>
      <c r="AB23" s="1587">
        <v>5553963</v>
      </c>
      <c r="AC23" s="1587">
        <v>900276</v>
      </c>
      <c r="AD23" s="1587">
        <v>4458</v>
      </c>
      <c r="AE23" s="1587">
        <v>904734</v>
      </c>
      <c r="AF23" s="1587">
        <v>4649229</v>
      </c>
      <c r="AG23" s="1591">
        <v>17.887163336600636</v>
      </c>
      <c r="AH23" s="1591"/>
      <c r="AI23" s="1552">
        <v>57.328371439922797</v>
      </c>
      <c r="AJ23" s="1590">
        <v>91.918200192289177</v>
      </c>
      <c r="AK23" s="1552">
        <v>61.784959445798002</v>
      </c>
      <c r="AL23" s="1587">
        <v>22921</v>
      </c>
      <c r="AM23" s="536"/>
      <c r="AN23" s="1587">
        <v>874088</v>
      </c>
      <c r="AO23" s="1590">
        <v>17.3</v>
      </c>
      <c r="AP23" s="1552">
        <v>55.4</v>
      </c>
      <c r="AQ23"/>
      <c r="AR23" s="1587">
        <v>5058007</v>
      </c>
      <c r="AS23" s="1587">
        <v>36279503.799999997</v>
      </c>
      <c r="AT23" s="1587">
        <v>36279503.799999997</v>
      </c>
      <c r="AU23" s="1587">
        <v>1578161</v>
      </c>
    </row>
    <row r="24" spans="3:47" x14ac:dyDescent="0.4">
      <c r="C24" s="141">
        <v>2020</v>
      </c>
      <c r="D24" s="1587">
        <v>729200.31077212293</v>
      </c>
      <c r="E24" s="142">
        <v>2.0868979337925948</v>
      </c>
      <c r="F24" s="142">
        <v>0.2321158686834312</v>
      </c>
      <c r="G24" s="1588">
        <v>10994</v>
      </c>
      <c r="H24" s="1589"/>
      <c r="I24" s="1382">
        <v>0.45671521161671408</v>
      </c>
      <c r="J24" s="1589">
        <v>556617</v>
      </c>
      <c r="K24"/>
      <c r="L24" s="1590">
        <v>10.890062251063245</v>
      </c>
      <c r="M24" s="1552">
        <v>35.193619059361339</v>
      </c>
      <c r="N24" s="1589">
        <v>504276</v>
      </c>
      <c r="O24"/>
      <c r="P24" s="1589">
        <v>52341</v>
      </c>
      <c r="Q24"/>
      <c r="R24" s="1589">
        <v>3265</v>
      </c>
      <c r="S24" s="1589"/>
      <c r="T24"/>
      <c r="U24" s="1587">
        <v>7512370</v>
      </c>
      <c r="V24" s="1587">
        <v>5005892</v>
      </c>
      <c r="W24" s="1587">
        <v>2506478</v>
      </c>
      <c r="X24" s="1590">
        <v>146.97750329763554</v>
      </c>
      <c r="Y24" s="1590">
        <v>66.635322807582696</v>
      </c>
      <c r="Z24" s="1590">
        <v>33.364677192417311</v>
      </c>
      <c r="AA24" s="536"/>
      <c r="AB24" s="1587">
        <v>5729424</v>
      </c>
      <c r="AC24" s="1587">
        <v>986673</v>
      </c>
      <c r="AD24" s="1587">
        <v>6052</v>
      </c>
      <c r="AE24" s="1587">
        <v>992725</v>
      </c>
      <c r="AF24" s="1587">
        <v>4736699</v>
      </c>
      <c r="AG24" s="1591">
        <v>19.422398252634686</v>
      </c>
      <c r="AH24" s="1591"/>
      <c r="AI24" s="1552">
        <v>62.767729840634559</v>
      </c>
      <c r="AJ24" s="1590">
        <v>92.672244962961997</v>
      </c>
      <c r="AK24" s="1552">
        <v>61.279622808780722</v>
      </c>
      <c r="AL24" s="1587">
        <v>23682</v>
      </c>
      <c r="AM24" s="536"/>
      <c r="AN24" s="1587">
        <v>866593</v>
      </c>
      <c r="AO24" s="1590">
        <v>16.954659516931123</v>
      </c>
      <c r="AP24" s="1552">
        <v>54.792692141111608</v>
      </c>
      <c r="AQ24"/>
      <c r="AR24" s="1587">
        <v>5111238</v>
      </c>
      <c r="AS24" s="1587">
        <v>34893723.5</v>
      </c>
      <c r="AT24" s="1587">
        <v>34893723.5</v>
      </c>
      <c r="AU24" s="1587">
        <v>1581585</v>
      </c>
    </row>
    <row r="25" spans="3:47" x14ac:dyDescent="0.4">
      <c r="C25" s="141">
        <v>2021</v>
      </c>
      <c r="D25" s="1587">
        <v>731357.45340756746</v>
      </c>
      <c r="E25" s="142">
        <v>1.9629322025470402</v>
      </c>
      <c r="F25" s="142">
        <v>0.57045703851558105</v>
      </c>
      <c r="G25" s="1588">
        <v>10795</v>
      </c>
      <c r="H25" s="1589"/>
      <c r="I25" s="1382">
        <v>0.44004240495097602</v>
      </c>
      <c r="J25" s="1589">
        <v>503455</v>
      </c>
      <c r="K25"/>
      <c r="L25" s="1590">
        <v>9.7511387675240808</v>
      </c>
      <c r="M25" s="1552">
        <v>30.505749954100953</v>
      </c>
      <c r="N25" s="1589">
        <v>443684</v>
      </c>
      <c r="O25"/>
      <c r="P25" s="1589">
        <v>56866</v>
      </c>
      <c r="Q25"/>
      <c r="R25" s="1589">
        <v>2905</v>
      </c>
      <c r="S25" s="1589"/>
      <c r="T25"/>
      <c r="U25" s="1587">
        <v>7834434.9999999991</v>
      </c>
      <c r="V25" s="1587">
        <v>5139500</v>
      </c>
      <c r="W25" s="1587">
        <v>2694935</v>
      </c>
      <c r="X25" s="1593">
        <v>151.74079764923067</v>
      </c>
      <c r="Y25" s="1590">
        <v>65.601412226918725</v>
      </c>
      <c r="Z25" s="1590">
        <v>34.398587773081282</v>
      </c>
      <c r="AA25" s="536"/>
      <c r="AB25" s="1587">
        <v>5963705</v>
      </c>
      <c r="AC25" s="1587">
        <v>1053097</v>
      </c>
      <c r="AD25" s="1587">
        <v>5670</v>
      </c>
      <c r="AE25" s="1587">
        <v>1058767</v>
      </c>
      <c r="AF25" s="1587">
        <v>4904938</v>
      </c>
      <c r="AG25" s="1591">
        <v>20.5</v>
      </c>
      <c r="AH25" s="1591"/>
      <c r="AI25" s="1552">
        <v>64.150000000000006</v>
      </c>
      <c r="AJ25" s="1590">
        <v>95.00100575727825</v>
      </c>
      <c r="AK25" s="1552">
        <v>60.973548188222892</v>
      </c>
      <c r="AL25" s="1587">
        <v>18025</v>
      </c>
      <c r="AM25" s="536"/>
      <c r="AN25" s="1587">
        <v>848950</v>
      </c>
      <c r="AO25" s="1590">
        <v>16.442838499348639</v>
      </c>
      <c r="AP25" s="1552">
        <v>51.44026064600412</v>
      </c>
      <c r="AQ25"/>
      <c r="AR25" s="1587">
        <v>5163038</v>
      </c>
      <c r="AS25" s="1587">
        <v>37256835.925541498</v>
      </c>
      <c r="AT25" s="1587">
        <v>37256835.925541498</v>
      </c>
      <c r="AU25" s="1587">
        <v>1650361</v>
      </c>
    </row>
    <row r="26" spans="3:47" x14ac:dyDescent="0.4">
      <c r="C26" s="141">
        <v>2022</v>
      </c>
      <c r="D26" s="1587">
        <v>730898.17847284523</v>
      </c>
      <c r="E26" s="142">
        <v>1.8815729349608301</v>
      </c>
      <c r="F26" s="142">
        <v>0.37022410591574201</v>
      </c>
      <c r="G26" s="1588">
        <v>10305</v>
      </c>
      <c r="H26" s="1589"/>
      <c r="I26" s="1382">
        <v>0.41992271466078401</v>
      </c>
      <c r="J26" s="1589">
        <v>491613</v>
      </c>
      <c r="L26" s="1590">
        <v>9.4298650275963958</v>
      </c>
      <c r="M26" s="1552">
        <v>28.538977662861182</v>
      </c>
      <c r="N26" s="1589">
        <v>410454</v>
      </c>
      <c r="P26" s="1589">
        <v>78476</v>
      </c>
      <c r="R26" s="1589">
        <v>2683</v>
      </c>
      <c r="S26" s="1589"/>
      <c r="U26" s="1587">
        <v>7876163</v>
      </c>
      <c r="V26" s="1587">
        <v>4873728</v>
      </c>
      <c r="W26" s="1587">
        <v>3002435</v>
      </c>
      <c r="X26" s="1594">
        <v>151.07646466905618</v>
      </c>
      <c r="Y26" s="1594">
        <v>61.879471006377088</v>
      </c>
      <c r="Z26" s="1594">
        <v>38.120528993622912</v>
      </c>
      <c r="AA26" s="536"/>
      <c r="AB26" s="1587">
        <v>6107615</v>
      </c>
      <c r="AC26" s="1587">
        <v>1098532</v>
      </c>
      <c r="AD26" s="1587">
        <v>7138</v>
      </c>
      <c r="AE26" s="1587">
        <v>1105670</v>
      </c>
      <c r="AF26" s="1587">
        <v>5001945</v>
      </c>
      <c r="AG26" s="1591">
        <v>21.2</v>
      </c>
      <c r="AH26" s="1591"/>
      <c r="AI26" s="1552">
        <v>64.19</v>
      </c>
      <c r="AJ26" s="1590">
        <v>95.944708999681978</v>
      </c>
      <c r="AK26" s="1552">
        <v>61.89934108778602</v>
      </c>
      <c r="AL26" s="1587">
        <v>17294</v>
      </c>
      <c r="AM26" s="536"/>
      <c r="AN26" s="1587">
        <v>831579</v>
      </c>
      <c r="AO26" s="1590">
        <v>15.912840888470816</v>
      </c>
      <c r="AP26" s="1552">
        <v>48.159354279166052</v>
      </c>
      <c r="AR26" s="1587">
        <v>5213362</v>
      </c>
      <c r="AS26" s="1587">
        <v>38843176.899999999</v>
      </c>
      <c r="AT26" s="1587">
        <v>38843176.899999999</v>
      </c>
      <c r="AU26" s="1587">
        <v>1722602</v>
      </c>
    </row>
    <row r="27" spans="3:47" x14ac:dyDescent="0.4">
      <c r="C27" s="694">
        <v>2023</v>
      </c>
      <c r="D27" s="1595" t="s">
        <v>5567</v>
      </c>
      <c r="E27" s="695">
        <v>1.79</v>
      </c>
      <c r="F27" s="695">
        <v>0.33</v>
      </c>
      <c r="G27" s="1596">
        <v>9811</v>
      </c>
      <c r="H27" s="1597"/>
      <c r="I27" s="1388">
        <v>0.43</v>
      </c>
      <c r="J27" s="1597">
        <v>631985</v>
      </c>
      <c r="K27" s="120"/>
      <c r="L27" s="1598">
        <v>7</v>
      </c>
      <c r="M27" s="1599">
        <v>20</v>
      </c>
      <c r="N27" s="1597">
        <v>362023</v>
      </c>
      <c r="O27" s="120"/>
      <c r="P27" s="1597">
        <v>267508</v>
      </c>
      <c r="Q27" s="120"/>
      <c r="R27" s="1597">
        <v>2454</v>
      </c>
      <c r="S27" s="1597"/>
      <c r="T27" s="120"/>
      <c r="U27" s="1595">
        <v>7443281</v>
      </c>
      <c r="V27" s="1595">
        <v>4259124</v>
      </c>
      <c r="W27" s="1595">
        <v>3184157</v>
      </c>
      <c r="X27" s="1600">
        <v>141</v>
      </c>
      <c r="Y27" s="1600">
        <v>57</v>
      </c>
      <c r="Z27" s="1600">
        <v>43</v>
      </c>
      <c r="AA27" s="1601"/>
      <c r="AB27" s="1595">
        <v>6333378</v>
      </c>
      <c r="AC27" s="1595">
        <v>1143169</v>
      </c>
      <c r="AD27" s="1595">
        <v>6755</v>
      </c>
      <c r="AE27" s="1595">
        <v>1149924</v>
      </c>
      <c r="AF27" s="1595">
        <v>5183454</v>
      </c>
      <c r="AG27" s="1602">
        <v>21.9</v>
      </c>
      <c r="AH27" s="1602"/>
      <c r="AI27" s="1599">
        <v>64.599999999999994</v>
      </c>
      <c r="AJ27" s="1598">
        <v>99</v>
      </c>
      <c r="AK27" s="1599">
        <v>70</v>
      </c>
      <c r="AL27" s="1603">
        <v>19453</v>
      </c>
      <c r="AM27" s="1601"/>
      <c r="AN27" s="1595">
        <v>819064</v>
      </c>
      <c r="AO27" s="1598">
        <v>16</v>
      </c>
      <c r="AP27" s="1599">
        <v>46</v>
      </c>
      <c r="AQ27" s="120"/>
      <c r="AR27" s="1595">
        <v>5262225</v>
      </c>
      <c r="AS27" s="1595">
        <v>40938205</v>
      </c>
      <c r="AT27" s="1595">
        <v>40938205</v>
      </c>
      <c r="AU27" s="1595">
        <v>1778254</v>
      </c>
    </row>
    <row r="28" spans="3:47" ht="19.5" x14ac:dyDescent="0.4">
      <c r="C28" s="115" t="s">
        <v>5568</v>
      </c>
      <c r="D28" s="536"/>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3:47" x14ac:dyDescent="0.4">
      <c r="C29" s="301" t="s">
        <v>5569</v>
      </c>
      <c r="D29" s="536"/>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3:47" x14ac:dyDescent="0.4">
      <c r="C30" s="301"/>
      <c r="D30" s="536"/>
    </row>
    <row r="33" spans="3:3" ht="19.5" x14ac:dyDescent="0.4">
      <c r="C33" s="800" t="s">
        <v>5570</v>
      </c>
    </row>
    <row r="53" spans="3:9" x14ac:dyDescent="0.4">
      <c r="C53" s="155" t="s">
        <v>5571</v>
      </c>
      <c r="D53" s="155"/>
      <c r="E53" s="155"/>
      <c r="F53" s="155"/>
      <c r="G53" s="155"/>
      <c r="H53" s="155"/>
      <c r="I53" s="155"/>
    </row>
    <row r="67" ht="32.25" customHeight="1" x14ac:dyDescent="0.4"/>
  </sheetData>
  <mergeCells count="25">
    <mergeCell ref="P14:Q14"/>
    <mergeCell ref="A5:B5"/>
    <mergeCell ref="C5:V5"/>
    <mergeCell ref="C1:D1"/>
    <mergeCell ref="A3:B3"/>
    <mergeCell ref="C3:V3"/>
    <mergeCell ref="A4:B4"/>
    <mergeCell ref="C4:V4"/>
    <mergeCell ref="R14:S14"/>
    <mergeCell ref="AG14:AH14"/>
    <mergeCell ref="A6:B6"/>
    <mergeCell ref="C6:V6"/>
    <mergeCell ref="C11:C14"/>
    <mergeCell ref="D11:I13"/>
    <mergeCell ref="J11:AU11"/>
    <mergeCell ref="J12:R13"/>
    <mergeCell ref="U12:Z13"/>
    <mergeCell ref="AB12:AL12"/>
    <mergeCell ref="AN12:AP13"/>
    <mergeCell ref="AR12:AU13"/>
    <mergeCell ref="AC13:AI13"/>
    <mergeCell ref="AJ13:AK13"/>
    <mergeCell ref="G14:H14"/>
    <mergeCell ref="J14:K14"/>
    <mergeCell ref="N14:O14"/>
  </mergeCells>
  <hyperlinks>
    <hyperlink ref="A1" location="'ODS 9.'!A1" display="REGRESAR" xr:uid="{AF94C71C-9E21-44A5-9F3F-48FE76295FB2}"/>
    <hyperlink ref="C1" location="'Metadato 9.c.1'!A1" display="VER METADATO" xr:uid="{13823503-4129-416A-82D7-86AE7A5140EB}"/>
  </hyperlinks>
  <pageMargins left="0.7" right="0.7" top="0.75" bottom="0.75" header="0.3" footer="0.3"/>
  <pageSetup paperSize="9" orientation="portrait"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3BE2-9343-488F-90FF-81A8898A6A5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0.28515625" style="243" customWidth="1"/>
    <col min="2" max="2" width="26.42578125" style="243" customWidth="1"/>
    <col min="3" max="3" width="24" style="243" customWidth="1"/>
    <col min="4" max="4" width="85.7109375" style="243" customWidth="1"/>
    <col min="5" max="5" width="11.28515625" style="243" customWidth="1"/>
    <col min="6" max="6" width="7.28515625" style="243" customWidth="1"/>
    <col min="7" max="12" width="15.7109375" style="243" customWidth="1"/>
    <col min="13" max="13" width="11.28515625" style="243" customWidth="1"/>
    <col min="14" max="19" width="15.7109375" style="243" customWidth="1"/>
    <col min="20" max="20" width="3.42578125" style="243" customWidth="1"/>
    <col min="21" max="28" width="15.7109375" style="243" customWidth="1"/>
    <col min="29" max="29" width="21.5703125" style="243" customWidth="1"/>
    <col min="30" max="30" width="15.7109375" style="243" customWidth="1"/>
    <col min="31" max="31" width="3.28515625" style="243" customWidth="1"/>
    <col min="32" max="34" width="15.7109375" style="243" customWidth="1"/>
    <col min="35" max="35" width="7.7109375" style="243" customWidth="1"/>
    <col min="36" max="36" width="15.7109375" style="243" customWidth="1"/>
    <col min="37" max="37" width="26.42578125" style="243" customWidth="1"/>
    <col min="38" max="38" width="15.7109375" style="243" customWidth="1"/>
    <col min="39" max="16384" width="11.42578125" style="243"/>
  </cols>
  <sheetData>
    <row r="1" spans="1:6" x14ac:dyDescent="0.25">
      <c r="B1" s="223" t="s">
        <v>39</v>
      </c>
    </row>
    <row r="2" spans="1:6" ht="19.5" thickBot="1" x14ac:dyDescent="0.3"/>
    <row r="3" spans="1:6" ht="23.25" customHeight="1" thickBot="1" x14ac:dyDescent="0.3">
      <c r="B3" s="3194" t="s">
        <v>75</v>
      </c>
      <c r="C3" s="3194"/>
      <c r="D3" s="3194"/>
      <c r="F3" s="1046" t="s">
        <v>265</v>
      </c>
    </row>
    <row r="4" spans="1:6" ht="37.5" x14ac:dyDescent="0.25">
      <c r="A4" s="1079"/>
      <c r="B4" s="2445" t="s">
        <v>234</v>
      </c>
      <c r="C4" s="2445"/>
      <c r="D4" s="49" t="s">
        <v>5368</v>
      </c>
    </row>
    <row r="5" spans="1:6" ht="37.5" x14ac:dyDescent="0.25">
      <c r="B5" s="2445" t="s">
        <v>79</v>
      </c>
      <c r="C5" s="2445"/>
      <c r="D5" s="49" t="s">
        <v>5361</v>
      </c>
    </row>
    <row r="6" spans="1:6" ht="18" customHeight="1" x14ac:dyDescent="0.25">
      <c r="B6" s="2445" t="s">
        <v>80</v>
      </c>
      <c r="C6" s="2445"/>
      <c r="D6" s="50" t="s">
        <v>5362</v>
      </c>
    </row>
    <row r="7" spans="1:6" ht="15" customHeight="1" x14ac:dyDescent="0.25">
      <c r="B7" s="2446" t="s">
        <v>81</v>
      </c>
      <c r="C7" s="2446"/>
      <c r="D7" s="93" t="s">
        <v>5363</v>
      </c>
    </row>
    <row r="8" spans="1:6" ht="15" customHeight="1" x14ac:dyDescent="0.25">
      <c r="B8" s="2446" t="s">
        <v>82</v>
      </c>
      <c r="C8" s="2446"/>
      <c r="D8" s="1047" t="s">
        <v>5572</v>
      </c>
    </row>
    <row r="9" spans="1:6" x14ac:dyDescent="0.4">
      <c r="B9" s="115"/>
      <c r="C9" s="115"/>
      <c r="D9" s="115"/>
    </row>
    <row r="10" spans="1:6" ht="23.25" customHeight="1" x14ac:dyDescent="0.25">
      <c r="B10" s="3194" t="s">
        <v>85</v>
      </c>
      <c r="C10" s="3194"/>
      <c r="D10" s="3194"/>
    </row>
    <row r="11" spans="1:6" ht="17.25" customHeight="1" x14ac:dyDescent="0.25">
      <c r="B11" s="2487" t="s">
        <v>86</v>
      </c>
      <c r="C11" s="2456"/>
      <c r="D11" s="49" t="s">
        <v>167</v>
      </c>
    </row>
    <row r="12" spans="1:6" ht="33" customHeight="1" x14ac:dyDescent="0.25">
      <c r="B12" s="2446" t="s">
        <v>88</v>
      </c>
      <c r="C12" s="2446"/>
      <c r="D12" s="184" t="s">
        <v>5573</v>
      </c>
    </row>
    <row r="13" spans="1:6" x14ac:dyDescent="0.25">
      <c r="B13" s="2445" t="s">
        <v>90</v>
      </c>
      <c r="C13" s="2445"/>
      <c r="D13" s="55" t="s">
        <v>5362</v>
      </c>
    </row>
    <row r="14" spans="1:6" x14ac:dyDescent="0.25">
      <c r="B14" s="2445" t="s">
        <v>91</v>
      </c>
      <c r="C14" s="2456"/>
      <c r="D14" s="54" t="s">
        <v>92</v>
      </c>
    </row>
    <row r="15" spans="1:6" ht="149.25" customHeight="1" x14ac:dyDescent="0.25">
      <c r="B15" s="2445" t="s">
        <v>93</v>
      </c>
      <c r="C15" s="2445"/>
      <c r="D15" s="55" t="s">
        <v>5574</v>
      </c>
    </row>
    <row r="16" spans="1:6" ht="180.75" customHeight="1" x14ac:dyDescent="0.25">
      <c r="B16" s="2445" t="s">
        <v>95</v>
      </c>
      <c r="C16" s="2445"/>
      <c r="D16" s="55"/>
    </row>
    <row r="17" spans="2:4" x14ac:dyDescent="0.25">
      <c r="B17" s="2445" t="s">
        <v>97</v>
      </c>
      <c r="C17" s="2445"/>
      <c r="D17" s="55" t="s">
        <v>387</v>
      </c>
    </row>
    <row r="18" spans="2:4" x14ac:dyDescent="0.25">
      <c r="B18" s="2446" t="s">
        <v>99</v>
      </c>
      <c r="C18" s="2446"/>
      <c r="D18" s="49"/>
    </row>
    <row r="19" spans="2:4" ht="37.5" x14ac:dyDescent="0.25">
      <c r="B19" s="2457" t="s">
        <v>100</v>
      </c>
      <c r="C19" s="2458"/>
      <c r="D19" s="55" t="s">
        <v>5575</v>
      </c>
    </row>
    <row r="20" spans="2:4" x14ac:dyDescent="0.25">
      <c r="B20" s="2445" t="s">
        <v>102</v>
      </c>
      <c r="C20" s="2445"/>
      <c r="D20" s="55" t="s">
        <v>140</v>
      </c>
    </row>
    <row r="21" spans="2:4" x14ac:dyDescent="0.25">
      <c r="B21" s="2451" t="s">
        <v>104</v>
      </c>
      <c r="C21" s="95" t="s">
        <v>105</v>
      </c>
      <c r="D21" s="49"/>
    </row>
    <row r="22" spans="2:4" x14ac:dyDescent="0.25">
      <c r="B22" s="2452"/>
      <c r="C22" s="96" t="s">
        <v>107</v>
      </c>
      <c r="D22" s="55" t="s">
        <v>5528</v>
      </c>
    </row>
    <row r="23" spans="2:4" ht="19.5" customHeight="1" x14ac:dyDescent="0.25">
      <c r="B23" s="2445" t="s">
        <v>109</v>
      </c>
      <c r="C23" s="2445"/>
      <c r="D23" s="55" t="s">
        <v>143</v>
      </c>
    </row>
    <row r="24" spans="2:4" x14ac:dyDescent="0.25">
      <c r="B24" s="2445" t="s">
        <v>111</v>
      </c>
      <c r="C24" s="2445"/>
      <c r="D24" s="50" t="s">
        <v>5576</v>
      </c>
    </row>
    <row r="25" spans="2:4" x14ac:dyDescent="0.25">
      <c r="B25" s="2445" t="s">
        <v>113</v>
      </c>
      <c r="C25" s="2445"/>
      <c r="D25" s="55" t="s">
        <v>5577</v>
      </c>
    </row>
    <row r="26" spans="2:4" ht="15" customHeight="1" x14ac:dyDescent="0.25">
      <c r="B26" s="2446" t="s">
        <v>115</v>
      </c>
      <c r="C26" s="2446"/>
      <c r="D26" s="50" t="s">
        <v>5578</v>
      </c>
    </row>
    <row r="27" spans="2:4" x14ac:dyDescent="0.25">
      <c r="B27" s="2447" t="s">
        <v>117</v>
      </c>
      <c r="C27" s="2448"/>
      <c r="D27" s="49"/>
    </row>
    <row r="28" spans="2:4" ht="94.5" customHeight="1" x14ac:dyDescent="0.25">
      <c r="B28" s="97" t="s">
        <v>118</v>
      </c>
      <c r="C28" s="98"/>
      <c r="D28" s="55" t="s">
        <v>5579</v>
      </c>
    </row>
    <row r="29" spans="2:4" x14ac:dyDescent="0.25">
      <c r="B29" s="2449" t="s">
        <v>120</v>
      </c>
      <c r="C29" s="2450"/>
      <c r="D29" s="62"/>
    </row>
    <row r="30" spans="2:4" x14ac:dyDescent="0.25">
      <c r="B30" s="63"/>
      <c r="C30" s="63"/>
      <c r="D30" s="64"/>
    </row>
    <row r="31" spans="2:4" ht="23.25" customHeight="1" x14ac:dyDescent="0.25">
      <c r="B31" s="3194" t="s">
        <v>121</v>
      </c>
      <c r="C31" s="3194"/>
      <c r="D31" s="3194"/>
    </row>
    <row r="32" spans="2:4" x14ac:dyDescent="0.25">
      <c r="B32" s="2447" t="s">
        <v>122</v>
      </c>
      <c r="C32" s="2448"/>
      <c r="D32" s="50" t="s">
        <v>5580</v>
      </c>
    </row>
    <row r="33" spans="2:4" x14ac:dyDescent="0.25">
      <c r="B33" s="2447" t="s">
        <v>124</v>
      </c>
      <c r="C33" s="2448"/>
      <c r="D33" s="50" t="s">
        <v>5581</v>
      </c>
    </row>
    <row r="34" spans="2:4" x14ac:dyDescent="0.25">
      <c r="B34" s="2447" t="s">
        <v>126</v>
      </c>
      <c r="C34" s="2448"/>
      <c r="D34" s="50" t="s">
        <v>5582</v>
      </c>
    </row>
    <row r="35" spans="2:4" x14ac:dyDescent="0.25">
      <c r="B35" s="2447" t="s">
        <v>128</v>
      </c>
      <c r="C35" s="2448"/>
      <c r="D35" s="50" t="s">
        <v>5583</v>
      </c>
    </row>
    <row r="36" spans="2:4" x14ac:dyDescent="0.25">
      <c r="B36" s="2447" t="s">
        <v>130</v>
      </c>
      <c r="C36" s="2448"/>
      <c r="D36" s="1312" t="s">
        <v>5584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84ACA619-32CA-45F0-B045-430938420AA8}">
      <formula1>ODS</formula1>
    </dataValidation>
    <dataValidation type="list" allowBlank="1" showInputMessage="1" showErrorMessage="1" sqref="D5" xr:uid="{A044831F-E5EE-43DA-A7AB-BDEB9DE867D8}">
      <formula1>Metas_ODS</formula1>
    </dataValidation>
    <dataValidation type="list" allowBlank="1" showInputMessage="1" showErrorMessage="1" sqref="D6" xr:uid="{91D25A08-429C-4FF3-93AD-75EFC8B27BC1}">
      <formula1>Numero_indicador</formula1>
    </dataValidation>
    <dataValidation type="list" allowBlank="1" showInputMessage="1" showErrorMessage="1" sqref="D7" xr:uid="{B62DCF11-ABF3-4E09-8209-69F72EA0B41E}">
      <formula1>Nombre_indicador_ODS</formula1>
    </dataValidation>
    <dataValidation type="list" allowBlank="1" showInputMessage="1" showErrorMessage="1" sqref="D14" xr:uid="{D4AF3FB5-A76A-4249-8AED-7D8F240BA0D9}">
      <formula1>Tipo_indicador</formula1>
    </dataValidation>
    <dataValidation type="list" allowBlank="1" showInputMessage="1" showErrorMessage="1" sqref="D25" xr:uid="{D9F479FF-99C2-49E2-8172-49230411C277}">
      <formula1>Tipo_operación</formula1>
    </dataValidation>
  </dataValidations>
  <hyperlinks>
    <hyperlink ref="B1" location="'9.c.1'!A1" display="REGRESAR" xr:uid="{0008CE0E-CFFE-4AD2-9DCA-60DC54B7F6DA}"/>
    <hyperlink ref="D8" r:id="rId1" xr:uid="{17E6ADDB-62EA-44DE-915C-5148524CD99A}"/>
    <hyperlink ref="D36" r:id="rId2" xr:uid="{9FADE469-9EA4-4DBB-9C61-BCC0A51F328B}"/>
  </hyperlinks>
  <pageMargins left="0.7" right="0.7" top="0.75" bottom="0.75" header="0.3" footer="0.3"/>
  <pageSetup paperSize="9" orientation="portrait" r:id="rId3"/>
  <drawing r:id="rId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5E6B-7B4E-45BE-8E1B-63E3D7173048}">
  <sheetPr>
    <tabColor rgb="FFDD1367"/>
  </sheetPr>
  <dimension ref="A1:G18"/>
  <sheetViews>
    <sheetView showGridLines="0" workbookViewId="0">
      <pane ySplit="4" topLeftCell="A12" activePane="bottomLeft" state="frozen"/>
      <selection sqref="A1:B1"/>
      <selection pane="bottomLeft" sqref="A1:B1"/>
    </sheetView>
  </sheetViews>
  <sheetFormatPr baseColWidth="10" defaultColWidth="11.5703125" defaultRowHeight="18.75" x14ac:dyDescent="0.4"/>
  <cols>
    <col min="1" max="2" width="11.5703125" style="5"/>
    <col min="3" max="3" width="67.28515625" style="5" customWidth="1"/>
    <col min="4" max="4" width="14.5703125" style="5" customWidth="1"/>
    <col min="5" max="5" width="74" style="5" customWidth="1"/>
    <col min="6" max="16384" width="11.5703125" style="5"/>
  </cols>
  <sheetData>
    <row r="1" spans="1:7" x14ac:dyDescent="0.4">
      <c r="A1" s="3221" t="s">
        <v>1</v>
      </c>
      <c r="B1" s="3221"/>
    </row>
    <row r="3" spans="1:7" ht="54" customHeight="1" x14ac:dyDescent="0.4">
      <c r="C3" s="3222" t="s">
        <v>5585</v>
      </c>
      <c r="D3" s="3222"/>
      <c r="E3" s="3222"/>
    </row>
    <row r="4" spans="1:7" s="3" customFormat="1" ht="46.15" customHeight="1" x14ac:dyDescent="0.25">
      <c r="C4" s="8" t="s">
        <v>3</v>
      </c>
      <c r="D4" s="8" t="s">
        <v>4</v>
      </c>
      <c r="E4" s="8" t="s">
        <v>5</v>
      </c>
    </row>
    <row r="5" spans="1:7" s="3" customFormat="1" ht="58.9" customHeight="1" x14ac:dyDescent="0.25">
      <c r="C5" s="10" t="s">
        <v>5586</v>
      </c>
      <c r="D5" s="11" t="s">
        <v>5587</v>
      </c>
      <c r="E5" s="12" t="s">
        <v>5588</v>
      </c>
    </row>
    <row r="6" spans="1:7" s="3" customFormat="1" ht="75" customHeight="1" x14ac:dyDescent="0.25">
      <c r="C6" s="10" t="s">
        <v>5589</v>
      </c>
      <c r="D6" s="11" t="s">
        <v>5590</v>
      </c>
      <c r="E6" s="12" t="s">
        <v>5591</v>
      </c>
    </row>
    <row r="7" spans="1:7" s="3" customFormat="1" ht="78" x14ac:dyDescent="0.25">
      <c r="C7" s="10" t="s">
        <v>5592</v>
      </c>
      <c r="D7" s="11" t="s">
        <v>5593</v>
      </c>
      <c r="E7" s="12" t="s">
        <v>5594</v>
      </c>
      <c r="G7" s="3" t="s">
        <v>1145</v>
      </c>
    </row>
    <row r="8" spans="1:7" s="3" customFormat="1" ht="25.5" customHeight="1" x14ac:dyDescent="0.25">
      <c r="C8" s="2408" t="s">
        <v>5595</v>
      </c>
      <c r="D8" s="11" t="s">
        <v>5596</v>
      </c>
      <c r="E8" s="12" t="s">
        <v>5597</v>
      </c>
    </row>
    <row r="9" spans="1:7" s="3" customFormat="1" ht="25.5" customHeight="1" x14ac:dyDescent="0.25">
      <c r="C9" s="2409"/>
      <c r="D9" s="13" t="s">
        <v>5598</v>
      </c>
      <c r="E9" s="14" t="s">
        <v>5599</v>
      </c>
    </row>
    <row r="10" spans="1:7" s="3" customFormat="1" ht="57.6" customHeight="1" x14ac:dyDescent="0.25">
      <c r="C10" s="10" t="s">
        <v>5600</v>
      </c>
      <c r="D10" s="11" t="s">
        <v>5601</v>
      </c>
      <c r="E10" s="12" t="s">
        <v>5602</v>
      </c>
    </row>
    <row r="11" spans="1:7" s="3" customFormat="1" ht="76.900000000000006" customHeight="1" x14ac:dyDescent="0.25">
      <c r="C11" s="10" t="s">
        <v>5603</v>
      </c>
      <c r="D11" s="13" t="s">
        <v>5604</v>
      </c>
      <c r="E11" s="14" t="s">
        <v>5605</v>
      </c>
    </row>
    <row r="12" spans="1:7" s="3" customFormat="1" ht="34.5" customHeight="1" x14ac:dyDescent="0.25">
      <c r="C12" s="2408" t="s">
        <v>5606</v>
      </c>
      <c r="D12" s="13" t="s">
        <v>5607</v>
      </c>
      <c r="E12" s="14" t="s">
        <v>5608</v>
      </c>
    </row>
    <row r="13" spans="1:7" s="3" customFormat="1" ht="58.5" x14ac:dyDescent="0.25">
      <c r="C13" s="2412"/>
      <c r="D13" s="13" t="s">
        <v>5609</v>
      </c>
      <c r="E13" s="14" t="s">
        <v>5610</v>
      </c>
    </row>
    <row r="14" spans="1:7" s="3" customFormat="1" ht="38.25" customHeight="1" x14ac:dyDescent="0.25">
      <c r="C14" s="2412"/>
      <c r="D14" s="13" t="s">
        <v>5611</v>
      </c>
      <c r="E14" s="14" t="s">
        <v>5612</v>
      </c>
    </row>
    <row r="15" spans="1:7" s="3" customFormat="1" ht="38.25" customHeight="1" x14ac:dyDescent="0.25">
      <c r="C15" s="2409"/>
      <c r="D15" s="11" t="s">
        <v>5613</v>
      </c>
      <c r="E15" s="12" t="s">
        <v>5614</v>
      </c>
    </row>
    <row r="16" spans="1:7" ht="60" customHeight="1" x14ac:dyDescent="0.4">
      <c r="C16" s="10" t="s">
        <v>5615</v>
      </c>
      <c r="D16" s="13" t="s">
        <v>5616</v>
      </c>
      <c r="E16" s="14" t="s">
        <v>5617</v>
      </c>
    </row>
    <row r="17" spans="3:5" ht="117" x14ac:dyDescent="0.4">
      <c r="C17" s="10" t="s">
        <v>5618</v>
      </c>
      <c r="D17" s="13" t="s">
        <v>5619</v>
      </c>
      <c r="E17" s="14" t="s">
        <v>5620</v>
      </c>
    </row>
    <row r="18" spans="3:5" ht="58.5" x14ac:dyDescent="0.4">
      <c r="C18" s="10" t="s">
        <v>5621</v>
      </c>
      <c r="D18" s="11" t="s">
        <v>5622</v>
      </c>
      <c r="E18" s="12" t="s">
        <v>5623</v>
      </c>
    </row>
  </sheetData>
  <mergeCells count="4">
    <mergeCell ref="A1:B1"/>
    <mergeCell ref="C3:E3"/>
    <mergeCell ref="C8:C9"/>
    <mergeCell ref="C12:C15"/>
  </mergeCells>
  <hyperlinks>
    <hyperlink ref="A1" location="Objetivos!A1" display="REGRESAR A INICIO" xr:uid="{32E361FB-FA40-4CAE-AC46-740CBE6A1983}"/>
    <hyperlink ref="A1:B1" location="'Lista de Objetivos'!A1" display="REGRESAR A INICIO" xr:uid="{BE76B0C9-8624-4AC7-BA51-AD778C3EA42B}"/>
    <hyperlink ref="D5" location="'10.1.1'!A1" display="10.1.1" xr:uid="{A0EA574F-148F-45C2-8082-A64A55C75C3A}"/>
    <hyperlink ref="E5" location="'10.1.1'!A1" display="10.1.1 Tasas de crecimiento per cápita de los gastos o ingresos de los hogares del 40% más pobre de la población y la población total" xr:uid="{41F44EE2-FB9B-4228-A7E0-6B4EC15CD001}"/>
    <hyperlink ref="D6" location="'10.2.1.a'!A1" display="10.2.1" xr:uid="{CEA1937D-0EC3-4AEA-B114-60434B7E1903}"/>
    <hyperlink ref="E6" location="'10.2.1.a'!A1" display="10.2.1 Proporción de personas que viven por debajo del 50% de la mediana de los ingresos, desglosada por sexo, edad y personas con discapacidad" xr:uid="{7F82D78B-A6AF-473F-9F7E-D0667046A8A4}"/>
    <hyperlink ref="D7" location="'10.3.1'!A1" display="10.3.1" xr:uid="{EA85F802-5539-4AF6-820E-5FDC8A23C341}"/>
    <hyperlink ref="E7" location="'10.3.1'!A1" display="10.3.1 Proporción de la población que declara haberse sentido personalmente discriminada o acosada en los últimos 12 meses por motivos de discriminación prohibidos por el derecho internacional de los derechos humanos" xr:uid="{2C8D3FF1-F3FE-4DE4-9D49-B44A6C12B784}"/>
    <hyperlink ref="D8" location="'10.4.1'!A1" display="10.4.1" xr:uid="{79898CED-2A4F-4FB7-9702-9D4672070D3E}"/>
    <hyperlink ref="E8" location="'10.4.1'!A1" display="10.4.1 Proporción del PIB generada por el trabajo" xr:uid="{7E42B443-8705-42A3-A7A7-C1F1182995D3}"/>
    <hyperlink ref="D9" location="'10.4.2'!A1" display="10.4.2" xr:uid="{351871F3-5436-4095-A45B-5B9E332DDBD2}"/>
    <hyperlink ref="E9" location="'10.4.2'!A1" display="10.4.2 _x0009_Efecto redistributivo de la política fiscal2" xr:uid="{4D8A26E7-339D-4C61-95DB-C0BAD2B80F73}"/>
    <hyperlink ref="D10" location="'10.5.1'!A1" display="10.5.1" xr:uid="{5B245970-8709-477A-A9DF-2DEB085D62F4}"/>
    <hyperlink ref="E10" location="'10.5.1'!A1" display="10.5.1 Indicadores de solidez financiera" xr:uid="{E01C60CB-2D3E-4209-9B00-E5191D8AB34A}"/>
    <hyperlink ref="D11" location="'10.6.1'!A1" display="10.6.1" xr:uid="{B38C306C-13D0-467D-A48B-6DC77BE1F760}"/>
    <hyperlink ref="E11" location="'10.6.1'!A1" display="10.6.1 Proporción de miembros y derechos de voto de los países en desarrollo en organizaciones internacionales" xr:uid="{1AC88714-1BCB-4D26-839E-554636B46FD1}"/>
    <hyperlink ref="D12" location="'10.7.1'!A1" display="10.7.1" xr:uid="{376EAE38-FDE8-4E5A-AEC4-55BD2532E379}"/>
    <hyperlink ref="E12" location="'10.7.1'!A1" display="10.7.1 Costo de la contratación sufragado por el empleado en proporción a los ingresos mensuales percibidos en el país de destino" xr:uid="{22B556AA-2230-44B4-866D-77AA72FE9DC2}"/>
    <hyperlink ref="D13" location="'10.7.2'!A1" display="10.7.2" xr:uid="{A626B848-504F-4A74-8246-41199710F91D}"/>
    <hyperlink ref="E13" location="'10.7.2'!A1" display="10.7.2 Número de países que han aplicado políticas migratorias bien gestionadas que facilitan la migración y la movilidad ordenadas, seguras, regulares y responsables de las personas" xr:uid="{308241AD-36B7-4F7B-B781-35107A326AFA}"/>
    <hyperlink ref="D14" location="'10.7.3'!A1" display="10.7.3" xr:uid="{B1B314E5-904A-4E69-85CA-8F2C2E06FDFD}"/>
    <hyperlink ref="E14" location="'10.7.3'!A1" display="10.7.3 _x0009_Número de personas que murieron o desaparecieron en el proceso de migración hacia un destino internacionali" xr:uid="{5D645B98-32E4-450A-823A-486F16C79619}"/>
    <hyperlink ref="D15" location="'10.7.4'!A1" display="10.7.4" xr:uid="{65EC8192-992D-4064-8D4A-99AF9EAC6966}"/>
    <hyperlink ref="E15" location="'10.7.4'!A1" display="10.7.4 _x0009_Proporción de la población integrada por refugiados, desglosada por país de origen" xr:uid="{9CD4DBDC-DF89-4A39-941D-5423429263E2}"/>
    <hyperlink ref="D16" location="'10.a.1'!A1" display="10.a.1" xr:uid="{E136B7DC-00AB-409F-AC68-DBAB5901C0CF}"/>
    <hyperlink ref="E16" location="'10.a.1'!A1" display="10.a.1 Proporción de líneas arancelarias que se aplican a las importaciones de los países menos adelantados y los países en desarrollo con arancel cero" xr:uid="{71323E3C-27DE-44A1-B25D-A4B665FC7E65}"/>
    <hyperlink ref="D17" location="'10.b.1'!A1" display="10.b.1" xr:uid="{DFCB15E8-14CB-437C-BE70-33578676513C}"/>
    <hyperlink ref="E17" location="'10.b.1'!A1" display="10.b.1 Corrientes totales de recursos para el desarrollo, desglosadas por país receptor y país donante y por tipo de corriente (por ejemplo, asistencia oficial para el desarrollo, inversión extranjera directa y otras corrientes)" xr:uid="{3597D3D7-06F3-4584-9CF0-32F6B5FDBEED}"/>
    <hyperlink ref="D18" location="'10.c.1'!A1" display="10.c.1" xr:uid="{E7287628-47E0-4607-93B3-F0FE7C540CF7}"/>
    <hyperlink ref="E18" location="'10.c.1'!A1" display="10.c.1 Costo de las remesas en proporción a las sumas remitidas" xr:uid="{4D3435D1-97D2-4A50-ABCC-8F6140F26611}"/>
  </hyperlinks>
  <pageMargins left="0.7" right="0.7" top="0.75" bottom="0.75" header="0.3" footer="0.3"/>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D4922-2F67-4EF9-8646-5881A02F0921}">
  <dimension ref="A1:X30"/>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1" width="16.28515625" style="115" customWidth="1"/>
    <col min="2" max="2" width="14.5703125" style="115" customWidth="1"/>
    <col min="3" max="3" width="6.7109375" style="115" customWidth="1"/>
    <col min="4" max="4" width="6.5703125" style="115" customWidth="1"/>
    <col min="5" max="5" width="2.5703125" style="115" customWidth="1"/>
    <col min="6" max="7" width="7.42578125" style="115" customWidth="1"/>
    <col min="8" max="8" width="2.7109375" style="115" customWidth="1"/>
    <col min="9" max="9" width="7.7109375" style="115" customWidth="1"/>
    <col min="10" max="10" width="9.28515625" style="115" customWidth="1"/>
    <col min="11" max="11" width="9" style="115" customWidth="1"/>
    <col min="12" max="12" width="7.28515625" style="115" customWidth="1"/>
    <col min="13" max="13" width="7.5703125" style="115" customWidth="1"/>
    <col min="14" max="14" width="7" style="115" customWidth="1"/>
    <col min="15" max="16384" width="11.42578125" style="115"/>
  </cols>
  <sheetData>
    <row r="1" spans="1:24" s="1032" customFormat="1" ht="19.5" x14ac:dyDescent="0.4">
      <c r="A1" s="15" t="s">
        <v>39</v>
      </c>
      <c r="C1" s="2421" t="s">
        <v>149</v>
      </c>
      <c r="D1" s="2421"/>
      <c r="E1" s="2421"/>
    </row>
    <row r="2" spans="1:24" s="1032" customFormat="1" ht="19.5" x14ac:dyDescent="0.4">
      <c r="A2" s="1526"/>
    </row>
    <row r="3" spans="1:24" s="1032" customFormat="1" ht="19.5" x14ac:dyDescent="0.4">
      <c r="A3" s="3223" t="s">
        <v>41</v>
      </c>
      <c r="B3" s="3223"/>
      <c r="C3" s="3223" t="s">
        <v>5585</v>
      </c>
      <c r="D3" s="3224"/>
      <c r="E3" s="3224"/>
      <c r="F3" s="3224"/>
      <c r="G3" s="3224"/>
      <c r="H3" s="3224"/>
      <c r="I3" s="3224"/>
      <c r="J3" s="3224"/>
      <c r="K3" s="3224"/>
      <c r="L3" s="3224"/>
      <c r="M3" s="3224"/>
      <c r="N3" s="3224"/>
      <c r="O3" s="3224"/>
      <c r="P3" s="3224"/>
      <c r="Q3" s="3224"/>
      <c r="R3" s="3224"/>
      <c r="S3" s="3224"/>
      <c r="T3" s="3224"/>
      <c r="U3" s="3224"/>
      <c r="V3" s="3224"/>
      <c r="W3" s="3224"/>
      <c r="X3" s="3224"/>
    </row>
    <row r="4" spans="1:24" s="1032" customFormat="1" ht="14.25" customHeight="1" x14ac:dyDescent="0.4">
      <c r="A4" s="3223" t="s">
        <v>42</v>
      </c>
      <c r="B4" s="3224"/>
      <c r="C4" s="3223" t="s">
        <v>5586</v>
      </c>
      <c r="D4" s="3224"/>
      <c r="E4" s="3224"/>
      <c r="F4" s="3224"/>
      <c r="G4" s="3224"/>
      <c r="H4" s="3224"/>
      <c r="I4" s="3224"/>
      <c r="J4" s="3224"/>
      <c r="K4" s="3224"/>
      <c r="L4" s="3224"/>
      <c r="M4" s="3224"/>
      <c r="N4" s="3224"/>
      <c r="O4" s="3224"/>
      <c r="P4" s="3224"/>
      <c r="Q4" s="3224"/>
      <c r="R4" s="3224"/>
      <c r="S4" s="3224"/>
      <c r="T4" s="3224"/>
      <c r="U4" s="3224"/>
      <c r="V4" s="3224"/>
      <c r="W4" s="3224"/>
      <c r="X4" s="3224"/>
    </row>
    <row r="5" spans="1:24" s="1032" customFormat="1" ht="19.5" x14ac:dyDescent="0.4">
      <c r="A5" s="3223" t="s">
        <v>43</v>
      </c>
      <c r="B5" s="3224"/>
      <c r="C5" s="3223" t="s">
        <v>5588</v>
      </c>
      <c r="D5" s="3224"/>
      <c r="E5" s="3224"/>
      <c r="F5" s="3224"/>
      <c r="G5" s="3224"/>
      <c r="H5" s="3224"/>
      <c r="I5" s="3224"/>
      <c r="J5" s="3224"/>
      <c r="K5" s="3224"/>
      <c r="L5" s="3224"/>
      <c r="M5" s="3224"/>
      <c r="N5" s="3224"/>
      <c r="O5" s="3224"/>
      <c r="P5" s="3224"/>
      <c r="Q5" s="3224"/>
      <c r="R5" s="3224"/>
      <c r="S5" s="3224"/>
      <c r="T5" s="3224"/>
      <c r="U5" s="3224"/>
      <c r="V5" s="3224"/>
      <c r="W5" s="3224"/>
      <c r="X5" s="3224"/>
    </row>
    <row r="6" spans="1:24" s="1032" customFormat="1" ht="19.5" x14ac:dyDescent="0.4">
      <c r="A6" s="3223" t="s">
        <v>132</v>
      </c>
      <c r="B6" s="3224"/>
      <c r="C6" s="3223" t="s">
        <v>5624</v>
      </c>
      <c r="D6" s="3224"/>
      <c r="E6" s="3224"/>
      <c r="F6" s="3224"/>
      <c r="G6" s="3224"/>
      <c r="H6" s="3224"/>
      <c r="I6" s="3224"/>
      <c r="J6" s="3224"/>
      <c r="K6" s="3224"/>
      <c r="L6" s="3224"/>
      <c r="M6" s="3224"/>
      <c r="N6" s="3224"/>
      <c r="O6" s="3224"/>
      <c r="P6" s="3224"/>
      <c r="Q6" s="3224"/>
      <c r="R6" s="3224"/>
      <c r="S6" s="3224"/>
      <c r="T6" s="3224"/>
      <c r="U6" s="3224"/>
      <c r="V6" s="3224"/>
      <c r="W6" s="3224"/>
      <c r="X6" s="3224"/>
    </row>
    <row r="7" spans="1:24" s="1032" customFormat="1" ht="19.5" x14ac:dyDescent="0.4">
      <c r="C7" s="1432"/>
      <c r="D7" s="1432"/>
      <c r="E7" s="138"/>
    </row>
    <row r="8" spans="1:24" s="1032" customFormat="1" ht="19.5" x14ac:dyDescent="0.4">
      <c r="C8" s="1432"/>
      <c r="D8" s="1432"/>
      <c r="E8" s="138"/>
    </row>
    <row r="9" spans="1:24" s="1032" customFormat="1" ht="39" customHeight="1" x14ac:dyDescent="0.4">
      <c r="C9" s="2628" t="s">
        <v>5624</v>
      </c>
      <c r="D9" s="2628"/>
      <c r="E9" s="2628"/>
      <c r="F9" s="2628"/>
      <c r="G9" s="2628"/>
      <c r="H9" s="2628"/>
      <c r="I9" s="2628"/>
      <c r="J9" s="2628"/>
      <c r="K9" s="2628"/>
      <c r="L9" s="2628"/>
      <c r="M9" s="2628"/>
      <c r="N9" s="2628"/>
      <c r="Q9" s="3225" t="s">
        <v>8129</v>
      </c>
      <c r="R9" s="3225"/>
      <c r="S9" s="3225"/>
      <c r="T9" s="3225"/>
      <c r="U9" s="3225"/>
      <c r="V9" s="3225"/>
      <c r="W9" s="3225"/>
    </row>
    <row r="10" spans="1:24" s="1032" customFormat="1" ht="19.5" x14ac:dyDescent="0.4">
      <c r="C10" s="533"/>
      <c r="D10" s="533"/>
      <c r="E10" s="533"/>
      <c r="F10" s="533"/>
      <c r="G10" s="533"/>
      <c r="H10" s="533"/>
      <c r="I10" s="533"/>
      <c r="J10" s="533"/>
      <c r="K10" s="533"/>
      <c r="L10" s="533"/>
      <c r="M10" s="533"/>
      <c r="N10" s="533"/>
      <c r="Q10" s="1604"/>
      <c r="R10" s="1604"/>
      <c r="S10" s="1604"/>
      <c r="T10" s="1604"/>
      <c r="U10" s="1604"/>
      <c r="V10" s="1604"/>
      <c r="W10" s="1604"/>
    </row>
    <row r="11" spans="1:24" ht="12.75" customHeight="1" x14ac:dyDescent="0.4">
      <c r="C11" s="3226" t="s">
        <v>247</v>
      </c>
      <c r="D11" s="3226" t="s">
        <v>47</v>
      </c>
      <c r="E11" s="1605"/>
      <c r="F11" s="3228" t="s">
        <v>49</v>
      </c>
      <c r="G11" s="3228"/>
      <c r="H11" s="1606"/>
      <c r="I11" s="3229" t="s">
        <v>50</v>
      </c>
      <c r="J11" s="3229"/>
      <c r="K11" s="3229"/>
      <c r="L11" s="3229"/>
      <c r="M11" s="3229"/>
      <c r="N11" s="3229"/>
    </row>
    <row r="12" spans="1:24" ht="37.5" x14ac:dyDescent="0.4">
      <c r="C12" s="3227"/>
      <c r="D12" s="3227"/>
      <c r="E12" s="1607"/>
      <c r="F12" s="1608" t="s">
        <v>55</v>
      </c>
      <c r="G12" s="1608" t="s">
        <v>56</v>
      </c>
      <c r="H12" s="1608"/>
      <c r="I12" s="1608" t="s">
        <v>57</v>
      </c>
      <c r="J12" s="1608" t="s">
        <v>58</v>
      </c>
      <c r="K12" s="1608" t="s">
        <v>59</v>
      </c>
      <c r="L12" s="1608" t="s">
        <v>60</v>
      </c>
      <c r="M12" s="1609" t="s">
        <v>61</v>
      </c>
      <c r="N12" s="1609" t="s">
        <v>62</v>
      </c>
    </row>
    <row r="13" spans="1:24" x14ac:dyDescent="0.4">
      <c r="C13" s="536">
        <v>2010</v>
      </c>
      <c r="D13" s="1610">
        <v>13.851737437571588</v>
      </c>
      <c r="E13" s="1610"/>
      <c r="F13" s="1611">
        <v>14.80673749625748</v>
      </c>
      <c r="G13" s="1611">
        <v>14.191646348681964</v>
      </c>
      <c r="H13" s="1611"/>
      <c r="I13" s="1612">
        <v>15.031610225607771</v>
      </c>
      <c r="J13" s="1612">
        <v>13.578508067760009</v>
      </c>
      <c r="K13" s="1612">
        <v>15.053299892593447</v>
      </c>
      <c r="L13" s="1612">
        <v>11.738641721418803</v>
      </c>
      <c r="M13" s="1612">
        <v>16.49980327145229</v>
      </c>
      <c r="N13" s="1612">
        <v>13.19246728982395</v>
      </c>
    </row>
    <row r="14" spans="1:24" x14ac:dyDescent="0.4">
      <c r="C14" s="536">
        <v>2011</v>
      </c>
      <c r="D14" s="1610">
        <v>13.21304508741129</v>
      </c>
      <c r="E14" s="1610"/>
      <c r="F14" s="1611">
        <v>13.872533533314996</v>
      </c>
      <c r="G14" s="1611">
        <v>14.557109356042577</v>
      </c>
      <c r="H14" s="1611"/>
      <c r="I14" s="1612">
        <v>14.145183119018807</v>
      </c>
      <c r="J14" s="1612">
        <v>12.604964290219268</v>
      </c>
      <c r="K14" s="1612">
        <v>14.218827860178498</v>
      </c>
      <c r="L14" s="1612">
        <v>12.073337790247587</v>
      </c>
      <c r="M14" s="1612">
        <v>15.097804333773762</v>
      </c>
      <c r="N14" s="1612">
        <v>13.489031666294668</v>
      </c>
    </row>
    <row r="15" spans="1:24" x14ac:dyDescent="0.4">
      <c r="C15" s="536">
        <v>2012</v>
      </c>
      <c r="D15" s="1610">
        <v>13.264552875190114</v>
      </c>
      <c r="E15" s="1610"/>
      <c r="F15" s="1611">
        <v>14.167016513148353</v>
      </c>
      <c r="G15" s="1611">
        <v>14.327301939811262</v>
      </c>
      <c r="H15" s="1611"/>
      <c r="I15" s="1612">
        <v>14.306166624926828</v>
      </c>
      <c r="J15" s="1612">
        <v>12.785481395643068</v>
      </c>
      <c r="K15" s="1612">
        <v>14.362024754715868</v>
      </c>
      <c r="L15" s="1612">
        <v>12.356774286544459</v>
      </c>
      <c r="M15" s="1612">
        <v>15.734657312258379</v>
      </c>
      <c r="N15" s="1612">
        <v>13.964516763215507</v>
      </c>
    </row>
    <row r="16" spans="1:24" x14ac:dyDescent="0.4">
      <c r="C16" s="536">
        <v>2013</v>
      </c>
      <c r="D16" s="1610">
        <v>12.902805682900375</v>
      </c>
      <c r="E16" s="1610"/>
      <c r="F16" s="1611">
        <v>13.531498512904575</v>
      </c>
      <c r="G16" s="1611">
        <v>13.799543657128115</v>
      </c>
      <c r="H16" s="1611"/>
      <c r="I16" s="1612">
        <v>13.6622942914496</v>
      </c>
      <c r="J16" s="1612">
        <v>12.82810323375303</v>
      </c>
      <c r="K16" s="1612">
        <v>13.130811678767767</v>
      </c>
      <c r="L16" s="1612">
        <v>11.20091198721479</v>
      </c>
      <c r="M16" s="1612">
        <v>15.635700109330561</v>
      </c>
      <c r="N16" s="1612">
        <v>13.957257795867342</v>
      </c>
    </row>
    <row r="17" spans="1:17" x14ac:dyDescent="0.4">
      <c r="C17" s="536">
        <v>2014</v>
      </c>
      <c r="D17" s="1610">
        <v>13.002891135510028</v>
      </c>
      <c r="E17" s="1610"/>
      <c r="F17" s="1611">
        <v>13.849966868332803</v>
      </c>
      <c r="G17" s="1611">
        <v>13.463245432199342</v>
      </c>
      <c r="H17" s="1611"/>
      <c r="I17" s="1612">
        <v>13.796131538209334</v>
      </c>
      <c r="J17" s="1612">
        <v>13.273644765777185</v>
      </c>
      <c r="K17" s="1612">
        <v>13.733871643728502</v>
      </c>
      <c r="L17" s="1612">
        <v>12.053244678507879</v>
      </c>
      <c r="M17" s="1612">
        <v>17.075013078788885</v>
      </c>
      <c r="N17" s="1612">
        <v>13.534037185829151</v>
      </c>
    </row>
    <row r="18" spans="1:17" x14ac:dyDescent="0.4">
      <c r="C18" s="536">
        <v>2015</v>
      </c>
      <c r="D18" s="1610">
        <v>13.013512640255714</v>
      </c>
      <c r="E18" s="1610"/>
      <c r="F18" s="1611">
        <v>14.04675722795275</v>
      </c>
      <c r="G18" s="1611">
        <v>13.056628876208745</v>
      </c>
      <c r="H18" s="1611"/>
      <c r="I18" s="1612">
        <v>14.085635828709275</v>
      </c>
      <c r="J18" s="1612">
        <v>12.501125929796533</v>
      </c>
      <c r="K18" s="1612">
        <v>14.223397987706187</v>
      </c>
      <c r="L18" s="1612">
        <v>11.270254372454678</v>
      </c>
      <c r="M18" s="1612">
        <v>14.825467883493287</v>
      </c>
      <c r="N18" s="1612">
        <v>13.759502605367068</v>
      </c>
    </row>
    <row r="19" spans="1:17" x14ac:dyDescent="0.4">
      <c r="C19" s="536">
        <v>2016</v>
      </c>
      <c r="D19" s="1610">
        <v>12.915125824757768</v>
      </c>
      <c r="E19" s="1610"/>
      <c r="F19" s="1611">
        <v>13.680566928206749</v>
      </c>
      <c r="G19" s="1611">
        <v>13.62973479434525</v>
      </c>
      <c r="H19" s="1611"/>
      <c r="I19" s="1612">
        <v>13.687542448484095</v>
      </c>
      <c r="J19" s="1612">
        <v>13.412416406258501</v>
      </c>
      <c r="K19" s="1612">
        <v>13.945761213021305</v>
      </c>
      <c r="L19" s="1612">
        <v>12.432649848646198</v>
      </c>
      <c r="M19" s="1612">
        <v>14.818330507732187</v>
      </c>
      <c r="N19" s="1612">
        <v>13.344605115341343</v>
      </c>
    </row>
    <row r="20" spans="1:17" x14ac:dyDescent="0.4">
      <c r="C20" s="536">
        <v>2017</v>
      </c>
      <c r="D20" s="1610">
        <v>12.8616690858568</v>
      </c>
      <c r="E20" s="1610"/>
      <c r="F20" s="1611">
        <v>13.481821342355586</v>
      </c>
      <c r="G20" s="1611">
        <v>13.774193887854352</v>
      </c>
      <c r="H20" s="1611"/>
      <c r="I20" s="1612">
        <v>13.477642575181756</v>
      </c>
      <c r="J20" s="1612">
        <v>14.010630716231267</v>
      </c>
      <c r="K20" s="1612">
        <v>14.282932361083885</v>
      </c>
      <c r="L20" s="1612">
        <v>12.548742977143416</v>
      </c>
      <c r="M20" s="1612">
        <v>16.142876456661703</v>
      </c>
      <c r="N20" s="1612">
        <v>13.835808946935661</v>
      </c>
    </row>
    <row r="21" spans="1:17" x14ac:dyDescent="0.4">
      <c r="C21" s="536">
        <v>2018</v>
      </c>
      <c r="D21" s="1610">
        <v>13.057319940003072</v>
      </c>
      <c r="E21" s="1610"/>
      <c r="F21" s="1611">
        <v>13.520548688677742</v>
      </c>
      <c r="G21" s="1611">
        <v>14.358715668913687</v>
      </c>
      <c r="H21" s="1611"/>
      <c r="I21" s="1612">
        <v>13.588570579345847</v>
      </c>
      <c r="J21" s="1612">
        <v>13.303791702907075</v>
      </c>
      <c r="K21" s="1612">
        <v>13.898500946707443</v>
      </c>
      <c r="L21" s="1612">
        <v>12.578288390438242</v>
      </c>
      <c r="M21" s="1612">
        <v>15.184574412976728</v>
      </c>
      <c r="N21" s="1612">
        <v>14.703265392076274</v>
      </c>
    </row>
    <row r="22" spans="1:17" x14ac:dyDescent="0.4">
      <c r="C22" s="536">
        <v>2019</v>
      </c>
      <c r="D22" s="1610">
        <v>13.345912052900049</v>
      </c>
      <c r="E22" s="1610"/>
      <c r="F22" s="1611">
        <v>13.776142921490905</v>
      </c>
      <c r="G22" s="1611">
        <v>14.790133690234994</v>
      </c>
      <c r="H22" s="1611"/>
      <c r="I22" s="1612">
        <v>13.662138769257165</v>
      </c>
      <c r="J22" s="1612">
        <v>16.366792549366753</v>
      </c>
      <c r="K22" s="1612">
        <v>14.441456596283972</v>
      </c>
      <c r="L22" s="1612">
        <v>12.202970133777926</v>
      </c>
      <c r="M22" s="1612">
        <v>17.72410631305295</v>
      </c>
      <c r="N22" s="1612">
        <v>13.947312975451052</v>
      </c>
    </row>
    <row r="23" spans="1:17" x14ac:dyDescent="0.4">
      <c r="C23" s="536">
        <v>2020</v>
      </c>
      <c r="D23" s="1610">
        <v>13.044516179427493</v>
      </c>
      <c r="E23" s="1610"/>
      <c r="F23" s="1611">
        <v>12.858308843068421</v>
      </c>
      <c r="G23" s="1611">
        <v>14.930187479761436</v>
      </c>
      <c r="H23" s="1611"/>
      <c r="I23" s="1612">
        <v>12.555889290852933</v>
      </c>
      <c r="J23" s="1612">
        <v>14.411513792568098</v>
      </c>
      <c r="K23" s="1612">
        <v>14.95599999506336</v>
      </c>
      <c r="L23" s="1612">
        <v>15.269244567487005</v>
      </c>
      <c r="M23" s="1612">
        <v>15.312930841145</v>
      </c>
      <c r="N23" s="1612">
        <v>14.384499559973509</v>
      </c>
      <c r="Q23" s="155" t="s">
        <v>8109</v>
      </c>
    </row>
    <row r="24" spans="1:17" x14ac:dyDescent="0.4">
      <c r="C24" s="536">
        <v>2021</v>
      </c>
      <c r="D24" s="1610">
        <v>12.844015285902399</v>
      </c>
      <c r="E24" s="1610"/>
      <c r="F24" s="1611">
        <v>13.216539233482274</v>
      </c>
      <c r="G24" s="1611">
        <v>14.204131958585847</v>
      </c>
      <c r="H24" s="1611"/>
      <c r="I24" s="1612">
        <v>13.528754571501853</v>
      </c>
      <c r="J24" s="1612">
        <v>14.209875688257457</v>
      </c>
      <c r="K24" s="1612">
        <v>13.454772376262556</v>
      </c>
      <c r="L24" s="1612">
        <v>12.844155372554933</v>
      </c>
      <c r="M24" s="1612">
        <v>14.408642059295499</v>
      </c>
      <c r="N24" s="1612">
        <v>13.781113643037743</v>
      </c>
    </row>
    <row r="25" spans="1:17" x14ac:dyDescent="0.4">
      <c r="C25" s="536">
        <v>2022</v>
      </c>
      <c r="D25" s="1610">
        <v>13.371424633674589</v>
      </c>
      <c r="E25" s="1610"/>
      <c r="F25" s="1611">
        <v>14.067362047567419</v>
      </c>
      <c r="G25" s="1611">
        <v>14.287592741158054</v>
      </c>
      <c r="H25" s="1611"/>
      <c r="I25" s="1612">
        <v>14.217725656289105</v>
      </c>
      <c r="J25" s="1612">
        <v>12.976278700133959</v>
      </c>
      <c r="K25" s="1612">
        <v>13.345465597913487</v>
      </c>
      <c r="L25" s="1612">
        <v>13.045085787155214</v>
      </c>
      <c r="M25" s="1612">
        <v>15.299656417244917</v>
      </c>
      <c r="N25" s="1612">
        <v>14.204069243137809</v>
      </c>
    </row>
    <row r="26" spans="1:17" x14ac:dyDescent="0.4">
      <c r="C26" s="536">
        <v>2023</v>
      </c>
      <c r="D26" s="1610">
        <v>13.555801576163077</v>
      </c>
      <c r="E26" s="1610"/>
      <c r="F26" s="1611">
        <v>13.957016146678031</v>
      </c>
      <c r="G26" s="1611">
        <v>14.593403581495675</v>
      </c>
      <c r="H26" s="1611"/>
      <c r="I26" s="1612">
        <v>13.875399740810849</v>
      </c>
      <c r="J26" s="1612">
        <v>13.070536361085717</v>
      </c>
      <c r="K26" s="1612">
        <v>16.127787974607564</v>
      </c>
      <c r="L26" s="1612">
        <v>14.763404799707066</v>
      </c>
      <c r="M26" s="1612">
        <v>15.570515107422182</v>
      </c>
      <c r="N26" s="1612">
        <v>14.412994094122682</v>
      </c>
    </row>
    <row r="27" spans="1:17" s="2279" customFormat="1" x14ac:dyDescent="0.4">
      <c r="C27" s="824">
        <v>2024</v>
      </c>
      <c r="D27" s="1613">
        <v>13.949989273279096</v>
      </c>
      <c r="E27" s="1613"/>
      <c r="F27" s="1614">
        <v>14.533131200726764</v>
      </c>
      <c r="G27" s="1614">
        <v>14.815270086301298</v>
      </c>
      <c r="H27" s="1614"/>
      <c r="I27" s="1615">
        <v>14.95566533340077</v>
      </c>
      <c r="J27" s="1615">
        <v>14.656338039345416</v>
      </c>
      <c r="K27" s="1615">
        <v>15.094164093759959</v>
      </c>
      <c r="L27" s="1615">
        <v>11.611869456511146</v>
      </c>
      <c r="M27" s="1615">
        <v>14.988356918283685</v>
      </c>
      <c r="N27" s="1615">
        <v>15.592983027661509</v>
      </c>
    </row>
    <row r="28" spans="1:17" x14ac:dyDescent="0.4">
      <c r="C28" s="2285" t="s">
        <v>8115</v>
      </c>
      <c r="D28" s="1610"/>
      <c r="E28" s="1610"/>
      <c r="F28" s="1611"/>
      <c r="G28" s="1611"/>
      <c r="H28" s="1611"/>
      <c r="I28" s="1612"/>
      <c r="J28" s="1612"/>
      <c r="K28" s="1612"/>
      <c r="L28" s="1612"/>
      <c r="M28" s="1612"/>
      <c r="N28" s="1612"/>
    </row>
    <row r="30" spans="1:17" x14ac:dyDescent="0.4">
      <c r="A30" s="649"/>
      <c r="B30" s="649"/>
      <c r="C30" s="649"/>
    </row>
  </sheetData>
  <mergeCells count="15">
    <mergeCell ref="A5:B5"/>
    <mergeCell ref="C5:X5"/>
    <mergeCell ref="C1:E1"/>
    <mergeCell ref="A3:B3"/>
    <mergeCell ref="C3:X3"/>
    <mergeCell ref="A4:B4"/>
    <mergeCell ref="C4:X4"/>
    <mergeCell ref="A6:B6"/>
    <mergeCell ref="C6:X6"/>
    <mergeCell ref="C9:N9"/>
    <mergeCell ref="Q9:W9"/>
    <mergeCell ref="C11:C12"/>
    <mergeCell ref="D11:D12"/>
    <mergeCell ref="F11:G11"/>
    <mergeCell ref="I11:N11"/>
  </mergeCells>
  <hyperlinks>
    <hyperlink ref="A1" location="'ODS 10.'!A1" display="REGRESAR" xr:uid="{D2D8AE6C-21BE-4EA4-A24B-495D28916BD5}"/>
    <hyperlink ref="C1:D1" location="'Metadato 10.1.1'!A1" display="VER METADATO" xr:uid="{0E133F97-E823-4E4A-BB00-F8388AB2DEBA}"/>
  </hyperlinks>
  <pageMargins left="0.7" right="0.7" top="0.75" bottom="0.75" header="0.3" footer="0.3"/>
  <pageSetup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C873-1D13-45F6-B457-2D2E8A3CC31D}">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10" style="115" customWidth="1"/>
    <col min="2" max="2" width="26.42578125" style="115" customWidth="1"/>
    <col min="3" max="3" width="24" style="115" customWidth="1"/>
    <col min="4" max="4" width="85.7109375" style="115" customWidth="1"/>
    <col min="5" max="5" width="7.42578125" style="115" customWidth="1"/>
    <col min="6" max="6" width="7.28515625" style="115" customWidth="1"/>
    <col min="7" max="7" width="7.7109375" style="115" customWidth="1"/>
    <col min="8" max="8" width="8.7109375" style="115" customWidth="1"/>
    <col min="9" max="9" width="9" style="115" customWidth="1"/>
    <col min="10" max="10" width="7.28515625" style="115" customWidth="1"/>
    <col min="11" max="11" width="7.5703125" style="115" customWidth="1"/>
    <col min="12" max="12" width="7" style="115" customWidth="1"/>
    <col min="13" max="16384" width="11.42578125" style="115"/>
  </cols>
  <sheetData>
    <row r="1" spans="1:6" x14ac:dyDescent="0.4">
      <c r="B1" s="90" t="s">
        <v>39</v>
      </c>
    </row>
    <row r="2" spans="1:6" ht="19.5" thickBot="1" x14ac:dyDescent="0.45"/>
    <row r="3" spans="1:6" ht="23.25" customHeight="1" thickBot="1" x14ac:dyDescent="0.45">
      <c r="B3" s="3230" t="s">
        <v>75</v>
      </c>
      <c r="C3" s="3230"/>
      <c r="D3" s="3230"/>
      <c r="F3" s="1046" t="s">
        <v>265</v>
      </c>
    </row>
    <row r="4" spans="1:6" x14ac:dyDescent="0.4">
      <c r="A4" s="283"/>
      <c r="B4" s="2445" t="s">
        <v>234</v>
      </c>
      <c r="C4" s="2445"/>
      <c r="D4" s="49" t="s">
        <v>5625</v>
      </c>
    </row>
    <row r="5" spans="1:6" ht="18.75" customHeight="1" x14ac:dyDescent="0.4">
      <c r="B5" s="2445" t="s">
        <v>79</v>
      </c>
      <c r="C5" s="2445"/>
      <c r="D5" s="49" t="s">
        <v>5586</v>
      </c>
    </row>
    <row r="6" spans="1:6" x14ac:dyDescent="0.4">
      <c r="B6" s="2445" t="s">
        <v>80</v>
      </c>
      <c r="C6" s="2445"/>
      <c r="D6" s="50" t="s">
        <v>5587</v>
      </c>
    </row>
    <row r="7" spans="1:6" ht="37.5" x14ac:dyDescent="0.4">
      <c r="B7" s="2446" t="s">
        <v>81</v>
      </c>
      <c r="C7" s="2446"/>
      <c r="D7" s="93" t="s">
        <v>5588</v>
      </c>
    </row>
    <row r="8" spans="1:6" x14ac:dyDescent="0.4">
      <c r="B8" s="2446" t="s">
        <v>82</v>
      </c>
      <c r="C8" s="2446"/>
      <c r="D8" s="1047" t="s">
        <v>5626</v>
      </c>
    </row>
    <row r="10" spans="1:6" ht="23.25" customHeight="1" x14ac:dyDescent="0.4">
      <c r="B10" s="3230" t="s">
        <v>85</v>
      </c>
      <c r="C10" s="3230"/>
      <c r="D10" s="3230"/>
    </row>
    <row r="11" spans="1:6" ht="15.75" customHeight="1" x14ac:dyDescent="0.4">
      <c r="B11" s="2487" t="s">
        <v>86</v>
      </c>
      <c r="C11" s="2456"/>
      <c r="D11" s="49" t="s">
        <v>167</v>
      </c>
    </row>
    <row r="12" spans="1:6" ht="32.25" customHeight="1" x14ac:dyDescent="0.4">
      <c r="B12" s="2446" t="s">
        <v>88</v>
      </c>
      <c r="C12" s="2446"/>
      <c r="D12" s="184" t="s">
        <v>5627</v>
      </c>
    </row>
    <row r="13" spans="1:6" x14ac:dyDescent="0.4">
      <c r="B13" s="2445" t="s">
        <v>90</v>
      </c>
      <c r="C13" s="2445"/>
      <c r="D13" s="55" t="s">
        <v>5587</v>
      </c>
    </row>
    <row r="14" spans="1:6" x14ac:dyDescent="0.4">
      <c r="B14" s="2445" t="s">
        <v>91</v>
      </c>
      <c r="C14" s="2456"/>
      <c r="D14" s="54" t="s">
        <v>214</v>
      </c>
    </row>
    <row r="15" spans="1:6" ht="139.5" customHeight="1" x14ac:dyDescent="0.4">
      <c r="B15" s="2445" t="s">
        <v>93</v>
      </c>
      <c r="C15" s="2445"/>
      <c r="D15" s="55" t="s">
        <v>5628</v>
      </c>
    </row>
    <row r="16" spans="1:6" ht="46.5" customHeight="1" x14ac:dyDescent="0.4">
      <c r="B16" s="2445" t="s">
        <v>95</v>
      </c>
      <c r="C16" s="2445"/>
      <c r="D16" s="55"/>
    </row>
    <row r="17" spans="2:4" ht="15" customHeight="1" x14ac:dyDescent="0.4">
      <c r="B17" s="2445" t="s">
        <v>97</v>
      </c>
      <c r="C17" s="2445"/>
      <c r="D17" s="55" t="s">
        <v>98</v>
      </c>
    </row>
    <row r="18" spans="2:4" x14ac:dyDescent="0.4">
      <c r="B18" s="2446" t="s">
        <v>99</v>
      </c>
      <c r="C18" s="2446"/>
      <c r="D18" s="49"/>
    </row>
    <row r="19" spans="2:4" ht="33" customHeight="1" x14ac:dyDescent="0.4">
      <c r="B19" s="2457" t="s">
        <v>100</v>
      </c>
      <c r="C19" s="2458"/>
      <c r="D19" s="55" t="s">
        <v>5629</v>
      </c>
    </row>
    <row r="20" spans="2:4" x14ac:dyDescent="0.4">
      <c r="B20" s="2445" t="s">
        <v>102</v>
      </c>
      <c r="C20" s="2445"/>
      <c r="D20" s="55" t="s">
        <v>1521</v>
      </c>
    </row>
    <row r="21" spans="2:4" x14ac:dyDescent="0.4">
      <c r="B21" s="2451" t="s">
        <v>104</v>
      </c>
      <c r="C21" s="95" t="s">
        <v>105</v>
      </c>
      <c r="D21" s="55" t="s">
        <v>5630</v>
      </c>
    </row>
    <row r="22" spans="2:4" x14ac:dyDescent="0.4">
      <c r="B22" s="2452"/>
      <c r="C22" s="96" t="s">
        <v>107</v>
      </c>
      <c r="D22" s="55"/>
    </row>
    <row r="23" spans="2:4" ht="16.5" customHeight="1" x14ac:dyDescent="0.4">
      <c r="B23" s="2445" t="s">
        <v>109</v>
      </c>
      <c r="C23" s="2445"/>
      <c r="D23" s="55" t="s">
        <v>143</v>
      </c>
    </row>
    <row r="24" spans="2:4" x14ac:dyDescent="0.4">
      <c r="B24" s="2445" t="s">
        <v>111</v>
      </c>
      <c r="C24" s="2445"/>
      <c r="D24" s="50" t="s">
        <v>127</v>
      </c>
    </row>
    <row r="25" spans="2:4" x14ac:dyDescent="0.4">
      <c r="B25" s="2445" t="s">
        <v>113</v>
      </c>
      <c r="C25" s="2445"/>
      <c r="D25" s="55" t="s">
        <v>144</v>
      </c>
    </row>
    <row r="26" spans="2:4" ht="15" customHeight="1" x14ac:dyDescent="0.4">
      <c r="B26" s="2446" t="s">
        <v>115</v>
      </c>
      <c r="C26" s="2446"/>
      <c r="D26" s="50" t="s">
        <v>5631</v>
      </c>
    </row>
    <row r="27" spans="2:4" x14ac:dyDescent="0.4">
      <c r="B27" s="2447" t="s">
        <v>117</v>
      </c>
      <c r="C27" s="2448"/>
      <c r="D27" s="49"/>
    </row>
    <row r="28" spans="2:4" ht="112.5" x14ac:dyDescent="0.4">
      <c r="B28" s="97" t="s">
        <v>118</v>
      </c>
      <c r="C28" s="98"/>
      <c r="D28" s="55" t="s">
        <v>5632</v>
      </c>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0" t="s">
        <v>123</v>
      </c>
    </row>
    <row r="33" spans="2:4" x14ac:dyDescent="0.4">
      <c r="B33" s="2447" t="s">
        <v>124</v>
      </c>
      <c r="C33" s="2448"/>
      <c r="D33" s="50" t="s">
        <v>1790</v>
      </c>
    </row>
    <row r="34" spans="2:4" x14ac:dyDescent="0.4">
      <c r="B34" s="2447" t="s">
        <v>126</v>
      </c>
      <c r="C34" s="2448"/>
      <c r="D34" s="50" t="s">
        <v>127</v>
      </c>
    </row>
    <row r="35" spans="2:4" x14ac:dyDescent="0.4">
      <c r="B35" s="2447" t="s">
        <v>128</v>
      </c>
      <c r="C35" s="2448"/>
      <c r="D35" s="50" t="s">
        <v>1791</v>
      </c>
    </row>
    <row r="36" spans="2:4" x14ac:dyDescent="0.4">
      <c r="B36" s="2447" t="s">
        <v>130</v>
      </c>
      <c r="C36" s="2448"/>
      <c r="D36" s="50"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7A6E716E-7DE8-4FCB-8E50-964A4E25D8CE}">
      <formula1>ODS</formula1>
    </dataValidation>
    <dataValidation type="list" allowBlank="1" showInputMessage="1" showErrorMessage="1" sqref="D5" xr:uid="{43E6D694-B9D8-4433-84BE-DA50E47C5774}">
      <formula1>Metas_ODS</formula1>
    </dataValidation>
    <dataValidation type="list" allowBlank="1" showInputMessage="1" showErrorMessage="1" sqref="D6" xr:uid="{2ED9A202-5FD2-407B-A442-139BFF63C50C}">
      <formula1>Numero_indicador</formula1>
    </dataValidation>
    <dataValidation type="list" allowBlank="1" showInputMessage="1" showErrorMessage="1" sqref="D7" xr:uid="{53E25422-3671-4AC3-9ED6-89C76E79B21E}">
      <formula1>Nombre_indicador_ODS</formula1>
    </dataValidation>
    <dataValidation type="list" allowBlank="1" showInputMessage="1" showErrorMessage="1" sqref="D14" xr:uid="{D6FD65D4-22E0-46D9-9F62-D97D063E9D83}">
      <formula1>Tipo_indicador</formula1>
    </dataValidation>
    <dataValidation type="list" allowBlank="1" showInputMessage="1" showErrorMessage="1" sqref="D25" xr:uid="{C57DC824-2173-4669-8505-D4C85AA2E09C}">
      <formula1>Tipo_operación</formula1>
    </dataValidation>
  </dataValidations>
  <hyperlinks>
    <hyperlink ref="B1" location="'10.1.1'!A1" display="REGRESAR" xr:uid="{C70AEAE9-20CF-4388-8CF2-89F9EF600338}"/>
    <hyperlink ref="D8" r:id="rId1" xr:uid="{E5C04B89-DD93-455D-8EF3-C28894AC5478}"/>
  </hyperlinks>
  <pageMargins left="0.7" right="0.7" top="0.75" bottom="0.75" header="0.3" footer="0.3"/>
  <pageSetup orientation="portrait" r:id="rId2"/>
  <drawing r:id="rId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46BB-4A10-476B-88E8-6F0D240A42C7}">
  <dimension ref="A1:Z46"/>
  <sheetViews>
    <sheetView showGridLines="0" topLeftCell="Q1" workbookViewId="0">
      <pane ySplit="1" topLeftCell="A2" activePane="bottomLeft" state="frozen"/>
      <selection sqref="A1:B1"/>
      <selection pane="bottomLeft" activeCell="V10" sqref="V10:W11"/>
    </sheetView>
  </sheetViews>
  <sheetFormatPr baseColWidth="10" defaultColWidth="11.42578125" defaultRowHeight="18.75" x14ac:dyDescent="0.4"/>
  <cols>
    <col min="1" max="1" width="15.7109375" style="115" customWidth="1"/>
    <col min="2" max="2" width="17.28515625" style="115" customWidth="1"/>
    <col min="3" max="3" width="7.7109375" style="115" customWidth="1"/>
    <col min="4" max="4" width="6.140625" style="115" customWidth="1"/>
    <col min="5" max="5" width="1.7109375" style="115" customWidth="1"/>
    <col min="6" max="6" width="8.7109375" style="115" customWidth="1"/>
    <col min="7" max="7" width="7.7109375" style="115" customWidth="1"/>
    <col min="8" max="8" width="2.28515625" style="115" customWidth="1"/>
    <col min="9" max="9" width="9.5703125" style="115" customWidth="1"/>
    <col min="10" max="10" width="6.7109375" style="115" customWidth="1"/>
    <col min="11" max="11" width="2.28515625" style="115" customWidth="1"/>
    <col min="12" max="12" width="8.5703125" style="115" customWidth="1"/>
    <col min="13" max="13" width="12.85546875" style="115" customWidth="1"/>
    <col min="14" max="14" width="12.7109375" style="115" customWidth="1"/>
    <col min="15" max="15" width="9.42578125" style="115" customWidth="1"/>
    <col min="16" max="16" width="11.28515625" style="115" customWidth="1"/>
    <col min="17" max="17" width="9" style="115" customWidth="1"/>
    <col min="18" max="18" width="2" style="115" customWidth="1"/>
    <col min="19" max="19" width="14.42578125" style="115" customWidth="1"/>
    <col min="20" max="21" width="4.7109375" style="115" customWidth="1"/>
    <col min="22" max="16384" width="11.42578125" style="115"/>
  </cols>
  <sheetData>
    <row r="1" spans="1:26" s="1032" customFormat="1" ht="19.5" x14ac:dyDescent="0.4">
      <c r="A1" s="15" t="s">
        <v>39</v>
      </c>
      <c r="C1" s="2421" t="s">
        <v>149</v>
      </c>
      <c r="D1" s="2421"/>
      <c r="E1" s="2421"/>
      <c r="F1" s="2421"/>
    </row>
    <row r="2" spans="1:26" s="1032" customFormat="1" ht="19.5" x14ac:dyDescent="0.4"/>
    <row r="3" spans="1:26" s="1032" customFormat="1" ht="19.5" x14ac:dyDescent="0.4">
      <c r="A3" s="3223" t="s">
        <v>41</v>
      </c>
      <c r="B3" s="3223"/>
      <c r="C3" s="3223" t="s">
        <v>5585</v>
      </c>
      <c r="D3" s="3224"/>
      <c r="E3" s="3224"/>
      <c r="F3" s="3224"/>
      <c r="G3" s="3224"/>
      <c r="H3" s="3224"/>
      <c r="I3" s="3224"/>
      <c r="J3" s="3224"/>
      <c r="K3" s="3224"/>
      <c r="L3" s="3224"/>
      <c r="M3" s="3224"/>
      <c r="N3" s="3224"/>
      <c r="O3" s="3224"/>
      <c r="P3" s="3224"/>
      <c r="Q3" s="3224"/>
      <c r="R3" s="3224"/>
      <c r="S3" s="3224"/>
      <c r="T3" s="3224"/>
      <c r="U3" s="3224"/>
      <c r="V3" s="3224"/>
      <c r="W3" s="3224"/>
      <c r="X3" s="3224"/>
      <c r="Y3" s="3235"/>
      <c r="Z3" s="3235"/>
    </row>
    <row r="4" spans="1:26" s="1032" customFormat="1" ht="32.450000000000003" customHeight="1" x14ac:dyDescent="0.4">
      <c r="A4" s="3223" t="s">
        <v>42</v>
      </c>
      <c r="B4" s="3224"/>
      <c r="C4" s="3237" t="s">
        <v>5589</v>
      </c>
      <c r="D4" s="3238"/>
      <c r="E4" s="3238"/>
      <c r="F4" s="3238"/>
      <c r="G4" s="3238"/>
      <c r="H4" s="3238"/>
      <c r="I4" s="3238"/>
      <c r="J4" s="3238"/>
      <c r="K4" s="3238"/>
      <c r="L4" s="3238"/>
      <c r="M4" s="3238"/>
      <c r="N4" s="3238"/>
      <c r="O4" s="3238"/>
      <c r="P4" s="3238"/>
      <c r="Q4" s="3238"/>
      <c r="R4" s="3238"/>
      <c r="S4" s="3238"/>
      <c r="T4" s="3238"/>
      <c r="U4" s="3238"/>
      <c r="V4" s="3238"/>
      <c r="W4" s="3238"/>
      <c r="X4" s="3238"/>
      <c r="Y4" s="3235"/>
      <c r="Z4" s="3236"/>
    </row>
    <row r="5" spans="1:26" s="1032" customFormat="1" ht="19.5" x14ac:dyDescent="0.4">
      <c r="A5" s="3223" t="s">
        <v>43</v>
      </c>
      <c r="B5" s="3224"/>
      <c r="C5" s="3223" t="s">
        <v>5591</v>
      </c>
      <c r="D5" s="3224"/>
      <c r="E5" s="3224"/>
      <c r="F5" s="3224"/>
      <c r="G5" s="3224"/>
      <c r="H5" s="3224"/>
      <c r="I5" s="3224"/>
      <c r="J5" s="3224"/>
      <c r="K5" s="3224"/>
      <c r="L5" s="3224"/>
      <c r="M5" s="3224"/>
      <c r="N5" s="3224"/>
      <c r="O5" s="3224"/>
      <c r="P5" s="3224"/>
      <c r="Q5" s="3224"/>
      <c r="R5" s="3224"/>
      <c r="S5" s="3224"/>
      <c r="T5" s="3224"/>
      <c r="U5" s="3224"/>
      <c r="V5" s="3224"/>
      <c r="W5" s="3224"/>
      <c r="X5" s="3224"/>
      <c r="Y5" s="3235"/>
      <c r="Z5" s="3236"/>
    </row>
    <row r="6" spans="1:26" s="1032" customFormat="1" ht="19.5" x14ac:dyDescent="0.4">
      <c r="A6" s="3223" t="s">
        <v>132</v>
      </c>
      <c r="B6" s="3224"/>
      <c r="C6" s="3223" t="s">
        <v>5633</v>
      </c>
      <c r="D6" s="3224"/>
      <c r="E6" s="3224"/>
      <c r="F6" s="3224"/>
      <c r="G6" s="3224"/>
      <c r="H6" s="3224"/>
      <c r="I6" s="3224"/>
      <c r="J6" s="3224"/>
      <c r="K6" s="3224"/>
      <c r="L6" s="3224"/>
      <c r="M6" s="3224"/>
      <c r="N6" s="3224"/>
      <c r="O6" s="3224"/>
      <c r="P6" s="3224"/>
      <c r="Q6" s="3224"/>
      <c r="R6" s="3224"/>
      <c r="S6" s="3224"/>
      <c r="T6" s="3224"/>
      <c r="U6" s="3224"/>
      <c r="V6" s="3224"/>
      <c r="W6" s="3224"/>
      <c r="X6" s="3224"/>
      <c r="Y6" s="3235"/>
      <c r="Z6" s="3236"/>
    </row>
    <row r="7" spans="1:26" s="1032" customFormat="1" ht="19.5" x14ac:dyDescent="0.4"/>
    <row r="8" spans="1:26" s="1032" customFormat="1" ht="19.5" x14ac:dyDescent="0.4"/>
    <row r="9" spans="1:26" s="1032" customFormat="1" ht="36.6" customHeight="1" x14ac:dyDescent="0.4">
      <c r="C9" s="2438" t="s">
        <v>5634</v>
      </c>
      <c r="D9" s="2438"/>
      <c r="E9" s="2438"/>
      <c r="F9" s="2438"/>
      <c r="G9" s="2438"/>
      <c r="H9" s="2438"/>
      <c r="I9" s="2438"/>
      <c r="J9" s="2438"/>
      <c r="K9" s="2438"/>
      <c r="L9" s="2438"/>
      <c r="M9" s="2438"/>
      <c r="N9" s="2438"/>
      <c r="O9" s="2438"/>
      <c r="P9" s="2438"/>
      <c r="Q9" s="2438"/>
      <c r="R9" s="2438"/>
      <c r="S9" s="2438"/>
    </row>
    <row r="10" spans="1:26" ht="19.899999999999999" customHeight="1" x14ac:dyDescent="0.4">
      <c r="C10" s="3231" t="s">
        <v>247</v>
      </c>
      <c r="D10" s="3233" t="s">
        <v>47</v>
      </c>
      <c r="E10" s="1616"/>
      <c r="F10" s="3229" t="s">
        <v>48</v>
      </c>
      <c r="G10" s="3229"/>
      <c r="H10" s="1616"/>
      <c r="I10" s="3229" t="s">
        <v>49</v>
      </c>
      <c r="J10" s="3229"/>
      <c r="K10" s="1616"/>
      <c r="L10" s="3229" t="s">
        <v>50</v>
      </c>
      <c r="M10" s="3229"/>
      <c r="N10" s="3229"/>
      <c r="O10" s="3229"/>
      <c r="P10" s="3229"/>
      <c r="Q10" s="3229"/>
      <c r="R10" s="1616"/>
      <c r="S10" s="3233" t="s">
        <v>5635</v>
      </c>
      <c r="V10" s="2562" t="s">
        <v>5636</v>
      </c>
      <c r="W10" s="2562"/>
    </row>
    <row r="11" spans="1:26" s="155" customFormat="1" ht="33.6" customHeight="1" x14ac:dyDescent="0.25">
      <c r="C11" s="3232"/>
      <c r="D11" s="3234"/>
      <c r="E11" s="1608"/>
      <c r="F11" s="1608" t="s">
        <v>53</v>
      </c>
      <c r="G11" s="1608" t="s">
        <v>54</v>
      </c>
      <c r="H11" s="1608"/>
      <c r="I11" s="1608" t="s">
        <v>55</v>
      </c>
      <c r="J11" s="1608" t="s">
        <v>56</v>
      </c>
      <c r="K11" s="1608"/>
      <c r="L11" s="1608" t="s">
        <v>57</v>
      </c>
      <c r="M11" s="1608" t="s">
        <v>58</v>
      </c>
      <c r="N11" s="1608" t="s">
        <v>59</v>
      </c>
      <c r="O11" s="1608" t="s">
        <v>60</v>
      </c>
      <c r="P11" s="1609" t="s">
        <v>61</v>
      </c>
      <c r="Q11" s="1609" t="s">
        <v>62</v>
      </c>
      <c r="R11" s="1609"/>
      <c r="S11" s="3234"/>
      <c r="V11" s="2562"/>
      <c r="W11" s="2562"/>
    </row>
    <row r="12" spans="1:26" x14ac:dyDescent="0.4">
      <c r="C12" s="536">
        <v>2010</v>
      </c>
      <c r="D12" s="416">
        <v>20.774437021988078</v>
      </c>
      <c r="E12" s="416"/>
      <c r="F12" s="416">
        <v>20.982137388718787</v>
      </c>
      <c r="G12" s="416">
        <v>20.71445792469239</v>
      </c>
      <c r="H12" s="416"/>
      <c r="I12" s="416">
        <v>19.562537872946056</v>
      </c>
      <c r="J12" s="416">
        <v>20.147764274620958</v>
      </c>
      <c r="K12" s="416"/>
      <c r="L12" s="416">
        <v>18.610608683501656</v>
      </c>
      <c r="M12" s="416">
        <v>20.999934849947586</v>
      </c>
      <c r="N12" s="416">
        <v>17.514445686944526</v>
      </c>
      <c r="O12" s="416">
        <v>23.633073874852954</v>
      </c>
      <c r="P12" s="416">
        <v>17.149428237233426</v>
      </c>
      <c r="Q12" s="416">
        <v>21.619980022280629</v>
      </c>
      <c r="R12" s="416"/>
      <c r="S12" s="416">
        <v>20.181522943080513</v>
      </c>
    </row>
    <row r="13" spans="1:26" x14ac:dyDescent="0.4">
      <c r="C13" s="536">
        <v>2011</v>
      </c>
      <c r="D13" s="416">
        <v>22.029241236929735</v>
      </c>
      <c r="E13" s="416"/>
      <c r="F13" s="416">
        <v>22.167749586052182</v>
      </c>
      <c r="G13" s="416">
        <v>22.158063801837233</v>
      </c>
      <c r="H13" s="416"/>
      <c r="I13" s="416">
        <v>22.541782612766838</v>
      </c>
      <c r="J13" s="416">
        <v>19.694352670488595</v>
      </c>
      <c r="K13" s="416"/>
      <c r="L13" s="416">
        <v>22.291698093178912</v>
      </c>
      <c r="M13" s="416">
        <v>22.753529979244014</v>
      </c>
      <c r="N13" s="416">
        <v>21.069515027479476</v>
      </c>
      <c r="O13" s="416">
        <v>22.798008181917844</v>
      </c>
      <c r="P13" s="416">
        <v>20.836550836550838</v>
      </c>
      <c r="Q13" s="416">
        <v>21.640281690140846</v>
      </c>
      <c r="R13" s="416"/>
      <c r="S13" s="416">
        <v>20.368976452134557</v>
      </c>
    </row>
    <row r="14" spans="1:26" x14ac:dyDescent="0.4">
      <c r="C14" s="536">
        <v>2012</v>
      </c>
      <c r="D14" s="416">
        <v>22.539540691569464</v>
      </c>
      <c r="E14" s="416"/>
      <c r="F14" s="416">
        <v>22.871416217419455</v>
      </c>
      <c r="G14" s="416">
        <v>22.529312105575734</v>
      </c>
      <c r="H14" s="416"/>
      <c r="I14" s="416">
        <v>21.638749989262244</v>
      </c>
      <c r="J14" s="416">
        <v>19.796955918892976</v>
      </c>
      <c r="K14" s="416"/>
      <c r="L14" s="416">
        <v>20.883096096764234</v>
      </c>
      <c r="M14" s="416">
        <v>22.084131664391187</v>
      </c>
      <c r="N14" s="416">
        <v>22.928032425075294</v>
      </c>
      <c r="O14" s="416">
        <v>21.894576798207506</v>
      </c>
      <c r="P14" s="416">
        <v>20.917475261792678</v>
      </c>
      <c r="Q14" s="416">
        <v>21.942044367789403</v>
      </c>
      <c r="R14" s="416"/>
      <c r="S14" s="416">
        <v>19.729765920959988</v>
      </c>
    </row>
    <row r="15" spans="1:26" x14ac:dyDescent="0.4">
      <c r="C15" s="536">
        <v>2013</v>
      </c>
      <c r="D15" s="416">
        <v>21.603337055206556</v>
      </c>
      <c r="E15" s="416"/>
      <c r="F15" s="416">
        <v>21.950912905328515</v>
      </c>
      <c r="G15" s="416">
        <v>21.182668583409193</v>
      </c>
      <c r="H15" s="416"/>
      <c r="I15" s="416">
        <v>21.286261611876803</v>
      </c>
      <c r="J15" s="416">
        <v>20.4828790832088</v>
      </c>
      <c r="K15" s="416"/>
      <c r="L15" s="416">
        <v>20.248319441030695</v>
      </c>
      <c r="M15" s="416">
        <v>22.213993979564435</v>
      </c>
      <c r="N15" s="416">
        <v>21.664403577648553</v>
      </c>
      <c r="O15" s="416">
        <v>23.39188913334392</v>
      </c>
      <c r="P15" s="416">
        <v>20.999590738870108</v>
      </c>
      <c r="Q15" s="416">
        <v>21.409882067422547</v>
      </c>
      <c r="R15" s="416"/>
      <c r="S15" s="416">
        <v>21.283667329125937</v>
      </c>
    </row>
    <row r="16" spans="1:26" x14ac:dyDescent="0.4">
      <c r="C16" s="536">
        <v>2014</v>
      </c>
      <c r="D16" s="416">
        <v>22.717237384883511</v>
      </c>
      <c r="E16" s="416"/>
      <c r="F16" s="416">
        <v>22.655419054337969</v>
      </c>
      <c r="G16" s="416">
        <v>22.877296205837148</v>
      </c>
      <c r="H16" s="416"/>
      <c r="I16" s="416">
        <v>22.168288764536239</v>
      </c>
      <c r="J16" s="416">
        <v>20.3360387714586</v>
      </c>
      <c r="K16" s="416"/>
      <c r="L16" s="416">
        <v>22.595522642691403</v>
      </c>
      <c r="M16" s="416">
        <v>22.120494679962118</v>
      </c>
      <c r="N16" s="416">
        <v>22.176036013141893</v>
      </c>
      <c r="O16" s="416">
        <v>21.026341857652383</v>
      </c>
      <c r="P16" s="416">
        <v>20.33398201599357</v>
      </c>
      <c r="Q16" s="416">
        <v>20.135761009692668</v>
      </c>
      <c r="R16" s="416"/>
      <c r="S16" s="416">
        <v>20.537023530766575</v>
      </c>
    </row>
    <row r="17" spans="3:19" x14ac:dyDescent="0.4">
      <c r="C17" s="536">
        <v>2015</v>
      </c>
      <c r="D17" s="416">
        <v>21.66693098576512</v>
      </c>
      <c r="E17" s="416"/>
      <c r="F17" s="416">
        <v>21.44239354099529</v>
      </c>
      <c r="G17" s="416">
        <v>21.73528501483236</v>
      </c>
      <c r="H17" s="416"/>
      <c r="I17" s="416">
        <v>21.298388139520082</v>
      </c>
      <c r="J17" s="416">
        <v>20.908344492852855</v>
      </c>
      <c r="K17" s="416"/>
      <c r="L17" s="416">
        <v>20.838890564063778</v>
      </c>
      <c r="M17" s="416">
        <v>24.169851658656345</v>
      </c>
      <c r="N17" s="416">
        <v>20.743732879036262</v>
      </c>
      <c r="O17" s="416">
        <v>24.192775114282526</v>
      </c>
      <c r="P17" s="416">
        <v>20.570177361337674</v>
      </c>
      <c r="Q17" s="416">
        <v>21.617199490154253</v>
      </c>
      <c r="R17" s="416"/>
      <c r="S17" s="416">
        <v>19.950619674670797</v>
      </c>
    </row>
    <row r="18" spans="3:19" x14ac:dyDescent="0.4">
      <c r="C18" s="536">
        <v>2016</v>
      </c>
      <c r="D18" s="416">
        <v>22.094468480269612</v>
      </c>
      <c r="E18" s="416"/>
      <c r="F18" s="416">
        <v>22.125003797045391</v>
      </c>
      <c r="G18" s="416">
        <v>22.110228157668395</v>
      </c>
      <c r="H18" s="416"/>
      <c r="I18" s="416">
        <v>21.857775406473941</v>
      </c>
      <c r="J18" s="416">
        <v>21.175418107772238</v>
      </c>
      <c r="K18" s="416"/>
      <c r="L18" s="416">
        <v>21.623971056178412</v>
      </c>
      <c r="M18" s="416">
        <v>23.550293623369019</v>
      </c>
      <c r="N18" s="416">
        <v>21.054669487378955</v>
      </c>
      <c r="O18" s="416">
        <v>20.507050372472506</v>
      </c>
      <c r="P18" s="416">
        <v>20.673636630814411</v>
      </c>
      <c r="Q18" s="416">
        <v>21.074708662544445</v>
      </c>
      <c r="R18" s="416"/>
      <c r="S18" s="416">
        <v>20.272749417657536</v>
      </c>
    </row>
    <row r="19" spans="3:19" x14ac:dyDescent="0.4">
      <c r="C19" s="536">
        <v>2017</v>
      </c>
      <c r="D19" s="416">
        <v>21.603293221146473</v>
      </c>
      <c r="E19" s="416"/>
      <c r="F19" s="416">
        <v>21.536086677928584</v>
      </c>
      <c r="G19" s="416">
        <v>21.635261319692198</v>
      </c>
      <c r="H19" s="416"/>
      <c r="I19" s="416">
        <v>21.801380883316309</v>
      </c>
      <c r="J19" s="416">
        <v>20.576377647930599</v>
      </c>
      <c r="K19" s="416"/>
      <c r="L19" s="416">
        <v>21.330565322731552</v>
      </c>
      <c r="M19" s="416">
        <v>20.798972968815068</v>
      </c>
      <c r="N19" s="416">
        <v>18.491489236540051</v>
      </c>
      <c r="O19" s="416">
        <v>21.726321464724265</v>
      </c>
      <c r="P19" s="416">
        <v>19.826989853286133</v>
      </c>
      <c r="Q19" s="416">
        <v>21.227162874566424</v>
      </c>
      <c r="R19" s="416"/>
      <c r="S19" s="416">
        <v>19.63644547547738</v>
      </c>
    </row>
    <row r="20" spans="3:19" x14ac:dyDescent="0.4">
      <c r="C20" s="536">
        <v>2018</v>
      </c>
      <c r="D20" s="416">
        <v>22.193780585473817</v>
      </c>
      <c r="E20" s="416"/>
      <c r="F20" s="416">
        <v>22.131890216767996</v>
      </c>
      <c r="G20" s="416">
        <v>22.047127899622883</v>
      </c>
      <c r="H20" s="416"/>
      <c r="I20" s="416">
        <v>22.093381513200416</v>
      </c>
      <c r="J20" s="416">
        <v>19.78979259185822</v>
      </c>
      <c r="K20" s="416"/>
      <c r="L20" s="416">
        <v>22.086713415210141</v>
      </c>
      <c r="M20" s="416">
        <v>21.592372157644167</v>
      </c>
      <c r="N20" s="416">
        <v>18.26446788477546</v>
      </c>
      <c r="O20" s="416">
        <v>22.328192659171936</v>
      </c>
      <c r="P20" s="416">
        <v>22.103705283929546</v>
      </c>
      <c r="Q20" s="416">
        <v>19.553464722093388</v>
      </c>
      <c r="R20" s="416"/>
      <c r="S20" s="416">
        <v>21.481101606145302</v>
      </c>
    </row>
    <row r="21" spans="3:19" x14ac:dyDescent="0.4">
      <c r="C21" s="536">
        <v>2019</v>
      </c>
      <c r="D21" s="416">
        <v>21.4788035934093</v>
      </c>
      <c r="E21" s="416"/>
      <c r="F21" s="416">
        <v>21.442683915793374</v>
      </c>
      <c r="G21" s="416">
        <v>21.668076662769948</v>
      </c>
      <c r="H21" s="416"/>
      <c r="I21" s="416">
        <v>22.505255550727366</v>
      </c>
      <c r="J21" s="416">
        <v>19.865416562299362</v>
      </c>
      <c r="K21" s="416"/>
      <c r="L21" s="416">
        <v>22.48633761797149</v>
      </c>
      <c r="M21" s="416">
        <v>17.953349118951245</v>
      </c>
      <c r="N21" s="416">
        <v>22.245525961670758</v>
      </c>
      <c r="O21" s="416">
        <v>22.961759824864941</v>
      </c>
      <c r="P21" s="416">
        <v>21.921062636944828</v>
      </c>
      <c r="Q21" s="416">
        <v>22.389062876415323</v>
      </c>
      <c r="R21" s="416"/>
      <c r="S21" s="416">
        <v>20.107882035641072</v>
      </c>
    </row>
    <row r="22" spans="3:19" x14ac:dyDescent="0.4">
      <c r="C22" s="536">
        <v>2020</v>
      </c>
      <c r="D22" s="416">
        <v>21.463999482810301</v>
      </c>
      <c r="E22" s="416"/>
      <c r="F22" s="416">
        <v>21.389941981192401</v>
      </c>
      <c r="G22" s="416">
        <v>21.278559054257489</v>
      </c>
      <c r="H22" s="416"/>
      <c r="I22" s="416">
        <v>22.888929245693486</v>
      </c>
      <c r="J22" s="416">
        <v>19.740504093480627</v>
      </c>
      <c r="K22" s="416"/>
      <c r="L22" s="416">
        <v>23.184161786053963</v>
      </c>
      <c r="M22" s="416">
        <v>20.895799194644514</v>
      </c>
      <c r="N22" s="416">
        <v>22.780803087578313</v>
      </c>
      <c r="O22" s="416">
        <v>16.426615782546062</v>
      </c>
      <c r="P22" s="416">
        <v>23.186773279519503</v>
      </c>
      <c r="Q22" s="416">
        <v>21.584697511426398</v>
      </c>
      <c r="R22" s="416"/>
      <c r="S22" s="416">
        <v>17.252877796994259</v>
      </c>
    </row>
    <row r="23" spans="3:19" x14ac:dyDescent="0.4">
      <c r="C23" s="536">
        <v>2021</v>
      </c>
      <c r="D23" s="416">
        <v>22.355681791948051</v>
      </c>
      <c r="E23" s="416"/>
      <c r="F23" s="416">
        <v>22.367565873056485</v>
      </c>
      <c r="G23" s="416">
        <v>22.091591150059749</v>
      </c>
      <c r="H23" s="416"/>
      <c r="I23" s="416">
        <v>23.189609930597207</v>
      </c>
      <c r="J23" s="416">
        <v>20.234608442495439</v>
      </c>
      <c r="K23" s="416"/>
      <c r="L23" s="416">
        <v>23.016212140253863</v>
      </c>
      <c r="M23" s="416">
        <v>20.948506701868908</v>
      </c>
      <c r="N23" s="416">
        <v>21.783129234866813</v>
      </c>
      <c r="O23" s="416">
        <v>20.295946087841493</v>
      </c>
      <c r="P23" s="416">
        <v>23.931815054355305</v>
      </c>
      <c r="Q23" s="416">
        <v>21.258297285202865</v>
      </c>
      <c r="R23" s="416"/>
      <c r="S23" s="416">
        <v>19.981737939430833</v>
      </c>
    </row>
    <row r="24" spans="3:19" x14ac:dyDescent="0.4">
      <c r="C24" s="536">
        <v>2022</v>
      </c>
      <c r="D24" s="416">
        <v>22.414935378425369</v>
      </c>
      <c r="E24" s="416"/>
      <c r="F24" s="416">
        <v>22.189344709060155</v>
      </c>
      <c r="G24" s="416">
        <v>22.407666057053742</v>
      </c>
      <c r="H24" s="416"/>
      <c r="I24" s="416">
        <v>22.176518422145975</v>
      </c>
      <c r="J24" s="416">
        <v>18.562717436349264</v>
      </c>
      <c r="K24" s="416"/>
      <c r="L24" s="416">
        <v>21.354153044868802</v>
      </c>
      <c r="M24" s="416">
        <v>21.681727888699506</v>
      </c>
      <c r="N24" s="416">
        <v>20.90496779656668</v>
      </c>
      <c r="O24" s="416">
        <v>20.713258510014381</v>
      </c>
      <c r="P24" s="416">
        <v>20.210048073033541</v>
      </c>
      <c r="Q24" s="416">
        <v>20.850018785451812</v>
      </c>
      <c r="R24" s="416"/>
      <c r="S24" s="416">
        <v>19.195417860715601</v>
      </c>
    </row>
    <row r="25" spans="3:19" x14ac:dyDescent="0.4">
      <c r="C25" s="536">
        <v>2023</v>
      </c>
      <c r="D25" s="416">
        <v>22.719819892477208</v>
      </c>
      <c r="E25" s="416"/>
      <c r="F25" s="416">
        <v>22.470375793226324</v>
      </c>
      <c r="G25" s="416">
        <v>22.944887190289027</v>
      </c>
      <c r="H25" s="416"/>
      <c r="I25" s="416">
        <v>23.385919007306359</v>
      </c>
      <c r="J25" s="416">
        <v>19.516002584773258</v>
      </c>
      <c r="K25" s="416"/>
      <c r="L25" s="416">
        <v>22.300750184186668</v>
      </c>
      <c r="M25" s="416">
        <v>22.791530220779823</v>
      </c>
      <c r="N25" s="416">
        <v>19.679769221279976</v>
      </c>
      <c r="O25" s="416">
        <v>19.523141132007126</v>
      </c>
      <c r="P25" s="416">
        <v>20.125008426587566</v>
      </c>
      <c r="Q25" s="416">
        <v>21.408315027548706</v>
      </c>
      <c r="R25" s="416"/>
      <c r="S25" s="416">
        <v>18.368459933947506</v>
      </c>
    </row>
    <row r="26" spans="3:19" s="2279" customFormat="1" x14ac:dyDescent="0.4">
      <c r="C26" s="824">
        <v>2024</v>
      </c>
      <c r="D26" s="1453">
        <v>22.299679682046115</v>
      </c>
      <c r="E26" s="1453"/>
      <c r="F26" s="1453">
        <v>22.427133949161576</v>
      </c>
      <c r="G26" s="1453">
        <v>22.25637327371723</v>
      </c>
      <c r="H26" s="1453"/>
      <c r="I26" s="1453">
        <v>22.127488719438002</v>
      </c>
      <c r="J26" s="1453">
        <v>19.342007189039272</v>
      </c>
      <c r="K26" s="1453"/>
      <c r="L26" s="1453">
        <v>21.177125233003043</v>
      </c>
      <c r="M26" s="1453">
        <v>22.094617881907205</v>
      </c>
      <c r="N26" s="1453">
        <v>18.023241284518303</v>
      </c>
      <c r="O26" s="1453">
        <v>21.338968750497479</v>
      </c>
      <c r="P26" s="1453">
        <v>23.280952043162408</v>
      </c>
      <c r="Q26" s="1453">
        <v>17.097900393869985</v>
      </c>
      <c r="R26" s="1453"/>
      <c r="S26" s="1453">
        <v>21.695284535975514</v>
      </c>
    </row>
    <row r="27" spans="3:19" x14ac:dyDescent="0.4">
      <c r="C27" s="2285" t="s">
        <v>8130</v>
      </c>
      <c r="D27" s="416"/>
      <c r="E27" s="416"/>
      <c r="F27" s="416"/>
      <c r="G27" s="416"/>
      <c r="H27" s="416"/>
      <c r="I27" s="416"/>
      <c r="J27" s="416"/>
      <c r="K27" s="416"/>
      <c r="L27" s="416"/>
      <c r="M27" s="416"/>
      <c r="N27" s="416"/>
      <c r="O27" s="416"/>
      <c r="P27" s="416"/>
      <c r="Q27" s="416"/>
      <c r="R27" s="416"/>
      <c r="S27" s="416"/>
    </row>
    <row r="30" spans="3:19" ht="19.5" x14ac:dyDescent="0.4">
      <c r="C30" s="1062" t="s">
        <v>8131</v>
      </c>
      <c r="D30" s="322"/>
      <c r="E30" s="322"/>
      <c r="F30" s="322"/>
      <c r="G30" s="322"/>
      <c r="H30" s="322"/>
      <c r="I30" s="322"/>
    </row>
    <row r="32" spans="3:19" x14ac:dyDescent="0.4">
      <c r="C32" s="155"/>
      <c r="D32" s="155"/>
      <c r="E32" s="155"/>
      <c r="F32" s="155"/>
      <c r="G32" s="155"/>
      <c r="H32" s="155"/>
      <c r="I32" s="155"/>
    </row>
    <row r="46" spans="3:3" x14ac:dyDescent="0.4">
      <c r="C46" s="115" t="s">
        <v>8113</v>
      </c>
    </row>
  </sheetData>
  <mergeCells count="21">
    <mergeCell ref="C1:F1"/>
    <mergeCell ref="A3:B3"/>
    <mergeCell ref="C3:X3"/>
    <mergeCell ref="Y3:Z3"/>
    <mergeCell ref="A4:B4"/>
    <mergeCell ref="C4:X4"/>
    <mergeCell ref="Y4:Z4"/>
    <mergeCell ref="A5:B5"/>
    <mergeCell ref="C5:X5"/>
    <mergeCell ref="Y5:Z5"/>
    <mergeCell ref="A6:B6"/>
    <mergeCell ref="C6:X6"/>
    <mergeCell ref="Y6:Z6"/>
    <mergeCell ref="V10:W11"/>
    <mergeCell ref="C9:S9"/>
    <mergeCell ref="C10:C11"/>
    <mergeCell ref="D10:D11"/>
    <mergeCell ref="F10:G10"/>
    <mergeCell ref="I10:J10"/>
    <mergeCell ref="L10:Q10"/>
    <mergeCell ref="S10:S11"/>
  </mergeCells>
  <hyperlinks>
    <hyperlink ref="A1" location="'ODS 10.'!A1" display="REGRESAR" xr:uid="{C4BC99A8-4B12-4FAA-9169-71691F310B82}"/>
    <hyperlink ref="C1:D1" location="'Metadato 10.2.1.a'!A1" display="VER METADATO" xr:uid="{E699A3BF-CBCA-4E48-9ECC-72E2409E45DF}"/>
    <hyperlink ref="V10:W11" location="'10.2.1.b'!A1" display="Vet indicador 10.2.1.b" xr:uid="{B63C014F-6AFE-4833-950D-7CCD33C5401D}"/>
  </hyperlinks>
  <pageMargins left="0.7" right="0.7" top="0.75" bottom="0.75" header="0.3" footer="0.3"/>
  <pageSetup orientation="portrait"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2819-B9E2-48F8-BE63-B08D21EC4CCC}">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10.42578125" style="115" customWidth="1"/>
    <col min="2" max="2" width="26.42578125" style="115" customWidth="1"/>
    <col min="3" max="3" width="24" style="115" customWidth="1"/>
    <col min="4" max="4" width="74.28515625" style="115" customWidth="1"/>
    <col min="5" max="5" width="7.7109375" style="115" customWidth="1"/>
    <col min="6" max="6" width="7.28515625" style="115" customWidth="1"/>
    <col min="7" max="7" width="8" style="115" customWidth="1"/>
    <col min="8" max="8" width="6.7109375" style="115" customWidth="1"/>
    <col min="9" max="9" width="2.28515625" style="115" customWidth="1"/>
    <col min="10" max="10" width="8.5703125" style="115" customWidth="1"/>
    <col min="11" max="11" width="8.7109375" style="115" customWidth="1"/>
    <col min="12" max="12" width="8.5703125" style="115" customWidth="1"/>
    <col min="13" max="13" width="7.7109375" style="115" customWidth="1"/>
    <col min="14" max="15" width="9" style="115" customWidth="1"/>
    <col min="16" max="16" width="2" style="115" customWidth="1"/>
    <col min="17" max="17" width="12.5703125" style="115" customWidth="1"/>
    <col min="18" max="16384" width="11.42578125" style="115"/>
  </cols>
  <sheetData>
    <row r="1" spans="1:6" x14ac:dyDescent="0.4">
      <c r="B1" s="90" t="s">
        <v>39</v>
      </c>
    </row>
    <row r="2" spans="1:6" ht="19.5" thickBot="1" x14ac:dyDescent="0.45"/>
    <row r="3" spans="1:6" ht="23.25" customHeight="1" thickBot="1" x14ac:dyDescent="0.45">
      <c r="B3" s="3230" t="s">
        <v>75</v>
      </c>
      <c r="C3" s="3230"/>
      <c r="D3" s="3230"/>
      <c r="F3" s="1046" t="s">
        <v>76</v>
      </c>
    </row>
    <row r="4" spans="1:6" x14ac:dyDescent="0.4">
      <c r="A4" s="283"/>
      <c r="B4" s="2445" t="s">
        <v>234</v>
      </c>
      <c r="C4" s="2445"/>
      <c r="D4" s="49" t="s">
        <v>5625</v>
      </c>
    </row>
    <row r="5" spans="1:6" ht="56.25" x14ac:dyDescent="0.4">
      <c r="B5" s="2445" t="s">
        <v>79</v>
      </c>
      <c r="C5" s="2445"/>
      <c r="D5" s="49" t="s">
        <v>5589</v>
      </c>
    </row>
    <row r="6" spans="1:6" ht="18" customHeight="1" x14ac:dyDescent="0.4">
      <c r="B6" s="2445" t="s">
        <v>80</v>
      </c>
      <c r="C6" s="2445"/>
      <c r="D6" s="50" t="s">
        <v>5590</v>
      </c>
    </row>
    <row r="7" spans="1:6" ht="37.5" x14ac:dyDescent="0.4">
      <c r="B7" s="2446" t="s">
        <v>81</v>
      </c>
      <c r="C7" s="2446"/>
      <c r="D7" s="93" t="s">
        <v>5591</v>
      </c>
    </row>
    <row r="8" spans="1:6" x14ac:dyDescent="0.4">
      <c r="B8" s="2446" t="s">
        <v>82</v>
      </c>
      <c r="C8" s="2446"/>
      <c r="D8" s="1047" t="s">
        <v>5637</v>
      </c>
    </row>
    <row r="10" spans="1:6" ht="19.5" x14ac:dyDescent="0.4">
      <c r="B10" s="3230" t="s">
        <v>85</v>
      </c>
      <c r="C10" s="3230"/>
      <c r="D10" s="3230"/>
    </row>
    <row r="11" spans="1:6" x14ac:dyDescent="0.4">
      <c r="B11" s="2487" t="s">
        <v>86</v>
      </c>
      <c r="C11" s="2456"/>
      <c r="D11" s="49" t="s">
        <v>167</v>
      </c>
    </row>
    <row r="12" spans="1:6" ht="48.75" customHeight="1" x14ac:dyDescent="0.4">
      <c r="B12" s="2446" t="s">
        <v>88</v>
      </c>
      <c r="C12" s="2446"/>
      <c r="D12" s="184" t="s">
        <v>5638</v>
      </c>
    </row>
    <row r="13" spans="1:6" x14ac:dyDescent="0.4">
      <c r="B13" s="2445" t="s">
        <v>90</v>
      </c>
      <c r="C13" s="2445"/>
      <c r="D13" s="55" t="s">
        <v>5639</v>
      </c>
    </row>
    <row r="14" spans="1:6" x14ac:dyDescent="0.4">
      <c r="B14" s="2445" t="s">
        <v>91</v>
      </c>
      <c r="C14" s="2456"/>
      <c r="D14" s="54" t="s">
        <v>214</v>
      </c>
    </row>
    <row r="15" spans="1:6" ht="131.25" x14ac:dyDescent="0.4">
      <c r="B15" s="2445" t="s">
        <v>93</v>
      </c>
      <c r="C15" s="2445"/>
      <c r="D15" s="55" t="s">
        <v>5640</v>
      </c>
    </row>
    <row r="16" spans="1:6" ht="90.75" customHeight="1" x14ac:dyDescent="0.4">
      <c r="B16" s="2445" t="s">
        <v>95</v>
      </c>
      <c r="C16" s="2445"/>
      <c r="D16" s="594" t="s">
        <v>5641</v>
      </c>
    </row>
    <row r="17" spans="2:4" ht="16.5" customHeight="1" x14ac:dyDescent="0.4">
      <c r="B17" s="2445" t="s">
        <v>97</v>
      </c>
      <c r="C17" s="2445"/>
      <c r="D17" s="55" t="s">
        <v>98</v>
      </c>
    </row>
    <row r="18" spans="2:4" x14ac:dyDescent="0.4">
      <c r="B18" s="2446" t="s">
        <v>99</v>
      </c>
      <c r="C18" s="2446"/>
      <c r="D18" s="49"/>
    </row>
    <row r="19" spans="2:4" ht="56.25" x14ac:dyDescent="0.4">
      <c r="B19" s="2457" t="s">
        <v>100</v>
      </c>
      <c r="C19" s="2458"/>
      <c r="D19" s="55" t="s">
        <v>5642</v>
      </c>
    </row>
    <row r="20" spans="2:4" x14ac:dyDescent="0.4">
      <c r="B20" s="2445" t="s">
        <v>102</v>
      </c>
      <c r="C20" s="2445"/>
      <c r="D20" s="55" t="s">
        <v>1521</v>
      </c>
    </row>
    <row r="21" spans="2:4" x14ac:dyDescent="0.4">
      <c r="B21" s="2451" t="s">
        <v>104</v>
      </c>
      <c r="C21" s="95" t="s">
        <v>105</v>
      </c>
      <c r="D21" s="49" t="s">
        <v>5643</v>
      </c>
    </row>
    <row r="22" spans="2:4" ht="14.25" customHeight="1" x14ac:dyDescent="0.4">
      <c r="B22" s="2452"/>
      <c r="C22" s="96" t="s">
        <v>107</v>
      </c>
      <c r="D22" s="55" t="s">
        <v>5644</v>
      </c>
    </row>
    <row r="23" spans="2:4" ht="18.75" customHeight="1" x14ac:dyDescent="0.4">
      <c r="B23" s="2445" t="s">
        <v>109</v>
      </c>
      <c r="C23" s="2445"/>
      <c r="D23" s="55" t="s">
        <v>143</v>
      </c>
    </row>
    <row r="24" spans="2:4" x14ac:dyDescent="0.4">
      <c r="B24" s="2445" t="s">
        <v>111</v>
      </c>
      <c r="C24" s="2445"/>
      <c r="D24" s="1617" t="s">
        <v>127</v>
      </c>
    </row>
    <row r="25" spans="2:4" x14ac:dyDescent="0.4">
      <c r="B25" s="2445" t="s">
        <v>113</v>
      </c>
      <c r="C25" s="2445"/>
      <c r="D25" s="55" t="s">
        <v>144</v>
      </c>
    </row>
    <row r="26" spans="2:4" ht="15" customHeight="1" x14ac:dyDescent="0.4">
      <c r="B26" s="2446" t="s">
        <v>115</v>
      </c>
      <c r="C26" s="2446"/>
      <c r="D26" s="50" t="s">
        <v>5631</v>
      </c>
    </row>
    <row r="27" spans="2:4" x14ac:dyDescent="0.4">
      <c r="B27" s="2447" t="s">
        <v>117</v>
      </c>
      <c r="C27" s="2448"/>
      <c r="D27" s="49"/>
    </row>
    <row r="28" spans="2:4" ht="168.75" x14ac:dyDescent="0.4">
      <c r="B28" s="97" t="s">
        <v>118</v>
      </c>
      <c r="C28" s="98"/>
      <c r="D28" s="55" t="s">
        <v>5645</v>
      </c>
    </row>
    <row r="29" spans="2:4" x14ac:dyDescent="0.4">
      <c r="B29" s="2449" t="s">
        <v>120</v>
      </c>
      <c r="C29" s="2450"/>
      <c r="D29" s="62"/>
    </row>
    <row r="30" spans="2:4" x14ac:dyDescent="0.4">
      <c r="B30" s="63"/>
      <c r="C30" s="63"/>
      <c r="D30" s="64"/>
    </row>
    <row r="31" spans="2:4" ht="19.5" x14ac:dyDescent="0.4">
      <c r="B31" s="3230" t="s">
        <v>121</v>
      </c>
      <c r="C31" s="3230"/>
      <c r="D31" s="3230"/>
    </row>
    <row r="32" spans="2:4" x14ac:dyDescent="0.4">
      <c r="B32" s="2447" t="s">
        <v>122</v>
      </c>
      <c r="C32" s="2448"/>
      <c r="D32" s="50" t="s">
        <v>123</v>
      </c>
    </row>
    <row r="33" spans="2:4" x14ac:dyDescent="0.4">
      <c r="B33" s="2447" t="s">
        <v>124</v>
      </c>
      <c r="C33" s="2448"/>
      <c r="D33" s="50" t="s">
        <v>1790</v>
      </c>
    </row>
    <row r="34" spans="2:4" x14ac:dyDescent="0.4">
      <c r="B34" s="2447" t="s">
        <v>126</v>
      </c>
      <c r="C34" s="2448"/>
      <c r="D34" s="1617" t="s">
        <v>127</v>
      </c>
    </row>
    <row r="35" spans="2:4" x14ac:dyDescent="0.4">
      <c r="B35" s="2447" t="s">
        <v>128</v>
      </c>
      <c r="C35" s="2448"/>
      <c r="D35" s="50" t="s">
        <v>1791</v>
      </c>
    </row>
    <row r="36" spans="2:4" x14ac:dyDescent="0.4">
      <c r="B36" s="2447" t="s">
        <v>130</v>
      </c>
      <c r="C36" s="2448"/>
      <c r="D36" s="50"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D1540FD9-B8E9-47D1-B751-03C12CCFEAD6}">
      <formula1>ODS</formula1>
    </dataValidation>
    <dataValidation type="list" allowBlank="1" showInputMessage="1" showErrorMessage="1" sqref="D5" xr:uid="{66F2D06E-6005-40F5-964E-10E3E471DC8D}">
      <formula1>Metas_ODS</formula1>
    </dataValidation>
    <dataValidation type="list" allowBlank="1" showInputMessage="1" showErrorMessage="1" sqref="D6" xr:uid="{16C3A80F-8B27-4062-8214-781A792385D2}">
      <formula1>Numero_indicador</formula1>
    </dataValidation>
    <dataValidation type="list" allowBlank="1" showInputMessage="1" showErrorMessage="1" sqref="D7" xr:uid="{34808FB0-0E65-41C6-9EB1-2D02868BBA20}">
      <formula1>Nombre_indicador_ODS</formula1>
    </dataValidation>
    <dataValidation type="list" allowBlank="1" showInputMessage="1" showErrorMessage="1" sqref="D14" xr:uid="{CF7E7D25-39B1-4427-8EF1-1D8A424377C0}">
      <formula1>Tipo_indicador</formula1>
    </dataValidation>
    <dataValidation type="list" allowBlank="1" showInputMessage="1" showErrorMessage="1" sqref="D25" xr:uid="{F951681B-166F-4528-957C-40BD9EE6165A}">
      <formula1>Tipo_operación</formula1>
    </dataValidation>
  </dataValidations>
  <hyperlinks>
    <hyperlink ref="B1" location="'10.2.1.a'!A1" display="REGRESAR" xr:uid="{566A1632-3A00-4443-AE26-8D0AA98AA43D}"/>
    <hyperlink ref="D8" r:id="rId1" xr:uid="{24674656-9061-4588-A883-4CC5601F18D1}"/>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FF6C8-84DB-46F7-A2D5-6A1DAD504D1D}">
  <sheetPr>
    <tabColor rgb="FFDDA63A"/>
  </sheetPr>
  <dimension ref="A1:E18"/>
  <sheetViews>
    <sheetView showGridLines="0" workbookViewId="0">
      <pane ySplit="4" topLeftCell="A14" activePane="bottomLeft" state="frozen"/>
      <selection activeCell="R16" sqref="R16"/>
      <selection pane="bottomLeft" sqref="A1:B1"/>
    </sheetView>
  </sheetViews>
  <sheetFormatPr baseColWidth="10" defaultColWidth="11.5703125" defaultRowHeight="18.75" x14ac:dyDescent="0.4"/>
  <cols>
    <col min="1" max="1" width="11.28515625" style="5" customWidth="1"/>
    <col min="2" max="2" width="11.42578125" style="5" customWidth="1"/>
    <col min="3" max="3" width="68.42578125" style="9" customWidth="1"/>
    <col min="4" max="4" width="13.7109375" style="5" customWidth="1"/>
    <col min="5" max="5" width="81.28515625" style="5" customWidth="1"/>
    <col min="6" max="16384" width="11.5703125" style="5"/>
  </cols>
  <sheetData>
    <row r="1" spans="1:5" ht="19.5" x14ac:dyDescent="0.4">
      <c r="A1" s="2410" t="s">
        <v>1</v>
      </c>
      <c r="B1" s="2410"/>
    </row>
    <row r="3" spans="1:5" ht="60.6" customHeight="1" x14ac:dyDescent="0.4">
      <c r="C3" s="2507" t="s">
        <v>396</v>
      </c>
      <c r="D3" s="2507"/>
      <c r="E3" s="2507"/>
    </row>
    <row r="4" spans="1:5" s="263" customFormat="1" ht="46.15" customHeight="1" x14ac:dyDescent="0.4">
      <c r="C4" s="8" t="s">
        <v>3</v>
      </c>
      <c r="D4" s="8" t="s">
        <v>4</v>
      </c>
      <c r="E4" s="8" t="s">
        <v>5</v>
      </c>
    </row>
    <row r="5" spans="1:5" s="3" customFormat="1" ht="19.5" x14ac:dyDescent="0.25">
      <c r="C5" s="2408" t="s">
        <v>397</v>
      </c>
      <c r="D5" s="11" t="s">
        <v>398</v>
      </c>
      <c r="E5" s="12" t="s">
        <v>399</v>
      </c>
    </row>
    <row r="6" spans="1:5" s="3" customFormat="1" ht="39" x14ac:dyDescent="0.25">
      <c r="C6" s="2409"/>
      <c r="D6" s="11" t="s">
        <v>400</v>
      </c>
      <c r="E6" s="12" t="s">
        <v>401</v>
      </c>
    </row>
    <row r="7" spans="1:5" s="3" customFormat="1" ht="58.5" x14ac:dyDescent="0.25">
      <c r="C7" s="2408" t="s">
        <v>402</v>
      </c>
      <c r="D7" s="11" t="s">
        <v>403</v>
      </c>
      <c r="E7" s="12" t="s">
        <v>404</v>
      </c>
    </row>
    <row r="8" spans="1:5" s="3" customFormat="1" ht="58.5" x14ac:dyDescent="0.25">
      <c r="C8" s="2412"/>
      <c r="D8" s="11" t="s">
        <v>405</v>
      </c>
      <c r="E8" s="12" t="s">
        <v>406</v>
      </c>
    </row>
    <row r="9" spans="1:5" s="3" customFormat="1" ht="36.75" customHeight="1" x14ac:dyDescent="0.25">
      <c r="C9" s="2409"/>
      <c r="D9" s="13" t="s">
        <v>407</v>
      </c>
      <c r="E9" s="14" t="s">
        <v>408</v>
      </c>
    </row>
    <row r="10" spans="1:5" s="3" customFormat="1" ht="39" x14ac:dyDescent="0.25">
      <c r="C10" s="2408" t="s">
        <v>409</v>
      </c>
      <c r="D10" s="13" t="s">
        <v>410</v>
      </c>
      <c r="E10" s="14" t="s">
        <v>411</v>
      </c>
    </row>
    <row r="11" spans="1:5" s="3" customFormat="1" ht="39" x14ac:dyDescent="0.25">
      <c r="C11" s="2409"/>
      <c r="D11" s="11" t="s">
        <v>412</v>
      </c>
      <c r="E11" s="12" t="s">
        <v>413</v>
      </c>
    </row>
    <row r="12" spans="1:5" s="3" customFormat="1" ht="136.5" x14ac:dyDescent="0.25">
      <c r="C12" s="10" t="s">
        <v>414</v>
      </c>
      <c r="D12" s="13" t="s">
        <v>415</v>
      </c>
      <c r="E12" s="14" t="s">
        <v>416</v>
      </c>
    </row>
    <row r="13" spans="1:5" s="3" customFormat="1" ht="67.5" customHeight="1" x14ac:dyDescent="0.25">
      <c r="C13" s="2408" t="s">
        <v>417</v>
      </c>
      <c r="D13" s="13" t="s">
        <v>418</v>
      </c>
      <c r="E13" s="14" t="s">
        <v>419</v>
      </c>
    </row>
    <row r="14" spans="1:5" s="3" customFormat="1" ht="54" customHeight="1" x14ac:dyDescent="0.25">
      <c r="C14" s="2409"/>
      <c r="D14" s="13" t="s">
        <v>420</v>
      </c>
      <c r="E14" s="14" t="s">
        <v>421</v>
      </c>
    </row>
    <row r="15" spans="1:5" s="3" customFormat="1" ht="38.25" customHeight="1" x14ac:dyDescent="0.25">
      <c r="C15" s="2408" t="s">
        <v>422</v>
      </c>
      <c r="D15" s="11" t="s">
        <v>423</v>
      </c>
      <c r="E15" s="12" t="s">
        <v>424</v>
      </c>
    </row>
    <row r="16" spans="1:5" s="3" customFormat="1" ht="49.5" customHeight="1" x14ac:dyDescent="0.25">
      <c r="C16" s="2409"/>
      <c r="D16" s="13" t="s">
        <v>425</v>
      </c>
      <c r="E16" s="14" t="s">
        <v>426</v>
      </c>
    </row>
    <row r="17" spans="3:5" s="3" customFormat="1" ht="117" x14ac:dyDescent="0.25">
      <c r="C17" s="10" t="s">
        <v>427</v>
      </c>
      <c r="D17" s="13" t="s">
        <v>428</v>
      </c>
      <c r="E17" s="14" t="s">
        <v>429</v>
      </c>
    </row>
    <row r="18" spans="3:5" ht="97.5" x14ac:dyDescent="0.4">
      <c r="C18" s="10" t="s">
        <v>430</v>
      </c>
      <c r="D18" s="13" t="s">
        <v>431</v>
      </c>
      <c r="E18" s="14" t="s">
        <v>432</v>
      </c>
    </row>
  </sheetData>
  <mergeCells count="7">
    <mergeCell ref="C15:C16"/>
    <mergeCell ref="A1:B1"/>
    <mergeCell ref="C3:E3"/>
    <mergeCell ref="C5:C6"/>
    <mergeCell ref="C7:C9"/>
    <mergeCell ref="C10:C11"/>
    <mergeCell ref="C13:C14"/>
  </mergeCells>
  <hyperlinks>
    <hyperlink ref="A1" location="Objetivos!A1" display="REGRESAR A INICIO" xr:uid="{1FBC5A13-742E-441F-A30A-F2A4CEB5F2C9}"/>
    <hyperlink ref="A1:B1" location="'Lista de Objetivos'!A1" display="REGRESAR A INICIO" xr:uid="{7F582771-AED4-42BC-B0EE-018758CDF125}"/>
    <hyperlink ref="D5" location="'2.1.1'!A1" display="2.1.1" xr:uid="{59D837EE-752D-4CB0-9715-30E3D30A706B}"/>
    <hyperlink ref="E5" location="'2.1.1'!A1" display="2.1.1 Prevalencia de la subalimentación" xr:uid="{30C9C4C7-BBF6-4907-98C9-F92A6913EA80}"/>
    <hyperlink ref="D6" location="'2.1.2'!A1" display="2.1.2" xr:uid="{73E0EF04-16CA-4AFC-94A2-364908DE3E06}"/>
    <hyperlink ref="E6" location="'2.1.2'!A1" display="2.1.2 Prevalencia de la inseguridad alimentaria moderada o grave entre la población, según la escala de experiencia de inseguridad alimentaria" xr:uid="{5E456102-C452-4A2D-ABAF-57BBD3695265}"/>
    <hyperlink ref="D7" location="'2.2.1'!A1" display="2.2.1" xr:uid="{656E2F70-D036-440A-B68B-E9FD069B1418}"/>
    <hyperlink ref="E7" location="'2.2.1'!A1" display="2.2.1 Prevalencia del retraso del crecimiento (estatura para la edad, desviación típica &lt; -2 de la mediana de los patrones de crecimiento infantil de la Organización Mundial de la Salud (OMS)) entre los niños menores de 5 años" xr:uid="{587E5C84-4731-452A-85B7-69195C9B9639}"/>
    <hyperlink ref="D8" location="'2.2.2'!A1" display="2.2.2" xr:uid="{7AB1FB7A-5481-44FA-AFDA-C1B1995E9231}"/>
    <hyperlink ref="E8" location="'2.2.2'!A1" display="2.2.2 Prevalencia de la malnutrición (peso para la estatura, desviación típica &gt; +2 o &lt; -2 de la mediana de los patrones de crecimiento infantil de la OMS) entre los niños menores de 5 años, desglosada por tipo (emaciación y sobrepeso)" xr:uid="{96B6247A-DE33-4D21-96C1-4419655D6865}"/>
    <hyperlink ref="D9" location="'2.2.3'!A1" display="2.2.3" xr:uid="{0EBED8F8-7121-4F5F-AA3D-CF4E6D6D529D}"/>
    <hyperlink ref="E9" location="'2.2.3'!A1" display="2.2.3 _x0009_Prevalencia de la anemia en las mujeres de entre 15 y 49 años, desglosada por embarazo (porcentaje)" xr:uid="{58E9B5B8-A69A-49D8-8F9C-B866F451330B}"/>
    <hyperlink ref="D10" location="'2.3.1'!A1" display="2.3.1" xr:uid="{25BC86F6-615D-47BA-9944-12D68E3F09C7}"/>
    <hyperlink ref="E10" location="'2.3.1'!A1" display="2.3.1 Volumen de producción por unidad de trabajo desglosado por tamaño y tipo de explotación (agropecuaria/ganadera/forestal)" xr:uid="{1AD68B3A-CCAD-4C3E-BB09-C7EA1FADAD1D}"/>
    <hyperlink ref="D11" location="'2.3.2'!A1" display="2.3.2" xr:uid="{58A1F157-BC15-4F92-982C-EADBC73507D4}"/>
    <hyperlink ref="E11" location="'2.3.2'!A1" display="2.3.2 Media de ingresos de los productores de alimentos en pequeña escala, desglosada por sexo y condición indígena" xr:uid="{3A580C18-0AED-486E-AD7B-CCB0A61EF4F8}"/>
    <hyperlink ref="D12" location="'2.4.1'!A1" display="2.4.1" xr:uid="{40518CD7-A21A-4A60-B5FF-367031AE57AF}"/>
    <hyperlink ref="E12" location="'2.4.1'!A1" display="2.4.1 Proporción de la superficie agrícola en que se practica una agricultura productiva y sostenible" xr:uid="{46A87620-B48B-4D3F-8262-AAD8829D5DC3}"/>
    <hyperlink ref="D13" location="'2.5.1'!A1" display="2.5.1" xr:uid="{ABE27B07-C5D5-41CD-9524-009BD8F496A3}"/>
    <hyperlink ref="E13" location="'2.5.1'!A1" display="2.5.1 Número de recursos genéticos vegetales y animales para la alimentación y la agricultura preservados en instalaciones de conservación a medio y largo plazo" xr:uid="{0A466BAC-1AA7-4679-AE57-57A84C3D4AC2}"/>
    <hyperlink ref="D14" location="'2.5.2'!A1" display="2.5.2" xr:uid="{38854358-82CA-402C-B216-6C44C5569C19}"/>
    <hyperlink ref="E14" location="'2.5.2'!A1" display="2.5.2 Proporción de razas y variedades locales consideradas en riesgo de extinción" xr:uid="{E5439B95-045D-42BF-8565-A1EC3F98F3D4}"/>
    <hyperlink ref="D15" location="'2.a.1'!A1" display="2.a.1" xr:uid="{D848BEE4-F7BB-4FED-B888-D3382123F03D}"/>
    <hyperlink ref="E15" location="'2.a.1'!A1" display="2.a.1 Índice de orientación agrícola para el gasto público" xr:uid="{0FBEBA43-B315-4C3C-98BF-2B00E5683594}"/>
    <hyperlink ref="D16" location="'2.a.2'!A1" display="2.a.2" xr:uid="{E18C2A69-8C00-40D9-8A18-B8B3CEA9C036}"/>
    <hyperlink ref="E16" location="'2.a.2'!A1" display="2.a.2 Total de corrientes oficiales de recursos (asistencia oficial para el desarrollo más otras corrientes oficiales) destinado al sector agrícola" xr:uid="{AE5E55F2-DF46-4510-BEC7-236475EBA698}"/>
    <hyperlink ref="D17" location="'2.b.1'!A1" display="2.b.1" xr:uid="{FD210938-05D4-4144-ACDF-DF4D7F216BF1}"/>
    <hyperlink ref="E17" location="'2.b.1'!A1" display="2.b.1 Subsidios a la exportación de productos agropecuarios" xr:uid="{6D1342E2-8AC8-4917-9397-4173E0364B86}"/>
    <hyperlink ref="D18" location="'2.c.1'!A1" display="2.c.1" xr:uid="{0314C72B-7AF8-4B3B-8D1A-E3A977C1288D}"/>
    <hyperlink ref="E18" location="'2.c.1'!A1" display="2.c.1 Indicador de anomalías en los precios de los alimentos" xr:uid="{A6828CF6-DBEA-4C3C-B961-A403CF06C1AE}"/>
  </hyperlinks>
  <pageMargins left="0.7" right="0.7" top="0.75" bottom="0.75" header="0.3" footer="0.3"/>
  <pageSetup paperSize="9" orientation="portrait"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016EF-A984-454F-B3AA-D37C41EB38A9}">
  <dimension ref="A1:V41"/>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2" width="15.5703125" style="115" customWidth="1"/>
    <col min="3" max="3" width="6.7109375" style="115" customWidth="1"/>
    <col min="4" max="4" width="6.42578125" style="115" customWidth="1"/>
    <col min="5" max="5" width="7.28515625" style="115" customWidth="1"/>
    <col min="6" max="6" width="9" style="115" customWidth="1"/>
    <col min="7" max="7" width="1.5703125" style="115" customWidth="1"/>
    <col min="8" max="8" width="7.28515625" style="115" customWidth="1"/>
    <col min="9" max="9" width="8" style="115" customWidth="1"/>
    <col min="10" max="10" width="1.7109375" style="115" customWidth="1"/>
    <col min="11" max="12" width="11.42578125" style="115"/>
    <col min="13" max="13" width="13.28515625" style="115" customWidth="1"/>
    <col min="14" max="16" width="11.42578125" style="115"/>
    <col min="17" max="17" width="2.7109375" style="115" customWidth="1"/>
    <col min="18" max="18" width="13.28515625" style="115" customWidth="1"/>
    <col min="19" max="16384" width="11.42578125" style="115"/>
  </cols>
  <sheetData>
    <row r="1" spans="1:22" s="1032" customFormat="1" ht="19.5" x14ac:dyDescent="0.4">
      <c r="A1" s="15" t="s">
        <v>39</v>
      </c>
      <c r="C1" s="2421" t="s">
        <v>149</v>
      </c>
      <c r="D1" s="2421"/>
      <c r="E1" s="2421"/>
    </row>
    <row r="2" spans="1:22" s="1032" customFormat="1" ht="19.5" x14ac:dyDescent="0.4"/>
    <row r="3" spans="1:22" s="1032" customFormat="1" ht="19.5" x14ac:dyDescent="0.4">
      <c r="A3" s="3223" t="s">
        <v>41</v>
      </c>
      <c r="B3" s="3223"/>
      <c r="C3" s="3223" t="s">
        <v>5585</v>
      </c>
      <c r="D3" s="3224"/>
      <c r="E3" s="3224"/>
      <c r="F3" s="3224"/>
      <c r="G3" s="3224"/>
      <c r="H3" s="3224"/>
      <c r="I3" s="3224"/>
      <c r="J3" s="3224"/>
      <c r="K3" s="3224"/>
      <c r="L3" s="3224"/>
      <c r="M3" s="3224"/>
      <c r="N3" s="3224"/>
      <c r="O3" s="3224"/>
      <c r="P3" s="3224"/>
      <c r="Q3" s="3224"/>
      <c r="R3" s="3224"/>
      <c r="S3" s="3224"/>
      <c r="T3" s="3224"/>
      <c r="U3" s="3224"/>
      <c r="V3" s="3224"/>
    </row>
    <row r="4" spans="1:22" s="1032" customFormat="1" ht="19.5" x14ac:dyDescent="0.4">
      <c r="A4" s="3223" t="s">
        <v>42</v>
      </c>
      <c r="B4" s="3224"/>
      <c r="C4" s="3223" t="s">
        <v>5589</v>
      </c>
      <c r="D4" s="3224"/>
      <c r="E4" s="3224"/>
      <c r="F4" s="3224"/>
      <c r="G4" s="3224"/>
      <c r="H4" s="3224"/>
      <c r="I4" s="3224"/>
      <c r="J4" s="3224"/>
      <c r="K4" s="3224"/>
      <c r="L4" s="3224"/>
      <c r="M4" s="3224"/>
      <c r="N4" s="3224"/>
      <c r="O4" s="3224"/>
      <c r="P4" s="3224"/>
      <c r="Q4" s="3224"/>
      <c r="R4" s="3224"/>
      <c r="S4" s="3224"/>
      <c r="T4" s="3224"/>
      <c r="U4" s="3224"/>
      <c r="V4" s="3224"/>
    </row>
    <row r="5" spans="1:22" s="1032" customFormat="1" ht="19.5" x14ac:dyDescent="0.4">
      <c r="A5" s="3223" t="s">
        <v>43</v>
      </c>
      <c r="B5" s="3224"/>
      <c r="C5" s="3223" t="s">
        <v>5591</v>
      </c>
      <c r="D5" s="3224"/>
      <c r="E5" s="3224"/>
      <c r="F5" s="3224"/>
      <c r="G5" s="3224"/>
      <c r="H5" s="3224"/>
      <c r="I5" s="3224"/>
      <c r="J5" s="3224"/>
      <c r="K5" s="3224"/>
      <c r="L5" s="3224"/>
      <c r="M5" s="3224"/>
      <c r="N5" s="3224"/>
      <c r="O5" s="3224"/>
      <c r="P5" s="3224"/>
      <c r="Q5" s="3224"/>
      <c r="R5" s="3224"/>
      <c r="S5" s="3224"/>
      <c r="T5" s="3224"/>
      <c r="U5" s="3224"/>
      <c r="V5" s="3224"/>
    </row>
    <row r="6" spans="1:22" s="1032" customFormat="1" ht="19.5" x14ac:dyDescent="0.4">
      <c r="A6" s="3223" t="s">
        <v>132</v>
      </c>
      <c r="B6" s="3224"/>
      <c r="C6" s="3223" t="s">
        <v>5646</v>
      </c>
      <c r="D6" s="3224"/>
      <c r="E6" s="3224"/>
      <c r="F6" s="3224"/>
      <c r="G6" s="3224"/>
      <c r="H6" s="3224"/>
      <c r="I6" s="3224"/>
      <c r="J6" s="3224"/>
      <c r="K6" s="3224"/>
      <c r="L6" s="3224"/>
      <c r="M6" s="3224"/>
      <c r="N6" s="3224"/>
      <c r="O6" s="3224"/>
      <c r="P6" s="3224"/>
      <c r="Q6" s="3224"/>
      <c r="R6" s="3224"/>
      <c r="S6" s="3224"/>
      <c r="T6" s="3224"/>
      <c r="U6" s="3224"/>
      <c r="V6" s="3224"/>
    </row>
    <row r="7" spans="1:22" s="1032" customFormat="1" ht="19.5" x14ac:dyDescent="0.4"/>
    <row r="8" spans="1:22" s="1032" customFormat="1" ht="19.5" x14ac:dyDescent="0.4"/>
    <row r="9" spans="1:22" s="1032" customFormat="1" ht="33.6" customHeight="1" x14ac:dyDescent="0.4">
      <c r="C9" s="2628" t="s">
        <v>5647</v>
      </c>
      <c r="D9" s="2628"/>
      <c r="E9" s="2628"/>
      <c r="F9" s="2628"/>
      <c r="G9" s="2628"/>
      <c r="H9" s="2628"/>
      <c r="I9" s="2628"/>
      <c r="J9" s="2628"/>
      <c r="K9" s="2628"/>
      <c r="L9" s="2628"/>
      <c r="M9" s="2628"/>
      <c r="N9" s="2628"/>
      <c r="O9" s="2628"/>
      <c r="P9" s="2628"/>
      <c r="Q9" s="2628"/>
      <c r="R9" s="2628"/>
    </row>
    <row r="10" spans="1:22" s="1032" customFormat="1" ht="10.9" customHeight="1" x14ac:dyDescent="0.4">
      <c r="C10" s="533"/>
      <c r="D10" s="533"/>
      <c r="E10" s="533"/>
      <c r="F10" s="533"/>
      <c r="G10" s="533"/>
      <c r="H10" s="533"/>
      <c r="I10" s="533"/>
      <c r="J10" s="533"/>
      <c r="K10" s="533"/>
      <c r="L10" s="533"/>
      <c r="M10" s="533"/>
      <c r="N10" s="533"/>
      <c r="O10" s="533"/>
      <c r="P10" s="533"/>
      <c r="Q10" s="533"/>
      <c r="R10" s="533"/>
    </row>
    <row r="11" spans="1:22" ht="12.75" customHeight="1" x14ac:dyDescent="0.4">
      <c r="C11" s="3231" t="s">
        <v>247</v>
      </c>
      <c r="D11" s="3233" t="s">
        <v>47</v>
      </c>
      <c r="E11" s="3229" t="s">
        <v>48</v>
      </c>
      <c r="F11" s="3229"/>
      <c r="G11" s="1616"/>
      <c r="H11" s="3229" t="s">
        <v>49</v>
      </c>
      <c r="I11" s="3229"/>
      <c r="J11" s="1616"/>
      <c r="K11" s="3229" t="s">
        <v>50</v>
      </c>
      <c r="L11" s="3229"/>
      <c r="M11" s="3229"/>
      <c r="N11" s="3229"/>
      <c r="O11" s="3229"/>
      <c r="P11" s="3229"/>
      <c r="Q11" s="1616"/>
      <c r="R11" s="3233" t="s">
        <v>5635</v>
      </c>
    </row>
    <row r="12" spans="1:22" ht="23.25" customHeight="1" x14ac:dyDescent="0.4">
      <c r="C12" s="3232"/>
      <c r="D12" s="3234"/>
      <c r="E12" s="1608" t="s">
        <v>53</v>
      </c>
      <c r="F12" s="1608" t="s">
        <v>54</v>
      </c>
      <c r="G12" s="1608"/>
      <c r="H12" s="1608" t="s">
        <v>55</v>
      </c>
      <c r="I12" s="1608" t="s">
        <v>56</v>
      </c>
      <c r="J12" s="1608"/>
      <c r="K12" s="1608" t="s">
        <v>57</v>
      </c>
      <c r="L12" s="1608" t="s">
        <v>58</v>
      </c>
      <c r="M12" s="1608" t="s">
        <v>59</v>
      </c>
      <c r="N12" s="1608" t="s">
        <v>60</v>
      </c>
      <c r="O12" s="1609" t="s">
        <v>61</v>
      </c>
      <c r="P12" s="1609" t="s">
        <v>62</v>
      </c>
      <c r="Q12" s="1609"/>
      <c r="R12" s="3234"/>
    </row>
    <row r="13" spans="1:22" x14ac:dyDescent="0.4">
      <c r="C13" s="536">
        <v>2016</v>
      </c>
      <c r="D13" s="416">
        <v>22.094468480269612</v>
      </c>
      <c r="E13" s="416">
        <v>21.363443059507293</v>
      </c>
      <c r="F13" s="416">
        <v>22.785382501731551</v>
      </c>
      <c r="G13" s="416"/>
      <c r="H13" s="416">
        <v>17.340639207532842</v>
      </c>
      <c r="I13" s="416">
        <v>34.701148392699402</v>
      </c>
      <c r="J13" s="416"/>
      <c r="K13" s="416">
        <v>15.725424150256714</v>
      </c>
      <c r="L13" s="416">
        <v>28.410657300930907</v>
      </c>
      <c r="M13" s="416">
        <v>28.957826596594728</v>
      </c>
      <c r="N13" s="416">
        <v>37.562633025895707</v>
      </c>
      <c r="O13" s="416">
        <v>31.786772864072027</v>
      </c>
      <c r="P13" s="416">
        <v>35.35133034945158</v>
      </c>
      <c r="Q13" s="416"/>
      <c r="R13" s="416">
        <v>30.873665940958851</v>
      </c>
    </row>
    <row r="14" spans="1:22" x14ac:dyDescent="0.4">
      <c r="C14" s="536">
        <v>2017</v>
      </c>
      <c r="D14" s="416">
        <v>21.603293221146473</v>
      </c>
      <c r="E14" s="416">
        <v>20.903435994308019</v>
      </c>
      <c r="F14" s="416">
        <v>22.267766416748604</v>
      </c>
      <c r="G14" s="416"/>
      <c r="H14" s="416">
        <v>17.158952369410578</v>
      </c>
      <c r="I14" s="416">
        <v>33.361949293601967</v>
      </c>
      <c r="J14" s="416"/>
      <c r="K14" s="416">
        <v>15.389074326440413</v>
      </c>
      <c r="L14" s="416">
        <v>26.799094981817412</v>
      </c>
      <c r="M14" s="416">
        <v>33.155470661310027</v>
      </c>
      <c r="N14" s="416">
        <v>36.829639980634653</v>
      </c>
      <c r="O14" s="416">
        <v>30.748621529600779</v>
      </c>
      <c r="P14" s="416">
        <v>31.965338909828571</v>
      </c>
      <c r="Q14" s="416"/>
      <c r="R14" s="416">
        <v>32.062739123660471</v>
      </c>
    </row>
    <row r="15" spans="1:22" x14ac:dyDescent="0.4">
      <c r="C15" s="536">
        <v>2018</v>
      </c>
      <c r="D15" s="416">
        <v>22.193780585473817</v>
      </c>
      <c r="E15" s="416">
        <v>21.156419822763748</v>
      </c>
      <c r="F15" s="416">
        <v>23.177541635110131</v>
      </c>
      <c r="G15" s="416"/>
      <c r="H15" s="416">
        <v>17.700243082295668</v>
      </c>
      <c r="I15" s="416">
        <v>34.048264017472086</v>
      </c>
      <c r="J15" s="416"/>
      <c r="K15" s="416">
        <v>15.912211256141731</v>
      </c>
      <c r="L15" s="416">
        <v>28.261772256361105</v>
      </c>
      <c r="M15" s="416">
        <v>26.467598215138572</v>
      </c>
      <c r="N15" s="416">
        <v>36.752223148059606</v>
      </c>
      <c r="O15" s="416">
        <v>31.426469869290628</v>
      </c>
      <c r="P15" s="416">
        <v>37.794759664583196</v>
      </c>
      <c r="Q15" s="416"/>
      <c r="R15" s="416">
        <v>29.40926152234637</v>
      </c>
    </row>
    <row r="16" spans="1:22" x14ac:dyDescent="0.4">
      <c r="C16" s="536">
        <v>2019</v>
      </c>
      <c r="D16" s="416">
        <v>21.4788035934093</v>
      </c>
      <c r="E16" s="416">
        <v>20.460850106378594</v>
      </c>
      <c r="F16" s="416">
        <v>22.437934535162739</v>
      </c>
      <c r="G16" s="416"/>
      <c r="H16" s="416">
        <v>17.575293599357835</v>
      </c>
      <c r="I16" s="416">
        <v>31.765952362443894</v>
      </c>
      <c r="J16" s="416"/>
      <c r="K16" s="416">
        <v>15.632707830540083</v>
      </c>
      <c r="L16" s="416">
        <v>22.125544616700633</v>
      </c>
      <c r="M16" s="416">
        <v>31.003667822159279</v>
      </c>
      <c r="N16" s="416">
        <v>34.08832260920817</v>
      </c>
      <c r="O16" s="416">
        <v>32.806761915436496</v>
      </c>
      <c r="P16" s="416">
        <v>34.464225487834256</v>
      </c>
      <c r="Q16" s="416"/>
      <c r="R16" s="416">
        <v>30.415204661162758</v>
      </c>
    </row>
    <row r="17" spans="3:18" x14ac:dyDescent="0.4">
      <c r="C17" s="536">
        <v>2020</v>
      </c>
      <c r="D17" s="416">
        <v>21.463999482810301</v>
      </c>
      <c r="E17" s="416">
        <v>20.922919022592275</v>
      </c>
      <c r="F17" s="416">
        <v>21.974757705275017</v>
      </c>
      <c r="G17" s="416"/>
      <c r="H17" s="416">
        <v>19.050997128361121</v>
      </c>
      <c r="I17" s="416">
        <v>27.822778211402493</v>
      </c>
      <c r="J17" s="416"/>
      <c r="K17" s="416">
        <v>17.344091274586027</v>
      </c>
      <c r="L17" s="416">
        <v>29.660963123864693</v>
      </c>
      <c r="M17" s="416">
        <v>30.678183404266569</v>
      </c>
      <c r="N17" s="416">
        <v>24.544921362952071</v>
      </c>
      <c r="O17" s="416">
        <v>28.496249921171145</v>
      </c>
      <c r="P17" s="416">
        <v>27.660532307859988</v>
      </c>
      <c r="Q17" s="416"/>
      <c r="R17" s="416">
        <v>24.273751125139956</v>
      </c>
    </row>
    <row r="18" spans="3:18" x14ac:dyDescent="0.4">
      <c r="C18" s="536">
        <v>2021</v>
      </c>
      <c r="D18" s="416">
        <v>22.355681791948051</v>
      </c>
      <c r="E18" s="416">
        <v>21.029494544442077</v>
      </c>
      <c r="F18" s="416">
        <v>23.587033216831617</v>
      </c>
      <c r="G18" s="416"/>
      <c r="H18" s="416">
        <v>18.333315482820666</v>
      </c>
      <c r="I18" s="416">
        <v>32.93497175670413</v>
      </c>
      <c r="J18" s="416"/>
      <c r="K18" s="416">
        <v>16.270516526329018</v>
      </c>
      <c r="L18" s="416">
        <v>27.52913828819915</v>
      </c>
      <c r="M18" s="416">
        <v>28.681017051800094</v>
      </c>
      <c r="N18" s="416">
        <v>36.998376496625106</v>
      </c>
      <c r="O18" s="416">
        <v>32.639414476400162</v>
      </c>
      <c r="P18" s="416">
        <v>34.331882085322199</v>
      </c>
      <c r="Q18" s="416"/>
      <c r="R18" s="416">
        <v>30.600589040973258</v>
      </c>
    </row>
    <row r="19" spans="3:18" x14ac:dyDescent="0.4">
      <c r="C19" s="536">
        <v>2022</v>
      </c>
      <c r="D19" s="416">
        <v>22.414935378425369</v>
      </c>
      <c r="E19" s="416">
        <v>21.546624188705128</v>
      </c>
      <c r="F19" s="416">
        <v>23.208136697338393</v>
      </c>
      <c r="G19" s="416"/>
      <c r="H19" s="416">
        <v>18.019667363889713</v>
      </c>
      <c r="I19" s="416">
        <v>33.960919788405484</v>
      </c>
      <c r="J19" s="416"/>
      <c r="K19" s="416">
        <v>15.68468293436255</v>
      </c>
      <c r="L19" s="416">
        <v>27.450097590781692</v>
      </c>
      <c r="M19" s="416">
        <v>30.275717841471867</v>
      </c>
      <c r="N19" s="416">
        <v>36.138002694067964</v>
      </c>
      <c r="O19" s="416">
        <v>35.767997581445258</v>
      </c>
      <c r="P19" s="416">
        <v>35.549863920019789</v>
      </c>
      <c r="Q19" s="416"/>
      <c r="R19" s="416">
        <v>31.775616580544714</v>
      </c>
    </row>
    <row r="20" spans="3:18" x14ac:dyDescent="0.4">
      <c r="C20" s="2365">
        <v>2023</v>
      </c>
      <c r="D20" s="2369">
        <v>22.719819892477208</v>
      </c>
      <c r="E20" s="2369">
        <v>21.30140435338323</v>
      </c>
      <c r="F20" s="2369">
        <v>24.000238865605525</v>
      </c>
      <c r="G20" s="2369"/>
      <c r="H20" s="2369">
        <v>18.389658109911224</v>
      </c>
      <c r="I20" s="2369">
        <v>34.072574811687694</v>
      </c>
      <c r="J20" s="2369"/>
      <c r="K20" s="2369">
        <v>16.314382314373045</v>
      </c>
      <c r="L20" s="2369">
        <v>30.367543094922382</v>
      </c>
      <c r="M20" s="2369">
        <v>28.64838192359883</v>
      </c>
      <c r="N20" s="2369">
        <v>34.663356922363946</v>
      </c>
      <c r="O20" s="2369">
        <v>35.899159026560604</v>
      </c>
      <c r="P20" s="2369">
        <v>33.949277971839102</v>
      </c>
      <c r="Q20" s="2369"/>
      <c r="R20" s="2369">
        <v>32.36898140100817</v>
      </c>
    </row>
    <row r="21" spans="3:18" s="2279" customFormat="1" x14ac:dyDescent="0.4">
      <c r="C21" s="824">
        <v>2024</v>
      </c>
      <c r="D21" s="1453">
        <v>22.299679682046115</v>
      </c>
      <c r="E21" s="1453">
        <v>21.194555605292052</v>
      </c>
      <c r="F21" s="1453">
        <v>23.308296974723252</v>
      </c>
      <c r="G21" s="1453"/>
      <c r="H21" s="1453">
        <v>17.88660188670298</v>
      </c>
      <c r="I21" s="1453">
        <v>33.850064000316422</v>
      </c>
      <c r="J21" s="1453"/>
      <c r="K21" s="1453">
        <v>15.195385313450407</v>
      </c>
      <c r="L21" s="1453">
        <v>31.540017015697341</v>
      </c>
      <c r="M21" s="1453">
        <v>30.47326002748969</v>
      </c>
      <c r="N21" s="1453">
        <v>38.054719794535451</v>
      </c>
      <c r="O21" s="1453">
        <v>35.351529085803222</v>
      </c>
      <c r="P21" s="1453">
        <v>32.330567234802331</v>
      </c>
      <c r="Q21" s="1453"/>
      <c r="R21" s="1453">
        <v>32.08217046220885</v>
      </c>
    </row>
    <row r="22" spans="3:18" x14ac:dyDescent="0.4">
      <c r="C22" s="2285" t="s">
        <v>8132</v>
      </c>
      <c r="D22" s="416"/>
      <c r="E22" s="416"/>
      <c r="F22" s="416"/>
      <c r="G22" s="416"/>
      <c r="H22" s="416"/>
      <c r="I22" s="416"/>
      <c r="J22" s="416"/>
      <c r="K22" s="416"/>
      <c r="L22" s="416"/>
      <c r="M22" s="416"/>
      <c r="N22" s="416"/>
      <c r="O22" s="416"/>
      <c r="P22" s="416"/>
      <c r="Q22" s="416"/>
      <c r="R22" s="416"/>
    </row>
    <row r="25" spans="3:18" ht="19.149999999999999" customHeight="1" x14ac:dyDescent="0.4">
      <c r="C25" s="2438" t="s">
        <v>8133</v>
      </c>
      <c r="D25" s="2438"/>
      <c r="E25" s="2438"/>
      <c r="F25" s="2438"/>
      <c r="G25" s="2438"/>
      <c r="H25" s="2438"/>
      <c r="I25" s="2438"/>
      <c r="J25" s="2438"/>
      <c r="K25" s="2438"/>
      <c r="L25" s="2438"/>
      <c r="M25" s="2438"/>
    </row>
    <row r="26" spans="3:18" ht="23.45" customHeight="1" x14ac:dyDescent="0.4">
      <c r="C26" s="2438"/>
      <c r="D26" s="2438"/>
      <c r="E26" s="2438"/>
      <c r="F26" s="2438"/>
      <c r="G26" s="2438"/>
      <c r="H26" s="2438"/>
      <c r="I26" s="2438"/>
      <c r="J26" s="2438"/>
      <c r="K26" s="2438"/>
      <c r="L26" s="2438"/>
      <c r="M26" s="2438"/>
    </row>
    <row r="41" spans="3:3" x14ac:dyDescent="0.4">
      <c r="C41" s="301" t="s">
        <v>8134</v>
      </c>
    </row>
  </sheetData>
  <mergeCells count="17">
    <mergeCell ref="A5:B5"/>
    <mergeCell ref="C5:V5"/>
    <mergeCell ref="C1:E1"/>
    <mergeCell ref="A3:B3"/>
    <mergeCell ref="C3:V3"/>
    <mergeCell ref="A4:B4"/>
    <mergeCell ref="C4:V4"/>
    <mergeCell ref="C25:M26"/>
    <mergeCell ref="A6:B6"/>
    <mergeCell ref="C6:V6"/>
    <mergeCell ref="C9:R9"/>
    <mergeCell ref="C11:C12"/>
    <mergeCell ref="D11:D12"/>
    <mergeCell ref="E11:F11"/>
    <mergeCell ref="H11:I11"/>
    <mergeCell ref="K11:P11"/>
    <mergeCell ref="R11:R12"/>
  </mergeCells>
  <hyperlinks>
    <hyperlink ref="A1" location="'ODS 10.'!A1" display="REGRESAR" xr:uid="{B5D4AB46-FD01-4F70-A2F5-49C22332BCA7}"/>
    <hyperlink ref="C1:D1" location="'Metadato 10.2.1.b'!A1" display="VER METADATO" xr:uid="{48E1638D-4E8B-4DB2-9AAC-2A3E67EB2A28}"/>
  </hyperlinks>
  <pageMargins left="0.7" right="0.7" top="0.75" bottom="0.75" header="0.3" footer="0.3"/>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531A-6B0B-43A2-99CE-C2B4766F3B7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10.7109375" style="115" customWidth="1"/>
    <col min="2" max="2" width="26.42578125" style="115" customWidth="1"/>
    <col min="3" max="3" width="24" style="115" customWidth="1"/>
    <col min="4" max="4" width="85.7109375" style="115" customWidth="1"/>
    <col min="5" max="5" width="5.7109375" style="115" customWidth="1"/>
    <col min="6" max="6" width="7.28515625" style="115" customWidth="1"/>
    <col min="7" max="7" width="8" style="115" customWidth="1"/>
    <col min="8" max="8" width="1.7109375" style="115" customWidth="1"/>
    <col min="9" max="14" width="11.42578125" style="115"/>
    <col min="15" max="15" width="2.7109375" style="115" customWidth="1"/>
    <col min="16" max="16" width="13.28515625" style="115" customWidth="1"/>
    <col min="17" max="16384" width="11.42578125" style="115"/>
  </cols>
  <sheetData>
    <row r="1" spans="1:6" x14ac:dyDescent="0.4">
      <c r="B1" s="90" t="s">
        <v>39</v>
      </c>
    </row>
    <row r="2" spans="1:6" ht="19.5" thickBot="1" x14ac:dyDescent="0.45"/>
    <row r="3" spans="1:6" ht="23.25" customHeight="1" thickBot="1" x14ac:dyDescent="0.45">
      <c r="B3" s="3230" t="s">
        <v>75</v>
      </c>
      <c r="C3" s="3230"/>
      <c r="D3" s="3230"/>
      <c r="F3" s="1046" t="s">
        <v>76</v>
      </c>
    </row>
    <row r="4" spans="1:6" x14ac:dyDescent="0.4">
      <c r="A4" s="283"/>
      <c r="B4" s="2445" t="s">
        <v>234</v>
      </c>
      <c r="C4" s="2445"/>
      <c r="D4" s="49" t="s">
        <v>5625</v>
      </c>
    </row>
    <row r="5" spans="1:6" ht="50.25" customHeight="1" x14ac:dyDescent="0.4">
      <c r="B5" s="2445" t="s">
        <v>79</v>
      </c>
      <c r="C5" s="2445"/>
      <c r="D5" s="49" t="s">
        <v>5589</v>
      </c>
    </row>
    <row r="6" spans="1:6" x14ac:dyDescent="0.4">
      <c r="B6" s="2445" t="s">
        <v>80</v>
      </c>
      <c r="C6" s="2445"/>
      <c r="D6" s="50" t="s">
        <v>5590</v>
      </c>
    </row>
    <row r="7" spans="1:6" ht="37.5" x14ac:dyDescent="0.4">
      <c r="B7" s="2446" t="s">
        <v>81</v>
      </c>
      <c r="C7" s="2446"/>
      <c r="D7" s="93" t="s">
        <v>5591</v>
      </c>
    </row>
    <row r="8" spans="1:6" x14ac:dyDescent="0.4">
      <c r="B8" s="2446" t="s">
        <v>82</v>
      </c>
      <c r="C8" s="2446"/>
      <c r="D8" s="1047" t="s">
        <v>5637</v>
      </c>
    </row>
    <row r="9" spans="1:6" ht="23.25" customHeight="1" x14ac:dyDescent="0.4"/>
    <row r="10" spans="1:6" ht="19.5" x14ac:dyDescent="0.4">
      <c r="B10" s="3230" t="s">
        <v>85</v>
      </c>
      <c r="C10" s="3230"/>
      <c r="D10" s="3230"/>
    </row>
    <row r="11" spans="1:6" x14ac:dyDescent="0.4">
      <c r="B11" s="2487" t="s">
        <v>86</v>
      </c>
      <c r="C11" s="2456"/>
      <c r="D11" s="49" t="s">
        <v>167</v>
      </c>
    </row>
    <row r="12" spans="1:6" ht="37.5" x14ac:dyDescent="0.4">
      <c r="B12" s="2446" t="s">
        <v>88</v>
      </c>
      <c r="C12" s="2446"/>
      <c r="D12" s="184" t="s">
        <v>5648</v>
      </c>
    </row>
    <row r="13" spans="1:6" x14ac:dyDescent="0.4">
      <c r="B13" s="2445" t="s">
        <v>90</v>
      </c>
      <c r="C13" s="2445"/>
      <c r="D13" s="55" t="s">
        <v>5590</v>
      </c>
    </row>
    <row r="14" spans="1:6" x14ac:dyDescent="0.4">
      <c r="B14" s="2445" t="s">
        <v>91</v>
      </c>
      <c r="C14" s="2456"/>
      <c r="D14" s="54" t="s">
        <v>92</v>
      </c>
    </row>
    <row r="15" spans="1:6" ht="48.75" customHeight="1" x14ac:dyDescent="0.4">
      <c r="B15" s="2445" t="s">
        <v>93</v>
      </c>
      <c r="C15" s="2445"/>
      <c r="D15" s="55" t="s">
        <v>5649</v>
      </c>
    </row>
    <row r="16" spans="1:6" ht="51.75" customHeight="1" x14ac:dyDescent="0.4">
      <c r="B16" s="2445" t="s">
        <v>95</v>
      </c>
      <c r="C16" s="2445"/>
      <c r="D16" s="55"/>
    </row>
    <row r="17" spans="2:4" x14ac:dyDescent="0.4">
      <c r="B17" s="2445" t="s">
        <v>97</v>
      </c>
      <c r="C17" s="2445"/>
      <c r="D17" s="55" t="s">
        <v>98</v>
      </c>
    </row>
    <row r="18" spans="2:4" x14ac:dyDescent="0.4">
      <c r="B18" s="2446" t="s">
        <v>99</v>
      </c>
      <c r="C18" s="2446"/>
      <c r="D18" s="49"/>
    </row>
    <row r="19" spans="2:4" ht="56.25" x14ac:dyDescent="0.4">
      <c r="B19" s="2457" t="s">
        <v>100</v>
      </c>
      <c r="C19" s="2458"/>
      <c r="D19" s="55" t="s">
        <v>5650</v>
      </c>
    </row>
    <row r="20" spans="2:4" x14ac:dyDescent="0.4">
      <c r="B20" s="2445" t="s">
        <v>102</v>
      </c>
      <c r="C20" s="2445"/>
      <c r="D20" s="55" t="s">
        <v>140</v>
      </c>
    </row>
    <row r="21" spans="2:4" ht="16.5" customHeight="1" x14ac:dyDescent="0.4">
      <c r="B21" s="2451" t="s">
        <v>104</v>
      </c>
      <c r="C21" s="95" t="s">
        <v>105</v>
      </c>
      <c r="D21" s="49" t="s">
        <v>5651</v>
      </c>
    </row>
    <row r="22" spans="2:4" ht="15" customHeight="1" x14ac:dyDescent="0.4">
      <c r="B22" s="2452"/>
      <c r="C22" s="96" t="s">
        <v>107</v>
      </c>
      <c r="D22" s="55" t="s">
        <v>5644</v>
      </c>
    </row>
    <row r="23" spans="2:4" x14ac:dyDescent="0.4">
      <c r="B23" s="2445" t="s">
        <v>109</v>
      </c>
      <c r="C23" s="2445"/>
      <c r="D23" s="55" t="s">
        <v>143</v>
      </c>
    </row>
    <row r="24" spans="2:4" x14ac:dyDescent="0.4">
      <c r="B24" s="2445" t="s">
        <v>111</v>
      </c>
      <c r="C24" s="2445"/>
      <c r="D24" s="50" t="s">
        <v>127</v>
      </c>
    </row>
    <row r="25" spans="2:4" ht="15" customHeight="1" x14ac:dyDescent="0.4">
      <c r="B25" s="2445" t="s">
        <v>113</v>
      </c>
      <c r="C25" s="2445"/>
      <c r="D25" s="55" t="s">
        <v>144</v>
      </c>
    </row>
    <row r="26" spans="2:4" ht="15" customHeight="1" x14ac:dyDescent="0.4">
      <c r="B26" s="2446" t="s">
        <v>115</v>
      </c>
      <c r="C26" s="2446"/>
      <c r="D26" s="50" t="s">
        <v>5631</v>
      </c>
    </row>
    <row r="27" spans="2:4" x14ac:dyDescent="0.4">
      <c r="B27" s="2447" t="s">
        <v>117</v>
      </c>
      <c r="C27" s="2448"/>
      <c r="D27" s="49"/>
    </row>
    <row r="28" spans="2:4" ht="131.25" x14ac:dyDescent="0.4">
      <c r="B28" s="97" t="s">
        <v>118</v>
      </c>
      <c r="C28" s="98"/>
      <c r="D28" s="55" t="s">
        <v>5652</v>
      </c>
    </row>
    <row r="29" spans="2:4" x14ac:dyDescent="0.4">
      <c r="B29" s="2449" t="s">
        <v>120</v>
      </c>
      <c r="C29" s="2450"/>
      <c r="D29" s="62"/>
    </row>
    <row r="30" spans="2:4" ht="23.25" customHeight="1" x14ac:dyDescent="0.4">
      <c r="B30" s="63"/>
      <c r="C30" s="63"/>
      <c r="D30" s="64"/>
    </row>
    <row r="31" spans="2:4" ht="19.5" x14ac:dyDescent="0.4">
      <c r="B31" s="3230" t="s">
        <v>121</v>
      </c>
      <c r="C31" s="3230"/>
      <c r="D31" s="3230"/>
    </row>
    <row r="32" spans="2:4" x14ac:dyDescent="0.4">
      <c r="B32" s="2447" t="s">
        <v>122</v>
      </c>
      <c r="C32" s="2448"/>
      <c r="D32" s="50" t="s">
        <v>123</v>
      </c>
    </row>
    <row r="33" spans="2:4" x14ac:dyDescent="0.4">
      <c r="B33" s="2447" t="s">
        <v>124</v>
      </c>
      <c r="C33" s="2448"/>
      <c r="D33" s="50" t="s">
        <v>1790</v>
      </c>
    </row>
    <row r="34" spans="2:4" x14ac:dyDescent="0.4">
      <c r="B34" s="2447" t="s">
        <v>126</v>
      </c>
      <c r="C34" s="2448"/>
      <c r="D34" s="50" t="s">
        <v>127</v>
      </c>
    </row>
    <row r="35" spans="2:4" x14ac:dyDescent="0.4">
      <c r="B35" s="2447" t="s">
        <v>128</v>
      </c>
      <c r="C35" s="2448"/>
      <c r="D35" s="50" t="s">
        <v>5653</v>
      </c>
    </row>
    <row r="36" spans="2:4" x14ac:dyDescent="0.4">
      <c r="B36" s="2447" t="s">
        <v>130</v>
      </c>
      <c r="C36" s="2448"/>
      <c r="D36" s="50"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E3CD771-FA8E-470A-AC5C-71C85FA4BEB3}">
      <formula1>ODS</formula1>
    </dataValidation>
    <dataValidation type="list" allowBlank="1" showInputMessage="1" showErrorMessage="1" sqref="D5" xr:uid="{F5A3FE2B-76E5-42C3-8251-CBB851134899}">
      <formula1>Metas_ODS</formula1>
    </dataValidation>
    <dataValidation type="list" allowBlank="1" showInputMessage="1" showErrorMessage="1" sqref="D6" xr:uid="{5F40EC89-7421-4594-A26D-47C82CFF5D5F}">
      <formula1>Numero_indicador</formula1>
    </dataValidation>
    <dataValidation type="list" allowBlank="1" showInputMessage="1" showErrorMessage="1" sqref="D7" xr:uid="{A62B1887-6223-48F5-AED3-BBB69478DE6B}">
      <formula1>Nombre_indicador_ODS</formula1>
    </dataValidation>
    <dataValidation type="list" allowBlank="1" showInputMessage="1" showErrorMessage="1" sqref="D14" xr:uid="{D5C1EDC4-D69B-4657-864F-672B7910C52F}">
      <formula1>Tipo_indicador</formula1>
    </dataValidation>
    <dataValidation type="list" allowBlank="1" showInputMessage="1" showErrorMessage="1" sqref="D25" xr:uid="{0680C2FB-CD06-4B5D-AF16-F0DBA5A1CE29}">
      <formula1>Tipo_operación</formula1>
    </dataValidation>
  </dataValidations>
  <hyperlinks>
    <hyperlink ref="B1" location="'10.2.1.b'!A1" display="REGRESAR" xr:uid="{B4EA8E2E-B7D6-4FDB-91AC-6EB245EB4FB9}"/>
    <hyperlink ref="D8" r:id="rId1" xr:uid="{74609711-CBE4-4B4F-920F-8EEF108DFB30}"/>
  </hyperlinks>
  <pageMargins left="0.7" right="0.7" top="0.75" bottom="0.75" header="0.3" footer="0.3"/>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409E-8679-4CEC-9FA5-808605E22225}">
  <dimension ref="A1:O37"/>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7109375" style="115" customWidth="1"/>
    <col min="3" max="3" width="35" style="1048" customWidth="1"/>
    <col min="4" max="7" width="11.5703125" style="115" customWidth="1"/>
    <col min="8" max="16384" width="11.42578125" style="115"/>
  </cols>
  <sheetData>
    <row r="1" spans="1:15" s="1032" customFormat="1" ht="19.5" x14ac:dyDescent="0.4">
      <c r="A1" s="15" t="s">
        <v>39</v>
      </c>
      <c r="B1" s="1080"/>
      <c r="C1" s="15" t="s">
        <v>149</v>
      </c>
    </row>
    <row r="2" spans="1:15" s="1032" customFormat="1" ht="19.5" x14ac:dyDescent="0.4">
      <c r="C2" s="1061"/>
    </row>
    <row r="3" spans="1:15" s="1032" customFormat="1" ht="12.75" customHeight="1" x14ac:dyDescent="0.4">
      <c r="A3" s="3223" t="s">
        <v>41</v>
      </c>
      <c r="B3" s="3223"/>
      <c r="C3" s="3223" t="s">
        <v>5585</v>
      </c>
      <c r="D3" s="3224"/>
      <c r="E3" s="3224"/>
      <c r="F3" s="3224"/>
      <c r="G3" s="3224"/>
      <c r="H3" s="3224"/>
      <c r="I3" s="3224"/>
      <c r="J3" s="3224"/>
      <c r="K3" s="3224"/>
      <c r="L3" s="3224"/>
      <c r="M3" s="3224"/>
      <c r="N3" s="3224"/>
      <c r="O3" s="3224"/>
    </row>
    <row r="4" spans="1:15" s="1032" customFormat="1" ht="18.600000000000001" customHeight="1" x14ac:dyDescent="0.4">
      <c r="A4" s="3223" t="s">
        <v>42</v>
      </c>
      <c r="B4" s="3224"/>
      <c r="C4" s="3223" t="s">
        <v>5592</v>
      </c>
      <c r="D4" s="3224"/>
      <c r="E4" s="3224"/>
      <c r="F4" s="3224"/>
      <c r="G4" s="3224"/>
      <c r="H4" s="3224"/>
      <c r="I4" s="3224"/>
      <c r="J4" s="3224"/>
      <c r="K4" s="3224"/>
      <c r="L4" s="3224"/>
      <c r="M4" s="3224"/>
      <c r="N4" s="3224"/>
      <c r="O4" s="3224"/>
    </row>
    <row r="5" spans="1:15" s="1032" customFormat="1" ht="33" customHeight="1" x14ac:dyDescent="0.4">
      <c r="A5" s="3223" t="s">
        <v>43</v>
      </c>
      <c r="B5" s="3224"/>
      <c r="C5" s="3237" t="s">
        <v>5594</v>
      </c>
      <c r="D5" s="3238"/>
      <c r="E5" s="3238"/>
      <c r="F5" s="3238"/>
      <c r="G5" s="3238"/>
      <c r="H5" s="3238"/>
      <c r="I5" s="3238"/>
      <c r="J5" s="3238"/>
      <c r="K5" s="3238"/>
      <c r="L5" s="3238"/>
      <c r="M5" s="3238"/>
      <c r="N5" s="3238"/>
      <c r="O5" s="3238"/>
    </row>
    <row r="6" spans="1:15" s="1032" customFormat="1" ht="42" customHeight="1" x14ac:dyDescent="0.4">
      <c r="A6" s="3223" t="s">
        <v>132</v>
      </c>
      <c r="B6" s="3224"/>
      <c r="C6" s="3237" t="s">
        <v>5654</v>
      </c>
      <c r="D6" s="3224"/>
      <c r="E6" s="3224"/>
      <c r="F6" s="3224"/>
      <c r="G6" s="3224"/>
      <c r="H6" s="3224"/>
      <c r="I6" s="3224"/>
      <c r="J6" s="3224"/>
      <c r="K6" s="3224"/>
      <c r="L6" s="3224"/>
      <c r="M6" s="3224"/>
      <c r="N6" s="3224"/>
      <c r="O6" s="3224"/>
    </row>
    <row r="7" spans="1:15" x14ac:dyDescent="0.4">
      <c r="A7" s="536"/>
    </row>
    <row r="8" spans="1:15" x14ac:dyDescent="0.4">
      <c r="A8" s="536"/>
    </row>
    <row r="9" spans="1:15" ht="43.15" customHeight="1" x14ac:dyDescent="0.4">
      <c r="C9" s="2628" t="s">
        <v>5655</v>
      </c>
      <c r="D9" s="2628"/>
      <c r="E9" s="2628"/>
      <c r="F9" s="2628"/>
      <c r="I9" s="2648" t="s">
        <v>5656</v>
      </c>
      <c r="J9" s="2648"/>
      <c r="K9" s="2648"/>
    </row>
    <row r="10" spans="1:15" ht="75" x14ac:dyDescent="0.4">
      <c r="C10" s="1618" t="s">
        <v>5657</v>
      </c>
      <c r="D10" s="1618" t="s">
        <v>47</v>
      </c>
      <c r="E10" s="1618" t="s">
        <v>5658</v>
      </c>
      <c r="F10" s="1618" t="s">
        <v>5659</v>
      </c>
    </row>
    <row r="11" spans="1:15" x14ac:dyDescent="0.4">
      <c r="C11" s="1619" t="s">
        <v>47</v>
      </c>
      <c r="D11" s="1620">
        <v>100</v>
      </c>
      <c r="E11" s="1620">
        <v>100</v>
      </c>
      <c r="F11" s="1620">
        <v>100</v>
      </c>
    </row>
    <row r="12" spans="1:15" x14ac:dyDescent="0.4">
      <c r="C12" s="1621" t="s">
        <v>5660</v>
      </c>
      <c r="D12" s="1622">
        <v>87.108640120889916</v>
      </c>
      <c r="E12" s="1622">
        <v>89.511208255418325</v>
      </c>
      <c r="F12" s="1622">
        <v>75.937075555223714</v>
      </c>
    </row>
    <row r="13" spans="1:15" x14ac:dyDescent="0.4">
      <c r="C13" s="1621" t="s">
        <v>5661</v>
      </c>
      <c r="D13" s="1622">
        <v>12.769633619043667</v>
      </c>
      <c r="E13" s="1622">
        <v>10.378354112387887</v>
      </c>
      <c r="F13" s="1622">
        <v>23.88870783768219</v>
      </c>
    </row>
    <row r="14" spans="1:15" ht="19.5" x14ac:dyDescent="0.4">
      <c r="C14" s="1623" t="s">
        <v>5662</v>
      </c>
      <c r="D14" s="1624">
        <v>0.12172626006636378</v>
      </c>
      <c r="E14" s="1624">
        <v>0.11043763219354447</v>
      </c>
      <c r="F14" s="1624" t="s">
        <v>5663</v>
      </c>
    </row>
    <row r="15" spans="1:15" x14ac:dyDescent="0.4">
      <c r="C15" s="3068" t="s">
        <v>5664</v>
      </c>
      <c r="D15" s="3068"/>
      <c r="E15" s="3068"/>
      <c r="F15" s="3068"/>
    </row>
    <row r="16" spans="1:15" x14ac:dyDescent="0.4">
      <c r="C16" s="3239" t="s">
        <v>5665</v>
      </c>
      <c r="D16" s="3239"/>
      <c r="E16" s="3239"/>
      <c r="F16" s="3239"/>
    </row>
    <row r="20" spans="3:9" ht="52.9" customHeight="1" x14ac:dyDescent="0.4">
      <c r="C20" s="2628" t="s">
        <v>5666</v>
      </c>
      <c r="D20" s="2628"/>
      <c r="E20" s="2628"/>
      <c r="F20" s="2628"/>
      <c r="G20" s="2628"/>
      <c r="H20" s="2628"/>
      <c r="I20" s="2628"/>
    </row>
    <row r="21" spans="3:9" ht="35.450000000000003" customHeight="1" x14ac:dyDescent="0.4">
      <c r="C21" s="1616" t="s">
        <v>5667</v>
      </c>
      <c r="D21" s="3229" t="s">
        <v>47</v>
      </c>
      <c r="E21" s="3229"/>
      <c r="F21" s="3229" t="s">
        <v>5658</v>
      </c>
      <c r="G21" s="3229"/>
      <c r="H21" s="3229" t="s">
        <v>5659</v>
      </c>
      <c r="I21" s="3229"/>
    </row>
    <row r="22" spans="3:9" x14ac:dyDescent="0.4">
      <c r="C22" s="1608"/>
      <c r="D22" s="1608" t="s">
        <v>5668</v>
      </c>
      <c r="E22" s="1608" t="s">
        <v>5669</v>
      </c>
      <c r="F22" s="1608" t="s">
        <v>5668</v>
      </c>
      <c r="G22" s="1608" t="s">
        <v>5669</v>
      </c>
      <c r="H22" s="1608" t="s">
        <v>5668</v>
      </c>
      <c r="I22" s="1608" t="s">
        <v>5669</v>
      </c>
    </row>
    <row r="23" spans="3:9" x14ac:dyDescent="0.4">
      <c r="C23" s="649"/>
      <c r="D23" s="649"/>
      <c r="E23" s="649"/>
      <c r="F23" s="649"/>
      <c r="G23" s="649"/>
      <c r="H23" s="649"/>
      <c r="I23" s="649"/>
    </row>
    <row r="24" spans="3:9" x14ac:dyDescent="0.4">
      <c r="C24" s="1625" t="s">
        <v>5670</v>
      </c>
      <c r="D24" s="1626">
        <v>82911.013955317772</v>
      </c>
      <c r="E24" s="1622">
        <v>17.787874020208001</v>
      </c>
      <c r="F24" s="1626">
        <v>27535.277973928674</v>
      </c>
      <c r="G24" s="1622">
        <v>8.8318020474993091</v>
      </c>
      <c r="H24" s="1626">
        <v>55375.735981389131</v>
      </c>
      <c r="I24" s="1622">
        <v>35.880086852031404</v>
      </c>
    </row>
    <row r="25" spans="3:9" ht="15" customHeight="1" x14ac:dyDescent="0.4">
      <c r="C25" s="1625" t="s">
        <v>5671</v>
      </c>
      <c r="D25" s="1626">
        <v>119291.24588358146</v>
      </c>
      <c r="E25" s="1622">
        <v>25.592952639975604</v>
      </c>
      <c r="F25" s="1626">
        <v>83593.028017745688</v>
      </c>
      <c r="G25" s="1622">
        <v>26.812043688203204</v>
      </c>
      <c r="H25" s="1626">
        <v>35698.217865835752</v>
      </c>
      <c r="I25" s="1622">
        <v>23.130259757078502</v>
      </c>
    </row>
    <row r="26" spans="3:9" x14ac:dyDescent="0.4">
      <c r="C26" s="1625" t="s">
        <v>5672</v>
      </c>
      <c r="D26" s="1626">
        <v>92080.025864143376</v>
      </c>
      <c r="E26" s="1622">
        <v>19.755009880009101</v>
      </c>
      <c r="F26" s="1626">
        <v>56523.493402583008</v>
      </c>
      <c r="G26" s="1622">
        <v>18.129626482703699</v>
      </c>
      <c r="H26" s="1626">
        <v>35556.532461560317</v>
      </c>
      <c r="I26" s="1622">
        <v>23.038456288989501</v>
      </c>
    </row>
    <row r="27" spans="3:9" x14ac:dyDescent="0.4">
      <c r="C27" s="1625" t="s">
        <v>5673</v>
      </c>
      <c r="D27" s="1626">
        <v>98457.24474432753</v>
      </c>
      <c r="E27" s="1622">
        <v>21.123189578078399</v>
      </c>
      <c r="F27" s="1626">
        <v>64491.802192393785</v>
      </c>
      <c r="G27" s="1622">
        <v>20.685421486901301</v>
      </c>
      <c r="H27" s="1626">
        <v>33965.442551933738</v>
      </c>
      <c r="I27" s="1622">
        <v>22.007527432965297</v>
      </c>
    </row>
    <row r="28" spans="3:9" x14ac:dyDescent="0.4">
      <c r="C28" s="1625" t="s">
        <v>5674</v>
      </c>
      <c r="D28" s="1626">
        <v>24491.062561771116</v>
      </c>
      <c r="E28" s="1622">
        <v>5.2543554189868305</v>
      </c>
      <c r="F28" s="1626">
        <v>6751.867697802526</v>
      </c>
      <c r="G28" s="1622">
        <v>2.1656276364581299</v>
      </c>
      <c r="H28" s="1626">
        <v>17739.194863968598</v>
      </c>
      <c r="I28" s="1622">
        <v>11.493912290722701</v>
      </c>
    </row>
    <row r="29" spans="3:9" x14ac:dyDescent="0.4">
      <c r="C29" s="1625" t="s">
        <v>5675</v>
      </c>
      <c r="D29" s="1626">
        <v>60155.181534539559</v>
      </c>
      <c r="E29" s="1622">
        <v>12.905797912154199</v>
      </c>
      <c r="F29" s="1626">
        <v>45647.236610995496</v>
      </c>
      <c r="G29" s="1622">
        <v>14.6411217691497</v>
      </c>
      <c r="H29" s="1626">
        <v>14507.944923544024</v>
      </c>
      <c r="I29" s="1622">
        <v>9.4002601441937514</v>
      </c>
    </row>
    <row r="30" spans="3:9" x14ac:dyDescent="0.4">
      <c r="C30" s="1625" t="s">
        <v>1701</v>
      </c>
      <c r="D30" s="1626">
        <v>44826.202169216187</v>
      </c>
      <c r="E30" s="1622">
        <v>9.6170918548904094</v>
      </c>
      <c r="F30" s="1626">
        <v>32481.271809644473</v>
      </c>
      <c r="G30" s="1622">
        <v>10.418204717069401</v>
      </c>
      <c r="H30" s="1626">
        <v>12344.930359571694</v>
      </c>
      <c r="I30" s="1622">
        <v>7.9987591249816594</v>
      </c>
    </row>
    <row r="31" spans="3:9" x14ac:dyDescent="0.4">
      <c r="C31" s="1625" t="s">
        <v>5676</v>
      </c>
      <c r="D31" s="1626">
        <v>42865.283941686837</v>
      </c>
      <c r="E31" s="1622">
        <v>9.1963930269395302</v>
      </c>
      <c r="F31" s="1626">
        <v>31367.330105095843</v>
      </c>
      <c r="G31" s="1622">
        <v>10.060913512806099</v>
      </c>
      <c r="H31" s="1626">
        <v>11497.953836590976</v>
      </c>
      <c r="I31" s="1622">
        <v>7.4499701894017694</v>
      </c>
    </row>
    <row r="32" spans="3:9" x14ac:dyDescent="0.4">
      <c r="C32" s="1625" t="s">
        <v>5677</v>
      </c>
      <c r="D32" s="1626">
        <v>24222.679976932137</v>
      </c>
      <c r="E32" s="1622">
        <v>5.1967761495919795</v>
      </c>
      <c r="F32" s="1626">
        <v>17094.326523444994</v>
      </c>
      <c r="G32" s="1622">
        <v>5.4829193347287202</v>
      </c>
      <c r="H32" s="1626">
        <v>7128.3534534871415</v>
      </c>
      <c r="I32" s="1622">
        <v>4.6187366450362903</v>
      </c>
    </row>
    <row r="33" spans="3:10" ht="19.5" x14ac:dyDescent="0.4">
      <c r="C33" s="1625" t="s">
        <v>5678</v>
      </c>
      <c r="D33" s="1626">
        <v>20728.690253505014</v>
      </c>
      <c r="E33" s="1622">
        <v>4.4471694801847397</v>
      </c>
      <c r="F33" s="1626">
        <v>17494.148424756866</v>
      </c>
      <c r="G33" s="1622">
        <v>5.6111602005004295</v>
      </c>
      <c r="H33" s="1626">
        <v>3234.5418287481421</v>
      </c>
      <c r="I33" s="1622" t="s">
        <v>5679</v>
      </c>
    </row>
    <row r="34" spans="3:10" ht="37.5" x14ac:dyDescent="0.4">
      <c r="C34" s="1625" t="s">
        <v>5680</v>
      </c>
      <c r="D34" s="1626">
        <v>11674.810853798932</v>
      </c>
      <c r="E34" s="1622">
        <v>2.5047343503608497</v>
      </c>
      <c r="F34" s="1626">
        <v>9768.975073429121</v>
      </c>
      <c r="G34" s="1622">
        <v>3.1333496664595701</v>
      </c>
      <c r="H34" s="1626">
        <v>1905.8357803698082</v>
      </c>
      <c r="I34" s="1622" t="s">
        <v>5681</v>
      </c>
    </row>
    <row r="35" spans="3:10" ht="19.5" x14ac:dyDescent="0.4">
      <c r="C35" s="1627" t="s">
        <v>878</v>
      </c>
      <c r="D35" s="1628">
        <v>4443.1811858951296</v>
      </c>
      <c r="E35" s="1624">
        <v>0.12172626006636399</v>
      </c>
      <c r="F35" s="1628">
        <v>3317.6360429231481</v>
      </c>
      <c r="G35" s="1624">
        <v>0.11043763219354399</v>
      </c>
      <c r="H35" s="1628">
        <v>1125.5451429719812</v>
      </c>
      <c r="I35" s="1624" t="s">
        <v>5663</v>
      </c>
    </row>
    <row r="36" spans="3:10" ht="19.149999999999999" customHeight="1" x14ac:dyDescent="0.4">
      <c r="C36" s="3068" t="s">
        <v>5664</v>
      </c>
      <c r="D36" s="3068"/>
      <c r="E36" s="3068"/>
      <c r="F36" s="3068"/>
      <c r="G36" s="3068"/>
      <c r="H36" s="3068"/>
      <c r="I36" s="3068"/>
      <c r="J36" s="1291"/>
    </row>
    <row r="37" spans="3:10" x14ac:dyDescent="0.4">
      <c r="C37" s="3239" t="s">
        <v>5665</v>
      </c>
      <c r="D37" s="3239"/>
      <c r="E37" s="3239"/>
      <c r="F37" s="3239"/>
      <c r="G37" s="3239"/>
      <c r="H37" s="3239"/>
      <c r="I37" s="3239"/>
    </row>
  </sheetData>
  <mergeCells count="18">
    <mergeCell ref="A3:B3"/>
    <mergeCell ref="C3:O3"/>
    <mergeCell ref="A4:B4"/>
    <mergeCell ref="C4:O4"/>
    <mergeCell ref="A5:B5"/>
    <mergeCell ref="C5:O5"/>
    <mergeCell ref="C37:I37"/>
    <mergeCell ref="A6:B6"/>
    <mergeCell ref="C6:O6"/>
    <mergeCell ref="C9:F9"/>
    <mergeCell ref="I9:K9"/>
    <mergeCell ref="C15:F15"/>
    <mergeCell ref="C16:F16"/>
    <mergeCell ref="C20:I20"/>
    <mergeCell ref="D21:E21"/>
    <mergeCell ref="F21:G21"/>
    <mergeCell ref="H21:I21"/>
    <mergeCell ref="C36:I36"/>
  </mergeCells>
  <hyperlinks>
    <hyperlink ref="A1" location="'ODS 10.'!A1" display="REGRESAR" xr:uid="{59722072-CAA4-406D-84BD-4930AF15125B}"/>
    <hyperlink ref="I9:K9" location="'10.3.1 EMNA'!A1" display="Ver indicador de 10.3.1, fuente Encuesta Nacional Mujer Niñez y Adolescencia, INEC" xr:uid="{9A442710-8DEF-4A52-BA55-9927E3BECCD6}"/>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67DC-D596-46F3-BCD2-99026F5B586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244</v>
      </c>
    </row>
    <row r="4" spans="2:6" x14ac:dyDescent="0.4">
      <c r="B4" s="2445" t="s">
        <v>234</v>
      </c>
      <c r="C4" s="2445"/>
      <c r="D4" s="49" t="s">
        <v>5625</v>
      </c>
    </row>
    <row r="5" spans="2:6" ht="56.25" x14ac:dyDescent="0.4">
      <c r="B5" s="2445" t="s">
        <v>79</v>
      </c>
      <c r="C5" s="2445"/>
      <c r="D5" s="49" t="s">
        <v>5592</v>
      </c>
    </row>
    <row r="6" spans="2:6" x14ac:dyDescent="0.4">
      <c r="B6" s="2445" t="s">
        <v>80</v>
      </c>
      <c r="C6" s="2445"/>
      <c r="D6" s="50" t="s">
        <v>5593</v>
      </c>
    </row>
    <row r="7" spans="2:6" ht="56.25" x14ac:dyDescent="0.4">
      <c r="B7" s="2446" t="s">
        <v>81</v>
      </c>
      <c r="C7" s="2446"/>
      <c r="D7" s="93" t="s">
        <v>5594</v>
      </c>
    </row>
    <row r="8" spans="2:6" x14ac:dyDescent="0.4">
      <c r="B8" s="2446" t="s">
        <v>82</v>
      </c>
      <c r="C8" s="2446"/>
      <c r="D8" s="1047" t="s">
        <v>353</v>
      </c>
    </row>
    <row r="10" spans="2:6" ht="23.25" customHeight="1" x14ac:dyDescent="0.4">
      <c r="B10" s="3230" t="s">
        <v>85</v>
      </c>
      <c r="C10" s="3230"/>
      <c r="D10" s="3230"/>
    </row>
    <row r="11" spans="2:6" x14ac:dyDescent="0.4">
      <c r="B11" s="2487" t="s">
        <v>86</v>
      </c>
      <c r="C11" s="2456"/>
      <c r="D11" s="49"/>
    </row>
    <row r="12" spans="2:6"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0DEB086-A09F-4C2E-AB68-A596420F74D6}"/>
    <dataValidation type="list" allowBlank="1" showInputMessage="1" showErrorMessage="1" sqref="D4" xr:uid="{E0DABD01-60DC-4054-9DA1-0A4D72279173}">
      <formula1>ODS</formula1>
    </dataValidation>
    <dataValidation type="list" allowBlank="1" showInputMessage="1" showErrorMessage="1" sqref="D5" xr:uid="{D36ABAF5-C1AE-42DA-8790-B5EA1B680427}">
      <formula1>Metas_ODS</formula1>
    </dataValidation>
    <dataValidation type="list" allowBlank="1" showInputMessage="1" showErrorMessage="1" sqref="D6" xr:uid="{CCC01B3D-3FF0-4CB9-BE7E-29CBB261DA3D}">
      <formula1>Numero_indicador</formula1>
    </dataValidation>
    <dataValidation type="list" allowBlank="1" showInputMessage="1" showErrorMessage="1" sqref="D7" xr:uid="{F3227213-AF9F-45FD-85F3-F0434F2E8B06}">
      <formula1>Nombre_indicador_ODS</formula1>
    </dataValidation>
    <dataValidation type="list" allowBlank="1" showInputMessage="1" showErrorMessage="1" sqref="D14" xr:uid="{C8621E3B-7591-450E-B873-349145761EA2}">
      <formula1>Tipo_indicador</formula1>
    </dataValidation>
    <dataValidation type="list" allowBlank="1" showInputMessage="1" showErrorMessage="1" sqref="D25" xr:uid="{9ECD3EC3-0C5C-4C11-9325-531A69C11884}">
      <formula1>Tipo_operación</formula1>
    </dataValidation>
  </dataValidations>
  <hyperlinks>
    <hyperlink ref="B1" location="'10.3.1'!A1" display="REGRESAR" xr:uid="{D64F00BE-A473-4249-B565-0C0794C05DBC}"/>
    <hyperlink ref="D8" r:id="rId1" xr:uid="{432BBA56-87C2-4971-ACDB-AF2E1EBCF526}"/>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A9F9-96A1-4FA1-A86B-FE0145E67819}">
  <dimension ref="A1:O5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7109375" style="115" customWidth="1"/>
    <col min="2" max="2" width="17.42578125" style="115" customWidth="1"/>
    <col min="3" max="3" width="32.5703125" style="1048" customWidth="1"/>
    <col min="4" max="7" width="11.5703125" style="115" customWidth="1"/>
    <col min="8" max="12" width="11.42578125" style="115"/>
    <col min="13" max="13" width="21.28515625" style="115" customWidth="1"/>
    <col min="14" max="16384" width="11.42578125" style="115"/>
  </cols>
  <sheetData>
    <row r="1" spans="1:15" s="1032" customFormat="1" ht="19.5" x14ac:dyDescent="0.4">
      <c r="A1" s="15" t="s">
        <v>39</v>
      </c>
      <c r="B1" s="1080"/>
      <c r="C1" s="15" t="s">
        <v>149</v>
      </c>
    </row>
    <row r="2" spans="1:15" s="1032" customFormat="1" ht="19.5" x14ac:dyDescent="0.4">
      <c r="C2" s="1061"/>
    </row>
    <row r="3" spans="1:15" s="1032" customFormat="1" ht="19.5" x14ac:dyDescent="0.4">
      <c r="A3" s="3223" t="s">
        <v>41</v>
      </c>
      <c r="B3" s="3223"/>
      <c r="C3" s="3223" t="s">
        <v>5585</v>
      </c>
      <c r="D3" s="3224"/>
      <c r="E3" s="3224"/>
      <c r="F3" s="3224"/>
      <c r="G3" s="3224"/>
      <c r="H3" s="3224"/>
      <c r="I3" s="3224"/>
      <c r="J3" s="3224"/>
      <c r="K3" s="3224"/>
      <c r="L3" s="3224"/>
      <c r="M3" s="3224"/>
      <c r="N3" s="3224"/>
      <c r="O3" s="3224"/>
    </row>
    <row r="4" spans="1:15" s="1032" customFormat="1" ht="19.5" x14ac:dyDescent="0.4">
      <c r="A4" s="3223" t="s">
        <v>42</v>
      </c>
      <c r="B4" s="3224"/>
      <c r="C4" s="3223" t="s">
        <v>5592</v>
      </c>
      <c r="D4" s="3224"/>
      <c r="E4" s="3224"/>
      <c r="F4" s="3224"/>
      <c r="G4" s="3224"/>
      <c r="H4" s="3224"/>
      <c r="I4" s="3224"/>
      <c r="J4" s="3224"/>
      <c r="K4" s="3224"/>
      <c r="L4" s="3224"/>
      <c r="M4" s="3224"/>
      <c r="N4" s="3224"/>
      <c r="O4" s="3224"/>
    </row>
    <row r="5" spans="1:15" s="1032" customFormat="1" ht="19.5" x14ac:dyDescent="0.4">
      <c r="A5" s="3223" t="s">
        <v>43</v>
      </c>
      <c r="B5" s="3224"/>
      <c r="C5" s="3237" t="s">
        <v>5594</v>
      </c>
      <c r="D5" s="3238"/>
      <c r="E5" s="3238"/>
      <c r="F5" s="3238"/>
      <c r="G5" s="3238"/>
      <c r="H5" s="3238"/>
      <c r="I5" s="3238"/>
      <c r="J5" s="3238"/>
      <c r="K5" s="3238"/>
      <c r="L5" s="3238"/>
      <c r="M5" s="3238"/>
      <c r="N5" s="3238"/>
      <c r="O5" s="3238"/>
    </row>
    <row r="6" spans="1:15" s="1032" customFormat="1" ht="19.5" x14ac:dyDescent="0.4">
      <c r="A6" s="3223" t="s">
        <v>132</v>
      </c>
      <c r="B6" s="3224"/>
      <c r="C6" s="3237" t="s">
        <v>5682</v>
      </c>
      <c r="D6" s="3224"/>
      <c r="E6" s="3224"/>
      <c r="F6" s="3224"/>
      <c r="G6" s="3224"/>
      <c r="H6" s="3224"/>
      <c r="I6" s="3224"/>
      <c r="J6" s="3224"/>
      <c r="K6" s="3224"/>
      <c r="L6" s="3224"/>
      <c r="M6" s="3224"/>
      <c r="N6" s="3224"/>
      <c r="O6" s="3224"/>
    </row>
    <row r="7" spans="1:15" s="1032" customFormat="1" ht="19.5" x14ac:dyDescent="0.4">
      <c r="A7" s="1084"/>
      <c r="C7" s="1061"/>
    </row>
    <row r="8" spans="1:15" s="1032" customFormat="1" ht="19.5" x14ac:dyDescent="0.4">
      <c r="A8" s="1084"/>
      <c r="C8" s="1061"/>
    </row>
    <row r="9" spans="1:15" s="1032" customFormat="1" ht="13.9" customHeight="1" x14ac:dyDescent="0.4">
      <c r="C9" s="138" t="s">
        <v>5682</v>
      </c>
      <c r="D9" s="138"/>
      <c r="E9" s="138"/>
      <c r="F9" s="138"/>
      <c r="G9" s="138"/>
      <c r="H9" s="138"/>
      <c r="I9" s="138"/>
      <c r="J9" s="138"/>
      <c r="K9" s="138"/>
      <c r="L9" s="138"/>
      <c r="M9" s="138"/>
      <c r="N9" s="138"/>
    </row>
    <row r="10" spans="1:15" ht="13.9" customHeight="1" x14ac:dyDescent="0.4">
      <c r="C10" s="226"/>
      <c r="D10" s="226"/>
      <c r="E10" s="226"/>
      <c r="F10" s="226"/>
      <c r="G10" s="226"/>
      <c r="H10" s="226"/>
      <c r="I10" s="226"/>
      <c r="J10" s="226"/>
      <c r="K10" s="226"/>
      <c r="L10" s="226"/>
      <c r="M10" s="226"/>
      <c r="N10" s="226"/>
    </row>
    <row r="11" spans="1:15" ht="13.9" customHeight="1" x14ac:dyDescent="0.4">
      <c r="C11" s="3233"/>
      <c r="D11" s="3229" t="s">
        <v>5683</v>
      </c>
      <c r="E11" s="3229"/>
      <c r="F11" s="3229"/>
      <c r="G11" s="3229"/>
      <c r="H11" s="3229"/>
      <c r="I11" s="3229"/>
      <c r="J11" s="3229"/>
      <c r="K11" s="3229"/>
      <c r="L11" s="3229"/>
      <c r="M11" s="3233" t="s">
        <v>5684</v>
      </c>
      <c r="N11" s="3233" t="s">
        <v>5685</v>
      </c>
    </row>
    <row r="12" spans="1:15" ht="61.15" customHeight="1" x14ac:dyDescent="0.4">
      <c r="C12" s="3234"/>
      <c r="D12" s="1608" t="s">
        <v>5686</v>
      </c>
      <c r="E12" s="1608" t="s">
        <v>5687</v>
      </c>
      <c r="F12" s="1608" t="s">
        <v>5688</v>
      </c>
      <c r="G12" s="1608" t="s">
        <v>1389</v>
      </c>
      <c r="H12" s="1608" t="s">
        <v>5689</v>
      </c>
      <c r="I12" s="1608" t="s">
        <v>5690</v>
      </c>
      <c r="J12" s="1608" t="s">
        <v>5675</v>
      </c>
      <c r="K12" s="1608" t="s">
        <v>5691</v>
      </c>
      <c r="L12" s="1608" t="s">
        <v>5692</v>
      </c>
      <c r="M12" s="3234"/>
      <c r="N12" s="3234"/>
    </row>
    <row r="13" spans="1:15" x14ac:dyDescent="0.4">
      <c r="C13" s="226" t="s">
        <v>47</v>
      </c>
      <c r="D13" s="1629">
        <v>2.436032812630621</v>
      </c>
      <c r="E13" s="1629">
        <v>10.396640161744688</v>
      </c>
      <c r="F13" s="1629">
        <v>1.7015108097178935</v>
      </c>
      <c r="G13" s="1629">
        <v>6.5663031701835397</v>
      </c>
      <c r="H13" s="1629">
        <v>10.981891719259135</v>
      </c>
      <c r="I13" s="1629">
        <v>2.074256871246893</v>
      </c>
      <c r="J13" s="1629">
        <v>3.5476658300565722</v>
      </c>
      <c r="K13" s="1629">
        <v>6.1703738516521636</v>
      </c>
      <c r="L13" s="1629">
        <v>27.846497523609358</v>
      </c>
      <c r="M13" s="1629">
        <v>72.153502476390713</v>
      </c>
      <c r="N13" s="1630">
        <v>1334631.7500000072</v>
      </c>
    </row>
    <row r="14" spans="1:15" x14ac:dyDescent="0.4">
      <c r="C14" s="226" t="s">
        <v>49</v>
      </c>
      <c r="D14" s="1631"/>
      <c r="E14" s="1631"/>
      <c r="F14" s="1631"/>
      <c r="G14" s="1631"/>
      <c r="H14" s="1631"/>
      <c r="I14" s="1631"/>
      <c r="J14" s="1631"/>
      <c r="K14" s="1631"/>
      <c r="L14" s="1631"/>
      <c r="M14" s="1631"/>
      <c r="N14" s="1445"/>
    </row>
    <row r="15" spans="1:15" x14ac:dyDescent="0.4">
      <c r="C15" s="341" t="s">
        <v>532</v>
      </c>
      <c r="D15" s="1631">
        <v>2.6887797681072989</v>
      </c>
      <c r="E15" s="1631">
        <v>11.575047574666254</v>
      </c>
      <c r="F15" s="1631">
        <v>1.9065784569936552</v>
      </c>
      <c r="G15" s="1631">
        <v>7.6694375623722051</v>
      </c>
      <c r="H15" s="1631">
        <v>11.898486230262757</v>
      </c>
      <c r="I15" s="1631">
        <v>2.2075454863276223</v>
      </c>
      <c r="J15" s="1631">
        <v>3.8050158180041334</v>
      </c>
      <c r="K15" s="1631">
        <v>6.5534851849899374</v>
      </c>
      <c r="L15" s="1631">
        <v>30.013423443965188</v>
      </c>
      <c r="M15" s="1631">
        <v>69.986576556034578</v>
      </c>
      <c r="N15" s="1445">
        <v>985658.79307580425</v>
      </c>
    </row>
    <row r="16" spans="1:15" x14ac:dyDescent="0.4">
      <c r="C16" s="341" t="s">
        <v>56</v>
      </c>
      <c r="D16" s="1631">
        <v>1.7221601352619549</v>
      </c>
      <c r="E16" s="1631">
        <v>7.0682801690127848</v>
      </c>
      <c r="F16" s="1631">
        <v>1.1223062447159213</v>
      </c>
      <c r="G16" s="1631">
        <v>3.450548519196992</v>
      </c>
      <c r="H16" s="1631">
        <v>8.3930107715242759</v>
      </c>
      <c r="I16" s="1631">
        <v>1.6977890307896848</v>
      </c>
      <c r="J16" s="1631">
        <v>2.8207920895977177</v>
      </c>
      <c r="K16" s="1631">
        <v>5.0882927134469362</v>
      </c>
      <c r="L16" s="1631">
        <v>21.726110413479958</v>
      </c>
      <c r="M16" s="1631">
        <v>78.273889586519928</v>
      </c>
      <c r="N16" s="1445">
        <v>348972.95692419278</v>
      </c>
    </row>
    <row r="17" spans="3:14" x14ac:dyDescent="0.4">
      <c r="C17" s="339" t="s">
        <v>327</v>
      </c>
      <c r="D17" s="1631"/>
      <c r="E17" s="1631"/>
      <c r="F17" s="1631"/>
      <c r="G17" s="1631"/>
      <c r="H17" s="1631"/>
      <c r="I17" s="1631"/>
      <c r="J17" s="1631"/>
      <c r="K17" s="1631"/>
      <c r="L17" s="1631"/>
      <c r="M17" s="1631"/>
      <c r="N17" s="1445"/>
    </row>
    <row r="18" spans="3:14" x14ac:dyDescent="0.4">
      <c r="C18" s="341" t="s">
        <v>328</v>
      </c>
      <c r="D18" s="1631">
        <v>2.6554851903761749</v>
      </c>
      <c r="E18" s="1631">
        <v>14.130367188005497</v>
      </c>
      <c r="F18" s="1631">
        <v>2.3357760730955386</v>
      </c>
      <c r="G18" s="1631">
        <v>8.2734755191569533</v>
      </c>
      <c r="H18" s="1631">
        <v>12.937725943967722</v>
      </c>
      <c r="I18" s="1631">
        <v>1.4766407021782104</v>
      </c>
      <c r="J18" s="1631">
        <v>3.5914820292222602</v>
      </c>
      <c r="K18" s="1631">
        <v>7.5337012562600965</v>
      </c>
      <c r="L18" s="1631">
        <v>33.431963550607449</v>
      </c>
      <c r="M18" s="1631">
        <v>66.568036449392395</v>
      </c>
      <c r="N18" s="1445">
        <v>440744.49999999988</v>
      </c>
    </row>
    <row r="19" spans="3:14" x14ac:dyDescent="0.4">
      <c r="C19" s="341" t="s">
        <v>329</v>
      </c>
      <c r="D19" s="1631">
        <v>1.9182249305118999</v>
      </c>
      <c r="E19" s="1631">
        <v>9.3178014343937186</v>
      </c>
      <c r="F19" s="1631">
        <v>1.831385354032615</v>
      </c>
      <c r="G19" s="1631">
        <v>6.7008751110552849</v>
      </c>
      <c r="H19" s="1631">
        <v>11.072966889954627</v>
      </c>
      <c r="I19" s="1631">
        <v>1.9976546847073438</v>
      </c>
      <c r="J19" s="1631">
        <v>3.495830922909557</v>
      </c>
      <c r="K19" s="1631">
        <v>5.3427626603456302</v>
      </c>
      <c r="L19" s="1631">
        <v>26.630708012955878</v>
      </c>
      <c r="M19" s="1631">
        <v>73.369291987044079</v>
      </c>
      <c r="N19" s="1445">
        <v>267509.99999999936</v>
      </c>
    </row>
    <row r="20" spans="3:14" x14ac:dyDescent="0.4">
      <c r="C20" s="341" t="s">
        <v>330</v>
      </c>
      <c r="D20" s="1631">
        <v>1.0908584712152583</v>
      </c>
      <c r="E20" s="1631">
        <v>6.821831628187276</v>
      </c>
      <c r="F20" s="1632">
        <v>0.33279669647810939</v>
      </c>
      <c r="G20" s="1631">
        <v>6.5413948001393516</v>
      </c>
      <c r="H20" s="1631">
        <v>10.259009626448162</v>
      </c>
      <c r="I20" s="1631">
        <v>2.2346550591192638</v>
      </c>
      <c r="J20" s="1631">
        <v>3.0005930013149928</v>
      </c>
      <c r="K20" s="1631">
        <v>4.6741613850417645</v>
      </c>
      <c r="L20" s="1631">
        <v>23.979597942477621</v>
      </c>
      <c r="M20" s="1631">
        <v>76.020402057522332</v>
      </c>
      <c r="N20" s="1445">
        <v>143880.75000000122</v>
      </c>
    </row>
    <row r="21" spans="3:14" x14ac:dyDescent="0.4">
      <c r="C21" s="341" t="s">
        <v>331</v>
      </c>
      <c r="D21" s="1631">
        <v>3.7059477929237397</v>
      </c>
      <c r="E21" s="1631">
        <v>12.79100776999524</v>
      </c>
      <c r="F21" s="1631">
        <v>2.0303786050572339</v>
      </c>
      <c r="G21" s="1631">
        <v>7.5780927887498901</v>
      </c>
      <c r="H21" s="1631">
        <v>15.335619818126242</v>
      </c>
      <c r="I21" s="1631">
        <v>3.551674941191989</v>
      </c>
      <c r="J21" s="1631">
        <v>4.9728977405175252</v>
      </c>
      <c r="K21" s="1631">
        <v>9.1167954905204738</v>
      </c>
      <c r="L21" s="1631">
        <v>32.624798035951052</v>
      </c>
      <c r="M21" s="1631">
        <v>67.375201964048955</v>
      </c>
      <c r="N21" s="1445">
        <v>136170.00000000041</v>
      </c>
    </row>
    <row r="22" spans="3:14" x14ac:dyDescent="0.4">
      <c r="C22" s="341" t="s">
        <v>332</v>
      </c>
      <c r="D22" s="1631">
        <v>1.6071743341790323</v>
      </c>
      <c r="E22" s="1631">
        <v>7.903599866733976</v>
      </c>
      <c r="F22" s="1632">
        <v>0.99415763490725173</v>
      </c>
      <c r="G22" s="1631">
        <v>4.5142132820373657</v>
      </c>
      <c r="H22" s="1631">
        <v>5.9484466818101289</v>
      </c>
      <c r="I22" s="1631">
        <v>2.4063556946182327</v>
      </c>
      <c r="J22" s="1631">
        <v>3.5184667477438234</v>
      </c>
      <c r="K22" s="1631">
        <v>4.0808469101738432</v>
      </c>
      <c r="L22" s="1631">
        <v>20.525296585210111</v>
      </c>
      <c r="M22" s="1631">
        <v>79.474703414789815</v>
      </c>
      <c r="N22" s="1445">
        <v>99208.499999999985</v>
      </c>
    </row>
    <row r="23" spans="3:14" x14ac:dyDescent="0.4">
      <c r="C23" s="341" t="s">
        <v>533</v>
      </c>
      <c r="D23" s="1631">
        <v>1.7975523556458519</v>
      </c>
      <c r="E23" s="1631">
        <v>5.3919126239913435</v>
      </c>
      <c r="F23" s="1631">
        <v>1.2015449259919744</v>
      </c>
      <c r="G23" s="1631">
        <v>3.1341985525617688</v>
      </c>
      <c r="H23" s="1631">
        <v>6.5978416833789124</v>
      </c>
      <c r="I23" s="1631">
        <v>2.5370410945873627</v>
      </c>
      <c r="J23" s="1631">
        <v>3.0738729239368356</v>
      </c>
      <c r="K23" s="1631">
        <v>4.5372470268904497</v>
      </c>
      <c r="L23" s="1631">
        <v>19.282449177098805</v>
      </c>
      <c r="M23" s="1631">
        <v>80.717550822901174</v>
      </c>
      <c r="N23" s="1445">
        <v>128454.5000000002</v>
      </c>
    </row>
    <row r="24" spans="3:14" x14ac:dyDescent="0.4">
      <c r="C24" s="341" t="s">
        <v>334</v>
      </c>
      <c r="D24" s="1631">
        <v>4.3461586939723391</v>
      </c>
      <c r="E24" s="1631">
        <v>8.049635007952153</v>
      </c>
      <c r="F24" s="1631">
        <v>1.4677096390719995</v>
      </c>
      <c r="G24" s="1631">
        <v>4.222164674443925</v>
      </c>
      <c r="H24" s="1631">
        <v>8.3465948791982729</v>
      </c>
      <c r="I24" s="1631">
        <v>1.7981476907459701</v>
      </c>
      <c r="J24" s="1631">
        <v>3.0669085196029573</v>
      </c>
      <c r="K24" s="1631">
        <v>4.9202714619684205</v>
      </c>
      <c r="L24" s="1631">
        <v>24.438537733320583</v>
      </c>
      <c r="M24" s="1631">
        <v>75.561462266679314</v>
      </c>
      <c r="N24" s="1445">
        <v>118663.50000000095</v>
      </c>
    </row>
    <row r="25" spans="3:14" x14ac:dyDescent="0.4">
      <c r="C25" s="226" t="s">
        <v>1389</v>
      </c>
      <c r="D25" s="1631"/>
      <c r="E25" s="1631"/>
      <c r="F25" s="1631"/>
      <c r="G25" s="1631"/>
      <c r="H25" s="1631"/>
      <c r="I25" s="1631"/>
      <c r="J25" s="1631"/>
      <c r="K25" s="1631"/>
      <c r="L25" s="1631"/>
      <c r="M25" s="1631"/>
      <c r="N25" s="1445"/>
    </row>
    <row r="26" spans="3:14" x14ac:dyDescent="0.4">
      <c r="C26" s="341" t="s">
        <v>1390</v>
      </c>
      <c r="D26" s="1631">
        <v>1.9307627743816127</v>
      </c>
      <c r="E26" s="1631">
        <v>10.223116554808399</v>
      </c>
      <c r="F26" s="1631">
        <v>2.0314828521120822</v>
      </c>
      <c r="G26" s="1631">
        <v>5.8360753529514007</v>
      </c>
      <c r="H26" s="1631">
        <v>11.510553515580451</v>
      </c>
      <c r="I26" s="1631">
        <v>0.64688020854821082</v>
      </c>
      <c r="J26" s="1631">
        <v>1.2062981018898413</v>
      </c>
      <c r="K26" s="1631">
        <v>5.3795895861704306</v>
      </c>
      <c r="L26" s="1631">
        <v>27.459427226839161</v>
      </c>
      <c r="M26" s="1631">
        <v>72.540572773160804</v>
      </c>
      <c r="N26" s="1445">
        <v>174970.41968764114</v>
      </c>
    </row>
    <row r="27" spans="3:14" x14ac:dyDescent="0.4">
      <c r="C27" s="1633" t="s">
        <v>2124</v>
      </c>
      <c r="D27" s="1631">
        <v>2.5955204897620452</v>
      </c>
      <c r="E27" s="1631">
        <v>6.2405866788084783</v>
      </c>
      <c r="F27" s="1631">
        <v>1.8121690665469361</v>
      </c>
      <c r="G27" s="1631">
        <v>6.0642692914387757</v>
      </c>
      <c r="H27" s="1631">
        <v>11.578204909164599</v>
      </c>
      <c r="I27" s="1631">
        <v>0.84847986286095534</v>
      </c>
      <c r="J27" s="1632">
        <v>0.98959428813023331</v>
      </c>
      <c r="K27" s="1631">
        <v>6.5142547365361345</v>
      </c>
      <c r="L27" s="1631">
        <v>26.939684321974998</v>
      </c>
      <c r="M27" s="1631">
        <v>73.060315678024978</v>
      </c>
      <c r="N27" s="1445">
        <v>102905.4097096195</v>
      </c>
    </row>
    <row r="28" spans="3:14" x14ac:dyDescent="0.4">
      <c r="C28" s="1633" t="s">
        <v>2125</v>
      </c>
      <c r="D28" s="1632">
        <v>0.98152034619466</v>
      </c>
      <c r="E28" s="1631">
        <v>15.909979967379369</v>
      </c>
      <c r="F28" s="1631">
        <v>2.3446525160784337</v>
      </c>
      <c r="G28" s="1631">
        <v>5.5102252525981683</v>
      </c>
      <c r="H28" s="1631">
        <v>11.413950540345654</v>
      </c>
      <c r="I28" s="1631">
        <v>0.35900548223237833</v>
      </c>
      <c r="J28" s="1631">
        <v>1.5157408501441005</v>
      </c>
      <c r="K28" s="1631">
        <v>3.7593416708892016</v>
      </c>
      <c r="L28" s="1631">
        <v>28.201595396732174</v>
      </c>
      <c r="M28" s="1631">
        <v>71.798404603267812</v>
      </c>
      <c r="N28" s="1445">
        <v>72065.009978021437</v>
      </c>
    </row>
    <row r="29" spans="3:14" x14ac:dyDescent="0.4">
      <c r="C29" s="341" t="s">
        <v>1393</v>
      </c>
      <c r="D29" s="1631">
        <v>2.6058791584297056</v>
      </c>
      <c r="E29" s="1631">
        <v>10.763981092959673</v>
      </c>
      <c r="F29" s="1631">
        <v>2.6801652019361679</v>
      </c>
      <c r="G29" s="1631">
        <v>6.557617253833059</v>
      </c>
      <c r="H29" s="1631">
        <v>11.475317828364819</v>
      </c>
      <c r="I29" s="1631">
        <v>1.2043614815224579</v>
      </c>
      <c r="J29" s="1631">
        <v>2.7648800758768903</v>
      </c>
      <c r="K29" s="1631">
        <v>5.9393760851991031</v>
      </c>
      <c r="L29" s="1631">
        <v>28.134407237149258</v>
      </c>
      <c r="M29" s="1631">
        <v>71.865592762850753</v>
      </c>
      <c r="N29" s="1445">
        <v>215414.2129985934</v>
      </c>
    </row>
    <row r="30" spans="3:14" x14ac:dyDescent="0.4">
      <c r="C30" s="341" t="s">
        <v>1394</v>
      </c>
      <c r="D30" s="1631">
        <v>1.9685711082515163</v>
      </c>
      <c r="E30" s="1631">
        <v>11.090530791713823</v>
      </c>
      <c r="F30" s="1631">
        <v>2.2506237249579346</v>
      </c>
      <c r="G30" s="1631">
        <v>4.9817537366524833</v>
      </c>
      <c r="H30" s="1631">
        <v>10.106368211035026</v>
      </c>
      <c r="I30" s="1631">
        <v>1.6421623739785212</v>
      </c>
      <c r="J30" s="1631">
        <v>3.5933882618422288</v>
      </c>
      <c r="K30" s="1631">
        <v>6.325196880967459</v>
      </c>
      <c r="L30" s="1631">
        <v>25.930099114600456</v>
      </c>
      <c r="M30" s="1631">
        <v>74.069900885399534</v>
      </c>
      <c r="N30" s="1445">
        <v>214783.85433121328</v>
      </c>
    </row>
    <row r="31" spans="3:14" x14ac:dyDescent="0.4">
      <c r="C31" s="341" t="s">
        <v>1395</v>
      </c>
      <c r="D31" s="1631">
        <v>3.171262659532379</v>
      </c>
      <c r="E31" s="1631">
        <v>11.795856192064242</v>
      </c>
      <c r="F31" s="1631">
        <v>1.4965998046589131</v>
      </c>
      <c r="G31" s="1631">
        <v>4.7323711187476594</v>
      </c>
      <c r="H31" s="1631">
        <v>10.299813748544883</v>
      </c>
      <c r="I31" s="1631">
        <v>1.6425086279069776</v>
      </c>
      <c r="J31" s="1631">
        <v>2.4246420866039662</v>
      </c>
      <c r="K31" s="1631">
        <v>4.9513334530149846</v>
      </c>
      <c r="L31" s="1631">
        <v>25.711558570751453</v>
      </c>
      <c r="M31" s="1631">
        <v>74.288441429248522</v>
      </c>
      <c r="N31" s="1445">
        <v>207734.66884983217</v>
      </c>
    </row>
    <row r="32" spans="3:14" x14ac:dyDescent="0.4">
      <c r="C32" s="341" t="s">
        <v>1396</v>
      </c>
      <c r="D32" s="1631">
        <v>3.0203151528757157</v>
      </c>
      <c r="E32" s="1631">
        <v>13.091752007877098</v>
      </c>
      <c r="F32" s="1631">
        <v>1.4282133269765007</v>
      </c>
      <c r="G32" s="1631">
        <v>5.6612117648037872</v>
      </c>
      <c r="H32" s="1631">
        <v>12.345885376492445</v>
      </c>
      <c r="I32" s="1631">
        <v>3.1541205299942727</v>
      </c>
      <c r="J32" s="1631">
        <v>6.5410103799358161</v>
      </c>
      <c r="K32" s="1631">
        <v>9.836355209927877</v>
      </c>
      <c r="L32" s="1631">
        <v>33.37672059704451</v>
      </c>
      <c r="M32" s="1631">
        <v>66.623279402955504</v>
      </c>
      <c r="N32" s="1445">
        <v>187999.53187808066</v>
      </c>
    </row>
    <row r="33" spans="3:14" x14ac:dyDescent="0.4">
      <c r="C33" s="341" t="s">
        <v>1397</v>
      </c>
      <c r="D33" s="1631">
        <v>1.8224888962245187</v>
      </c>
      <c r="E33" s="1631">
        <v>5.7536435350851738</v>
      </c>
      <c r="F33" s="1631">
        <v>0.93185884935107466</v>
      </c>
      <c r="G33" s="1631">
        <v>8.1095774618131209</v>
      </c>
      <c r="H33" s="1631">
        <v>12.833900515558728</v>
      </c>
      <c r="I33" s="1631">
        <v>1.569443941511663</v>
      </c>
      <c r="J33" s="1631">
        <v>4.9185483972657371</v>
      </c>
      <c r="K33" s="1631">
        <v>4.6301458493400371</v>
      </c>
      <c r="L33" s="1631">
        <v>26.506747096468811</v>
      </c>
      <c r="M33" s="1631">
        <v>73.493252903531314</v>
      </c>
      <c r="N33" s="1445">
        <v>162961.94030631502</v>
      </c>
    </row>
    <row r="34" spans="3:14" x14ac:dyDescent="0.4">
      <c r="C34" s="341" t="s">
        <v>1398</v>
      </c>
      <c r="D34" s="1631">
        <v>2.3753067918921218</v>
      </c>
      <c r="E34" s="1631">
        <v>8.9998890450197031</v>
      </c>
      <c r="F34" s="1631">
        <v>0.72286162062691006</v>
      </c>
      <c r="G34" s="1631">
        <v>11.073072496401478</v>
      </c>
      <c r="H34" s="1631">
        <v>8.479719583371061</v>
      </c>
      <c r="I34" s="1631">
        <v>4.9956854864362201</v>
      </c>
      <c r="J34" s="1631">
        <v>3.6391046220330039</v>
      </c>
      <c r="K34" s="1631">
        <v>5.994129667837508</v>
      </c>
      <c r="L34" s="1631">
        <v>28.077614970111846</v>
      </c>
      <c r="M34" s="1631">
        <v>71.922385029888233</v>
      </c>
      <c r="N34" s="1445">
        <v>170767.12194832671</v>
      </c>
    </row>
    <row r="35" spans="3:14" x14ac:dyDescent="0.4">
      <c r="C35" s="339" t="s">
        <v>155</v>
      </c>
      <c r="D35" s="1631"/>
      <c r="E35" s="1631"/>
      <c r="F35" s="1632"/>
      <c r="G35" s="1631"/>
      <c r="H35" s="1631"/>
      <c r="I35" s="1631"/>
      <c r="J35" s="1631"/>
      <c r="K35" s="1631"/>
      <c r="L35" s="1631"/>
      <c r="M35" s="1631"/>
      <c r="N35" s="1445"/>
    </row>
    <row r="36" spans="3:14" x14ac:dyDescent="0.4">
      <c r="C36" s="341" t="s">
        <v>543</v>
      </c>
      <c r="D36" s="1631">
        <v>16.180580440444</v>
      </c>
      <c r="E36" s="1631">
        <v>9.1619231632574589</v>
      </c>
      <c r="F36" s="1631">
        <v>4.3573804997250143</v>
      </c>
      <c r="G36" s="1631">
        <v>8.9847384230238809</v>
      </c>
      <c r="H36" s="1631">
        <v>10.041103008568129</v>
      </c>
      <c r="I36" s="1631">
        <v>10.414456269476235</v>
      </c>
      <c r="J36" s="1631">
        <v>16.613128872363049</v>
      </c>
      <c r="K36" s="1631">
        <v>3.7031509047034441</v>
      </c>
      <c r="L36" s="1631">
        <v>38.805200525809795</v>
      </c>
      <c r="M36" s="1631">
        <v>61.194799474190205</v>
      </c>
      <c r="N36" s="1445">
        <v>15070.956122428403</v>
      </c>
    </row>
    <row r="37" spans="3:14" x14ac:dyDescent="0.4">
      <c r="C37" s="341" t="s">
        <v>544</v>
      </c>
      <c r="D37" s="1631">
        <v>2.6757783277586129</v>
      </c>
      <c r="E37" s="1631">
        <v>5.066709878389057</v>
      </c>
      <c r="F37" s="1631">
        <v>1.0731076899517467</v>
      </c>
      <c r="G37" s="1631">
        <v>5.1808343616677073</v>
      </c>
      <c r="H37" s="1631">
        <v>8.3345841030384733</v>
      </c>
      <c r="I37" s="1631">
        <v>2.0470659794272947</v>
      </c>
      <c r="J37" s="1631">
        <v>5.5048543393617457</v>
      </c>
      <c r="K37" s="1631">
        <v>5.2853358540128834</v>
      </c>
      <c r="L37" s="1631">
        <v>21.319645829717796</v>
      </c>
      <c r="M37" s="1631">
        <v>78.680354170282172</v>
      </c>
      <c r="N37" s="1445">
        <v>285421.58239919908</v>
      </c>
    </row>
    <row r="38" spans="3:14" x14ac:dyDescent="0.4">
      <c r="C38" s="341" t="s">
        <v>545</v>
      </c>
      <c r="D38" s="1631">
        <v>1.6756655004991403</v>
      </c>
      <c r="E38" s="1631">
        <v>7.3784197805971132</v>
      </c>
      <c r="F38" s="1631">
        <v>1.5302299072925847</v>
      </c>
      <c r="G38" s="1631">
        <v>6.2673586190115991</v>
      </c>
      <c r="H38" s="1631">
        <v>10.590956282155751</v>
      </c>
      <c r="I38" s="1631">
        <v>1.8355750020278083</v>
      </c>
      <c r="J38" s="1631">
        <v>3.480046254266933</v>
      </c>
      <c r="K38" s="1631">
        <v>6.0095830513974295</v>
      </c>
      <c r="L38" s="1631">
        <v>25.693696368841131</v>
      </c>
      <c r="M38" s="1631">
        <v>74.306303631158769</v>
      </c>
      <c r="N38" s="1445">
        <v>599539.96904601401</v>
      </c>
    </row>
    <row r="39" spans="3:14" x14ac:dyDescent="0.4">
      <c r="C39" s="341" t="s">
        <v>546</v>
      </c>
      <c r="D39" s="1631">
        <v>2.8508945027878716</v>
      </c>
      <c r="E39" s="1631">
        <v>18.103577791000056</v>
      </c>
      <c r="F39" s="1631">
        <v>2.258398720628537</v>
      </c>
      <c r="G39" s="1631">
        <v>7.8047401542302817</v>
      </c>
      <c r="H39" s="1631">
        <v>13.292431260327866</v>
      </c>
      <c r="I39" s="1631">
        <v>2.132161732124219</v>
      </c>
      <c r="J39" s="1631">
        <v>1.9024898761553624</v>
      </c>
      <c r="K39" s="1631">
        <v>7.0589922113932095</v>
      </c>
      <c r="L39" s="1631">
        <v>34.722801604161525</v>
      </c>
      <c r="M39" s="1631">
        <v>65.277198395838226</v>
      </c>
      <c r="N39" s="1445">
        <v>434599.24243236246</v>
      </c>
    </row>
    <row r="40" spans="3:14" x14ac:dyDescent="0.4">
      <c r="C40" s="226" t="s">
        <v>1405</v>
      </c>
      <c r="D40" s="1631"/>
      <c r="E40" s="1631"/>
      <c r="F40" s="1631"/>
      <c r="G40" s="1631"/>
      <c r="H40" s="1631"/>
      <c r="I40" s="1631"/>
      <c r="J40" s="1631"/>
      <c r="K40" s="1631"/>
      <c r="L40" s="1631"/>
      <c r="M40" s="1631"/>
      <c r="N40" s="1445"/>
    </row>
    <row r="41" spans="3:14" x14ac:dyDescent="0.4">
      <c r="C41" s="341" t="s">
        <v>555</v>
      </c>
      <c r="D41" s="1631">
        <v>3.4967871171498626</v>
      </c>
      <c r="E41" s="1631">
        <v>10.324091369787356</v>
      </c>
      <c r="F41" s="1632">
        <v>0.9663070618892543</v>
      </c>
      <c r="G41" s="1631">
        <v>12.169843087382432</v>
      </c>
      <c r="H41" s="1631">
        <v>15.411863181652523</v>
      </c>
      <c r="I41" s="1631">
        <v>7.5376650291174494</v>
      </c>
      <c r="J41" s="1631">
        <v>6.1528601231019202</v>
      </c>
      <c r="K41" s="1631">
        <v>11.600950310733058</v>
      </c>
      <c r="L41" s="1631">
        <v>37.674849755570527</v>
      </c>
      <c r="M41" s="1631">
        <v>62.325150244429473</v>
      </c>
      <c r="N41" s="1445">
        <v>125697.38716197846</v>
      </c>
    </row>
    <row r="42" spans="3:14" x14ac:dyDescent="0.4">
      <c r="C42" s="341" t="s">
        <v>556</v>
      </c>
      <c r="D42" s="1631">
        <v>2.3006419724232399</v>
      </c>
      <c r="E42" s="1631">
        <v>10.79156615241785</v>
      </c>
      <c r="F42" s="1631">
        <v>1.7747691603676068</v>
      </c>
      <c r="G42" s="1631">
        <v>5.9761845095252486</v>
      </c>
      <c r="H42" s="1631">
        <v>10.422955455069308</v>
      </c>
      <c r="I42" s="1631">
        <v>1.5674012020553132</v>
      </c>
      <c r="J42" s="1631">
        <v>3.4895961787920355</v>
      </c>
      <c r="K42" s="1631">
        <v>5.5212077760180378</v>
      </c>
      <c r="L42" s="1631">
        <v>26.81390049403749</v>
      </c>
      <c r="M42" s="1631">
        <v>73.186099505962403</v>
      </c>
      <c r="N42" s="1445">
        <v>1106028.9531284077</v>
      </c>
    </row>
    <row r="43" spans="3:14" x14ac:dyDescent="0.4">
      <c r="C43" s="226" t="s">
        <v>558</v>
      </c>
      <c r="D43" s="1631"/>
      <c r="E43" s="1631"/>
      <c r="F43" s="1631"/>
      <c r="G43" s="1631"/>
      <c r="H43" s="1631"/>
      <c r="I43" s="1631"/>
      <c r="J43" s="1631"/>
      <c r="K43" s="1631"/>
      <c r="L43" s="1631"/>
      <c r="M43" s="1631"/>
      <c r="N43" s="1445"/>
    </row>
    <row r="44" spans="3:14" x14ac:dyDescent="0.4">
      <c r="C44" s="341" t="s">
        <v>559</v>
      </c>
      <c r="D44" s="1631">
        <v>4.3003119599118689</v>
      </c>
      <c r="E44" s="1631">
        <v>7.1926633978464025</v>
      </c>
      <c r="F44" s="1631">
        <v>2.144266944035683</v>
      </c>
      <c r="G44" s="1631">
        <v>5.2879922680480167</v>
      </c>
      <c r="H44" s="1631">
        <v>8.0806789945282773</v>
      </c>
      <c r="I44" s="1631">
        <v>1.8311304068723233</v>
      </c>
      <c r="J44" s="1631">
        <v>6.9470710654210803</v>
      </c>
      <c r="K44" s="1631">
        <v>5.9438415654944272</v>
      </c>
      <c r="L44" s="1631">
        <v>24.659790294811085</v>
      </c>
      <c r="M44" s="1631">
        <v>75.340209705188954</v>
      </c>
      <c r="N44" s="1445">
        <v>239089.80479375887</v>
      </c>
    </row>
    <row r="45" spans="3:14" x14ac:dyDescent="0.4">
      <c r="C45" s="341" t="s">
        <v>560</v>
      </c>
      <c r="D45" s="1631">
        <v>1.6994834093474951</v>
      </c>
      <c r="E45" s="1631">
        <v>7.3246046157847582</v>
      </c>
      <c r="F45" s="1632">
        <v>0.99840675844395455</v>
      </c>
      <c r="G45" s="1631">
        <v>6.1683732978912191</v>
      </c>
      <c r="H45" s="1631">
        <v>10.437572275430039</v>
      </c>
      <c r="I45" s="1631">
        <v>2.7796980693638167</v>
      </c>
      <c r="J45" s="1631">
        <v>4.6018139982952393</v>
      </c>
      <c r="K45" s="1631">
        <v>6.2198156017238571</v>
      </c>
      <c r="L45" s="1631">
        <v>24.398196992182818</v>
      </c>
      <c r="M45" s="1631">
        <v>75.601803007817182</v>
      </c>
      <c r="N45" s="1445">
        <v>262673.37480039138</v>
      </c>
    </row>
    <row r="46" spans="3:14" x14ac:dyDescent="0.4">
      <c r="C46" s="341" t="s">
        <v>561</v>
      </c>
      <c r="D46" s="1631">
        <v>2.4324318210446356</v>
      </c>
      <c r="E46" s="1631">
        <v>11.746216523003815</v>
      </c>
      <c r="F46" s="1631">
        <v>2.0225679359073241</v>
      </c>
      <c r="G46" s="1631">
        <v>7.8764538733892904</v>
      </c>
      <c r="H46" s="1631">
        <v>11.325872506413582</v>
      </c>
      <c r="I46" s="1631">
        <v>2.4366057255371989</v>
      </c>
      <c r="J46" s="1631">
        <v>2.3428400138331811</v>
      </c>
      <c r="K46" s="1631">
        <v>6.2236402971431861</v>
      </c>
      <c r="L46" s="1631">
        <v>28.522420963966582</v>
      </c>
      <c r="M46" s="1631">
        <v>71.477579036033418</v>
      </c>
      <c r="N46" s="1445">
        <v>279529.96769160079</v>
      </c>
    </row>
    <row r="47" spans="3:14" x14ac:dyDescent="0.4">
      <c r="C47" s="341" t="s">
        <v>562</v>
      </c>
      <c r="D47" s="1631">
        <v>2.0279558044695696</v>
      </c>
      <c r="E47" s="1631">
        <v>12.127240488611182</v>
      </c>
      <c r="F47" s="1631">
        <v>2.5061877868919478</v>
      </c>
      <c r="G47" s="1631">
        <v>7.2979842194890265</v>
      </c>
      <c r="H47" s="1631">
        <v>11.104938694967043</v>
      </c>
      <c r="I47" s="1631">
        <v>2.4121347950433303</v>
      </c>
      <c r="J47" s="1631">
        <v>2.133599896181023</v>
      </c>
      <c r="K47" s="1631">
        <v>5.5130790802565057</v>
      </c>
      <c r="L47" s="1631">
        <v>29.366415302749964</v>
      </c>
      <c r="M47" s="1631">
        <v>70.633584697250029</v>
      </c>
      <c r="N47" s="1445">
        <v>272978.63769507431</v>
      </c>
    </row>
    <row r="48" spans="3:14" x14ac:dyDescent="0.4">
      <c r="C48" s="650" t="s">
        <v>563</v>
      </c>
      <c r="D48" s="1634">
        <v>1.9371908003510683</v>
      </c>
      <c r="E48" s="1634">
        <v>12.976595424173038</v>
      </c>
      <c r="F48" s="1634">
        <v>0.87908069973408876</v>
      </c>
      <c r="G48" s="1634">
        <v>6.01057834246767</v>
      </c>
      <c r="H48" s="1634">
        <v>13.503244848732425</v>
      </c>
      <c r="I48" s="1634">
        <v>0.9303974754119817</v>
      </c>
      <c r="J48" s="1634">
        <v>2.2391156692634833</v>
      </c>
      <c r="K48" s="1634">
        <v>6.904117673413718</v>
      </c>
      <c r="L48" s="1634">
        <v>31.64104787928493</v>
      </c>
      <c r="M48" s="1634">
        <v>68.358952120714974</v>
      </c>
      <c r="N48" s="1635">
        <v>280359.96501917794</v>
      </c>
    </row>
    <row r="49" spans="3:14" x14ac:dyDescent="0.4">
      <c r="C49" s="2811" t="s">
        <v>5693</v>
      </c>
      <c r="D49" s="2684"/>
      <c r="E49" s="2684"/>
      <c r="F49" s="2684"/>
      <c r="G49" s="2684"/>
      <c r="H49" s="2684"/>
      <c r="I49" s="2684"/>
      <c r="J49" s="2684"/>
      <c r="K49" s="2684"/>
      <c r="L49" s="2684"/>
      <c r="M49" s="2684"/>
      <c r="N49" s="2684"/>
    </row>
    <row r="50" spans="3:14" x14ac:dyDescent="0.4">
      <c r="C50" s="301" t="s">
        <v>5694</v>
      </c>
    </row>
  </sheetData>
  <mergeCells count="13">
    <mergeCell ref="A3:B3"/>
    <mergeCell ref="C3:O3"/>
    <mergeCell ref="A4:B4"/>
    <mergeCell ref="C4:O4"/>
    <mergeCell ref="A5:B5"/>
    <mergeCell ref="C5:O5"/>
    <mergeCell ref="C49:N49"/>
    <mergeCell ref="A6:B6"/>
    <mergeCell ref="C6:O6"/>
    <mergeCell ref="C11:C12"/>
    <mergeCell ref="D11:L11"/>
    <mergeCell ref="M11:M12"/>
    <mergeCell ref="N11:N12"/>
  </mergeCells>
  <hyperlinks>
    <hyperlink ref="A1" location="'ODS 10.'!A1" display="REGRESAR" xr:uid="{38F2B698-749A-4377-B7DC-30A6053C17E4}"/>
    <hyperlink ref="C1" location="'Metadato 10.3.1 EMNA'!A1" display="VER METADATO" xr:uid="{D3B293A6-F878-4484-A627-9972C7424125}"/>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DB0E-A396-4B4F-A3EC-FC4236B0D88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244</v>
      </c>
    </row>
    <row r="4" spans="2:6" x14ac:dyDescent="0.4">
      <c r="B4" s="2445" t="s">
        <v>234</v>
      </c>
      <c r="C4" s="2445"/>
      <c r="D4" s="49" t="s">
        <v>5625</v>
      </c>
    </row>
    <row r="5" spans="2:6" ht="56.25" x14ac:dyDescent="0.4">
      <c r="B5" s="2445" t="s">
        <v>79</v>
      </c>
      <c r="C5" s="2445"/>
      <c r="D5" s="49" t="s">
        <v>5592</v>
      </c>
    </row>
    <row r="6" spans="2:6" x14ac:dyDescent="0.4">
      <c r="B6" s="2445" t="s">
        <v>80</v>
      </c>
      <c r="C6" s="2445"/>
      <c r="D6" s="50" t="s">
        <v>5593</v>
      </c>
    </row>
    <row r="7" spans="2:6" ht="56.25" x14ac:dyDescent="0.4">
      <c r="B7" s="2446" t="s">
        <v>81</v>
      </c>
      <c r="C7" s="2446"/>
      <c r="D7" s="93" t="s">
        <v>5594</v>
      </c>
    </row>
    <row r="8" spans="2:6" x14ac:dyDescent="0.4">
      <c r="B8" s="2446" t="s">
        <v>82</v>
      </c>
      <c r="C8" s="2446"/>
      <c r="D8" s="1047" t="s">
        <v>353</v>
      </c>
    </row>
    <row r="10" spans="2:6" ht="23.25" customHeight="1" x14ac:dyDescent="0.4">
      <c r="B10" s="3230" t="s">
        <v>85</v>
      </c>
      <c r="C10" s="3230"/>
      <c r="D10" s="3230"/>
    </row>
    <row r="11" spans="2:6" x14ac:dyDescent="0.4">
      <c r="B11" s="2487" t="s">
        <v>86</v>
      </c>
      <c r="C11" s="2456"/>
      <c r="D11" s="49"/>
    </row>
    <row r="12" spans="2:6"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2095D7F-C83B-4DFA-86E2-3A93EBA768B7}">
      <formula1>Tipo_operación</formula1>
    </dataValidation>
    <dataValidation type="list" allowBlank="1" showInputMessage="1" showErrorMessage="1" sqref="D14" xr:uid="{0B8F6947-56E8-496D-8FDD-7D8ACA4B3C84}">
      <formula1>Tipo_indicador</formula1>
    </dataValidation>
    <dataValidation type="list" allowBlank="1" showInputMessage="1" showErrorMessage="1" sqref="D7" xr:uid="{FAAA4952-2C90-4A99-8422-777849C18910}">
      <formula1>Nombre_indicador_ODS</formula1>
    </dataValidation>
    <dataValidation type="list" allowBlank="1" showInputMessage="1" showErrorMessage="1" sqref="D6" xr:uid="{D0DD5D73-108C-4EEF-89CE-683237E370D8}">
      <formula1>Numero_indicador</formula1>
    </dataValidation>
    <dataValidation type="list" allowBlank="1" showInputMessage="1" showErrorMessage="1" sqref="D5" xr:uid="{230282E4-261D-4CB6-8E2C-2F738F0E5EDA}">
      <formula1>Metas_ODS</formula1>
    </dataValidation>
    <dataValidation type="list" allowBlank="1" showInputMessage="1" showErrorMessage="1" sqref="D4" xr:uid="{761B6B36-753B-4F76-BB99-C497534BE0CD}">
      <formula1>ODS</formula1>
    </dataValidation>
    <dataValidation allowBlank="1" showDropDown="1" showInputMessage="1" showErrorMessage="1" sqref="D13" xr:uid="{48C70F95-96AE-4393-904E-A7223A45EFE2}"/>
  </dataValidations>
  <hyperlinks>
    <hyperlink ref="B1" location="'10.3.1 EMNA'!A1" display="REGRESAR" xr:uid="{13BD0913-64E8-4D88-BEAC-A046F7172048}"/>
    <hyperlink ref="D8" r:id="rId1" xr:uid="{87E7BB60-AF02-42E0-8A33-6EC3FE80FA0F}"/>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2961-4C9B-4DF4-8747-829EF6A0E0EC}">
  <dimension ref="A1:O46"/>
  <sheetViews>
    <sheetView showGridLines="0" workbookViewId="0">
      <pane ySplit="1" topLeftCell="A2" activePane="bottomLeft" state="frozen"/>
      <selection pane="bottomLeft"/>
    </sheetView>
  </sheetViews>
  <sheetFormatPr baseColWidth="10" defaultColWidth="11.42578125" defaultRowHeight="18.75" x14ac:dyDescent="0.4"/>
  <cols>
    <col min="1" max="2" width="15.7109375" style="115" customWidth="1"/>
    <col min="3" max="3" width="10.28515625" style="115" customWidth="1"/>
    <col min="4" max="4" width="20.7109375" style="115" customWidth="1"/>
    <col min="5" max="16384" width="11.42578125" style="115"/>
  </cols>
  <sheetData>
    <row r="1" spans="1:15" s="1032" customFormat="1" ht="19.5" x14ac:dyDescent="0.4">
      <c r="A1" s="15" t="s">
        <v>39</v>
      </c>
      <c r="C1" s="2421" t="s">
        <v>149</v>
      </c>
      <c r="D1" s="2421"/>
    </row>
    <row r="2" spans="1:15" s="1032" customFormat="1" ht="19.5" x14ac:dyDescent="0.4">
      <c r="A2" s="1526"/>
    </row>
    <row r="3" spans="1:15" s="1032" customFormat="1" ht="19.5" x14ac:dyDescent="0.4">
      <c r="A3" s="3240" t="s">
        <v>41</v>
      </c>
      <c r="B3" s="3240"/>
      <c r="C3" s="3223" t="s">
        <v>5585</v>
      </c>
      <c r="D3" s="3224"/>
      <c r="E3" s="3224"/>
      <c r="F3" s="3224"/>
      <c r="G3" s="3224"/>
      <c r="H3" s="3224"/>
      <c r="I3" s="3224"/>
      <c r="J3" s="3224"/>
      <c r="K3" s="3224"/>
      <c r="L3" s="3224"/>
      <c r="M3" s="3224"/>
      <c r="N3" s="3224"/>
      <c r="O3" s="3224"/>
    </row>
    <row r="4" spans="1:15" s="1032" customFormat="1" ht="19.5" x14ac:dyDescent="0.4">
      <c r="A4" s="3240" t="s">
        <v>42</v>
      </c>
      <c r="B4" s="3241"/>
      <c r="C4" s="3223" t="s">
        <v>5695</v>
      </c>
      <c r="D4" s="3224"/>
      <c r="E4" s="3224"/>
      <c r="F4" s="3224"/>
      <c r="G4" s="3224"/>
      <c r="H4" s="3224"/>
      <c r="I4" s="3224"/>
      <c r="J4" s="3224"/>
      <c r="K4" s="3224"/>
      <c r="L4" s="3224"/>
      <c r="M4" s="3224"/>
      <c r="N4" s="3224"/>
      <c r="O4" s="3224"/>
    </row>
    <row r="5" spans="1:15" s="1032" customFormat="1" ht="19.5" x14ac:dyDescent="0.4">
      <c r="A5" s="3240" t="s">
        <v>43</v>
      </c>
      <c r="B5" s="3241"/>
      <c r="C5" s="3223" t="s">
        <v>5597</v>
      </c>
      <c r="D5" s="3224"/>
      <c r="E5" s="3224"/>
      <c r="F5" s="3224"/>
      <c r="G5" s="3224"/>
      <c r="H5" s="3224"/>
      <c r="I5" s="3224"/>
      <c r="J5" s="3224"/>
      <c r="K5" s="3224"/>
      <c r="L5" s="3224"/>
      <c r="M5" s="3224"/>
      <c r="N5" s="3224"/>
      <c r="O5" s="3224"/>
    </row>
    <row r="6" spans="1:15" s="1032" customFormat="1" ht="19.5" x14ac:dyDescent="0.4">
      <c r="A6" s="3240" t="s">
        <v>132</v>
      </c>
      <c r="B6" s="3241"/>
      <c r="C6" s="3223" t="s">
        <v>5696</v>
      </c>
      <c r="D6" s="3224"/>
      <c r="E6" s="3224"/>
      <c r="F6" s="3224"/>
      <c r="G6" s="3224"/>
      <c r="H6" s="3224"/>
      <c r="I6" s="3224"/>
      <c r="J6" s="3224"/>
      <c r="K6" s="3224"/>
      <c r="L6" s="3224"/>
      <c r="M6" s="3224"/>
      <c r="N6" s="3224"/>
      <c r="O6" s="3224"/>
    </row>
    <row r="7" spans="1:15" s="1032" customFormat="1" ht="19.5" x14ac:dyDescent="0.4">
      <c r="E7" s="653"/>
    </row>
    <row r="8" spans="1:15" s="1032" customFormat="1" ht="19.5" x14ac:dyDescent="0.4">
      <c r="E8" s="653"/>
    </row>
    <row r="9" spans="1:15" s="1032" customFormat="1" ht="53.45" customHeight="1" x14ac:dyDescent="0.4">
      <c r="C9" s="2628" t="s">
        <v>5696</v>
      </c>
      <c r="D9" s="2628"/>
      <c r="G9" s="138" t="s">
        <v>5697</v>
      </c>
    </row>
    <row r="10" spans="1:15" ht="18.75" customHeight="1" x14ac:dyDescent="0.4">
      <c r="C10" s="1618" t="s">
        <v>46</v>
      </c>
      <c r="D10" s="1618" t="s">
        <v>98</v>
      </c>
    </row>
    <row r="11" spans="1:15" x14ac:dyDescent="0.4">
      <c r="C11" s="536">
        <v>1991</v>
      </c>
      <c r="D11" s="1382">
        <v>46.643289715848965</v>
      </c>
    </row>
    <row r="12" spans="1:15" x14ac:dyDescent="0.4">
      <c r="C12" s="536">
        <v>1992</v>
      </c>
      <c r="D12" s="1382">
        <v>47.268909924373659</v>
      </c>
    </row>
    <row r="13" spans="1:15" x14ac:dyDescent="0.4">
      <c r="C13" s="536">
        <v>1993</v>
      </c>
      <c r="D13" s="1382">
        <v>48.733713092210181</v>
      </c>
    </row>
    <row r="14" spans="1:15" x14ac:dyDescent="0.4">
      <c r="A14" s="536"/>
      <c r="C14" s="536">
        <v>1994</v>
      </c>
      <c r="D14" s="1382">
        <v>49.55663508884048</v>
      </c>
    </row>
    <row r="15" spans="1:15" x14ac:dyDescent="0.4">
      <c r="A15" s="536"/>
      <c r="C15" s="536">
        <v>1995</v>
      </c>
      <c r="D15" s="1382">
        <v>48.619120022276306</v>
      </c>
    </row>
    <row r="16" spans="1:15" x14ac:dyDescent="0.4">
      <c r="A16" s="536"/>
      <c r="C16" s="536">
        <v>1996</v>
      </c>
      <c r="D16" s="1382">
        <v>48.68486449502938</v>
      </c>
    </row>
    <row r="17" spans="1:7" x14ac:dyDescent="0.4">
      <c r="A17" s="536"/>
      <c r="C17" s="536">
        <v>1997</v>
      </c>
      <c r="D17" s="1382">
        <v>47.591526955830105</v>
      </c>
    </row>
    <row r="18" spans="1:7" x14ac:dyDescent="0.4">
      <c r="A18" s="536"/>
      <c r="C18" s="536">
        <v>1998</v>
      </c>
      <c r="D18" s="1382">
        <v>47.599877728394276</v>
      </c>
    </row>
    <row r="19" spans="1:7" x14ac:dyDescent="0.4">
      <c r="A19" s="536"/>
      <c r="C19" s="536">
        <v>1999</v>
      </c>
      <c r="D19" s="1382">
        <v>49.051068049419882</v>
      </c>
    </row>
    <row r="20" spans="1:7" x14ac:dyDescent="0.4">
      <c r="A20" s="536"/>
      <c r="C20" s="536">
        <v>2000</v>
      </c>
      <c r="D20" s="1382">
        <v>49.273727608765327</v>
      </c>
    </row>
    <row r="21" spans="1:7" x14ac:dyDescent="0.4">
      <c r="C21" s="536">
        <v>2001</v>
      </c>
      <c r="D21" s="1382">
        <v>50.432537923303784</v>
      </c>
    </row>
    <row r="22" spans="1:7" x14ac:dyDescent="0.4">
      <c r="C22" s="536">
        <v>2002</v>
      </c>
      <c r="D22" s="1382">
        <v>50.211295192116822</v>
      </c>
    </row>
    <row r="23" spans="1:7" x14ac:dyDescent="0.4">
      <c r="C23" s="536">
        <v>2003</v>
      </c>
      <c r="D23" s="1382">
        <v>49.010834654542748</v>
      </c>
    </row>
    <row r="24" spans="1:7" x14ac:dyDescent="0.4">
      <c r="C24" s="536">
        <v>2004</v>
      </c>
      <c r="D24" s="1382">
        <v>47.263011018850328</v>
      </c>
    </row>
    <row r="25" spans="1:7" x14ac:dyDescent="0.4">
      <c r="C25" s="536">
        <v>2005</v>
      </c>
      <c r="D25" s="1382">
        <v>46.886064299271311</v>
      </c>
    </row>
    <row r="26" spans="1:7" x14ac:dyDescent="0.4">
      <c r="C26" s="536">
        <v>2006</v>
      </c>
      <c r="D26" s="1382">
        <v>46.633650718710143</v>
      </c>
      <c r="G26" s="115" t="s">
        <v>5377</v>
      </c>
    </row>
    <row r="27" spans="1:7" x14ac:dyDescent="0.4">
      <c r="C27" s="536">
        <v>2007</v>
      </c>
      <c r="D27" s="1382">
        <v>46.572949259359177</v>
      </c>
    </row>
    <row r="28" spans="1:7" x14ac:dyDescent="0.4">
      <c r="C28" s="536">
        <v>2008</v>
      </c>
      <c r="D28" s="1382">
        <v>47.004385893118624</v>
      </c>
    </row>
    <row r="29" spans="1:7" x14ac:dyDescent="0.4">
      <c r="C29" s="536">
        <v>2009</v>
      </c>
      <c r="D29" s="1382">
        <v>48.254481765369647</v>
      </c>
    </row>
    <row r="30" spans="1:7" x14ac:dyDescent="0.4">
      <c r="C30" s="536">
        <v>2010</v>
      </c>
      <c r="D30" s="1382">
        <v>48.96980695106393</v>
      </c>
    </row>
    <row r="31" spans="1:7" x14ac:dyDescent="0.4">
      <c r="C31" s="536">
        <v>2011</v>
      </c>
      <c r="D31" s="1382">
        <v>49.831160970450107</v>
      </c>
    </row>
    <row r="32" spans="1:7" x14ac:dyDescent="0.4">
      <c r="C32" s="536">
        <v>2012</v>
      </c>
      <c r="D32" s="1382">
        <v>50.218085682560904</v>
      </c>
    </row>
    <row r="33" spans="3:4" x14ac:dyDescent="0.4">
      <c r="C33" s="536">
        <v>2013</v>
      </c>
      <c r="D33" s="1382">
        <v>50.577200058311661</v>
      </c>
    </row>
    <row r="34" spans="3:4" x14ac:dyDescent="0.4">
      <c r="C34" s="536">
        <v>2014</v>
      </c>
      <c r="D34" s="1382">
        <v>50.098564153572227</v>
      </c>
    </row>
    <row r="35" spans="3:4" x14ac:dyDescent="0.4">
      <c r="C35" s="536">
        <v>2015</v>
      </c>
      <c r="D35" s="1382">
        <v>50.104832335798534</v>
      </c>
    </row>
    <row r="36" spans="3:4" x14ac:dyDescent="0.4">
      <c r="C36" s="536">
        <v>2016</v>
      </c>
      <c r="D36" s="1382">
        <v>49.442767771319666</v>
      </c>
    </row>
    <row r="37" spans="3:4" x14ac:dyDescent="0.4">
      <c r="C37" s="536">
        <v>2017</v>
      </c>
      <c r="D37" s="1382">
        <v>47.989871798441868</v>
      </c>
    </row>
    <row r="38" spans="3:4" x14ac:dyDescent="0.4">
      <c r="C38" s="536">
        <v>2018</v>
      </c>
      <c r="D38" s="1382">
        <v>48.528758532676704</v>
      </c>
    </row>
    <row r="39" spans="3:4" x14ac:dyDescent="0.4">
      <c r="C39" s="536">
        <v>2019</v>
      </c>
      <c r="D39" s="1382">
        <v>48.651377655184604</v>
      </c>
    </row>
    <row r="40" spans="3:4" x14ac:dyDescent="0.4">
      <c r="C40" s="536">
        <v>2020</v>
      </c>
      <c r="D40" s="1382">
        <v>49.670713079287921</v>
      </c>
    </row>
    <row r="41" spans="3:4" x14ac:dyDescent="0.4">
      <c r="C41" s="536">
        <v>2021</v>
      </c>
      <c r="D41" s="1382">
        <v>47.958967729042584</v>
      </c>
    </row>
    <row r="42" spans="3:4" x14ac:dyDescent="0.4">
      <c r="C42" s="536">
        <v>2022</v>
      </c>
      <c r="D42" s="1382">
        <v>46.965988315623953</v>
      </c>
    </row>
    <row r="43" spans="3:4" x14ac:dyDescent="0.4">
      <c r="C43" s="824">
        <v>2023</v>
      </c>
      <c r="D43" s="1388">
        <v>48.12369996662779</v>
      </c>
    </row>
    <row r="44" spans="3:4" x14ac:dyDescent="0.4">
      <c r="C44" s="115" t="s">
        <v>5698</v>
      </c>
      <c r="D44" s="1382"/>
    </row>
    <row r="45" spans="3:4" x14ac:dyDescent="0.4">
      <c r="C45" s="198" t="s">
        <v>5699</v>
      </c>
      <c r="D45" s="1382"/>
    </row>
    <row r="46" spans="3:4" x14ac:dyDescent="0.4">
      <c r="C46" s="115" t="s">
        <v>5700</v>
      </c>
    </row>
  </sheetData>
  <mergeCells count="10">
    <mergeCell ref="A6:B6"/>
    <mergeCell ref="C6:O6"/>
    <mergeCell ref="C9:D9"/>
    <mergeCell ref="C1:D1"/>
    <mergeCell ref="A3:B3"/>
    <mergeCell ref="C3:O3"/>
    <mergeCell ref="A4:B4"/>
    <mergeCell ref="C4:O4"/>
    <mergeCell ref="A5:B5"/>
    <mergeCell ref="C5:O5"/>
  </mergeCells>
  <hyperlinks>
    <hyperlink ref="A1" location="'ODS 10.'!A1" display="REGRESAR" xr:uid="{ECC74A6D-4D7D-4D49-89E7-DE13D2F1244F}"/>
    <hyperlink ref="C1:D1" location="'Metadato 10.4.1'!A1" display="VER METADATO" xr:uid="{FBB4CBE1-0163-4300-AD23-D1344DF32539}"/>
  </hyperlinks>
  <pageMargins left="0.7" right="0.7" top="0.75" bottom="0.75" header="0.3" footer="0.3"/>
  <pageSetup paperSize="9" orientation="portrait"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3212-8C71-4E8C-856E-F818819D2C8F}">
  <sheetPr>
    <tabColor theme="0" tint="-0.499984740745262"/>
  </sheetPr>
  <dimension ref="A1:F36"/>
  <sheetViews>
    <sheetView showGridLines="0" zoomScaleNormal="100" workbookViewId="0">
      <pane ySplit="1" topLeftCell="A4" activePane="bottomLeft" state="frozen"/>
      <selection pane="bottomLeft"/>
    </sheetView>
  </sheetViews>
  <sheetFormatPr baseColWidth="10" defaultColWidth="11.42578125" defaultRowHeight="18.75" x14ac:dyDescent="0.4"/>
  <cols>
    <col min="1" max="1" width="10.28515625" style="115" customWidth="1"/>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76</v>
      </c>
    </row>
    <row r="4" spans="2:6" ht="15.75" customHeight="1" x14ac:dyDescent="0.4">
      <c r="B4" s="2445" t="s">
        <v>234</v>
      </c>
      <c r="C4" s="2445"/>
      <c r="D4" s="49" t="s">
        <v>5625</v>
      </c>
    </row>
    <row r="5" spans="2:6" ht="37.5" x14ac:dyDescent="0.4">
      <c r="B5" s="2445" t="s">
        <v>79</v>
      </c>
      <c r="C5" s="2445"/>
      <c r="D5" s="49" t="s">
        <v>5595</v>
      </c>
    </row>
    <row r="6" spans="2:6" x14ac:dyDescent="0.4">
      <c r="B6" s="2445" t="s">
        <v>80</v>
      </c>
      <c r="C6" s="2445"/>
      <c r="D6" s="50" t="s">
        <v>5596</v>
      </c>
    </row>
    <row r="7" spans="2:6" ht="15.75" customHeight="1" x14ac:dyDescent="0.4">
      <c r="B7" s="2446" t="s">
        <v>81</v>
      </c>
      <c r="C7" s="2446"/>
      <c r="D7" s="93" t="s">
        <v>5597</v>
      </c>
    </row>
    <row r="8" spans="2:6" ht="15.75" customHeight="1" x14ac:dyDescent="0.4">
      <c r="B8" s="3242" t="s">
        <v>82</v>
      </c>
      <c r="C8" s="3242"/>
      <c r="D8" s="1047" t="s">
        <v>5701</v>
      </c>
    </row>
    <row r="10" spans="2:6" ht="23.25" customHeight="1" x14ac:dyDescent="0.4">
      <c r="B10" s="3230" t="s">
        <v>85</v>
      </c>
      <c r="C10" s="3230"/>
      <c r="D10" s="3230"/>
    </row>
    <row r="11" spans="2:6" ht="18.75" customHeight="1" x14ac:dyDescent="0.4">
      <c r="B11" s="2487" t="s">
        <v>86</v>
      </c>
      <c r="C11" s="2456"/>
      <c r="D11" s="49" t="s">
        <v>167</v>
      </c>
    </row>
    <row r="12" spans="2:6" ht="15" customHeight="1" x14ac:dyDescent="0.4">
      <c r="B12" s="2446" t="s">
        <v>88</v>
      </c>
      <c r="C12" s="2446"/>
      <c r="D12" s="184" t="s">
        <v>5702</v>
      </c>
    </row>
    <row r="13" spans="2:6" x14ac:dyDescent="0.4">
      <c r="B13" s="2445" t="s">
        <v>90</v>
      </c>
      <c r="C13" s="2445"/>
      <c r="D13" s="55" t="s">
        <v>5596</v>
      </c>
    </row>
    <row r="14" spans="2:6" x14ac:dyDescent="0.4">
      <c r="B14" s="2445" t="s">
        <v>91</v>
      </c>
      <c r="C14" s="2456"/>
      <c r="D14" s="54" t="s">
        <v>214</v>
      </c>
    </row>
    <row r="15" spans="2:6" ht="206.25" x14ac:dyDescent="0.4">
      <c r="B15" s="2445" t="s">
        <v>93</v>
      </c>
      <c r="C15" s="2445"/>
      <c r="D15" s="55" t="s">
        <v>5703</v>
      </c>
    </row>
    <row r="16" spans="2:6" ht="45" customHeight="1" x14ac:dyDescent="0.4">
      <c r="B16" s="2445" t="s">
        <v>95</v>
      </c>
      <c r="C16" s="2445"/>
      <c r="D16" s="55"/>
    </row>
    <row r="17" spans="1:4" x14ac:dyDescent="0.4">
      <c r="B17" s="2445" t="s">
        <v>97</v>
      </c>
      <c r="C17" s="2445"/>
      <c r="D17" s="55" t="s">
        <v>238</v>
      </c>
    </row>
    <row r="18" spans="1:4" x14ac:dyDescent="0.4">
      <c r="B18" s="2446" t="s">
        <v>99</v>
      </c>
      <c r="C18" s="2446"/>
      <c r="D18" s="49"/>
    </row>
    <row r="19" spans="1:4" ht="37.5" x14ac:dyDescent="0.4">
      <c r="B19" s="2457" t="s">
        <v>100</v>
      </c>
      <c r="C19" s="2458"/>
      <c r="D19" s="55" t="s">
        <v>5704</v>
      </c>
    </row>
    <row r="20" spans="1:4" x14ac:dyDescent="0.4">
      <c r="B20" s="2445" t="s">
        <v>102</v>
      </c>
      <c r="C20" s="2445"/>
      <c r="D20" s="55" t="s">
        <v>140</v>
      </c>
    </row>
    <row r="21" spans="1:4" x14ac:dyDescent="0.4">
      <c r="B21" s="2451" t="s">
        <v>104</v>
      </c>
      <c r="C21" s="95" t="s">
        <v>105</v>
      </c>
      <c r="D21" s="49"/>
    </row>
    <row r="22" spans="1:4" x14ac:dyDescent="0.4">
      <c r="B22" s="2452"/>
      <c r="C22" s="96" t="s">
        <v>107</v>
      </c>
      <c r="D22" s="55"/>
    </row>
    <row r="23" spans="1:4" ht="15.75" customHeight="1" x14ac:dyDescent="0.4">
      <c r="B23" s="2445" t="s">
        <v>109</v>
      </c>
      <c r="C23" s="2445"/>
      <c r="D23" s="55" t="s">
        <v>143</v>
      </c>
    </row>
    <row r="24" spans="1:4" x14ac:dyDescent="0.4">
      <c r="B24" s="2445" t="s">
        <v>111</v>
      </c>
      <c r="C24" s="2445"/>
      <c r="D24" s="50" t="s">
        <v>3388</v>
      </c>
    </row>
    <row r="25" spans="1:4" x14ac:dyDescent="0.4">
      <c r="B25" s="2445" t="s">
        <v>113</v>
      </c>
      <c r="C25" s="2445"/>
      <c r="D25" s="55" t="s">
        <v>220</v>
      </c>
    </row>
    <row r="26" spans="1:4" ht="15" customHeight="1" x14ac:dyDescent="0.4">
      <c r="B26" s="2446" t="s">
        <v>115</v>
      </c>
      <c r="C26" s="2446"/>
      <c r="D26" s="50" t="s">
        <v>4983</v>
      </c>
    </row>
    <row r="27" spans="1:4" x14ac:dyDescent="0.4">
      <c r="B27" s="2447" t="s">
        <v>117</v>
      </c>
      <c r="C27" s="2448"/>
      <c r="D27" s="49"/>
    </row>
    <row r="28" spans="1:4" ht="56.25" x14ac:dyDescent="0.4">
      <c r="B28" s="97" t="s">
        <v>118</v>
      </c>
      <c r="C28" s="98"/>
      <c r="D28" s="55" t="s">
        <v>5705</v>
      </c>
    </row>
    <row r="29" spans="1:4" x14ac:dyDescent="0.4">
      <c r="B29" s="2449" t="s">
        <v>120</v>
      </c>
      <c r="C29" s="2450"/>
      <c r="D29" s="62"/>
    </row>
    <row r="30" spans="1:4" x14ac:dyDescent="0.4">
      <c r="B30" s="63"/>
      <c r="C30" s="63"/>
      <c r="D30" s="64"/>
    </row>
    <row r="31" spans="1:4" ht="23.25" customHeight="1" x14ac:dyDescent="0.4">
      <c r="A31" s="198"/>
      <c r="B31" s="3230" t="s">
        <v>121</v>
      </c>
      <c r="C31" s="3230"/>
      <c r="D31" s="3230"/>
    </row>
    <row r="32" spans="1:4" x14ac:dyDescent="0.4">
      <c r="B32" s="2447" t="s">
        <v>122</v>
      </c>
      <c r="C32" s="2448"/>
      <c r="D32" s="50" t="s">
        <v>4814</v>
      </c>
    </row>
    <row r="33" spans="2:4" x14ac:dyDescent="0.4">
      <c r="B33" s="2447" t="s">
        <v>124</v>
      </c>
      <c r="C33" s="2448"/>
      <c r="D33" s="50" t="s">
        <v>5027</v>
      </c>
    </row>
    <row r="34" spans="2:4" x14ac:dyDescent="0.4">
      <c r="B34" s="2447" t="s">
        <v>126</v>
      </c>
      <c r="C34" s="2448"/>
      <c r="D34" s="50" t="s">
        <v>3388</v>
      </c>
    </row>
    <row r="35" spans="2:4" x14ac:dyDescent="0.4">
      <c r="B35" s="2447" t="s">
        <v>128</v>
      </c>
      <c r="C35" s="2448"/>
      <c r="D35" s="50" t="s">
        <v>4985</v>
      </c>
    </row>
    <row r="36" spans="2:4" x14ac:dyDescent="0.4">
      <c r="B36" s="2447" t="s">
        <v>130</v>
      </c>
      <c r="C36" s="2448"/>
      <c r="D36" s="1312" t="s">
        <v>4986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F356B093-DC15-4A70-8C61-DE9D9271F7EF}">
      <formula1>ODS</formula1>
    </dataValidation>
    <dataValidation type="list" allowBlank="1" showInputMessage="1" showErrorMessage="1" sqref="D5" xr:uid="{C4937360-C129-4D00-940F-CDA1DD4118BC}">
      <formula1>Metas_ODS</formula1>
    </dataValidation>
    <dataValidation type="list" allowBlank="1" showInputMessage="1" showErrorMessage="1" sqref="D6" xr:uid="{4687CF9F-B95B-4E24-8D82-558C4D357F76}">
      <formula1>Numero_indicador</formula1>
    </dataValidation>
    <dataValidation type="list" allowBlank="1" showInputMessage="1" showErrorMessage="1" sqref="D7" xr:uid="{B194425E-1298-4B7D-8261-806801DE5FF6}">
      <formula1>Nombre_indicador_ODS</formula1>
    </dataValidation>
    <dataValidation type="list" allowBlank="1" showInputMessage="1" showErrorMessage="1" sqref="D14" xr:uid="{D6027674-5CD8-4438-B693-4675ECCCB516}">
      <formula1>Tipo_indicador</formula1>
    </dataValidation>
    <dataValidation type="list" allowBlank="1" showInputMessage="1" showErrorMessage="1" sqref="D25" xr:uid="{1FA1A189-49F8-47A4-93CC-98BCC6260824}">
      <formula1>Tipo_operación</formula1>
    </dataValidation>
  </dataValidations>
  <hyperlinks>
    <hyperlink ref="B1" location="'10.4.1'!A1" display="REGRESAR" xr:uid="{8769CE2A-F32A-4317-BA90-72E6C0C3C111}"/>
    <hyperlink ref="D8" r:id="rId1" xr:uid="{9EA3DCFD-EFFB-4E8A-ACAC-35593B7E2C20}"/>
    <hyperlink ref="D36" r:id="rId2" xr:uid="{F93F8BAA-4DF8-49C2-BA3D-B10378AF05E4}"/>
  </hyperlinks>
  <pageMargins left="0.7" right="0.7" top="0.75" bottom="0.75" header="0.3" footer="0.3"/>
  <pageSetup paperSize="9" orientation="portrait" r:id="rId3"/>
  <drawing r:id="rId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EF81-E0C8-4106-993A-50E30068971F}">
  <sheetPr>
    <tabColor theme="5"/>
  </sheetPr>
  <dimension ref="A1:P11"/>
  <sheetViews>
    <sheetView showGridLines="0" workbookViewId="0">
      <pane ySplit="1" topLeftCell="A2" activePane="bottomLeft" state="frozen"/>
      <selection sqref="A1:B1"/>
      <selection pane="bottomLeft"/>
    </sheetView>
  </sheetViews>
  <sheetFormatPr baseColWidth="10" defaultColWidth="11.42578125" defaultRowHeight="19.5" x14ac:dyDescent="0.4"/>
  <cols>
    <col min="1" max="1" width="15.7109375" style="1032" customWidth="1"/>
    <col min="2" max="2" width="17.7109375" style="1032" customWidth="1"/>
    <col min="3" max="3" width="7.28515625" style="1032" customWidth="1"/>
    <col min="4" max="4" width="17.28515625" style="1032" customWidth="1"/>
    <col min="5" max="16384" width="11.42578125" style="1032"/>
  </cols>
  <sheetData>
    <row r="1" spans="1:16" x14ac:dyDescent="0.4">
      <c r="A1" s="15" t="s">
        <v>39</v>
      </c>
      <c r="C1" s="2421" t="s">
        <v>149</v>
      </c>
      <c r="D1" s="2421"/>
    </row>
    <row r="2" spans="1:16" x14ac:dyDescent="0.4">
      <c r="A2" s="1526"/>
    </row>
    <row r="3" spans="1:16" x14ac:dyDescent="0.4">
      <c r="A3" s="3240" t="s">
        <v>41</v>
      </c>
      <c r="B3" s="3240"/>
      <c r="C3" s="3240" t="s">
        <v>5585</v>
      </c>
      <c r="D3" s="3241"/>
      <c r="E3" s="3241"/>
      <c r="F3" s="3241"/>
      <c r="G3" s="3241"/>
      <c r="H3" s="3241"/>
      <c r="I3" s="3241"/>
      <c r="J3" s="3241"/>
      <c r="K3" s="3241"/>
      <c r="L3" s="3241"/>
      <c r="M3" s="3241"/>
      <c r="N3" s="3241"/>
      <c r="O3" s="3241"/>
      <c r="P3" s="3241"/>
    </row>
    <row r="4" spans="1:16" x14ac:dyDescent="0.4">
      <c r="A4" s="3240" t="s">
        <v>42</v>
      </c>
      <c r="B4" s="3241"/>
      <c r="C4" s="3240" t="s">
        <v>5595</v>
      </c>
      <c r="D4" s="3241"/>
      <c r="E4" s="3241"/>
      <c r="F4" s="3241"/>
      <c r="G4" s="3241"/>
      <c r="H4" s="3241"/>
      <c r="I4" s="3241"/>
      <c r="J4" s="3241"/>
      <c r="K4" s="3241"/>
      <c r="L4" s="3241"/>
      <c r="M4" s="3241"/>
      <c r="N4" s="3241"/>
      <c r="O4" s="3241"/>
      <c r="P4" s="3241"/>
    </row>
    <row r="5" spans="1:16" x14ac:dyDescent="0.4">
      <c r="A5" s="3240" t="s">
        <v>43</v>
      </c>
      <c r="B5" s="3241"/>
      <c r="C5" s="3240" t="s">
        <v>5706</v>
      </c>
      <c r="D5" s="3241"/>
      <c r="E5" s="3241"/>
      <c r="F5" s="3241"/>
      <c r="G5" s="3241"/>
      <c r="H5" s="3241"/>
      <c r="I5" s="3241"/>
      <c r="J5" s="3241"/>
      <c r="K5" s="3241"/>
      <c r="L5" s="3241"/>
      <c r="M5" s="3241"/>
      <c r="N5" s="3241"/>
      <c r="O5" s="3241"/>
      <c r="P5" s="3241"/>
    </row>
    <row r="6" spans="1:16" x14ac:dyDescent="0.4">
      <c r="A6" s="3240" t="s">
        <v>132</v>
      </c>
      <c r="B6" s="3241"/>
      <c r="C6" s="3240"/>
      <c r="D6" s="3241"/>
      <c r="E6" s="3241"/>
      <c r="F6" s="3241"/>
      <c r="G6" s="3241"/>
      <c r="H6" s="3241"/>
      <c r="I6" s="3241"/>
      <c r="J6" s="3241"/>
      <c r="K6" s="3241"/>
      <c r="L6" s="3241"/>
      <c r="M6" s="3241"/>
      <c r="N6" s="3241"/>
      <c r="O6" s="3241"/>
      <c r="P6" s="3241"/>
    </row>
    <row r="7" spans="1:16" x14ac:dyDescent="0.4">
      <c r="E7" s="653"/>
    </row>
    <row r="8" spans="1:16" x14ac:dyDescent="0.4">
      <c r="E8" s="653"/>
    </row>
    <row r="10" spans="1:16" x14ac:dyDescent="0.4">
      <c r="C10" s="2506" t="s">
        <v>243</v>
      </c>
      <c r="D10" s="2506"/>
      <c r="E10" s="2506"/>
      <c r="F10" s="2506"/>
      <c r="G10" s="2506"/>
      <c r="H10" s="2506"/>
      <c r="I10" s="2506"/>
      <c r="J10" s="2506"/>
      <c r="K10" s="2506"/>
      <c r="L10" s="2506"/>
      <c r="M10" s="2506"/>
      <c r="N10" s="2506"/>
      <c r="O10" s="2506"/>
      <c r="P10" s="2506"/>
    </row>
    <row r="11" spans="1:16" x14ac:dyDescent="0.4">
      <c r="C11" s="2506"/>
      <c r="D11" s="2506"/>
      <c r="E11" s="2506"/>
      <c r="F11" s="2506"/>
      <c r="G11" s="2506"/>
      <c r="H11" s="2506"/>
      <c r="I11" s="2506"/>
      <c r="J11" s="2506"/>
      <c r="K11" s="2506"/>
      <c r="L11" s="2506"/>
      <c r="M11" s="2506"/>
      <c r="N11" s="2506"/>
      <c r="O11" s="2506"/>
      <c r="P11" s="2506"/>
    </row>
  </sheetData>
  <mergeCells count="10">
    <mergeCell ref="A6:B6"/>
    <mergeCell ref="C6:P6"/>
    <mergeCell ref="C10:P11"/>
    <mergeCell ref="C1:D1"/>
    <mergeCell ref="A3:B3"/>
    <mergeCell ref="C3:P3"/>
    <mergeCell ref="A4:B4"/>
    <mergeCell ref="C4:P4"/>
    <mergeCell ref="A5:B5"/>
    <mergeCell ref="C5:P5"/>
  </mergeCells>
  <hyperlinks>
    <hyperlink ref="A1" location="'ODS 10.'!A1" display="REGRESAR" xr:uid="{E58E6902-1E93-4E21-8A96-AB048DDF1ADE}"/>
    <hyperlink ref="C1:D1" location="'Metadato 10.4.2'!A1" display="VER METADATO" xr:uid="{314F68A8-EEE3-4D7F-9E97-51C00C7C6E7E}"/>
  </hyperlinks>
  <pageMargins left="0.7" right="0.7" top="0.75" bottom="0.75" header="0.3" footer="0.3"/>
  <pageSetup paperSize="9"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2B4D-2D76-49FD-B9FE-F21DCE1BE806}">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10.28515625" style="115" customWidth="1"/>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76</v>
      </c>
    </row>
    <row r="4" spans="2:6" ht="15.75" customHeight="1" x14ac:dyDescent="0.4">
      <c r="B4" s="2445" t="s">
        <v>234</v>
      </c>
      <c r="C4" s="2445"/>
      <c r="D4" s="49" t="s">
        <v>5625</v>
      </c>
    </row>
    <row r="5" spans="2:6" ht="37.5" x14ac:dyDescent="0.4">
      <c r="B5" s="2445" t="s">
        <v>79</v>
      </c>
      <c r="C5" s="2445"/>
      <c r="D5" s="49" t="s">
        <v>5595</v>
      </c>
    </row>
    <row r="6" spans="2:6" x14ac:dyDescent="0.4">
      <c r="B6" s="2445" t="s">
        <v>80</v>
      </c>
      <c r="C6" s="2445"/>
      <c r="D6" s="50" t="s">
        <v>5598</v>
      </c>
    </row>
    <row r="7" spans="2:6" ht="15.75" customHeight="1" x14ac:dyDescent="0.4">
      <c r="B7" s="2446" t="s">
        <v>81</v>
      </c>
      <c r="C7" s="2446"/>
      <c r="D7" s="93" t="s">
        <v>5599</v>
      </c>
    </row>
    <row r="8" spans="2:6" ht="15.75" customHeight="1" x14ac:dyDescent="0.4">
      <c r="B8" s="3242" t="s">
        <v>82</v>
      </c>
      <c r="C8" s="3242"/>
      <c r="D8" s="1047"/>
    </row>
    <row r="10" spans="2:6" ht="23.25" customHeight="1" x14ac:dyDescent="0.4">
      <c r="B10" s="3230" t="s">
        <v>85</v>
      </c>
      <c r="C10" s="3230"/>
      <c r="D10" s="3230"/>
    </row>
    <row r="11" spans="2:6" ht="18.75" customHeight="1" x14ac:dyDescent="0.4">
      <c r="B11" s="2487" t="s">
        <v>86</v>
      </c>
      <c r="C11" s="2456"/>
      <c r="D11" s="49"/>
    </row>
    <row r="12" spans="2:6" ht="15" customHeight="1" x14ac:dyDescent="0.4">
      <c r="B12" s="2446" t="s">
        <v>88</v>
      </c>
      <c r="C12" s="2446"/>
      <c r="D12" s="184"/>
    </row>
    <row r="13" spans="2:6" x14ac:dyDescent="0.4">
      <c r="B13" s="2445" t="s">
        <v>90</v>
      </c>
      <c r="C13" s="2445"/>
      <c r="D13" s="55"/>
    </row>
    <row r="14" spans="2:6" x14ac:dyDescent="0.4">
      <c r="B14" s="2445" t="s">
        <v>91</v>
      </c>
      <c r="C14" s="2456"/>
      <c r="D14" s="54"/>
    </row>
    <row r="15" spans="2:6" x14ac:dyDescent="0.4">
      <c r="B15" s="2445" t="s">
        <v>93</v>
      </c>
      <c r="C15" s="2445"/>
      <c r="D15" s="55"/>
    </row>
    <row r="16" spans="2:6" ht="45" customHeight="1" x14ac:dyDescent="0.4">
      <c r="B16" s="2445" t="s">
        <v>95</v>
      </c>
      <c r="C16" s="2445"/>
      <c r="D16" s="55"/>
    </row>
    <row r="17" spans="1:4" x14ac:dyDescent="0.4">
      <c r="B17" s="2445" t="s">
        <v>97</v>
      </c>
      <c r="C17" s="2445"/>
      <c r="D17" s="55"/>
    </row>
    <row r="18" spans="1:4" x14ac:dyDescent="0.4">
      <c r="B18" s="2446" t="s">
        <v>99</v>
      </c>
      <c r="C18" s="2446"/>
      <c r="D18" s="49"/>
    </row>
    <row r="19" spans="1:4" x14ac:dyDescent="0.4">
      <c r="B19" s="2457" t="s">
        <v>100</v>
      </c>
      <c r="C19" s="2458"/>
      <c r="D19" s="55"/>
    </row>
    <row r="20" spans="1:4" x14ac:dyDescent="0.4">
      <c r="B20" s="2445" t="s">
        <v>102</v>
      </c>
      <c r="C20" s="2445"/>
      <c r="D20" s="55"/>
    </row>
    <row r="21" spans="1:4" x14ac:dyDescent="0.4">
      <c r="B21" s="2451" t="s">
        <v>104</v>
      </c>
      <c r="C21" s="95" t="s">
        <v>105</v>
      </c>
      <c r="D21" s="49"/>
    </row>
    <row r="22" spans="1:4" x14ac:dyDescent="0.4">
      <c r="B22" s="2452"/>
      <c r="C22" s="96" t="s">
        <v>107</v>
      </c>
      <c r="D22" s="55"/>
    </row>
    <row r="23" spans="1:4" ht="15.75" customHeight="1" x14ac:dyDescent="0.4">
      <c r="B23" s="2445" t="s">
        <v>109</v>
      </c>
      <c r="C23" s="2445"/>
      <c r="D23" s="55"/>
    </row>
    <row r="24" spans="1:4" x14ac:dyDescent="0.4">
      <c r="B24" s="2445" t="s">
        <v>111</v>
      </c>
      <c r="C24" s="2445"/>
      <c r="D24" s="50"/>
    </row>
    <row r="25" spans="1:4" x14ac:dyDescent="0.4">
      <c r="B25" s="2445" t="s">
        <v>113</v>
      </c>
      <c r="C25" s="2445"/>
      <c r="D25" s="55"/>
    </row>
    <row r="26" spans="1:4" ht="15" customHeight="1" x14ac:dyDescent="0.4">
      <c r="B26" s="2446" t="s">
        <v>115</v>
      </c>
      <c r="C26" s="2446"/>
      <c r="D26" s="50"/>
    </row>
    <row r="27" spans="1:4" x14ac:dyDescent="0.4">
      <c r="B27" s="2447" t="s">
        <v>117</v>
      </c>
      <c r="C27" s="2448"/>
      <c r="D27" s="49"/>
    </row>
    <row r="28" spans="1:4" x14ac:dyDescent="0.4">
      <c r="B28" s="97" t="s">
        <v>118</v>
      </c>
      <c r="C28" s="98"/>
      <c r="D28" s="55"/>
    </row>
    <row r="29" spans="1:4" x14ac:dyDescent="0.4">
      <c r="B29" s="2449" t="s">
        <v>120</v>
      </c>
      <c r="C29" s="2450"/>
      <c r="D29" s="62"/>
    </row>
    <row r="30" spans="1:4" x14ac:dyDescent="0.4">
      <c r="B30" s="63"/>
      <c r="C30" s="63"/>
      <c r="D30" s="64"/>
    </row>
    <row r="31" spans="1:4" ht="23.25" customHeight="1" x14ac:dyDescent="0.4">
      <c r="A31" s="198"/>
      <c r="B31" s="3230" t="s">
        <v>121</v>
      </c>
      <c r="C31" s="3230"/>
      <c r="D31" s="3230"/>
    </row>
    <row r="32" spans="1:4" x14ac:dyDescent="0.4">
      <c r="B32" s="2447" t="s">
        <v>122</v>
      </c>
      <c r="C32" s="2448"/>
      <c r="D32" s="50"/>
    </row>
    <row r="33" spans="2:4" x14ac:dyDescent="0.4">
      <c r="B33" s="2447" t="s">
        <v>124</v>
      </c>
      <c r="C33" s="2448"/>
      <c r="D33" s="50"/>
    </row>
    <row r="34" spans="2:4" x14ac:dyDescent="0.4">
      <c r="B34" s="2447" t="s">
        <v>126</v>
      </c>
      <c r="C34" s="2448"/>
      <c r="D34" s="50"/>
    </row>
    <row r="35" spans="2:4" x14ac:dyDescent="0.4">
      <c r="B35" s="2447" t="s">
        <v>128</v>
      </c>
      <c r="C35" s="2448"/>
      <c r="D35" s="50"/>
    </row>
    <row r="36" spans="2:4" x14ac:dyDescent="0.4">
      <c r="B36" s="2447" t="s">
        <v>130</v>
      </c>
      <c r="C36" s="2448"/>
      <c r="D36" s="5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64EC07B3-D290-422A-8D93-4F4AE6BA7488}">
      <formula1>Tipo_operación</formula1>
    </dataValidation>
    <dataValidation type="list" allowBlank="1" showInputMessage="1" showErrorMessage="1" sqref="D14" xr:uid="{D6306173-CB7C-489B-82C3-FEFA3F7D2B1C}">
      <formula1>Tipo_indicador</formula1>
    </dataValidation>
    <dataValidation type="list" allowBlank="1" showInputMessage="1" showErrorMessage="1" sqref="D7" xr:uid="{6CD08518-5157-4ECE-98C3-FA7CE0CB2B81}">
      <formula1>Nombre_indicador_ODS</formula1>
    </dataValidation>
    <dataValidation type="list" allowBlank="1" showInputMessage="1" showErrorMessage="1" sqref="D6" xr:uid="{3BE01BDB-A4EA-4683-A714-95E2A6804C02}">
      <formula1>Numero_indicador</formula1>
    </dataValidation>
    <dataValidation type="list" allowBlank="1" showInputMessage="1" showErrorMessage="1" sqref="D5" xr:uid="{EF7A6D78-2D7A-4831-B208-6C7E63AE5B08}">
      <formula1>Metas_ODS</formula1>
    </dataValidation>
    <dataValidation type="list" allowBlank="1" showInputMessage="1" showErrorMessage="1" sqref="D4" xr:uid="{3E74C4CF-C5AF-4324-A8EE-F6550C1828C2}">
      <formula1>ODS</formula1>
    </dataValidation>
  </dataValidations>
  <hyperlinks>
    <hyperlink ref="B1" location="'10.4.2'!A1" display="REGRESAR" xr:uid="{DA4E7F0D-D134-4D68-85C2-A2E3CA0EFA6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DE26-3209-42FE-A846-7715FB276877}">
  <dimension ref="A1:AC55"/>
  <sheetViews>
    <sheetView showGridLines="0" zoomScaleNormal="100" workbookViewId="0">
      <pane ySplit="1" topLeftCell="A2" activePane="bottomLeft" state="frozen"/>
      <selection activeCell="R16" sqref="R16"/>
      <selection pane="bottomLeft" activeCell="C54" sqref="C54"/>
    </sheetView>
  </sheetViews>
  <sheetFormatPr baseColWidth="10" defaultColWidth="11.5703125" defaultRowHeight="18.75" x14ac:dyDescent="0.4"/>
  <cols>
    <col min="1" max="2" width="15.42578125" style="5" customWidth="1"/>
    <col min="3" max="3" width="7.28515625" style="5" customWidth="1"/>
    <col min="4" max="4" width="5.28515625" style="5" customWidth="1"/>
    <col min="5" max="5" width="2" style="5" customWidth="1"/>
    <col min="6" max="6" width="7.42578125" style="5" customWidth="1"/>
    <col min="7" max="7" width="8.5703125" style="5" customWidth="1"/>
    <col min="8" max="8" width="1.5703125" style="5" customWidth="1"/>
    <col min="9" max="9" width="6.42578125" style="5" customWidth="1"/>
    <col min="10" max="10" width="6.5703125" style="5" customWidth="1"/>
    <col min="11" max="11" width="2.28515625" style="5" customWidth="1"/>
    <col min="12" max="12" width="10" style="5" customWidth="1"/>
    <col min="13" max="13" width="8.7109375" style="5" customWidth="1"/>
    <col min="14" max="14" width="7.7109375" style="5" customWidth="1"/>
    <col min="15" max="15" width="8.28515625" style="5" customWidth="1"/>
    <col min="16" max="16" width="8.7109375" style="5" customWidth="1"/>
    <col min="17" max="17" width="6.7109375" style="5" customWidth="1"/>
    <col min="18" max="18" width="2" style="5" customWidth="1"/>
    <col min="19" max="19" width="9.5703125" style="5" customWidth="1"/>
    <col min="20" max="20" width="10.28515625" style="5" customWidth="1"/>
    <col min="21" max="21" width="9.5703125" style="5" customWidth="1"/>
    <col min="22" max="22" width="1.28515625" style="5" customWidth="1"/>
    <col min="23" max="23" width="8.42578125" style="5" customWidth="1"/>
    <col min="24" max="24" width="9" style="5" customWidth="1"/>
    <col min="25" max="25" width="8.7109375" style="5" customWidth="1"/>
    <col min="26" max="26" width="8.42578125" style="5" customWidth="1"/>
    <col min="27" max="27" width="7.42578125" style="5" customWidth="1"/>
    <col min="28" max="28" width="8.42578125" style="5" customWidth="1"/>
    <col min="29" max="16384" width="11.5703125" style="5"/>
  </cols>
  <sheetData>
    <row r="1" spans="1:29" s="17" customFormat="1" ht="19.5" x14ac:dyDescent="0.4">
      <c r="A1" s="15" t="s">
        <v>39</v>
      </c>
      <c r="B1" s="16"/>
      <c r="C1" s="2421" t="s">
        <v>40</v>
      </c>
      <c r="D1" s="2421"/>
      <c r="E1" s="2421"/>
      <c r="F1" s="2421"/>
    </row>
    <row r="2" spans="1:29" s="17" customFormat="1" ht="16.5" x14ac:dyDescent="0.35"/>
    <row r="3" spans="1:29" s="17" customFormat="1" ht="16.149999999999999" customHeight="1" x14ac:dyDescent="0.35">
      <c r="A3" s="2413" t="s">
        <v>41</v>
      </c>
      <c r="B3" s="2413"/>
      <c r="C3" s="2419" t="s">
        <v>2</v>
      </c>
      <c r="D3" s="2420"/>
      <c r="E3" s="2420"/>
      <c r="F3" s="2420"/>
      <c r="G3" s="2420"/>
      <c r="H3" s="2420"/>
      <c r="I3" s="2420"/>
      <c r="J3" s="2420"/>
      <c r="K3" s="2420"/>
      <c r="L3" s="2420"/>
      <c r="M3" s="2420"/>
      <c r="N3" s="2420"/>
      <c r="O3" s="2420"/>
      <c r="P3" s="2420"/>
      <c r="Q3" s="2420"/>
      <c r="R3" s="2420"/>
      <c r="S3" s="2420"/>
      <c r="T3" s="2420"/>
      <c r="U3" s="2420"/>
      <c r="V3" s="2420"/>
      <c r="W3" s="2420"/>
      <c r="X3" s="2420"/>
      <c r="Y3" s="2420"/>
      <c r="Z3" s="2420"/>
      <c r="AA3" s="2420"/>
      <c r="AB3" s="18"/>
      <c r="AC3" s="19"/>
    </row>
    <row r="4" spans="1:29" s="17" customFormat="1" ht="19.5" x14ac:dyDescent="0.35">
      <c r="A4" s="2413" t="s">
        <v>42</v>
      </c>
      <c r="B4" s="2413"/>
      <c r="C4" s="2414" t="s">
        <v>6</v>
      </c>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0"/>
      <c r="AC4" s="19"/>
    </row>
    <row r="5" spans="1:29" s="17" customFormat="1" ht="19.899999999999999" customHeight="1" x14ac:dyDescent="0.35">
      <c r="A5" s="2413" t="s">
        <v>43</v>
      </c>
      <c r="B5" s="2413"/>
      <c r="C5" s="2419" t="s">
        <v>8</v>
      </c>
      <c r="D5" s="2420"/>
      <c r="E5" s="2420"/>
      <c r="F5" s="2420"/>
      <c r="G5" s="2420"/>
      <c r="H5" s="2420"/>
      <c r="I5" s="2420"/>
      <c r="J5" s="2420"/>
      <c r="K5" s="2420"/>
      <c r="L5" s="2420"/>
      <c r="M5" s="2420"/>
      <c r="N5" s="2420"/>
      <c r="O5" s="2420"/>
      <c r="P5" s="2420"/>
      <c r="Q5" s="2420"/>
      <c r="R5" s="2420"/>
      <c r="S5" s="2420"/>
      <c r="T5" s="2420"/>
      <c r="U5" s="2420"/>
      <c r="V5" s="2420"/>
      <c r="W5" s="2420"/>
      <c r="X5" s="2420"/>
      <c r="Y5" s="2420"/>
      <c r="Z5" s="2420"/>
      <c r="AA5" s="2420"/>
      <c r="AB5" s="20"/>
      <c r="AC5" s="19"/>
    </row>
    <row r="6" spans="1:29" s="17" customFormat="1" ht="19.5" x14ac:dyDescent="0.35">
      <c r="A6" s="2413" t="s">
        <v>44</v>
      </c>
      <c r="B6" s="2413"/>
      <c r="C6" s="2414" t="s">
        <v>45</v>
      </c>
      <c r="D6" s="2415"/>
      <c r="E6" s="2415"/>
      <c r="F6" s="2415"/>
      <c r="G6" s="2415"/>
      <c r="H6" s="2415"/>
      <c r="I6" s="2415"/>
      <c r="J6" s="2415"/>
      <c r="K6" s="2415"/>
      <c r="L6" s="2415"/>
      <c r="M6" s="2415"/>
      <c r="N6" s="2415"/>
      <c r="O6" s="2415"/>
      <c r="P6" s="2415"/>
      <c r="Q6" s="2415"/>
      <c r="R6" s="2415"/>
      <c r="S6" s="2415"/>
      <c r="T6" s="2415"/>
      <c r="U6" s="2415"/>
      <c r="V6" s="2415"/>
      <c r="W6" s="2415"/>
      <c r="X6" s="2415"/>
      <c r="Y6" s="2415"/>
      <c r="Z6" s="2415"/>
      <c r="AA6" s="2415"/>
      <c r="AB6" s="20"/>
      <c r="AC6" s="19"/>
    </row>
    <row r="7" spans="1:29" x14ac:dyDescent="0.4">
      <c r="A7" s="21"/>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row>
    <row r="8" spans="1:29" x14ac:dyDescent="0.4">
      <c r="A8" s="23"/>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ht="19.5" x14ac:dyDescent="0.4">
      <c r="A9" s="23"/>
      <c r="B9" s="22"/>
      <c r="C9" s="24" t="s">
        <v>45</v>
      </c>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29" ht="12" customHeight="1" x14ac:dyDescent="0.4">
      <c r="A10" s="23"/>
      <c r="B10" s="22"/>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x14ac:dyDescent="0.4">
      <c r="A11" s="23"/>
      <c r="B11" s="22"/>
      <c r="C11" s="2416" t="s">
        <v>46</v>
      </c>
      <c r="D11" s="2416" t="s">
        <v>47</v>
      </c>
      <c r="E11" s="26"/>
      <c r="F11" s="2418" t="s">
        <v>48</v>
      </c>
      <c r="G11" s="2418"/>
      <c r="H11" s="2416"/>
      <c r="I11" s="2418" t="s">
        <v>49</v>
      </c>
      <c r="J11" s="2418"/>
      <c r="K11" s="26"/>
      <c r="L11" s="2418" t="s">
        <v>50</v>
      </c>
      <c r="M11" s="2418"/>
      <c r="N11" s="2418"/>
      <c r="O11" s="2418"/>
      <c r="P11" s="2418"/>
      <c r="Q11" s="2418"/>
      <c r="R11" s="26"/>
      <c r="S11" s="2418" t="s">
        <v>51</v>
      </c>
      <c r="T11" s="2418"/>
      <c r="U11" s="2418"/>
      <c r="V11" s="26"/>
      <c r="W11" s="2418" t="s">
        <v>52</v>
      </c>
      <c r="X11" s="2418"/>
      <c r="Y11" s="2418"/>
      <c r="Z11" s="2418"/>
      <c r="AA11" s="2418"/>
      <c r="AB11" s="2418"/>
      <c r="AC11" s="2418"/>
    </row>
    <row r="12" spans="1:29" ht="75" x14ac:dyDescent="0.4">
      <c r="A12" s="21"/>
      <c r="B12" s="22"/>
      <c r="C12" s="2417"/>
      <c r="D12" s="2417"/>
      <c r="E12" s="27"/>
      <c r="F12" s="27" t="s">
        <v>53</v>
      </c>
      <c r="G12" s="27" t="s">
        <v>54</v>
      </c>
      <c r="H12" s="2417"/>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x14ac:dyDescent="0.4">
      <c r="A13" s="23"/>
      <c r="B13" s="22"/>
      <c r="C13" s="29">
        <v>2010</v>
      </c>
      <c r="D13" s="30">
        <v>4.3342840095755353</v>
      </c>
      <c r="E13" s="30"/>
      <c r="F13" s="31">
        <v>4.2367502596164712</v>
      </c>
      <c r="G13" s="31">
        <v>4.4268407139843458</v>
      </c>
      <c r="H13" s="31"/>
      <c r="I13" s="31">
        <v>2.4953338101732045</v>
      </c>
      <c r="J13" s="32">
        <v>9.2467833696256019</v>
      </c>
      <c r="K13" s="32"/>
      <c r="L13" s="32">
        <v>2.2759559043026543</v>
      </c>
      <c r="M13" s="32">
        <v>8.3027819072381721</v>
      </c>
      <c r="N13" s="32">
        <v>6.8061297248013837</v>
      </c>
      <c r="O13" s="32">
        <v>10.248947184350405</v>
      </c>
      <c r="P13" s="32">
        <v>5.7087439973546408</v>
      </c>
      <c r="Q13" s="32">
        <v>7.948483967448408</v>
      </c>
      <c r="R13" s="32"/>
      <c r="S13" s="32">
        <v>1.6407442353475439</v>
      </c>
      <c r="T13" s="32">
        <v>14.718770394640455</v>
      </c>
      <c r="U13" s="32">
        <v>4.5862703881093747</v>
      </c>
      <c r="V13" s="32"/>
      <c r="W13" s="31">
        <v>7.0065307451562129</v>
      </c>
      <c r="X13" s="31">
        <v>7.9591270361319468</v>
      </c>
      <c r="Y13" s="31">
        <v>5.5165482712281912</v>
      </c>
      <c r="Z13" s="31">
        <v>3.4241707485741935</v>
      </c>
      <c r="AA13" s="31">
        <v>3.5143912680186453</v>
      </c>
      <c r="AB13" s="31">
        <v>3.2438018824941377</v>
      </c>
      <c r="AC13" s="31">
        <v>2.4664091367148138</v>
      </c>
    </row>
    <row r="14" spans="1:29" x14ac:dyDescent="0.4">
      <c r="A14" s="23"/>
      <c r="B14" s="22"/>
      <c r="C14" s="29">
        <v>2011</v>
      </c>
      <c r="D14" s="30">
        <v>4.5371163632330509</v>
      </c>
      <c r="E14" s="30"/>
      <c r="F14" s="31">
        <v>4.5994152190603348</v>
      </c>
      <c r="G14" s="31">
        <v>4.4776737087809764</v>
      </c>
      <c r="H14" s="31"/>
      <c r="I14" s="31">
        <v>3.1233718526486132</v>
      </c>
      <c r="J14" s="32">
        <v>8.3109283821328663</v>
      </c>
      <c r="K14" s="32"/>
      <c r="L14" s="32">
        <v>2.5056009028487787</v>
      </c>
      <c r="M14" s="32">
        <v>7.9416493700119855</v>
      </c>
      <c r="N14" s="32">
        <v>6.7238485064502029</v>
      </c>
      <c r="O14" s="32">
        <v>10.719870289482946</v>
      </c>
      <c r="P14" s="32">
        <v>7.1319297734392082</v>
      </c>
      <c r="Q14" s="32">
        <v>6.9909859154929572</v>
      </c>
      <c r="R14" s="32"/>
      <c r="S14" s="32">
        <v>1.7553167346650596</v>
      </c>
      <c r="T14" s="32">
        <v>15.461430874265126</v>
      </c>
      <c r="U14" s="32">
        <v>4.7620115319965173</v>
      </c>
      <c r="V14" s="32"/>
      <c r="W14" s="31">
        <v>7.8186517360510415</v>
      </c>
      <c r="X14" s="31">
        <v>7.9579275023696496</v>
      </c>
      <c r="Y14" s="31">
        <v>6.2482078407116974</v>
      </c>
      <c r="Z14" s="31">
        <v>3.2910880893178951</v>
      </c>
      <c r="AA14" s="31">
        <v>3.8924279058498099</v>
      </c>
      <c r="AB14" s="31">
        <v>3.3184993153272107</v>
      </c>
      <c r="AC14" s="31">
        <v>2.8060252376234387</v>
      </c>
    </row>
    <row r="15" spans="1:29" x14ac:dyDescent="0.4">
      <c r="A15" s="23"/>
      <c r="B15" s="22"/>
      <c r="C15" s="29">
        <v>2012</v>
      </c>
      <c r="D15" s="30">
        <v>4.3138746926216704</v>
      </c>
      <c r="E15" s="30"/>
      <c r="F15" s="31">
        <v>4.3263323495975108</v>
      </c>
      <c r="G15" s="31">
        <v>4.3020110064453823</v>
      </c>
      <c r="H15" s="31"/>
      <c r="I15" s="31">
        <v>3.0842381926924625</v>
      </c>
      <c r="J15" s="32">
        <v>7.5935326114866069</v>
      </c>
      <c r="K15" s="32"/>
      <c r="L15" s="32">
        <v>2.664258944016999</v>
      </c>
      <c r="M15" s="32">
        <v>7.6935211849336289</v>
      </c>
      <c r="N15" s="32">
        <v>5.1269518398899105</v>
      </c>
      <c r="O15" s="32">
        <v>9.4591659426585579</v>
      </c>
      <c r="P15" s="32">
        <v>6.9365452973388422</v>
      </c>
      <c r="Q15" s="32">
        <v>5.6830682653664786</v>
      </c>
      <c r="R15" s="32"/>
      <c r="S15" s="32">
        <v>1.6864519917900795</v>
      </c>
      <c r="T15" s="32">
        <v>13.267983278074094</v>
      </c>
      <c r="U15" s="32">
        <v>4.6051674590530753</v>
      </c>
      <c r="V15" s="32"/>
      <c r="W15" s="31">
        <v>8.20203368515112</v>
      </c>
      <c r="X15" s="31">
        <v>7.4046332138876565</v>
      </c>
      <c r="Y15" s="31">
        <v>5.4292028127077092</v>
      </c>
      <c r="Z15" s="31">
        <v>3.3183992221168661</v>
      </c>
      <c r="AA15" s="31">
        <v>3.4944878502616019</v>
      </c>
      <c r="AB15" s="31">
        <v>3.4815777606145586</v>
      </c>
      <c r="AC15" s="31">
        <v>2.2135246899761625</v>
      </c>
    </row>
    <row r="16" spans="1:29" x14ac:dyDescent="0.4">
      <c r="A16" s="21"/>
      <c r="B16" s="22"/>
      <c r="C16" s="29">
        <v>2013</v>
      </c>
      <c r="D16" s="30">
        <v>4.2832941618757561</v>
      </c>
      <c r="E16" s="30"/>
      <c r="F16" s="31">
        <v>4.2107618173978363</v>
      </c>
      <c r="G16" s="31">
        <v>4.3512664093618323</v>
      </c>
      <c r="H16" s="31"/>
      <c r="I16" s="31">
        <v>3.0182543178718917</v>
      </c>
      <c r="J16" s="32">
        <v>7.6511664308392211</v>
      </c>
      <c r="K16" s="32"/>
      <c r="L16" s="32">
        <v>2.2517564095440137</v>
      </c>
      <c r="M16" s="32">
        <v>8.7839002812363098</v>
      </c>
      <c r="N16" s="32">
        <v>6.9298491601971834</v>
      </c>
      <c r="O16" s="33">
        <v>8.8380888657034635</v>
      </c>
      <c r="P16" s="32">
        <v>6.9924511429740752</v>
      </c>
      <c r="Q16" s="32">
        <v>6.7157104394979337</v>
      </c>
      <c r="R16" s="32"/>
      <c r="S16" s="32">
        <v>1.7015188691133629</v>
      </c>
      <c r="T16" s="32">
        <v>14.447877415112261</v>
      </c>
      <c r="U16" s="32">
        <v>4.6696929505863034</v>
      </c>
      <c r="V16" s="32"/>
      <c r="W16" s="31">
        <v>8.310922760538519</v>
      </c>
      <c r="X16" s="31">
        <v>6.2998729665396338</v>
      </c>
      <c r="Y16" s="31">
        <v>5.4552110709194412</v>
      </c>
      <c r="Z16" s="31">
        <v>4.3510667729913584</v>
      </c>
      <c r="AA16" s="31">
        <v>3.4316657825399397</v>
      </c>
      <c r="AB16" s="31">
        <v>3.4403662504100549</v>
      </c>
      <c r="AC16" s="31">
        <v>2.1649033561526458</v>
      </c>
    </row>
    <row r="17" spans="1:29" x14ac:dyDescent="0.4">
      <c r="A17" s="23"/>
      <c r="B17" s="22"/>
      <c r="C17" s="29">
        <v>2014</v>
      </c>
      <c r="D17" s="30">
        <v>4.2197846321784986</v>
      </c>
      <c r="E17" s="30"/>
      <c r="F17" s="31">
        <v>4.1177779623875326</v>
      </c>
      <c r="G17" s="31">
        <v>4.3169653914478374</v>
      </c>
      <c r="H17" s="31"/>
      <c r="I17" s="31">
        <v>2.723286393307268</v>
      </c>
      <c r="J17" s="32">
        <v>8.1982150869407544</v>
      </c>
      <c r="K17" s="32"/>
      <c r="L17" s="32">
        <v>2.6319427258621699</v>
      </c>
      <c r="M17" s="32">
        <v>8.0973204835385211</v>
      </c>
      <c r="N17" s="32">
        <v>5.5177796736309013</v>
      </c>
      <c r="O17" s="32">
        <v>8.5796948531371982</v>
      </c>
      <c r="P17" s="32">
        <v>5.4912194221662576</v>
      </c>
      <c r="Q17" s="32">
        <v>6.5060771487535352</v>
      </c>
      <c r="R17" s="32"/>
      <c r="S17" s="32">
        <v>1.50829091132869</v>
      </c>
      <c r="T17" s="32">
        <v>12.44066507224402</v>
      </c>
      <c r="U17" s="32">
        <v>5.1261314769133852</v>
      </c>
      <c r="V17" s="32"/>
      <c r="W17" s="31">
        <v>7.8044158427946622</v>
      </c>
      <c r="X17" s="31">
        <v>6.29985673562794</v>
      </c>
      <c r="Y17" s="31">
        <v>5.8256833616400199</v>
      </c>
      <c r="Z17" s="31">
        <v>3.1036293244310831</v>
      </c>
      <c r="AA17" s="31">
        <v>3.4802590399444049</v>
      </c>
      <c r="AB17" s="31">
        <v>3.4795564667565553</v>
      </c>
      <c r="AC17" s="31">
        <v>3.1894500041576115</v>
      </c>
    </row>
    <row r="18" spans="1:29" x14ac:dyDescent="0.4">
      <c r="A18" s="23"/>
      <c r="B18" s="22"/>
      <c r="C18" s="29">
        <v>2015</v>
      </c>
      <c r="D18" s="30">
        <v>4.3413219893795549</v>
      </c>
      <c r="E18" s="30"/>
      <c r="F18" s="31">
        <v>4.2787968430477692</v>
      </c>
      <c r="G18" s="31">
        <v>4.400657132906181</v>
      </c>
      <c r="H18" s="31"/>
      <c r="I18" s="31">
        <v>2.9588975720336452</v>
      </c>
      <c r="J18" s="32">
        <v>8.0097830104647016</v>
      </c>
      <c r="K18" s="32"/>
      <c r="L18" s="32">
        <v>2.4100528263162015</v>
      </c>
      <c r="M18" s="32">
        <v>6.8205304857044444</v>
      </c>
      <c r="N18" s="32">
        <v>7.1798223527016747</v>
      </c>
      <c r="O18" s="32">
        <v>8.0602631285539079</v>
      </c>
      <c r="P18" s="32">
        <v>6.8757224699994692</v>
      </c>
      <c r="Q18" s="32">
        <v>8.6650365476159514</v>
      </c>
      <c r="R18" s="32"/>
      <c r="S18" s="32">
        <v>1.6051504886018693</v>
      </c>
      <c r="T18" s="32">
        <v>17.472293043342528</v>
      </c>
      <c r="U18" s="32">
        <v>4.5812474793388978</v>
      </c>
      <c r="V18" s="32"/>
      <c r="W18" s="31">
        <v>7.8874811432299099</v>
      </c>
      <c r="X18" s="31">
        <v>6.5853054144467844</v>
      </c>
      <c r="Y18" s="31">
        <v>5.5470742974783311</v>
      </c>
      <c r="Z18" s="31">
        <v>3.9343981303697895</v>
      </c>
      <c r="AA18" s="31">
        <v>3.6006763662563177</v>
      </c>
      <c r="AB18" s="31">
        <v>3.7042279842028765</v>
      </c>
      <c r="AC18" s="31">
        <v>1.7867786507721484</v>
      </c>
    </row>
    <row r="19" spans="1:29" x14ac:dyDescent="0.4">
      <c r="A19" s="23"/>
      <c r="B19" s="34"/>
      <c r="C19" s="29">
        <v>2016</v>
      </c>
      <c r="D19" s="30">
        <v>4.1175572221760977</v>
      </c>
      <c r="E19" s="30"/>
      <c r="F19" s="31">
        <v>4.0800940317196739</v>
      </c>
      <c r="G19" s="31">
        <v>4.1529648056060298</v>
      </c>
      <c r="H19" s="31"/>
      <c r="I19" s="31">
        <v>2.7250797844936487</v>
      </c>
      <c r="J19" s="32">
        <v>7.8102681579301976</v>
      </c>
      <c r="K19" s="32"/>
      <c r="L19" s="32">
        <v>2.3154265807093295</v>
      </c>
      <c r="M19" s="32">
        <v>7.0626063828352388</v>
      </c>
      <c r="N19" s="32">
        <v>5.6390778946034521</v>
      </c>
      <c r="O19" s="32">
        <v>7.3117129301170634</v>
      </c>
      <c r="P19" s="32">
        <v>6.3677434494259915</v>
      </c>
      <c r="Q19" s="32">
        <v>8.7198022560599977</v>
      </c>
      <c r="R19" s="32"/>
      <c r="S19" s="32">
        <v>1.75584539332081</v>
      </c>
      <c r="T19" s="32">
        <v>14.322121697313527</v>
      </c>
      <c r="U19" s="32">
        <v>4.4847057638636727</v>
      </c>
      <c r="V19" s="32"/>
      <c r="W19" s="31">
        <v>7.8012914743028894</v>
      </c>
      <c r="X19" s="31">
        <v>6.1103740373394428</v>
      </c>
      <c r="Y19" s="31">
        <v>5.1963799536150042</v>
      </c>
      <c r="Z19" s="31">
        <v>3.6517124619111385</v>
      </c>
      <c r="AA19" s="31">
        <v>3.4010431976160924</v>
      </c>
      <c r="AB19" s="31">
        <v>3.5392330019741318</v>
      </c>
      <c r="AC19" s="31">
        <v>1.8594388839998148</v>
      </c>
    </row>
    <row r="20" spans="1:29" x14ac:dyDescent="0.4">
      <c r="A20" s="23"/>
      <c r="B20" s="34"/>
      <c r="C20" s="29">
        <v>2017</v>
      </c>
      <c r="D20" s="30">
        <v>3.6214043973515944</v>
      </c>
      <c r="E20" s="30"/>
      <c r="F20" s="31">
        <v>3.5550349923857234</v>
      </c>
      <c r="G20" s="31">
        <v>3.684418236341449</v>
      </c>
      <c r="H20" s="31"/>
      <c r="I20" s="31">
        <v>2.6762642320169912</v>
      </c>
      <c r="J20" s="32">
        <v>6.1220177650442498</v>
      </c>
      <c r="K20" s="32"/>
      <c r="L20" s="32">
        <v>2.2915444068779642</v>
      </c>
      <c r="M20" s="32">
        <v>4.2927357171844704</v>
      </c>
      <c r="N20" s="32">
        <v>5.7341679729538004</v>
      </c>
      <c r="O20" s="32">
        <v>7.0378174376127811</v>
      </c>
      <c r="P20" s="32">
        <v>6.1412067446466674</v>
      </c>
      <c r="Q20" s="32">
        <v>5.7458771084035609</v>
      </c>
      <c r="R20" s="32"/>
      <c r="S20" s="32">
        <v>1.3056729600109687</v>
      </c>
      <c r="T20" s="32">
        <v>13.646697135318508</v>
      </c>
      <c r="U20" s="32">
        <v>3.7881471905910011</v>
      </c>
      <c r="V20" s="32"/>
      <c r="W20" s="31">
        <v>8.1579550725951364</v>
      </c>
      <c r="X20" s="31">
        <v>5.4933102544910177</v>
      </c>
      <c r="Y20" s="31">
        <v>4.3235269776204781</v>
      </c>
      <c r="Z20" s="31">
        <v>2.7723020862667394</v>
      </c>
      <c r="AA20" s="31">
        <v>3.0757373978015905</v>
      </c>
      <c r="AB20" s="31">
        <v>3.0145936219944676</v>
      </c>
      <c r="AC20" s="31">
        <v>1.7581735504850833</v>
      </c>
    </row>
    <row r="21" spans="1:29" s="36" customFormat="1" x14ac:dyDescent="0.4">
      <c r="A21" s="35"/>
      <c r="B21" s="34"/>
      <c r="C21" s="29">
        <v>2018</v>
      </c>
      <c r="D21" s="30">
        <v>4.14769231015842</v>
      </c>
      <c r="E21" s="30"/>
      <c r="F21" s="31">
        <v>3.9446530876379629</v>
      </c>
      <c r="G21" s="31">
        <v>4.3402406364921102</v>
      </c>
      <c r="H21" s="31"/>
      <c r="I21" s="31">
        <v>3.2097529137683725</v>
      </c>
      <c r="J21" s="32">
        <v>6.6220873779330338</v>
      </c>
      <c r="K21" s="32"/>
      <c r="L21" s="32">
        <v>2.4721559757087013</v>
      </c>
      <c r="M21" s="32">
        <v>5.9710691462551546</v>
      </c>
      <c r="N21" s="32">
        <v>4.8728900290654042</v>
      </c>
      <c r="O21" s="32">
        <v>8.253309109784583</v>
      </c>
      <c r="P21" s="32">
        <v>7.570121287271725</v>
      </c>
      <c r="Q21" s="32">
        <v>7.1554603391960114</v>
      </c>
      <c r="R21" s="32"/>
      <c r="S21" s="32">
        <v>1.4111989997860885</v>
      </c>
      <c r="T21" s="32">
        <v>12.485865306229785</v>
      </c>
      <c r="U21" s="32">
        <v>4.5272257428650846</v>
      </c>
      <c r="V21" s="32"/>
      <c r="W21" s="31">
        <v>8.2788531384865198</v>
      </c>
      <c r="X21" s="31">
        <v>7.5636944248481868</v>
      </c>
      <c r="Y21" s="31">
        <v>5.0669322100323138</v>
      </c>
      <c r="Z21" s="31">
        <v>3.1509118226710444</v>
      </c>
      <c r="AA21" s="31">
        <v>3.6622030175293556</v>
      </c>
      <c r="AB21" s="31">
        <v>3.258727699673341</v>
      </c>
      <c r="AC21" s="31">
        <v>2.1065975413550251</v>
      </c>
    </row>
    <row r="22" spans="1:29" x14ac:dyDescent="0.4">
      <c r="A22" s="23"/>
      <c r="B22" s="34"/>
      <c r="C22" s="29">
        <v>2019</v>
      </c>
      <c r="D22" s="30">
        <v>3.5908353926225143</v>
      </c>
      <c r="E22" s="30"/>
      <c r="F22" s="31">
        <v>3.4251335905356721</v>
      </c>
      <c r="G22" s="31">
        <v>3.7469620993047439</v>
      </c>
      <c r="H22" s="31"/>
      <c r="I22" s="31">
        <v>2.9718954696428956</v>
      </c>
      <c r="J22" s="32">
        <v>5.2219640630983122</v>
      </c>
      <c r="K22" s="32"/>
      <c r="L22" s="32">
        <v>2.2123062996495841</v>
      </c>
      <c r="M22" s="32">
        <v>3.4590084948610857</v>
      </c>
      <c r="N22" s="32">
        <v>6.9993993228119749</v>
      </c>
      <c r="O22" s="32">
        <v>6.116961319814326</v>
      </c>
      <c r="P22" s="32">
        <v>6.1962247730314557</v>
      </c>
      <c r="Q22" s="32">
        <v>6.5528788243796683</v>
      </c>
      <c r="R22" s="32"/>
      <c r="S22" s="32">
        <v>1.3533253136277712</v>
      </c>
      <c r="T22" s="32">
        <v>11.589979501808942</v>
      </c>
      <c r="U22" s="32">
        <v>3.9091341643172335</v>
      </c>
      <c r="V22" s="32"/>
      <c r="W22" s="31">
        <v>6.7665472838122316</v>
      </c>
      <c r="X22" s="31">
        <v>5.6523361017745213</v>
      </c>
      <c r="Y22" s="31">
        <v>5.1364178639970959</v>
      </c>
      <c r="Z22" s="31">
        <v>3.3733630628484468</v>
      </c>
      <c r="AA22" s="31">
        <v>2.9694935523941384</v>
      </c>
      <c r="AB22" s="31">
        <v>2.8582950147580188</v>
      </c>
      <c r="AC22" s="31">
        <v>2.0726560937878196</v>
      </c>
    </row>
    <row r="23" spans="1:29" x14ac:dyDescent="0.4">
      <c r="A23" s="23"/>
      <c r="B23" s="34"/>
      <c r="C23" s="29">
        <v>2020</v>
      </c>
      <c r="D23" s="30">
        <v>4.715202830438181</v>
      </c>
      <c r="E23" s="30"/>
      <c r="F23" s="31">
        <v>4.5842967161137036</v>
      </c>
      <c r="G23" s="31">
        <v>4.8387729446411436</v>
      </c>
      <c r="H23" s="31"/>
      <c r="I23" s="31">
        <v>4.1336087685247191</v>
      </c>
      <c r="J23" s="32">
        <v>6.247827919987694</v>
      </c>
      <c r="K23" s="32"/>
      <c r="L23" s="32">
        <v>3.6110831253409774</v>
      </c>
      <c r="M23" s="32">
        <v>4.8326410324809776</v>
      </c>
      <c r="N23" s="32">
        <v>8.4981099156731599</v>
      </c>
      <c r="O23" s="32">
        <v>3.9873942879691668</v>
      </c>
      <c r="P23" s="32">
        <v>7.1474393126558917</v>
      </c>
      <c r="Q23" s="32">
        <v>8.1383915137815741</v>
      </c>
      <c r="R23" s="32"/>
      <c r="S23" s="32">
        <v>1.5377267907945442</v>
      </c>
      <c r="T23" s="32">
        <v>12.390534258661786</v>
      </c>
      <c r="U23" s="32">
        <v>4.6936630270006736</v>
      </c>
      <c r="V23" s="32"/>
      <c r="W23" s="31">
        <v>8.2756252146492244</v>
      </c>
      <c r="X23" s="31">
        <v>7.4840003639727621</v>
      </c>
      <c r="Y23" s="31">
        <v>6.849723168277837</v>
      </c>
      <c r="Z23" s="31">
        <v>4.7435155342898341</v>
      </c>
      <c r="AA23" s="31">
        <v>4.4250866384997121</v>
      </c>
      <c r="AB23" s="31">
        <v>4.0133948819034995</v>
      </c>
      <c r="AC23" s="31">
        <v>1.6179125461313566</v>
      </c>
    </row>
    <row r="24" spans="1:29" x14ac:dyDescent="0.4">
      <c r="A24" s="23"/>
      <c r="B24" s="34"/>
      <c r="C24" s="29">
        <v>2021</v>
      </c>
      <c r="D24" s="30">
        <v>4.4005639122176383</v>
      </c>
      <c r="E24" s="30"/>
      <c r="F24" s="31">
        <v>4.0850905055683802</v>
      </c>
      <c r="G24" s="31">
        <v>4.6934777745104421</v>
      </c>
      <c r="H24" s="31"/>
      <c r="I24" s="31">
        <v>3.3395006854596865</v>
      </c>
      <c r="J24" s="32">
        <v>7.1912832759265424</v>
      </c>
      <c r="K24" s="32"/>
      <c r="L24" s="32">
        <v>2.54370365715722</v>
      </c>
      <c r="M24" s="32">
        <v>5.5243138443503153</v>
      </c>
      <c r="N24" s="32">
        <v>6.2909648577280111</v>
      </c>
      <c r="O24" s="32">
        <v>7.3787286056986856</v>
      </c>
      <c r="P24" s="32">
        <v>7.6361892803082423</v>
      </c>
      <c r="Q24" s="32">
        <v>9.6908095912887831</v>
      </c>
      <c r="R24" s="32"/>
      <c r="S24" s="32">
        <v>1.8783198717589253</v>
      </c>
      <c r="T24" s="32">
        <v>11.704340537443816</v>
      </c>
      <c r="U24" s="32">
        <v>4.2635473423673149</v>
      </c>
      <c r="V24" s="32"/>
      <c r="W24" s="31">
        <v>9.8672225665295699</v>
      </c>
      <c r="X24" s="31">
        <v>7.137976884524905</v>
      </c>
      <c r="Y24" s="31">
        <v>6.0965623871548535</v>
      </c>
      <c r="Z24" s="31">
        <v>4.4474714504784671</v>
      </c>
      <c r="AA24" s="31">
        <v>3.8205399108231979</v>
      </c>
      <c r="AB24" s="31">
        <v>3.510225765302065</v>
      </c>
      <c r="AC24" s="31">
        <v>1.9506218663383441</v>
      </c>
    </row>
    <row r="25" spans="1:29" x14ac:dyDescent="0.4">
      <c r="A25" s="23"/>
      <c r="B25" s="34"/>
      <c r="C25" s="29">
        <v>2022</v>
      </c>
      <c r="D25" s="30">
        <v>3.498890231851095</v>
      </c>
      <c r="E25" s="30"/>
      <c r="F25" s="31">
        <v>3.3979553458474374</v>
      </c>
      <c r="G25" s="31">
        <v>3.5910941394481295</v>
      </c>
      <c r="H25" s="31"/>
      <c r="I25" s="31">
        <v>2.6066455634952428</v>
      </c>
      <c r="J25" s="32">
        <v>5.8427388883278253</v>
      </c>
      <c r="K25" s="32"/>
      <c r="L25" s="32">
        <v>1.9284106802367795</v>
      </c>
      <c r="M25" s="32">
        <v>5.396312577460364</v>
      </c>
      <c r="N25" s="32">
        <v>6.7790793153883655</v>
      </c>
      <c r="O25" s="32">
        <v>5.8816913176563217</v>
      </c>
      <c r="P25" s="32">
        <v>5.5654436217005676</v>
      </c>
      <c r="Q25" s="32">
        <v>6.6922026629523401</v>
      </c>
      <c r="R25" s="32"/>
      <c r="S25" s="32">
        <v>1.1415497976732545</v>
      </c>
      <c r="T25" s="32">
        <v>11.92002449924478</v>
      </c>
      <c r="U25" s="32">
        <v>3.6269170617409223</v>
      </c>
      <c r="V25" s="32"/>
      <c r="W25" s="31">
        <v>6.7185260343689102</v>
      </c>
      <c r="X25" s="31">
        <v>6.7335622948430292</v>
      </c>
      <c r="Y25" s="31">
        <v>5.7531351311240924</v>
      </c>
      <c r="Z25" s="31">
        <v>3.7406941479599292</v>
      </c>
      <c r="AA25" s="31">
        <v>2.8204494624064673</v>
      </c>
      <c r="AB25" s="31">
        <v>2.605515544689387</v>
      </c>
      <c r="AC25" s="31">
        <v>1.6576501399699479</v>
      </c>
    </row>
    <row r="26" spans="1:29" x14ac:dyDescent="0.4">
      <c r="A26" s="23"/>
      <c r="B26" s="34"/>
      <c r="C26" s="2406">
        <v>2023</v>
      </c>
      <c r="D26" s="30">
        <v>2.26133014183696</v>
      </c>
      <c r="E26" s="30"/>
      <c r="F26" s="31">
        <v>2.1388845678289696</v>
      </c>
      <c r="G26" s="31">
        <v>2.371863079339573</v>
      </c>
      <c r="H26" s="31"/>
      <c r="I26" s="31">
        <v>1.6961809652087405</v>
      </c>
      <c r="J26" s="32">
        <v>3.743029999076867</v>
      </c>
      <c r="K26" s="32"/>
      <c r="L26" s="32">
        <v>1.4151405301795839</v>
      </c>
      <c r="M26" s="32">
        <v>4.1118135886672382</v>
      </c>
      <c r="N26" s="32">
        <v>1.7842965455942963</v>
      </c>
      <c r="O26" s="32">
        <v>2.1270078863891202</v>
      </c>
      <c r="P26" s="32">
        <v>5.0515285829850338</v>
      </c>
      <c r="Q26" s="32">
        <v>4.1930750117036988</v>
      </c>
      <c r="R26" s="32"/>
      <c r="S26" s="32">
        <v>0.58858277688929539</v>
      </c>
      <c r="T26" s="32">
        <v>11.56118799564609</v>
      </c>
      <c r="U26" s="32">
        <v>2.3216399937481058</v>
      </c>
      <c r="V26" s="32"/>
      <c r="W26" s="31">
        <v>4.4920229437258614</v>
      </c>
      <c r="X26" s="31">
        <v>4.3671213314949773</v>
      </c>
      <c r="Y26" s="31">
        <v>3.4675957412918215</v>
      </c>
      <c r="Z26" s="31">
        <v>2.1637420297055789</v>
      </c>
      <c r="AA26" s="31">
        <v>2.1198054846498358</v>
      </c>
      <c r="AB26" s="31">
        <v>1.7668025223581001</v>
      </c>
      <c r="AC26" s="31">
        <v>0.89570780624983848</v>
      </c>
    </row>
    <row r="27" spans="1:29" x14ac:dyDescent="0.4">
      <c r="A27" s="23"/>
      <c r="B27" s="34"/>
      <c r="C27" s="37">
        <v>2024</v>
      </c>
      <c r="D27" s="38">
        <v>1.6736994847878666</v>
      </c>
      <c r="E27" s="38"/>
      <c r="F27" s="39">
        <v>1.6327969035014975</v>
      </c>
      <c r="G27" s="39">
        <v>1.7110301806512098</v>
      </c>
      <c r="H27" s="39"/>
      <c r="I27" s="39">
        <v>1.2974926120721686</v>
      </c>
      <c r="J27" s="40">
        <v>2.6583487850169019</v>
      </c>
      <c r="K27" s="40"/>
      <c r="L27" s="40">
        <v>0.89788948297851467</v>
      </c>
      <c r="M27" s="40">
        <v>2.4822190783083604</v>
      </c>
      <c r="N27" s="40">
        <v>1.833687367237286</v>
      </c>
      <c r="O27" s="40">
        <v>3.4658876843317357</v>
      </c>
      <c r="P27" s="40">
        <v>4.4670836584561853</v>
      </c>
      <c r="Q27" s="40">
        <v>1.9604889481589127</v>
      </c>
      <c r="R27" s="40"/>
      <c r="S27" s="40">
        <v>0.50011500525416164</v>
      </c>
      <c r="T27" s="40">
        <v>6.3166872536909597</v>
      </c>
      <c r="U27" s="40">
        <v>1.5729593868231115</v>
      </c>
      <c r="V27" s="40"/>
      <c r="W27" s="39">
        <v>4.4554472467206496</v>
      </c>
      <c r="X27" s="39">
        <v>3.5957672179631048</v>
      </c>
      <c r="Y27" s="39">
        <v>2.9988662131519273</v>
      </c>
      <c r="Z27" s="39">
        <v>1.2089561833741107</v>
      </c>
      <c r="AA27" s="39">
        <v>1.3594325019989815</v>
      </c>
      <c r="AB27" s="39">
        <v>1.3355713989063474</v>
      </c>
      <c r="AC27" s="39">
        <v>0.34706386476286893</v>
      </c>
    </row>
    <row r="28" spans="1:29" x14ac:dyDescent="0.4">
      <c r="A28" s="23"/>
      <c r="B28" s="34"/>
      <c r="C28" s="41" t="s">
        <v>73</v>
      </c>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x14ac:dyDescent="0.4">
      <c r="A29" s="23"/>
      <c r="B29" s="34"/>
      <c r="C29" s="41" t="s">
        <v>74</v>
      </c>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1"/>
    </row>
    <row r="30" spans="1:29" ht="15" customHeight="1" x14ac:dyDescent="0.4">
      <c r="A30" s="23"/>
      <c r="B30" s="34"/>
      <c r="C30" s="17"/>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5" customHeight="1" x14ac:dyDescent="0.4">
      <c r="A31" s="23"/>
      <c r="B31" s="34"/>
      <c r="C31" s="17"/>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36" customHeight="1" x14ac:dyDescent="0.4">
      <c r="A32" s="21"/>
      <c r="B32" s="34"/>
      <c r="C32" s="43" t="s">
        <v>8193</v>
      </c>
      <c r="D32" s="43"/>
      <c r="E32" s="43"/>
      <c r="F32" s="43"/>
      <c r="G32" s="43"/>
      <c r="H32" s="43"/>
      <c r="I32" s="43"/>
      <c r="J32" s="43"/>
      <c r="K32" s="43"/>
      <c r="L32" s="43"/>
      <c r="M32" s="43"/>
      <c r="N32" s="43"/>
      <c r="O32" s="34"/>
      <c r="P32" s="44"/>
      <c r="Q32" s="44"/>
      <c r="R32" s="44"/>
      <c r="S32" s="44"/>
      <c r="T32" s="44"/>
      <c r="U32" s="44"/>
      <c r="V32" s="34"/>
      <c r="W32" s="34"/>
      <c r="X32" s="34"/>
      <c r="Y32" s="34"/>
      <c r="Z32" s="34"/>
      <c r="AA32" s="34"/>
      <c r="AB32" s="34"/>
      <c r="AC32" s="34"/>
    </row>
    <row r="33" spans="1:29" ht="15.75" customHeight="1" x14ac:dyDescent="0.4">
      <c r="A33" s="23"/>
      <c r="B33" s="34"/>
      <c r="C33" s="34"/>
      <c r="D33" s="34"/>
      <c r="E33" s="34"/>
      <c r="F33" s="34"/>
      <c r="G33" s="34"/>
      <c r="H33" s="34"/>
      <c r="I33" s="34"/>
      <c r="J33" s="34"/>
      <c r="K33" s="34"/>
      <c r="L33" s="34"/>
      <c r="M33" s="34"/>
      <c r="N33" s="34"/>
      <c r="O33" s="34"/>
      <c r="P33" s="44"/>
      <c r="Q33" s="44"/>
      <c r="R33" s="44"/>
      <c r="S33" s="44"/>
      <c r="T33" s="44"/>
      <c r="U33" s="44"/>
      <c r="V33" s="34"/>
      <c r="W33" s="34"/>
      <c r="X33" s="34"/>
      <c r="Y33" s="34"/>
      <c r="Z33" s="34"/>
      <c r="AA33" s="34"/>
      <c r="AB33" s="34"/>
      <c r="AC33" s="34"/>
    </row>
    <row r="34" spans="1:29" x14ac:dyDescent="0.4">
      <c r="A34" s="21"/>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x14ac:dyDescent="0.4">
      <c r="A35" s="23"/>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x14ac:dyDescent="0.4">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x14ac:dyDescent="0.4">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x14ac:dyDescent="0.4">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x14ac:dyDescent="0.4">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x14ac:dyDescent="0.4">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x14ac:dyDescent="0.4">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x14ac:dyDescent="0.4">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x14ac:dyDescent="0.4">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x14ac:dyDescent="0.4">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x14ac:dyDescent="0.4">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x14ac:dyDescent="0.4">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x14ac:dyDescent="0.4">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x14ac:dyDescent="0.4">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x14ac:dyDescent="0.4">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x14ac:dyDescent="0.4">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x14ac:dyDescent="0.4">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x14ac:dyDescent="0.4">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x14ac:dyDescent="0.4">
      <c r="A53" s="22"/>
      <c r="B53" s="22"/>
      <c r="C53" s="36" t="s">
        <v>8105</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x14ac:dyDescent="0.4">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x14ac:dyDescent="0.4">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sheetData>
  <mergeCells count="17">
    <mergeCell ref="A5:B5"/>
    <mergeCell ref="C5:AA5"/>
    <mergeCell ref="C1:F1"/>
    <mergeCell ref="A3:B3"/>
    <mergeCell ref="C3:AA3"/>
    <mergeCell ref="A4:B4"/>
    <mergeCell ref="C4:AA4"/>
    <mergeCell ref="A6:B6"/>
    <mergeCell ref="C6:AA6"/>
    <mergeCell ref="C11:C12"/>
    <mergeCell ref="D11:D12"/>
    <mergeCell ref="F11:G11"/>
    <mergeCell ref="H11:H12"/>
    <mergeCell ref="I11:J11"/>
    <mergeCell ref="L11:Q11"/>
    <mergeCell ref="S11:U11"/>
    <mergeCell ref="W11:AC11"/>
  </mergeCells>
  <hyperlinks>
    <hyperlink ref="C1" location="'Metadato 1.1.1'!A1" display="VER METADATO " xr:uid="{1E2DB0EA-32EA-4114-938A-86DD4643BBD1}"/>
    <hyperlink ref="A1" location="'ODS 1.'!A1" display="REGRESAR" xr:uid="{F33ACB92-0001-4AE3-BE33-EC1F78ABB67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02C1-A24C-4DAC-98EF-50177FF89477}">
  <dimension ref="A1:P34"/>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5703125" style="22" customWidth="1"/>
    <col min="3" max="3" width="12.7109375" style="22" customWidth="1"/>
    <col min="4" max="4" width="16.28515625" style="22" customWidth="1"/>
    <col min="5" max="5" width="19.7109375" style="22" customWidth="1"/>
    <col min="6" max="14" width="11" style="22" customWidth="1"/>
    <col min="15" max="16384" width="11.42578125" style="22"/>
  </cols>
  <sheetData>
    <row r="1" spans="1:16" ht="19.5" x14ac:dyDescent="0.4">
      <c r="A1" s="15" t="s">
        <v>39</v>
      </c>
      <c r="B1" s="16"/>
      <c r="C1" s="2421" t="s">
        <v>149</v>
      </c>
      <c r="D1" s="2421"/>
      <c r="E1" s="16"/>
      <c r="F1" s="16"/>
      <c r="G1" s="16"/>
      <c r="H1" s="16"/>
      <c r="I1" s="16"/>
      <c r="J1" s="16"/>
      <c r="K1" s="16"/>
      <c r="L1" s="16"/>
      <c r="M1" s="16"/>
      <c r="N1" s="16"/>
      <c r="O1" s="16"/>
      <c r="P1" s="16"/>
    </row>
    <row r="2" spans="1:16" ht="19.5" x14ac:dyDescent="0.4">
      <c r="A2" s="161"/>
      <c r="B2" s="16"/>
      <c r="C2" s="16"/>
      <c r="D2" s="16"/>
      <c r="E2" s="16"/>
      <c r="F2" s="16"/>
      <c r="G2" s="16"/>
      <c r="H2" s="16"/>
      <c r="I2" s="16"/>
      <c r="J2" s="16"/>
      <c r="K2" s="16"/>
      <c r="L2" s="16"/>
      <c r="M2" s="16"/>
      <c r="N2" s="16"/>
      <c r="O2" s="16"/>
      <c r="P2" s="16"/>
    </row>
    <row r="3" spans="1:16" ht="19.5" x14ac:dyDescent="0.25">
      <c r="A3" s="2508" t="s">
        <v>41</v>
      </c>
      <c r="B3" s="2508"/>
      <c r="C3" s="2508" t="s">
        <v>396</v>
      </c>
      <c r="D3" s="2508"/>
      <c r="E3" s="2508"/>
      <c r="F3" s="2508"/>
      <c r="G3" s="2508"/>
      <c r="H3" s="2508"/>
      <c r="I3" s="2508"/>
      <c r="J3" s="2508"/>
      <c r="K3" s="2508"/>
      <c r="L3" s="2508"/>
      <c r="M3" s="2508"/>
      <c r="N3" s="2508"/>
      <c r="O3" s="2508"/>
      <c r="P3" s="2508"/>
    </row>
    <row r="4" spans="1:16" ht="36.6" customHeight="1" x14ac:dyDescent="0.25">
      <c r="A4" s="2508" t="s">
        <v>42</v>
      </c>
      <c r="B4" s="2508"/>
      <c r="C4" s="2509" t="s">
        <v>397</v>
      </c>
      <c r="D4" s="2509"/>
      <c r="E4" s="2509"/>
      <c r="F4" s="2509"/>
      <c r="G4" s="2509"/>
      <c r="H4" s="2509"/>
      <c r="I4" s="2509"/>
      <c r="J4" s="2509"/>
      <c r="K4" s="2509"/>
      <c r="L4" s="2509"/>
      <c r="M4" s="2509"/>
      <c r="N4" s="2509"/>
      <c r="O4" s="2509"/>
      <c r="P4" s="2509"/>
    </row>
    <row r="5" spans="1:16" ht="19.5" x14ac:dyDescent="0.25">
      <c r="A5" s="2508" t="s">
        <v>43</v>
      </c>
      <c r="B5" s="2508"/>
      <c r="C5" s="2508" t="s">
        <v>399</v>
      </c>
      <c r="D5" s="2508"/>
      <c r="E5" s="2508"/>
      <c r="F5" s="2508"/>
      <c r="G5" s="2508"/>
      <c r="H5" s="2508"/>
      <c r="I5" s="2508"/>
      <c r="J5" s="2508"/>
      <c r="K5" s="2508"/>
      <c r="L5" s="2508"/>
      <c r="M5" s="2508"/>
      <c r="N5" s="2508"/>
      <c r="O5" s="2508"/>
      <c r="P5" s="2508"/>
    </row>
    <row r="6" spans="1:16" ht="19.5" x14ac:dyDescent="0.25">
      <c r="A6" s="2508" t="s">
        <v>132</v>
      </c>
      <c r="B6" s="2508"/>
      <c r="C6" s="2508" t="s">
        <v>433</v>
      </c>
      <c r="D6" s="2508"/>
      <c r="E6" s="2508"/>
      <c r="F6" s="2508"/>
      <c r="G6" s="2508"/>
      <c r="H6" s="2508"/>
      <c r="I6" s="2508"/>
      <c r="J6" s="2508"/>
      <c r="K6" s="2508"/>
      <c r="L6" s="2508"/>
      <c r="M6" s="2508"/>
      <c r="N6" s="2508"/>
      <c r="O6" s="2508"/>
      <c r="P6" s="2508"/>
    </row>
    <row r="7" spans="1:16" ht="19.5" x14ac:dyDescent="0.4">
      <c r="A7" s="16"/>
      <c r="B7" s="16"/>
      <c r="C7" s="16"/>
      <c r="D7" s="16"/>
      <c r="E7" s="16"/>
      <c r="F7" s="16"/>
      <c r="G7" s="16"/>
      <c r="H7" s="16"/>
      <c r="I7" s="16"/>
      <c r="J7" s="16"/>
      <c r="K7" s="16"/>
      <c r="L7" s="16"/>
      <c r="M7" s="16"/>
      <c r="N7" s="16"/>
      <c r="O7" s="16"/>
      <c r="P7" s="16"/>
    </row>
    <row r="8" spans="1:16" ht="19.5" x14ac:dyDescent="0.4">
      <c r="A8" s="16"/>
      <c r="B8" s="16"/>
      <c r="C8" s="16"/>
      <c r="D8" s="16"/>
      <c r="E8" s="16"/>
      <c r="F8" s="16"/>
      <c r="G8" s="16"/>
      <c r="H8" s="16"/>
      <c r="I8" s="16"/>
      <c r="J8" s="16"/>
      <c r="K8" s="16"/>
      <c r="L8" s="16"/>
      <c r="M8" s="16"/>
      <c r="N8" s="16"/>
      <c r="O8" s="16"/>
      <c r="P8" s="16"/>
    </row>
    <row r="9" spans="1:16" ht="19.5" x14ac:dyDescent="0.4">
      <c r="A9" s="16"/>
      <c r="B9" s="16"/>
      <c r="C9" s="264" t="s">
        <v>434</v>
      </c>
      <c r="D9" s="264"/>
      <c r="E9" s="265"/>
      <c r="F9" s="16"/>
      <c r="G9" s="266" t="s">
        <v>435</v>
      </c>
      <c r="H9" s="16"/>
      <c r="I9" s="16"/>
      <c r="J9" s="16"/>
      <c r="K9" s="16"/>
      <c r="L9" s="16"/>
      <c r="M9" s="16"/>
      <c r="N9" s="16"/>
      <c r="O9" s="16"/>
      <c r="P9" s="16"/>
    </row>
    <row r="10" spans="1:16" ht="19.5" x14ac:dyDescent="0.4">
      <c r="A10" s="16"/>
      <c r="B10" s="16"/>
      <c r="C10" s="138" t="s">
        <v>436</v>
      </c>
      <c r="D10" s="138"/>
      <c r="E10" s="267"/>
      <c r="F10" s="16"/>
      <c r="G10" s="266"/>
      <c r="H10" s="16"/>
      <c r="I10" s="16"/>
      <c r="J10" s="16"/>
      <c r="K10" s="16"/>
      <c r="L10" s="16"/>
      <c r="M10" s="16"/>
      <c r="N10" s="16"/>
      <c r="O10" s="16"/>
      <c r="P10" s="16"/>
    </row>
    <row r="11" spans="1:16" ht="43.5" customHeight="1" x14ac:dyDescent="0.4">
      <c r="C11" s="268" t="s">
        <v>247</v>
      </c>
      <c r="D11" s="269" t="s">
        <v>437</v>
      </c>
      <c r="E11" s="270"/>
      <c r="H11" s="5"/>
      <c r="I11" s="5"/>
      <c r="J11" s="5"/>
    </row>
    <row r="12" spans="1:16" ht="18.75" x14ac:dyDescent="0.4">
      <c r="C12" s="5" t="s">
        <v>438</v>
      </c>
      <c r="D12" s="5">
        <v>4.7</v>
      </c>
    </row>
    <row r="13" spans="1:16" ht="18.75" x14ac:dyDescent="0.4">
      <c r="C13" s="5" t="s">
        <v>439</v>
      </c>
      <c r="D13" s="5">
        <v>5</v>
      </c>
    </row>
    <row r="14" spans="1:16" ht="18.75" x14ac:dyDescent="0.4">
      <c r="C14" s="5" t="s">
        <v>440</v>
      </c>
      <c r="D14" s="5">
        <v>5.2</v>
      </c>
    </row>
    <row r="15" spans="1:16" ht="18.75" x14ac:dyDescent="0.4">
      <c r="C15" s="5" t="s">
        <v>441</v>
      </c>
      <c r="D15" s="5">
        <v>4.9000000000000004</v>
      </c>
    </row>
    <row r="16" spans="1:16" ht="18.75" x14ac:dyDescent="0.4">
      <c r="C16" s="5" t="s">
        <v>442</v>
      </c>
      <c r="D16" s="5">
        <v>4.3</v>
      </c>
    </row>
    <row r="17" spans="3:7" ht="18.75" x14ac:dyDescent="0.4">
      <c r="C17" s="5" t="s">
        <v>443</v>
      </c>
      <c r="D17" s="5">
        <v>3.9</v>
      </c>
    </row>
    <row r="18" spans="3:7" ht="18.75" x14ac:dyDescent="0.4">
      <c r="C18" s="5" t="s">
        <v>444</v>
      </c>
      <c r="D18" s="5">
        <v>3.7</v>
      </c>
    </row>
    <row r="19" spans="3:7" ht="18.75" x14ac:dyDescent="0.4">
      <c r="C19" s="5" t="s">
        <v>445</v>
      </c>
      <c r="D19" s="5">
        <v>3.9</v>
      </c>
    </row>
    <row r="20" spans="3:7" ht="18.75" x14ac:dyDescent="0.4">
      <c r="C20" s="5" t="s">
        <v>446</v>
      </c>
      <c r="D20" s="5">
        <v>4.2</v>
      </c>
    </row>
    <row r="21" spans="3:7" ht="18.75" x14ac:dyDescent="0.4">
      <c r="C21" s="5" t="s">
        <v>447</v>
      </c>
      <c r="D21" s="5">
        <v>4.5999999999999996</v>
      </c>
    </row>
    <row r="22" spans="3:7" ht="18.75" x14ac:dyDescent="0.4">
      <c r="C22" s="5" t="s">
        <v>448</v>
      </c>
      <c r="D22" s="5">
        <v>5</v>
      </c>
    </row>
    <row r="23" spans="3:7" ht="18.75" x14ac:dyDescent="0.4">
      <c r="C23" s="5" t="s">
        <v>449</v>
      </c>
      <c r="D23" s="5">
        <v>5.0999999999999996</v>
      </c>
    </row>
    <row r="24" spans="3:7" ht="18.75" x14ac:dyDescent="0.4">
      <c r="C24" s="5" t="s">
        <v>450</v>
      </c>
      <c r="D24" s="5">
        <v>5</v>
      </c>
    </row>
    <row r="25" spans="3:7" ht="18.75" x14ac:dyDescent="0.4">
      <c r="C25" s="5" t="s">
        <v>451</v>
      </c>
      <c r="D25" s="5">
        <v>4.8</v>
      </c>
    </row>
    <row r="26" spans="3:7" ht="18.75" x14ac:dyDescent="0.4">
      <c r="C26" s="5" t="s">
        <v>452</v>
      </c>
      <c r="D26" s="5">
        <v>4.2</v>
      </c>
    </row>
    <row r="27" spans="3:7" ht="18.75" x14ac:dyDescent="0.4">
      <c r="C27" s="5" t="s">
        <v>453</v>
      </c>
      <c r="D27" s="5">
        <v>3.7</v>
      </c>
    </row>
    <row r="28" spans="3:7" ht="18.75" x14ac:dyDescent="0.4">
      <c r="C28" s="5" t="s">
        <v>454</v>
      </c>
      <c r="D28" s="5">
        <v>3.2</v>
      </c>
      <c r="G28" s="5" t="s">
        <v>455</v>
      </c>
    </row>
    <row r="29" spans="3:7" ht="18.75" x14ac:dyDescent="0.4">
      <c r="C29" s="5" t="s">
        <v>456</v>
      </c>
      <c r="D29" s="5">
        <v>3.1</v>
      </c>
    </row>
    <row r="30" spans="3:7" ht="18.75" x14ac:dyDescent="0.4">
      <c r="C30" s="5" t="s">
        <v>457</v>
      </c>
      <c r="D30" s="5">
        <v>3.1</v>
      </c>
    </row>
    <row r="31" spans="3:7" ht="18.75" x14ac:dyDescent="0.4">
      <c r="C31" s="5" t="s">
        <v>458</v>
      </c>
      <c r="D31" s="5">
        <v>3.1</v>
      </c>
    </row>
    <row r="32" spans="3:7" ht="18.75" x14ac:dyDescent="0.4">
      <c r="C32" s="153" t="s">
        <v>459</v>
      </c>
      <c r="D32" s="153">
        <v>3</v>
      </c>
    </row>
    <row r="33" spans="3:4" ht="18.75" x14ac:dyDescent="0.4">
      <c r="C33" s="5" t="s">
        <v>460</v>
      </c>
      <c r="D33" s="5"/>
    </row>
    <row r="34" spans="3:4" ht="18.75" x14ac:dyDescent="0.4">
      <c r="C34" s="5" t="s">
        <v>455</v>
      </c>
      <c r="D34" s="5"/>
    </row>
  </sheetData>
  <mergeCells count="9">
    <mergeCell ref="A6:B6"/>
    <mergeCell ref="C6:P6"/>
    <mergeCell ref="C1:D1"/>
    <mergeCell ref="A3:B3"/>
    <mergeCell ref="C3:P3"/>
    <mergeCell ref="A4:B4"/>
    <mergeCell ref="C4:P4"/>
    <mergeCell ref="A5:B5"/>
    <mergeCell ref="C5:P5"/>
  </mergeCells>
  <hyperlinks>
    <hyperlink ref="A1" location="'ODS 2.'!A1" display="REGRESAR" xr:uid="{C6CCB2F1-CFD5-4ACA-8A5B-75B0E8DD5788}"/>
    <hyperlink ref="C1" location="'Metadato 2.1.1'!A1" display="VER METADATO" xr:uid="{155E9D6C-4DA3-4A04-A90B-5E5C26770B61}"/>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0247-AF8B-4F24-A09D-DE1E967936B3}">
  <dimension ref="A1:P27"/>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 style="115" customWidth="1"/>
    <col min="3" max="3" width="7.5703125" style="115" customWidth="1"/>
    <col min="4" max="4" width="11.42578125" style="115"/>
    <col min="5" max="5" width="14.5703125" style="115" customWidth="1"/>
    <col min="6" max="6" width="13.42578125" style="115" customWidth="1"/>
    <col min="7" max="7" width="15" style="115" customWidth="1"/>
    <col min="8" max="8" width="15.28515625" style="115" customWidth="1"/>
    <col min="9" max="10" width="12.5703125" style="115" customWidth="1"/>
    <col min="11" max="11" width="12.7109375" style="115" customWidth="1"/>
    <col min="12" max="12" width="13" style="115" customWidth="1"/>
    <col min="13" max="13" width="13.7109375" style="115" customWidth="1"/>
    <col min="14" max="14" width="11.42578125" style="115"/>
    <col min="15" max="15" width="12.7109375" style="115" customWidth="1"/>
    <col min="16" max="16" width="11.42578125" style="115"/>
    <col min="17" max="17" width="14.5703125" style="115" customWidth="1"/>
    <col min="18" max="16384" width="11.42578125" style="115"/>
  </cols>
  <sheetData>
    <row r="1" spans="1:16" s="1032" customFormat="1" ht="19.5" x14ac:dyDescent="0.4">
      <c r="A1" s="15" t="s">
        <v>39</v>
      </c>
      <c r="C1" s="2421" t="s">
        <v>149</v>
      </c>
      <c r="D1" s="2421"/>
    </row>
    <row r="2" spans="1:16" s="1032" customFormat="1" ht="19.5" x14ac:dyDescent="0.4"/>
    <row r="3" spans="1:16" s="1032" customFormat="1" ht="19.5" x14ac:dyDescent="0.4">
      <c r="A3" s="3240" t="s">
        <v>41</v>
      </c>
      <c r="B3" s="3240"/>
      <c r="C3" s="3240" t="s">
        <v>5585</v>
      </c>
      <c r="D3" s="3241"/>
      <c r="E3" s="3241"/>
      <c r="F3" s="3241"/>
      <c r="G3" s="3241"/>
      <c r="H3" s="3241"/>
      <c r="I3" s="3241"/>
      <c r="J3" s="3241"/>
      <c r="K3" s="3241"/>
      <c r="L3" s="3241"/>
      <c r="M3" s="3241"/>
      <c r="N3" s="3241"/>
      <c r="O3" s="3241"/>
      <c r="P3" s="3241"/>
    </row>
    <row r="4" spans="1:16" s="1032" customFormat="1" ht="19.5" x14ac:dyDescent="0.4">
      <c r="A4" s="3240" t="s">
        <v>42</v>
      </c>
      <c r="B4" s="3241"/>
      <c r="C4" s="3240" t="s">
        <v>5600</v>
      </c>
      <c r="D4" s="3241"/>
      <c r="E4" s="3241"/>
      <c r="F4" s="3241"/>
      <c r="G4" s="3241"/>
      <c r="H4" s="3241"/>
      <c r="I4" s="3241"/>
      <c r="J4" s="3241"/>
      <c r="K4" s="3241"/>
      <c r="L4" s="3241"/>
      <c r="M4" s="3241"/>
      <c r="N4" s="3241"/>
      <c r="O4" s="3241"/>
      <c r="P4" s="3241"/>
    </row>
    <row r="5" spans="1:16" s="1032" customFormat="1" ht="19.5" x14ac:dyDescent="0.4">
      <c r="A5" s="3240" t="s">
        <v>43</v>
      </c>
      <c r="B5" s="3241"/>
      <c r="C5" s="3240" t="s">
        <v>5602</v>
      </c>
      <c r="D5" s="3241"/>
      <c r="E5" s="3241"/>
      <c r="F5" s="3241"/>
      <c r="G5" s="3241"/>
      <c r="H5" s="3241"/>
      <c r="I5" s="3241"/>
      <c r="J5" s="3241"/>
      <c r="K5" s="3241"/>
      <c r="L5" s="3241"/>
      <c r="M5" s="3241"/>
      <c r="N5" s="3241"/>
      <c r="O5" s="3241"/>
      <c r="P5" s="3241"/>
    </row>
    <row r="6" spans="1:16" s="1032" customFormat="1" ht="19.5" x14ac:dyDescent="0.4">
      <c r="A6" s="3240" t="s">
        <v>132</v>
      </c>
      <c r="B6" s="3241"/>
      <c r="C6" s="3240" t="s">
        <v>5707</v>
      </c>
      <c r="D6" s="3241"/>
      <c r="E6" s="3241"/>
      <c r="F6" s="3241"/>
      <c r="G6" s="3241"/>
      <c r="H6" s="3241"/>
      <c r="I6" s="3241"/>
      <c r="J6" s="3241"/>
      <c r="K6" s="3241"/>
      <c r="L6" s="3241"/>
      <c r="M6" s="3241"/>
      <c r="N6" s="3241"/>
      <c r="O6" s="3241"/>
      <c r="P6" s="3241"/>
    </row>
    <row r="7" spans="1:16" s="1032" customFormat="1" ht="19.5" x14ac:dyDescent="0.4"/>
    <row r="8" spans="1:16" s="1032" customFormat="1" ht="19.5" x14ac:dyDescent="0.4"/>
    <row r="9" spans="1:16" s="1032" customFormat="1" ht="19.5" x14ac:dyDescent="0.4">
      <c r="C9" s="1062" t="s">
        <v>5708</v>
      </c>
      <c r="D9" s="1062"/>
      <c r="E9" s="1062"/>
      <c r="F9" s="1062"/>
      <c r="G9" s="1062"/>
      <c r="H9" s="1062"/>
      <c r="K9" s="532" t="s">
        <v>5709</v>
      </c>
    </row>
    <row r="10" spans="1:16" s="1032" customFormat="1" ht="10.15" customHeight="1" x14ac:dyDescent="0.4">
      <c r="C10" s="1062"/>
      <c r="D10" s="1062"/>
      <c r="E10" s="1062"/>
      <c r="F10" s="1062"/>
      <c r="G10" s="1062"/>
      <c r="H10" s="1062"/>
      <c r="K10" s="532"/>
    </row>
    <row r="11" spans="1:16" ht="93.75" x14ac:dyDescent="0.4">
      <c r="A11" s="536"/>
      <c r="C11" s="1618" t="s">
        <v>247</v>
      </c>
      <c r="D11" s="1618" t="s">
        <v>5710</v>
      </c>
      <c r="E11" s="1618" t="s">
        <v>5711</v>
      </c>
      <c r="F11" s="1618" t="s">
        <v>5712</v>
      </c>
      <c r="G11" s="1618" t="s">
        <v>5713</v>
      </c>
      <c r="H11" s="1618" t="s">
        <v>5714</v>
      </c>
    </row>
    <row r="12" spans="1:16" x14ac:dyDescent="0.4">
      <c r="A12" s="536"/>
      <c r="C12" s="536">
        <v>2010</v>
      </c>
      <c r="D12" s="1382">
        <v>82.24</v>
      </c>
      <c r="E12" s="1382">
        <v>84.653333333333322</v>
      </c>
      <c r="F12" s="1382">
        <v>-0.56166666666666665</v>
      </c>
      <c r="G12" s="1382">
        <v>7.9433333333333351</v>
      </c>
      <c r="H12" s="1382">
        <v>1.4966666666666668</v>
      </c>
    </row>
    <row r="13" spans="1:16" x14ac:dyDescent="0.4">
      <c r="A13" s="536"/>
      <c r="C13" s="536">
        <v>2011</v>
      </c>
      <c r="D13" s="1382">
        <v>83.387500000000003</v>
      </c>
      <c r="E13" s="1382">
        <v>84.127500000000012</v>
      </c>
      <c r="F13" s="1382">
        <v>-0.68</v>
      </c>
      <c r="G13" s="1382">
        <v>9.2125000000000004</v>
      </c>
      <c r="H13" s="1382">
        <v>1.5216666666666665</v>
      </c>
    </row>
    <row r="14" spans="1:16" x14ac:dyDescent="0.4">
      <c r="A14" s="536"/>
      <c r="C14" s="536">
        <v>2012</v>
      </c>
      <c r="D14" s="1382">
        <v>83.3</v>
      </c>
      <c r="E14" s="1382">
        <v>84.833333333333329</v>
      </c>
      <c r="F14" s="1382">
        <v>-0.69333333333333336</v>
      </c>
      <c r="G14" s="1382">
        <v>10.086666666666668</v>
      </c>
      <c r="H14" s="1382">
        <v>1.543333333333333</v>
      </c>
    </row>
    <row r="15" spans="1:16" x14ac:dyDescent="0.4">
      <c r="A15" s="536"/>
      <c r="C15" s="536">
        <v>2013</v>
      </c>
      <c r="D15" s="1382">
        <v>83.875833333333333</v>
      </c>
      <c r="E15" s="1382">
        <v>86.017499999999998</v>
      </c>
      <c r="F15" s="1382">
        <v>-0.65249999999999997</v>
      </c>
      <c r="G15" s="1382">
        <v>9.4374999999999982</v>
      </c>
      <c r="H15" s="1382">
        <v>1.5199999999999998</v>
      </c>
    </row>
    <row r="16" spans="1:16" x14ac:dyDescent="0.4">
      <c r="A16" s="536"/>
      <c r="C16" s="536">
        <v>2014</v>
      </c>
      <c r="D16" s="1382">
        <v>83.306666666666658</v>
      </c>
      <c r="E16" s="1382">
        <v>86.13</v>
      </c>
      <c r="F16" s="1382">
        <v>-0.85749999999999993</v>
      </c>
      <c r="G16" s="1382">
        <v>8.6824999999999992</v>
      </c>
      <c r="H16" s="1382">
        <v>1.5291666666666666</v>
      </c>
    </row>
    <row r="17" spans="3:11" x14ac:dyDescent="0.4">
      <c r="C17" s="536">
        <v>2015</v>
      </c>
      <c r="D17" s="1382">
        <v>84.309999999999988</v>
      </c>
      <c r="E17" s="1382">
        <v>86.408333333333346</v>
      </c>
      <c r="F17" s="1382">
        <v>-0.69666666666666666</v>
      </c>
      <c r="G17" s="1382">
        <v>7.557500000000001</v>
      </c>
      <c r="H17" s="1382">
        <v>1.5600000000000003</v>
      </c>
    </row>
    <row r="18" spans="3:11" x14ac:dyDescent="0.4">
      <c r="C18" s="536">
        <v>2016</v>
      </c>
      <c r="D18" s="1382">
        <v>84.434999999999988</v>
      </c>
      <c r="E18" s="1382">
        <v>86.731666666666669</v>
      </c>
      <c r="F18" s="1382">
        <v>-0.89166666666666672</v>
      </c>
      <c r="G18" s="1382">
        <v>8.0300000000000011</v>
      </c>
      <c r="H18" s="1382">
        <v>1.6508333333333336</v>
      </c>
    </row>
    <row r="19" spans="3:11" x14ac:dyDescent="0.4">
      <c r="C19" s="536">
        <v>2017</v>
      </c>
      <c r="D19" s="1382">
        <v>84.24</v>
      </c>
      <c r="E19" s="1382">
        <v>87.14</v>
      </c>
      <c r="F19" s="1382">
        <v>-1.36</v>
      </c>
      <c r="G19" s="1382">
        <v>8.17</v>
      </c>
      <c r="H19" s="1382">
        <v>1.71</v>
      </c>
    </row>
    <row r="20" spans="3:11" x14ac:dyDescent="0.4">
      <c r="C20" s="1636">
        <v>2018</v>
      </c>
      <c r="D20" s="1637">
        <v>84.303991031912005</v>
      </c>
      <c r="E20" s="1637">
        <v>86.588932104553678</v>
      </c>
      <c r="F20" s="1637">
        <v>-2.3244480755617345</v>
      </c>
      <c r="G20" s="1637">
        <v>6.2938047068949636</v>
      </c>
      <c r="H20" s="1637">
        <v>1.7580107291495406</v>
      </c>
    </row>
    <row r="21" spans="3:11" x14ac:dyDescent="0.4">
      <c r="C21" s="1636">
        <v>2019</v>
      </c>
      <c r="D21" s="1637">
        <v>84.409751500995071</v>
      </c>
      <c r="E21" s="1637">
        <v>87.09549294383163</v>
      </c>
      <c r="F21" s="1637">
        <v>-3.1855922025670456</v>
      </c>
      <c r="G21" s="1637">
        <v>6.9676857112494375</v>
      </c>
      <c r="H21" s="1637">
        <v>1.7975927782757466</v>
      </c>
    </row>
    <row r="22" spans="3:11" x14ac:dyDescent="0.4">
      <c r="C22" s="1636">
        <v>2020</v>
      </c>
      <c r="D22" s="1637">
        <v>82.91</v>
      </c>
      <c r="E22" s="1637">
        <v>87.74</v>
      </c>
      <c r="F22" s="1637">
        <v>-4.9000000000000004</v>
      </c>
      <c r="G22" s="1637">
        <v>6.03</v>
      </c>
      <c r="H22" s="1637">
        <v>1.72</v>
      </c>
    </row>
    <row r="23" spans="3:11" x14ac:dyDescent="0.4">
      <c r="C23" s="1636">
        <v>2021</v>
      </c>
      <c r="D23" s="1637">
        <v>83.2</v>
      </c>
      <c r="E23" s="1637">
        <v>86.87</v>
      </c>
      <c r="F23" s="1637">
        <v>-5.73</v>
      </c>
      <c r="G23" s="1637">
        <v>4.93</v>
      </c>
      <c r="H23" s="1637">
        <v>1.77</v>
      </c>
    </row>
    <row r="24" spans="3:11" x14ac:dyDescent="0.4">
      <c r="C24" s="1636">
        <v>2022</v>
      </c>
      <c r="D24" s="1637">
        <v>82.49</v>
      </c>
      <c r="E24" s="1637">
        <v>85.97</v>
      </c>
      <c r="F24" s="1637">
        <v>-6.38</v>
      </c>
      <c r="G24" s="1637">
        <v>7.75</v>
      </c>
      <c r="H24" s="1637">
        <v>1.8</v>
      </c>
    </row>
    <row r="25" spans="3:11" x14ac:dyDescent="0.4">
      <c r="C25" s="1638">
        <v>2023</v>
      </c>
      <c r="D25" s="1639">
        <v>82.89</v>
      </c>
      <c r="E25" s="1639">
        <v>86.77</v>
      </c>
      <c r="F25" s="1639">
        <v>-6.39</v>
      </c>
      <c r="G25" s="1639">
        <v>5.08</v>
      </c>
      <c r="H25" s="1639">
        <v>1.5</v>
      </c>
    </row>
    <row r="26" spans="3:11" x14ac:dyDescent="0.4">
      <c r="C26" s="115" t="s">
        <v>5715</v>
      </c>
    </row>
    <row r="27" spans="3:11" x14ac:dyDescent="0.4">
      <c r="C27" s="301" t="s">
        <v>5716</v>
      </c>
      <c r="K27" s="301" t="s">
        <v>5716</v>
      </c>
    </row>
  </sheetData>
  <mergeCells count="9">
    <mergeCell ref="A6:B6"/>
    <mergeCell ref="C6:P6"/>
    <mergeCell ref="C1:D1"/>
    <mergeCell ref="A3:B3"/>
    <mergeCell ref="C3:P3"/>
    <mergeCell ref="A4:B4"/>
    <mergeCell ref="C4:P4"/>
    <mergeCell ref="A5:B5"/>
    <mergeCell ref="C5:P5"/>
  </mergeCells>
  <hyperlinks>
    <hyperlink ref="A1" location="'ODS 10.'!A1" display="REGRESAR" xr:uid="{E9B0A9FB-1295-4BD2-9650-E4A145188D57}"/>
    <hyperlink ref="C1:D1" location="'Metadato 10.5.1'!A1" display="VER METADATO" xr:uid="{3AE3A1B7-7F11-4A6C-832C-4A6300FDB7AF}"/>
  </hyperlinks>
  <pageMargins left="0.7" right="0.7" top="0.75" bottom="0.75" header="0.3" footer="0.3"/>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945C-F8BE-47F5-A069-38BE24504EB0}">
  <sheetPr>
    <tabColor theme="0" tint="-0.499984740745262"/>
  </sheetPr>
  <dimension ref="A1:F42"/>
  <sheetViews>
    <sheetView showGridLines="0" topLeftCell="D1" zoomScaleNormal="100" workbookViewId="0">
      <pane ySplit="1" topLeftCell="A30" activePane="bottomLeft" state="frozen"/>
      <selection sqref="A1:B1"/>
      <selection pane="bottomLeft" sqref="A1:B1"/>
    </sheetView>
  </sheetViews>
  <sheetFormatPr baseColWidth="10" defaultColWidth="11.42578125" defaultRowHeight="18.75" x14ac:dyDescent="0.4"/>
  <cols>
    <col min="1" max="1" width="7.5703125" style="115" customWidth="1"/>
    <col min="2" max="2" width="26.42578125" style="115" customWidth="1"/>
    <col min="3" max="3" width="24" style="115" customWidth="1"/>
    <col min="4" max="4" width="85.7109375" style="115" customWidth="1"/>
    <col min="5" max="5" width="15" style="115" customWidth="1"/>
    <col min="6" max="6" width="7.28515625" style="115" customWidth="1"/>
    <col min="7" max="7" width="12.5703125" style="115" customWidth="1"/>
    <col min="8" max="8" width="12.7109375" style="115" customWidth="1"/>
    <col min="9" max="9" width="13" style="115" customWidth="1"/>
    <col min="10" max="10" width="13.7109375" style="115" customWidth="1"/>
    <col min="11" max="11" width="11.42578125" style="115"/>
    <col min="12" max="12" width="12.7109375" style="115" customWidth="1"/>
    <col min="13" max="13" width="11.42578125" style="115"/>
    <col min="14" max="14" width="14.42578125" style="115" customWidth="1"/>
    <col min="15" max="15" width="12.42578125" style="115" customWidth="1"/>
    <col min="16" max="16" width="14.5703125" style="115" customWidth="1"/>
    <col min="17" max="16384" width="11.42578125" style="115"/>
  </cols>
  <sheetData>
    <row r="1" spans="1:6" x14ac:dyDescent="0.4">
      <c r="B1" s="90" t="s">
        <v>39</v>
      </c>
    </row>
    <row r="2" spans="1:6" ht="19.5" thickBot="1" x14ac:dyDescent="0.45"/>
    <row r="3" spans="1:6" ht="23.25" customHeight="1" thickBot="1" x14ac:dyDescent="0.45">
      <c r="B3" s="3230" t="s">
        <v>75</v>
      </c>
      <c r="C3" s="3230"/>
      <c r="D3" s="3230"/>
      <c r="F3" s="1046" t="s">
        <v>76</v>
      </c>
    </row>
    <row r="4" spans="1:6" x14ac:dyDescent="0.4">
      <c r="A4" s="283"/>
      <c r="B4" s="2445" t="s">
        <v>234</v>
      </c>
      <c r="C4" s="2445"/>
      <c r="D4" s="49" t="s">
        <v>5625</v>
      </c>
    </row>
    <row r="5" spans="1:6" ht="34.5" customHeight="1" x14ac:dyDescent="0.4">
      <c r="B5" s="2445" t="s">
        <v>79</v>
      </c>
      <c r="C5" s="2445"/>
      <c r="D5" s="49" t="s">
        <v>5600</v>
      </c>
    </row>
    <row r="6" spans="1:6" ht="15.75" customHeight="1" x14ac:dyDescent="0.4">
      <c r="B6" s="2445" t="s">
        <v>80</v>
      </c>
      <c r="C6" s="2445"/>
      <c r="D6" s="50" t="s">
        <v>5601</v>
      </c>
    </row>
    <row r="7" spans="1:6" x14ac:dyDescent="0.4">
      <c r="B7" s="2446" t="s">
        <v>81</v>
      </c>
      <c r="C7" s="2446"/>
      <c r="D7" s="93" t="s">
        <v>5602</v>
      </c>
    </row>
    <row r="8" spans="1:6" x14ac:dyDescent="0.4">
      <c r="B8" s="2457" t="s">
        <v>82</v>
      </c>
      <c r="C8" s="2458"/>
      <c r="D8" s="1047" t="s">
        <v>5717</v>
      </c>
    </row>
    <row r="10" spans="1:6" ht="23.25" customHeight="1" x14ac:dyDescent="0.4">
      <c r="B10" s="3230" t="s">
        <v>85</v>
      </c>
      <c r="C10" s="3230"/>
      <c r="D10" s="3230"/>
    </row>
    <row r="11" spans="1:6" x14ac:dyDescent="0.4">
      <c r="B11" s="2487" t="s">
        <v>86</v>
      </c>
      <c r="C11" s="2456"/>
      <c r="D11" s="49" t="s">
        <v>167</v>
      </c>
    </row>
    <row r="12" spans="1:6" ht="18.75" customHeight="1" x14ac:dyDescent="0.4">
      <c r="B12" s="2446" t="s">
        <v>88</v>
      </c>
      <c r="C12" s="2446"/>
      <c r="D12" s="755" t="s">
        <v>5718</v>
      </c>
    </row>
    <row r="13" spans="1:6" x14ac:dyDescent="0.4">
      <c r="B13" s="2445" t="s">
        <v>90</v>
      </c>
      <c r="C13" s="2445"/>
      <c r="D13" s="55" t="s">
        <v>5601</v>
      </c>
    </row>
    <row r="14" spans="1:6" x14ac:dyDescent="0.4">
      <c r="B14" s="2445" t="s">
        <v>91</v>
      </c>
      <c r="C14" s="2456"/>
      <c r="D14" s="54" t="s">
        <v>214</v>
      </c>
    </row>
    <row r="15" spans="1:6" ht="400.15" customHeight="1" x14ac:dyDescent="0.4">
      <c r="B15" s="2449" t="s">
        <v>93</v>
      </c>
      <c r="C15" s="2450"/>
      <c r="D15" s="2471" t="s">
        <v>5719</v>
      </c>
    </row>
    <row r="16" spans="1:6" ht="321.75" customHeight="1" x14ac:dyDescent="0.4">
      <c r="B16" s="2469"/>
      <c r="C16" s="2470"/>
      <c r="D16" s="2473"/>
    </row>
    <row r="17" spans="2:4" ht="219" customHeight="1" x14ac:dyDescent="0.4">
      <c r="B17" s="2445" t="s">
        <v>95</v>
      </c>
      <c r="C17" s="2445"/>
      <c r="D17" s="55"/>
    </row>
    <row r="18" spans="2:4" x14ac:dyDescent="0.4">
      <c r="B18" s="2445" t="s">
        <v>97</v>
      </c>
      <c r="C18" s="2445"/>
      <c r="D18" s="55" t="s">
        <v>5720</v>
      </c>
    </row>
    <row r="19" spans="2:4" ht="19.5" customHeight="1" x14ac:dyDescent="0.4">
      <c r="B19" s="2446" t="s">
        <v>99</v>
      </c>
      <c r="C19" s="2446"/>
      <c r="D19" s="49"/>
    </row>
    <row r="20" spans="2:4" ht="168.75" x14ac:dyDescent="0.4">
      <c r="B20" s="2457" t="s">
        <v>100</v>
      </c>
      <c r="C20" s="2458"/>
      <c r="D20" s="55" t="s">
        <v>5721</v>
      </c>
    </row>
    <row r="21" spans="2:4" x14ac:dyDescent="0.4">
      <c r="B21" s="2445" t="s">
        <v>102</v>
      </c>
      <c r="C21" s="2445"/>
      <c r="D21" s="55" t="s">
        <v>1521</v>
      </c>
    </row>
    <row r="22" spans="2:4" x14ac:dyDescent="0.4">
      <c r="B22" s="2451" t="s">
        <v>104</v>
      </c>
      <c r="C22" s="95" t="s">
        <v>105</v>
      </c>
      <c r="D22" s="49"/>
    </row>
    <row r="23" spans="2:4" x14ac:dyDescent="0.4">
      <c r="B23" s="2452"/>
      <c r="C23" s="96" t="s">
        <v>107</v>
      </c>
      <c r="D23" s="55" t="s">
        <v>5722</v>
      </c>
    </row>
    <row r="24" spans="2:4" x14ac:dyDescent="0.4">
      <c r="B24" s="2445" t="s">
        <v>109</v>
      </c>
      <c r="C24" s="2445"/>
      <c r="D24" s="55" t="s">
        <v>5723</v>
      </c>
    </row>
    <row r="25" spans="2:4" x14ac:dyDescent="0.4">
      <c r="B25" s="2445" t="s">
        <v>111</v>
      </c>
      <c r="C25" s="2445"/>
      <c r="D25" s="50" t="s">
        <v>5724</v>
      </c>
    </row>
    <row r="26" spans="2:4" x14ac:dyDescent="0.4">
      <c r="B26" s="2445" t="s">
        <v>113</v>
      </c>
      <c r="C26" s="2445"/>
      <c r="D26" s="55" t="s">
        <v>220</v>
      </c>
    </row>
    <row r="27" spans="2:4" x14ac:dyDescent="0.4">
      <c r="B27" s="2446" t="s">
        <v>115</v>
      </c>
      <c r="C27" s="2446"/>
      <c r="D27" s="50" t="s">
        <v>5725</v>
      </c>
    </row>
    <row r="28" spans="2:4" x14ac:dyDescent="0.4">
      <c r="B28" s="2447" t="s">
        <v>117</v>
      </c>
      <c r="C28" s="2448"/>
      <c r="D28" s="49"/>
    </row>
    <row r="29" spans="2:4" ht="409.5" x14ac:dyDescent="0.4">
      <c r="B29" s="97" t="s">
        <v>118</v>
      </c>
      <c r="C29" s="98"/>
      <c r="D29" s="594" t="s">
        <v>5726</v>
      </c>
    </row>
    <row r="30" spans="2:4" x14ac:dyDescent="0.4">
      <c r="B30" s="2449" t="s">
        <v>120</v>
      </c>
      <c r="C30" s="2450"/>
      <c r="D30" s="1640" t="s">
        <v>5727</v>
      </c>
    </row>
    <row r="31" spans="2:4" x14ac:dyDescent="0.4">
      <c r="B31" s="63"/>
      <c r="C31" s="63"/>
      <c r="D31" s="64"/>
    </row>
    <row r="32" spans="2:4" ht="23.25" customHeight="1" x14ac:dyDescent="0.4">
      <c r="B32" s="3230" t="s">
        <v>121</v>
      </c>
      <c r="C32" s="3230"/>
      <c r="D32" s="3230"/>
    </row>
    <row r="33" spans="2:4" x14ac:dyDescent="0.4">
      <c r="B33" s="2447" t="s">
        <v>122</v>
      </c>
      <c r="C33" s="2448"/>
      <c r="D33" s="50" t="s">
        <v>5728</v>
      </c>
    </row>
    <row r="34" spans="2:4" x14ac:dyDescent="0.4">
      <c r="B34" s="2447" t="s">
        <v>124</v>
      </c>
      <c r="C34" s="2448"/>
      <c r="D34" s="50" t="s">
        <v>5729</v>
      </c>
    </row>
    <row r="35" spans="2:4" x14ac:dyDescent="0.4">
      <c r="B35" s="2447" t="s">
        <v>126</v>
      </c>
      <c r="C35" s="2448"/>
      <c r="D35" s="50" t="s">
        <v>5724</v>
      </c>
    </row>
    <row r="36" spans="2:4" ht="56.25" x14ac:dyDescent="0.4">
      <c r="B36" s="2447" t="s">
        <v>128</v>
      </c>
      <c r="C36" s="2448"/>
      <c r="D36" s="50" t="s">
        <v>5730</v>
      </c>
    </row>
    <row r="37" spans="2:4" x14ac:dyDescent="0.4">
      <c r="B37" s="2447" t="s">
        <v>130</v>
      </c>
      <c r="C37" s="2448"/>
      <c r="D37" s="1312" t="s">
        <v>5731</v>
      </c>
    </row>
    <row r="38" spans="2:4" x14ac:dyDescent="0.4">
      <c r="B38" s="2447" t="s">
        <v>122</v>
      </c>
      <c r="C38" s="2448"/>
      <c r="D38" s="50" t="s">
        <v>5732</v>
      </c>
    </row>
    <row r="39" spans="2:4" x14ac:dyDescent="0.4">
      <c r="B39" s="2447" t="s">
        <v>124</v>
      </c>
      <c r="C39" s="2448"/>
      <c r="D39" s="50" t="s">
        <v>5733</v>
      </c>
    </row>
    <row r="40" spans="2:4" x14ac:dyDescent="0.4">
      <c r="B40" s="2447" t="s">
        <v>126</v>
      </c>
      <c r="C40" s="2448"/>
      <c r="D40" s="50" t="s">
        <v>5724</v>
      </c>
    </row>
    <row r="41" spans="2:4" ht="56.25" x14ac:dyDescent="0.4">
      <c r="B41" s="2447" t="s">
        <v>128</v>
      </c>
      <c r="C41" s="2448"/>
      <c r="D41" s="50" t="s">
        <v>5730</v>
      </c>
    </row>
    <row r="42" spans="2:4" x14ac:dyDescent="0.4">
      <c r="B42" s="2447" t="s">
        <v>130</v>
      </c>
      <c r="C42" s="2448"/>
      <c r="D42" s="1312" t="s">
        <v>5734</v>
      </c>
    </row>
  </sheetData>
  <mergeCells count="36">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6">
    <dataValidation type="list" allowBlank="1" showInputMessage="1" showErrorMessage="1" sqref="D4" xr:uid="{9CC3D533-5279-4EB4-B450-2CB87F54FB7A}">
      <formula1>ODS</formula1>
    </dataValidation>
    <dataValidation type="list" allowBlank="1" showInputMessage="1" showErrorMessage="1" sqref="D5" xr:uid="{05ECD1B4-0595-4CFF-ADFD-14B0364D2EA2}">
      <formula1>Metas_ODS</formula1>
    </dataValidation>
    <dataValidation type="list" allowBlank="1" showInputMessage="1" showErrorMessage="1" sqref="D6" xr:uid="{ABD62E8F-215A-4311-979D-95B889325C62}">
      <formula1>Numero_indicador</formula1>
    </dataValidation>
    <dataValidation type="list" allowBlank="1" showInputMessage="1" showErrorMessage="1" sqref="D7" xr:uid="{31813553-12B5-4F35-A640-081765631B4A}">
      <formula1>Nombre_indicador_ODS</formula1>
    </dataValidation>
    <dataValidation type="list" allowBlank="1" showInputMessage="1" showErrorMessage="1" sqref="D14" xr:uid="{135A50E8-FC3B-47B6-9425-2656ECED1BD8}">
      <formula1>Tipo_indicador</formula1>
    </dataValidation>
    <dataValidation type="list" allowBlank="1" showInputMessage="1" showErrorMessage="1" sqref="D26" xr:uid="{B7DD2FE9-7FC1-405E-A4F5-94CED4825F08}">
      <formula1>Tipo_operación</formula1>
    </dataValidation>
  </dataValidations>
  <hyperlinks>
    <hyperlink ref="B1" location="'10.5.1'!A1" display="REGRESAR" xr:uid="{815C7063-9A87-49F1-B15A-72115CBF4D5E}"/>
    <hyperlink ref="D30" r:id="rId1" xr:uid="{983EB31A-D9B2-4D0A-9273-72B0C38E3174}"/>
    <hyperlink ref="D42" r:id="rId2" xr:uid="{D0936EA8-21DD-4E0F-9284-C44B506C94FA}"/>
    <hyperlink ref="D37" r:id="rId3" xr:uid="{88565427-306E-42E0-880C-78BFAE4058CF}"/>
    <hyperlink ref="D8" r:id="rId4" xr:uid="{B33C3A65-F72F-4C6A-925A-54E05DB70A0A}"/>
  </hyperlinks>
  <pageMargins left="0.7" right="0.7" top="0.75" bottom="0.75" header="0.3" footer="0.3"/>
  <drawing r:id="rId5"/>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4090-3104-4797-AB74-B5B36BD7636B}">
  <sheetPr>
    <tabColor rgb="FF7030A0"/>
  </sheetPr>
  <dimension ref="A1:P26"/>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7109375" style="1032" customWidth="1"/>
    <col min="2" max="2" width="18.28515625" style="1032" customWidth="1"/>
    <col min="3" max="3" width="12.28515625" style="1061" customWidth="1"/>
    <col min="4" max="6" width="12.28515625" style="1032" customWidth="1"/>
    <col min="7" max="16384" width="11.42578125" style="1032"/>
  </cols>
  <sheetData>
    <row r="1" spans="1:16" x14ac:dyDescent="0.4">
      <c r="A1" s="15" t="s">
        <v>39</v>
      </c>
      <c r="B1" s="1080"/>
      <c r="C1" s="2421" t="s">
        <v>149</v>
      </c>
      <c r="D1" s="2421"/>
    </row>
    <row r="3" spans="1:16" x14ac:dyDescent="0.4">
      <c r="A3" s="3240" t="s">
        <v>41</v>
      </c>
      <c r="B3" s="3240"/>
      <c r="C3" s="3243" t="s">
        <v>5585</v>
      </c>
      <c r="D3" s="3245"/>
      <c r="E3" s="3245"/>
      <c r="F3" s="3245"/>
      <c r="G3" s="3245"/>
      <c r="H3" s="3245"/>
      <c r="I3" s="3245"/>
      <c r="J3" s="3245"/>
      <c r="K3" s="3245"/>
      <c r="L3" s="3245"/>
      <c r="M3" s="3245"/>
      <c r="N3" s="3245"/>
      <c r="O3" s="3245"/>
      <c r="P3" s="3245"/>
    </row>
    <row r="4" spans="1:16" ht="33.6" customHeight="1" x14ac:dyDescent="0.4">
      <c r="A4" s="3240" t="s">
        <v>42</v>
      </c>
      <c r="B4" s="3241"/>
      <c r="C4" s="3246" t="s">
        <v>5603</v>
      </c>
      <c r="D4" s="3247"/>
      <c r="E4" s="3247"/>
      <c r="F4" s="3247"/>
      <c r="G4" s="3247"/>
      <c r="H4" s="3247"/>
      <c r="I4" s="3247"/>
      <c r="J4" s="3247"/>
      <c r="K4" s="3247"/>
      <c r="L4" s="3247"/>
      <c r="M4" s="3247"/>
      <c r="N4" s="3247"/>
      <c r="O4" s="3247"/>
      <c r="P4" s="3247"/>
    </row>
    <row r="5" spans="1:16" x14ac:dyDescent="0.4">
      <c r="A5" s="3240" t="s">
        <v>43</v>
      </c>
      <c r="B5" s="3241"/>
      <c r="C5" s="3243" t="s">
        <v>5605</v>
      </c>
      <c r="D5" s="3244"/>
      <c r="E5" s="3244"/>
      <c r="F5" s="3244"/>
      <c r="G5" s="3244"/>
      <c r="H5" s="3244"/>
      <c r="I5" s="3244"/>
      <c r="J5" s="3244"/>
      <c r="K5" s="3244"/>
      <c r="L5" s="3244"/>
      <c r="M5" s="3244"/>
      <c r="N5" s="3244"/>
      <c r="O5" s="3244"/>
      <c r="P5" s="3244"/>
    </row>
    <row r="6" spans="1:16" x14ac:dyDescent="0.4">
      <c r="A6" s="3240" t="s">
        <v>132</v>
      </c>
      <c r="B6" s="3241"/>
      <c r="C6" s="3243" t="s">
        <v>242</v>
      </c>
      <c r="D6" s="3244"/>
      <c r="E6" s="3244"/>
      <c r="F6" s="3244"/>
      <c r="G6" s="3244"/>
      <c r="H6" s="3244"/>
      <c r="I6" s="3244"/>
      <c r="J6" s="3244"/>
      <c r="K6" s="3244"/>
      <c r="L6" s="3244"/>
      <c r="M6" s="3244"/>
      <c r="N6" s="3244"/>
      <c r="O6" s="3244"/>
      <c r="P6" s="3244"/>
    </row>
    <row r="7" spans="1:16" x14ac:dyDescent="0.4">
      <c r="A7" s="1084"/>
    </row>
    <row r="8" spans="1:16" x14ac:dyDescent="0.4">
      <c r="A8" s="1084"/>
    </row>
    <row r="9" spans="1:16" ht="11.25" customHeight="1" x14ac:dyDescent="0.4">
      <c r="C9" s="2506" t="s">
        <v>650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row r="12" spans="1:16" x14ac:dyDescent="0.4">
      <c r="C12" s="3070" t="s">
        <v>5735</v>
      </c>
      <c r="D12" s="3070"/>
      <c r="E12" s="3070"/>
      <c r="F12" s="3070"/>
      <c r="G12" s="3070"/>
      <c r="H12" s="3070"/>
      <c r="I12" s="3070"/>
      <c r="J12" s="3070"/>
      <c r="K12" s="3070"/>
      <c r="L12" s="3070"/>
      <c r="M12" s="3070"/>
    </row>
    <row r="13" spans="1:16" x14ac:dyDescent="0.4">
      <c r="C13" s="3070"/>
      <c r="D13" s="3070"/>
      <c r="E13" s="3070"/>
      <c r="F13" s="3070"/>
      <c r="G13" s="3070"/>
      <c r="H13" s="3070"/>
      <c r="I13" s="3070"/>
      <c r="J13" s="3070"/>
      <c r="K13" s="3070"/>
      <c r="L13" s="3070"/>
      <c r="M13" s="3070"/>
    </row>
    <row r="14" spans="1:16" x14ac:dyDescent="0.4">
      <c r="C14" s="3070"/>
      <c r="D14" s="3070"/>
      <c r="E14" s="3070"/>
      <c r="F14" s="3070"/>
      <c r="G14" s="3070"/>
      <c r="H14" s="3070"/>
      <c r="I14" s="3070"/>
      <c r="J14" s="3070"/>
      <c r="K14" s="3070"/>
      <c r="L14" s="3070"/>
      <c r="M14" s="3070"/>
    </row>
    <row r="15" spans="1:16" x14ac:dyDescent="0.4">
      <c r="C15" s="3070"/>
      <c r="D15" s="3070"/>
      <c r="E15" s="3070"/>
      <c r="F15" s="3070"/>
      <c r="G15" s="3070"/>
      <c r="H15" s="3070"/>
      <c r="I15" s="3070"/>
      <c r="J15" s="3070"/>
      <c r="K15" s="3070"/>
      <c r="L15" s="3070"/>
      <c r="M15" s="3070"/>
    </row>
    <row r="16" spans="1:16" x14ac:dyDescent="0.4">
      <c r="C16" s="3070"/>
      <c r="D16" s="3070"/>
      <c r="E16" s="3070"/>
      <c r="F16" s="3070"/>
      <c r="G16" s="3070"/>
      <c r="H16" s="3070"/>
      <c r="I16" s="3070"/>
      <c r="J16" s="3070"/>
      <c r="K16" s="3070"/>
      <c r="L16" s="3070"/>
      <c r="M16" s="307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494" t="s">
        <v>652</v>
      </c>
      <c r="B26" s="2494"/>
      <c r="C26" s="2494"/>
      <c r="D26" s="2494"/>
      <c r="E26" s="2494"/>
      <c r="F26" s="2494"/>
      <c r="G26" s="2494"/>
      <c r="H26" s="2494"/>
      <c r="I26" s="2494"/>
      <c r="J26" s="2494"/>
      <c r="K26" s="2494"/>
      <c r="L26" s="2494"/>
      <c r="M26" s="2494"/>
      <c r="N26" s="2494"/>
      <c r="O26" s="2494"/>
    </row>
  </sheetData>
  <mergeCells count="12">
    <mergeCell ref="A5:B5"/>
    <mergeCell ref="C5:P5"/>
    <mergeCell ref="C1:D1"/>
    <mergeCell ref="A3:B3"/>
    <mergeCell ref="C3:P3"/>
    <mergeCell ref="A4:B4"/>
    <mergeCell ref="C4:P4"/>
    <mergeCell ref="A6:B6"/>
    <mergeCell ref="C6:P6"/>
    <mergeCell ref="C9:P10"/>
    <mergeCell ref="C12:M16"/>
    <mergeCell ref="A26:O26"/>
  </mergeCells>
  <hyperlinks>
    <hyperlink ref="A1" location="'ODS 10.'!A1" display="REGRESAR" xr:uid="{F0911F76-5570-44BD-AA01-9F1AF29CB1AA}"/>
    <hyperlink ref="C1:D1" location="'Metadato 10.6.1'!A1" display="VER METADATO" xr:uid="{8BD8D202-4354-493D-8A1F-2C358452FF7F}"/>
  </hyperlinks>
  <pageMargins left="0.7" right="0.7" top="0.75" bottom="0.75" header="0.3" footer="0.3"/>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FD541-B97F-4EB8-B8C6-874A4B20AA8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317</v>
      </c>
    </row>
    <row r="4" spans="2:6" x14ac:dyDescent="0.4">
      <c r="B4" s="2445" t="s">
        <v>234</v>
      </c>
      <c r="C4" s="2445"/>
      <c r="D4" s="49" t="s">
        <v>5625</v>
      </c>
    </row>
    <row r="5" spans="2:6" ht="56.25" x14ac:dyDescent="0.4">
      <c r="B5" s="2445" t="s">
        <v>79</v>
      </c>
      <c r="C5" s="2445"/>
      <c r="D5" s="49" t="s">
        <v>5603</v>
      </c>
    </row>
    <row r="6" spans="2:6" x14ac:dyDescent="0.4">
      <c r="B6" s="2445" t="s">
        <v>80</v>
      </c>
      <c r="C6" s="2445"/>
      <c r="D6" s="50" t="s">
        <v>5604</v>
      </c>
    </row>
    <row r="7" spans="2:6" ht="37.5" x14ac:dyDescent="0.4">
      <c r="B7" s="2446" t="s">
        <v>81</v>
      </c>
      <c r="C7" s="2446"/>
      <c r="D7" s="93" t="s">
        <v>5605</v>
      </c>
    </row>
    <row r="8" spans="2:6" x14ac:dyDescent="0.4">
      <c r="B8" s="2446" t="s">
        <v>82</v>
      </c>
      <c r="C8" s="2446"/>
      <c r="D8" s="1047" t="s">
        <v>5736</v>
      </c>
    </row>
    <row r="10" spans="2:6" ht="23.25" customHeight="1" x14ac:dyDescent="0.4">
      <c r="B10" s="3230" t="s">
        <v>85</v>
      </c>
      <c r="C10" s="3230"/>
      <c r="D10" s="3230"/>
    </row>
    <row r="11" spans="2:6" x14ac:dyDescent="0.4">
      <c r="B11" s="2487" t="s">
        <v>86</v>
      </c>
      <c r="C11" s="2456"/>
      <c r="D11" s="49"/>
    </row>
    <row r="12" spans="2:6" ht="15" customHeight="1"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ht="15" customHeight="1" x14ac:dyDescent="0.4">
      <c r="B18" s="2446" t="s">
        <v>99</v>
      </c>
      <c r="C18" s="2446"/>
      <c r="D18" s="49"/>
    </row>
    <row r="19" spans="2:4" ht="15" customHeight="1"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321</v>
      </c>
    </row>
    <row r="25" spans="2:4" x14ac:dyDescent="0.4">
      <c r="B25" s="2445" t="s">
        <v>113</v>
      </c>
      <c r="C25" s="2445"/>
      <c r="D25" s="55"/>
    </row>
    <row r="26" spans="2:4" ht="15" customHeight="1" x14ac:dyDescent="0.4">
      <c r="B26" s="2446" t="s">
        <v>115</v>
      </c>
      <c r="C26" s="2446"/>
      <c r="D26" s="49"/>
    </row>
    <row r="27" spans="2:4" x14ac:dyDescent="0.4">
      <c r="B27" s="2447" t="s">
        <v>117</v>
      </c>
      <c r="C27" s="2448"/>
      <c r="D27" s="49"/>
    </row>
    <row r="28" spans="2:4" ht="56.25" x14ac:dyDescent="0.4">
      <c r="B28" s="97" t="s">
        <v>118</v>
      </c>
      <c r="C28" s="98"/>
      <c r="D28" s="594" t="s">
        <v>5737</v>
      </c>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77DED465-1B8A-4322-A103-7F2BCDD5F33B}"/>
    <dataValidation type="list" allowBlank="1" showInputMessage="1" showErrorMessage="1" sqref="D4" xr:uid="{EB5C542F-8F84-42D2-8EC5-C74C681610E5}">
      <formula1>ODS</formula1>
    </dataValidation>
    <dataValidation type="list" allowBlank="1" showInputMessage="1" showErrorMessage="1" sqref="D5" xr:uid="{A790BF3C-C960-414A-BDA4-572E590F0C5F}">
      <formula1>Metas_ODS</formula1>
    </dataValidation>
    <dataValidation type="list" allowBlank="1" showInputMessage="1" showErrorMessage="1" sqref="D6" xr:uid="{C643D1BC-7F6D-4774-8BC9-59D36C9AC250}">
      <formula1>Numero_indicador</formula1>
    </dataValidation>
    <dataValidation type="list" allowBlank="1" showInputMessage="1" showErrorMessage="1" sqref="D7" xr:uid="{B12B13E0-1FA5-45E1-947B-86145DD3EB82}">
      <formula1>Nombre_indicador_ODS</formula1>
    </dataValidation>
    <dataValidation type="list" allowBlank="1" showInputMessage="1" showErrorMessage="1" sqref="D14" xr:uid="{B629684C-FB21-40FA-9026-F416954E48F1}">
      <formula1>Tipo_indicador</formula1>
    </dataValidation>
    <dataValidation type="list" allowBlank="1" showInputMessage="1" showErrorMessage="1" sqref="D25" xr:uid="{219C57AC-6D1E-4D57-91A1-9EC16173F238}">
      <formula1>Tipo_operación</formula1>
    </dataValidation>
  </dataValidations>
  <hyperlinks>
    <hyperlink ref="B1" location="'10.6.1'!A1" display="REGRESAR" xr:uid="{6264DBFB-FB49-4221-A430-1F8EACD67B9F}"/>
    <hyperlink ref="D8" r:id="rId1" xr:uid="{3C9A3646-715D-41B7-B98D-38B393A6A8C2}"/>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3D62-22E8-4DD0-B188-3AE07FC7841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9" style="115" customWidth="1"/>
    <col min="3" max="3" width="11.7109375" style="1048" customWidth="1"/>
    <col min="4" max="6" width="11.7109375" style="115" customWidth="1"/>
    <col min="7" max="16384" width="11.42578125" style="115"/>
  </cols>
  <sheetData>
    <row r="1" spans="1:16" s="1032" customFormat="1" ht="19.5" x14ac:dyDescent="0.4">
      <c r="A1" s="15" t="s">
        <v>39</v>
      </c>
      <c r="B1" s="1080"/>
      <c r="C1" s="2421" t="s">
        <v>149</v>
      </c>
      <c r="D1" s="2421"/>
    </row>
    <row r="2" spans="1:16" s="1032" customFormat="1" ht="19.5" x14ac:dyDescent="0.4">
      <c r="C2" s="1061"/>
    </row>
    <row r="3" spans="1:16" s="1032" customFormat="1" ht="19.5" x14ac:dyDescent="0.4">
      <c r="A3" s="3240" t="s">
        <v>41</v>
      </c>
      <c r="B3" s="3240"/>
      <c r="C3" s="3243" t="s">
        <v>5585</v>
      </c>
      <c r="D3" s="3245"/>
      <c r="E3" s="3245"/>
      <c r="F3" s="3245"/>
      <c r="G3" s="3245"/>
      <c r="H3" s="3245"/>
      <c r="I3" s="3245"/>
      <c r="J3" s="3245"/>
      <c r="K3" s="3245"/>
      <c r="L3" s="3245"/>
      <c r="M3" s="3245"/>
      <c r="N3" s="3245"/>
      <c r="O3" s="3245"/>
      <c r="P3" s="3245"/>
    </row>
    <row r="4" spans="1:16" s="1032" customFormat="1" ht="19.5" x14ac:dyDescent="0.4">
      <c r="A4" s="3240" t="s">
        <v>42</v>
      </c>
      <c r="B4" s="3241"/>
      <c r="C4" s="3246" t="s">
        <v>5606</v>
      </c>
      <c r="D4" s="3247"/>
      <c r="E4" s="3247"/>
      <c r="F4" s="3247"/>
      <c r="G4" s="3247"/>
      <c r="H4" s="3247"/>
      <c r="I4" s="3247"/>
      <c r="J4" s="3247"/>
      <c r="K4" s="3247"/>
      <c r="L4" s="3247"/>
      <c r="M4" s="3247"/>
      <c r="N4" s="3247"/>
      <c r="O4" s="3247"/>
      <c r="P4" s="3247"/>
    </row>
    <row r="5" spans="1:16" s="1032" customFormat="1" ht="19.5" x14ac:dyDescent="0.4">
      <c r="A5" s="3240" t="s">
        <v>43</v>
      </c>
      <c r="B5" s="3241"/>
      <c r="C5" s="3243" t="s">
        <v>5608</v>
      </c>
      <c r="D5" s="3244"/>
      <c r="E5" s="3244"/>
      <c r="F5" s="3244"/>
      <c r="G5" s="3244"/>
      <c r="H5" s="3244"/>
      <c r="I5" s="3244"/>
      <c r="J5" s="3244"/>
      <c r="K5" s="3244"/>
      <c r="L5" s="3244"/>
      <c r="M5" s="3244"/>
      <c r="N5" s="3244"/>
      <c r="O5" s="3244"/>
      <c r="P5" s="3244"/>
    </row>
    <row r="6" spans="1:16" s="1032" customFormat="1" ht="19.5" x14ac:dyDescent="0.4">
      <c r="A6" s="3240" t="s">
        <v>132</v>
      </c>
      <c r="B6" s="3241"/>
      <c r="C6" s="3243" t="s">
        <v>242</v>
      </c>
      <c r="D6" s="3244"/>
      <c r="E6" s="3244"/>
      <c r="F6" s="3244"/>
      <c r="G6" s="3244"/>
      <c r="H6" s="3244"/>
      <c r="I6" s="3244"/>
      <c r="J6" s="3244"/>
      <c r="K6" s="3244"/>
      <c r="L6" s="3244"/>
      <c r="M6" s="3244"/>
      <c r="N6" s="3244"/>
      <c r="O6" s="3244"/>
      <c r="P6" s="3244"/>
    </row>
    <row r="7" spans="1:16" s="1032" customFormat="1" ht="19.5" x14ac:dyDescent="0.4">
      <c r="C7" s="1061"/>
    </row>
    <row r="8" spans="1:16" s="1032" customFormat="1" ht="19.5" x14ac:dyDescent="0.4">
      <c r="C8" s="1061"/>
    </row>
    <row r="9" spans="1:16" s="1032" customFormat="1" ht="19.5" x14ac:dyDescent="0.4">
      <c r="C9" s="2506" t="s">
        <v>243</v>
      </c>
      <c r="D9" s="2506"/>
      <c r="E9" s="2506"/>
      <c r="F9" s="2506"/>
      <c r="G9" s="2506"/>
      <c r="H9" s="2506"/>
      <c r="I9" s="2506"/>
      <c r="J9" s="2506"/>
      <c r="K9" s="2506"/>
      <c r="L9" s="2506"/>
      <c r="M9" s="2506"/>
      <c r="N9" s="2506"/>
      <c r="O9" s="2506"/>
      <c r="P9" s="2506"/>
    </row>
    <row r="10" spans="1:16" s="1032" customFormat="1" ht="19.5"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0.'!A1" display="REGRESAR" xr:uid="{64D538EE-4A21-4DB4-AD5E-C97331B8A02B}"/>
    <hyperlink ref="C1:D1" location="'Metadato 10.7.1'!A1" display="VER METADATO" xr:uid="{6E92EA1A-78FA-421B-8BD0-64C68C4627CA}"/>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E158-26E9-4D68-A694-331CBB507B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244</v>
      </c>
    </row>
    <row r="4" spans="2:6" x14ac:dyDescent="0.4">
      <c r="B4" s="2445" t="s">
        <v>234</v>
      </c>
      <c r="C4" s="2445"/>
      <c r="D4" s="49" t="s">
        <v>5625</v>
      </c>
    </row>
    <row r="5" spans="2:6" ht="34.5" customHeight="1" x14ac:dyDescent="0.4">
      <c r="B5" s="2445" t="s">
        <v>79</v>
      </c>
      <c r="C5" s="2445"/>
      <c r="D5" s="49" t="s">
        <v>5606</v>
      </c>
    </row>
    <row r="6" spans="2:6" x14ac:dyDescent="0.4">
      <c r="B6" s="2445" t="s">
        <v>80</v>
      </c>
      <c r="C6" s="2445"/>
      <c r="D6" s="50" t="s">
        <v>5607</v>
      </c>
    </row>
    <row r="7" spans="2:6" ht="35.25" customHeight="1" x14ac:dyDescent="0.4">
      <c r="B7" s="2446" t="s">
        <v>81</v>
      </c>
      <c r="C7" s="2446"/>
      <c r="D7" s="93" t="s">
        <v>5608</v>
      </c>
    </row>
    <row r="8" spans="2:6" x14ac:dyDescent="0.4">
      <c r="B8" s="2446" t="s">
        <v>82</v>
      </c>
      <c r="C8" s="2446"/>
      <c r="D8" s="1047" t="s">
        <v>5738</v>
      </c>
    </row>
    <row r="10" spans="2:6" ht="23.25" customHeight="1" x14ac:dyDescent="0.4">
      <c r="B10" s="3230" t="s">
        <v>85</v>
      </c>
      <c r="C10" s="3230"/>
      <c r="D10" s="3230"/>
    </row>
    <row r="11" spans="2:6" x14ac:dyDescent="0.4">
      <c r="B11" s="2487" t="s">
        <v>86</v>
      </c>
      <c r="C11" s="2456"/>
      <c r="D11" s="49"/>
    </row>
    <row r="12" spans="2:6" ht="15" customHeight="1"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ht="15" customHeight="1"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5739</v>
      </c>
    </row>
    <row r="25" spans="2:4" x14ac:dyDescent="0.4">
      <c r="B25" s="2445" t="s">
        <v>113</v>
      </c>
      <c r="C25" s="2445"/>
      <c r="D25" s="55"/>
    </row>
    <row r="26" spans="2:4" ht="15" customHeight="1"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4AA062F-694D-4CB7-8168-57A77679540C}"/>
    <dataValidation type="list" allowBlank="1" showInputMessage="1" showErrorMessage="1" sqref="D4" xr:uid="{9AE9027D-00E7-4132-AF48-AB5C21EA3702}">
      <formula1>ODS</formula1>
    </dataValidation>
    <dataValidation type="list" allowBlank="1" showInputMessage="1" showErrorMessage="1" sqref="D5" xr:uid="{9004A2AF-B045-42F4-9D89-C4BFFE685E03}">
      <formula1>Metas_ODS</formula1>
    </dataValidation>
    <dataValidation type="list" allowBlank="1" showInputMessage="1" showErrorMessage="1" sqref="D6" xr:uid="{BF5B64CC-D813-454D-9F3C-C9FD45B79DAA}">
      <formula1>Numero_indicador</formula1>
    </dataValidation>
    <dataValidation type="list" allowBlank="1" showInputMessage="1" showErrorMessage="1" sqref="D7" xr:uid="{A7B7BD7F-96E6-45B8-B08A-6F6E04112185}">
      <formula1>Nombre_indicador_ODS</formula1>
    </dataValidation>
    <dataValidation type="list" allowBlank="1" showInputMessage="1" showErrorMessage="1" sqref="D14" xr:uid="{8BEEA52E-FCFC-46D1-90A0-D4F98D9D99A1}">
      <formula1>Tipo_indicador</formula1>
    </dataValidation>
    <dataValidation type="list" allowBlank="1" showInputMessage="1" showErrorMessage="1" sqref="D25" xr:uid="{0BBF6665-6E48-4496-919F-9D5FCA370FEB}">
      <formula1>Tipo_operación</formula1>
    </dataValidation>
  </dataValidations>
  <hyperlinks>
    <hyperlink ref="B1" location="'10.7.1'!A1" display="REGRESAR" xr:uid="{7A8EB827-1401-4558-A043-00234E3E1AD6}"/>
    <hyperlink ref="D8" r:id="rId1" xr:uid="{A195D2B5-A98D-42D7-BBE8-53210D3A6052}"/>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AD09-BDCF-4E9E-AB6A-AF8596C6E9FE}">
  <sheetPr>
    <tabColor rgb="FF7030A0"/>
  </sheetPr>
  <dimension ref="A1:P24"/>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2" width="15.28515625" style="1032" customWidth="1"/>
    <col min="3" max="3" width="11.7109375" style="1061" customWidth="1"/>
    <col min="4" max="6" width="11.7109375" style="1032" customWidth="1"/>
    <col min="7" max="16384" width="11.42578125" style="1032"/>
  </cols>
  <sheetData>
    <row r="1" spans="1:16" x14ac:dyDescent="0.4">
      <c r="A1" s="15" t="s">
        <v>39</v>
      </c>
      <c r="B1" s="1080"/>
      <c r="C1" s="2421" t="s">
        <v>149</v>
      </c>
      <c r="D1" s="2421"/>
    </row>
    <row r="3" spans="1:16" x14ac:dyDescent="0.4">
      <c r="A3" s="3240" t="s">
        <v>41</v>
      </c>
      <c r="B3" s="3240"/>
      <c r="C3" s="3243" t="s">
        <v>5585</v>
      </c>
      <c r="D3" s="3245"/>
      <c r="E3" s="3245"/>
      <c r="F3" s="3245"/>
      <c r="G3" s="3245"/>
      <c r="H3" s="3245"/>
      <c r="I3" s="3245"/>
      <c r="J3" s="3245"/>
      <c r="K3" s="3245"/>
      <c r="L3" s="3245"/>
      <c r="M3" s="3245"/>
      <c r="N3" s="3245"/>
      <c r="O3" s="3245"/>
      <c r="P3" s="3245"/>
    </row>
    <row r="4" spans="1:16" x14ac:dyDescent="0.4">
      <c r="A4" s="3240" t="s">
        <v>42</v>
      </c>
      <c r="B4" s="3241"/>
      <c r="C4" s="3246" t="s">
        <v>5606</v>
      </c>
      <c r="D4" s="3247"/>
      <c r="E4" s="3247"/>
      <c r="F4" s="3247"/>
      <c r="G4" s="3247"/>
      <c r="H4" s="3247"/>
      <c r="I4" s="3247"/>
      <c r="J4" s="3247"/>
      <c r="K4" s="3247"/>
      <c r="L4" s="3247"/>
      <c r="M4" s="3247"/>
      <c r="N4" s="3247"/>
      <c r="O4" s="3247"/>
      <c r="P4" s="3247"/>
    </row>
    <row r="5" spans="1:16" x14ac:dyDescent="0.4">
      <c r="A5" s="3240" t="s">
        <v>43</v>
      </c>
      <c r="B5" s="3241"/>
      <c r="C5" s="3243" t="s">
        <v>5610</v>
      </c>
      <c r="D5" s="3244"/>
      <c r="E5" s="3244"/>
      <c r="F5" s="3244"/>
      <c r="G5" s="3244"/>
      <c r="H5" s="3244"/>
      <c r="I5" s="3244"/>
      <c r="J5" s="3244"/>
      <c r="K5" s="3244"/>
      <c r="L5" s="3244"/>
      <c r="M5" s="3244"/>
      <c r="N5" s="3244"/>
      <c r="O5" s="3244"/>
      <c r="P5" s="3244"/>
    </row>
    <row r="6" spans="1:16" x14ac:dyDescent="0.4">
      <c r="A6" s="3240" t="s">
        <v>132</v>
      </c>
      <c r="B6" s="3241"/>
      <c r="C6" s="3243" t="s">
        <v>242</v>
      </c>
      <c r="D6" s="3244"/>
      <c r="E6" s="3244"/>
      <c r="F6" s="3244"/>
      <c r="G6" s="3244"/>
      <c r="H6" s="3244"/>
      <c r="I6" s="3244"/>
      <c r="J6" s="3244"/>
      <c r="K6" s="3244"/>
      <c r="L6" s="3244"/>
      <c r="M6" s="3244"/>
      <c r="N6" s="3244"/>
      <c r="O6" s="3244"/>
      <c r="P6" s="3244"/>
    </row>
    <row r="7" spans="1:16" x14ac:dyDescent="0.4">
      <c r="A7" s="1084"/>
    </row>
    <row r="8" spans="1:16" x14ac:dyDescent="0.4">
      <c r="A8" s="1084"/>
    </row>
    <row r="9" spans="1:16" ht="11.25" customHeight="1" x14ac:dyDescent="0.4">
      <c r="A9" s="1084"/>
      <c r="C9" s="2506" t="s">
        <v>650</v>
      </c>
      <c r="D9" s="2506"/>
      <c r="E9" s="2506"/>
      <c r="F9" s="2506"/>
      <c r="G9" s="2506"/>
      <c r="H9" s="2506"/>
      <c r="I9" s="2506"/>
      <c r="J9" s="2506"/>
      <c r="K9" s="2506"/>
      <c r="L9" s="2506"/>
      <c r="M9" s="2506"/>
      <c r="N9" s="2506"/>
      <c r="O9" s="2506"/>
      <c r="P9" s="2506"/>
    </row>
    <row r="10" spans="1:16" ht="11.25" customHeight="1" x14ac:dyDescent="0.4">
      <c r="A10" s="1084"/>
      <c r="C10" s="2506"/>
      <c r="D10" s="2506"/>
      <c r="E10" s="2506"/>
      <c r="F10" s="2506"/>
      <c r="G10" s="2506"/>
      <c r="H10" s="2506"/>
      <c r="I10" s="2506"/>
      <c r="J10" s="2506"/>
      <c r="K10" s="2506"/>
      <c r="L10" s="2506"/>
      <c r="M10" s="2506"/>
      <c r="N10" s="2506"/>
      <c r="O10" s="2506"/>
      <c r="P10" s="2506"/>
    </row>
    <row r="12" spans="1:16" x14ac:dyDescent="0.4">
      <c r="C12" s="3070" t="s">
        <v>5740</v>
      </c>
      <c r="D12" s="3070"/>
      <c r="E12" s="3070"/>
      <c r="F12" s="3070"/>
      <c r="G12" s="3070"/>
      <c r="H12" s="3070"/>
      <c r="I12" s="3070"/>
      <c r="J12" s="3070"/>
      <c r="K12" s="3070"/>
      <c r="L12" s="3070"/>
      <c r="M12" s="3070"/>
    </row>
    <row r="13" spans="1:16" x14ac:dyDescent="0.4">
      <c r="C13" s="3070"/>
      <c r="D13" s="3070"/>
      <c r="E13" s="3070"/>
      <c r="F13" s="3070"/>
      <c r="G13" s="3070"/>
      <c r="H13" s="3070"/>
      <c r="I13" s="3070"/>
      <c r="J13" s="3070"/>
      <c r="K13" s="3070"/>
      <c r="L13" s="3070"/>
      <c r="M13" s="3070"/>
    </row>
    <row r="14" spans="1:16" x14ac:dyDescent="0.4">
      <c r="C14" s="3070"/>
      <c r="D14" s="3070"/>
      <c r="E14" s="3070"/>
      <c r="F14" s="3070"/>
      <c r="G14" s="3070"/>
      <c r="H14" s="3070"/>
      <c r="I14" s="3070"/>
      <c r="J14" s="3070"/>
      <c r="K14" s="3070"/>
      <c r="L14" s="3070"/>
      <c r="M14" s="3070"/>
    </row>
    <row r="15" spans="1:16" x14ac:dyDescent="0.4">
      <c r="C15" s="3070"/>
      <c r="D15" s="3070"/>
      <c r="E15" s="3070"/>
      <c r="F15" s="3070"/>
      <c r="G15" s="3070"/>
      <c r="H15" s="3070"/>
      <c r="I15" s="3070"/>
      <c r="J15" s="3070"/>
      <c r="K15" s="3070"/>
      <c r="L15" s="3070"/>
      <c r="M15" s="3070"/>
    </row>
    <row r="16" spans="1:16" x14ac:dyDescent="0.4">
      <c r="C16" s="3070"/>
      <c r="D16" s="3070"/>
      <c r="E16" s="3070"/>
      <c r="F16" s="3070"/>
      <c r="G16" s="3070"/>
      <c r="H16" s="3070"/>
      <c r="I16" s="3070"/>
      <c r="J16" s="3070"/>
      <c r="K16" s="3070"/>
      <c r="L16" s="3070"/>
      <c r="M16" s="3070"/>
    </row>
    <row r="19" spans="1:15" x14ac:dyDescent="0.4">
      <c r="A19" s="221"/>
      <c r="B19" s="220"/>
      <c r="C19" s="220"/>
      <c r="D19" s="220"/>
      <c r="E19" s="220"/>
      <c r="F19" s="220"/>
      <c r="G19" s="220"/>
      <c r="H19" s="220"/>
      <c r="I19" s="220"/>
      <c r="J19" s="220"/>
      <c r="K19" s="220"/>
      <c r="L19" s="220"/>
      <c r="M19" s="220"/>
      <c r="N19" s="220"/>
      <c r="O19" s="220"/>
    </row>
    <row r="20" spans="1:15" x14ac:dyDescent="0.4">
      <c r="A20" s="221"/>
      <c r="B20" s="220"/>
      <c r="C20" s="220"/>
      <c r="D20" s="220"/>
      <c r="E20" s="220"/>
      <c r="F20" s="220"/>
      <c r="G20" s="220"/>
      <c r="H20" s="220"/>
      <c r="I20" s="220"/>
      <c r="J20" s="220"/>
      <c r="K20" s="220"/>
      <c r="L20" s="220"/>
      <c r="M20" s="220"/>
      <c r="N20" s="220"/>
      <c r="O20" s="22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494" t="s">
        <v>652</v>
      </c>
      <c r="B24" s="2494"/>
      <c r="C24" s="2494"/>
      <c r="D24" s="2494"/>
      <c r="E24" s="2494"/>
      <c r="F24" s="2494"/>
      <c r="G24" s="2494"/>
      <c r="H24" s="2494"/>
      <c r="I24" s="2494"/>
      <c r="J24" s="2494"/>
      <c r="K24" s="2494"/>
      <c r="L24" s="2494"/>
      <c r="M24" s="2494"/>
      <c r="N24" s="2494"/>
      <c r="O24" s="2494"/>
    </row>
  </sheetData>
  <mergeCells count="12">
    <mergeCell ref="A5:B5"/>
    <mergeCell ref="C5:P5"/>
    <mergeCell ref="C1:D1"/>
    <mergeCell ref="A3:B3"/>
    <mergeCell ref="C3:P3"/>
    <mergeCell ref="A4:B4"/>
    <mergeCell ref="C4:P4"/>
    <mergeCell ref="A6:B6"/>
    <mergeCell ref="C6:P6"/>
    <mergeCell ref="C9:P10"/>
    <mergeCell ref="C12:M16"/>
    <mergeCell ref="A24:O24"/>
  </mergeCells>
  <hyperlinks>
    <hyperlink ref="A1" location="'ODS 10.'!A1" display="REGRESAR" xr:uid="{6BC8E601-58C9-4702-8B52-2F2C3B3A356C}"/>
    <hyperlink ref="C1:D1" location="'Metadato 10.7.2'!A1" display="VER METADATO" xr:uid="{7EEDE927-BDB5-4B5C-9E28-753A3FF74832}"/>
  </hyperlinks>
  <pageMargins left="0.7" right="0.7" top="0.75" bottom="0.75" header="0.3" footer="0.3"/>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0B05-45D3-4F45-A31F-861D3483320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317</v>
      </c>
    </row>
    <row r="4" spans="2:6" x14ac:dyDescent="0.4">
      <c r="B4" s="2445" t="s">
        <v>234</v>
      </c>
      <c r="C4" s="2445"/>
      <c r="D4" s="49" t="s">
        <v>5625</v>
      </c>
    </row>
    <row r="5" spans="2:6" ht="30.75" customHeight="1" x14ac:dyDescent="0.4">
      <c r="B5" s="2445" t="s">
        <v>79</v>
      </c>
      <c r="C5" s="2445"/>
      <c r="D5" s="49" t="s">
        <v>5606</v>
      </c>
    </row>
    <row r="6" spans="2:6" x14ac:dyDescent="0.4">
      <c r="B6" s="2445" t="s">
        <v>80</v>
      </c>
      <c r="C6" s="2445"/>
      <c r="D6" s="50" t="s">
        <v>5609</v>
      </c>
    </row>
    <row r="7" spans="2:6" ht="37.5" x14ac:dyDescent="0.4">
      <c r="B7" s="2446" t="s">
        <v>81</v>
      </c>
      <c r="C7" s="2446"/>
      <c r="D7" s="93" t="s">
        <v>5741</v>
      </c>
    </row>
    <row r="8" spans="2:6" x14ac:dyDescent="0.4">
      <c r="B8" s="2457" t="s">
        <v>82</v>
      </c>
      <c r="C8" s="2458"/>
      <c r="D8" s="1047" t="s">
        <v>5742</v>
      </c>
    </row>
    <row r="10" spans="2:6" ht="23.25" customHeight="1" x14ac:dyDescent="0.4">
      <c r="B10" s="3230" t="s">
        <v>85</v>
      </c>
      <c r="C10" s="3230"/>
      <c r="D10" s="3230"/>
    </row>
    <row r="11" spans="2:6" x14ac:dyDescent="0.4">
      <c r="B11" s="2487" t="s">
        <v>86</v>
      </c>
      <c r="C11" s="2456"/>
      <c r="D11" s="49"/>
    </row>
    <row r="12" spans="2:6"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321</v>
      </c>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DFDB2E9-17BA-4D97-943D-BFCC814F26AE}"/>
    <dataValidation type="list" allowBlank="1" showInputMessage="1" showErrorMessage="1" sqref="D4" xr:uid="{52BE2CE4-9151-4BE3-8105-094DB7E6ED8E}">
      <formula1>ODS</formula1>
    </dataValidation>
    <dataValidation type="list" allowBlank="1" showInputMessage="1" showErrorMessage="1" sqref="D5" xr:uid="{8176E77A-A08C-4FB7-BD75-53D5719BB13C}">
      <formula1>Metas_ODS</formula1>
    </dataValidation>
    <dataValidation type="list" allowBlank="1" showInputMessage="1" showErrorMessage="1" sqref="D6" xr:uid="{9B94EB26-5DA7-4BA1-9458-FEE41FAE5DF7}">
      <formula1>Numero_indicador</formula1>
    </dataValidation>
    <dataValidation type="list" allowBlank="1" showInputMessage="1" showErrorMessage="1" sqref="D7" xr:uid="{47076C3C-1AA8-4B60-AE68-6A8E65E0AE91}">
      <formula1>Nombre_indicador_ODS</formula1>
    </dataValidation>
    <dataValidation type="list" allowBlank="1" showInputMessage="1" showErrorMessage="1" sqref="D14" xr:uid="{A124D0A7-FD73-45AC-BAEB-DEACE7D13CB4}">
      <formula1>Tipo_indicador</formula1>
    </dataValidation>
    <dataValidation type="list" allowBlank="1" showInputMessage="1" showErrorMessage="1" sqref="D25" xr:uid="{E3D09A23-D8AE-4932-B13D-C5E025B4F04E}">
      <formula1>Tipo_operación</formula1>
    </dataValidation>
  </dataValidations>
  <hyperlinks>
    <hyperlink ref="B1" location="'10.7.2'!A1" display="REGRESAR" xr:uid="{1542A6F7-3914-402F-84DB-E7531BEE98D9}"/>
    <hyperlink ref="D8" r:id="rId1" xr:uid="{4A9D986A-51B2-4B4F-A09F-64B8145944C4}"/>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C16C-EDAE-4B91-8802-5D22EC44599E}">
  <sheetPr>
    <tabColor rgb="FFC00000"/>
  </sheetPr>
  <dimension ref="A1:O11"/>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28515625" style="1032" customWidth="1"/>
    <col min="2" max="2" width="18.28515625" style="1032" customWidth="1"/>
    <col min="3" max="3" width="11.7109375" style="1061" customWidth="1"/>
    <col min="4" max="6" width="11.7109375" style="1032" customWidth="1"/>
    <col min="7" max="16384" width="11.42578125" style="1032"/>
  </cols>
  <sheetData>
    <row r="1" spans="1:15" x14ac:dyDescent="0.4">
      <c r="A1" s="15" t="s">
        <v>39</v>
      </c>
      <c r="B1" s="1080"/>
      <c r="C1" s="2421" t="s">
        <v>149</v>
      </c>
      <c r="D1" s="2421"/>
    </row>
    <row r="3" spans="1:15" x14ac:dyDescent="0.4">
      <c r="A3" s="3240" t="s">
        <v>41</v>
      </c>
      <c r="B3" s="3240"/>
      <c r="C3" s="3243" t="s">
        <v>5585</v>
      </c>
      <c r="D3" s="3245"/>
      <c r="E3" s="3245"/>
      <c r="F3" s="3245"/>
      <c r="G3" s="3245"/>
      <c r="H3" s="3245"/>
      <c r="I3" s="3245"/>
      <c r="J3" s="3245"/>
      <c r="K3" s="3245"/>
      <c r="L3" s="3245"/>
      <c r="M3" s="3245"/>
      <c r="N3" s="3245"/>
      <c r="O3" s="3245"/>
    </row>
    <row r="4" spans="1:15" x14ac:dyDescent="0.4">
      <c r="A4" s="3240" t="s">
        <v>42</v>
      </c>
      <c r="B4" s="3241"/>
      <c r="C4" s="3246" t="s">
        <v>5606</v>
      </c>
      <c r="D4" s="3247"/>
      <c r="E4" s="3247"/>
      <c r="F4" s="3247"/>
      <c r="G4" s="3247"/>
      <c r="H4" s="3247"/>
      <c r="I4" s="3247"/>
      <c r="J4" s="3247"/>
      <c r="K4" s="3247"/>
      <c r="L4" s="3247"/>
      <c r="M4" s="3247"/>
      <c r="N4" s="3247"/>
      <c r="O4" s="3247"/>
    </row>
    <row r="5" spans="1:15" x14ac:dyDescent="0.4">
      <c r="A5" s="3240" t="s">
        <v>43</v>
      </c>
      <c r="B5" s="3241"/>
      <c r="C5" s="3243" t="s">
        <v>5743</v>
      </c>
      <c r="D5" s="3244"/>
      <c r="E5" s="3244"/>
      <c r="F5" s="3244"/>
      <c r="G5" s="3244"/>
      <c r="H5" s="3244"/>
      <c r="I5" s="3244"/>
      <c r="J5" s="3244"/>
      <c r="K5" s="3244"/>
      <c r="L5" s="3244"/>
      <c r="M5" s="3244"/>
      <c r="N5" s="3244"/>
      <c r="O5" s="3244"/>
    </row>
    <row r="6" spans="1:15" x14ac:dyDescent="0.4">
      <c r="A6" s="3240" t="s">
        <v>132</v>
      </c>
      <c r="B6" s="3241"/>
      <c r="C6" s="3243" t="s">
        <v>242</v>
      </c>
      <c r="D6" s="3244"/>
      <c r="E6" s="3244"/>
      <c r="F6" s="3244"/>
      <c r="G6" s="3244"/>
      <c r="H6" s="3244"/>
      <c r="I6" s="3244"/>
      <c r="J6" s="3244"/>
      <c r="K6" s="3244"/>
      <c r="L6" s="3244"/>
      <c r="M6" s="3244"/>
      <c r="N6" s="3244"/>
      <c r="O6" s="3244"/>
    </row>
    <row r="7" spans="1:15" x14ac:dyDescent="0.4">
      <c r="A7" s="1084"/>
    </row>
    <row r="8" spans="1:15" x14ac:dyDescent="0.4">
      <c r="A8" s="1084"/>
    </row>
    <row r="10" spans="1:15" x14ac:dyDescent="0.4">
      <c r="C10" s="2506" t="s">
        <v>243</v>
      </c>
      <c r="D10" s="2506"/>
      <c r="E10" s="2506"/>
      <c r="F10" s="2506"/>
      <c r="G10" s="2506"/>
      <c r="H10" s="2506"/>
      <c r="I10" s="2506"/>
      <c r="J10" s="2506"/>
      <c r="K10" s="2506"/>
      <c r="L10" s="2506"/>
      <c r="M10" s="2506"/>
      <c r="N10" s="2506"/>
      <c r="O10" s="2506"/>
    </row>
    <row r="11" spans="1:15" x14ac:dyDescent="0.4">
      <c r="C11" s="2506"/>
      <c r="D11" s="2506"/>
      <c r="E11" s="2506"/>
      <c r="F11" s="2506"/>
      <c r="G11" s="2506"/>
      <c r="H11" s="2506"/>
      <c r="I11" s="2506"/>
      <c r="J11" s="2506"/>
      <c r="K11" s="2506"/>
      <c r="L11" s="2506"/>
      <c r="M11" s="2506"/>
      <c r="N11" s="2506"/>
      <c r="O11" s="2506"/>
    </row>
  </sheetData>
  <mergeCells count="10">
    <mergeCell ref="A6:B6"/>
    <mergeCell ref="C6:O6"/>
    <mergeCell ref="C10:O11"/>
    <mergeCell ref="C1:D1"/>
    <mergeCell ref="A3:B3"/>
    <mergeCell ref="C3:O3"/>
    <mergeCell ref="A4:B4"/>
    <mergeCell ref="C4:O4"/>
    <mergeCell ref="A5:B5"/>
    <mergeCell ref="C5:O5"/>
  </mergeCells>
  <hyperlinks>
    <hyperlink ref="A1" location="'ODS 10.'!A1" display="REGRESAR" xr:uid="{9FED53CB-A411-4655-911A-CA7F7954E17D}"/>
    <hyperlink ref="C1:D1" location="'Metadato 10.7.3'!A1" display="VER METADATO" xr:uid="{9E1A4731-B80E-4DA7-AA26-C0C197561E7B}"/>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D174A-BF99-4F7A-BC77-F378760390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317</v>
      </c>
    </row>
    <row r="4" spans="2:6" x14ac:dyDescent="0.4">
      <c r="B4" s="2445" t="s">
        <v>234</v>
      </c>
      <c r="C4" s="2445"/>
      <c r="D4" s="49" t="s">
        <v>5625</v>
      </c>
    </row>
    <row r="5" spans="2:6" ht="30.75" customHeight="1" x14ac:dyDescent="0.4">
      <c r="B5" s="2445" t="s">
        <v>79</v>
      </c>
      <c r="C5" s="2445"/>
      <c r="D5" s="49" t="s">
        <v>5606</v>
      </c>
    </row>
    <row r="6" spans="2:6" x14ac:dyDescent="0.4">
      <c r="B6" s="2445" t="s">
        <v>80</v>
      </c>
      <c r="C6" s="2445"/>
      <c r="D6" s="50" t="s">
        <v>5611</v>
      </c>
    </row>
    <row r="7" spans="2:6" ht="37.5" x14ac:dyDescent="0.4">
      <c r="B7" s="2446" t="s">
        <v>81</v>
      </c>
      <c r="C7" s="2446"/>
      <c r="D7" s="93" t="s">
        <v>5612</v>
      </c>
    </row>
    <row r="8" spans="2:6" x14ac:dyDescent="0.4">
      <c r="B8" s="2457" t="s">
        <v>82</v>
      </c>
      <c r="C8" s="2458"/>
      <c r="D8" s="1047" t="s">
        <v>5742</v>
      </c>
    </row>
    <row r="10" spans="2:6" ht="23.25" customHeight="1" x14ac:dyDescent="0.4">
      <c r="B10" s="3230" t="s">
        <v>85</v>
      </c>
      <c r="C10" s="3230"/>
      <c r="D10" s="3230"/>
    </row>
    <row r="11" spans="2:6" x14ac:dyDescent="0.4">
      <c r="B11" s="2487" t="s">
        <v>86</v>
      </c>
      <c r="C11" s="2456"/>
      <c r="D11" s="49"/>
    </row>
    <row r="12" spans="2:6"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321</v>
      </c>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2562122-32A6-4C23-B548-7C49BBEA54F7}">
      <formula1>Tipo_operación</formula1>
    </dataValidation>
    <dataValidation type="list" allowBlank="1" showInputMessage="1" showErrorMessage="1" sqref="D14" xr:uid="{D19A7778-A7D6-49CC-8574-BF5DC382AD0A}">
      <formula1>Tipo_indicador</formula1>
    </dataValidation>
    <dataValidation type="list" allowBlank="1" showInputMessage="1" showErrorMessage="1" sqref="D7" xr:uid="{085CFE07-0D39-4353-A704-DBFB9C86A1C5}">
      <formula1>Nombre_indicador_ODS</formula1>
    </dataValidation>
    <dataValidation type="list" allowBlank="1" showInputMessage="1" showErrorMessage="1" sqref="D6" xr:uid="{B407E76F-818D-4BF8-9E39-220C3166E9BD}">
      <formula1>Numero_indicador</formula1>
    </dataValidation>
    <dataValidation type="list" allowBlank="1" showInputMessage="1" showErrorMessage="1" sqref="D5" xr:uid="{E00ECDE0-39E8-4249-82F9-FB1183993CA7}">
      <formula1>Metas_ODS</formula1>
    </dataValidation>
    <dataValidation type="list" allowBlank="1" showInputMessage="1" showErrorMessage="1" sqref="D4" xr:uid="{25DC27FA-A323-437C-BC66-D4C049FAA7BF}">
      <formula1>ODS</formula1>
    </dataValidation>
    <dataValidation allowBlank="1" showDropDown="1" showInputMessage="1" showErrorMessage="1" sqref="D13" xr:uid="{79ECE916-61A2-4356-B07B-E546327A9B19}"/>
  </dataValidations>
  <hyperlinks>
    <hyperlink ref="B1" location="'10.7.3'!A1" display="REGRESAR" xr:uid="{6B150136-58E0-49E3-B95F-1D8C571BC8E1}"/>
    <hyperlink ref="D8" r:id="rId1" xr:uid="{217C1957-45C9-49B7-9B38-5C9DC970238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07EE-3047-4405-9B6F-50F0DCBC101A}">
  <sheetPr>
    <tabColor theme="0" tint="-0.499984740745262"/>
  </sheetPr>
  <dimension ref="A1:I37"/>
  <sheetViews>
    <sheetView showGridLines="0" zoomScaleNormal="100" workbookViewId="0">
      <pane ySplit="1" topLeftCell="A28" activePane="bottomLeft" state="frozen"/>
      <selection activeCell="R16" sqref="R16"/>
      <selection pane="bottomLeft" activeCell="R16" sqref="R16"/>
    </sheetView>
  </sheetViews>
  <sheetFormatPr baseColWidth="10" defaultColWidth="11.42578125" defaultRowHeight="18.75" x14ac:dyDescent="0.25"/>
  <cols>
    <col min="1" max="1" width="11" style="222" customWidth="1"/>
    <col min="2" max="2" width="26.42578125" style="222" customWidth="1"/>
    <col min="3" max="3" width="24" style="222" customWidth="1"/>
    <col min="4" max="4" width="85.7109375" style="222" customWidth="1"/>
    <col min="5" max="5" width="7" style="222" customWidth="1"/>
    <col min="6" max="6" width="7.28515625" style="222" customWidth="1"/>
    <col min="7" max="7" width="8.7109375" style="222" customWidth="1"/>
    <col min="8" max="8" width="6.28515625" style="222" customWidth="1"/>
    <col min="9" max="9" width="8.7109375" style="222" customWidth="1"/>
    <col min="10" max="10" width="8.42578125" style="222" customWidth="1"/>
    <col min="11" max="11" width="6.7109375" style="222" customWidth="1"/>
    <col min="12" max="12" width="5.42578125" style="222" customWidth="1"/>
    <col min="13" max="16384" width="11.42578125" style="222"/>
  </cols>
  <sheetData>
    <row r="1" spans="1:9" x14ac:dyDescent="0.25">
      <c r="B1" s="223" t="s">
        <v>39</v>
      </c>
    </row>
    <row r="2" spans="1:9" ht="19.5" thickBot="1" x14ac:dyDescent="0.3"/>
    <row r="3" spans="1:9" ht="23.25" customHeight="1" thickBot="1" x14ac:dyDescent="0.3">
      <c r="B3" s="2514" t="s">
        <v>75</v>
      </c>
      <c r="C3" s="2514"/>
      <c r="D3" s="2514"/>
      <c r="F3" s="91" t="s">
        <v>265</v>
      </c>
    </row>
    <row r="4" spans="1:9" ht="37.5" x14ac:dyDescent="0.25">
      <c r="A4" s="224"/>
      <c r="B4" s="2445" t="s">
        <v>234</v>
      </c>
      <c r="C4" s="2445"/>
      <c r="D4" s="49" t="s">
        <v>396</v>
      </c>
    </row>
    <row r="5" spans="1:9" ht="51.75" customHeight="1" x14ac:dyDescent="0.25">
      <c r="B5" s="2445" t="s">
        <v>79</v>
      </c>
      <c r="C5" s="2445"/>
      <c r="D5" s="49" t="s">
        <v>397</v>
      </c>
    </row>
    <row r="6" spans="1:9" x14ac:dyDescent="0.25">
      <c r="B6" s="2445" t="s">
        <v>80</v>
      </c>
      <c r="C6" s="2445"/>
      <c r="D6" s="50" t="s">
        <v>398</v>
      </c>
    </row>
    <row r="7" spans="1:9" x14ac:dyDescent="0.25">
      <c r="B7" s="2446" t="s">
        <v>81</v>
      </c>
      <c r="C7" s="2446"/>
      <c r="D7" s="93" t="s">
        <v>399</v>
      </c>
    </row>
    <row r="8" spans="1:9" x14ac:dyDescent="0.25">
      <c r="B8" s="2446" t="s">
        <v>82</v>
      </c>
      <c r="C8" s="2446"/>
      <c r="D8" s="94" t="s">
        <v>461</v>
      </c>
    </row>
    <row r="9" spans="1:9" x14ac:dyDescent="0.4">
      <c r="B9" s="5"/>
      <c r="C9" s="5"/>
      <c r="D9" s="5"/>
    </row>
    <row r="10" spans="1:9" ht="23.25" customHeight="1" x14ac:dyDescent="0.25">
      <c r="B10" s="2514" t="s">
        <v>85</v>
      </c>
      <c r="C10" s="2514"/>
      <c r="D10" s="2514"/>
    </row>
    <row r="11" spans="1:9" x14ac:dyDescent="0.25">
      <c r="A11" s="271"/>
      <c r="B11" s="2453" t="s">
        <v>86</v>
      </c>
      <c r="C11" s="2454"/>
      <c r="D11" s="49" t="s">
        <v>167</v>
      </c>
    </row>
    <row r="12" spans="1:9" ht="16.5" customHeight="1" x14ac:dyDescent="0.25">
      <c r="B12" s="2455" t="s">
        <v>88</v>
      </c>
      <c r="C12" s="2455"/>
      <c r="D12" s="53" t="s">
        <v>462</v>
      </c>
    </row>
    <row r="13" spans="1:9" x14ac:dyDescent="0.25">
      <c r="B13" s="2445" t="s">
        <v>90</v>
      </c>
      <c r="C13" s="2445"/>
      <c r="D13" s="54" t="s">
        <v>398</v>
      </c>
    </row>
    <row r="14" spans="1:9" x14ac:dyDescent="0.25">
      <c r="B14" s="2445" t="s">
        <v>91</v>
      </c>
      <c r="C14" s="2456"/>
      <c r="D14" s="54" t="s">
        <v>92</v>
      </c>
      <c r="I14" s="272"/>
    </row>
    <row r="15" spans="1:9" ht="137.25" customHeight="1" x14ac:dyDescent="0.25">
      <c r="B15" s="2445" t="s">
        <v>93</v>
      </c>
      <c r="C15" s="2445"/>
      <c r="D15" s="55" t="s">
        <v>463</v>
      </c>
      <c r="I15" s="272"/>
    </row>
    <row r="16" spans="1:9" ht="41.25" customHeight="1" x14ac:dyDescent="0.4">
      <c r="B16" s="2445" t="s">
        <v>95</v>
      </c>
      <c r="C16" s="2445"/>
      <c r="D16" s="273"/>
      <c r="I16" s="272"/>
    </row>
    <row r="17" spans="2:9" x14ac:dyDescent="0.25">
      <c r="B17" s="2445" t="s">
        <v>97</v>
      </c>
      <c r="C17" s="2445"/>
      <c r="D17" s="55" t="s">
        <v>98</v>
      </c>
      <c r="I17" s="272"/>
    </row>
    <row r="18" spans="2:9" x14ac:dyDescent="0.25">
      <c r="B18" s="2446" t="s">
        <v>99</v>
      </c>
      <c r="C18" s="2446"/>
      <c r="D18" s="49"/>
      <c r="I18" s="272"/>
    </row>
    <row r="19" spans="2:9" ht="34.5" customHeight="1" x14ac:dyDescent="0.25">
      <c r="B19" s="2457" t="s">
        <v>100</v>
      </c>
      <c r="C19" s="2458"/>
      <c r="D19" s="55" t="s">
        <v>464</v>
      </c>
      <c r="I19" s="272"/>
    </row>
    <row r="20" spans="2:9" x14ac:dyDescent="0.25">
      <c r="B20" s="2445" t="s">
        <v>102</v>
      </c>
      <c r="C20" s="2445"/>
      <c r="D20" s="49" t="s">
        <v>140</v>
      </c>
      <c r="I20" s="272"/>
    </row>
    <row r="21" spans="2:9" x14ac:dyDescent="0.25">
      <c r="B21" s="2451" t="s">
        <v>104</v>
      </c>
      <c r="C21" s="95" t="s">
        <v>105</v>
      </c>
      <c r="D21" s="56" t="s">
        <v>465</v>
      </c>
    </row>
    <row r="22" spans="2:9" x14ac:dyDescent="0.25">
      <c r="B22" s="2452"/>
      <c r="C22" s="96" t="s">
        <v>107</v>
      </c>
      <c r="D22" s="55"/>
    </row>
    <row r="23" spans="2:9" x14ac:dyDescent="0.25">
      <c r="B23" s="2444" t="s">
        <v>109</v>
      </c>
      <c r="C23" s="2444"/>
      <c r="D23" s="56" t="s">
        <v>466</v>
      </c>
    </row>
    <row r="24" spans="2:9" x14ac:dyDescent="0.25">
      <c r="B24" s="2444" t="s">
        <v>111</v>
      </c>
      <c r="C24" s="2444"/>
      <c r="D24" s="59" t="s">
        <v>467</v>
      </c>
    </row>
    <row r="25" spans="2:9" x14ac:dyDescent="0.25">
      <c r="B25" s="2445" t="s">
        <v>113</v>
      </c>
      <c r="C25" s="2445"/>
      <c r="D25" s="56" t="s">
        <v>220</v>
      </c>
    </row>
    <row r="26" spans="2:9" ht="56.25" x14ac:dyDescent="0.25">
      <c r="B26" s="2446" t="s">
        <v>115</v>
      </c>
      <c r="C26" s="2446"/>
      <c r="D26" s="59" t="s">
        <v>468</v>
      </c>
    </row>
    <row r="27" spans="2:9" x14ac:dyDescent="0.25">
      <c r="B27" s="2447" t="s">
        <v>117</v>
      </c>
      <c r="C27" s="2448"/>
      <c r="D27" s="49"/>
    </row>
    <row r="28" spans="2:9" ht="56.25" x14ac:dyDescent="0.25">
      <c r="B28" s="97" t="s">
        <v>118</v>
      </c>
      <c r="C28" s="98"/>
      <c r="D28" s="56" t="s">
        <v>469</v>
      </c>
    </row>
    <row r="29" spans="2:9" x14ac:dyDescent="0.25">
      <c r="B29" s="2449" t="s">
        <v>120</v>
      </c>
      <c r="C29" s="2450"/>
      <c r="D29" s="62"/>
    </row>
    <row r="30" spans="2:9" x14ac:dyDescent="0.25">
      <c r="B30" s="63"/>
      <c r="C30" s="63"/>
      <c r="D30" s="64"/>
    </row>
    <row r="31" spans="2:9" ht="23.25" customHeight="1" x14ac:dyDescent="0.25">
      <c r="B31" s="2514" t="s">
        <v>121</v>
      </c>
      <c r="C31" s="2514"/>
      <c r="D31" s="2514"/>
    </row>
    <row r="32" spans="2:9" x14ac:dyDescent="0.25">
      <c r="B32" s="2442" t="s">
        <v>122</v>
      </c>
      <c r="C32" s="2443"/>
      <c r="D32" s="55"/>
    </row>
    <row r="33" spans="2:4" x14ac:dyDescent="0.25">
      <c r="B33" s="2442" t="s">
        <v>124</v>
      </c>
      <c r="C33" s="2443"/>
      <c r="D33" s="55"/>
    </row>
    <row r="34" spans="2:4" x14ac:dyDescent="0.25">
      <c r="B34" s="2442" t="s">
        <v>126</v>
      </c>
      <c r="C34" s="2443"/>
      <c r="D34" s="59" t="s">
        <v>467</v>
      </c>
    </row>
    <row r="35" spans="2:4" x14ac:dyDescent="0.25">
      <c r="B35" s="2442" t="s">
        <v>128</v>
      </c>
      <c r="C35" s="2443"/>
      <c r="D35" s="59"/>
    </row>
    <row r="36" spans="2:4" ht="37.5" x14ac:dyDescent="0.4">
      <c r="B36" s="2510" t="s">
        <v>130</v>
      </c>
      <c r="C36" s="2511"/>
      <c r="D36" s="274" t="s">
        <v>470</v>
      </c>
    </row>
    <row r="37" spans="2:4" ht="37.5" x14ac:dyDescent="0.4">
      <c r="B37" s="2512"/>
      <c r="C37" s="2513"/>
      <c r="D37" s="274" t="s">
        <v>471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7"/>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3304A7B-4AEE-4AE4-BEB7-35405D58AEFB}">
      <formula1>Tipo_operación</formula1>
    </dataValidation>
    <dataValidation type="list" allowBlank="1" showInputMessage="1" showErrorMessage="1" sqref="D14" xr:uid="{3B672B4E-59D3-4C4D-9F24-485394918505}">
      <formula1>Tipo_indicador</formula1>
    </dataValidation>
    <dataValidation type="list" allowBlank="1" showInputMessage="1" showErrorMessage="1" sqref="D7" xr:uid="{5ECA99AC-38FC-4EE4-8406-5B604EF7C36B}">
      <formula1>Nombre_indicador_ODS</formula1>
    </dataValidation>
    <dataValidation type="list" allowBlank="1" showInputMessage="1" showErrorMessage="1" sqref="D6" xr:uid="{DF55F743-E858-413C-95EC-5D1FDE932669}">
      <formula1>Numero_indicador</formula1>
    </dataValidation>
    <dataValidation type="list" allowBlank="1" showInputMessage="1" showErrorMessage="1" sqref="D5" xr:uid="{175731B3-E5DE-4DC8-8865-D941A4FD1D89}">
      <formula1>Metas_ODS</formula1>
    </dataValidation>
    <dataValidation type="list" allowBlank="1" showInputMessage="1" showErrorMessage="1" sqref="D4" xr:uid="{88D1DE64-3E9A-454C-A56C-8A41F99E3060}">
      <formula1>ODS</formula1>
    </dataValidation>
    <dataValidation allowBlank="1" showDropDown="1" showInputMessage="1" showErrorMessage="1" sqref="D13" xr:uid="{C155E185-1053-4770-B84F-2F72422939D5}"/>
  </dataValidations>
  <hyperlinks>
    <hyperlink ref="B1" location="'2.1.1'!A1" display="REGRESAR" xr:uid="{7FE4C779-491E-4638-8F8C-89F101003AA6}"/>
    <hyperlink ref="D36" r:id="rId1" xr:uid="{4AD97E2E-25A0-43EE-95F7-EF6A6A46D409}"/>
    <hyperlink ref="D37" r:id="rId2" xr:uid="{4A664859-36FE-476E-9CF5-958CE34A3011}"/>
    <hyperlink ref="D8" r:id="rId3" xr:uid="{9456A6AA-6A49-41B7-991C-4A461B91D2E9}"/>
  </hyperlinks>
  <pageMargins left="0.7" right="0.7" top="0.75" bottom="0.75" header="0.3" footer="0.3"/>
  <pageSetup paperSize="9" orientation="portrait" r:id="rId4"/>
  <drawing r:id="rId5"/>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07D2-E39A-4DB4-8E4B-0E3C4D75539C}">
  <dimension ref="A1:AW82"/>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7.85546875" style="115" customWidth="1"/>
    <col min="3" max="3" width="11.7109375" style="1048" customWidth="1"/>
    <col min="4" max="6" width="11.7109375" style="115" customWidth="1"/>
    <col min="7" max="16384" width="11.42578125" style="115"/>
  </cols>
  <sheetData>
    <row r="1" spans="1:49" s="1032" customFormat="1" ht="19.5" x14ac:dyDescent="0.4">
      <c r="A1" s="15" t="s">
        <v>39</v>
      </c>
      <c r="B1" s="1080"/>
      <c r="C1" s="2421" t="s">
        <v>149</v>
      </c>
      <c r="D1" s="2421"/>
    </row>
    <row r="2" spans="1:49" s="1032" customFormat="1" ht="19.5" x14ac:dyDescent="0.4">
      <c r="C2" s="1061"/>
    </row>
    <row r="3" spans="1:49" s="1032" customFormat="1" ht="19.5" x14ac:dyDescent="0.4">
      <c r="A3" s="3240" t="s">
        <v>41</v>
      </c>
      <c r="B3" s="3240"/>
      <c r="C3" s="3243" t="s">
        <v>5585</v>
      </c>
      <c r="D3" s="3245"/>
      <c r="E3" s="3245"/>
      <c r="F3" s="3245"/>
      <c r="G3" s="3245"/>
      <c r="H3" s="3245"/>
      <c r="I3" s="3245"/>
      <c r="J3" s="3245"/>
      <c r="K3" s="3245"/>
      <c r="L3" s="3245"/>
      <c r="M3" s="3245"/>
      <c r="N3" s="3245"/>
      <c r="O3" s="3245"/>
    </row>
    <row r="4" spans="1:49" s="1032" customFormat="1" ht="19.5" x14ac:dyDescent="0.4">
      <c r="A4" s="3240" t="s">
        <v>42</v>
      </c>
      <c r="B4" s="3241"/>
      <c r="C4" s="3246" t="s">
        <v>5606</v>
      </c>
      <c r="D4" s="3247"/>
      <c r="E4" s="3247"/>
      <c r="F4" s="3247"/>
      <c r="G4" s="3247"/>
      <c r="H4" s="3247"/>
      <c r="I4" s="3247"/>
      <c r="J4" s="3247"/>
      <c r="K4" s="3247"/>
      <c r="L4" s="3247"/>
      <c r="M4" s="3247"/>
      <c r="N4" s="3247"/>
      <c r="O4" s="3247"/>
    </row>
    <row r="5" spans="1:49" s="1032" customFormat="1" ht="19.5" x14ac:dyDescent="0.4">
      <c r="A5" s="3240" t="s">
        <v>43</v>
      </c>
      <c r="B5" s="3241"/>
      <c r="C5" s="3243" t="s">
        <v>5744</v>
      </c>
      <c r="D5" s="3244"/>
      <c r="E5" s="3244"/>
      <c r="F5" s="3244"/>
      <c r="G5" s="3244"/>
      <c r="H5" s="3244"/>
      <c r="I5" s="3244"/>
      <c r="J5" s="3244"/>
      <c r="K5" s="3244"/>
      <c r="L5" s="3244"/>
      <c r="M5" s="3244"/>
      <c r="N5" s="3244"/>
      <c r="O5" s="3244"/>
    </row>
    <row r="6" spans="1:49" s="1032" customFormat="1" ht="35.450000000000003" customHeight="1" x14ac:dyDescent="0.4">
      <c r="A6" s="3240" t="s">
        <v>132</v>
      </c>
      <c r="B6" s="3241"/>
      <c r="C6" s="3246" t="s">
        <v>5745</v>
      </c>
      <c r="D6" s="3244"/>
      <c r="E6" s="3244"/>
      <c r="F6" s="3244"/>
      <c r="G6" s="3244"/>
      <c r="H6" s="3244"/>
      <c r="I6" s="3244"/>
      <c r="J6" s="3244"/>
      <c r="K6" s="3244"/>
      <c r="L6" s="3244"/>
      <c r="M6" s="3244"/>
      <c r="N6" s="3244"/>
      <c r="O6" s="3244"/>
    </row>
    <row r="7" spans="1:49" s="1032" customFormat="1" ht="19.5" x14ac:dyDescent="0.4">
      <c r="A7" s="1084"/>
      <c r="C7" s="1061"/>
    </row>
    <row r="8" spans="1:49" s="1032" customFormat="1" ht="19.5" x14ac:dyDescent="0.4">
      <c r="A8" s="1084"/>
      <c r="C8" s="1061"/>
    </row>
    <row r="9" spans="1:49" s="1032" customFormat="1" ht="19.5" x14ac:dyDescent="0.4">
      <c r="C9" s="3118" t="s">
        <v>5746</v>
      </c>
      <c r="D9" s="3118"/>
      <c r="E9" s="3118"/>
      <c r="F9" s="3118"/>
      <c r="G9" s="3118"/>
      <c r="H9" s="3118"/>
      <c r="I9" s="3118"/>
      <c r="J9" s="3118"/>
      <c r="K9" s="3118"/>
      <c r="L9" s="3118"/>
      <c r="M9" s="3118"/>
      <c r="N9" s="3118"/>
      <c r="O9" s="3118"/>
      <c r="P9" s="3118"/>
      <c r="Q9" s="3118"/>
      <c r="R9" s="3118"/>
      <c r="S9" s="3118"/>
      <c r="T9" s="3118"/>
      <c r="U9" s="3118"/>
      <c r="V9" s="3118"/>
      <c r="W9" s="3118"/>
      <c r="X9" s="3118"/>
      <c r="Y9" s="3118"/>
      <c r="Z9" s="3118"/>
      <c r="AA9" s="3118"/>
      <c r="AB9" s="3118"/>
      <c r="AC9" s="3118"/>
      <c r="AD9" s="3118"/>
      <c r="AE9" s="3118"/>
      <c r="AF9" s="3118"/>
      <c r="AG9" s="3118"/>
      <c r="AH9" s="3118"/>
      <c r="AI9" s="3118"/>
      <c r="AJ9" s="3118"/>
      <c r="AK9" s="3118"/>
      <c r="AL9" s="3118"/>
      <c r="AM9" s="3118"/>
      <c r="AN9" s="3118"/>
      <c r="AO9" s="3118"/>
      <c r="AP9" s="3118"/>
      <c r="AQ9" s="3118"/>
    </row>
    <row r="10" spans="1:49" s="1032" customFormat="1" ht="11.45" customHeight="1" x14ac:dyDescent="0.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row>
    <row r="11" spans="1:49" ht="17.45" customHeight="1" x14ac:dyDescent="0.4">
      <c r="C11" s="3249" t="s">
        <v>1780</v>
      </c>
      <c r="D11" s="3253" t="s">
        <v>5747</v>
      </c>
      <c r="E11" s="3253"/>
      <c r="F11" s="3253"/>
      <c r="G11" s="3253"/>
      <c r="H11" s="3253"/>
      <c r="I11" s="3253"/>
      <c r="J11" s="3253"/>
      <c r="K11" s="3253"/>
      <c r="L11" s="3253"/>
      <c r="M11" s="3253"/>
      <c r="N11" s="3253"/>
      <c r="O11" s="3253"/>
      <c r="P11" s="3253"/>
      <c r="Q11" s="3253"/>
      <c r="R11" s="3253"/>
      <c r="S11" s="3253"/>
      <c r="T11" s="3253"/>
      <c r="U11" s="3253"/>
      <c r="V11" s="3253"/>
      <c r="W11" s="3253"/>
      <c r="X11" s="3253"/>
      <c r="Y11" s="3253"/>
      <c r="Z11" s="3253"/>
      <c r="AA11" s="3253"/>
      <c r="AB11" s="3253"/>
      <c r="AC11" s="3253"/>
      <c r="AD11" s="3253"/>
      <c r="AE11" s="3253"/>
      <c r="AF11" s="3253"/>
      <c r="AG11" s="3253"/>
      <c r="AH11" s="3253"/>
      <c r="AI11" s="3253"/>
      <c r="AJ11" s="3253"/>
      <c r="AK11" s="3253"/>
      <c r="AL11" s="3253"/>
      <c r="AM11" s="3253"/>
      <c r="AN11" s="1641"/>
      <c r="AO11" s="1641"/>
      <c r="AP11" s="1641"/>
      <c r="AQ11" s="1641"/>
      <c r="AR11" s="1641"/>
      <c r="AS11" s="1641"/>
      <c r="AT11" s="1641"/>
      <c r="AU11" s="1641"/>
      <c r="AV11" s="1641"/>
      <c r="AW11" s="3231" t="s">
        <v>1104</v>
      </c>
    </row>
    <row r="12" spans="1:49" x14ac:dyDescent="0.4">
      <c r="C12" s="3250"/>
      <c r="D12" s="3248">
        <v>2010</v>
      </c>
      <c r="E12" s="3248"/>
      <c r="F12" s="3248"/>
      <c r="G12" s="3248">
        <v>2011</v>
      </c>
      <c r="H12" s="3248"/>
      <c r="I12" s="3248"/>
      <c r="J12" s="3248">
        <v>2012</v>
      </c>
      <c r="K12" s="3248"/>
      <c r="L12" s="3248"/>
      <c r="M12" s="3248">
        <v>2013</v>
      </c>
      <c r="N12" s="3248"/>
      <c r="O12" s="3248"/>
      <c r="P12" s="3248">
        <v>2014</v>
      </c>
      <c r="Q12" s="3248"/>
      <c r="R12" s="3248"/>
      <c r="S12" s="3248">
        <v>2015</v>
      </c>
      <c r="T12" s="3248"/>
      <c r="U12" s="3248"/>
      <c r="V12" s="3248">
        <v>2016</v>
      </c>
      <c r="W12" s="3248"/>
      <c r="X12" s="3248"/>
      <c r="Y12" s="3248">
        <v>2017</v>
      </c>
      <c r="Z12" s="3248"/>
      <c r="AA12" s="3248"/>
      <c r="AB12" s="3248">
        <v>2018</v>
      </c>
      <c r="AC12" s="3248"/>
      <c r="AD12" s="3248"/>
      <c r="AE12" s="3248">
        <v>2019</v>
      </c>
      <c r="AF12" s="3248"/>
      <c r="AG12" s="3248"/>
      <c r="AH12" s="3248">
        <v>2020</v>
      </c>
      <c r="AI12" s="3248"/>
      <c r="AJ12" s="3248"/>
      <c r="AK12" s="3248">
        <v>2021</v>
      </c>
      <c r="AL12" s="3248"/>
      <c r="AM12" s="3248"/>
      <c r="AN12" s="3248">
        <v>2022</v>
      </c>
      <c r="AO12" s="3248"/>
      <c r="AP12" s="3248"/>
      <c r="AQ12" s="3248">
        <v>2023</v>
      </c>
      <c r="AR12" s="3248"/>
      <c r="AS12" s="3248"/>
      <c r="AT12" s="3248">
        <v>2024</v>
      </c>
      <c r="AU12" s="3248"/>
      <c r="AV12" s="3248"/>
      <c r="AW12" s="3252"/>
    </row>
    <row r="13" spans="1:49" x14ac:dyDescent="0.4">
      <c r="C13" s="3251"/>
      <c r="D13" s="1642" t="s">
        <v>894</v>
      </c>
      <c r="E13" s="1642" t="s">
        <v>895</v>
      </c>
      <c r="F13" s="1642" t="s">
        <v>47</v>
      </c>
      <c r="G13" s="1642" t="s">
        <v>894</v>
      </c>
      <c r="H13" s="1642" t="s">
        <v>895</v>
      </c>
      <c r="I13" s="1642" t="s">
        <v>47</v>
      </c>
      <c r="J13" s="1642" t="s">
        <v>894</v>
      </c>
      <c r="K13" s="1642" t="s">
        <v>895</v>
      </c>
      <c r="L13" s="1642" t="s">
        <v>47</v>
      </c>
      <c r="M13" s="1642" t="s">
        <v>894</v>
      </c>
      <c r="N13" s="1642" t="s">
        <v>895</v>
      </c>
      <c r="O13" s="1642" t="s">
        <v>47</v>
      </c>
      <c r="P13" s="1642" t="s">
        <v>894</v>
      </c>
      <c r="Q13" s="1642" t="s">
        <v>895</v>
      </c>
      <c r="R13" s="1642" t="s">
        <v>47</v>
      </c>
      <c r="S13" s="1642" t="s">
        <v>894</v>
      </c>
      <c r="T13" s="1642" t="s">
        <v>895</v>
      </c>
      <c r="U13" s="1642" t="s">
        <v>47</v>
      </c>
      <c r="V13" s="1642" t="s">
        <v>894</v>
      </c>
      <c r="W13" s="1642" t="s">
        <v>895</v>
      </c>
      <c r="X13" s="1642" t="s">
        <v>47</v>
      </c>
      <c r="Y13" s="1642" t="s">
        <v>894</v>
      </c>
      <c r="Z13" s="1642" t="s">
        <v>895</v>
      </c>
      <c r="AA13" s="1642" t="s">
        <v>47</v>
      </c>
      <c r="AB13" s="1642" t="s">
        <v>894</v>
      </c>
      <c r="AC13" s="1642" t="s">
        <v>895</v>
      </c>
      <c r="AD13" s="1642" t="s">
        <v>47</v>
      </c>
      <c r="AE13" s="1642" t="s">
        <v>894</v>
      </c>
      <c r="AF13" s="1642" t="s">
        <v>895</v>
      </c>
      <c r="AG13" s="1642" t="s">
        <v>47</v>
      </c>
      <c r="AH13" s="1642" t="s">
        <v>894</v>
      </c>
      <c r="AI13" s="1642" t="s">
        <v>895</v>
      </c>
      <c r="AJ13" s="1642" t="s">
        <v>47</v>
      </c>
      <c r="AK13" s="1642" t="s">
        <v>894</v>
      </c>
      <c r="AL13" s="1642" t="s">
        <v>895</v>
      </c>
      <c r="AM13" s="1642" t="s">
        <v>47</v>
      </c>
      <c r="AN13" s="1642" t="s">
        <v>894</v>
      </c>
      <c r="AO13" s="1642" t="s">
        <v>895</v>
      </c>
      <c r="AP13" s="1642" t="s">
        <v>47</v>
      </c>
      <c r="AQ13" s="1643" t="s">
        <v>894</v>
      </c>
      <c r="AR13" s="1643" t="s">
        <v>895</v>
      </c>
      <c r="AS13" s="1643" t="s">
        <v>47</v>
      </c>
      <c r="AT13" s="1643" t="s">
        <v>894</v>
      </c>
      <c r="AU13" s="1643" t="s">
        <v>895</v>
      </c>
      <c r="AV13" s="1643" t="s">
        <v>47</v>
      </c>
      <c r="AW13" s="3252"/>
    </row>
    <row r="14" spans="1:49" x14ac:dyDescent="0.4">
      <c r="C14" s="1644" t="s">
        <v>5748</v>
      </c>
      <c r="D14" s="115">
        <v>0</v>
      </c>
      <c r="E14" s="115">
        <v>4</v>
      </c>
      <c r="F14" s="115">
        <v>4</v>
      </c>
      <c r="G14" s="115">
        <v>3</v>
      </c>
      <c r="H14" s="115">
        <v>6</v>
      </c>
      <c r="I14" s="115">
        <v>9</v>
      </c>
      <c r="J14" s="115">
        <v>0</v>
      </c>
      <c r="K14" s="115">
        <v>1</v>
      </c>
      <c r="L14" s="115">
        <v>1</v>
      </c>
      <c r="M14" s="115">
        <v>2</v>
      </c>
      <c r="N14" s="115">
        <v>1</v>
      </c>
      <c r="O14" s="115">
        <v>3</v>
      </c>
      <c r="P14" s="115">
        <v>4</v>
      </c>
      <c r="Q14" s="115">
        <v>1</v>
      </c>
      <c r="R14" s="115">
        <v>5</v>
      </c>
      <c r="S14" s="115">
        <v>4</v>
      </c>
      <c r="T14" s="115">
        <v>10</v>
      </c>
      <c r="U14" s="115">
        <v>14</v>
      </c>
      <c r="V14" s="115">
        <v>18</v>
      </c>
      <c r="W14" s="115">
        <v>18</v>
      </c>
      <c r="X14" s="115">
        <v>36</v>
      </c>
      <c r="Y14" s="115">
        <v>9</v>
      </c>
      <c r="Z14" s="115">
        <v>19</v>
      </c>
      <c r="AA14" s="115">
        <v>28</v>
      </c>
      <c r="AB14" s="115">
        <v>2</v>
      </c>
      <c r="AC14" s="115">
        <v>6</v>
      </c>
      <c r="AD14" s="115">
        <v>8</v>
      </c>
      <c r="AE14" s="115">
        <v>24</v>
      </c>
      <c r="AF14" s="115">
        <v>27</v>
      </c>
      <c r="AG14" s="115">
        <v>51</v>
      </c>
      <c r="AH14" s="115">
        <v>36</v>
      </c>
      <c r="AI14" s="115">
        <v>48</v>
      </c>
      <c r="AJ14" s="115">
        <v>84</v>
      </c>
      <c r="AK14" s="115">
        <v>12</v>
      </c>
      <c r="AL14" s="115">
        <v>3</v>
      </c>
      <c r="AM14" s="115">
        <v>15</v>
      </c>
      <c r="AN14" s="115">
        <v>41</v>
      </c>
      <c r="AO14" s="115">
        <v>31</v>
      </c>
      <c r="AP14" s="115">
        <v>72</v>
      </c>
      <c r="AQ14" s="1645">
        <v>47</v>
      </c>
      <c r="AR14" s="1645">
        <v>49</v>
      </c>
      <c r="AS14" s="1645">
        <v>96</v>
      </c>
      <c r="AT14" s="1645">
        <v>8</v>
      </c>
      <c r="AU14" s="1645">
        <v>16</v>
      </c>
      <c r="AV14" s="1645">
        <v>24</v>
      </c>
      <c r="AW14" s="1646">
        <f>AV14+AS14+AP14+AM14+AJ14+AG14+AD14+AA14+X14+U14+R14+O14+L14+I14+F14</f>
        <v>450</v>
      </c>
    </row>
    <row r="15" spans="1:49" x14ac:dyDescent="0.4">
      <c r="C15" s="1644" t="s">
        <v>5749</v>
      </c>
      <c r="D15" s="115">
        <v>7</v>
      </c>
      <c r="E15" s="115">
        <v>11</v>
      </c>
      <c r="F15" s="115">
        <v>18</v>
      </c>
      <c r="G15" s="115">
        <v>10</v>
      </c>
      <c r="H15" s="115">
        <v>10</v>
      </c>
      <c r="I15" s="115">
        <v>20</v>
      </c>
      <c r="J15" s="115">
        <v>3</v>
      </c>
      <c r="K15" s="115">
        <v>2</v>
      </c>
      <c r="L15" s="115">
        <v>5</v>
      </c>
      <c r="M15" s="115">
        <v>2</v>
      </c>
      <c r="N15" s="115">
        <v>2</v>
      </c>
      <c r="O15" s="115">
        <v>4</v>
      </c>
      <c r="P15" s="115">
        <v>2</v>
      </c>
      <c r="Q15" s="115">
        <v>2</v>
      </c>
      <c r="R15" s="115">
        <v>4</v>
      </c>
      <c r="S15" s="115">
        <v>9</v>
      </c>
      <c r="T15" s="115">
        <v>10</v>
      </c>
      <c r="U15" s="115">
        <v>19</v>
      </c>
      <c r="V15" s="115">
        <v>21</v>
      </c>
      <c r="W15" s="115">
        <v>30</v>
      </c>
      <c r="X15" s="115">
        <v>51</v>
      </c>
      <c r="Y15" s="115">
        <v>11</v>
      </c>
      <c r="Z15" s="115">
        <v>6</v>
      </c>
      <c r="AA15" s="115">
        <v>17</v>
      </c>
      <c r="AB15" s="115">
        <v>6</v>
      </c>
      <c r="AC15" s="115">
        <v>15</v>
      </c>
      <c r="AD15" s="115">
        <v>21</v>
      </c>
      <c r="AE15" s="115">
        <v>42</v>
      </c>
      <c r="AF15" s="115">
        <v>30</v>
      </c>
      <c r="AG15" s="115">
        <v>72</v>
      </c>
      <c r="AH15" s="115">
        <v>89</v>
      </c>
      <c r="AI15" s="115">
        <v>98</v>
      </c>
      <c r="AJ15" s="115">
        <v>187</v>
      </c>
      <c r="AK15" s="115">
        <v>17</v>
      </c>
      <c r="AL15" s="115">
        <v>9</v>
      </c>
      <c r="AM15" s="115">
        <v>26</v>
      </c>
      <c r="AN15" s="115">
        <v>80</v>
      </c>
      <c r="AO15" s="115">
        <v>94</v>
      </c>
      <c r="AP15" s="115">
        <v>174</v>
      </c>
      <c r="AQ15" s="1647">
        <v>68</v>
      </c>
      <c r="AR15" s="1647">
        <v>106</v>
      </c>
      <c r="AS15" s="1647">
        <v>174</v>
      </c>
      <c r="AT15" s="1647">
        <v>26</v>
      </c>
      <c r="AU15" s="1647">
        <v>31</v>
      </c>
      <c r="AV15" s="1647">
        <v>57</v>
      </c>
      <c r="AW15" s="1648">
        <f t="shared" ref="AW15:AW29" si="0">AV15+AS15+AP15+AM15+AJ15+AG15+AD15+AA15+X15+U15+R15+O15+L15+I15+F15</f>
        <v>849</v>
      </c>
    </row>
    <row r="16" spans="1:49" x14ac:dyDescent="0.4">
      <c r="C16" s="1644" t="s">
        <v>5750</v>
      </c>
      <c r="D16" s="115">
        <v>7</v>
      </c>
      <c r="E16" s="115">
        <v>6</v>
      </c>
      <c r="F16" s="115">
        <v>13</v>
      </c>
      <c r="G16" s="115">
        <v>11</v>
      </c>
      <c r="H16" s="115">
        <v>6</v>
      </c>
      <c r="I16" s="115">
        <v>17</v>
      </c>
      <c r="J16" s="115">
        <v>2</v>
      </c>
      <c r="K16" s="115">
        <v>3</v>
      </c>
      <c r="L16" s="115">
        <v>5</v>
      </c>
      <c r="M16" s="115">
        <v>3</v>
      </c>
      <c r="N16" s="115">
        <v>4</v>
      </c>
      <c r="O16" s="115">
        <v>7</v>
      </c>
      <c r="P16" s="115">
        <v>6</v>
      </c>
      <c r="Q16" s="115">
        <v>4</v>
      </c>
      <c r="R16" s="115">
        <v>10</v>
      </c>
      <c r="S16" s="115">
        <v>8</v>
      </c>
      <c r="T16" s="115">
        <v>6</v>
      </c>
      <c r="U16" s="115">
        <v>14</v>
      </c>
      <c r="V16" s="115">
        <v>29</v>
      </c>
      <c r="W16" s="115">
        <v>33</v>
      </c>
      <c r="X16" s="115">
        <v>62</v>
      </c>
      <c r="Y16" s="115">
        <v>10</v>
      </c>
      <c r="Z16" s="115">
        <v>12</v>
      </c>
      <c r="AA16" s="115">
        <v>22</v>
      </c>
      <c r="AB16" s="115">
        <v>9</v>
      </c>
      <c r="AC16" s="115">
        <v>12</v>
      </c>
      <c r="AD16" s="115">
        <v>21</v>
      </c>
      <c r="AE16" s="115">
        <v>41</v>
      </c>
      <c r="AF16" s="115">
        <v>33</v>
      </c>
      <c r="AG16" s="115">
        <v>74</v>
      </c>
      <c r="AH16" s="115">
        <v>98</v>
      </c>
      <c r="AI16" s="115">
        <v>74</v>
      </c>
      <c r="AJ16" s="115">
        <v>172</v>
      </c>
      <c r="AK16" s="115">
        <v>12</v>
      </c>
      <c r="AL16" s="115">
        <v>8</v>
      </c>
      <c r="AM16" s="115">
        <v>20</v>
      </c>
      <c r="AN16" s="115">
        <v>109</v>
      </c>
      <c r="AO16" s="115">
        <v>85</v>
      </c>
      <c r="AP16" s="115">
        <v>194</v>
      </c>
      <c r="AQ16" s="1647">
        <v>80</v>
      </c>
      <c r="AR16" s="1647">
        <v>106</v>
      </c>
      <c r="AS16" s="1647">
        <v>186</v>
      </c>
      <c r="AT16" s="1647">
        <v>29</v>
      </c>
      <c r="AU16" s="1647">
        <v>30</v>
      </c>
      <c r="AV16" s="1647">
        <v>59</v>
      </c>
      <c r="AW16" s="1648">
        <f t="shared" si="0"/>
        <v>876</v>
      </c>
    </row>
    <row r="17" spans="3:49" x14ac:dyDescent="0.4">
      <c r="C17" s="1644" t="s">
        <v>5751</v>
      </c>
      <c r="D17" s="115">
        <v>11</v>
      </c>
      <c r="E17" s="115">
        <v>3</v>
      </c>
      <c r="F17" s="115">
        <v>14</v>
      </c>
      <c r="G17" s="115">
        <v>13</v>
      </c>
      <c r="H17" s="115">
        <v>6</v>
      </c>
      <c r="I17" s="115">
        <v>19</v>
      </c>
      <c r="J17" s="115">
        <v>0</v>
      </c>
      <c r="K17" s="115">
        <v>0</v>
      </c>
      <c r="L17" s="115">
        <v>0</v>
      </c>
      <c r="M17" s="115">
        <v>3</v>
      </c>
      <c r="N17" s="115">
        <v>4</v>
      </c>
      <c r="O17" s="115">
        <v>7</v>
      </c>
      <c r="P17" s="115">
        <v>8</v>
      </c>
      <c r="Q17" s="115">
        <v>3</v>
      </c>
      <c r="R17" s="115">
        <v>11</v>
      </c>
      <c r="S17" s="115">
        <v>18</v>
      </c>
      <c r="T17" s="115">
        <v>7</v>
      </c>
      <c r="U17" s="115">
        <v>25</v>
      </c>
      <c r="V17" s="115">
        <v>44</v>
      </c>
      <c r="W17" s="115">
        <v>25</v>
      </c>
      <c r="X17" s="115">
        <v>69</v>
      </c>
      <c r="Y17" s="115">
        <v>15</v>
      </c>
      <c r="Z17" s="115">
        <v>8</v>
      </c>
      <c r="AA17" s="115">
        <v>23</v>
      </c>
      <c r="AB17" s="115">
        <v>6</v>
      </c>
      <c r="AC17" s="115">
        <v>7</v>
      </c>
      <c r="AD17" s="115">
        <v>13</v>
      </c>
      <c r="AE17" s="115">
        <v>39</v>
      </c>
      <c r="AF17" s="115">
        <v>37</v>
      </c>
      <c r="AG17" s="115">
        <v>76</v>
      </c>
      <c r="AH17" s="115">
        <v>101</v>
      </c>
      <c r="AI17" s="115">
        <v>94</v>
      </c>
      <c r="AJ17" s="115">
        <v>195</v>
      </c>
      <c r="AK17" s="115">
        <v>11</v>
      </c>
      <c r="AL17" s="115">
        <v>15</v>
      </c>
      <c r="AM17" s="115">
        <v>26</v>
      </c>
      <c r="AN17" s="115">
        <v>126</v>
      </c>
      <c r="AO17" s="115">
        <v>85</v>
      </c>
      <c r="AP17" s="115">
        <v>211</v>
      </c>
      <c r="AQ17" s="1647">
        <v>101</v>
      </c>
      <c r="AR17" s="1647">
        <v>86</v>
      </c>
      <c r="AS17" s="1647">
        <v>187</v>
      </c>
      <c r="AT17" s="1647">
        <v>32</v>
      </c>
      <c r="AU17" s="1647">
        <v>22</v>
      </c>
      <c r="AV17" s="1647">
        <v>54</v>
      </c>
      <c r="AW17" s="1648">
        <f t="shared" si="0"/>
        <v>930</v>
      </c>
    </row>
    <row r="18" spans="3:49" x14ac:dyDescent="0.4">
      <c r="C18" s="1644" t="s">
        <v>1393</v>
      </c>
      <c r="D18" s="115">
        <v>5</v>
      </c>
      <c r="E18" s="115">
        <v>2</v>
      </c>
      <c r="F18" s="115">
        <v>7</v>
      </c>
      <c r="G18" s="115">
        <v>13</v>
      </c>
      <c r="H18" s="115">
        <v>10</v>
      </c>
      <c r="I18" s="115">
        <v>23</v>
      </c>
      <c r="J18" s="115">
        <v>2</v>
      </c>
      <c r="K18" s="115">
        <v>5</v>
      </c>
      <c r="L18" s="115">
        <v>7</v>
      </c>
      <c r="M18" s="115">
        <v>3</v>
      </c>
      <c r="N18" s="115">
        <v>1</v>
      </c>
      <c r="O18" s="115">
        <v>4</v>
      </c>
      <c r="P18" s="115">
        <v>9</v>
      </c>
      <c r="Q18" s="115">
        <v>5</v>
      </c>
      <c r="R18" s="115">
        <v>14</v>
      </c>
      <c r="S18" s="115">
        <v>9</v>
      </c>
      <c r="T18" s="115">
        <v>9</v>
      </c>
      <c r="U18" s="115">
        <v>18</v>
      </c>
      <c r="V18" s="115">
        <v>34</v>
      </c>
      <c r="W18" s="115">
        <v>31</v>
      </c>
      <c r="X18" s="115">
        <v>65</v>
      </c>
      <c r="Y18" s="115">
        <v>11</v>
      </c>
      <c r="Z18" s="115">
        <v>6</v>
      </c>
      <c r="AA18" s="115">
        <v>17</v>
      </c>
      <c r="AB18" s="115">
        <v>8</v>
      </c>
      <c r="AC18" s="115">
        <v>6</v>
      </c>
      <c r="AD18" s="115">
        <v>14</v>
      </c>
      <c r="AE18" s="115">
        <v>50</v>
      </c>
      <c r="AF18" s="115">
        <v>39</v>
      </c>
      <c r="AG18" s="115">
        <v>89</v>
      </c>
      <c r="AH18" s="115">
        <v>189</v>
      </c>
      <c r="AI18" s="115">
        <v>116</v>
      </c>
      <c r="AJ18" s="115">
        <v>305</v>
      </c>
      <c r="AK18" s="115">
        <v>21</v>
      </c>
      <c r="AL18" s="115">
        <v>11</v>
      </c>
      <c r="AM18" s="115">
        <v>32</v>
      </c>
      <c r="AN18" s="115">
        <v>226</v>
      </c>
      <c r="AO18" s="115">
        <v>161</v>
      </c>
      <c r="AP18" s="115">
        <v>387</v>
      </c>
      <c r="AQ18" s="1647">
        <v>249</v>
      </c>
      <c r="AR18" s="1647">
        <v>182</v>
      </c>
      <c r="AS18" s="1647">
        <v>431</v>
      </c>
      <c r="AT18" s="1647">
        <v>60</v>
      </c>
      <c r="AU18" s="1647">
        <v>40</v>
      </c>
      <c r="AV18" s="1647">
        <v>100</v>
      </c>
      <c r="AW18" s="1648">
        <f t="shared" si="0"/>
        <v>1513</v>
      </c>
    </row>
    <row r="19" spans="3:49" x14ac:dyDescent="0.4">
      <c r="C19" s="1644" t="s">
        <v>1394</v>
      </c>
      <c r="D19" s="115">
        <v>9</v>
      </c>
      <c r="E19" s="115">
        <v>5</v>
      </c>
      <c r="F19" s="115">
        <v>14</v>
      </c>
      <c r="G19" s="115">
        <v>26</v>
      </c>
      <c r="H19" s="115">
        <v>27</v>
      </c>
      <c r="I19" s="115">
        <v>53</v>
      </c>
      <c r="J19" s="115">
        <v>3</v>
      </c>
      <c r="K19" s="115">
        <v>1</v>
      </c>
      <c r="L19" s="115">
        <v>4</v>
      </c>
      <c r="M19" s="115">
        <v>3</v>
      </c>
      <c r="N19" s="115">
        <v>2</v>
      </c>
      <c r="O19" s="115">
        <v>5</v>
      </c>
      <c r="P19" s="115">
        <v>3</v>
      </c>
      <c r="Q19" s="115">
        <v>6</v>
      </c>
      <c r="R19" s="115">
        <v>9</v>
      </c>
      <c r="S19" s="115">
        <v>15</v>
      </c>
      <c r="T19" s="115">
        <v>13</v>
      </c>
      <c r="U19" s="115">
        <v>28</v>
      </c>
      <c r="V19" s="115">
        <v>37</v>
      </c>
      <c r="W19" s="115">
        <v>36</v>
      </c>
      <c r="X19" s="115">
        <v>73</v>
      </c>
      <c r="Y19" s="115">
        <v>18</v>
      </c>
      <c r="Z19" s="115">
        <v>22</v>
      </c>
      <c r="AA19" s="115">
        <v>40</v>
      </c>
      <c r="AB19" s="115">
        <v>11</v>
      </c>
      <c r="AC19" s="115">
        <v>8</v>
      </c>
      <c r="AD19" s="115">
        <v>19</v>
      </c>
      <c r="AE19" s="115">
        <v>66</v>
      </c>
      <c r="AF19" s="115">
        <v>51</v>
      </c>
      <c r="AG19" s="115">
        <v>117</v>
      </c>
      <c r="AH19" s="115">
        <v>316</v>
      </c>
      <c r="AI19" s="115">
        <v>200</v>
      </c>
      <c r="AJ19" s="115">
        <v>516</v>
      </c>
      <c r="AK19" s="115">
        <v>38</v>
      </c>
      <c r="AL19" s="115">
        <v>24</v>
      </c>
      <c r="AM19" s="115">
        <v>62</v>
      </c>
      <c r="AN19" s="115">
        <v>253</v>
      </c>
      <c r="AO19" s="115">
        <v>203</v>
      </c>
      <c r="AP19" s="115">
        <v>456</v>
      </c>
      <c r="AQ19" s="1647">
        <v>255</v>
      </c>
      <c r="AR19" s="1647">
        <v>192</v>
      </c>
      <c r="AS19" s="1647">
        <v>447</v>
      </c>
      <c r="AT19" s="1647">
        <v>71</v>
      </c>
      <c r="AU19" s="1647">
        <v>44</v>
      </c>
      <c r="AV19" s="1647">
        <v>115</v>
      </c>
      <c r="AW19" s="1648">
        <f t="shared" si="0"/>
        <v>1958</v>
      </c>
    </row>
    <row r="20" spans="3:49" x14ac:dyDescent="0.4">
      <c r="C20" s="1644" t="s">
        <v>1395</v>
      </c>
      <c r="D20" s="115">
        <v>8</v>
      </c>
      <c r="E20" s="115">
        <v>9</v>
      </c>
      <c r="F20" s="115">
        <v>17</v>
      </c>
      <c r="G20" s="115">
        <v>14</v>
      </c>
      <c r="H20" s="115">
        <v>8</v>
      </c>
      <c r="I20" s="115">
        <v>22</v>
      </c>
      <c r="J20" s="115">
        <v>2</v>
      </c>
      <c r="K20" s="115">
        <v>6</v>
      </c>
      <c r="L20" s="115">
        <v>8</v>
      </c>
      <c r="M20" s="115">
        <v>2</v>
      </c>
      <c r="N20" s="115">
        <v>0</v>
      </c>
      <c r="O20" s="115">
        <v>2</v>
      </c>
      <c r="P20" s="115">
        <v>3</v>
      </c>
      <c r="Q20" s="115">
        <v>2</v>
      </c>
      <c r="R20" s="115">
        <v>5</v>
      </c>
      <c r="S20" s="115">
        <v>8</v>
      </c>
      <c r="T20" s="115">
        <v>11</v>
      </c>
      <c r="U20" s="115">
        <v>19</v>
      </c>
      <c r="V20" s="115">
        <v>32</v>
      </c>
      <c r="W20" s="115">
        <v>30</v>
      </c>
      <c r="X20" s="115">
        <v>62</v>
      </c>
      <c r="Y20" s="115">
        <v>8</v>
      </c>
      <c r="Z20" s="115">
        <v>17</v>
      </c>
      <c r="AA20" s="115">
        <v>25</v>
      </c>
      <c r="AB20" s="115">
        <v>8</v>
      </c>
      <c r="AC20" s="115">
        <v>9</v>
      </c>
      <c r="AD20" s="115">
        <v>17</v>
      </c>
      <c r="AE20" s="115">
        <v>73</v>
      </c>
      <c r="AF20" s="115">
        <v>51</v>
      </c>
      <c r="AG20" s="115">
        <v>124</v>
      </c>
      <c r="AH20" s="115">
        <v>227</v>
      </c>
      <c r="AI20" s="115">
        <v>136</v>
      </c>
      <c r="AJ20" s="115">
        <v>363</v>
      </c>
      <c r="AK20" s="115">
        <v>34</v>
      </c>
      <c r="AL20" s="115">
        <v>31</v>
      </c>
      <c r="AM20" s="115">
        <v>65</v>
      </c>
      <c r="AN20" s="115">
        <v>274</v>
      </c>
      <c r="AO20" s="115">
        <v>158</v>
      </c>
      <c r="AP20" s="115">
        <v>432</v>
      </c>
      <c r="AQ20" s="1647">
        <v>255</v>
      </c>
      <c r="AR20" s="1647">
        <v>190</v>
      </c>
      <c r="AS20" s="1647">
        <v>445</v>
      </c>
      <c r="AT20" s="1647">
        <v>63</v>
      </c>
      <c r="AU20" s="1647">
        <v>35</v>
      </c>
      <c r="AV20" s="1647">
        <v>98</v>
      </c>
      <c r="AW20" s="1648">
        <f t="shared" si="0"/>
        <v>1704</v>
      </c>
    </row>
    <row r="21" spans="3:49" x14ac:dyDescent="0.4">
      <c r="C21" s="1644" t="s">
        <v>1396</v>
      </c>
      <c r="D21" s="115">
        <v>6</v>
      </c>
      <c r="E21" s="115">
        <v>8</v>
      </c>
      <c r="F21" s="115">
        <v>14</v>
      </c>
      <c r="G21" s="115">
        <v>9</v>
      </c>
      <c r="H21" s="115">
        <v>14</v>
      </c>
      <c r="I21" s="115">
        <v>23</v>
      </c>
      <c r="J21" s="115">
        <v>2</v>
      </c>
      <c r="K21" s="115">
        <v>5</v>
      </c>
      <c r="L21" s="115">
        <v>7</v>
      </c>
      <c r="M21" s="115">
        <v>1</v>
      </c>
      <c r="N21" s="115">
        <v>4</v>
      </c>
      <c r="O21" s="115">
        <v>5</v>
      </c>
      <c r="P21" s="115">
        <v>2</v>
      </c>
      <c r="Q21" s="115">
        <v>4</v>
      </c>
      <c r="R21" s="115">
        <v>6</v>
      </c>
      <c r="S21" s="115">
        <v>8</v>
      </c>
      <c r="T21" s="115">
        <v>8</v>
      </c>
      <c r="U21" s="115">
        <v>16</v>
      </c>
      <c r="V21" s="115">
        <v>32</v>
      </c>
      <c r="W21" s="115">
        <v>35</v>
      </c>
      <c r="X21" s="115">
        <v>67</v>
      </c>
      <c r="Y21" s="115">
        <v>7</v>
      </c>
      <c r="Z21" s="115">
        <v>14</v>
      </c>
      <c r="AA21" s="115">
        <v>21</v>
      </c>
      <c r="AB21" s="115">
        <v>6</v>
      </c>
      <c r="AC21" s="115">
        <v>9</v>
      </c>
      <c r="AD21" s="115">
        <v>15</v>
      </c>
      <c r="AE21" s="115">
        <v>43</v>
      </c>
      <c r="AF21" s="115">
        <v>44</v>
      </c>
      <c r="AG21" s="115">
        <v>87</v>
      </c>
      <c r="AH21" s="115">
        <v>164</v>
      </c>
      <c r="AI21" s="115">
        <v>140</v>
      </c>
      <c r="AJ21" s="115">
        <v>304</v>
      </c>
      <c r="AK21" s="115">
        <v>20</v>
      </c>
      <c r="AL21" s="115">
        <v>14</v>
      </c>
      <c r="AM21" s="115">
        <v>34</v>
      </c>
      <c r="AN21" s="115">
        <v>205</v>
      </c>
      <c r="AO21" s="115">
        <v>164</v>
      </c>
      <c r="AP21" s="115">
        <v>369</v>
      </c>
      <c r="AQ21" s="1647">
        <v>187</v>
      </c>
      <c r="AR21" s="1647">
        <v>146</v>
      </c>
      <c r="AS21" s="1647">
        <v>333</v>
      </c>
      <c r="AT21" s="1647">
        <v>32</v>
      </c>
      <c r="AU21" s="1647">
        <v>35</v>
      </c>
      <c r="AV21" s="1647">
        <v>67</v>
      </c>
      <c r="AW21" s="1648">
        <f t="shared" si="0"/>
        <v>1368</v>
      </c>
    </row>
    <row r="22" spans="3:49" x14ac:dyDescent="0.4">
      <c r="C22" s="1644" t="s">
        <v>1397</v>
      </c>
      <c r="D22" s="115">
        <v>11</v>
      </c>
      <c r="E22" s="115">
        <v>6</v>
      </c>
      <c r="F22" s="115">
        <v>17</v>
      </c>
      <c r="G22" s="115">
        <v>14</v>
      </c>
      <c r="H22" s="115">
        <v>7</v>
      </c>
      <c r="I22" s="115">
        <v>21</v>
      </c>
      <c r="J22" s="115">
        <v>4</v>
      </c>
      <c r="K22" s="115">
        <v>3</v>
      </c>
      <c r="L22" s="115">
        <v>7</v>
      </c>
      <c r="M22" s="115">
        <v>1</v>
      </c>
      <c r="N22" s="115">
        <v>2</v>
      </c>
      <c r="O22" s="115">
        <v>3</v>
      </c>
      <c r="P22" s="115">
        <v>3</v>
      </c>
      <c r="Q22" s="115">
        <v>5</v>
      </c>
      <c r="R22" s="115">
        <v>8</v>
      </c>
      <c r="S22" s="115">
        <v>11</v>
      </c>
      <c r="T22" s="115">
        <v>6</v>
      </c>
      <c r="U22" s="115">
        <v>17</v>
      </c>
      <c r="V22" s="115">
        <v>21</v>
      </c>
      <c r="W22" s="115">
        <v>28</v>
      </c>
      <c r="X22" s="115">
        <v>49</v>
      </c>
      <c r="Y22" s="115">
        <v>8</v>
      </c>
      <c r="Z22" s="115">
        <v>5</v>
      </c>
      <c r="AA22" s="115">
        <v>13</v>
      </c>
      <c r="AB22" s="115">
        <v>4</v>
      </c>
      <c r="AC22" s="115">
        <v>4</v>
      </c>
      <c r="AD22" s="115">
        <v>8</v>
      </c>
      <c r="AE22" s="115">
        <v>34</v>
      </c>
      <c r="AF22" s="115">
        <v>30</v>
      </c>
      <c r="AG22" s="115">
        <v>64</v>
      </c>
      <c r="AH22" s="115">
        <v>117</v>
      </c>
      <c r="AI22" s="115">
        <v>79</v>
      </c>
      <c r="AJ22" s="115">
        <v>196</v>
      </c>
      <c r="AK22" s="115">
        <v>14</v>
      </c>
      <c r="AL22" s="115">
        <v>18</v>
      </c>
      <c r="AM22" s="115">
        <v>32</v>
      </c>
      <c r="AN22" s="115">
        <v>161</v>
      </c>
      <c r="AO22" s="115">
        <v>119</v>
      </c>
      <c r="AP22" s="115">
        <v>280</v>
      </c>
      <c r="AQ22" s="1647">
        <v>143</v>
      </c>
      <c r="AR22" s="1647">
        <v>134</v>
      </c>
      <c r="AS22" s="1647">
        <v>277</v>
      </c>
      <c r="AT22" s="1647">
        <v>34</v>
      </c>
      <c r="AU22" s="1647">
        <v>35</v>
      </c>
      <c r="AV22" s="1647">
        <v>69</v>
      </c>
      <c r="AW22" s="1648">
        <f t="shared" si="0"/>
        <v>1061</v>
      </c>
    </row>
    <row r="23" spans="3:49" x14ac:dyDescent="0.4">
      <c r="C23" s="1644" t="s">
        <v>1398</v>
      </c>
      <c r="D23" s="115">
        <v>10</v>
      </c>
      <c r="E23" s="115">
        <v>2</v>
      </c>
      <c r="F23" s="115">
        <v>12</v>
      </c>
      <c r="G23" s="115">
        <v>7</v>
      </c>
      <c r="H23" s="115">
        <v>3</v>
      </c>
      <c r="I23" s="115">
        <v>10</v>
      </c>
      <c r="J23" s="115">
        <v>2</v>
      </c>
      <c r="K23" s="115">
        <v>1</v>
      </c>
      <c r="L23" s="115">
        <v>3</v>
      </c>
      <c r="M23" s="115">
        <v>4</v>
      </c>
      <c r="N23" s="115">
        <v>0</v>
      </c>
      <c r="O23" s="115">
        <v>4</v>
      </c>
      <c r="P23" s="115">
        <v>2</v>
      </c>
      <c r="Q23" s="115">
        <v>3</v>
      </c>
      <c r="R23" s="115">
        <v>5</v>
      </c>
      <c r="S23" s="115">
        <v>1</v>
      </c>
      <c r="T23" s="115">
        <v>2</v>
      </c>
      <c r="U23" s="115">
        <v>3</v>
      </c>
      <c r="V23" s="115">
        <v>10</v>
      </c>
      <c r="W23" s="115">
        <v>13</v>
      </c>
      <c r="X23" s="115">
        <v>23</v>
      </c>
      <c r="Y23" s="115">
        <v>7</v>
      </c>
      <c r="Z23" s="115">
        <v>9</v>
      </c>
      <c r="AA23" s="115">
        <v>16</v>
      </c>
      <c r="AB23" s="115">
        <v>8</v>
      </c>
      <c r="AC23" s="115">
        <v>4</v>
      </c>
      <c r="AD23" s="115">
        <v>12</v>
      </c>
      <c r="AE23" s="115">
        <v>32</v>
      </c>
      <c r="AF23" s="115">
        <v>21</v>
      </c>
      <c r="AG23" s="115">
        <v>53</v>
      </c>
      <c r="AH23" s="115">
        <v>84</v>
      </c>
      <c r="AI23" s="115">
        <v>63</v>
      </c>
      <c r="AJ23" s="115">
        <v>147</v>
      </c>
      <c r="AK23" s="115">
        <v>12</v>
      </c>
      <c r="AL23" s="115">
        <v>11</v>
      </c>
      <c r="AM23" s="115">
        <v>23</v>
      </c>
      <c r="AN23" s="115">
        <v>86</v>
      </c>
      <c r="AO23" s="115">
        <v>90</v>
      </c>
      <c r="AP23" s="115">
        <v>176</v>
      </c>
      <c r="AQ23" s="1647">
        <v>99</v>
      </c>
      <c r="AR23" s="1647">
        <v>87</v>
      </c>
      <c r="AS23" s="1647">
        <v>186</v>
      </c>
      <c r="AT23" s="1647">
        <v>23</v>
      </c>
      <c r="AU23" s="1647">
        <v>15</v>
      </c>
      <c r="AV23" s="1647">
        <v>38</v>
      </c>
      <c r="AW23" s="1648">
        <f t="shared" si="0"/>
        <v>711</v>
      </c>
    </row>
    <row r="24" spans="3:49" x14ac:dyDescent="0.4">
      <c r="C24" s="1644" t="s">
        <v>5752</v>
      </c>
      <c r="D24" s="115">
        <v>2</v>
      </c>
      <c r="E24" s="115">
        <v>0</v>
      </c>
      <c r="F24" s="115">
        <v>2</v>
      </c>
      <c r="G24" s="115">
        <v>9</v>
      </c>
      <c r="H24" s="115">
        <v>4</v>
      </c>
      <c r="I24" s="115">
        <v>13</v>
      </c>
      <c r="J24" s="115">
        <v>2</v>
      </c>
      <c r="K24" s="115">
        <v>0</v>
      </c>
      <c r="L24" s="115">
        <v>2</v>
      </c>
      <c r="M24" s="115">
        <v>0</v>
      </c>
      <c r="N24" s="115">
        <v>2</v>
      </c>
      <c r="O24" s="115">
        <v>2</v>
      </c>
      <c r="P24" s="115">
        <v>2</v>
      </c>
      <c r="Q24" s="115">
        <v>1</v>
      </c>
      <c r="R24" s="115">
        <v>3</v>
      </c>
      <c r="S24" s="115">
        <v>1</v>
      </c>
      <c r="T24" s="115">
        <v>0</v>
      </c>
      <c r="U24" s="115">
        <v>1</v>
      </c>
      <c r="V24" s="115">
        <v>5</v>
      </c>
      <c r="W24" s="115">
        <v>8</v>
      </c>
      <c r="X24" s="115">
        <v>13</v>
      </c>
      <c r="Y24" s="115">
        <v>0</v>
      </c>
      <c r="Z24" s="115">
        <v>5</v>
      </c>
      <c r="AA24" s="115">
        <v>5</v>
      </c>
      <c r="AB24" s="115">
        <v>2</v>
      </c>
      <c r="AC24" s="115">
        <v>1</v>
      </c>
      <c r="AD24" s="115">
        <v>3</v>
      </c>
      <c r="AE24" s="115">
        <v>13</v>
      </c>
      <c r="AF24" s="115">
        <v>13</v>
      </c>
      <c r="AG24" s="115">
        <v>26</v>
      </c>
      <c r="AH24" s="115">
        <v>51</v>
      </c>
      <c r="AI24" s="115">
        <v>50</v>
      </c>
      <c r="AJ24" s="115">
        <v>101</v>
      </c>
      <c r="AK24" s="115">
        <v>7</v>
      </c>
      <c r="AL24" s="115">
        <v>5</v>
      </c>
      <c r="AM24" s="115">
        <v>12</v>
      </c>
      <c r="AN24" s="115">
        <v>83</v>
      </c>
      <c r="AO24" s="115">
        <v>47</v>
      </c>
      <c r="AP24" s="115">
        <v>130</v>
      </c>
      <c r="AQ24" s="1647">
        <v>63</v>
      </c>
      <c r="AR24" s="1647">
        <v>51</v>
      </c>
      <c r="AS24" s="1647">
        <v>114</v>
      </c>
      <c r="AT24" s="1647">
        <v>22</v>
      </c>
      <c r="AU24" s="1647">
        <v>18</v>
      </c>
      <c r="AV24" s="1647">
        <v>40</v>
      </c>
      <c r="AW24" s="1648">
        <f t="shared" si="0"/>
        <v>467</v>
      </c>
    </row>
    <row r="25" spans="3:49" x14ac:dyDescent="0.4">
      <c r="C25" s="1644" t="s">
        <v>5753</v>
      </c>
      <c r="D25" s="115">
        <v>3</v>
      </c>
      <c r="E25" s="115">
        <v>2</v>
      </c>
      <c r="F25" s="115">
        <v>5</v>
      </c>
      <c r="G25" s="115">
        <v>4</v>
      </c>
      <c r="H25" s="115">
        <v>3</v>
      </c>
      <c r="I25" s="115">
        <v>7</v>
      </c>
      <c r="J25" s="115">
        <v>0</v>
      </c>
      <c r="K25" s="115">
        <v>0</v>
      </c>
      <c r="L25" s="115">
        <v>0</v>
      </c>
      <c r="M25" s="115">
        <v>1</v>
      </c>
      <c r="N25" s="115">
        <v>0</v>
      </c>
      <c r="O25" s="115">
        <v>1</v>
      </c>
      <c r="P25" s="115">
        <v>0</v>
      </c>
      <c r="Q25" s="115">
        <v>0</v>
      </c>
      <c r="R25" s="115">
        <v>0</v>
      </c>
      <c r="S25" s="115">
        <v>5</v>
      </c>
      <c r="T25" s="115">
        <v>4</v>
      </c>
      <c r="U25" s="115">
        <v>9</v>
      </c>
      <c r="V25" s="115">
        <v>3</v>
      </c>
      <c r="W25" s="115">
        <v>9</v>
      </c>
      <c r="X25" s="115">
        <v>12</v>
      </c>
      <c r="Y25" s="115">
        <v>1</v>
      </c>
      <c r="Z25" s="115">
        <v>4</v>
      </c>
      <c r="AA25" s="115">
        <v>5</v>
      </c>
      <c r="AB25" s="115">
        <v>0</v>
      </c>
      <c r="AC25" s="115">
        <v>4</v>
      </c>
      <c r="AD25" s="115">
        <v>4</v>
      </c>
      <c r="AE25" s="115">
        <v>19</v>
      </c>
      <c r="AF25" s="115">
        <v>10</v>
      </c>
      <c r="AG25" s="115">
        <v>29</v>
      </c>
      <c r="AH25" s="115">
        <v>45</v>
      </c>
      <c r="AI25" s="115">
        <v>32</v>
      </c>
      <c r="AJ25" s="115">
        <v>77</v>
      </c>
      <c r="AK25" s="115">
        <v>4</v>
      </c>
      <c r="AL25" s="115">
        <v>9</v>
      </c>
      <c r="AM25" s="115">
        <v>13</v>
      </c>
      <c r="AN25" s="115">
        <v>39</v>
      </c>
      <c r="AO25" s="115">
        <v>47</v>
      </c>
      <c r="AP25" s="115">
        <v>86</v>
      </c>
      <c r="AQ25" s="1647">
        <v>40</v>
      </c>
      <c r="AR25" s="1647">
        <v>36</v>
      </c>
      <c r="AS25" s="1647">
        <v>76</v>
      </c>
      <c r="AT25" s="1647">
        <v>15</v>
      </c>
      <c r="AU25" s="1647">
        <v>12</v>
      </c>
      <c r="AV25" s="1647">
        <v>27</v>
      </c>
      <c r="AW25" s="1648">
        <f t="shared" si="0"/>
        <v>351</v>
      </c>
    </row>
    <row r="26" spans="3:49" x14ac:dyDescent="0.4">
      <c r="C26" s="1644" t="s">
        <v>5754</v>
      </c>
      <c r="D26" s="115">
        <v>1</v>
      </c>
      <c r="E26" s="115">
        <v>1</v>
      </c>
      <c r="F26" s="115">
        <v>2</v>
      </c>
      <c r="G26" s="115">
        <v>0</v>
      </c>
      <c r="H26" s="115">
        <v>1</v>
      </c>
      <c r="I26" s="115">
        <v>1</v>
      </c>
      <c r="J26" s="115">
        <v>0</v>
      </c>
      <c r="K26" s="115">
        <v>1</v>
      </c>
      <c r="L26" s="115">
        <v>1</v>
      </c>
      <c r="M26" s="115">
        <v>1</v>
      </c>
      <c r="N26" s="115">
        <v>1</v>
      </c>
      <c r="O26" s="115">
        <v>2</v>
      </c>
      <c r="P26" s="115">
        <v>1</v>
      </c>
      <c r="Q26" s="115">
        <v>1</v>
      </c>
      <c r="R26" s="115">
        <v>2</v>
      </c>
      <c r="S26" s="115">
        <v>1</v>
      </c>
      <c r="T26" s="115">
        <v>5</v>
      </c>
      <c r="U26" s="115">
        <v>6</v>
      </c>
      <c r="V26" s="115">
        <v>1</v>
      </c>
      <c r="W26" s="115">
        <v>5</v>
      </c>
      <c r="X26" s="115">
        <v>6</v>
      </c>
      <c r="Y26" s="115">
        <v>1</v>
      </c>
      <c r="Z26" s="115">
        <v>4</v>
      </c>
      <c r="AA26" s="115">
        <v>5</v>
      </c>
      <c r="AB26" s="115">
        <v>1</v>
      </c>
      <c r="AC26" s="115">
        <v>2</v>
      </c>
      <c r="AD26" s="115">
        <v>3</v>
      </c>
      <c r="AE26" s="115">
        <v>6</v>
      </c>
      <c r="AF26" s="115">
        <v>6</v>
      </c>
      <c r="AG26" s="115">
        <v>12</v>
      </c>
      <c r="AH26" s="115">
        <v>17</v>
      </c>
      <c r="AI26" s="115">
        <v>14</v>
      </c>
      <c r="AJ26" s="115">
        <v>31</v>
      </c>
      <c r="AK26" s="115">
        <v>4</v>
      </c>
      <c r="AL26" s="115">
        <v>4</v>
      </c>
      <c r="AM26" s="115">
        <v>8</v>
      </c>
      <c r="AN26" s="115">
        <v>26</v>
      </c>
      <c r="AO26" s="115">
        <v>25</v>
      </c>
      <c r="AP26" s="115">
        <v>51</v>
      </c>
      <c r="AQ26" s="1647">
        <v>21</v>
      </c>
      <c r="AR26" s="1647">
        <v>20</v>
      </c>
      <c r="AS26" s="1647">
        <v>41</v>
      </c>
      <c r="AT26" s="1647">
        <v>11</v>
      </c>
      <c r="AU26" s="1647">
        <v>11</v>
      </c>
      <c r="AV26" s="1647">
        <v>22</v>
      </c>
      <c r="AW26" s="1648">
        <f t="shared" si="0"/>
        <v>193</v>
      </c>
    </row>
    <row r="27" spans="3:49" ht="19.5" x14ac:dyDescent="0.4">
      <c r="C27" s="1644" t="s">
        <v>5755</v>
      </c>
      <c r="D27" s="115">
        <v>1</v>
      </c>
      <c r="E27" s="115">
        <v>4</v>
      </c>
      <c r="F27" s="115">
        <v>5</v>
      </c>
      <c r="G27" s="115">
        <v>6</v>
      </c>
      <c r="H27" s="115">
        <v>2</v>
      </c>
      <c r="I27" s="115">
        <v>8</v>
      </c>
      <c r="J27" s="115">
        <v>0</v>
      </c>
      <c r="K27" s="115">
        <v>1</v>
      </c>
      <c r="L27" s="115">
        <v>1</v>
      </c>
      <c r="M27" s="115">
        <v>1</v>
      </c>
      <c r="N27" s="115">
        <v>1</v>
      </c>
      <c r="O27" s="115">
        <v>2</v>
      </c>
      <c r="P27" s="115">
        <v>2</v>
      </c>
      <c r="Q27" s="115">
        <v>3</v>
      </c>
      <c r="R27" s="115">
        <v>5</v>
      </c>
      <c r="S27" s="115">
        <v>1</v>
      </c>
      <c r="T27" s="115">
        <v>5</v>
      </c>
      <c r="U27" s="115">
        <v>6</v>
      </c>
      <c r="V27" s="115">
        <v>3</v>
      </c>
      <c r="W27" s="115">
        <v>5</v>
      </c>
      <c r="X27" s="115">
        <v>8</v>
      </c>
      <c r="Y27" s="115">
        <v>5</v>
      </c>
      <c r="Z27" s="115">
        <v>4</v>
      </c>
      <c r="AA27" s="115">
        <v>9</v>
      </c>
      <c r="AB27" s="115">
        <v>3</v>
      </c>
      <c r="AC27" s="115">
        <v>4</v>
      </c>
      <c r="AD27" s="115">
        <v>7</v>
      </c>
      <c r="AE27" s="115">
        <v>11</v>
      </c>
      <c r="AF27" s="115">
        <v>7</v>
      </c>
      <c r="AG27" s="115">
        <v>18</v>
      </c>
      <c r="AH27" s="115">
        <v>16</v>
      </c>
      <c r="AI27" s="115">
        <v>17</v>
      </c>
      <c r="AJ27" s="115">
        <v>33</v>
      </c>
      <c r="AK27" s="115">
        <v>6</v>
      </c>
      <c r="AL27" s="115">
        <v>6</v>
      </c>
      <c r="AM27" s="115">
        <v>12</v>
      </c>
      <c r="AN27" s="115">
        <v>31</v>
      </c>
      <c r="AO27" s="115">
        <v>25</v>
      </c>
      <c r="AP27" s="115">
        <v>56</v>
      </c>
      <c r="AQ27" s="1647">
        <v>24</v>
      </c>
      <c r="AR27" s="1647">
        <v>35</v>
      </c>
      <c r="AS27" s="1647">
        <v>59</v>
      </c>
      <c r="AT27" s="1647">
        <v>10</v>
      </c>
      <c r="AU27" s="1647">
        <v>10</v>
      </c>
      <c r="AV27" s="1647">
        <v>20</v>
      </c>
      <c r="AW27" s="1648">
        <f t="shared" si="0"/>
        <v>249</v>
      </c>
    </row>
    <row r="28" spans="3:49" ht="4.9000000000000004" customHeight="1" x14ac:dyDescent="0.4">
      <c r="C28" s="115"/>
      <c r="AN28" s="470"/>
      <c r="AO28" s="470"/>
      <c r="AP28" s="470"/>
      <c r="AQ28" s="1433"/>
      <c r="AR28" s="1433"/>
      <c r="AS28" s="1433"/>
      <c r="AT28" s="1433"/>
      <c r="AU28" s="1433"/>
      <c r="AV28" s="1433"/>
      <c r="AW28" s="1648"/>
    </row>
    <row r="29" spans="3:49" x14ac:dyDescent="0.4">
      <c r="C29" s="120" t="s">
        <v>1104</v>
      </c>
      <c r="D29" s="120">
        <v>81</v>
      </c>
      <c r="E29" s="120">
        <v>63</v>
      </c>
      <c r="F29" s="120">
        <v>144</v>
      </c>
      <c r="G29" s="120">
        <v>139</v>
      </c>
      <c r="H29" s="120">
        <v>107</v>
      </c>
      <c r="I29" s="120">
        <v>246</v>
      </c>
      <c r="J29" s="120">
        <v>22</v>
      </c>
      <c r="K29" s="120">
        <v>29</v>
      </c>
      <c r="L29" s="120">
        <v>51</v>
      </c>
      <c r="M29" s="120">
        <v>27</v>
      </c>
      <c r="N29" s="120">
        <v>24</v>
      </c>
      <c r="O29" s="120">
        <v>51</v>
      </c>
      <c r="P29" s="120">
        <v>47</v>
      </c>
      <c r="Q29" s="120">
        <v>40</v>
      </c>
      <c r="R29" s="120">
        <v>87</v>
      </c>
      <c r="S29" s="120">
        <v>99</v>
      </c>
      <c r="T29" s="120">
        <v>96</v>
      </c>
      <c r="U29" s="120">
        <v>195</v>
      </c>
      <c r="V29" s="120">
        <v>290</v>
      </c>
      <c r="W29" s="120">
        <v>306</v>
      </c>
      <c r="X29" s="120">
        <v>596</v>
      </c>
      <c r="Y29" s="120">
        <v>111</v>
      </c>
      <c r="Z29" s="120">
        <v>135</v>
      </c>
      <c r="AA29" s="120">
        <v>246</v>
      </c>
      <c r="AB29" s="120">
        <v>74</v>
      </c>
      <c r="AC29" s="120">
        <v>91</v>
      </c>
      <c r="AD29" s="120">
        <v>165</v>
      </c>
      <c r="AE29" s="120">
        <v>493</v>
      </c>
      <c r="AF29" s="120">
        <v>399</v>
      </c>
      <c r="AG29" s="120">
        <v>892</v>
      </c>
      <c r="AH29" s="120">
        <v>1550</v>
      </c>
      <c r="AI29" s="120">
        <v>1161</v>
      </c>
      <c r="AJ29" s="120">
        <v>2711</v>
      </c>
      <c r="AK29" s="120">
        <v>212</v>
      </c>
      <c r="AL29" s="120">
        <v>168</v>
      </c>
      <c r="AM29" s="120">
        <v>380</v>
      </c>
      <c r="AN29" s="1649">
        <v>1740</v>
      </c>
      <c r="AO29" s="1649">
        <v>1334</v>
      </c>
      <c r="AP29" s="1649">
        <v>3074</v>
      </c>
      <c r="AQ29" s="1650">
        <f t="shared" ref="AQ29:AV29" si="1">SUM(AQ14:AQ27)</f>
        <v>1632</v>
      </c>
      <c r="AR29" s="1650">
        <f t="shared" si="1"/>
        <v>1420</v>
      </c>
      <c r="AS29" s="1650">
        <f t="shared" si="1"/>
        <v>3052</v>
      </c>
      <c r="AT29" s="1650">
        <f t="shared" si="1"/>
        <v>436</v>
      </c>
      <c r="AU29" s="1650">
        <f t="shared" si="1"/>
        <v>354</v>
      </c>
      <c r="AV29" s="1650">
        <f t="shared" si="1"/>
        <v>790</v>
      </c>
      <c r="AW29" s="1650">
        <f t="shared" si="0"/>
        <v>12680</v>
      </c>
    </row>
    <row r="30" spans="3:49" x14ac:dyDescent="0.4">
      <c r="C30" s="115" t="s">
        <v>195</v>
      </c>
    </row>
    <row r="31" spans="3:49" ht="19.5" x14ac:dyDescent="0.4">
      <c r="C31" s="115" t="s">
        <v>5756</v>
      </c>
    </row>
    <row r="32" spans="3:49" ht="17.45" customHeight="1" x14ac:dyDescent="0.4">
      <c r="C32" s="3175" t="s">
        <v>5757</v>
      </c>
      <c r="D32" s="3175"/>
      <c r="E32" s="3175"/>
      <c r="F32" s="3175"/>
      <c r="G32" s="3175"/>
      <c r="H32" s="3175"/>
      <c r="I32" s="3175"/>
      <c r="J32" s="3175"/>
      <c r="K32" s="3175"/>
      <c r="L32" s="3175"/>
      <c r="M32" s="3175"/>
      <c r="N32" s="3175"/>
      <c r="O32" s="3175"/>
      <c r="P32" s="3175"/>
      <c r="Q32" s="3175"/>
      <c r="R32" s="3175"/>
      <c r="S32" s="3175"/>
      <c r="T32" s="3175"/>
      <c r="U32" s="3175"/>
      <c r="V32" s="3175"/>
      <c r="W32" s="3175"/>
    </row>
    <row r="36" spans="3:49" ht="19.5" x14ac:dyDescent="0.4">
      <c r="C36" s="3118" t="s">
        <v>5758</v>
      </c>
      <c r="D36" s="3118"/>
      <c r="E36" s="3118"/>
      <c r="F36" s="3118"/>
      <c r="G36" s="3118"/>
      <c r="H36" s="3118"/>
      <c r="I36" s="3118"/>
      <c r="J36" s="3118"/>
      <c r="K36" s="3118"/>
      <c r="L36" s="3118"/>
      <c r="M36" s="3118"/>
      <c r="N36" s="3118"/>
      <c r="O36" s="3118"/>
      <c r="P36" s="3118"/>
      <c r="Q36" s="3118"/>
      <c r="R36" s="3118"/>
      <c r="S36" s="3118"/>
      <c r="T36" s="3118"/>
      <c r="U36" s="3118"/>
      <c r="V36" s="3118"/>
      <c r="W36" s="3118"/>
      <c r="X36" s="3118"/>
      <c r="Y36" s="3118"/>
      <c r="Z36" s="3118"/>
      <c r="AA36" s="3118"/>
      <c r="AB36" s="3118"/>
      <c r="AC36" s="3118"/>
      <c r="AD36" s="3118"/>
      <c r="AE36" s="3118"/>
      <c r="AF36" s="3118"/>
      <c r="AG36" s="3118"/>
      <c r="AH36" s="3118"/>
      <c r="AI36" s="3118"/>
      <c r="AJ36" s="3118"/>
      <c r="AK36" s="3118"/>
      <c r="AL36" s="3118"/>
      <c r="AM36" s="3118"/>
      <c r="AN36" s="3118"/>
      <c r="AO36" s="3118"/>
      <c r="AP36" s="3118"/>
      <c r="AQ36" s="3118"/>
    </row>
    <row r="37" spans="3:49" ht="9" customHeight="1" x14ac:dyDescent="0.4">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row>
    <row r="38" spans="3:49" ht="17.45" customHeight="1" x14ac:dyDescent="0.4">
      <c r="C38" s="3249" t="s">
        <v>1780</v>
      </c>
      <c r="D38" s="3248" t="s">
        <v>5747</v>
      </c>
      <c r="E38" s="3248"/>
      <c r="F38" s="3248"/>
      <c r="G38" s="3248"/>
      <c r="H38" s="3248"/>
      <c r="I38" s="3248"/>
      <c r="J38" s="3248"/>
      <c r="K38" s="3248"/>
      <c r="L38" s="3248"/>
      <c r="M38" s="3248"/>
      <c r="N38" s="3248"/>
      <c r="O38" s="3248"/>
      <c r="P38" s="3248"/>
      <c r="Q38" s="3248"/>
      <c r="R38" s="3248"/>
      <c r="S38" s="3248"/>
      <c r="T38" s="3248"/>
      <c r="U38" s="3248"/>
      <c r="V38" s="3248"/>
      <c r="W38" s="3248"/>
      <c r="X38" s="3248"/>
      <c r="Y38" s="3248"/>
      <c r="Z38" s="3248"/>
      <c r="AA38" s="3248"/>
      <c r="AB38" s="3248"/>
      <c r="AC38" s="3248"/>
      <c r="AD38" s="3248"/>
      <c r="AE38" s="3248"/>
      <c r="AF38" s="3248"/>
      <c r="AG38" s="3248"/>
      <c r="AH38" s="3248"/>
      <c r="AI38" s="3248"/>
      <c r="AJ38" s="3248"/>
      <c r="AK38" s="3248"/>
      <c r="AL38" s="3248"/>
      <c r="AM38" s="3248"/>
      <c r="AN38" s="1651"/>
      <c r="AO38" s="1651"/>
      <c r="AP38" s="1651"/>
      <c r="AQ38" s="1651"/>
      <c r="AR38" s="1651"/>
      <c r="AS38" s="1651"/>
      <c r="AT38" s="1651"/>
      <c r="AU38" s="1651"/>
      <c r="AV38" s="1651"/>
      <c r="AW38" s="3231" t="s">
        <v>1104</v>
      </c>
    </row>
    <row r="39" spans="3:49" x14ac:dyDescent="0.4">
      <c r="C39" s="3250"/>
      <c r="D39" s="3248">
        <v>2010</v>
      </c>
      <c r="E39" s="3248"/>
      <c r="F39" s="3248"/>
      <c r="G39" s="3248">
        <v>2011</v>
      </c>
      <c r="H39" s="3248"/>
      <c r="I39" s="3248"/>
      <c r="J39" s="3248">
        <v>2012</v>
      </c>
      <c r="K39" s="3248"/>
      <c r="L39" s="3248"/>
      <c r="M39" s="3248">
        <v>2013</v>
      </c>
      <c r="N39" s="3248"/>
      <c r="O39" s="3248"/>
      <c r="P39" s="3248">
        <v>2014</v>
      </c>
      <c r="Q39" s="3248"/>
      <c r="R39" s="3248"/>
      <c r="S39" s="3248">
        <v>2015</v>
      </c>
      <c r="T39" s="3248"/>
      <c r="U39" s="3248"/>
      <c r="V39" s="3248">
        <v>2016</v>
      </c>
      <c r="W39" s="3248"/>
      <c r="X39" s="3248"/>
      <c r="Y39" s="3248">
        <v>2017</v>
      </c>
      <c r="Z39" s="3248"/>
      <c r="AA39" s="3248"/>
      <c r="AB39" s="3248">
        <v>2018</v>
      </c>
      <c r="AC39" s="3248"/>
      <c r="AD39" s="3248"/>
      <c r="AE39" s="3248">
        <v>2019</v>
      </c>
      <c r="AF39" s="3248"/>
      <c r="AG39" s="3248"/>
      <c r="AH39" s="3248">
        <v>2020</v>
      </c>
      <c r="AI39" s="3248"/>
      <c r="AJ39" s="3248"/>
      <c r="AK39" s="3248">
        <v>2021</v>
      </c>
      <c r="AL39" s="3248"/>
      <c r="AM39" s="3248"/>
      <c r="AN39" s="3248">
        <v>2022</v>
      </c>
      <c r="AO39" s="3248"/>
      <c r="AP39" s="3248"/>
      <c r="AQ39" s="3248">
        <v>2023</v>
      </c>
      <c r="AR39" s="3248"/>
      <c r="AS39" s="3248"/>
      <c r="AT39" s="3248">
        <v>2024</v>
      </c>
      <c r="AU39" s="3248"/>
      <c r="AV39" s="3248"/>
      <c r="AW39" s="3252"/>
    </row>
    <row r="40" spans="3:49" x14ac:dyDescent="0.4">
      <c r="C40" s="3251"/>
      <c r="D40" s="1642" t="s">
        <v>894</v>
      </c>
      <c r="E40" s="1642" t="s">
        <v>895</v>
      </c>
      <c r="F40" s="1642" t="s">
        <v>47</v>
      </c>
      <c r="G40" s="1642" t="s">
        <v>894</v>
      </c>
      <c r="H40" s="1642" t="s">
        <v>895</v>
      </c>
      <c r="I40" s="1642" t="s">
        <v>47</v>
      </c>
      <c r="J40" s="1642" t="s">
        <v>894</v>
      </c>
      <c r="K40" s="1642" t="s">
        <v>895</v>
      </c>
      <c r="L40" s="1642" t="s">
        <v>47</v>
      </c>
      <c r="M40" s="1642" t="s">
        <v>894</v>
      </c>
      <c r="N40" s="1642" t="s">
        <v>895</v>
      </c>
      <c r="O40" s="1642" t="s">
        <v>47</v>
      </c>
      <c r="P40" s="1642" t="s">
        <v>894</v>
      </c>
      <c r="Q40" s="1642" t="s">
        <v>895</v>
      </c>
      <c r="R40" s="1642" t="s">
        <v>47</v>
      </c>
      <c r="S40" s="1642" t="s">
        <v>894</v>
      </c>
      <c r="T40" s="1642" t="s">
        <v>895</v>
      </c>
      <c r="U40" s="1642" t="s">
        <v>47</v>
      </c>
      <c r="V40" s="1642" t="s">
        <v>894</v>
      </c>
      <c r="W40" s="1642" t="s">
        <v>895</v>
      </c>
      <c r="X40" s="1642" t="s">
        <v>47</v>
      </c>
      <c r="Y40" s="1642" t="s">
        <v>894</v>
      </c>
      <c r="Z40" s="1642" t="s">
        <v>895</v>
      </c>
      <c r="AA40" s="1642" t="s">
        <v>47</v>
      </c>
      <c r="AB40" s="1642" t="s">
        <v>894</v>
      </c>
      <c r="AC40" s="1642" t="s">
        <v>895</v>
      </c>
      <c r="AD40" s="1642" t="s">
        <v>47</v>
      </c>
      <c r="AE40" s="1642" t="s">
        <v>894</v>
      </c>
      <c r="AF40" s="1642" t="s">
        <v>895</v>
      </c>
      <c r="AG40" s="1642" t="s">
        <v>47</v>
      </c>
      <c r="AH40" s="1642" t="s">
        <v>894</v>
      </c>
      <c r="AI40" s="1642" t="s">
        <v>895</v>
      </c>
      <c r="AJ40" s="1642" t="s">
        <v>47</v>
      </c>
      <c r="AK40" s="1642" t="s">
        <v>894</v>
      </c>
      <c r="AL40" s="1642" t="s">
        <v>895</v>
      </c>
      <c r="AM40" s="1642" t="s">
        <v>47</v>
      </c>
      <c r="AN40" s="1642" t="s">
        <v>894</v>
      </c>
      <c r="AO40" s="1642" t="s">
        <v>895</v>
      </c>
      <c r="AP40" s="1642" t="s">
        <v>47</v>
      </c>
      <c r="AQ40" s="1642" t="s">
        <v>894</v>
      </c>
      <c r="AR40" s="1642" t="s">
        <v>895</v>
      </c>
      <c r="AS40" s="1642" t="s">
        <v>47</v>
      </c>
      <c r="AT40" s="1642" t="s">
        <v>894</v>
      </c>
      <c r="AU40" s="1642" t="s">
        <v>895</v>
      </c>
      <c r="AV40" s="1642" t="s">
        <v>47</v>
      </c>
      <c r="AW40" s="3232"/>
    </row>
    <row r="41" spans="3:49" x14ac:dyDescent="0.4">
      <c r="C41" s="115" t="s">
        <v>5759</v>
      </c>
      <c r="D41" s="1652">
        <v>0</v>
      </c>
      <c r="E41" s="1652">
        <v>0</v>
      </c>
      <c r="F41" s="1652">
        <v>0</v>
      </c>
      <c r="G41" s="1652">
        <v>0</v>
      </c>
      <c r="H41" s="1652">
        <v>0</v>
      </c>
      <c r="I41" s="1652">
        <v>0</v>
      </c>
      <c r="J41" s="1652">
        <v>0</v>
      </c>
      <c r="K41" s="1652">
        <v>0</v>
      </c>
      <c r="L41" s="1652">
        <v>0</v>
      </c>
      <c r="M41" s="1652">
        <v>0</v>
      </c>
      <c r="N41" s="1652">
        <v>0</v>
      </c>
      <c r="O41" s="1652">
        <v>0</v>
      </c>
      <c r="P41" s="1652">
        <v>0</v>
      </c>
      <c r="Q41" s="1652">
        <v>0</v>
      </c>
      <c r="R41" s="1652">
        <v>0</v>
      </c>
      <c r="S41" s="1652">
        <v>1</v>
      </c>
      <c r="T41" s="1652">
        <v>0</v>
      </c>
      <c r="U41" s="1652">
        <v>1</v>
      </c>
      <c r="V41" s="1652">
        <v>0</v>
      </c>
      <c r="W41" s="1652">
        <v>0</v>
      </c>
      <c r="X41" s="1652">
        <v>0</v>
      </c>
      <c r="Y41" s="1652">
        <v>0</v>
      </c>
      <c r="Z41" s="1652">
        <v>0</v>
      </c>
      <c r="AA41" s="1652">
        <v>0</v>
      </c>
      <c r="AB41" s="1652">
        <v>0</v>
      </c>
      <c r="AC41" s="1652">
        <v>0</v>
      </c>
      <c r="AD41" s="1652">
        <v>0</v>
      </c>
      <c r="AE41" s="1652">
        <v>0</v>
      </c>
      <c r="AF41" s="1652">
        <v>0</v>
      </c>
      <c r="AG41" s="1652">
        <v>0</v>
      </c>
      <c r="AH41" s="1652">
        <v>0</v>
      </c>
      <c r="AI41" s="1652">
        <v>0</v>
      </c>
      <c r="AJ41" s="1652">
        <v>0</v>
      </c>
      <c r="AK41" s="1652">
        <v>0</v>
      </c>
      <c r="AL41" s="1652">
        <v>0</v>
      </c>
      <c r="AM41" s="1652">
        <f>AK41+AL41</f>
        <v>0</v>
      </c>
      <c r="AN41" s="1652">
        <v>0</v>
      </c>
      <c r="AO41" s="1652">
        <v>3</v>
      </c>
      <c r="AP41" s="1652">
        <v>3</v>
      </c>
      <c r="AQ41" s="1652">
        <v>0</v>
      </c>
      <c r="AR41" s="1652">
        <v>0</v>
      </c>
      <c r="AS41" s="1652">
        <v>0</v>
      </c>
      <c r="AT41" s="1652">
        <v>0</v>
      </c>
      <c r="AU41" s="1652">
        <v>0</v>
      </c>
      <c r="AV41" s="1652">
        <v>0</v>
      </c>
      <c r="AW41" s="1646">
        <f>F41+I41+L41+O41+R41+U41+X41+AA41+AD41+AG41+AJ41+AM41+AP41+AS41+AV41</f>
        <v>4</v>
      </c>
    </row>
    <row r="42" spans="3:49" x14ac:dyDescent="0.4">
      <c r="C42" s="115" t="s">
        <v>5760</v>
      </c>
      <c r="D42" s="1433">
        <v>0</v>
      </c>
      <c r="E42" s="1433">
        <v>0</v>
      </c>
      <c r="F42" s="1433">
        <v>0</v>
      </c>
      <c r="G42" s="1433">
        <v>0</v>
      </c>
      <c r="H42" s="1433">
        <v>0</v>
      </c>
      <c r="I42" s="1433">
        <v>0</v>
      </c>
      <c r="J42" s="1433">
        <v>0</v>
      </c>
      <c r="K42" s="1433">
        <v>0</v>
      </c>
      <c r="L42" s="1433">
        <v>0</v>
      </c>
      <c r="M42" s="1433">
        <v>0</v>
      </c>
      <c r="N42" s="1433">
        <v>0</v>
      </c>
      <c r="O42" s="1433">
        <v>0</v>
      </c>
      <c r="P42" s="1433">
        <v>0</v>
      </c>
      <c r="Q42" s="1433">
        <v>0</v>
      </c>
      <c r="R42" s="1433">
        <v>0</v>
      </c>
      <c r="S42" s="1433">
        <v>0</v>
      </c>
      <c r="T42" s="1433">
        <v>0</v>
      </c>
      <c r="U42" s="1433">
        <v>0</v>
      </c>
      <c r="V42" s="1433">
        <v>0</v>
      </c>
      <c r="W42" s="1433">
        <v>0</v>
      </c>
      <c r="X42" s="1433">
        <v>0</v>
      </c>
      <c r="Y42" s="1433">
        <v>0</v>
      </c>
      <c r="Z42" s="1433">
        <v>0</v>
      </c>
      <c r="AA42" s="1433">
        <v>0</v>
      </c>
      <c r="AB42" s="1433">
        <v>0</v>
      </c>
      <c r="AC42" s="1433">
        <v>0</v>
      </c>
      <c r="AD42" s="1433">
        <v>0</v>
      </c>
      <c r="AE42" s="1433">
        <v>0</v>
      </c>
      <c r="AF42" s="1433">
        <v>0</v>
      </c>
      <c r="AG42" s="1433">
        <v>0</v>
      </c>
      <c r="AH42" s="1433">
        <v>0</v>
      </c>
      <c r="AI42" s="1433">
        <v>0</v>
      </c>
      <c r="AJ42" s="1433">
        <v>0</v>
      </c>
      <c r="AK42" s="1433">
        <v>0</v>
      </c>
      <c r="AL42" s="1433">
        <v>0</v>
      </c>
      <c r="AM42" s="1433">
        <f>AK42+AL42</f>
        <v>0</v>
      </c>
      <c r="AN42" s="1433">
        <v>0</v>
      </c>
      <c r="AO42" s="1433">
        <v>0</v>
      </c>
      <c r="AP42" s="1433">
        <v>0</v>
      </c>
      <c r="AQ42" s="1647">
        <v>1</v>
      </c>
      <c r="AR42" s="1647">
        <v>5</v>
      </c>
      <c r="AS42" s="1647">
        <v>6</v>
      </c>
      <c r="AT42" s="1647">
        <v>0</v>
      </c>
      <c r="AU42" s="1647">
        <v>1</v>
      </c>
      <c r="AV42" s="1647">
        <v>1</v>
      </c>
      <c r="AW42" s="1648">
        <f t="shared" ref="AW42:AW79" si="2">F42+I42+L42+O42+R42+U42+X42+AA42+AD42+AG42+AJ42+AM42+AP42+AS42+AV42</f>
        <v>7</v>
      </c>
    </row>
    <row r="43" spans="3:49" x14ac:dyDescent="0.4">
      <c r="C43" s="115" t="s">
        <v>5761</v>
      </c>
      <c r="D43" s="1433">
        <v>0</v>
      </c>
      <c r="E43" s="1433">
        <v>0</v>
      </c>
      <c r="F43" s="1433">
        <v>0</v>
      </c>
      <c r="G43" s="1433">
        <v>0</v>
      </c>
      <c r="H43" s="1433">
        <v>0</v>
      </c>
      <c r="I43" s="1433">
        <v>0</v>
      </c>
      <c r="J43" s="1433">
        <v>0</v>
      </c>
      <c r="K43" s="1433">
        <v>0</v>
      </c>
      <c r="L43" s="1433">
        <v>0</v>
      </c>
      <c r="M43" s="1433">
        <v>0</v>
      </c>
      <c r="N43" s="1433">
        <v>0</v>
      </c>
      <c r="O43" s="1433">
        <v>0</v>
      </c>
      <c r="P43" s="1433">
        <v>0</v>
      </c>
      <c r="Q43" s="1433">
        <v>0</v>
      </c>
      <c r="R43" s="1433">
        <v>0</v>
      </c>
      <c r="S43" s="1433">
        <v>0</v>
      </c>
      <c r="T43" s="1433">
        <v>0</v>
      </c>
      <c r="U43" s="1433">
        <v>0</v>
      </c>
      <c r="V43" s="1433">
        <v>0</v>
      </c>
      <c r="W43" s="1433">
        <v>0</v>
      </c>
      <c r="X43" s="1433">
        <v>0</v>
      </c>
      <c r="Y43" s="1433">
        <v>0</v>
      </c>
      <c r="Z43" s="1433">
        <v>0</v>
      </c>
      <c r="AA43" s="1433">
        <v>0</v>
      </c>
      <c r="AB43" s="1433">
        <v>0</v>
      </c>
      <c r="AC43" s="1433">
        <v>0</v>
      </c>
      <c r="AD43" s="1433">
        <v>0</v>
      </c>
      <c r="AE43" s="1433">
        <v>0</v>
      </c>
      <c r="AF43" s="1433">
        <v>0</v>
      </c>
      <c r="AG43" s="1433">
        <v>0</v>
      </c>
      <c r="AH43" s="1433">
        <v>1</v>
      </c>
      <c r="AI43" s="1433">
        <v>0</v>
      </c>
      <c r="AJ43" s="1433">
        <v>1</v>
      </c>
      <c r="AK43" s="1433">
        <v>0</v>
      </c>
      <c r="AL43" s="1433">
        <v>0</v>
      </c>
      <c r="AM43" s="1433">
        <f t="shared" ref="AM43:AP78" si="3">AK43+AL43</f>
        <v>0</v>
      </c>
      <c r="AN43" s="1433">
        <v>0</v>
      </c>
      <c r="AO43" s="1433">
        <v>0</v>
      </c>
      <c r="AP43" s="1433">
        <v>0</v>
      </c>
      <c r="AQ43" s="1433">
        <v>0</v>
      </c>
      <c r="AR43" s="1433">
        <v>0</v>
      </c>
      <c r="AS43" s="1433">
        <v>0</v>
      </c>
      <c r="AT43" s="1433">
        <v>0</v>
      </c>
      <c r="AU43" s="1433">
        <v>0</v>
      </c>
      <c r="AV43" s="1433">
        <v>0</v>
      </c>
      <c r="AW43" s="1648">
        <f t="shared" si="2"/>
        <v>1</v>
      </c>
    </row>
    <row r="44" spans="3:49" x14ac:dyDescent="0.4">
      <c r="C44" s="115" t="s">
        <v>5762</v>
      </c>
      <c r="D44" s="1433">
        <v>1</v>
      </c>
      <c r="E44" s="1433">
        <v>1</v>
      </c>
      <c r="F44" s="1433">
        <v>2</v>
      </c>
      <c r="G44" s="1433">
        <v>0</v>
      </c>
      <c r="H44" s="1433">
        <v>0</v>
      </c>
      <c r="I44" s="1433">
        <v>0</v>
      </c>
      <c r="J44" s="1433">
        <v>0</v>
      </c>
      <c r="K44" s="1433">
        <v>0</v>
      </c>
      <c r="L44" s="1433">
        <v>0</v>
      </c>
      <c r="M44" s="1433">
        <v>0</v>
      </c>
      <c r="N44" s="1433">
        <v>0</v>
      </c>
      <c r="O44" s="1433">
        <v>0</v>
      </c>
      <c r="P44" s="1433">
        <v>0</v>
      </c>
      <c r="Q44" s="1433">
        <v>0</v>
      </c>
      <c r="R44" s="1433">
        <v>0</v>
      </c>
      <c r="S44" s="1433">
        <v>0</v>
      </c>
      <c r="T44" s="1433">
        <v>0</v>
      </c>
      <c r="U44" s="1433">
        <v>0</v>
      </c>
      <c r="V44" s="1433">
        <v>0</v>
      </c>
      <c r="W44" s="1433">
        <v>0</v>
      </c>
      <c r="X44" s="1433">
        <v>0</v>
      </c>
      <c r="Y44" s="1433">
        <v>0</v>
      </c>
      <c r="Z44" s="1433">
        <v>0</v>
      </c>
      <c r="AA44" s="1433">
        <v>0</v>
      </c>
      <c r="AB44" s="1433">
        <v>0</v>
      </c>
      <c r="AC44" s="1433">
        <v>0</v>
      </c>
      <c r="AD44" s="1433">
        <v>0</v>
      </c>
      <c r="AE44" s="1433">
        <v>0</v>
      </c>
      <c r="AF44" s="1433">
        <v>0</v>
      </c>
      <c r="AG44" s="1433">
        <v>0</v>
      </c>
      <c r="AH44" s="1433">
        <v>0</v>
      </c>
      <c r="AI44" s="1433">
        <v>0</v>
      </c>
      <c r="AJ44" s="1433">
        <v>0</v>
      </c>
      <c r="AK44" s="1433">
        <v>0</v>
      </c>
      <c r="AL44" s="1433">
        <v>0</v>
      </c>
      <c r="AM44" s="1433">
        <f t="shared" si="3"/>
        <v>0</v>
      </c>
      <c r="AN44" s="1433">
        <v>0</v>
      </c>
      <c r="AO44" s="1433">
        <v>0</v>
      </c>
      <c r="AP44" s="1433">
        <v>0</v>
      </c>
      <c r="AQ44" s="1433">
        <v>0</v>
      </c>
      <c r="AR44" s="1433">
        <v>0</v>
      </c>
      <c r="AS44" s="1433">
        <v>0</v>
      </c>
      <c r="AT44" s="1433">
        <v>0</v>
      </c>
      <c r="AU44" s="1433">
        <v>0</v>
      </c>
      <c r="AV44" s="1433">
        <v>0</v>
      </c>
      <c r="AW44" s="1648">
        <f t="shared" si="2"/>
        <v>2</v>
      </c>
    </row>
    <row r="45" spans="3:49" x14ac:dyDescent="0.4">
      <c r="C45" s="115" t="s">
        <v>5763</v>
      </c>
      <c r="D45" s="1433">
        <v>0</v>
      </c>
      <c r="E45" s="1433">
        <v>0</v>
      </c>
      <c r="F45" s="1433">
        <v>0</v>
      </c>
      <c r="G45" s="1433">
        <v>0</v>
      </c>
      <c r="H45" s="1433">
        <v>0</v>
      </c>
      <c r="I45" s="1433">
        <v>0</v>
      </c>
      <c r="J45" s="1433">
        <v>0</v>
      </c>
      <c r="K45" s="1433">
        <v>0</v>
      </c>
      <c r="L45" s="1433">
        <v>0</v>
      </c>
      <c r="M45" s="1433">
        <v>0</v>
      </c>
      <c r="N45" s="1433">
        <v>0</v>
      </c>
      <c r="O45" s="1433">
        <v>0</v>
      </c>
      <c r="P45" s="1433">
        <v>0</v>
      </c>
      <c r="Q45" s="1433">
        <v>0</v>
      </c>
      <c r="R45" s="1433">
        <v>0</v>
      </c>
      <c r="S45" s="1433">
        <v>0</v>
      </c>
      <c r="T45" s="1433">
        <v>0</v>
      </c>
      <c r="U45" s="1433">
        <v>0</v>
      </c>
      <c r="V45" s="1433">
        <v>0</v>
      </c>
      <c r="W45" s="1433">
        <v>0</v>
      </c>
      <c r="X45" s="1433">
        <v>0</v>
      </c>
      <c r="Y45" s="1433">
        <v>0</v>
      </c>
      <c r="Z45" s="1433">
        <v>0</v>
      </c>
      <c r="AA45" s="1433">
        <v>0</v>
      </c>
      <c r="AB45" s="1433">
        <v>0</v>
      </c>
      <c r="AC45" s="1433">
        <v>0</v>
      </c>
      <c r="AD45" s="1433">
        <v>0</v>
      </c>
      <c r="AE45" s="1433">
        <v>0</v>
      </c>
      <c r="AF45" s="1433">
        <v>0</v>
      </c>
      <c r="AG45" s="1433">
        <v>0</v>
      </c>
      <c r="AH45" s="1433">
        <v>0</v>
      </c>
      <c r="AI45" s="1433">
        <v>0</v>
      </c>
      <c r="AJ45" s="1433">
        <v>0</v>
      </c>
      <c r="AK45" s="1433">
        <v>0</v>
      </c>
      <c r="AL45" s="1433">
        <v>0</v>
      </c>
      <c r="AM45" s="1433">
        <v>0</v>
      </c>
      <c r="AN45" s="1433">
        <v>0</v>
      </c>
      <c r="AO45" s="1433">
        <v>0</v>
      </c>
      <c r="AP45" s="1433">
        <v>0</v>
      </c>
      <c r="AQ45" s="1647">
        <v>0</v>
      </c>
      <c r="AR45" s="1647">
        <v>1</v>
      </c>
      <c r="AS45" s="1647">
        <v>1</v>
      </c>
      <c r="AT45" s="1647">
        <v>0</v>
      </c>
      <c r="AU45" s="1647">
        <v>0</v>
      </c>
      <c r="AV45" s="1433">
        <v>0</v>
      </c>
      <c r="AW45" s="1648">
        <f t="shared" si="2"/>
        <v>1</v>
      </c>
    </row>
    <row r="46" spans="3:49" x14ac:dyDescent="0.4">
      <c r="C46" s="115" t="s">
        <v>5764</v>
      </c>
      <c r="D46" s="1433">
        <v>0</v>
      </c>
      <c r="E46" s="1433">
        <v>0</v>
      </c>
      <c r="F46" s="1433">
        <v>0</v>
      </c>
      <c r="G46" s="1433">
        <v>0</v>
      </c>
      <c r="H46" s="1433">
        <v>0</v>
      </c>
      <c r="I46" s="1433">
        <v>0</v>
      </c>
      <c r="J46" s="1433">
        <v>0</v>
      </c>
      <c r="K46" s="1433">
        <v>0</v>
      </c>
      <c r="L46" s="1433">
        <v>0</v>
      </c>
      <c r="M46" s="1433">
        <v>0</v>
      </c>
      <c r="N46" s="1433">
        <v>0</v>
      </c>
      <c r="O46" s="1433">
        <v>0</v>
      </c>
      <c r="P46" s="1433">
        <v>0</v>
      </c>
      <c r="Q46" s="1433">
        <v>0</v>
      </c>
      <c r="R46" s="1433">
        <v>0</v>
      </c>
      <c r="S46" s="1433">
        <v>0</v>
      </c>
      <c r="T46" s="1433">
        <v>0</v>
      </c>
      <c r="U46" s="1433">
        <v>0</v>
      </c>
      <c r="V46" s="1433">
        <v>0</v>
      </c>
      <c r="W46" s="1433">
        <v>0</v>
      </c>
      <c r="X46" s="1433">
        <v>0</v>
      </c>
      <c r="Y46" s="1433">
        <v>0</v>
      </c>
      <c r="Z46" s="1433">
        <v>0</v>
      </c>
      <c r="AA46" s="1433">
        <v>0</v>
      </c>
      <c r="AB46" s="1433">
        <v>0</v>
      </c>
      <c r="AC46" s="1433">
        <v>0</v>
      </c>
      <c r="AD46" s="1433">
        <v>0</v>
      </c>
      <c r="AE46" s="1433">
        <v>0</v>
      </c>
      <c r="AF46" s="1433">
        <v>0</v>
      </c>
      <c r="AG46" s="1433">
        <v>0</v>
      </c>
      <c r="AH46" s="1433">
        <v>0</v>
      </c>
      <c r="AI46" s="1433">
        <v>0</v>
      </c>
      <c r="AJ46" s="1433">
        <v>0</v>
      </c>
      <c r="AK46" s="1433">
        <v>0</v>
      </c>
      <c r="AL46" s="1433">
        <v>0</v>
      </c>
      <c r="AM46" s="1433">
        <v>0</v>
      </c>
      <c r="AN46" s="1433">
        <v>0</v>
      </c>
      <c r="AO46" s="1433">
        <v>0</v>
      </c>
      <c r="AP46" s="1433">
        <v>0</v>
      </c>
      <c r="AQ46" s="1647">
        <v>0</v>
      </c>
      <c r="AR46" s="1647">
        <v>1</v>
      </c>
      <c r="AS46" s="1647">
        <v>1</v>
      </c>
      <c r="AT46" s="1647">
        <v>0</v>
      </c>
      <c r="AU46" s="1647">
        <v>0</v>
      </c>
      <c r="AV46" s="1433">
        <v>0</v>
      </c>
      <c r="AW46" s="1648">
        <f t="shared" si="2"/>
        <v>1</v>
      </c>
    </row>
    <row r="47" spans="3:49" x14ac:dyDescent="0.4">
      <c r="C47" s="115" t="s">
        <v>5765</v>
      </c>
      <c r="D47" s="1433">
        <v>36</v>
      </c>
      <c r="E47" s="1433">
        <v>28</v>
      </c>
      <c r="F47" s="1433">
        <v>64</v>
      </c>
      <c r="G47" s="1433">
        <v>59</v>
      </c>
      <c r="H47" s="1433">
        <v>56</v>
      </c>
      <c r="I47" s="1433">
        <v>115</v>
      </c>
      <c r="J47" s="1433">
        <v>15</v>
      </c>
      <c r="K47" s="1433">
        <v>18</v>
      </c>
      <c r="L47" s="1433">
        <v>33</v>
      </c>
      <c r="M47" s="1433">
        <v>12</v>
      </c>
      <c r="N47" s="1433">
        <v>12</v>
      </c>
      <c r="O47" s="1433">
        <v>24</v>
      </c>
      <c r="P47" s="1433">
        <v>10</v>
      </c>
      <c r="Q47" s="1433">
        <v>9</v>
      </c>
      <c r="R47" s="1433">
        <v>19</v>
      </c>
      <c r="S47" s="1433">
        <v>36</v>
      </c>
      <c r="T47" s="1433">
        <v>43</v>
      </c>
      <c r="U47" s="1433">
        <v>79</v>
      </c>
      <c r="V47" s="1433">
        <v>54</v>
      </c>
      <c r="W47" s="1433">
        <v>53</v>
      </c>
      <c r="X47" s="1433">
        <v>107</v>
      </c>
      <c r="Y47" s="1433">
        <v>18</v>
      </c>
      <c r="Z47" s="1433">
        <v>26</v>
      </c>
      <c r="AA47" s="1433">
        <v>44</v>
      </c>
      <c r="AB47" s="1433">
        <v>8</v>
      </c>
      <c r="AC47" s="1433">
        <v>4</v>
      </c>
      <c r="AD47" s="1433">
        <v>12</v>
      </c>
      <c r="AE47" s="1433">
        <v>4</v>
      </c>
      <c r="AF47" s="1433">
        <v>3</v>
      </c>
      <c r="AG47" s="1433">
        <v>7</v>
      </c>
      <c r="AH47" s="1433">
        <v>6</v>
      </c>
      <c r="AI47" s="1433">
        <v>8</v>
      </c>
      <c r="AJ47" s="1433">
        <v>14</v>
      </c>
      <c r="AK47" s="1433">
        <v>4</v>
      </c>
      <c r="AL47" s="1433">
        <v>9</v>
      </c>
      <c r="AM47" s="1433">
        <f t="shared" si="3"/>
        <v>13</v>
      </c>
      <c r="AN47" s="1433">
        <v>4</v>
      </c>
      <c r="AO47" s="1433">
        <v>7</v>
      </c>
      <c r="AP47" s="1433">
        <v>11</v>
      </c>
      <c r="AQ47" s="1647">
        <v>6</v>
      </c>
      <c r="AR47" s="1647">
        <v>2</v>
      </c>
      <c r="AS47" s="1647">
        <v>8</v>
      </c>
      <c r="AT47" s="1647">
        <v>0</v>
      </c>
      <c r="AU47" s="1647">
        <v>6</v>
      </c>
      <c r="AV47" s="1647">
        <v>6</v>
      </c>
      <c r="AW47" s="1648">
        <f t="shared" si="2"/>
        <v>556</v>
      </c>
    </row>
    <row r="48" spans="3:49" x14ac:dyDescent="0.4">
      <c r="C48" s="115" t="s">
        <v>5766</v>
      </c>
      <c r="D48" s="1433">
        <v>0</v>
      </c>
      <c r="E48" s="1433">
        <v>0</v>
      </c>
      <c r="F48" s="1433">
        <v>0</v>
      </c>
      <c r="G48" s="1433">
        <v>1</v>
      </c>
      <c r="H48" s="1433">
        <v>0</v>
      </c>
      <c r="I48" s="1433">
        <v>1</v>
      </c>
      <c r="J48" s="1433">
        <v>0</v>
      </c>
      <c r="K48" s="1433">
        <v>0</v>
      </c>
      <c r="L48" s="1433">
        <v>0</v>
      </c>
      <c r="M48" s="1433">
        <v>0</v>
      </c>
      <c r="N48" s="1433">
        <v>0</v>
      </c>
      <c r="O48" s="1433">
        <v>0</v>
      </c>
      <c r="P48" s="1433">
        <v>0</v>
      </c>
      <c r="Q48" s="1433">
        <v>0</v>
      </c>
      <c r="R48" s="1433">
        <v>0</v>
      </c>
      <c r="S48" s="1433">
        <v>0</v>
      </c>
      <c r="T48" s="1433">
        <v>0</v>
      </c>
      <c r="U48" s="1433">
        <v>0</v>
      </c>
      <c r="V48" s="1433">
        <v>0</v>
      </c>
      <c r="W48" s="1433">
        <v>0</v>
      </c>
      <c r="X48" s="1433">
        <v>0</v>
      </c>
      <c r="Y48" s="1433">
        <v>0</v>
      </c>
      <c r="Z48" s="1433">
        <v>0</v>
      </c>
      <c r="AA48" s="1433">
        <v>0</v>
      </c>
      <c r="AB48" s="1433">
        <v>0</v>
      </c>
      <c r="AC48" s="1433">
        <v>0</v>
      </c>
      <c r="AD48" s="1433">
        <v>0</v>
      </c>
      <c r="AE48" s="1433">
        <v>0</v>
      </c>
      <c r="AF48" s="1433">
        <v>0</v>
      </c>
      <c r="AG48" s="1433">
        <v>0</v>
      </c>
      <c r="AH48" s="1433">
        <v>0</v>
      </c>
      <c r="AI48" s="1433">
        <v>0</v>
      </c>
      <c r="AJ48" s="1433">
        <v>0</v>
      </c>
      <c r="AK48" s="1433">
        <v>0</v>
      </c>
      <c r="AL48" s="1433">
        <v>0</v>
      </c>
      <c r="AM48" s="1433">
        <f t="shared" si="3"/>
        <v>0</v>
      </c>
      <c r="AN48" s="1433">
        <v>0</v>
      </c>
      <c r="AO48" s="1433">
        <v>0</v>
      </c>
      <c r="AP48" s="1433">
        <v>0</v>
      </c>
      <c r="AQ48" s="1433">
        <v>0</v>
      </c>
      <c r="AR48" s="1433">
        <v>0</v>
      </c>
      <c r="AS48" s="1433">
        <v>0</v>
      </c>
      <c r="AT48" s="1433">
        <v>0</v>
      </c>
      <c r="AU48" s="1433">
        <v>0</v>
      </c>
      <c r="AV48" s="1433">
        <v>0</v>
      </c>
      <c r="AW48" s="1648">
        <f t="shared" si="2"/>
        <v>1</v>
      </c>
    </row>
    <row r="49" spans="3:49" x14ac:dyDescent="0.4">
      <c r="C49" s="115" t="s">
        <v>5767</v>
      </c>
      <c r="D49" s="1433">
        <v>21</v>
      </c>
      <c r="E49" s="1433">
        <v>8</v>
      </c>
      <c r="F49" s="1433">
        <v>29</v>
      </c>
      <c r="G49" s="1433">
        <v>35</v>
      </c>
      <c r="H49" s="1433">
        <v>26</v>
      </c>
      <c r="I49" s="1433">
        <v>61</v>
      </c>
      <c r="J49" s="1433">
        <v>4</v>
      </c>
      <c r="K49" s="1433">
        <v>5</v>
      </c>
      <c r="L49" s="1433">
        <v>9</v>
      </c>
      <c r="M49" s="1433">
        <v>7</v>
      </c>
      <c r="N49" s="1433">
        <v>6</v>
      </c>
      <c r="O49" s="1433">
        <v>13</v>
      </c>
      <c r="P49" s="1433">
        <v>5</v>
      </c>
      <c r="Q49" s="1433">
        <v>6</v>
      </c>
      <c r="R49" s="1433">
        <v>11</v>
      </c>
      <c r="S49" s="1433">
        <v>3</v>
      </c>
      <c r="T49" s="1433">
        <v>5</v>
      </c>
      <c r="U49" s="1433">
        <v>8</v>
      </c>
      <c r="V49" s="1433">
        <v>5</v>
      </c>
      <c r="W49" s="1433">
        <v>2</v>
      </c>
      <c r="X49" s="1433">
        <v>7</v>
      </c>
      <c r="Y49" s="1433">
        <v>3</v>
      </c>
      <c r="Z49" s="1433">
        <v>2</v>
      </c>
      <c r="AA49" s="1433">
        <v>5</v>
      </c>
      <c r="AB49" s="1433">
        <v>3</v>
      </c>
      <c r="AC49" s="1433">
        <v>1</v>
      </c>
      <c r="AD49" s="1433">
        <v>4</v>
      </c>
      <c r="AE49" s="1433">
        <v>4</v>
      </c>
      <c r="AF49" s="1433">
        <v>1</v>
      </c>
      <c r="AG49" s="1433">
        <v>5</v>
      </c>
      <c r="AH49" s="1433">
        <v>34</v>
      </c>
      <c r="AI49" s="1433">
        <v>13</v>
      </c>
      <c r="AJ49" s="1433">
        <v>47</v>
      </c>
      <c r="AK49" s="1433">
        <v>44</v>
      </c>
      <c r="AL49" s="1433">
        <v>29</v>
      </c>
      <c r="AM49" s="1433">
        <f t="shared" si="3"/>
        <v>73</v>
      </c>
      <c r="AN49" s="1433">
        <v>57</v>
      </c>
      <c r="AO49" s="1433">
        <v>54</v>
      </c>
      <c r="AP49" s="1433">
        <v>111</v>
      </c>
      <c r="AQ49" s="1647">
        <v>121</v>
      </c>
      <c r="AR49" s="1647">
        <v>128</v>
      </c>
      <c r="AS49" s="1647">
        <v>249</v>
      </c>
      <c r="AT49" s="1647">
        <v>21</v>
      </c>
      <c r="AU49" s="1647">
        <v>18</v>
      </c>
      <c r="AV49" s="1647">
        <v>39</v>
      </c>
      <c r="AW49" s="1648">
        <f t="shared" si="2"/>
        <v>671</v>
      </c>
    </row>
    <row r="50" spans="3:49" x14ac:dyDescent="0.4">
      <c r="C50" s="115" t="s">
        <v>5768</v>
      </c>
      <c r="D50" s="1433">
        <v>0</v>
      </c>
      <c r="E50" s="1433">
        <v>0</v>
      </c>
      <c r="F50" s="1433">
        <v>0</v>
      </c>
      <c r="G50" s="1433">
        <v>0</v>
      </c>
      <c r="H50" s="1433">
        <v>0</v>
      </c>
      <c r="I50" s="1433">
        <v>0</v>
      </c>
      <c r="J50" s="1433">
        <v>0</v>
      </c>
      <c r="K50" s="1433">
        <v>0</v>
      </c>
      <c r="L50" s="1433">
        <v>0</v>
      </c>
      <c r="M50" s="1433">
        <v>0</v>
      </c>
      <c r="N50" s="1433">
        <v>0</v>
      </c>
      <c r="O50" s="1433">
        <v>0</v>
      </c>
      <c r="P50" s="1433">
        <v>0</v>
      </c>
      <c r="Q50" s="1433">
        <v>0</v>
      </c>
      <c r="R50" s="1433">
        <v>0</v>
      </c>
      <c r="S50" s="1433">
        <v>0</v>
      </c>
      <c r="T50" s="1433">
        <v>0</v>
      </c>
      <c r="U50" s="1433">
        <v>0</v>
      </c>
      <c r="V50" s="1433">
        <v>0</v>
      </c>
      <c r="W50" s="1433">
        <v>0</v>
      </c>
      <c r="X50" s="1433">
        <v>0</v>
      </c>
      <c r="Y50" s="1433">
        <v>0</v>
      </c>
      <c r="Z50" s="1433">
        <v>0</v>
      </c>
      <c r="AA50" s="1433">
        <v>0</v>
      </c>
      <c r="AB50" s="1433">
        <v>0</v>
      </c>
      <c r="AC50" s="1433">
        <v>0</v>
      </c>
      <c r="AD50" s="1433">
        <v>0</v>
      </c>
      <c r="AE50" s="1433">
        <v>0</v>
      </c>
      <c r="AF50" s="1433">
        <v>0</v>
      </c>
      <c r="AG50" s="1433">
        <v>0</v>
      </c>
      <c r="AH50" s="1433">
        <v>0</v>
      </c>
      <c r="AI50" s="1433">
        <v>0</v>
      </c>
      <c r="AJ50" s="1433">
        <v>0</v>
      </c>
      <c r="AK50" s="1433">
        <v>0</v>
      </c>
      <c r="AL50" s="1433">
        <v>0</v>
      </c>
      <c r="AM50" s="1433">
        <v>0</v>
      </c>
      <c r="AN50" s="1433">
        <v>0</v>
      </c>
      <c r="AO50" s="1433">
        <v>1</v>
      </c>
      <c r="AP50" s="1433">
        <v>1</v>
      </c>
      <c r="AQ50" s="1433">
        <v>0</v>
      </c>
      <c r="AR50" s="1433">
        <v>0</v>
      </c>
      <c r="AS50" s="1433">
        <v>0</v>
      </c>
      <c r="AT50" s="1433">
        <v>0</v>
      </c>
      <c r="AU50" s="1433">
        <v>0</v>
      </c>
      <c r="AV50" s="1433">
        <v>0</v>
      </c>
      <c r="AW50" s="1648">
        <f t="shared" si="2"/>
        <v>1</v>
      </c>
    </row>
    <row r="51" spans="3:49" x14ac:dyDescent="0.4">
      <c r="C51" s="115" t="s">
        <v>5769</v>
      </c>
      <c r="D51" s="1433">
        <v>0</v>
      </c>
      <c r="E51" s="1433">
        <v>0</v>
      </c>
      <c r="F51" s="1433">
        <v>0</v>
      </c>
      <c r="G51" s="1433">
        <v>0</v>
      </c>
      <c r="H51" s="1433">
        <v>0</v>
      </c>
      <c r="I51" s="1433">
        <v>0</v>
      </c>
      <c r="J51" s="1433">
        <v>0</v>
      </c>
      <c r="K51" s="1433">
        <v>0</v>
      </c>
      <c r="L51" s="1433">
        <v>0</v>
      </c>
      <c r="M51" s="1433">
        <v>0</v>
      </c>
      <c r="N51" s="1433">
        <v>0</v>
      </c>
      <c r="O51" s="1433">
        <v>0</v>
      </c>
      <c r="P51" s="1433">
        <v>0</v>
      </c>
      <c r="Q51" s="1433">
        <v>0</v>
      </c>
      <c r="R51" s="1433">
        <v>0</v>
      </c>
      <c r="S51" s="1433">
        <v>0</v>
      </c>
      <c r="T51" s="1433">
        <v>0</v>
      </c>
      <c r="U51" s="1433">
        <v>0</v>
      </c>
      <c r="V51" s="1433">
        <v>0</v>
      </c>
      <c r="W51" s="1433">
        <v>0</v>
      </c>
      <c r="X51" s="1433">
        <v>0</v>
      </c>
      <c r="Y51" s="1433">
        <v>0</v>
      </c>
      <c r="Z51" s="1433">
        <v>0</v>
      </c>
      <c r="AA51" s="1433">
        <v>0</v>
      </c>
      <c r="AB51" s="1433">
        <v>0</v>
      </c>
      <c r="AC51" s="1433">
        <v>0</v>
      </c>
      <c r="AD51" s="1433">
        <v>0</v>
      </c>
      <c r="AE51" s="1433">
        <v>0</v>
      </c>
      <c r="AF51" s="1433">
        <v>0</v>
      </c>
      <c r="AG51" s="1433">
        <v>0</v>
      </c>
      <c r="AH51" s="1433">
        <v>0</v>
      </c>
      <c r="AI51" s="1433">
        <v>0</v>
      </c>
      <c r="AJ51" s="1433">
        <v>0</v>
      </c>
      <c r="AK51" s="1433">
        <v>0</v>
      </c>
      <c r="AL51" s="1433">
        <v>0</v>
      </c>
      <c r="AM51" s="1433">
        <v>0</v>
      </c>
      <c r="AN51" s="1433">
        <v>1</v>
      </c>
      <c r="AO51" s="1433">
        <v>0</v>
      </c>
      <c r="AP51" s="1433">
        <v>1</v>
      </c>
      <c r="AQ51" s="1433">
        <v>0</v>
      </c>
      <c r="AR51" s="1433">
        <v>0</v>
      </c>
      <c r="AS51" s="1433">
        <v>0</v>
      </c>
      <c r="AT51" s="1433">
        <v>0</v>
      </c>
      <c r="AU51" s="1433">
        <v>0</v>
      </c>
      <c r="AV51" s="1433">
        <v>0</v>
      </c>
      <c r="AW51" s="1648">
        <f t="shared" si="2"/>
        <v>1</v>
      </c>
    </row>
    <row r="52" spans="3:49" x14ac:dyDescent="0.4">
      <c r="C52" s="115" t="s">
        <v>5770</v>
      </c>
      <c r="D52" s="1433">
        <v>4</v>
      </c>
      <c r="E52" s="1433">
        <v>2</v>
      </c>
      <c r="F52" s="1433">
        <v>6</v>
      </c>
      <c r="G52" s="1433">
        <v>5</v>
      </c>
      <c r="H52" s="1433">
        <v>3</v>
      </c>
      <c r="I52" s="1433">
        <v>8</v>
      </c>
      <c r="J52" s="1433">
        <v>1</v>
      </c>
      <c r="K52" s="1433">
        <v>1</v>
      </c>
      <c r="L52" s="1433">
        <v>2</v>
      </c>
      <c r="M52" s="1433">
        <v>1</v>
      </c>
      <c r="N52" s="1433">
        <v>2</v>
      </c>
      <c r="O52" s="1433">
        <v>3</v>
      </c>
      <c r="P52" s="1433">
        <v>19</v>
      </c>
      <c r="Q52" s="1433">
        <v>19</v>
      </c>
      <c r="R52" s="1433">
        <v>38</v>
      </c>
      <c r="S52" s="1433">
        <v>32</v>
      </c>
      <c r="T52" s="1433">
        <v>29</v>
      </c>
      <c r="U52" s="1433">
        <v>61</v>
      </c>
      <c r="V52" s="1433">
        <v>156</v>
      </c>
      <c r="W52" s="1433">
        <v>158</v>
      </c>
      <c r="X52" s="1433">
        <v>314</v>
      </c>
      <c r="Y52" s="1433">
        <v>41</v>
      </c>
      <c r="Z52" s="1433">
        <v>44</v>
      </c>
      <c r="AA52" s="1433">
        <v>85</v>
      </c>
      <c r="AB52" s="1433">
        <v>43</v>
      </c>
      <c r="AC52" s="1433">
        <v>64</v>
      </c>
      <c r="AD52" s="1433">
        <v>107</v>
      </c>
      <c r="AE52" s="1433">
        <v>60</v>
      </c>
      <c r="AF52" s="1433">
        <v>47</v>
      </c>
      <c r="AG52" s="1433">
        <v>107</v>
      </c>
      <c r="AH52" s="1433">
        <v>82</v>
      </c>
      <c r="AI52" s="1433">
        <v>93</v>
      </c>
      <c r="AJ52" s="1433">
        <v>175</v>
      </c>
      <c r="AK52" s="1433">
        <v>61</v>
      </c>
      <c r="AL52" s="1433">
        <v>69</v>
      </c>
      <c r="AM52" s="1433">
        <f t="shared" si="3"/>
        <v>130</v>
      </c>
      <c r="AN52" s="1433">
        <v>48</v>
      </c>
      <c r="AO52" s="1433">
        <v>50</v>
      </c>
      <c r="AP52" s="1433">
        <v>98</v>
      </c>
      <c r="AQ52" s="1647">
        <v>19</v>
      </c>
      <c r="AR52" s="1647">
        <v>20</v>
      </c>
      <c r="AS52" s="1647">
        <v>39</v>
      </c>
      <c r="AT52" s="1647">
        <v>0</v>
      </c>
      <c r="AU52" s="1647">
        <v>2</v>
      </c>
      <c r="AV52" s="1647">
        <v>2</v>
      </c>
      <c r="AW52" s="1648">
        <f t="shared" si="2"/>
        <v>1175</v>
      </c>
    </row>
    <row r="53" spans="3:49" x14ac:dyDescent="0.4">
      <c r="C53" s="115" t="s">
        <v>5771</v>
      </c>
      <c r="D53" s="1433">
        <v>0</v>
      </c>
      <c r="E53" s="1433">
        <v>0</v>
      </c>
      <c r="F53" s="1433">
        <v>0</v>
      </c>
      <c r="G53" s="1433">
        <v>0</v>
      </c>
      <c r="H53" s="1433">
        <v>0</v>
      </c>
      <c r="I53" s="1433">
        <v>0</v>
      </c>
      <c r="J53" s="1433">
        <v>0</v>
      </c>
      <c r="K53" s="1433">
        <v>0</v>
      </c>
      <c r="L53" s="1433">
        <v>0</v>
      </c>
      <c r="M53" s="1433">
        <v>0</v>
      </c>
      <c r="N53" s="1433">
        <v>0</v>
      </c>
      <c r="O53" s="1433">
        <v>0</v>
      </c>
      <c r="P53" s="1433">
        <v>0</v>
      </c>
      <c r="Q53" s="1433">
        <v>0</v>
      </c>
      <c r="R53" s="1433">
        <v>0</v>
      </c>
      <c r="S53" s="1433">
        <v>0</v>
      </c>
      <c r="T53" s="1433">
        <v>0</v>
      </c>
      <c r="U53" s="1433">
        <v>0</v>
      </c>
      <c r="V53" s="1433">
        <v>0</v>
      </c>
      <c r="W53" s="1433">
        <v>0</v>
      </c>
      <c r="X53" s="1433">
        <v>0</v>
      </c>
      <c r="Y53" s="1433">
        <v>0</v>
      </c>
      <c r="Z53" s="1433">
        <v>0</v>
      </c>
      <c r="AA53" s="1433">
        <v>0</v>
      </c>
      <c r="AB53" s="1433">
        <v>1</v>
      </c>
      <c r="AC53" s="1433">
        <v>0</v>
      </c>
      <c r="AD53" s="1433">
        <v>1</v>
      </c>
      <c r="AE53" s="1433">
        <v>3</v>
      </c>
      <c r="AF53" s="1433">
        <v>2</v>
      </c>
      <c r="AG53" s="1433">
        <v>5</v>
      </c>
      <c r="AH53" s="1433">
        <v>0</v>
      </c>
      <c r="AI53" s="1433">
        <v>0</v>
      </c>
      <c r="AJ53" s="1433">
        <v>0</v>
      </c>
      <c r="AK53" s="1433">
        <v>2</v>
      </c>
      <c r="AL53" s="1433">
        <v>0</v>
      </c>
      <c r="AM53" s="1433">
        <f t="shared" si="3"/>
        <v>2</v>
      </c>
      <c r="AN53" s="1433">
        <v>2</v>
      </c>
      <c r="AO53" s="1433">
        <v>3</v>
      </c>
      <c r="AP53" s="1433">
        <v>5</v>
      </c>
      <c r="AQ53" s="1433">
        <v>0</v>
      </c>
      <c r="AR53" s="1433">
        <v>0</v>
      </c>
      <c r="AS53" s="1433">
        <v>0</v>
      </c>
      <c r="AT53" s="1433">
        <v>0</v>
      </c>
      <c r="AU53" s="1433">
        <v>0</v>
      </c>
      <c r="AV53" s="1433">
        <v>0</v>
      </c>
      <c r="AW53" s="1648">
        <f t="shared" si="2"/>
        <v>13</v>
      </c>
    </row>
    <row r="54" spans="3:49" x14ac:dyDescent="0.4">
      <c r="C54" s="115" t="s">
        <v>5772</v>
      </c>
      <c r="D54" s="1433">
        <v>0</v>
      </c>
      <c r="E54" s="1433">
        <v>0</v>
      </c>
      <c r="F54" s="1433">
        <v>0</v>
      </c>
      <c r="G54" s="1433">
        <v>0</v>
      </c>
      <c r="H54" s="1433">
        <v>0</v>
      </c>
      <c r="I54" s="1433">
        <v>0</v>
      </c>
      <c r="J54" s="1433">
        <v>0</v>
      </c>
      <c r="K54" s="1433">
        <v>0</v>
      </c>
      <c r="L54" s="1433">
        <v>0</v>
      </c>
      <c r="M54" s="1433">
        <v>0</v>
      </c>
      <c r="N54" s="1433">
        <v>0</v>
      </c>
      <c r="O54" s="1433">
        <v>0</v>
      </c>
      <c r="P54" s="1433">
        <v>0</v>
      </c>
      <c r="Q54" s="1433">
        <v>0</v>
      </c>
      <c r="R54" s="1433">
        <v>0</v>
      </c>
      <c r="S54" s="1433">
        <v>0</v>
      </c>
      <c r="T54" s="1433">
        <v>0</v>
      </c>
      <c r="U54" s="1433">
        <v>0</v>
      </c>
      <c r="V54" s="1433">
        <v>0</v>
      </c>
      <c r="W54" s="1433">
        <v>0</v>
      </c>
      <c r="X54" s="1433">
        <v>0</v>
      </c>
      <c r="Y54" s="1433">
        <v>0</v>
      </c>
      <c r="Z54" s="1433">
        <v>0</v>
      </c>
      <c r="AA54" s="1433">
        <v>0</v>
      </c>
      <c r="AB54" s="1433">
        <v>0</v>
      </c>
      <c r="AC54" s="1433">
        <v>0</v>
      </c>
      <c r="AD54" s="1433">
        <v>0</v>
      </c>
      <c r="AE54" s="1433">
        <v>1</v>
      </c>
      <c r="AF54" s="1433">
        <v>1</v>
      </c>
      <c r="AG54" s="1433">
        <v>2</v>
      </c>
      <c r="AH54" s="1433">
        <v>1</v>
      </c>
      <c r="AI54" s="1433">
        <v>1</v>
      </c>
      <c r="AJ54" s="1433">
        <v>2</v>
      </c>
      <c r="AK54" s="1433">
        <v>0</v>
      </c>
      <c r="AL54" s="1433">
        <v>0</v>
      </c>
      <c r="AM54" s="1433">
        <f t="shared" si="3"/>
        <v>0</v>
      </c>
      <c r="AN54" s="1433">
        <v>0</v>
      </c>
      <c r="AO54" s="1433">
        <v>0</v>
      </c>
      <c r="AP54" s="1433">
        <v>0</v>
      </c>
      <c r="AQ54" s="1433">
        <v>0</v>
      </c>
      <c r="AR54" s="1433">
        <v>0</v>
      </c>
      <c r="AS54" s="1433">
        <v>0</v>
      </c>
      <c r="AT54" s="1433">
        <v>0</v>
      </c>
      <c r="AU54" s="1433">
        <v>0</v>
      </c>
      <c r="AV54" s="1433">
        <v>0</v>
      </c>
      <c r="AW54" s="1648">
        <f t="shared" si="2"/>
        <v>4</v>
      </c>
    </row>
    <row r="55" spans="3:49" x14ac:dyDescent="0.4">
      <c r="C55" s="115" t="s">
        <v>5773</v>
      </c>
      <c r="D55" s="1433">
        <v>0</v>
      </c>
      <c r="E55" s="1433">
        <v>0</v>
      </c>
      <c r="F55" s="1433">
        <v>0</v>
      </c>
      <c r="G55" s="1433">
        <v>0</v>
      </c>
      <c r="H55" s="1433">
        <v>0</v>
      </c>
      <c r="I55" s="1433">
        <v>0</v>
      </c>
      <c r="J55" s="1433">
        <v>0</v>
      </c>
      <c r="K55" s="1433">
        <v>0</v>
      </c>
      <c r="L55" s="1433">
        <v>0</v>
      </c>
      <c r="M55" s="1433">
        <v>0</v>
      </c>
      <c r="N55" s="1433">
        <v>0</v>
      </c>
      <c r="O55" s="1433">
        <v>0</v>
      </c>
      <c r="P55" s="1433">
        <v>0</v>
      </c>
      <c r="Q55" s="1433">
        <v>0</v>
      </c>
      <c r="R55" s="1433">
        <v>0</v>
      </c>
      <c r="S55" s="1433">
        <v>0</v>
      </c>
      <c r="T55" s="1433">
        <v>0</v>
      </c>
      <c r="U55" s="1433">
        <v>0</v>
      </c>
      <c r="V55" s="1433">
        <v>0</v>
      </c>
      <c r="W55" s="1433">
        <v>0</v>
      </c>
      <c r="X55" s="1433">
        <v>0</v>
      </c>
      <c r="Y55" s="1433">
        <v>1</v>
      </c>
      <c r="Z55" s="1433">
        <v>0</v>
      </c>
      <c r="AA55" s="1433">
        <v>1</v>
      </c>
      <c r="AB55" s="1433">
        <v>0</v>
      </c>
      <c r="AC55" s="1433">
        <v>0</v>
      </c>
      <c r="AD55" s="1433">
        <v>0</v>
      </c>
      <c r="AE55" s="1433">
        <v>0</v>
      </c>
      <c r="AF55" s="1433">
        <v>0</v>
      </c>
      <c r="AG55" s="1433">
        <v>0</v>
      </c>
      <c r="AH55" s="1433">
        <v>0</v>
      </c>
      <c r="AI55" s="1433">
        <v>0</v>
      </c>
      <c r="AJ55" s="1433">
        <v>0</v>
      </c>
      <c r="AK55" s="1433">
        <v>0</v>
      </c>
      <c r="AL55" s="1433">
        <v>0</v>
      </c>
      <c r="AM55" s="1433">
        <f t="shared" si="3"/>
        <v>0</v>
      </c>
      <c r="AN55" s="1433">
        <v>0</v>
      </c>
      <c r="AO55" s="1433">
        <v>0</v>
      </c>
      <c r="AP55" s="1433">
        <v>0</v>
      </c>
      <c r="AQ55" s="1433">
        <v>0</v>
      </c>
      <c r="AR55" s="1433">
        <v>0</v>
      </c>
      <c r="AS55" s="1433">
        <v>0</v>
      </c>
      <c r="AT55" s="1433">
        <v>0</v>
      </c>
      <c r="AU55" s="1433">
        <v>0</v>
      </c>
      <c r="AV55" s="1433">
        <v>0</v>
      </c>
      <c r="AW55" s="1648">
        <f t="shared" si="2"/>
        <v>1</v>
      </c>
    </row>
    <row r="56" spans="3:49" x14ac:dyDescent="0.4">
      <c r="C56" s="115" t="s">
        <v>5774</v>
      </c>
      <c r="D56" s="1433">
        <v>3</v>
      </c>
      <c r="E56" s="1433">
        <v>5</v>
      </c>
      <c r="F56" s="1433">
        <v>8</v>
      </c>
      <c r="G56" s="1433">
        <v>3</v>
      </c>
      <c r="H56" s="1433">
        <v>1</v>
      </c>
      <c r="I56" s="1433">
        <v>4</v>
      </c>
      <c r="J56" s="1433">
        <v>0</v>
      </c>
      <c r="K56" s="1433">
        <v>0</v>
      </c>
      <c r="L56" s="1433">
        <v>0</v>
      </c>
      <c r="M56" s="1433">
        <v>1</v>
      </c>
      <c r="N56" s="1433">
        <v>0</v>
      </c>
      <c r="O56" s="1433">
        <v>1</v>
      </c>
      <c r="P56" s="1433">
        <v>3</v>
      </c>
      <c r="Q56" s="1433">
        <v>1</v>
      </c>
      <c r="R56" s="1433">
        <v>4</v>
      </c>
      <c r="S56" s="1433">
        <v>1</v>
      </c>
      <c r="T56" s="1433">
        <v>1</v>
      </c>
      <c r="U56" s="1433">
        <v>2</v>
      </c>
      <c r="V56" s="1433">
        <v>2</v>
      </c>
      <c r="W56" s="1433">
        <v>0</v>
      </c>
      <c r="X56" s="1433">
        <v>2</v>
      </c>
      <c r="Y56" s="1433">
        <v>0</v>
      </c>
      <c r="Z56" s="1433">
        <v>0</v>
      </c>
      <c r="AA56" s="1433">
        <v>0</v>
      </c>
      <c r="AB56" s="1433">
        <v>0</v>
      </c>
      <c r="AC56" s="1433">
        <v>0</v>
      </c>
      <c r="AD56" s="1433">
        <v>0</v>
      </c>
      <c r="AE56" s="1433">
        <v>1</v>
      </c>
      <c r="AF56" s="1433">
        <v>3</v>
      </c>
      <c r="AG56" s="1433">
        <v>4</v>
      </c>
      <c r="AH56" s="1433">
        <v>1</v>
      </c>
      <c r="AI56" s="1433">
        <v>0</v>
      </c>
      <c r="AJ56" s="1433">
        <v>1</v>
      </c>
      <c r="AK56" s="1433">
        <v>0</v>
      </c>
      <c r="AL56" s="1433">
        <v>0</v>
      </c>
      <c r="AM56" s="1433">
        <f t="shared" si="3"/>
        <v>0</v>
      </c>
      <c r="AN56" s="1433">
        <v>1</v>
      </c>
      <c r="AO56" s="1433">
        <v>0</v>
      </c>
      <c r="AP56" s="1433">
        <v>1</v>
      </c>
      <c r="AQ56" s="1647">
        <v>0</v>
      </c>
      <c r="AR56" s="1647">
        <v>0</v>
      </c>
      <c r="AS56" s="1647">
        <v>0</v>
      </c>
      <c r="AT56" s="1647">
        <v>1</v>
      </c>
      <c r="AU56" s="1647">
        <v>0</v>
      </c>
      <c r="AV56" s="1647">
        <v>1</v>
      </c>
      <c r="AW56" s="1648">
        <f t="shared" si="2"/>
        <v>28</v>
      </c>
    </row>
    <row r="57" spans="3:49" x14ac:dyDescent="0.4">
      <c r="C57" s="115" t="s">
        <v>5775</v>
      </c>
      <c r="D57" s="1433">
        <v>0</v>
      </c>
      <c r="E57" s="1433">
        <v>0</v>
      </c>
      <c r="F57" s="1433">
        <v>0</v>
      </c>
      <c r="G57" s="1433">
        <v>0</v>
      </c>
      <c r="H57" s="1433">
        <v>0</v>
      </c>
      <c r="I57" s="1433">
        <v>0</v>
      </c>
      <c r="J57" s="1433">
        <v>0</v>
      </c>
      <c r="K57" s="1433">
        <v>0</v>
      </c>
      <c r="L57" s="1433">
        <v>0</v>
      </c>
      <c r="M57" s="1433">
        <v>0</v>
      </c>
      <c r="N57" s="1433">
        <v>0</v>
      </c>
      <c r="O57" s="1433">
        <v>0</v>
      </c>
      <c r="P57" s="1433">
        <v>0</v>
      </c>
      <c r="Q57" s="1433">
        <v>0</v>
      </c>
      <c r="R57" s="1433">
        <v>0</v>
      </c>
      <c r="S57" s="1433">
        <v>0</v>
      </c>
      <c r="T57" s="1433">
        <v>0</v>
      </c>
      <c r="U57" s="1433">
        <v>0</v>
      </c>
      <c r="V57" s="1433">
        <v>0</v>
      </c>
      <c r="W57" s="1433">
        <v>0</v>
      </c>
      <c r="X57" s="1433">
        <v>0</v>
      </c>
      <c r="Y57" s="1433">
        <v>0</v>
      </c>
      <c r="Z57" s="1433">
        <v>0</v>
      </c>
      <c r="AA57" s="1433">
        <v>0</v>
      </c>
      <c r="AB57" s="1433">
        <v>1</v>
      </c>
      <c r="AC57" s="1433">
        <v>1</v>
      </c>
      <c r="AD57" s="1433">
        <v>2</v>
      </c>
      <c r="AE57" s="1433">
        <v>0</v>
      </c>
      <c r="AF57" s="1433">
        <v>0</v>
      </c>
      <c r="AG57" s="1433">
        <v>0</v>
      </c>
      <c r="AH57" s="1433">
        <v>0</v>
      </c>
      <c r="AI57" s="1433">
        <v>0</v>
      </c>
      <c r="AJ57" s="1433">
        <v>0</v>
      </c>
      <c r="AK57" s="1433">
        <v>0</v>
      </c>
      <c r="AL57" s="1433">
        <v>0</v>
      </c>
      <c r="AM57" s="1433">
        <f t="shared" si="3"/>
        <v>0</v>
      </c>
      <c r="AN57" s="1433">
        <v>1</v>
      </c>
      <c r="AO57" s="1433">
        <v>0</v>
      </c>
      <c r="AP57" s="1433">
        <v>1</v>
      </c>
      <c r="AQ57" s="1647">
        <v>0</v>
      </c>
      <c r="AR57" s="1647">
        <v>2</v>
      </c>
      <c r="AS57" s="1647">
        <v>2</v>
      </c>
      <c r="AT57" s="1647">
        <v>0</v>
      </c>
      <c r="AU57" s="1647">
        <v>0</v>
      </c>
      <c r="AV57" s="1433">
        <v>0</v>
      </c>
      <c r="AW57" s="1648">
        <f t="shared" si="2"/>
        <v>5</v>
      </c>
    </row>
    <row r="58" spans="3:49" x14ac:dyDescent="0.4">
      <c r="C58" s="115" t="s">
        <v>5776</v>
      </c>
      <c r="D58" s="1433">
        <v>3</v>
      </c>
      <c r="E58" s="1433">
        <v>2</v>
      </c>
      <c r="F58" s="1433">
        <v>5</v>
      </c>
      <c r="G58" s="1433">
        <v>15</v>
      </c>
      <c r="H58" s="1433">
        <v>16</v>
      </c>
      <c r="I58" s="1433">
        <v>31</v>
      </c>
      <c r="J58" s="1433">
        <v>0</v>
      </c>
      <c r="K58" s="1433">
        <v>0</v>
      </c>
      <c r="L58" s="1433">
        <v>0</v>
      </c>
      <c r="M58" s="1433">
        <v>3</v>
      </c>
      <c r="N58" s="1433">
        <v>4</v>
      </c>
      <c r="O58" s="1433">
        <v>7</v>
      </c>
      <c r="P58" s="1433">
        <v>7</v>
      </c>
      <c r="Q58" s="1433">
        <v>3</v>
      </c>
      <c r="R58" s="1433">
        <v>10</v>
      </c>
      <c r="S58" s="1433">
        <v>6</v>
      </c>
      <c r="T58" s="1433">
        <v>5</v>
      </c>
      <c r="U58" s="1433">
        <v>11</v>
      </c>
      <c r="V58" s="1433">
        <v>14</v>
      </c>
      <c r="W58" s="1433">
        <v>13</v>
      </c>
      <c r="X58" s="1433">
        <v>27</v>
      </c>
      <c r="Y58" s="1433">
        <v>12</v>
      </c>
      <c r="Z58" s="1433">
        <v>10</v>
      </c>
      <c r="AA58" s="1433">
        <v>22</v>
      </c>
      <c r="AB58" s="1433">
        <v>4</v>
      </c>
      <c r="AC58" s="1433">
        <v>3</v>
      </c>
      <c r="AD58" s="1433">
        <v>7</v>
      </c>
      <c r="AE58" s="1433">
        <v>7</v>
      </c>
      <c r="AF58" s="1433">
        <v>12</v>
      </c>
      <c r="AG58" s="1433">
        <v>19</v>
      </c>
      <c r="AH58" s="1433">
        <v>6</v>
      </c>
      <c r="AI58" s="1433">
        <v>9</v>
      </c>
      <c r="AJ58" s="1433">
        <v>15</v>
      </c>
      <c r="AK58" s="1433">
        <v>2</v>
      </c>
      <c r="AL58" s="1433">
        <v>1</v>
      </c>
      <c r="AM58" s="1433">
        <f t="shared" si="3"/>
        <v>3</v>
      </c>
      <c r="AN58" s="1433">
        <v>13</v>
      </c>
      <c r="AO58" s="1433">
        <v>13</v>
      </c>
      <c r="AP58" s="1433">
        <v>26</v>
      </c>
      <c r="AQ58" s="1647">
        <v>16</v>
      </c>
      <c r="AR58" s="1647">
        <v>12</v>
      </c>
      <c r="AS58" s="1647">
        <v>28</v>
      </c>
      <c r="AT58" s="1647">
        <v>2</v>
      </c>
      <c r="AU58" s="1647">
        <v>2</v>
      </c>
      <c r="AV58" s="1647">
        <v>4</v>
      </c>
      <c r="AW58" s="1648">
        <f t="shared" si="2"/>
        <v>215</v>
      </c>
    </row>
    <row r="59" spans="3:49" x14ac:dyDescent="0.4">
      <c r="C59" s="115" t="s">
        <v>5777</v>
      </c>
      <c r="D59" s="1433">
        <v>0</v>
      </c>
      <c r="E59" s="1433">
        <v>0</v>
      </c>
      <c r="F59" s="1433">
        <v>0</v>
      </c>
      <c r="G59" s="1433">
        <v>0</v>
      </c>
      <c r="H59" s="1433">
        <v>0</v>
      </c>
      <c r="I59" s="1433">
        <v>0</v>
      </c>
      <c r="J59" s="1433">
        <v>0</v>
      </c>
      <c r="K59" s="1433">
        <v>0</v>
      </c>
      <c r="L59" s="1433">
        <v>0</v>
      </c>
      <c r="M59" s="1433">
        <v>0</v>
      </c>
      <c r="N59" s="1433">
        <v>0</v>
      </c>
      <c r="O59" s="1433">
        <v>0</v>
      </c>
      <c r="P59" s="1433">
        <v>0</v>
      </c>
      <c r="Q59" s="1433">
        <v>0</v>
      </c>
      <c r="R59" s="1433">
        <v>0</v>
      </c>
      <c r="S59" s="1433">
        <v>1</v>
      </c>
      <c r="T59" s="1433">
        <v>0</v>
      </c>
      <c r="U59" s="1433">
        <v>1</v>
      </c>
      <c r="V59" s="1433">
        <v>0</v>
      </c>
      <c r="W59" s="1433">
        <v>0</v>
      </c>
      <c r="X59" s="1433">
        <v>0</v>
      </c>
      <c r="Y59" s="1433">
        <v>0</v>
      </c>
      <c r="Z59" s="1433">
        <v>0</v>
      </c>
      <c r="AA59" s="1433">
        <v>0</v>
      </c>
      <c r="AB59" s="1433">
        <v>0</v>
      </c>
      <c r="AC59" s="1433">
        <v>0</v>
      </c>
      <c r="AD59" s="1433">
        <v>0</v>
      </c>
      <c r="AE59" s="1433">
        <v>0</v>
      </c>
      <c r="AF59" s="1433">
        <v>0</v>
      </c>
      <c r="AG59" s="1433">
        <v>0</v>
      </c>
      <c r="AH59" s="1433">
        <v>0</v>
      </c>
      <c r="AI59" s="1433">
        <v>0</v>
      </c>
      <c r="AJ59" s="1433">
        <v>0</v>
      </c>
      <c r="AK59" s="1433">
        <v>0</v>
      </c>
      <c r="AL59" s="1433">
        <v>0</v>
      </c>
      <c r="AM59" s="1433">
        <f t="shared" si="3"/>
        <v>0</v>
      </c>
      <c r="AN59" s="1433">
        <v>0</v>
      </c>
      <c r="AO59" s="1433">
        <v>0</v>
      </c>
      <c r="AP59" s="1433">
        <v>0</v>
      </c>
      <c r="AQ59" s="1433">
        <v>0</v>
      </c>
      <c r="AR59" s="1433">
        <v>0</v>
      </c>
      <c r="AS59" s="1433">
        <v>0</v>
      </c>
      <c r="AT59" s="1433">
        <v>0</v>
      </c>
      <c r="AU59" s="1433">
        <v>0</v>
      </c>
      <c r="AV59" s="1433">
        <v>0</v>
      </c>
      <c r="AW59" s="1648">
        <f t="shared" si="2"/>
        <v>1</v>
      </c>
    </row>
    <row r="60" spans="3:49" x14ac:dyDescent="0.4">
      <c r="C60" s="115" t="s">
        <v>5778</v>
      </c>
      <c r="D60" s="1433">
        <v>0</v>
      </c>
      <c r="E60" s="1433">
        <v>0</v>
      </c>
      <c r="F60" s="1433">
        <v>0</v>
      </c>
      <c r="G60" s="1433">
        <v>2</v>
      </c>
      <c r="H60" s="1433">
        <v>0</v>
      </c>
      <c r="I60" s="1433">
        <v>2</v>
      </c>
      <c r="J60" s="1433">
        <v>0</v>
      </c>
      <c r="K60" s="1433">
        <v>0</v>
      </c>
      <c r="L60" s="1433">
        <v>0</v>
      </c>
      <c r="M60" s="1433">
        <v>0</v>
      </c>
      <c r="N60" s="1433">
        <v>0</v>
      </c>
      <c r="O60" s="1433">
        <v>0</v>
      </c>
      <c r="P60" s="1433">
        <v>0</v>
      </c>
      <c r="Q60" s="1433">
        <v>0</v>
      </c>
      <c r="R60" s="1433">
        <v>0</v>
      </c>
      <c r="S60" s="1433">
        <v>0</v>
      </c>
      <c r="T60" s="1433">
        <v>0</v>
      </c>
      <c r="U60" s="1433">
        <v>0</v>
      </c>
      <c r="V60" s="1433">
        <v>0</v>
      </c>
      <c r="W60" s="1433">
        <v>0</v>
      </c>
      <c r="X60" s="1433">
        <v>0</v>
      </c>
      <c r="Y60" s="1433">
        <v>1</v>
      </c>
      <c r="Z60" s="1433">
        <v>0</v>
      </c>
      <c r="AA60" s="1433">
        <v>1</v>
      </c>
      <c r="AB60" s="1433">
        <v>0</v>
      </c>
      <c r="AC60" s="1433">
        <v>0</v>
      </c>
      <c r="AD60" s="1433">
        <v>0</v>
      </c>
      <c r="AE60" s="1433">
        <v>0</v>
      </c>
      <c r="AF60" s="1433">
        <v>0</v>
      </c>
      <c r="AG60" s="1433">
        <v>0</v>
      </c>
      <c r="AH60" s="1433">
        <v>0</v>
      </c>
      <c r="AI60" s="1433">
        <v>0</v>
      </c>
      <c r="AJ60" s="1433">
        <v>0</v>
      </c>
      <c r="AK60" s="1433">
        <v>0</v>
      </c>
      <c r="AL60" s="1433">
        <v>0</v>
      </c>
      <c r="AM60" s="1433">
        <f t="shared" si="3"/>
        <v>0</v>
      </c>
      <c r="AN60" s="1433">
        <v>0</v>
      </c>
      <c r="AO60" s="1433">
        <v>0</v>
      </c>
      <c r="AP60" s="1433">
        <v>0</v>
      </c>
      <c r="AQ60" s="1433">
        <v>0</v>
      </c>
      <c r="AR60" s="1433">
        <v>0</v>
      </c>
      <c r="AS60" s="1433">
        <v>0</v>
      </c>
      <c r="AT60" s="1433">
        <v>0</v>
      </c>
      <c r="AU60" s="1433">
        <v>0</v>
      </c>
      <c r="AV60" s="1433">
        <v>0</v>
      </c>
      <c r="AW60" s="1648">
        <f t="shared" si="2"/>
        <v>3</v>
      </c>
    </row>
    <row r="61" spans="3:49" x14ac:dyDescent="0.4">
      <c r="C61" s="115" t="s">
        <v>5779</v>
      </c>
      <c r="D61" s="1433">
        <v>0</v>
      </c>
      <c r="E61" s="1433">
        <v>0</v>
      </c>
      <c r="F61" s="1433">
        <v>0</v>
      </c>
      <c r="G61" s="1433">
        <v>0</v>
      </c>
      <c r="H61" s="1433">
        <v>0</v>
      </c>
      <c r="I61" s="1433">
        <v>0</v>
      </c>
      <c r="J61" s="1433">
        <v>0</v>
      </c>
      <c r="K61" s="1433">
        <v>0</v>
      </c>
      <c r="L61" s="1433">
        <v>0</v>
      </c>
      <c r="M61" s="1433">
        <v>0</v>
      </c>
      <c r="N61" s="1433">
        <v>0</v>
      </c>
      <c r="O61" s="1433">
        <v>0</v>
      </c>
      <c r="P61" s="1433">
        <v>0</v>
      </c>
      <c r="Q61" s="1433">
        <v>0</v>
      </c>
      <c r="R61" s="1433">
        <v>0</v>
      </c>
      <c r="S61" s="1433">
        <v>1</v>
      </c>
      <c r="T61" s="1433">
        <v>0</v>
      </c>
      <c r="U61" s="1433">
        <v>1</v>
      </c>
      <c r="V61" s="1433">
        <v>0</v>
      </c>
      <c r="W61" s="1433">
        <v>1</v>
      </c>
      <c r="X61" s="1433">
        <v>1</v>
      </c>
      <c r="Y61" s="1433">
        <v>0</v>
      </c>
      <c r="Z61" s="1433">
        <v>0</v>
      </c>
      <c r="AA61" s="1433">
        <v>0</v>
      </c>
      <c r="AB61" s="1433">
        <v>0</v>
      </c>
      <c r="AC61" s="1433">
        <v>0</v>
      </c>
      <c r="AD61" s="1433">
        <v>0</v>
      </c>
      <c r="AE61" s="1433">
        <v>0</v>
      </c>
      <c r="AF61" s="1433">
        <v>0</v>
      </c>
      <c r="AG61" s="1433">
        <v>0</v>
      </c>
      <c r="AH61" s="1433">
        <v>0</v>
      </c>
      <c r="AI61" s="1433">
        <v>0</v>
      </c>
      <c r="AJ61" s="1433">
        <v>0</v>
      </c>
      <c r="AK61" s="1433">
        <v>0</v>
      </c>
      <c r="AL61" s="1433">
        <v>0</v>
      </c>
      <c r="AM61" s="1433">
        <f t="shared" si="3"/>
        <v>0</v>
      </c>
      <c r="AN61" s="1433">
        <v>0</v>
      </c>
      <c r="AO61" s="1433">
        <v>0</v>
      </c>
      <c r="AP61" s="1433">
        <v>0</v>
      </c>
      <c r="AQ61" s="1647">
        <v>0</v>
      </c>
      <c r="AR61" s="1647">
        <v>2</v>
      </c>
      <c r="AS61" s="1647">
        <v>2</v>
      </c>
      <c r="AT61" s="1647">
        <v>0</v>
      </c>
      <c r="AU61" s="1647">
        <v>0</v>
      </c>
      <c r="AV61" s="1433">
        <v>0</v>
      </c>
      <c r="AW61" s="1648">
        <f t="shared" si="2"/>
        <v>4</v>
      </c>
    </row>
    <row r="62" spans="3:49" x14ac:dyDescent="0.4">
      <c r="C62" s="115" t="s">
        <v>5780</v>
      </c>
      <c r="D62" s="1433">
        <v>0</v>
      </c>
      <c r="E62" s="1433">
        <v>0</v>
      </c>
      <c r="F62" s="1433">
        <v>0</v>
      </c>
      <c r="G62" s="1433">
        <v>1</v>
      </c>
      <c r="H62" s="1433">
        <v>0</v>
      </c>
      <c r="I62" s="1433">
        <v>1</v>
      </c>
      <c r="J62" s="1433">
        <v>0</v>
      </c>
      <c r="K62" s="1433">
        <v>0</v>
      </c>
      <c r="L62" s="1433">
        <v>0</v>
      </c>
      <c r="M62" s="1433">
        <v>0</v>
      </c>
      <c r="N62" s="1433">
        <v>0</v>
      </c>
      <c r="O62" s="1433">
        <v>0</v>
      </c>
      <c r="P62" s="1433">
        <v>0</v>
      </c>
      <c r="Q62" s="1433">
        <v>0</v>
      </c>
      <c r="R62" s="1433">
        <v>0</v>
      </c>
      <c r="S62" s="1433">
        <v>0</v>
      </c>
      <c r="T62" s="1433">
        <v>0</v>
      </c>
      <c r="U62" s="1433">
        <v>0</v>
      </c>
      <c r="V62" s="1433">
        <v>0</v>
      </c>
      <c r="W62" s="1433">
        <v>0</v>
      </c>
      <c r="X62" s="1433">
        <v>0</v>
      </c>
      <c r="Y62" s="1433">
        <v>0</v>
      </c>
      <c r="Z62" s="1433">
        <v>0</v>
      </c>
      <c r="AA62" s="1433">
        <v>0</v>
      </c>
      <c r="AB62" s="1433">
        <v>0</v>
      </c>
      <c r="AC62" s="1433">
        <v>0</v>
      </c>
      <c r="AD62" s="1433">
        <v>0</v>
      </c>
      <c r="AE62" s="1433">
        <v>0</v>
      </c>
      <c r="AF62" s="1433">
        <v>0</v>
      </c>
      <c r="AG62" s="1433">
        <v>0</v>
      </c>
      <c r="AH62" s="1433">
        <v>2</v>
      </c>
      <c r="AI62" s="1433">
        <v>3</v>
      </c>
      <c r="AJ62" s="1433">
        <v>5</v>
      </c>
      <c r="AK62" s="1433">
        <v>0</v>
      </c>
      <c r="AL62" s="1433">
        <v>0</v>
      </c>
      <c r="AM62" s="1433">
        <f t="shared" si="3"/>
        <v>0</v>
      </c>
      <c r="AN62" s="1433">
        <v>0</v>
      </c>
      <c r="AO62" s="1433">
        <v>0</v>
      </c>
      <c r="AP62" s="1433">
        <v>0</v>
      </c>
      <c r="AQ62" s="1647">
        <v>1</v>
      </c>
      <c r="AR62" s="1647">
        <v>1</v>
      </c>
      <c r="AS62" s="1647">
        <v>2</v>
      </c>
      <c r="AT62" s="1647">
        <v>1</v>
      </c>
      <c r="AU62" s="1647">
        <v>0</v>
      </c>
      <c r="AV62" s="1647">
        <v>1</v>
      </c>
      <c r="AW62" s="1648">
        <f t="shared" si="2"/>
        <v>9</v>
      </c>
    </row>
    <row r="63" spans="3:49" x14ac:dyDescent="0.4">
      <c r="C63" s="115" t="s">
        <v>5781</v>
      </c>
      <c r="D63" s="1433">
        <v>0</v>
      </c>
      <c r="E63" s="1433">
        <v>1</v>
      </c>
      <c r="F63" s="1433">
        <v>1</v>
      </c>
      <c r="G63" s="1433">
        <v>1</v>
      </c>
      <c r="H63" s="1433">
        <v>0</v>
      </c>
      <c r="I63" s="1433">
        <v>1</v>
      </c>
      <c r="J63" s="1433">
        <v>0</v>
      </c>
      <c r="K63" s="1433">
        <v>2</v>
      </c>
      <c r="L63" s="1433">
        <v>2</v>
      </c>
      <c r="M63" s="1433">
        <v>0</v>
      </c>
      <c r="N63" s="1433">
        <v>0</v>
      </c>
      <c r="O63" s="1433">
        <v>0</v>
      </c>
      <c r="P63" s="1433">
        <v>0</v>
      </c>
      <c r="Q63" s="1433">
        <v>0</v>
      </c>
      <c r="R63" s="1433">
        <v>0</v>
      </c>
      <c r="S63" s="1433">
        <v>0</v>
      </c>
      <c r="T63" s="1433">
        <v>4</v>
      </c>
      <c r="U63" s="1433">
        <v>4</v>
      </c>
      <c r="V63" s="1433">
        <v>2</v>
      </c>
      <c r="W63" s="1433">
        <v>4</v>
      </c>
      <c r="X63" s="1433">
        <v>6</v>
      </c>
      <c r="Y63" s="1433">
        <v>1</v>
      </c>
      <c r="Z63" s="1433">
        <v>2</v>
      </c>
      <c r="AA63" s="1433">
        <v>3</v>
      </c>
      <c r="AB63" s="1433">
        <v>4</v>
      </c>
      <c r="AC63" s="1433">
        <v>2</v>
      </c>
      <c r="AD63" s="1433">
        <v>6</v>
      </c>
      <c r="AE63" s="1433">
        <v>368</v>
      </c>
      <c r="AF63" s="1433">
        <v>283</v>
      </c>
      <c r="AG63" s="1433">
        <v>651</v>
      </c>
      <c r="AH63" s="1433">
        <v>1097</v>
      </c>
      <c r="AI63" s="1433">
        <v>718</v>
      </c>
      <c r="AJ63" s="1433">
        <v>1815</v>
      </c>
      <c r="AK63" s="1433">
        <v>198</v>
      </c>
      <c r="AL63" s="1433">
        <v>150</v>
      </c>
      <c r="AM63" s="1433">
        <f t="shared" si="3"/>
        <v>348</v>
      </c>
      <c r="AN63" s="1433">
        <v>1333</v>
      </c>
      <c r="AO63" s="1433">
        <v>944</v>
      </c>
      <c r="AP63" s="1433">
        <v>2277</v>
      </c>
      <c r="AQ63" s="1647">
        <v>1335</v>
      </c>
      <c r="AR63" s="1647">
        <v>1105</v>
      </c>
      <c r="AS63" s="1647">
        <v>2440</v>
      </c>
      <c r="AT63" s="1647">
        <v>373</v>
      </c>
      <c r="AU63" s="1647">
        <v>288</v>
      </c>
      <c r="AV63" s="1647">
        <v>661</v>
      </c>
      <c r="AW63" s="1648">
        <f t="shared" si="2"/>
        <v>8215</v>
      </c>
    </row>
    <row r="64" spans="3:49" x14ac:dyDescent="0.4">
      <c r="C64" s="115" t="s">
        <v>5782</v>
      </c>
      <c r="D64" s="1433">
        <v>0</v>
      </c>
      <c r="E64" s="1433">
        <v>0</v>
      </c>
      <c r="F64" s="1433">
        <v>0</v>
      </c>
      <c r="G64" s="1433">
        <v>6</v>
      </c>
      <c r="H64" s="1433">
        <v>1</v>
      </c>
      <c r="I64" s="1433">
        <v>7</v>
      </c>
      <c r="J64" s="1433">
        <v>1</v>
      </c>
      <c r="K64" s="1433">
        <v>0</v>
      </c>
      <c r="L64" s="1433">
        <v>1</v>
      </c>
      <c r="M64" s="1433">
        <v>1</v>
      </c>
      <c r="N64" s="1433">
        <v>0</v>
      </c>
      <c r="O64" s="1433">
        <v>1</v>
      </c>
      <c r="P64" s="1433">
        <v>0</v>
      </c>
      <c r="Q64" s="1433">
        <v>0</v>
      </c>
      <c r="R64" s="1433">
        <v>0</v>
      </c>
      <c r="S64" s="1433">
        <v>3</v>
      </c>
      <c r="T64" s="1433">
        <v>0</v>
      </c>
      <c r="U64" s="1433">
        <v>3</v>
      </c>
      <c r="V64" s="1433">
        <v>0</v>
      </c>
      <c r="W64" s="1433">
        <v>0</v>
      </c>
      <c r="X64" s="1433">
        <v>0</v>
      </c>
      <c r="Y64" s="1433">
        <v>0</v>
      </c>
      <c r="Z64" s="1433">
        <v>0</v>
      </c>
      <c r="AA64" s="1433">
        <v>0</v>
      </c>
      <c r="AB64" s="1433">
        <v>0</v>
      </c>
      <c r="AC64" s="1433">
        <v>0</v>
      </c>
      <c r="AD64" s="1433">
        <v>0</v>
      </c>
      <c r="AE64" s="1433">
        <v>0</v>
      </c>
      <c r="AF64" s="1433">
        <v>0</v>
      </c>
      <c r="AG64" s="1433">
        <v>0</v>
      </c>
      <c r="AH64" s="1433">
        <v>0</v>
      </c>
      <c r="AI64" s="1433">
        <v>0</v>
      </c>
      <c r="AJ64" s="1433">
        <v>0</v>
      </c>
      <c r="AK64" s="1433">
        <v>0</v>
      </c>
      <c r="AL64" s="1433">
        <v>0</v>
      </c>
      <c r="AM64" s="1433">
        <f t="shared" si="3"/>
        <v>0</v>
      </c>
      <c r="AN64" s="1433">
        <f t="shared" si="3"/>
        <v>0</v>
      </c>
      <c r="AO64" s="1433">
        <f t="shared" si="3"/>
        <v>0</v>
      </c>
      <c r="AP64" s="1433">
        <f t="shared" si="3"/>
        <v>0</v>
      </c>
      <c r="AQ64" s="1433">
        <v>0</v>
      </c>
      <c r="AR64" s="1433">
        <v>0</v>
      </c>
      <c r="AS64" s="1433">
        <v>0</v>
      </c>
      <c r="AT64" s="1433">
        <v>0</v>
      </c>
      <c r="AU64" s="1433">
        <v>0</v>
      </c>
      <c r="AV64" s="1433">
        <v>0</v>
      </c>
      <c r="AW64" s="1648">
        <f t="shared" si="2"/>
        <v>12</v>
      </c>
    </row>
    <row r="65" spans="3:49" x14ac:dyDescent="0.4">
      <c r="C65" s="115" t="s">
        <v>5783</v>
      </c>
      <c r="D65" s="1433">
        <v>0</v>
      </c>
      <c r="E65" s="1433">
        <v>0</v>
      </c>
      <c r="F65" s="1433">
        <v>0</v>
      </c>
      <c r="G65" s="1433">
        <v>0</v>
      </c>
      <c r="H65" s="1433">
        <v>0</v>
      </c>
      <c r="I65" s="1433">
        <v>0</v>
      </c>
      <c r="J65" s="1433">
        <v>0</v>
      </c>
      <c r="K65" s="1433">
        <v>0</v>
      </c>
      <c r="L65" s="1433">
        <v>0</v>
      </c>
      <c r="M65" s="1433">
        <v>0</v>
      </c>
      <c r="N65" s="1433">
        <v>0</v>
      </c>
      <c r="O65" s="1433">
        <v>0</v>
      </c>
      <c r="P65" s="1433">
        <v>0</v>
      </c>
      <c r="Q65" s="1433">
        <v>0</v>
      </c>
      <c r="R65" s="1433">
        <v>0</v>
      </c>
      <c r="S65" s="1433">
        <v>0</v>
      </c>
      <c r="T65" s="1433">
        <v>0</v>
      </c>
      <c r="U65" s="1433">
        <v>0</v>
      </c>
      <c r="V65" s="1433">
        <v>0</v>
      </c>
      <c r="W65" s="1433">
        <v>0</v>
      </c>
      <c r="X65" s="1433">
        <v>0</v>
      </c>
      <c r="Y65" s="1433">
        <v>0</v>
      </c>
      <c r="Z65" s="1433">
        <v>0</v>
      </c>
      <c r="AA65" s="1433">
        <v>0</v>
      </c>
      <c r="AB65" s="1433">
        <v>1</v>
      </c>
      <c r="AC65" s="1433">
        <v>0</v>
      </c>
      <c r="AD65" s="1433">
        <v>1</v>
      </c>
      <c r="AE65" s="1433">
        <v>0</v>
      </c>
      <c r="AF65" s="1433">
        <v>0</v>
      </c>
      <c r="AG65" s="1433">
        <v>0</v>
      </c>
      <c r="AH65" s="1433">
        <v>0</v>
      </c>
      <c r="AI65" s="1433">
        <v>0</v>
      </c>
      <c r="AJ65" s="1433">
        <v>0</v>
      </c>
      <c r="AK65" s="1433">
        <v>0</v>
      </c>
      <c r="AL65" s="1433">
        <v>0</v>
      </c>
      <c r="AM65" s="1433">
        <f t="shared" si="3"/>
        <v>0</v>
      </c>
      <c r="AN65" s="1433">
        <f t="shared" si="3"/>
        <v>0</v>
      </c>
      <c r="AO65" s="1433">
        <f t="shared" si="3"/>
        <v>0</v>
      </c>
      <c r="AP65" s="1433">
        <f t="shared" si="3"/>
        <v>0</v>
      </c>
      <c r="AQ65" s="1433">
        <v>0</v>
      </c>
      <c r="AR65" s="1433">
        <v>0</v>
      </c>
      <c r="AS65" s="1433">
        <v>0</v>
      </c>
      <c r="AT65" s="1433">
        <v>0</v>
      </c>
      <c r="AU65" s="1433">
        <v>0</v>
      </c>
      <c r="AV65" s="1433">
        <v>0</v>
      </c>
      <c r="AW65" s="1648">
        <f t="shared" si="2"/>
        <v>1</v>
      </c>
    </row>
    <row r="66" spans="3:49" x14ac:dyDescent="0.4">
      <c r="C66" s="115" t="s">
        <v>5784</v>
      </c>
      <c r="D66" s="1433">
        <v>0</v>
      </c>
      <c r="E66" s="1433">
        <v>0</v>
      </c>
      <c r="F66" s="1433">
        <v>0</v>
      </c>
      <c r="G66" s="1433">
        <v>0</v>
      </c>
      <c r="H66" s="1433">
        <v>0</v>
      </c>
      <c r="I66" s="1433">
        <v>0</v>
      </c>
      <c r="J66" s="1433">
        <v>0</v>
      </c>
      <c r="K66" s="1433">
        <v>0</v>
      </c>
      <c r="L66" s="1433">
        <v>0</v>
      </c>
      <c r="M66" s="1433">
        <v>0</v>
      </c>
      <c r="N66" s="1433">
        <v>0</v>
      </c>
      <c r="O66" s="1433">
        <v>0</v>
      </c>
      <c r="P66" s="1433">
        <v>0</v>
      </c>
      <c r="Q66" s="1433">
        <v>0</v>
      </c>
      <c r="R66" s="1433">
        <v>0</v>
      </c>
      <c r="S66" s="1433">
        <v>0</v>
      </c>
      <c r="T66" s="1433">
        <v>0</v>
      </c>
      <c r="U66" s="1433">
        <v>0</v>
      </c>
      <c r="V66" s="1433">
        <v>1</v>
      </c>
      <c r="W66" s="1433">
        <v>0</v>
      </c>
      <c r="X66" s="1433">
        <v>1</v>
      </c>
      <c r="Y66" s="1433">
        <v>0</v>
      </c>
      <c r="Z66" s="1433">
        <v>1</v>
      </c>
      <c r="AA66" s="1433">
        <v>1</v>
      </c>
      <c r="AB66" s="1433">
        <v>0</v>
      </c>
      <c r="AC66" s="1433">
        <v>1</v>
      </c>
      <c r="AD66" s="1433">
        <v>1</v>
      </c>
      <c r="AE66" s="1433">
        <v>0</v>
      </c>
      <c r="AF66" s="1433">
        <v>0</v>
      </c>
      <c r="AG66" s="1433">
        <v>0</v>
      </c>
      <c r="AH66" s="1433">
        <v>0</v>
      </c>
      <c r="AI66" s="1433">
        <v>0</v>
      </c>
      <c r="AJ66" s="1433">
        <v>0</v>
      </c>
      <c r="AK66" s="1433">
        <v>1</v>
      </c>
      <c r="AL66" s="1433">
        <v>0</v>
      </c>
      <c r="AM66" s="1433">
        <f t="shared" si="3"/>
        <v>1</v>
      </c>
      <c r="AN66" s="1433">
        <v>1</v>
      </c>
      <c r="AO66" s="1433">
        <v>0</v>
      </c>
      <c r="AP66" s="1433">
        <v>1</v>
      </c>
      <c r="AQ66" s="1433">
        <v>0</v>
      </c>
      <c r="AR66" s="1433">
        <v>0</v>
      </c>
      <c r="AS66" s="1433">
        <v>0</v>
      </c>
      <c r="AT66" s="1433">
        <v>0</v>
      </c>
      <c r="AU66" s="1433">
        <v>0</v>
      </c>
      <c r="AV66" s="1433">
        <v>0</v>
      </c>
      <c r="AW66" s="1648">
        <f t="shared" si="2"/>
        <v>5</v>
      </c>
    </row>
    <row r="67" spans="3:49" x14ac:dyDescent="0.4">
      <c r="C67" s="115" t="s">
        <v>5785</v>
      </c>
      <c r="D67" s="1433">
        <v>0</v>
      </c>
      <c r="E67" s="1433">
        <v>0</v>
      </c>
      <c r="F67" s="1433">
        <v>0</v>
      </c>
      <c r="G67" s="1433">
        <v>0</v>
      </c>
      <c r="H67" s="1433">
        <v>0</v>
      </c>
      <c r="I67" s="1433">
        <v>0</v>
      </c>
      <c r="J67" s="1433">
        <v>0</v>
      </c>
      <c r="K67" s="1433">
        <v>0</v>
      </c>
      <c r="L67" s="1433">
        <v>0</v>
      </c>
      <c r="M67" s="1433">
        <v>0</v>
      </c>
      <c r="N67" s="1433">
        <v>0</v>
      </c>
      <c r="O67" s="1433">
        <v>0</v>
      </c>
      <c r="P67" s="1433">
        <v>0</v>
      </c>
      <c r="Q67" s="1433">
        <v>0</v>
      </c>
      <c r="R67" s="1433">
        <v>0</v>
      </c>
      <c r="S67" s="1433">
        <v>0</v>
      </c>
      <c r="T67" s="1433">
        <v>0</v>
      </c>
      <c r="U67" s="1433">
        <v>0</v>
      </c>
      <c r="V67" s="1433">
        <v>0</v>
      </c>
      <c r="W67" s="1433">
        <v>1</v>
      </c>
      <c r="X67" s="1433">
        <v>1</v>
      </c>
      <c r="Y67" s="1433">
        <v>0</v>
      </c>
      <c r="Z67" s="1433">
        <v>0</v>
      </c>
      <c r="AA67" s="1433">
        <v>0</v>
      </c>
      <c r="AB67" s="1433">
        <v>0</v>
      </c>
      <c r="AC67" s="1433">
        <v>0</v>
      </c>
      <c r="AD67" s="1433">
        <v>0</v>
      </c>
      <c r="AE67" s="1433">
        <v>0</v>
      </c>
      <c r="AF67" s="1433">
        <v>0</v>
      </c>
      <c r="AG67" s="1433">
        <v>0</v>
      </c>
      <c r="AH67" s="1433">
        <v>0</v>
      </c>
      <c r="AI67" s="1433">
        <v>0</v>
      </c>
      <c r="AJ67" s="1433">
        <v>0</v>
      </c>
      <c r="AK67" s="1433">
        <v>0</v>
      </c>
      <c r="AL67" s="1433">
        <v>0</v>
      </c>
      <c r="AM67" s="1433">
        <f t="shared" si="3"/>
        <v>0</v>
      </c>
      <c r="AN67" s="1433">
        <f t="shared" si="3"/>
        <v>0</v>
      </c>
      <c r="AO67" s="1433">
        <f t="shared" si="3"/>
        <v>0</v>
      </c>
      <c r="AP67" s="1433">
        <f t="shared" si="3"/>
        <v>0</v>
      </c>
      <c r="AQ67" s="1433">
        <v>0</v>
      </c>
      <c r="AR67" s="1433">
        <v>0</v>
      </c>
      <c r="AS67" s="1433">
        <v>0</v>
      </c>
      <c r="AT67" s="1433">
        <v>0</v>
      </c>
      <c r="AU67" s="1433">
        <v>0</v>
      </c>
      <c r="AV67" s="1433">
        <v>0</v>
      </c>
      <c r="AW67" s="1648">
        <f t="shared" si="2"/>
        <v>1</v>
      </c>
    </row>
    <row r="68" spans="3:49" x14ac:dyDescent="0.4">
      <c r="C68" s="115" t="s">
        <v>5786</v>
      </c>
      <c r="D68" s="1433">
        <v>0</v>
      </c>
      <c r="E68" s="1433">
        <v>0</v>
      </c>
      <c r="F68" s="1433">
        <v>0</v>
      </c>
      <c r="G68" s="1433">
        <v>0</v>
      </c>
      <c r="H68" s="1433">
        <v>0</v>
      </c>
      <c r="I68" s="1433">
        <v>0</v>
      </c>
      <c r="J68" s="1433">
        <v>0</v>
      </c>
      <c r="K68" s="1433">
        <v>0</v>
      </c>
      <c r="L68" s="1433">
        <v>0</v>
      </c>
      <c r="M68" s="1433">
        <v>0</v>
      </c>
      <c r="N68" s="1433">
        <v>0</v>
      </c>
      <c r="O68" s="1433">
        <v>0</v>
      </c>
      <c r="P68" s="1433">
        <v>0</v>
      </c>
      <c r="Q68" s="1433">
        <v>0</v>
      </c>
      <c r="R68" s="1433">
        <v>0</v>
      </c>
      <c r="S68" s="1433">
        <v>0</v>
      </c>
      <c r="T68" s="1433">
        <v>0</v>
      </c>
      <c r="U68" s="1433">
        <v>0</v>
      </c>
      <c r="V68" s="1433">
        <v>0</v>
      </c>
      <c r="W68" s="1433">
        <v>0</v>
      </c>
      <c r="X68" s="1433">
        <v>0</v>
      </c>
      <c r="Y68" s="1433">
        <v>1</v>
      </c>
      <c r="Z68" s="1433">
        <v>2</v>
      </c>
      <c r="AA68" s="1433">
        <v>3</v>
      </c>
      <c r="AB68" s="1433">
        <v>0</v>
      </c>
      <c r="AC68" s="1433">
        <v>0</v>
      </c>
      <c r="AD68" s="1433">
        <v>0</v>
      </c>
      <c r="AE68" s="1433">
        <v>0</v>
      </c>
      <c r="AF68" s="1433">
        <v>0</v>
      </c>
      <c r="AG68" s="1433">
        <v>0</v>
      </c>
      <c r="AH68" s="1433">
        <v>0</v>
      </c>
      <c r="AI68" s="1433">
        <v>0</v>
      </c>
      <c r="AJ68" s="1433">
        <v>0</v>
      </c>
      <c r="AK68" s="1433">
        <v>0</v>
      </c>
      <c r="AL68" s="1433">
        <v>0</v>
      </c>
      <c r="AM68" s="1433">
        <f t="shared" si="3"/>
        <v>0</v>
      </c>
      <c r="AN68" s="1433">
        <f t="shared" si="3"/>
        <v>0</v>
      </c>
      <c r="AO68" s="1433">
        <f t="shared" si="3"/>
        <v>0</v>
      </c>
      <c r="AP68" s="1433">
        <f t="shared" si="3"/>
        <v>0</v>
      </c>
      <c r="AQ68" s="1433">
        <v>0</v>
      </c>
      <c r="AR68" s="1433">
        <v>0</v>
      </c>
      <c r="AS68" s="1433">
        <v>0</v>
      </c>
      <c r="AT68" s="1433">
        <v>0</v>
      </c>
      <c r="AU68" s="1433">
        <v>0</v>
      </c>
      <c r="AV68" s="1433">
        <v>0</v>
      </c>
      <c r="AW68" s="1648">
        <f t="shared" si="2"/>
        <v>3</v>
      </c>
    </row>
    <row r="69" spans="3:49" x14ac:dyDescent="0.4">
      <c r="C69" s="115" t="s">
        <v>5787</v>
      </c>
      <c r="D69" s="1433">
        <v>0</v>
      </c>
      <c r="E69" s="1433">
        <v>0</v>
      </c>
      <c r="F69" s="1433">
        <v>0</v>
      </c>
      <c r="G69" s="1433">
        <v>0</v>
      </c>
      <c r="H69" s="1433">
        <v>0</v>
      </c>
      <c r="I69" s="1433">
        <v>0</v>
      </c>
      <c r="J69" s="1433">
        <v>0</v>
      </c>
      <c r="K69" s="1433">
        <v>0</v>
      </c>
      <c r="L69" s="1433">
        <v>0</v>
      </c>
      <c r="M69" s="1433">
        <v>0</v>
      </c>
      <c r="N69" s="1433">
        <v>0</v>
      </c>
      <c r="O69" s="1433">
        <v>0</v>
      </c>
      <c r="P69" s="1433">
        <v>0</v>
      </c>
      <c r="Q69" s="1433">
        <v>0</v>
      </c>
      <c r="R69" s="1433">
        <v>0</v>
      </c>
      <c r="S69" s="1433">
        <v>0</v>
      </c>
      <c r="T69" s="1433">
        <v>0</v>
      </c>
      <c r="U69" s="1433">
        <v>0</v>
      </c>
      <c r="V69" s="1433">
        <v>0</v>
      </c>
      <c r="W69" s="1433">
        <v>0</v>
      </c>
      <c r="X69" s="1433">
        <v>0</v>
      </c>
      <c r="Y69" s="1433">
        <v>0</v>
      </c>
      <c r="Z69" s="1433">
        <v>0</v>
      </c>
      <c r="AA69" s="1433">
        <v>0</v>
      </c>
      <c r="AB69" s="1433">
        <v>0</v>
      </c>
      <c r="AC69" s="1433">
        <v>0</v>
      </c>
      <c r="AD69" s="1433">
        <v>0</v>
      </c>
      <c r="AE69" s="1433">
        <v>2</v>
      </c>
      <c r="AF69" s="1433">
        <v>4</v>
      </c>
      <c r="AG69" s="1433">
        <v>6</v>
      </c>
      <c r="AH69" s="1433">
        <v>0</v>
      </c>
      <c r="AI69" s="1433">
        <v>0</v>
      </c>
      <c r="AJ69" s="1433">
        <v>0</v>
      </c>
      <c r="AK69" s="1433">
        <v>0</v>
      </c>
      <c r="AL69" s="1433">
        <v>0</v>
      </c>
      <c r="AM69" s="1433">
        <f t="shared" si="3"/>
        <v>0</v>
      </c>
      <c r="AN69" s="1433">
        <f t="shared" si="3"/>
        <v>0</v>
      </c>
      <c r="AO69" s="1433">
        <f t="shared" si="3"/>
        <v>0</v>
      </c>
      <c r="AP69" s="1433">
        <f t="shared" si="3"/>
        <v>0</v>
      </c>
      <c r="AQ69" s="1433">
        <v>0</v>
      </c>
      <c r="AR69" s="1433">
        <v>0</v>
      </c>
      <c r="AS69" s="1433">
        <v>0</v>
      </c>
      <c r="AT69" s="1433">
        <v>0</v>
      </c>
      <c r="AU69" s="1433">
        <v>0</v>
      </c>
      <c r="AV69" s="1433">
        <v>0</v>
      </c>
      <c r="AW69" s="1648">
        <f t="shared" si="2"/>
        <v>6</v>
      </c>
    </row>
    <row r="70" spans="3:49" x14ac:dyDescent="0.4">
      <c r="C70" s="115" t="s">
        <v>5788</v>
      </c>
      <c r="D70" s="1433">
        <v>0</v>
      </c>
      <c r="E70" s="1433">
        <v>0</v>
      </c>
      <c r="F70" s="1433">
        <v>0</v>
      </c>
      <c r="G70" s="1433">
        <v>0</v>
      </c>
      <c r="H70" s="1433">
        <v>0</v>
      </c>
      <c r="I70" s="1433">
        <v>0</v>
      </c>
      <c r="J70" s="1433">
        <v>0</v>
      </c>
      <c r="K70" s="1433">
        <v>0</v>
      </c>
      <c r="L70" s="1433">
        <v>0</v>
      </c>
      <c r="M70" s="1433">
        <v>0</v>
      </c>
      <c r="N70" s="1433">
        <v>0</v>
      </c>
      <c r="O70" s="1433">
        <v>0</v>
      </c>
      <c r="P70" s="1433">
        <v>0</v>
      </c>
      <c r="Q70" s="1433">
        <v>0</v>
      </c>
      <c r="R70" s="1433">
        <v>0</v>
      </c>
      <c r="S70" s="1433">
        <v>0</v>
      </c>
      <c r="T70" s="1433">
        <v>0</v>
      </c>
      <c r="U70" s="1433">
        <v>0</v>
      </c>
      <c r="V70" s="1433">
        <v>0</v>
      </c>
      <c r="W70" s="1433">
        <v>0</v>
      </c>
      <c r="X70" s="1433">
        <v>0</v>
      </c>
      <c r="Y70" s="1433">
        <v>0</v>
      </c>
      <c r="Z70" s="1433">
        <v>0</v>
      </c>
      <c r="AA70" s="1433">
        <v>0</v>
      </c>
      <c r="AB70" s="1433">
        <v>0</v>
      </c>
      <c r="AC70" s="1433">
        <v>0</v>
      </c>
      <c r="AD70" s="1433">
        <v>0</v>
      </c>
      <c r="AE70" s="1433">
        <v>0</v>
      </c>
      <c r="AF70" s="1433">
        <v>0</v>
      </c>
      <c r="AG70" s="1433">
        <v>0</v>
      </c>
      <c r="AH70" s="1433">
        <v>0</v>
      </c>
      <c r="AI70" s="1433">
        <v>1</v>
      </c>
      <c r="AJ70" s="1433">
        <v>1</v>
      </c>
      <c r="AK70" s="1433">
        <v>0</v>
      </c>
      <c r="AL70" s="1433">
        <v>0</v>
      </c>
      <c r="AM70" s="1433">
        <f t="shared" si="3"/>
        <v>0</v>
      </c>
      <c r="AN70" s="1433">
        <f t="shared" si="3"/>
        <v>0</v>
      </c>
      <c r="AO70" s="1433">
        <f t="shared" si="3"/>
        <v>0</v>
      </c>
      <c r="AP70" s="1433">
        <f t="shared" si="3"/>
        <v>0</v>
      </c>
      <c r="AQ70" s="1433">
        <v>0</v>
      </c>
      <c r="AR70" s="1433">
        <v>0</v>
      </c>
      <c r="AS70" s="1433">
        <v>0</v>
      </c>
      <c r="AT70" s="1433">
        <v>0</v>
      </c>
      <c r="AU70" s="1433">
        <v>0</v>
      </c>
      <c r="AV70" s="1433">
        <v>0</v>
      </c>
      <c r="AW70" s="1648">
        <f t="shared" si="2"/>
        <v>1</v>
      </c>
    </row>
    <row r="71" spans="3:49" x14ac:dyDescent="0.4">
      <c r="C71" s="115" t="s">
        <v>5789</v>
      </c>
      <c r="D71" s="1433">
        <v>1</v>
      </c>
      <c r="E71" s="1433">
        <v>0</v>
      </c>
      <c r="F71" s="1433">
        <v>1</v>
      </c>
      <c r="G71" s="1433">
        <v>0</v>
      </c>
      <c r="H71" s="1433">
        <v>0</v>
      </c>
      <c r="I71" s="1433">
        <v>0</v>
      </c>
      <c r="J71" s="1433">
        <v>0</v>
      </c>
      <c r="K71" s="1433">
        <v>0</v>
      </c>
      <c r="L71" s="1433">
        <v>0</v>
      </c>
      <c r="M71" s="1433">
        <v>0</v>
      </c>
      <c r="N71" s="1433">
        <v>0</v>
      </c>
      <c r="O71" s="1433">
        <v>0</v>
      </c>
      <c r="P71" s="1433">
        <v>0</v>
      </c>
      <c r="Q71" s="1433">
        <v>0</v>
      </c>
      <c r="R71" s="1433">
        <v>0</v>
      </c>
      <c r="S71" s="1433">
        <v>0</v>
      </c>
      <c r="T71" s="1433">
        <v>0</v>
      </c>
      <c r="U71" s="1433">
        <v>0</v>
      </c>
      <c r="V71" s="1433">
        <v>0</v>
      </c>
      <c r="W71" s="1433">
        <v>0</v>
      </c>
      <c r="X71" s="1433">
        <v>0</v>
      </c>
      <c r="Y71" s="1433">
        <v>0</v>
      </c>
      <c r="Z71" s="1433">
        <v>0</v>
      </c>
      <c r="AA71" s="1433">
        <v>0</v>
      </c>
      <c r="AB71" s="1433">
        <v>0</v>
      </c>
      <c r="AC71" s="1433">
        <v>0</v>
      </c>
      <c r="AD71" s="1433">
        <v>0</v>
      </c>
      <c r="AE71" s="1433">
        <v>0</v>
      </c>
      <c r="AF71" s="1433">
        <v>0</v>
      </c>
      <c r="AG71" s="1433">
        <v>0</v>
      </c>
      <c r="AH71" s="1433">
        <v>0</v>
      </c>
      <c r="AI71" s="1433">
        <v>0</v>
      </c>
      <c r="AJ71" s="1433">
        <v>0</v>
      </c>
      <c r="AK71" s="1433">
        <v>0</v>
      </c>
      <c r="AL71" s="1433">
        <v>0</v>
      </c>
      <c r="AM71" s="1433">
        <f t="shared" si="3"/>
        <v>0</v>
      </c>
      <c r="AN71" s="1433">
        <f t="shared" si="3"/>
        <v>0</v>
      </c>
      <c r="AO71" s="1433">
        <f t="shared" si="3"/>
        <v>0</v>
      </c>
      <c r="AP71" s="1433">
        <f t="shared" si="3"/>
        <v>0</v>
      </c>
      <c r="AQ71" s="1433">
        <v>0</v>
      </c>
      <c r="AR71" s="1433">
        <v>0</v>
      </c>
      <c r="AS71" s="1433">
        <v>0</v>
      </c>
      <c r="AT71" s="1433">
        <v>0</v>
      </c>
      <c r="AU71" s="1433">
        <v>0</v>
      </c>
      <c r="AV71" s="1433">
        <v>0</v>
      </c>
      <c r="AW71" s="1648">
        <f t="shared" si="2"/>
        <v>1</v>
      </c>
    </row>
    <row r="72" spans="3:49" x14ac:dyDescent="0.4">
      <c r="C72" s="115" t="s">
        <v>5790</v>
      </c>
      <c r="D72" s="1433">
        <v>0</v>
      </c>
      <c r="E72" s="1433">
        <v>0</v>
      </c>
      <c r="F72" s="1433">
        <v>0</v>
      </c>
      <c r="G72" s="1433">
        <v>0</v>
      </c>
      <c r="H72" s="1433">
        <v>0</v>
      </c>
      <c r="I72" s="1433">
        <v>0</v>
      </c>
      <c r="J72" s="1433">
        <v>0</v>
      </c>
      <c r="K72" s="1433">
        <v>0</v>
      </c>
      <c r="L72" s="1433">
        <v>0</v>
      </c>
      <c r="M72" s="1433">
        <v>1</v>
      </c>
      <c r="N72" s="1433">
        <v>0</v>
      </c>
      <c r="O72" s="1433">
        <v>1</v>
      </c>
      <c r="P72" s="1433">
        <v>1</v>
      </c>
      <c r="Q72" s="1433">
        <v>0</v>
      </c>
      <c r="R72" s="1433">
        <v>1</v>
      </c>
      <c r="S72" s="1433">
        <v>3</v>
      </c>
      <c r="T72" s="1433">
        <v>0</v>
      </c>
      <c r="U72" s="1433">
        <v>3</v>
      </c>
      <c r="V72" s="1433">
        <v>0</v>
      </c>
      <c r="W72" s="1433">
        <v>0</v>
      </c>
      <c r="X72" s="1433">
        <v>0</v>
      </c>
      <c r="Y72" s="1433">
        <v>0</v>
      </c>
      <c r="Z72" s="1433">
        <v>0</v>
      </c>
      <c r="AA72" s="1433">
        <v>0</v>
      </c>
      <c r="AB72" s="1433">
        <v>0</v>
      </c>
      <c r="AC72" s="1433">
        <v>0</v>
      </c>
      <c r="AD72" s="1433">
        <v>0</v>
      </c>
      <c r="AE72" s="1433">
        <v>0</v>
      </c>
      <c r="AF72" s="1433">
        <v>0</v>
      </c>
      <c r="AG72" s="1433">
        <v>0</v>
      </c>
      <c r="AH72" s="1433">
        <v>0</v>
      </c>
      <c r="AI72" s="1433">
        <v>0</v>
      </c>
      <c r="AJ72" s="1433">
        <v>0</v>
      </c>
      <c r="AK72" s="1433">
        <v>0</v>
      </c>
      <c r="AL72" s="1433">
        <v>0</v>
      </c>
      <c r="AM72" s="1433">
        <f t="shared" si="3"/>
        <v>0</v>
      </c>
      <c r="AN72" s="1433">
        <v>3</v>
      </c>
      <c r="AO72" s="1433">
        <v>0</v>
      </c>
      <c r="AP72" s="1433">
        <v>3</v>
      </c>
      <c r="AQ72" s="1433">
        <v>0</v>
      </c>
      <c r="AR72" s="1433">
        <v>0</v>
      </c>
      <c r="AS72" s="1433">
        <v>0</v>
      </c>
      <c r="AT72" s="1433">
        <v>0</v>
      </c>
      <c r="AU72" s="1433">
        <v>0</v>
      </c>
      <c r="AV72" s="1433">
        <v>0</v>
      </c>
      <c r="AW72" s="1648">
        <f t="shared" si="2"/>
        <v>8</v>
      </c>
    </row>
    <row r="73" spans="3:49" x14ac:dyDescent="0.4">
      <c r="C73" s="115" t="s">
        <v>5791</v>
      </c>
      <c r="D73" s="1433">
        <v>0</v>
      </c>
      <c r="E73" s="1433">
        <v>0</v>
      </c>
      <c r="F73" s="1433">
        <v>0</v>
      </c>
      <c r="G73" s="1433">
        <v>5</v>
      </c>
      <c r="H73" s="1433">
        <v>1</v>
      </c>
      <c r="I73" s="1433">
        <v>6</v>
      </c>
      <c r="J73" s="1433">
        <v>0</v>
      </c>
      <c r="K73" s="1433">
        <v>0</v>
      </c>
      <c r="L73" s="1433">
        <v>0</v>
      </c>
      <c r="M73" s="1433">
        <v>0</v>
      </c>
      <c r="N73" s="1433">
        <v>0</v>
      </c>
      <c r="O73" s="1433">
        <v>0</v>
      </c>
      <c r="P73" s="1433">
        <v>0</v>
      </c>
      <c r="Q73" s="1433">
        <v>0</v>
      </c>
      <c r="R73" s="1433">
        <v>0</v>
      </c>
      <c r="S73" s="1433">
        <v>0</v>
      </c>
      <c r="T73" s="1433">
        <v>0</v>
      </c>
      <c r="U73" s="1433">
        <v>0</v>
      </c>
      <c r="V73" s="1433">
        <v>0</v>
      </c>
      <c r="W73" s="1433">
        <v>0</v>
      </c>
      <c r="X73" s="1433">
        <v>0</v>
      </c>
      <c r="Y73" s="1433">
        <v>0</v>
      </c>
      <c r="Z73" s="1433">
        <v>0</v>
      </c>
      <c r="AA73" s="1433">
        <v>0</v>
      </c>
      <c r="AB73" s="1433">
        <v>0</v>
      </c>
      <c r="AC73" s="1433">
        <v>0</v>
      </c>
      <c r="AD73" s="1433">
        <v>0</v>
      </c>
      <c r="AE73" s="1433">
        <v>0</v>
      </c>
      <c r="AF73" s="1433">
        <v>0</v>
      </c>
      <c r="AG73" s="1433">
        <v>0</v>
      </c>
      <c r="AH73" s="1433">
        <v>0</v>
      </c>
      <c r="AI73" s="1433">
        <v>0</v>
      </c>
      <c r="AJ73" s="1433">
        <v>0</v>
      </c>
      <c r="AK73" s="1433">
        <v>0</v>
      </c>
      <c r="AL73" s="1433">
        <v>0</v>
      </c>
      <c r="AM73" s="1433">
        <f t="shared" si="3"/>
        <v>0</v>
      </c>
      <c r="AN73" s="1433">
        <f t="shared" si="3"/>
        <v>0</v>
      </c>
      <c r="AO73" s="1433">
        <f t="shared" si="3"/>
        <v>0</v>
      </c>
      <c r="AP73" s="1433">
        <f t="shared" si="3"/>
        <v>0</v>
      </c>
      <c r="AQ73" s="1433">
        <v>0</v>
      </c>
      <c r="AR73" s="1433">
        <v>0</v>
      </c>
      <c r="AS73" s="1433">
        <v>0</v>
      </c>
      <c r="AT73" s="1433">
        <v>0</v>
      </c>
      <c r="AU73" s="1433">
        <v>0</v>
      </c>
      <c r="AV73" s="1433">
        <v>0</v>
      </c>
      <c r="AW73" s="1648">
        <f t="shared" si="2"/>
        <v>6</v>
      </c>
    </row>
    <row r="74" spans="3:49" x14ac:dyDescent="0.4">
      <c r="C74" s="115" t="s">
        <v>5792</v>
      </c>
      <c r="D74" s="1433">
        <v>0</v>
      </c>
      <c r="E74" s="1433">
        <v>0</v>
      </c>
      <c r="F74" s="1433">
        <v>0</v>
      </c>
      <c r="G74" s="1433">
        <v>0</v>
      </c>
      <c r="H74" s="1433">
        <v>0</v>
      </c>
      <c r="I74" s="1433">
        <v>0</v>
      </c>
      <c r="J74" s="1433">
        <v>0</v>
      </c>
      <c r="K74" s="1433">
        <v>0</v>
      </c>
      <c r="L74" s="1433">
        <v>0</v>
      </c>
      <c r="M74" s="1433">
        <v>0</v>
      </c>
      <c r="N74" s="1433">
        <v>0</v>
      </c>
      <c r="O74" s="1433">
        <v>0</v>
      </c>
      <c r="P74" s="1433">
        <v>0</v>
      </c>
      <c r="Q74" s="1433">
        <v>0</v>
      </c>
      <c r="R74" s="1433">
        <v>0</v>
      </c>
      <c r="S74" s="1433">
        <v>0</v>
      </c>
      <c r="T74" s="1433">
        <v>0</v>
      </c>
      <c r="U74" s="1433">
        <v>0</v>
      </c>
      <c r="V74" s="1433">
        <v>0</v>
      </c>
      <c r="W74" s="1433">
        <v>0</v>
      </c>
      <c r="X74" s="1433">
        <v>0</v>
      </c>
      <c r="Y74" s="1433">
        <v>0</v>
      </c>
      <c r="Z74" s="1433">
        <v>0</v>
      </c>
      <c r="AA74" s="1433">
        <v>0</v>
      </c>
      <c r="AB74" s="1433">
        <v>0</v>
      </c>
      <c r="AC74" s="1433">
        <v>0</v>
      </c>
      <c r="AD74" s="1433">
        <v>0</v>
      </c>
      <c r="AE74" s="1433">
        <v>0</v>
      </c>
      <c r="AF74" s="1433">
        <v>0</v>
      </c>
      <c r="AG74" s="1433">
        <v>0</v>
      </c>
      <c r="AH74" s="1433">
        <v>0</v>
      </c>
      <c r="AI74" s="1433">
        <v>2</v>
      </c>
      <c r="AJ74" s="1433">
        <v>2</v>
      </c>
      <c r="AK74" s="1433">
        <v>0</v>
      </c>
      <c r="AL74" s="1433">
        <v>0</v>
      </c>
      <c r="AM74" s="1433">
        <f t="shared" si="3"/>
        <v>0</v>
      </c>
      <c r="AN74" s="1433">
        <f t="shared" si="3"/>
        <v>0</v>
      </c>
      <c r="AO74" s="1433">
        <f t="shared" si="3"/>
        <v>0</v>
      </c>
      <c r="AP74" s="1433">
        <f t="shared" si="3"/>
        <v>0</v>
      </c>
      <c r="AQ74" s="1433">
        <v>0</v>
      </c>
      <c r="AR74" s="1433">
        <v>0</v>
      </c>
      <c r="AS74" s="1433">
        <v>0</v>
      </c>
      <c r="AT74" s="1433">
        <v>0</v>
      </c>
      <c r="AU74" s="1433">
        <v>0</v>
      </c>
      <c r="AV74" s="1433">
        <v>0</v>
      </c>
      <c r="AW74" s="1648">
        <f t="shared" si="2"/>
        <v>2</v>
      </c>
    </row>
    <row r="75" spans="3:49" x14ac:dyDescent="0.4">
      <c r="C75" s="115" t="s">
        <v>5793</v>
      </c>
      <c r="D75" s="1433">
        <v>0</v>
      </c>
      <c r="E75" s="1433">
        <v>0</v>
      </c>
      <c r="F75" s="1433">
        <v>0</v>
      </c>
      <c r="G75" s="1433">
        <v>0</v>
      </c>
      <c r="H75" s="1433">
        <v>0</v>
      </c>
      <c r="I75" s="1433">
        <v>0</v>
      </c>
      <c r="J75" s="1433">
        <v>0</v>
      </c>
      <c r="K75" s="1433">
        <v>0</v>
      </c>
      <c r="L75" s="1433">
        <v>0</v>
      </c>
      <c r="M75" s="1433">
        <v>0</v>
      </c>
      <c r="N75" s="1433">
        <v>0</v>
      </c>
      <c r="O75" s="1433">
        <v>0</v>
      </c>
      <c r="P75" s="1433">
        <v>0</v>
      </c>
      <c r="Q75" s="1433">
        <v>0</v>
      </c>
      <c r="R75" s="1433">
        <v>0</v>
      </c>
      <c r="S75" s="1433">
        <v>0</v>
      </c>
      <c r="T75" s="1433">
        <v>0</v>
      </c>
      <c r="U75" s="1433">
        <v>0</v>
      </c>
      <c r="V75" s="1433">
        <v>0</v>
      </c>
      <c r="W75" s="1433">
        <v>0</v>
      </c>
      <c r="X75" s="1433">
        <v>0</v>
      </c>
      <c r="Y75" s="1433">
        <v>0</v>
      </c>
      <c r="Z75" s="1433">
        <v>0</v>
      </c>
      <c r="AA75" s="1433">
        <v>0</v>
      </c>
      <c r="AB75" s="1433">
        <v>0</v>
      </c>
      <c r="AC75" s="1433">
        <v>0</v>
      </c>
      <c r="AD75" s="1433">
        <v>0</v>
      </c>
      <c r="AE75" s="1433">
        <v>0</v>
      </c>
      <c r="AF75" s="1433">
        <v>0</v>
      </c>
      <c r="AG75" s="1433">
        <v>0</v>
      </c>
      <c r="AH75" s="1433">
        <v>0</v>
      </c>
      <c r="AI75" s="1433">
        <v>0</v>
      </c>
      <c r="AJ75" s="1433">
        <v>0</v>
      </c>
      <c r="AK75" s="1433">
        <v>1</v>
      </c>
      <c r="AL75" s="1433">
        <v>1</v>
      </c>
      <c r="AM75" s="1433">
        <f t="shared" si="3"/>
        <v>2</v>
      </c>
      <c r="AN75" s="1433">
        <v>0</v>
      </c>
      <c r="AO75" s="1433">
        <v>0</v>
      </c>
      <c r="AP75" s="1433">
        <f t="shared" si="3"/>
        <v>0</v>
      </c>
      <c r="AQ75" s="1433">
        <v>0</v>
      </c>
      <c r="AR75" s="1433">
        <v>0</v>
      </c>
      <c r="AS75" s="1433">
        <v>0</v>
      </c>
      <c r="AT75" s="1433">
        <v>0</v>
      </c>
      <c r="AU75" s="1433">
        <v>0</v>
      </c>
      <c r="AV75" s="1433">
        <v>0</v>
      </c>
      <c r="AW75" s="1648">
        <f t="shared" si="2"/>
        <v>2</v>
      </c>
    </row>
    <row r="76" spans="3:49" ht="13.15" customHeight="1" x14ac:dyDescent="0.4">
      <c r="C76" s="115" t="s">
        <v>5794</v>
      </c>
      <c r="D76" s="1433">
        <v>0</v>
      </c>
      <c r="E76" s="1433">
        <v>0</v>
      </c>
      <c r="F76" s="1433">
        <v>0</v>
      </c>
      <c r="G76" s="1433">
        <v>0</v>
      </c>
      <c r="H76" s="1433">
        <v>0</v>
      </c>
      <c r="I76" s="1433">
        <v>0</v>
      </c>
      <c r="J76" s="1433">
        <v>0</v>
      </c>
      <c r="K76" s="1433">
        <v>0</v>
      </c>
      <c r="L76" s="1433">
        <v>0</v>
      </c>
      <c r="M76" s="1433">
        <v>0</v>
      </c>
      <c r="N76" s="1433">
        <v>0</v>
      </c>
      <c r="O76" s="1433">
        <v>0</v>
      </c>
      <c r="P76" s="1433">
        <v>0</v>
      </c>
      <c r="Q76" s="1433">
        <v>0</v>
      </c>
      <c r="R76" s="1433">
        <v>0</v>
      </c>
      <c r="S76" s="1433">
        <v>4</v>
      </c>
      <c r="T76" s="1433">
        <v>4</v>
      </c>
      <c r="U76" s="1433">
        <v>8</v>
      </c>
      <c r="V76" s="1433">
        <v>1</v>
      </c>
      <c r="W76" s="1433">
        <v>1</v>
      </c>
      <c r="X76" s="1433">
        <v>2</v>
      </c>
      <c r="Y76" s="1433">
        <v>0</v>
      </c>
      <c r="Z76" s="1433">
        <v>1</v>
      </c>
      <c r="AA76" s="1433">
        <v>1</v>
      </c>
      <c r="AB76" s="1433">
        <v>0</v>
      </c>
      <c r="AC76" s="1433">
        <v>0</v>
      </c>
      <c r="AD76" s="1433">
        <v>0</v>
      </c>
      <c r="AE76" s="1433">
        <v>0</v>
      </c>
      <c r="AF76" s="1433">
        <v>0</v>
      </c>
      <c r="AG76" s="1433">
        <v>0</v>
      </c>
      <c r="AH76" s="1433">
        <v>0</v>
      </c>
      <c r="AI76" s="1433">
        <v>0</v>
      </c>
      <c r="AJ76" s="1433">
        <v>0</v>
      </c>
      <c r="AK76" s="1433">
        <v>0</v>
      </c>
      <c r="AL76" s="1433">
        <v>0</v>
      </c>
      <c r="AM76" s="1433">
        <f t="shared" si="3"/>
        <v>0</v>
      </c>
      <c r="AN76" s="1433">
        <f t="shared" si="3"/>
        <v>0</v>
      </c>
      <c r="AO76" s="1433">
        <f t="shared" si="3"/>
        <v>0</v>
      </c>
      <c r="AP76" s="1433">
        <f t="shared" si="3"/>
        <v>0</v>
      </c>
      <c r="AQ76" s="1433">
        <v>0</v>
      </c>
      <c r="AR76" s="1433">
        <v>0</v>
      </c>
      <c r="AS76" s="1433">
        <v>0</v>
      </c>
      <c r="AT76" s="1433">
        <v>0</v>
      </c>
      <c r="AU76" s="1433">
        <v>0</v>
      </c>
      <c r="AV76" s="1433">
        <v>0</v>
      </c>
      <c r="AW76" s="1648">
        <f t="shared" si="2"/>
        <v>11</v>
      </c>
    </row>
    <row r="77" spans="3:49" ht="17.45" customHeight="1" x14ac:dyDescent="0.4">
      <c r="C77" s="115" t="s">
        <v>5795</v>
      </c>
      <c r="D77" s="1433">
        <v>12</v>
      </c>
      <c r="E77" s="1433">
        <v>16</v>
      </c>
      <c r="F77" s="1433">
        <v>28</v>
      </c>
      <c r="G77" s="1433">
        <v>6</v>
      </c>
      <c r="H77" s="1433">
        <v>3</v>
      </c>
      <c r="I77" s="1433">
        <v>9</v>
      </c>
      <c r="J77" s="1433">
        <v>1</v>
      </c>
      <c r="K77" s="1433">
        <v>3</v>
      </c>
      <c r="L77" s="1433">
        <v>4</v>
      </c>
      <c r="M77" s="1433">
        <v>1</v>
      </c>
      <c r="N77" s="1433">
        <v>0</v>
      </c>
      <c r="O77" s="1433">
        <v>1</v>
      </c>
      <c r="P77" s="1433">
        <v>2</v>
      </c>
      <c r="Q77" s="1433">
        <v>2</v>
      </c>
      <c r="R77" s="1433">
        <v>4</v>
      </c>
      <c r="S77" s="1433">
        <v>8</v>
      </c>
      <c r="T77" s="1433">
        <v>5</v>
      </c>
      <c r="U77" s="1433">
        <v>13</v>
      </c>
      <c r="V77" s="1433">
        <v>55</v>
      </c>
      <c r="W77" s="1433">
        <v>73</v>
      </c>
      <c r="X77" s="1433">
        <v>128</v>
      </c>
      <c r="Y77" s="1433">
        <v>33</v>
      </c>
      <c r="Z77" s="1433">
        <v>47</v>
      </c>
      <c r="AA77" s="1433">
        <v>80</v>
      </c>
      <c r="AB77" s="1433">
        <v>9</v>
      </c>
      <c r="AC77" s="1433">
        <v>15</v>
      </c>
      <c r="AD77" s="1433">
        <v>24</v>
      </c>
      <c r="AE77" s="1433">
        <v>43</v>
      </c>
      <c r="AF77" s="1433">
        <v>43</v>
      </c>
      <c r="AG77" s="1433">
        <v>86</v>
      </c>
      <c r="AH77" s="1433">
        <v>320</v>
      </c>
      <c r="AI77" s="1433">
        <v>313</v>
      </c>
      <c r="AJ77" s="1433">
        <v>633</v>
      </c>
      <c r="AK77" s="1433">
        <v>156</v>
      </c>
      <c r="AL77" s="1433">
        <v>130</v>
      </c>
      <c r="AM77" s="1433">
        <f t="shared" si="3"/>
        <v>286</v>
      </c>
      <c r="AN77" s="1433">
        <v>276</v>
      </c>
      <c r="AO77" s="1433">
        <v>259</v>
      </c>
      <c r="AP77" s="1433">
        <v>535</v>
      </c>
      <c r="AQ77" s="1647">
        <v>133</v>
      </c>
      <c r="AR77" s="1647">
        <v>141</v>
      </c>
      <c r="AS77" s="1647">
        <v>274</v>
      </c>
      <c r="AT77" s="1647">
        <v>38</v>
      </c>
      <c r="AU77" s="1647">
        <v>37</v>
      </c>
      <c r="AV77" s="1647">
        <v>75</v>
      </c>
      <c r="AW77" s="1648">
        <f t="shared" si="2"/>
        <v>2180</v>
      </c>
    </row>
    <row r="78" spans="3:49" x14ac:dyDescent="0.4">
      <c r="C78" s="155"/>
      <c r="D78" s="1433">
        <v>0</v>
      </c>
      <c r="E78" s="1433">
        <v>0</v>
      </c>
      <c r="F78" s="1433">
        <v>0</v>
      </c>
      <c r="G78" s="1433">
        <v>0</v>
      </c>
      <c r="H78" s="1433">
        <v>0</v>
      </c>
      <c r="I78" s="1433">
        <v>0</v>
      </c>
      <c r="J78" s="1433">
        <v>0</v>
      </c>
      <c r="K78" s="1433">
        <v>0</v>
      </c>
      <c r="L78" s="1433">
        <v>0</v>
      </c>
      <c r="M78" s="1433">
        <v>0</v>
      </c>
      <c r="N78" s="1433">
        <v>0</v>
      </c>
      <c r="O78" s="1433">
        <v>0</v>
      </c>
      <c r="P78" s="1433">
        <v>0</v>
      </c>
      <c r="Q78" s="1433">
        <v>0</v>
      </c>
      <c r="R78" s="1433">
        <v>0</v>
      </c>
      <c r="S78" s="1433">
        <v>0</v>
      </c>
      <c r="T78" s="1433">
        <v>0</v>
      </c>
      <c r="U78" s="1433">
        <v>0</v>
      </c>
      <c r="V78" s="1433">
        <v>0</v>
      </c>
      <c r="W78" s="1433">
        <v>0</v>
      </c>
      <c r="X78" s="1433">
        <v>0</v>
      </c>
      <c r="Y78" s="1433">
        <v>0</v>
      </c>
      <c r="Z78" s="1433">
        <v>0</v>
      </c>
      <c r="AA78" s="1433">
        <v>0</v>
      </c>
      <c r="AB78" s="1433">
        <v>0</v>
      </c>
      <c r="AC78" s="1433">
        <v>0</v>
      </c>
      <c r="AD78" s="1433">
        <v>0</v>
      </c>
      <c r="AE78" s="1433">
        <v>0</v>
      </c>
      <c r="AF78" s="1433">
        <v>0</v>
      </c>
      <c r="AG78" s="1433">
        <v>0</v>
      </c>
      <c r="AH78" s="1433">
        <v>0</v>
      </c>
      <c r="AI78" s="1433">
        <v>0</v>
      </c>
      <c r="AJ78" s="1433">
        <v>0</v>
      </c>
      <c r="AK78" s="1433">
        <v>0</v>
      </c>
      <c r="AL78" s="1433">
        <v>0</v>
      </c>
      <c r="AM78" s="1433">
        <f t="shared" si="3"/>
        <v>0</v>
      </c>
      <c r="AN78" s="1433">
        <v>0</v>
      </c>
      <c r="AO78" s="1433">
        <v>0</v>
      </c>
      <c r="AP78" s="1433">
        <v>0</v>
      </c>
      <c r="AQ78" s="1433">
        <v>0</v>
      </c>
      <c r="AR78" s="1433">
        <v>0</v>
      </c>
      <c r="AS78" s="1433">
        <v>0</v>
      </c>
      <c r="AT78" s="1433">
        <v>0</v>
      </c>
      <c r="AU78" s="1433">
        <v>0</v>
      </c>
      <c r="AV78" s="1433">
        <v>0</v>
      </c>
      <c r="AW78" s="1648">
        <f t="shared" si="2"/>
        <v>0</v>
      </c>
    </row>
    <row r="79" spans="3:49" x14ac:dyDescent="0.4">
      <c r="C79" s="1653" t="s">
        <v>1104</v>
      </c>
      <c r="D79" s="1650">
        <v>81</v>
      </c>
      <c r="E79" s="1650">
        <v>63</v>
      </c>
      <c r="F79" s="1650">
        <v>144</v>
      </c>
      <c r="G79" s="1650">
        <v>139</v>
      </c>
      <c r="H79" s="1650">
        <v>107</v>
      </c>
      <c r="I79" s="1650">
        <v>246</v>
      </c>
      <c r="J79" s="1650">
        <v>22</v>
      </c>
      <c r="K79" s="1650">
        <v>29</v>
      </c>
      <c r="L79" s="1650">
        <v>51</v>
      </c>
      <c r="M79" s="1650">
        <v>27</v>
      </c>
      <c r="N79" s="1650">
        <v>24</v>
      </c>
      <c r="O79" s="1650">
        <v>51</v>
      </c>
      <c r="P79" s="1650">
        <v>47</v>
      </c>
      <c r="Q79" s="1650">
        <v>40</v>
      </c>
      <c r="R79" s="1650">
        <v>87</v>
      </c>
      <c r="S79" s="1650">
        <v>99</v>
      </c>
      <c r="T79" s="1650">
        <v>96</v>
      </c>
      <c r="U79" s="1650">
        <v>195</v>
      </c>
      <c r="V79" s="1650">
        <v>290</v>
      </c>
      <c r="W79" s="1650">
        <v>306</v>
      </c>
      <c r="X79" s="1650">
        <v>596</v>
      </c>
      <c r="Y79" s="1650">
        <v>111</v>
      </c>
      <c r="Z79" s="1650">
        <v>135</v>
      </c>
      <c r="AA79" s="1650">
        <v>246</v>
      </c>
      <c r="AB79" s="1650">
        <v>74</v>
      </c>
      <c r="AC79" s="1650">
        <v>91</v>
      </c>
      <c r="AD79" s="1650">
        <v>165</v>
      </c>
      <c r="AE79" s="1650">
        <v>493</v>
      </c>
      <c r="AF79" s="1650">
        <v>399</v>
      </c>
      <c r="AG79" s="1650">
        <v>892</v>
      </c>
      <c r="AH79" s="1650">
        <v>1550</v>
      </c>
      <c r="AI79" s="1650">
        <v>1161</v>
      </c>
      <c r="AJ79" s="1650">
        <v>2711</v>
      </c>
      <c r="AK79" s="1650">
        <f>SUM(AK41:AK78)</f>
        <v>469</v>
      </c>
      <c r="AL79" s="1650">
        <f>SUM(AL41:AL78)</f>
        <v>389</v>
      </c>
      <c r="AM79" s="1650">
        <f>SUM(AM41:AM78)</f>
        <v>858</v>
      </c>
      <c r="AN79" s="1650">
        <f t="shared" ref="AN79:AP79" si="4">SUM(AN41:AN78)</f>
        <v>1740</v>
      </c>
      <c r="AO79" s="1650">
        <f t="shared" si="4"/>
        <v>1334</v>
      </c>
      <c r="AP79" s="1650">
        <f t="shared" si="4"/>
        <v>3074</v>
      </c>
      <c r="AQ79" s="1650">
        <v>1632</v>
      </c>
      <c r="AR79" s="1650">
        <v>1420</v>
      </c>
      <c r="AS79" s="1650">
        <v>3052</v>
      </c>
      <c r="AT79" s="1650">
        <v>436</v>
      </c>
      <c r="AU79" s="1650">
        <v>354</v>
      </c>
      <c r="AV79" s="1650">
        <v>790</v>
      </c>
      <c r="AW79" s="1650">
        <f t="shared" si="2"/>
        <v>13158</v>
      </c>
    </row>
    <row r="80" spans="3:49" x14ac:dyDescent="0.4">
      <c r="C80" s="115" t="s">
        <v>195</v>
      </c>
    </row>
    <row r="81" spans="3:46" ht="17.45" customHeight="1" x14ac:dyDescent="0.4">
      <c r="C81" s="115" t="s">
        <v>5796</v>
      </c>
    </row>
    <row r="82" spans="3:46" x14ac:dyDescent="0.4">
      <c r="C82" s="3175" t="s">
        <v>5757</v>
      </c>
      <c r="D82" s="3175"/>
      <c r="E82" s="3175"/>
      <c r="F82" s="3175"/>
      <c r="G82" s="3175"/>
      <c r="H82" s="3175"/>
      <c r="I82" s="3175"/>
      <c r="J82" s="3175"/>
      <c r="K82" s="3175"/>
      <c r="L82" s="3175"/>
      <c r="M82" s="3175"/>
      <c r="N82" s="3175"/>
      <c r="O82" s="3175"/>
      <c r="P82" s="3175"/>
      <c r="Q82" s="3175"/>
      <c r="R82" s="3175"/>
      <c r="S82" s="3175"/>
      <c r="T82" s="3175"/>
      <c r="U82" s="3175"/>
      <c r="V82" s="3175"/>
      <c r="W82" s="3175"/>
      <c r="X82" s="1063"/>
      <c r="Y82" s="1063"/>
      <c r="Z82" s="1063"/>
      <c r="AA82" s="1063"/>
      <c r="AB82" s="1063"/>
      <c r="AC82" s="1063"/>
      <c r="AD82" s="1063"/>
      <c r="AE82" s="1063"/>
      <c r="AF82" s="1063"/>
      <c r="AG82" s="1063"/>
      <c r="AH82" s="1063"/>
      <c r="AI82" s="1063"/>
      <c r="AJ82" s="1063"/>
      <c r="AK82" s="1063"/>
      <c r="AL82" s="1063"/>
      <c r="AM82" s="1063"/>
      <c r="AN82" s="1063"/>
      <c r="AO82" s="1063"/>
      <c r="AP82" s="1063"/>
      <c r="AQ82" s="1063"/>
      <c r="AR82" s="1063"/>
      <c r="AS82" s="1063"/>
      <c r="AT82" s="1063"/>
    </row>
  </sheetData>
  <mergeCells count="49">
    <mergeCell ref="A5:B5"/>
    <mergeCell ref="C5:O5"/>
    <mergeCell ref="C1:D1"/>
    <mergeCell ref="A3:B3"/>
    <mergeCell ref="C3:O3"/>
    <mergeCell ref="A4:B4"/>
    <mergeCell ref="C4:O4"/>
    <mergeCell ref="AW11:AW13"/>
    <mergeCell ref="D12:F12"/>
    <mergeCell ref="G12:I12"/>
    <mergeCell ref="J12:L12"/>
    <mergeCell ref="M12:O12"/>
    <mergeCell ref="AB12:AD12"/>
    <mergeCell ref="AE12:AG12"/>
    <mergeCell ref="AT12:AV12"/>
    <mergeCell ref="A6:B6"/>
    <mergeCell ref="C6:O6"/>
    <mergeCell ref="C9:AQ9"/>
    <mergeCell ref="C11:C13"/>
    <mergeCell ref="D11:AM11"/>
    <mergeCell ref="AH12:AJ12"/>
    <mergeCell ref="AK12:AM12"/>
    <mergeCell ref="AN12:AP12"/>
    <mergeCell ref="AQ12:AS12"/>
    <mergeCell ref="C32:W32"/>
    <mergeCell ref="P12:R12"/>
    <mergeCell ref="S12:U12"/>
    <mergeCell ref="V12:X12"/>
    <mergeCell ref="Y12:AA12"/>
    <mergeCell ref="C36:AQ36"/>
    <mergeCell ref="C38:C40"/>
    <mergeCell ref="D38:AM38"/>
    <mergeCell ref="AW38:AW40"/>
    <mergeCell ref="D39:F39"/>
    <mergeCell ref="G39:I39"/>
    <mergeCell ref="J39:L39"/>
    <mergeCell ref="M39:O39"/>
    <mergeCell ref="P39:R39"/>
    <mergeCell ref="S39:U39"/>
    <mergeCell ref="AN39:AP39"/>
    <mergeCell ref="AQ39:AS39"/>
    <mergeCell ref="AT39:AV39"/>
    <mergeCell ref="AH39:AJ39"/>
    <mergeCell ref="AK39:AM39"/>
    <mergeCell ref="C82:W82"/>
    <mergeCell ref="V39:X39"/>
    <mergeCell ref="Y39:AA39"/>
    <mergeCell ref="AB39:AD39"/>
    <mergeCell ref="AE39:AG39"/>
  </mergeCells>
  <hyperlinks>
    <hyperlink ref="A1" location="'ODS 10.'!A1" display="REGRESAR" xr:uid="{6B75AB2D-62C4-4ED9-A5DC-AA79517BD593}"/>
    <hyperlink ref="C1:D1" location="'Metadato 10.7.4'!A1" display="VER METADATO" xr:uid="{42D137FD-271F-4FEF-A87B-7CBA03A102BE}"/>
  </hyperlinks>
  <pageMargins left="0.7" right="0.7" top="0.75" bottom="0.75" header="0.3" footer="0.3"/>
  <pageSetup paperSize="9"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FA0B-6080-4142-8724-D513D09C0CD9}">
  <sheetPr>
    <tabColor theme="0" tint="-0.499984740745262"/>
  </sheetPr>
  <dimension ref="B1:F41"/>
  <sheetViews>
    <sheetView showGridLines="0" zoomScaleNormal="100" workbookViewId="0">
      <pane ySplit="1" topLeftCell="A14"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317</v>
      </c>
    </row>
    <row r="4" spans="2:6" x14ac:dyDescent="0.4">
      <c r="B4" s="2445" t="s">
        <v>234</v>
      </c>
      <c r="C4" s="2445"/>
      <c r="D4" s="49" t="s">
        <v>5625</v>
      </c>
    </row>
    <row r="5" spans="2:6" ht="30.75" customHeight="1" x14ac:dyDescent="0.4">
      <c r="B5" s="2445" t="s">
        <v>79</v>
      </c>
      <c r="C5" s="2445"/>
      <c r="D5" s="49" t="s">
        <v>5606</v>
      </c>
    </row>
    <row r="6" spans="2:6" x14ac:dyDescent="0.4">
      <c r="B6" s="2445" t="s">
        <v>80</v>
      </c>
      <c r="C6" s="2445"/>
      <c r="D6" s="50" t="s">
        <v>5613</v>
      </c>
    </row>
    <row r="7" spans="2:6" x14ac:dyDescent="0.4">
      <c r="B7" s="2446" t="s">
        <v>81</v>
      </c>
      <c r="C7" s="2446"/>
      <c r="D7" s="93" t="s">
        <v>5614</v>
      </c>
    </row>
    <row r="8" spans="2:6" x14ac:dyDescent="0.4">
      <c r="B8" s="2457" t="s">
        <v>82</v>
      </c>
      <c r="C8" s="2458"/>
      <c r="D8" s="1047"/>
    </row>
    <row r="10" spans="2:6" ht="23.25" customHeight="1" x14ac:dyDescent="0.4">
      <c r="B10" s="3230" t="s">
        <v>85</v>
      </c>
      <c r="C10" s="3230"/>
      <c r="D10" s="3255"/>
    </row>
    <row r="11" spans="2:6" x14ac:dyDescent="0.4">
      <c r="B11" s="2487" t="s">
        <v>86</v>
      </c>
      <c r="C11" s="3256"/>
      <c r="D11" s="245" t="s">
        <v>307</v>
      </c>
    </row>
    <row r="12" spans="2:6" ht="21" customHeight="1" x14ac:dyDescent="0.4">
      <c r="B12" s="2446" t="s">
        <v>88</v>
      </c>
      <c r="C12" s="2457"/>
      <c r="D12" s="1654" t="s">
        <v>5797</v>
      </c>
    </row>
    <row r="13" spans="2:6" x14ac:dyDescent="0.4">
      <c r="B13" s="2445" t="s">
        <v>90</v>
      </c>
      <c r="C13" s="2487"/>
      <c r="D13" s="245" t="s">
        <v>5613</v>
      </c>
    </row>
    <row r="14" spans="2:6" x14ac:dyDescent="0.4">
      <c r="B14" s="2445" t="s">
        <v>91</v>
      </c>
      <c r="C14" s="3256"/>
      <c r="D14" s="245" t="s">
        <v>567</v>
      </c>
    </row>
    <row r="15" spans="2:6" ht="91.15" customHeight="1" x14ac:dyDescent="0.4">
      <c r="B15" s="2445" t="s">
        <v>93</v>
      </c>
      <c r="C15" s="2487"/>
      <c r="D15" s="1655" t="s">
        <v>5798</v>
      </c>
    </row>
    <row r="16" spans="2:6" x14ac:dyDescent="0.4">
      <c r="B16" s="2445" t="s">
        <v>95</v>
      </c>
      <c r="C16" s="2487"/>
      <c r="D16" s="245" t="s">
        <v>5799</v>
      </c>
    </row>
    <row r="17" spans="2:4" x14ac:dyDescent="0.4">
      <c r="B17" s="2445" t="s">
        <v>97</v>
      </c>
      <c r="C17" s="2487"/>
      <c r="D17" s="245" t="s">
        <v>90</v>
      </c>
    </row>
    <row r="18" spans="2:4" x14ac:dyDescent="0.4">
      <c r="B18" s="2446" t="s">
        <v>99</v>
      </c>
      <c r="C18" s="2457"/>
      <c r="D18" s="245"/>
    </row>
    <row r="19" spans="2:4" ht="14.65" customHeight="1" x14ac:dyDescent="0.4">
      <c r="B19" s="2457" t="s">
        <v>100</v>
      </c>
      <c r="C19" s="3257"/>
      <c r="D19" s="245" t="s">
        <v>5800</v>
      </c>
    </row>
    <row r="20" spans="2:4" x14ac:dyDescent="0.4">
      <c r="B20" s="2445" t="s">
        <v>102</v>
      </c>
      <c r="C20" s="2487"/>
      <c r="D20" s="245" t="s">
        <v>140</v>
      </c>
    </row>
    <row r="21" spans="2:4" x14ac:dyDescent="0.4">
      <c r="B21" s="2451" t="s">
        <v>104</v>
      </c>
      <c r="C21" s="1656" t="s">
        <v>105</v>
      </c>
      <c r="D21" s="245" t="s">
        <v>5801</v>
      </c>
    </row>
    <row r="22" spans="2:4" x14ac:dyDescent="0.4">
      <c r="B22" s="2452"/>
      <c r="C22" s="1657" t="s">
        <v>107</v>
      </c>
      <c r="D22" s="245"/>
    </row>
    <row r="23" spans="2:4" x14ac:dyDescent="0.4">
      <c r="B23" s="2445" t="s">
        <v>109</v>
      </c>
      <c r="C23" s="2487"/>
      <c r="D23" s="245" t="s">
        <v>143</v>
      </c>
    </row>
    <row r="24" spans="2:4" x14ac:dyDescent="0.4">
      <c r="B24" s="2445" t="s">
        <v>111</v>
      </c>
      <c r="C24" s="2487"/>
      <c r="D24" s="245" t="s">
        <v>5802</v>
      </c>
    </row>
    <row r="25" spans="2:4" x14ac:dyDescent="0.4">
      <c r="B25" s="2445" t="s">
        <v>113</v>
      </c>
      <c r="C25" s="2487"/>
      <c r="D25" s="245" t="s">
        <v>5803</v>
      </c>
    </row>
    <row r="26" spans="2:4" ht="14.65" customHeight="1" x14ac:dyDescent="0.4">
      <c r="B26" s="2446" t="s">
        <v>115</v>
      </c>
      <c r="C26" s="2457"/>
      <c r="D26" s="245" t="s">
        <v>5802</v>
      </c>
    </row>
    <row r="27" spans="2:4" x14ac:dyDescent="0.4">
      <c r="B27" s="2447" t="s">
        <v>117</v>
      </c>
      <c r="C27" s="3254"/>
      <c r="D27" s="245"/>
    </row>
    <row r="28" spans="2:4" x14ac:dyDescent="0.4">
      <c r="B28" s="97" t="s">
        <v>118</v>
      </c>
      <c r="C28" s="1658"/>
      <c r="D28" s="245" t="s">
        <v>5803</v>
      </c>
    </row>
    <row r="29" spans="2:4" x14ac:dyDescent="0.4">
      <c r="B29" s="2449" t="s">
        <v>120</v>
      </c>
      <c r="C29" s="2450"/>
      <c r="D29" s="1659"/>
    </row>
    <row r="30" spans="2:4" x14ac:dyDescent="0.4">
      <c r="B30" s="63"/>
      <c r="C30" s="63"/>
      <c r="D30" s="64"/>
    </row>
    <row r="31" spans="2:4" ht="23.25" customHeight="1" x14ac:dyDescent="0.4">
      <c r="B31" s="3230" t="s">
        <v>121</v>
      </c>
      <c r="C31" s="3230"/>
      <c r="D31" s="3230"/>
    </row>
    <row r="32" spans="2:4" x14ac:dyDescent="0.4">
      <c r="B32" s="2447" t="s">
        <v>122</v>
      </c>
      <c r="C32" s="2448"/>
      <c r="D32" s="245" t="s">
        <v>5804</v>
      </c>
    </row>
    <row r="33" spans="2:4" x14ac:dyDescent="0.4">
      <c r="B33" s="2447" t="s">
        <v>124</v>
      </c>
      <c r="C33" s="2448"/>
      <c r="D33" s="245" t="s">
        <v>5805</v>
      </c>
    </row>
    <row r="34" spans="2:4" x14ac:dyDescent="0.4">
      <c r="B34" s="2447" t="s">
        <v>126</v>
      </c>
      <c r="C34" s="2448"/>
      <c r="D34" s="245" t="s">
        <v>5806</v>
      </c>
    </row>
    <row r="35" spans="2:4" x14ac:dyDescent="0.4">
      <c r="B35" s="2447" t="s">
        <v>128</v>
      </c>
      <c r="C35" s="2448"/>
      <c r="D35" s="245" t="s">
        <v>5807</v>
      </c>
    </row>
    <row r="36" spans="2:4" x14ac:dyDescent="0.4">
      <c r="B36" s="2447" t="s">
        <v>130</v>
      </c>
      <c r="C36" s="2448"/>
      <c r="D36" s="1421" t="s">
        <v>5808</v>
      </c>
    </row>
    <row r="37" spans="2:4" x14ac:dyDescent="0.4">
      <c r="B37" s="2447" t="s">
        <v>122</v>
      </c>
      <c r="C37" s="2448"/>
      <c r="D37" s="245" t="s">
        <v>5809</v>
      </c>
    </row>
    <row r="38" spans="2:4" x14ac:dyDescent="0.4">
      <c r="B38" s="2447" t="s">
        <v>124</v>
      </c>
      <c r="C38" s="2448"/>
      <c r="D38" s="245" t="s">
        <v>5810</v>
      </c>
    </row>
    <row r="39" spans="2:4" x14ac:dyDescent="0.4">
      <c r="B39" s="2447" t="s">
        <v>126</v>
      </c>
      <c r="C39" s="2448"/>
      <c r="D39" s="245" t="s">
        <v>5806</v>
      </c>
    </row>
    <row r="40" spans="2:4" x14ac:dyDescent="0.4">
      <c r="B40" s="2447" t="s">
        <v>128</v>
      </c>
      <c r="C40" s="2448"/>
      <c r="D40" s="245" t="s">
        <v>5807</v>
      </c>
    </row>
    <row r="41" spans="2:4" x14ac:dyDescent="0.4">
      <c r="B41" s="2447" t="s">
        <v>130</v>
      </c>
      <c r="C41" s="2448"/>
      <c r="D41" s="1421" t="s">
        <v>5811</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allowBlank="1" showDropDown="1" showInputMessage="1" showErrorMessage="1" sqref="D13" xr:uid="{E3E6A5D4-9ABA-430B-A5A1-321F6886108E}"/>
    <dataValidation type="list" allowBlank="1" showInputMessage="1" showErrorMessage="1" sqref="D4" xr:uid="{8C57B0CA-E1DF-4511-A24A-54DBD8F87426}">
      <formula1>ODS</formula1>
    </dataValidation>
    <dataValidation type="list" allowBlank="1" showInputMessage="1" showErrorMessage="1" sqref="D5" xr:uid="{67E6C49B-FBBC-480E-8E85-028C8A5A166C}">
      <formula1>Metas_ODS</formula1>
    </dataValidation>
    <dataValidation type="list" allowBlank="1" showInputMessage="1" showErrorMessage="1" sqref="D6" xr:uid="{3D698D65-F157-4F77-8ED6-F1B24DE51A49}">
      <formula1>Numero_indicador</formula1>
    </dataValidation>
    <dataValidation type="list" allowBlank="1" showInputMessage="1" showErrorMessage="1" sqref="D7" xr:uid="{E39250A6-7528-4171-857C-61BD8E754D40}">
      <formula1>Nombre_indicador_ODS</formula1>
    </dataValidation>
    <dataValidation type="list" allowBlank="1" showInputMessage="1" showErrorMessage="1" sqref="D14" xr:uid="{334E8DDD-819F-4C51-BC40-0495F2253F0A}">
      <formula1>Tipo_indicador</formula1>
    </dataValidation>
  </dataValidations>
  <hyperlinks>
    <hyperlink ref="B1" location="'10.7.4'!A1" display="REGRESAR" xr:uid="{AD06B151-6E59-4CCA-A6C8-B8ABEEA7744C}"/>
    <hyperlink ref="D36" r:id="rId1" xr:uid="{2F4C3353-8048-4B2F-80DA-993217EC5714}"/>
    <hyperlink ref="D41" r:id="rId2" xr:uid="{886DBF05-BA18-41E1-A3AE-411CDA34C282}"/>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D303-DA24-46FF-8610-3F25C494B336}">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5703125" style="1032" customWidth="1"/>
    <col min="2" max="2" width="18.140625" style="1032" customWidth="1"/>
    <col min="3" max="3" width="11.7109375" style="1061" customWidth="1"/>
    <col min="4" max="6" width="11.7109375" style="1032" customWidth="1"/>
    <col min="7" max="16384" width="11.42578125" style="1032"/>
  </cols>
  <sheetData>
    <row r="1" spans="1:15" x14ac:dyDescent="0.4">
      <c r="A1" s="15" t="s">
        <v>39</v>
      </c>
      <c r="B1" s="1080"/>
      <c r="C1" s="2421" t="s">
        <v>149</v>
      </c>
      <c r="D1" s="2421"/>
    </row>
    <row r="3" spans="1:15" x14ac:dyDescent="0.4">
      <c r="A3" s="3240" t="s">
        <v>41</v>
      </c>
      <c r="B3" s="3240"/>
      <c r="C3" s="3243" t="s">
        <v>5585</v>
      </c>
      <c r="D3" s="3245"/>
      <c r="E3" s="3245"/>
      <c r="F3" s="3245"/>
      <c r="G3" s="3245"/>
      <c r="H3" s="3245"/>
      <c r="I3" s="3245"/>
      <c r="J3" s="3245"/>
      <c r="K3" s="3245"/>
      <c r="L3" s="3245"/>
      <c r="M3" s="3245"/>
      <c r="N3" s="3245"/>
      <c r="O3" s="3245"/>
    </row>
    <row r="4" spans="1:15" x14ac:dyDescent="0.4">
      <c r="A4" s="3240" t="s">
        <v>42</v>
      </c>
      <c r="B4" s="3240"/>
      <c r="C4" s="3246" t="s">
        <v>5615</v>
      </c>
      <c r="D4" s="3258"/>
      <c r="E4" s="3258"/>
      <c r="F4" s="3258"/>
      <c r="G4" s="3258"/>
      <c r="H4" s="3258"/>
      <c r="I4" s="3258"/>
      <c r="J4" s="3258"/>
      <c r="K4" s="3258"/>
      <c r="L4" s="3258"/>
      <c r="M4" s="3258"/>
      <c r="N4" s="3258"/>
      <c r="O4" s="3258"/>
    </row>
    <row r="5" spans="1:15" x14ac:dyDescent="0.4">
      <c r="A5" s="3240" t="s">
        <v>43</v>
      </c>
      <c r="B5" s="3240"/>
      <c r="C5" s="3243" t="s">
        <v>5617</v>
      </c>
      <c r="D5" s="3245"/>
      <c r="E5" s="3245"/>
      <c r="F5" s="3245"/>
      <c r="G5" s="3245"/>
      <c r="H5" s="3245"/>
      <c r="I5" s="3245"/>
      <c r="J5" s="3245"/>
      <c r="K5" s="3245"/>
      <c r="L5" s="3245"/>
      <c r="M5" s="3245"/>
      <c r="N5" s="3245"/>
      <c r="O5" s="3245"/>
    </row>
    <row r="6" spans="1:15" x14ac:dyDescent="0.4">
      <c r="A6" s="3240" t="s">
        <v>132</v>
      </c>
      <c r="B6" s="3240"/>
      <c r="C6" s="3243" t="s">
        <v>242</v>
      </c>
      <c r="D6" s="3245"/>
      <c r="E6" s="3245"/>
      <c r="F6" s="3245"/>
      <c r="G6" s="3245"/>
      <c r="H6" s="3245"/>
      <c r="I6" s="3245"/>
      <c r="J6" s="3245"/>
      <c r="K6" s="3245"/>
      <c r="L6" s="3245"/>
      <c r="M6" s="3245"/>
      <c r="N6" s="3245"/>
      <c r="O6" s="3245"/>
    </row>
    <row r="7" spans="1:15" x14ac:dyDescent="0.4">
      <c r="A7" s="1084"/>
    </row>
    <row r="8" spans="1:15" x14ac:dyDescent="0.4">
      <c r="A8" s="1084"/>
    </row>
    <row r="9" spans="1:15" ht="11.25" customHeight="1" x14ac:dyDescent="0.4">
      <c r="A9" s="1084"/>
      <c r="C9" s="2506" t="s">
        <v>650</v>
      </c>
      <c r="D9" s="2506"/>
      <c r="E9" s="2506"/>
      <c r="F9" s="2506"/>
      <c r="G9" s="2506"/>
      <c r="H9" s="2506"/>
      <c r="I9" s="2506"/>
      <c r="J9" s="2506"/>
      <c r="K9" s="2506"/>
      <c r="L9" s="2506"/>
      <c r="M9" s="2506"/>
      <c r="N9" s="2506"/>
      <c r="O9" s="2506"/>
    </row>
    <row r="10" spans="1:15" ht="11.25" customHeight="1" x14ac:dyDescent="0.4">
      <c r="A10" s="1084"/>
      <c r="C10" s="2506"/>
      <c r="D10" s="2506"/>
      <c r="E10" s="2506"/>
      <c r="F10" s="2506"/>
      <c r="G10" s="2506"/>
      <c r="H10" s="2506"/>
      <c r="I10" s="2506"/>
      <c r="J10" s="2506"/>
      <c r="K10" s="2506"/>
      <c r="L10" s="2506"/>
      <c r="M10" s="2506"/>
      <c r="N10" s="2506"/>
      <c r="O10" s="2506"/>
    </row>
    <row r="11" spans="1:15" x14ac:dyDescent="0.4">
      <c r="A11" s="1084"/>
    </row>
    <row r="12" spans="1:15" x14ac:dyDescent="0.4">
      <c r="A12" s="1084"/>
    </row>
    <row r="13" spans="1:15" x14ac:dyDescent="0.4">
      <c r="A13" s="1084"/>
    </row>
    <row r="14" spans="1:15" x14ac:dyDescent="0.4">
      <c r="A14" s="1084"/>
      <c r="C14" s="3070" t="s">
        <v>5812</v>
      </c>
      <c r="D14" s="3070"/>
      <c r="E14" s="3070"/>
      <c r="F14" s="3070"/>
      <c r="G14" s="3070"/>
      <c r="H14" s="3070"/>
      <c r="I14" s="3070"/>
      <c r="J14" s="3070"/>
      <c r="K14" s="3070"/>
      <c r="L14" s="3070"/>
      <c r="M14" s="3070"/>
    </row>
    <row r="15" spans="1:15" x14ac:dyDescent="0.4">
      <c r="A15" s="1084"/>
      <c r="C15" s="3070"/>
      <c r="D15" s="3070"/>
      <c r="E15" s="3070"/>
      <c r="F15" s="3070"/>
      <c r="G15" s="3070"/>
      <c r="H15" s="3070"/>
      <c r="I15" s="3070"/>
      <c r="J15" s="3070"/>
      <c r="K15" s="3070"/>
      <c r="L15" s="3070"/>
      <c r="M15" s="3070"/>
    </row>
    <row r="16" spans="1:15" x14ac:dyDescent="0.4">
      <c r="A16" s="1084"/>
      <c r="C16" s="3070"/>
      <c r="D16" s="3070"/>
      <c r="E16" s="3070"/>
      <c r="F16" s="3070"/>
      <c r="G16" s="3070"/>
      <c r="H16" s="3070"/>
      <c r="I16" s="3070"/>
      <c r="J16" s="3070"/>
      <c r="K16" s="3070"/>
      <c r="L16" s="3070"/>
      <c r="M16" s="3070"/>
    </row>
    <row r="17" spans="1:15" x14ac:dyDescent="0.4">
      <c r="A17" s="1084"/>
      <c r="C17" s="3070"/>
      <c r="D17" s="3070"/>
      <c r="E17" s="3070"/>
      <c r="F17" s="3070"/>
      <c r="G17" s="3070"/>
      <c r="H17" s="3070"/>
      <c r="I17" s="3070"/>
      <c r="J17" s="3070"/>
      <c r="K17" s="3070"/>
      <c r="L17" s="3070"/>
      <c r="M17" s="3070"/>
    </row>
    <row r="18" spans="1:15" x14ac:dyDescent="0.4">
      <c r="A18" s="1084"/>
      <c r="C18" s="3070"/>
      <c r="D18" s="3070"/>
      <c r="E18" s="3070"/>
      <c r="F18" s="3070"/>
      <c r="G18" s="3070"/>
      <c r="H18" s="3070"/>
      <c r="I18" s="3070"/>
      <c r="J18" s="3070"/>
      <c r="K18" s="3070"/>
      <c r="L18" s="3070"/>
      <c r="M18" s="3070"/>
    </row>
    <row r="19" spans="1:15" x14ac:dyDescent="0.4">
      <c r="A19" s="1084"/>
    </row>
    <row r="20" spans="1:15" x14ac:dyDescent="0.4">
      <c r="A20" s="1084"/>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494" t="s">
        <v>652</v>
      </c>
      <c r="B26" s="2494"/>
      <c r="C26" s="2494"/>
      <c r="D26" s="2494"/>
      <c r="E26" s="2494"/>
      <c r="F26" s="2494"/>
      <c r="G26" s="2494"/>
      <c r="H26" s="2494"/>
      <c r="I26" s="2494"/>
      <c r="J26" s="2494"/>
      <c r="K26" s="2494"/>
      <c r="L26" s="2494"/>
      <c r="M26" s="2494"/>
      <c r="N26" s="2494"/>
      <c r="O26" s="2494"/>
    </row>
  </sheetData>
  <mergeCells count="12">
    <mergeCell ref="A5:B5"/>
    <mergeCell ref="C5:O5"/>
    <mergeCell ref="C1:D1"/>
    <mergeCell ref="A3:B3"/>
    <mergeCell ref="C3:O3"/>
    <mergeCell ref="A4:B4"/>
    <mergeCell ref="C4:O4"/>
    <mergeCell ref="A6:B6"/>
    <mergeCell ref="C6:O6"/>
    <mergeCell ref="C9:O10"/>
    <mergeCell ref="C14:M18"/>
    <mergeCell ref="A26:O26"/>
  </mergeCells>
  <hyperlinks>
    <hyperlink ref="A1" location="'ODS 10.'!A1" display="REGRESAR" xr:uid="{3ED5FDFC-A0A2-402C-8C8F-60814A20CB43}"/>
    <hyperlink ref="C1:D1" location="'Metadato 10.a.1'!A1" display="VER METADATO" xr:uid="{EDB1DCCC-D76C-4792-B43D-D707DEC40588}"/>
  </hyperlinks>
  <pageMargins left="0.7" right="0.7" top="0.75" bottom="0.75" header="0.3" footer="0.3"/>
  <pageSetup paperSize="9" orientation="portrait"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5308-B30D-4F2B-8FA9-46740B3BDF4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317</v>
      </c>
    </row>
    <row r="4" spans="2:6" x14ac:dyDescent="0.4">
      <c r="B4" s="2445" t="s">
        <v>234</v>
      </c>
      <c r="C4" s="2445"/>
      <c r="D4" s="49" t="s">
        <v>5625</v>
      </c>
    </row>
    <row r="5" spans="2:6" ht="37.5" x14ac:dyDescent="0.4">
      <c r="B5" s="2445" t="s">
        <v>79</v>
      </c>
      <c r="C5" s="2445"/>
      <c r="D5" s="49" t="s">
        <v>5615</v>
      </c>
    </row>
    <row r="6" spans="2:6" x14ac:dyDescent="0.4">
      <c r="B6" s="2445" t="s">
        <v>80</v>
      </c>
      <c r="C6" s="2445"/>
      <c r="D6" s="50" t="s">
        <v>5616</v>
      </c>
    </row>
    <row r="7" spans="2:6" ht="37.5" x14ac:dyDescent="0.4">
      <c r="B7" s="2446" t="s">
        <v>81</v>
      </c>
      <c r="C7" s="2446"/>
      <c r="D7" s="93" t="s">
        <v>5617</v>
      </c>
    </row>
    <row r="8" spans="2:6" x14ac:dyDescent="0.4">
      <c r="B8" s="2457" t="s">
        <v>82</v>
      </c>
      <c r="C8" s="2458"/>
      <c r="D8" s="1047" t="s">
        <v>5813</v>
      </c>
    </row>
    <row r="10" spans="2:6" ht="23.25" customHeight="1" x14ac:dyDescent="0.4">
      <c r="B10" s="3230" t="s">
        <v>85</v>
      </c>
      <c r="C10" s="3230"/>
      <c r="D10" s="3230"/>
    </row>
    <row r="11" spans="2:6" x14ac:dyDescent="0.4">
      <c r="B11" s="2487" t="s">
        <v>86</v>
      </c>
      <c r="C11" s="2456"/>
      <c r="D11" s="49"/>
    </row>
    <row r="12" spans="2:6" ht="15" customHeight="1"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ht="15" customHeight="1"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654</v>
      </c>
    </row>
    <row r="25" spans="2:4" x14ac:dyDescent="0.4">
      <c r="B25" s="2445" t="s">
        <v>113</v>
      </c>
      <c r="C25" s="2445"/>
      <c r="D25" s="55"/>
    </row>
    <row r="26" spans="2:4" ht="15" customHeight="1"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F81C052-DB8F-4DD8-8D11-6B5F3DD514E2}"/>
    <dataValidation type="list" allowBlank="1" showInputMessage="1" showErrorMessage="1" sqref="D4" xr:uid="{2495253D-679A-4DCE-89C0-8D5A13EF3F60}">
      <formula1>ODS</formula1>
    </dataValidation>
    <dataValidation type="list" allowBlank="1" showInputMessage="1" showErrorMessage="1" sqref="D5" xr:uid="{2F209EA3-B3C8-4CFF-9111-30B7E5410CCD}">
      <formula1>Metas_ODS</formula1>
    </dataValidation>
    <dataValidation type="list" allowBlank="1" showInputMessage="1" showErrorMessage="1" sqref="D6" xr:uid="{BEDC378B-9F5B-4C3D-93D8-1E7B570300B1}">
      <formula1>Numero_indicador</formula1>
    </dataValidation>
    <dataValidation type="list" allowBlank="1" showInputMessage="1" showErrorMessage="1" sqref="D7" xr:uid="{6EC9F2C7-09C3-4393-BE8E-FAFA12026C55}">
      <formula1>Nombre_indicador_ODS</formula1>
    </dataValidation>
    <dataValidation type="list" allowBlank="1" showInputMessage="1" showErrorMessage="1" sqref="D14" xr:uid="{CCD86FAE-F0C2-424C-9EF3-84F2AA2971D1}">
      <formula1>Tipo_indicador</formula1>
    </dataValidation>
    <dataValidation type="list" allowBlank="1" showInputMessage="1" showErrorMessage="1" sqref="D25" xr:uid="{778E361B-D6A6-4A55-A6F5-45E8659B5841}">
      <formula1>Tipo_operación</formula1>
    </dataValidation>
  </dataValidations>
  <hyperlinks>
    <hyperlink ref="B1" location="'10.a.1'!A1" display="REGRESAR" xr:uid="{1945EF64-9D35-48BC-ADE9-640327FD7A02}"/>
    <hyperlink ref="D8" r:id="rId1" xr:uid="{557AF86D-17F6-4281-B573-C61FBBFBA530}"/>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B9AB-9EFA-4AD2-8328-AD3FF904D184}">
  <sheetPr>
    <tabColor rgb="FF7030A0"/>
  </sheetPr>
  <dimension ref="A1:O26"/>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28515625" style="1032" customWidth="1"/>
    <col min="2" max="2" width="18.7109375" style="1032" customWidth="1"/>
    <col min="3" max="3" width="12.28515625" style="1061" customWidth="1"/>
    <col min="4" max="7" width="12.28515625" style="1032" customWidth="1"/>
    <col min="8" max="14" width="11.42578125" style="1032"/>
    <col min="15" max="15" width="16.140625" style="1032" customWidth="1"/>
    <col min="16" max="16384" width="11.42578125" style="1032"/>
  </cols>
  <sheetData>
    <row r="1" spans="1:15" x14ac:dyDescent="0.4">
      <c r="A1" s="15" t="s">
        <v>39</v>
      </c>
      <c r="B1" s="1080"/>
      <c r="C1" s="2421" t="s">
        <v>149</v>
      </c>
      <c r="D1" s="2421"/>
    </row>
    <row r="3" spans="1:15" x14ac:dyDescent="0.4">
      <c r="A3" s="3240" t="s">
        <v>41</v>
      </c>
      <c r="B3" s="3240"/>
      <c r="C3" s="3243" t="s">
        <v>5585</v>
      </c>
      <c r="D3" s="3245"/>
      <c r="E3" s="3245"/>
      <c r="F3" s="3245"/>
      <c r="G3" s="3245"/>
      <c r="H3" s="3245"/>
      <c r="I3" s="3245"/>
      <c r="J3" s="3245"/>
      <c r="K3" s="3245"/>
      <c r="L3" s="3245"/>
      <c r="M3" s="3245"/>
      <c r="N3" s="3245"/>
      <c r="O3" s="3245"/>
    </row>
    <row r="4" spans="1:15" x14ac:dyDescent="0.4">
      <c r="A4" s="3240" t="s">
        <v>42</v>
      </c>
      <c r="B4" s="3240"/>
      <c r="C4" s="3246" t="s">
        <v>5618</v>
      </c>
      <c r="D4" s="3258"/>
      <c r="E4" s="3258"/>
      <c r="F4" s="3258"/>
      <c r="G4" s="3258"/>
      <c r="H4" s="3258"/>
      <c r="I4" s="3258"/>
      <c r="J4" s="3258"/>
      <c r="K4" s="3258"/>
      <c r="L4" s="3258"/>
      <c r="M4" s="3258"/>
      <c r="N4" s="3258"/>
      <c r="O4" s="3258"/>
    </row>
    <row r="5" spans="1:15" x14ac:dyDescent="0.4">
      <c r="A5" s="3240" t="s">
        <v>43</v>
      </c>
      <c r="B5" s="3240"/>
      <c r="C5" s="3243" t="s">
        <v>5620</v>
      </c>
      <c r="D5" s="3245"/>
      <c r="E5" s="3245"/>
      <c r="F5" s="3245"/>
      <c r="G5" s="3245"/>
      <c r="H5" s="3245"/>
      <c r="I5" s="3245"/>
      <c r="J5" s="3245"/>
      <c r="K5" s="3245"/>
      <c r="L5" s="3245"/>
      <c r="M5" s="3245"/>
      <c r="N5" s="3245"/>
      <c r="O5" s="3245"/>
    </row>
    <row r="6" spans="1:15" x14ac:dyDescent="0.4">
      <c r="A6" s="3240" t="s">
        <v>132</v>
      </c>
      <c r="B6" s="3240"/>
      <c r="C6" s="3243" t="s">
        <v>242</v>
      </c>
      <c r="D6" s="3245"/>
      <c r="E6" s="3245"/>
      <c r="F6" s="3245"/>
      <c r="G6" s="3245"/>
      <c r="H6" s="3245"/>
      <c r="I6" s="3245"/>
      <c r="J6" s="3245"/>
      <c r="K6" s="3245"/>
      <c r="L6" s="3245"/>
      <c r="M6" s="3245"/>
      <c r="N6" s="3245"/>
      <c r="O6" s="3245"/>
    </row>
    <row r="7" spans="1:15" x14ac:dyDescent="0.4">
      <c r="A7" s="1084"/>
    </row>
    <row r="8" spans="1:15" x14ac:dyDescent="0.4">
      <c r="A8" s="1084"/>
    </row>
    <row r="9" spans="1:15" ht="11.25" customHeight="1" x14ac:dyDescent="0.4">
      <c r="A9" s="1084"/>
      <c r="C9" s="2506" t="s">
        <v>650</v>
      </c>
      <c r="D9" s="2506"/>
      <c r="E9" s="2506"/>
      <c r="F9" s="2506"/>
      <c r="G9" s="2506"/>
      <c r="H9" s="2506"/>
      <c r="I9" s="2506"/>
      <c r="J9" s="2506"/>
      <c r="K9" s="2506"/>
      <c r="L9" s="2506"/>
      <c r="M9" s="2506"/>
      <c r="N9" s="2506"/>
      <c r="O9" s="2506"/>
    </row>
    <row r="10" spans="1:15" ht="11.25" customHeight="1" x14ac:dyDescent="0.4">
      <c r="A10" s="1084"/>
      <c r="C10" s="2506"/>
      <c r="D10" s="2506"/>
      <c r="E10" s="2506"/>
      <c r="F10" s="2506"/>
      <c r="G10" s="2506"/>
      <c r="H10" s="2506"/>
      <c r="I10" s="2506"/>
      <c r="J10" s="2506"/>
      <c r="K10" s="2506"/>
      <c r="L10" s="2506"/>
      <c r="M10" s="2506"/>
      <c r="N10" s="2506"/>
      <c r="O10" s="2506"/>
    </row>
    <row r="11" spans="1:15" x14ac:dyDescent="0.4">
      <c r="A11" s="1084"/>
    </row>
    <row r="12" spans="1:15" x14ac:dyDescent="0.4">
      <c r="A12" s="1084"/>
    </row>
    <row r="13" spans="1:15" x14ac:dyDescent="0.4">
      <c r="C13" s="3070" t="s">
        <v>5814</v>
      </c>
      <c r="D13" s="3070"/>
      <c r="E13" s="3070"/>
      <c r="F13" s="3070"/>
      <c r="G13" s="3070"/>
      <c r="H13" s="3070"/>
      <c r="I13" s="3070"/>
      <c r="J13" s="3070"/>
      <c r="K13" s="3070"/>
      <c r="L13" s="3070"/>
      <c r="M13" s="3070"/>
      <c r="N13" s="3070"/>
    </row>
    <row r="14" spans="1:15" x14ac:dyDescent="0.4">
      <c r="C14" s="3070"/>
      <c r="D14" s="3070"/>
      <c r="E14" s="3070"/>
      <c r="F14" s="3070"/>
      <c r="G14" s="3070"/>
      <c r="H14" s="3070"/>
      <c r="I14" s="3070"/>
      <c r="J14" s="3070"/>
      <c r="K14" s="3070"/>
      <c r="L14" s="3070"/>
      <c r="M14" s="3070"/>
      <c r="N14" s="3070"/>
    </row>
    <row r="15" spans="1:15" x14ac:dyDescent="0.4">
      <c r="C15" s="3070"/>
      <c r="D15" s="3070"/>
      <c r="E15" s="3070"/>
      <c r="F15" s="3070"/>
      <c r="G15" s="3070"/>
      <c r="H15" s="3070"/>
      <c r="I15" s="3070"/>
      <c r="J15" s="3070"/>
      <c r="K15" s="3070"/>
      <c r="L15" s="3070"/>
      <c r="M15" s="3070"/>
      <c r="N15" s="3070"/>
    </row>
    <row r="16" spans="1:15" x14ac:dyDescent="0.4">
      <c r="C16" s="3070"/>
      <c r="D16" s="3070"/>
      <c r="E16" s="3070"/>
      <c r="F16" s="3070"/>
      <c r="G16" s="3070"/>
      <c r="H16" s="3070"/>
      <c r="I16" s="3070"/>
      <c r="J16" s="3070"/>
      <c r="K16" s="3070"/>
      <c r="L16" s="3070"/>
      <c r="M16" s="3070"/>
      <c r="N16" s="3070"/>
    </row>
    <row r="17" spans="1:15" x14ac:dyDescent="0.4">
      <c r="C17" s="3070"/>
      <c r="D17" s="3070"/>
      <c r="E17" s="3070"/>
      <c r="F17" s="3070"/>
      <c r="G17" s="3070"/>
      <c r="H17" s="3070"/>
      <c r="I17" s="3070"/>
      <c r="J17" s="3070"/>
      <c r="K17" s="3070"/>
      <c r="L17" s="3070"/>
      <c r="M17" s="3070"/>
      <c r="N17" s="3070"/>
    </row>
    <row r="18" spans="1:15" x14ac:dyDescent="0.4">
      <c r="C18" s="3070"/>
      <c r="D18" s="3070"/>
      <c r="E18" s="3070"/>
      <c r="F18" s="3070"/>
      <c r="G18" s="3070"/>
      <c r="H18" s="3070"/>
      <c r="I18" s="3070"/>
      <c r="J18" s="3070"/>
      <c r="K18" s="3070"/>
      <c r="L18" s="3070"/>
      <c r="M18" s="3070"/>
      <c r="N18" s="3070"/>
    </row>
    <row r="19" spans="1:15" x14ac:dyDescent="0.4">
      <c r="C19" s="3070"/>
      <c r="D19" s="3070"/>
      <c r="E19" s="3070"/>
      <c r="F19" s="3070"/>
      <c r="G19" s="3070"/>
      <c r="H19" s="3070"/>
      <c r="I19" s="3070"/>
      <c r="J19" s="3070"/>
      <c r="K19" s="3070"/>
      <c r="L19" s="3070"/>
      <c r="M19" s="3070"/>
      <c r="N19" s="307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494" t="s">
        <v>652</v>
      </c>
      <c r="B26" s="2494"/>
      <c r="C26" s="2494"/>
      <c r="D26" s="2494"/>
      <c r="E26" s="2494"/>
      <c r="F26" s="2494"/>
      <c r="G26" s="2494"/>
      <c r="H26" s="2494"/>
      <c r="I26" s="2494"/>
      <c r="J26" s="2494"/>
      <c r="K26" s="2494"/>
      <c r="L26" s="2494"/>
      <c r="M26" s="2494"/>
      <c r="N26" s="2494"/>
      <c r="O26" s="2494"/>
    </row>
  </sheetData>
  <mergeCells count="12">
    <mergeCell ref="A5:B5"/>
    <mergeCell ref="C5:O5"/>
    <mergeCell ref="C1:D1"/>
    <mergeCell ref="A3:B3"/>
    <mergeCell ref="C3:O3"/>
    <mergeCell ref="A4:B4"/>
    <mergeCell ref="C4:O4"/>
    <mergeCell ref="A6:B6"/>
    <mergeCell ref="C6:O6"/>
    <mergeCell ref="C9:O10"/>
    <mergeCell ref="C13:N19"/>
    <mergeCell ref="A26:O26"/>
  </mergeCells>
  <hyperlinks>
    <hyperlink ref="A1" location="'ODS 10.'!A1" display="REGRESAR" xr:uid="{DF2A9FA1-D0F5-4790-9BB6-FFDA0B4644BB}"/>
    <hyperlink ref="C1:D1" location="'Metadato 10.b.1'!A1" display="VER METADATO" xr:uid="{F66FA00F-63BE-48C3-9CF5-1444C5B570AA}"/>
  </hyperlinks>
  <pageMargins left="0.7" right="0.7" top="0.75" bottom="0.75" header="0.3" footer="0.3"/>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D0712-4F82-4823-BF4F-5636DC12D1E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317</v>
      </c>
    </row>
    <row r="4" spans="2:6" x14ac:dyDescent="0.4">
      <c r="B4" s="2445" t="s">
        <v>234</v>
      </c>
      <c r="C4" s="2445"/>
      <c r="D4" s="49" t="s">
        <v>5625</v>
      </c>
    </row>
    <row r="5" spans="2:6" ht="75" x14ac:dyDescent="0.4">
      <c r="B5" s="2445" t="s">
        <v>79</v>
      </c>
      <c r="C5" s="2445"/>
      <c r="D5" s="49" t="s">
        <v>5618</v>
      </c>
    </row>
    <row r="6" spans="2:6" ht="22.5" customHeight="1" x14ac:dyDescent="0.4">
      <c r="B6" s="2445" t="s">
        <v>80</v>
      </c>
      <c r="C6" s="2445"/>
      <c r="D6" s="50" t="s">
        <v>5619</v>
      </c>
    </row>
    <row r="7" spans="2:6" ht="56.25" x14ac:dyDescent="0.4">
      <c r="B7" s="2446" t="s">
        <v>81</v>
      </c>
      <c r="C7" s="2446"/>
      <c r="D7" s="93" t="s">
        <v>5620</v>
      </c>
    </row>
    <row r="8" spans="2:6" x14ac:dyDescent="0.4">
      <c r="B8" s="2446" t="s">
        <v>82</v>
      </c>
      <c r="C8" s="2446"/>
      <c r="D8" s="1047" t="s">
        <v>5815</v>
      </c>
    </row>
    <row r="10" spans="2:6" ht="23.25" customHeight="1" x14ac:dyDescent="0.4">
      <c r="B10" s="3230" t="s">
        <v>85</v>
      </c>
      <c r="C10" s="3230"/>
      <c r="D10" s="3230"/>
    </row>
    <row r="11" spans="2:6" x14ac:dyDescent="0.4">
      <c r="B11" s="2487" t="s">
        <v>86</v>
      </c>
      <c r="C11" s="2456"/>
      <c r="D11" s="49"/>
    </row>
    <row r="12" spans="2:6"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826" t="s">
        <v>321</v>
      </c>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30" t="s">
        <v>121</v>
      </c>
      <c r="C31" s="3230"/>
      <c r="D31" s="323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251CAC2-EB98-43B9-953E-00FBA02B129A}"/>
    <dataValidation type="list" allowBlank="1" showInputMessage="1" showErrorMessage="1" sqref="D4" xr:uid="{6B77BD17-4355-4B68-94FF-0D9EFD52D24B}">
      <formula1>ODS</formula1>
    </dataValidation>
    <dataValidation type="list" allowBlank="1" showInputMessage="1" showErrorMessage="1" sqref="D5" xr:uid="{47C62D33-730B-40FF-B0BA-35289B06F84B}">
      <formula1>Metas_ODS</formula1>
    </dataValidation>
    <dataValidation type="list" allowBlank="1" showInputMessage="1" showErrorMessage="1" sqref="D6" xr:uid="{ACDC0C90-A0B2-40AB-BC8D-6ACC7FB2BE23}">
      <formula1>Numero_indicador</formula1>
    </dataValidation>
    <dataValidation type="list" allowBlank="1" showInputMessage="1" showErrorMessage="1" sqref="D7" xr:uid="{CF6EADC5-9E24-4F0C-B4BF-D9D7981C6AB7}">
      <formula1>Nombre_indicador_ODS</formula1>
    </dataValidation>
    <dataValidation type="list" allowBlank="1" showInputMessage="1" showErrorMessage="1" sqref="D14" xr:uid="{8C12D8D8-C4C8-4692-BB1A-BFFC2362897B}">
      <formula1>Tipo_indicador</formula1>
    </dataValidation>
    <dataValidation type="list" allowBlank="1" showInputMessage="1" showErrorMessage="1" sqref="D25" xr:uid="{49435DB9-6AC7-4A52-9A3C-BAF474EE849B}">
      <formula1>Tipo_operación</formula1>
    </dataValidation>
  </dataValidations>
  <hyperlinks>
    <hyperlink ref="B1" location="'10.b.1'!A1" display="REGRESAR" xr:uid="{F69ADFC8-1BE9-42C0-9DA9-10264DCEE2CA}"/>
    <hyperlink ref="D8" r:id="rId1" xr:uid="{4E813874-4D0F-4BF0-8B33-34734AF2A67E}"/>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50E2-2A19-487A-801C-0E8DB2071F7A}">
  <dimension ref="A1:O46"/>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8.42578125" style="115" customWidth="1"/>
    <col min="3" max="3" width="17" style="115" customWidth="1"/>
    <col min="4" max="5" width="11.5703125" style="115" customWidth="1"/>
    <col min="6" max="16384" width="11.42578125" style="115"/>
  </cols>
  <sheetData>
    <row r="1" spans="1:15" s="1032" customFormat="1" ht="19.5" x14ac:dyDescent="0.4">
      <c r="A1" s="15" t="s">
        <v>39</v>
      </c>
      <c r="C1" s="2421" t="s">
        <v>149</v>
      </c>
      <c r="D1" s="2421"/>
    </row>
    <row r="2" spans="1:15" s="1032" customFormat="1" ht="19.5" x14ac:dyDescent="0.4"/>
    <row r="3" spans="1:15" s="1032" customFormat="1" ht="19.5" x14ac:dyDescent="0.4">
      <c r="A3" s="3240" t="s">
        <v>41</v>
      </c>
      <c r="B3" s="3240"/>
      <c r="C3" s="3243" t="s">
        <v>5585</v>
      </c>
      <c r="D3" s="3245"/>
      <c r="E3" s="3245"/>
      <c r="F3" s="3245"/>
      <c r="G3" s="3245"/>
      <c r="H3" s="3245"/>
      <c r="I3" s="3245"/>
      <c r="J3" s="3245"/>
      <c r="K3" s="3245"/>
      <c r="L3" s="3245"/>
      <c r="M3" s="3245"/>
      <c r="N3" s="3245"/>
      <c r="O3" s="3245"/>
    </row>
    <row r="4" spans="1:15" s="1032" customFormat="1" ht="19.5" x14ac:dyDescent="0.4">
      <c r="A4" s="3240" t="s">
        <v>42</v>
      </c>
      <c r="B4" s="3241"/>
      <c r="C4" s="3246" t="s">
        <v>5816</v>
      </c>
      <c r="D4" s="3247"/>
      <c r="E4" s="3247"/>
      <c r="F4" s="3247"/>
      <c r="G4" s="3247"/>
      <c r="H4" s="3247"/>
      <c r="I4" s="3247"/>
      <c r="J4" s="3247"/>
      <c r="K4" s="3247"/>
      <c r="L4" s="3247"/>
      <c r="M4" s="3247"/>
      <c r="N4" s="3247"/>
      <c r="O4" s="3247"/>
    </row>
    <row r="5" spans="1:15" s="1032" customFormat="1" ht="19.5" x14ac:dyDescent="0.4">
      <c r="A5" s="3240" t="s">
        <v>43</v>
      </c>
      <c r="B5" s="3241"/>
      <c r="C5" s="1660" t="s">
        <v>5817</v>
      </c>
      <c r="D5" s="1660"/>
      <c r="E5" s="1661"/>
      <c r="F5" s="1662"/>
      <c r="G5" s="1662"/>
      <c r="H5" s="1662"/>
      <c r="I5" s="1662"/>
      <c r="J5" s="1662"/>
      <c r="K5" s="1662"/>
      <c r="L5" s="1662"/>
      <c r="M5" s="1662"/>
      <c r="N5" s="1662"/>
      <c r="O5" s="1662"/>
    </row>
    <row r="6" spans="1:15" s="1032" customFormat="1" ht="19.5" x14ac:dyDescent="0.4">
      <c r="A6" s="3240" t="s">
        <v>132</v>
      </c>
      <c r="B6" s="3241"/>
      <c r="C6" s="3243" t="s">
        <v>5818</v>
      </c>
      <c r="D6" s="3244"/>
      <c r="E6" s="3244"/>
      <c r="F6" s="3244"/>
      <c r="G6" s="3244"/>
      <c r="H6" s="3244"/>
      <c r="I6" s="3244"/>
      <c r="J6" s="3244"/>
      <c r="K6" s="3244"/>
      <c r="L6" s="3244"/>
      <c r="M6" s="3244"/>
      <c r="N6" s="3244"/>
      <c r="O6" s="3244"/>
    </row>
    <row r="7" spans="1:15" s="1032" customFormat="1" ht="19.5" x14ac:dyDescent="0.4"/>
    <row r="8" spans="1:15" s="1032" customFormat="1" ht="19.5" x14ac:dyDescent="0.4">
      <c r="A8" s="1084"/>
    </row>
    <row r="9" spans="1:15" s="1032" customFormat="1" ht="79.900000000000006" customHeight="1" x14ac:dyDescent="0.4">
      <c r="A9" s="1084"/>
      <c r="C9" s="2438" t="s">
        <v>5818</v>
      </c>
      <c r="D9" s="2438"/>
      <c r="E9" s="2438"/>
      <c r="F9" s="1663"/>
      <c r="H9" s="2438" t="s">
        <v>5819</v>
      </c>
      <c r="I9" s="2438"/>
      <c r="J9" s="2438"/>
      <c r="K9" s="2438"/>
      <c r="L9" s="2438"/>
      <c r="M9" s="2438"/>
      <c r="N9" s="2438"/>
      <c r="O9" s="533"/>
    </row>
    <row r="10" spans="1:15" ht="32.450000000000003" customHeight="1" x14ac:dyDescent="0.4">
      <c r="A10" s="536"/>
      <c r="C10" s="3259" t="s">
        <v>46</v>
      </c>
      <c r="D10" s="3229" t="s">
        <v>5820</v>
      </c>
      <c r="E10" s="3228"/>
      <c r="F10" s="536"/>
    </row>
    <row r="11" spans="1:15" ht="15" customHeight="1" x14ac:dyDescent="0.4">
      <c r="A11" s="536"/>
      <c r="C11" s="3260"/>
      <c r="D11" s="1664" t="s">
        <v>5821</v>
      </c>
      <c r="E11" s="1664" t="s">
        <v>5822</v>
      </c>
      <c r="F11" s="536"/>
    </row>
    <row r="12" spans="1:15" x14ac:dyDescent="0.4">
      <c r="A12" s="536"/>
      <c r="C12" s="115" t="s">
        <v>5823</v>
      </c>
      <c r="D12" s="115">
        <v>8.3000000000000007</v>
      </c>
      <c r="E12" s="115">
        <v>4.57</v>
      </c>
    </row>
    <row r="13" spans="1:15" x14ac:dyDescent="0.4">
      <c r="C13" s="115" t="s">
        <v>5824</v>
      </c>
      <c r="D13" s="115">
        <v>6.58</v>
      </c>
      <c r="E13" s="115">
        <v>4.5199999999999996</v>
      </c>
    </row>
    <row r="14" spans="1:15" x14ac:dyDescent="0.4">
      <c r="C14" s="115" t="s">
        <v>5825</v>
      </c>
      <c r="D14" s="115">
        <v>6.22</v>
      </c>
      <c r="E14" s="115">
        <v>4.13</v>
      </c>
    </row>
    <row r="15" spans="1:15" ht="15" customHeight="1" x14ac:dyDescent="0.4">
      <c r="C15" s="115" t="s">
        <v>5826</v>
      </c>
      <c r="D15" s="115">
        <v>5.61</v>
      </c>
      <c r="E15" s="115">
        <v>3.58</v>
      </c>
    </row>
    <row r="16" spans="1:15" x14ac:dyDescent="0.4">
      <c r="C16" s="115" t="s">
        <v>5827</v>
      </c>
      <c r="D16" s="115">
        <v>4.9000000000000004</v>
      </c>
      <c r="E16" s="115">
        <v>2.91</v>
      </c>
    </row>
    <row r="17" spans="3:8" ht="15" customHeight="1" x14ac:dyDescent="0.4">
      <c r="C17" s="115" t="s">
        <v>5828</v>
      </c>
      <c r="D17" s="115">
        <v>5.78</v>
      </c>
      <c r="E17" s="115">
        <v>3.61</v>
      </c>
    </row>
    <row r="18" spans="3:8" ht="15" customHeight="1" x14ac:dyDescent="0.4">
      <c r="C18" s="115" t="s">
        <v>5829</v>
      </c>
      <c r="D18" s="115">
        <v>5.38</v>
      </c>
      <c r="E18" s="115">
        <v>3.06</v>
      </c>
    </row>
    <row r="19" spans="3:8" ht="15" customHeight="1" x14ac:dyDescent="0.4">
      <c r="C19" s="115" t="s">
        <v>5830</v>
      </c>
      <c r="D19" s="115">
        <v>5.71</v>
      </c>
      <c r="E19" s="115">
        <v>3.61</v>
      </c>
    </row>
    <row r="20" spans="3:8" ht="15" customHeight="1" x14ac:dyDescent="0.4">
      <c r="C20" s="115" t="s">
        <v>5831</v>
      </c>
      <c r="D20" s="115">
        <v>6.47</v>
      </c>
      <c r="E20" s="115">
        <v>5.24</v>
      </c>
    </row>
    <row r="21" spans="3:8" ht="15" customHeight="1" x14ac:dyDescent="0.4">
      <c r="C21" s="115" t="s">
        <v>5832</v>
      </c>
      <c r="D21" s="115">
        <v>5.68</v>
      </c>
      <c r="E21" s="115">
        <v>3.74</v>
      </c>
    </row>
    <row r="22" spans="3:8" ht="15" customHeight="1" x14ac:dyDescent="0.4">
      <c r="C22" s="115" t="s">
        <v>5833</v>
      </c>
      <c r="D22" s="115">
        <v>5.91</v>
      </c>
      <c r="E22" s="115">
        <v>3.93</v>
      </c>
    </row>
    <row r="23" spans="3:8" ht="15" customHeight="1" x14ac:dyDescent="0.4">
      <c r="C23" s="115" t="s">
        <v>5834</v>
      </c>
      <c r="D23" s="115">
        <v>6.61</v>
      </c>
      <c r="E23" s="115">
        <v>4.33</v>
      </c>
    </row>
    <row r="24" spans="3:8" ht="15" customHeight="1" x14ac:dyDescent="0.4">
      <c r="C24" s="115" t="s">
        <v>5835</v>
      </c>
      <c r="D24" s="115">
        <v>7.55</v>
      </c>
      <c r="E24" s="115">
        <v>5.47</v>
      </c>
      <c r="H24" s="301" t="s">
        <v>5836</v>
      </c>
    </row>
    <row r="25" spans="3:8" ht="15" customHeight="1" x14ac:dyDescent="0.4">
      <c r="C25" s="115" t="s">
        <v>5837</v>
      </c>
      <c r="D25" s="115">
        <v>7.2</v>
      </c>
      <c r="E25" s="115">
        <v>5.12</v>
      </c>
    </row>
    <row r="26" spans="3:8" ht="15" customHeight="1" x14ac:dyDescent="0.4">
      <c r="C26" s="115" t="s">
        <v>5838</v>
      </c>
      <c r="D26" s="115">
        <v>5.77</v>
      </c>
      <c r="E26" s="115">
        <v>4.07</v>
      </c>
    </row>
    <row r="27" spans="3:8" ht="15" customHeight="1" x14ac:dyDescent="0.4">
      <c r="C27" s="115" t="s">
        <v>5839</v>
      </c>
      <c r="D27" s="115">
        <v>6.74</v>
      </c>
      <c r="E27" s="115">
        <v>5</v>
      </c>
    </row>
    <row r="28" spans="3:8" ht="15" customHeight="1" x14ac:dyDescent="0.4">
      <c r="C28" s="115" t="s">
        <v>5840</v>
      </c>
      <c r="D28" s="115">
        <v>6.43</v>
      </c>
      <c r="E28" s="115">
        <v>4.6900000000000004</v>
      </c>
    </row>
    <row r="29" spans="3:8" x14ac:dyDescent="0.4">
      <c r="C29" s="115" t="s">
        <v>5841</v>
      </c>
      <c r="D29" s="115">
        <v>6.49</v>
      </c>
      <c r="E29" s="115">
        <v>4.7699999999999996</v>
      </c>
      <c r="F29" s="541"/>
    </row>
    <row r="30" spans="3:8" x14ac:dyDescent="0.4">
      <c r="C30" s="115" t="s">
        <v>5842</v>
      </c>
      <c r="D30" s="115">
        <v>6.84</v>
      </c>
      <c r="E30" s="115">
        <v>5.21</v>
      </c>
    </row>
    <row r="31" spans="3:8" x14ac:dyDescent="0.4">
      <c r="C31" s="115" t="s">
        <v>5843</v>
      </c>
      <c r="D31" s="115">
        <v>6.6</v>
      </c>
      <c r="E31" s="115">
        <v>4.8499999999999996</v>
      </c>
    </row>
    <row r="32" spans="3:8" x14ac:dyDescent="0.4">
      <c r="C32" s="115" t="s">
        <v>5844</v>
      </c>
      <c r="D32" s="115">
        <v>6.55</v>
      </c>
      <c r="E32" s="115">
        <v>4.78</v>
      </c>
    </row>
    <row r="33" spans="3:5" x14ac:dyDescent="0.4">
      <c r="C33" s="115" t="s">
        <v>5845</v>
      </c>
      <c r="D33" s="115">
        <v>7.44</v>
      </c>
      <c r="E33" s="115">
        <v>5.69</v>
      </c>
    </row>
    <row r="34" spans="3:5" x14ac:dyDescent="0.4">
      <c r="C34" s="115" t="s">
        <v>5846</v>
      </c>
      <c r="D34" s="115">
        <v>7</v>
      </c>
      <c r="E34" s="115">
        <v>5.21</v>
      </c>
    </row>
    <row r="35" spans="3:5" x14ac:dyDescent="0.4">
      <c r="C35" s="115" t="s">
        <v>5847</v>
      </c>
      <c r="D35" s="115">
        <v>6.69</v>
      </c>
      <c r="E35" s="115">
        <v>4.7</v>
      </c>
    </row>
    <row r="36" spans="3:5" x14ac:dyDescent="0.4">
      <c r="C36" s="115" t="s">
        <v>5848</v>
      </c>
      <c r="D36" s="115">
        <v>6.49</v>
      </c>
      <c r="E36" s="115">
        <v>4.82</v>
      </c>
    </row>
    <row r="37" spans="3:5" x14ac:dyDescent="0.4">
      <c r="C37" s="115" t="s">
        <v>5849</v>
      </c>
      <c r="D37" s="115">
        <v>6.23</v>
      </c>
      <c r="E37" s="115">
        <v>4.5999999999999996</v>
      </c>
    </row>
    <row r="38" spans="3:5" x14ac:dyDescent="0.4">
      <c r="C38" s="115" t="s">
        <v>5850</v>
      </c>
      <c r="D38" s="115">
        <v>5.95</v>
      </c>
      <c r="E38" s="115">
        <v>4.2699999999999996</v>
      </c>
    </row>
    <row r="39" spans="3:5" x14ac:dyDescent="0.4">
      <c r="C39" s="115" t="s">
        <v>5851</v>
      </c>
      <c r="D39" s="115">
        <v>6.22</v>
      </c>
      <c r="E39" s="115">
        <v>4.47</v>
      </c>
    </row>
    <row r="40" spans="3:5" x14ac:dyDescent="0.4">
      <c r="C40" s="115" t="s">
        <v>5852</v>
      </c>
      <c r="D40" s="115">
        <v>6.36</v>
      </c>
      <c r="E40" s="115">
        <v>4.84</v>
      </c>
    </row>
    <row r="41" spans="3:5" x14ac:dyDescent="0.4">
      <c r="C41" s="115" t="s">
        <v>5853</v>
      </c>
      <c r="D41" s="115">
        <v>6.41</v>
      </c>
      <c r="E41" s="115">
        <v>4.9400000000000004</v>
      </c>
    </row>
    <row r="42" spans="3:5" x14ac:dyDescent="0.4">
      <c r="C42" s="115" t="s">
        <v>5854</v>
      </c>
      <c r="D42" s="115">
        <v>6.08</v>
      </c>
      <c r="E42" s="115">
        <v>4.54</v>
      </c>
    </row>
    <row r="43" spans="3:5" x14ac:dyDescent="0.4">
      <c r="C43" s="115" t="s">
        <v>5855</v>
      </c>
      <c r="D43" s="115">
        <v>6</v>
      </c>
      <c r="E43" s="115">
        <v>4.46</v>
      </c>
    </row>
    <row r="44" spans="3:5" x14ac:dyDescent="0.4">
      <c r="C44" s="120" t="s">
        <v>5856</v>
      </c>
      <c r="D44" s="120"/>
      <c r="E44" s="120"/>
    </row>
    <row r="45" spans="3:5" ht="17.45" customHeight="1" x14ac:dyDescent="0.4">
      <c r="C45" s="1665" t="s">
        <v>5857</v>
      </c>
    </row>
    <row r="46" spans="3:5" ht="22.9" customHeight="1" x14ac:dyDescent="0.4">
      <c r="C46" s="115" t="s">
        <v>5858</v>
      </c>
    </row>
  </sheetData>
  <mergeCells count="12">
    <mergeCell ref="A5:B5"/>
    <mergeCell ref="C1:D1"/>
    <mergeCell ref="A3:B3"/>
    <mergeCell ref="C3:O3"/>
    <mergeCell ref="A4:B4"/>
    <mergeCell ref="C4:O4"/>
    <mergeCell ref="A6:B6"/>
    <mergeCell ref="C6:O6"/>
    <mergeCell ref="C9:E9"/>
    <mergeCell ref="H9:N9"/>
    <mergeCell ref="C10:C11"/>
    <mergeCell ref="D10:E10"/>
  </mergeCells>
  <hyperlinks>
    <hyperlink ref="A1" location="'ODS 10.'!A1" display="REGRESAR" xr:uid="{C9A68344-3936-4EDA-824E-FF6495EADA1C}"/>
    <hyperlink ref="C1:D1" location="'Metadato 10.c.1'!A1" display="VER METADATO" xr:uid="{81271CE7-39F9-4F58-B90E-4286A2811656}"/>
    <hyperlink ref="C45" r:id="rId1" xr:uid="{D05981BA-A9A7-40AE-B22B-BA464A4B09DC}"/>
  </hyperlinks>
  <pageMargins left="0.7" right="0.7" top="0.75" bottom="0.75" header="0.3" footer="0.3"/>
  <pageSetup orientation="portrait" r:id="rId2"/>
  <drawing r:id="rId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0A0C-2DB0-4625-ABB2-B7895C7A171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0.28515625" style="115" customWidth="1"/>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230" t="s">
        <v>75</v>
      </c>
      <c r="C3" s="3230"/>
      <c r="D3" s="3230"/>
      <c r="F3" s="1046" t="s">
        <v>76</v>
      </c>
    </row>
    <row r="4" spans="2:6" x14ac:dyDescent="0.4">
      <c r="B4" s="2445" t="s">
        <v>234</v>
      </c>
      <c r="C4" s="2445"/>
      <c r="D4" s="49" t="s">
        <v>5625</v>
      </c>
    </row>
    <row r="5" spans="2:6" ht="37.5" x14ac:dyDescent="0.4">
      <c r="B5" s="2445" t="s">
        <v>79</v>
      </c>
      <c r="C5" s="2445"/>
      <c r="D5" s="49" t="s">
        <v>5621</v>
      </c>
    </row>
    <row r="6" spans="2:6" x14ac:dyDescent="0.4">
      <c r="B6" s="2445" t="s">
        <v>80</v>
      </c>
      <c r="C6" s="2445"/>
      <c r="D6" s="50" t="s">
        <v>5622</v>
      </c>
    </row>
    <row r="7" spans="2:6" x14ac:dyDescent="0.4">
      <c r="B7" s="2446" t="s">
        <v>81</v>
      </c>
      <c r="C7" s="2446"/>
      <c r="D7" s="93" t="s">
        <v>5623</v>
      </c>
    </row>
    <row r="8" spans="2:6" x14ac:dyDescent="0.4">
      <c r="B8" s="2446" t="s">
        <v>82</v>
      </c>
      <c r="C8" s="2446"/>
      <c r="D8" s="1047" t="s">
        <v>5859</v>
      </c>
    </row>
    <row r="10" spans="2:6" ht="19.5" x14ac:dyDescent="0.4">
      <c r="B10" s="3230" t="s">
        <v>85</v>
      </c>
      <c r="C10" s="3230"/>
      <c r="D10" s="3230"/>
    </row>
    <row r="11" spans="2:6" ht="20.25" customHeight="1" x14ac:dyDescent="0.4">
      <c r="B11" s="2487" t="s">
        <v>86</v>
      </c>
      <c r="C11" s="2456"/>
      <c r="D11" s="49" t="s">
        <v>167</v>
      </c>
    </row>
    <row r="12" spans="2:6" ht="37.5" x14ac:dyDescent="0.4">
      <c r="B12" s="2446" t="s">
        <v>88</v>
      </c>
      <c r="C12" s="2446"/>
      <c r="D12" s="1666" t="s">
        <v>5860</v>
      </c>
    </row>
    <row r="13" spans="2:6" x14ac:dyDescent="0.4">
      <c r="B13" s="2445" t="s">
        <v>90</v>
      </c>
      <c r="C13" s="2445"/>
      <c r="D13" s="594" t="s">
        <v>5622</v>
      </c>
    </row>
    <row r="14" spans="2:6" x14ac:dyDescent="0.4">
      <c r="B14" s="2445" t="s">
        <v>91</v>
      </c>
      <c r="C14" s="2456"/>
      <c r="D14" s="54" t="s">
        <v>92</v>
      </c>
    </row>
    <row r="15" spans="2:6" ht="318.75" x14ac:dyDescent="0.4">
      <c r="B15" s="2445" t="s">
        <v>93</v>
      </c>
      <c r="C15" s="2445"/>
      <c r="D15" s="55" t="s">
        <v>5861</v>
      </c>
    </row>
    <row r="16" spans="2:6" ht="39.75" customHeight="1" x14ac:dyDescent="0.4">
      <c r="B16" s="2445" t="s">
        <v>95</v>
      </c>
      <c r="C16" s="2445"/>
      <c r="D16" s="594"/>
    </row>
    <row r="17" spans="1:4" ht="17.25" customHeight="1" x14ac:dyDescent="0.4">
      <c r="B17" s="2445" t="s">
        <v>97</v>
      </c>
      <c r="C17" s="2445"/>
      <c r="D17" s="594" t="s">
        <v>5862</v>
      </c>
    </row>
    <row r="18" spans="1:4" x14ac:dyDescent="0.4">
      <c r="B18" s="2446" t="s">
        <v>99</v>
      </c>
      <c r="C18" s="2446"/>
      <c r="D18" s="49"/>
    </row>
    <row r="19" spans="1:4" ht="30" customHeight="1" x14ac:dyDescent="0.4">
      <c r="B19" s="2457" t="s">
        <v>100</v>
      </c>
      <c r="C19" s="2458"/>
      <c r="D19" s="594" t="s">
        <v>5863</v>
      </c>
    </row>
    <row r="20" spans="1:4" x14ac:dyDescent="0.4">
      <c r="B20" s="2445" t="s">
        <v>102</v>
      </c>
      <c r="C20" s="2445"/>
      <c r="D20" s="594" t="s">
        <v>5864</v>
      </c>
    </row>
    <row r="21" spans="1:4" x14ac:dyDescent="0.4">
      <c r="B21" s="2451" t="s">
        <v>104</v>
      </c>
      <c r="C21" s="95" t="s">
        <v>105</v>
      </c>
      <c r="D21" s="49"/>
    </row>
    <row r="22" spans="1:4" x14ac:dyDescent="0.4">
      <c r="B22" s="2452"/>
      <c r="C22" s="96" t="s">
        <v>107</v>
      </c>
      <c r="D22" s="594" t="s">
        <v>5865</v>
      </c>
    </row>
    <row r="23" spans="1:4" x14ac:dyDescent="0.4">
      <c r="B23" s="2445" t="s">
        <v>109</v>
      </c>
      <c r="C23" s="2445"/>
      <c r="D23" s="594" t="s">
        <v>5866</v>
      </c>
    </row>
    <row r="24" spans="1:4" x14ac:dyDescent="0.4">
      <c r="B24" s="2445" t="s">
        <v>111</v>
      </c>
      <c r="C24" s="2445"/>
      <c r="D24" s="826" t="s">
        <v>5867</v>
      </c>
    </row>
    <row r="25" spans="1:4" x14ac:dyDescent="0.4">
      <c r="B25" s="2445" t="s">
        <v>113</v>
      </c>
      <c r="C25" s="2445"/>
      <c r="D25" s="55" t="s">
        <v>220</v>
      </c>
    </row>
    <row r="26" spans="1:4" ht="37.5" x14ac:dyDescent="0.4">
      <c r="B26" s="2446" t="s">
        <v>115</v>
      </c>
      <c r="C26" s="2446"/>
      <c r="D26" s="1667" t="s">
        <v>5868</v>
      </c>
    </row>
    <row r="27" spans="1:4" x14ac:dyDescent="0.4">
      <c r="B27" s="2447" t="s">
        <v>117</v>
      </c>
      <c r="C27" s="2448"/>
      <c r="D27" s="49"/>
    </row>
    <row r="28" spans="1:4" ht="56.25" x14ac:dyDescent="0.4">
      <c r="B28" s="97" t="s">
        <v>118</v>
      </c>
      <c r="C28" s="98"/>
      <c r="D28" s="630" t="s">
        <v>5869</v>
      </c>
    </row>
    <row r="29" spans="1:4" ht="15" customHeight="1" x14ac:dyDescent="0.4">
      <c r="A29" s="1048"/>
      <c r="B29" s="2449" t="s">
        <v>120</v>
      </c>
      <c r="C29" s="2450"/>
      <c r="D29" s="62"/>
    </row>
    <row r="30" spans="1:4" x14ac:dyDescent="0.4">
      <c r="B30" s="63"/>
      <c r="C30" s="63"/>
      <c r="D30" s="64"/>
    </row>
    <row r="31" spans="1:4" ht="19.5" x14ac:dyDescent="0.4">
      <c r="B31" s="3230" t="s">
        <v>121</v>
      </c>
      <c r="C31" s="3230"/>
      <c r="D31" s="3230"/>
    </row>
    <row r="32" spans="1:4" x14ac:dyDescent="0.4">
      <c r="B32" s="2447" t="s">
        <v>122</v>
      </c>
      <c r="C32" s="2448"/>
      <c r="D32" s="826" t="s">
        <v>1760</v>
      </c>
    </row>
    <row r="33" spans="2:4" x14ac:dyDescent="0.4">
      <c r="B33" s="2447" t="s">
        <v>124</v>
      </c>
      <c r="C33" s="2448"/>
      <c r="D33" s="826" t="s">
        <v>5864</v>
      </c>
    </row>
    <row r="34" spans="2:4" x14ac:dyDescent="0.4">
      <c r="B34" s="2447" t="s">
        <v>126</v>
      </c>
      <c r="C34" s="2448"/>
      <c r="D34" s="826" t="s">
        <v>5870</v>
      </c>
    </row>
    <row r="35" spans="2:4" x14ac:dyDescent="0.4">
      <c r="B35" s="2447" t="s">
        <v>128</v>
      </c>
      <c r="C35" s="2448"/>
      <c r="D35" s="594" t="s">
        <v>1760</v>
      </c>
    </row>
    <row r="36" spans="2:4" ht="37.5" x14ac:dyDescent="0.4">
      <c r="B36" s="2447" t="s">
        <v>130</v>
      </c>
      <c r="C36" s="2448"/>
      <c r="D36" s="1668" t="s">
        <v>5868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E2B7E39-1F65-48D9-B34A-3C2299E85DCB}">
      <formula1>ODS</formula1>
    </dataValidation>
    <dataValidation type="list" allowBlank="1" showInputMessage="1" showErrorMessage="1" sqref="D5" xr:uid="{1E3737A7-A56C-4F0F-82D0-F66DCCCF2FAE}">
      <formula1>Metas_ODS</formula1>
    </dataValidation>
    <dataValidation type="list" allowBlank="1" showInputMessage="1" showErrorMessage="1" sqref="D6" xr:uid="{483F43B5-91D6-471E-937D-753C768F09AF}">
      <formula1>Numero_indicador</formula1>
    </dataValidation>
    <dataValidation type="list" allowBlank="1" showInputMessage="1" showErrorMessage="1" sqref="D7" xr:uid="{07512BC5-D376-4574-8B9F-204D4E47CEAC}">
      <formula1>Nombre_indicador_ODS</formula1>
    </dataValidation>
    <dataValidation type="list" allowBlank="1" showInputMessage="1" showErrorMessage="1" sqref="D14" xr:uid="{AB8620AE-0BC0-4D2A-B815-79246B82949E}">
      <formula1>Tipo_indicador</formula1>
    </dataValidation>
    <dataValidation type="list" allowBlank="1" showInputMessage="1" showErrorMessage="1" sqref="D25" xr:uid="{F30692D2-01FF-48B9-81C5-4D66787C3BB1}">
      <formula1>Tipo_operación</formula1>
    </dataValidation>
  </dataValidations>
  <hyperlinks>
    <hyperlink ref="B1" location="'10.c.1'!A1" display="REGRESAR" xr:uid="{B2270BED-E845-49D9-8872-4130F5473AF3}"/>
    <hyperlink ref="D36" r:id="rId1" xr:uid="{06E8DCF6-9706-494C-8CD7-0CC8E8CC26A5}"/>
    <hyperlink ref="D26" r:id="rId2" xr:uid="{13C008B8-F80E-4AAD-B323-A8278432782C}"/>
    <hyperlink ref="D8" r:id="rId3" xr:uid="{CC743877-C330-49A6-BED3-720725F0AF5E}"/>
  </hyperlinks>
  <pageMargins left="0.7" right="0.7" top="0.75" bottom="0.75" header="0.3" footer="0.3"/>
  <pageSetup orientation="portrait" r:id="rId4"/>
  <drawing r:id="rId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03BB-9094-4A7C-BFA4-67EDFE5408BA}">
  <sheetPr>
    <tabColor rgb="FFFD9D24"/>
  </sheetPr>
  <dimension ref="A1:E20"/>
  <sheetViews>
    <sheetView showGridLines="0" workbookViewId="0">
      <pane ySplit="4" topLeftCell="A11" activePane="bottomLeft" state="frozen"/>
      <selection sqref="A1:B1"/>
      <selection pane="bottomLeft" sqref="A1:B1"/>
    </sheetView>
  </sheetViews>
  <sheetFormatPr baseColWidth="10" defaultColWidth="11.5703125" defaultRowHeight="18.75" x14ac:dyDescent="0.4"/>
  <cols>
    <col min="1" max="2" width="11.5703125" style="5"/>
    <col min="3" max="3" width="64.42578125" style="5" customWidth="1"/>
    <col min="4" max="4" width="14" style="5" customWidth="1"/>
    <col min="5" max="5" width="82.7109375" style="5" customWidth="1"/>
    <col min="6" max="16384" width="11.5703125" style="5"/>
  </cols>
  <sheetData>
    <row r="1" spans="1:5" ht="19.5" x14ac:dyDescent="0.4">
      <c r="A1" s="2410" t="s">
        <v>1</v>
      </c>
      <c r="B1" s="2410"/>
    </row>
    <row r="3" spans="1:5" ht="57.6" customHeight="1" x14ac:dyDescent="0.4">
      <c r="A3" s="3261"/>
      <c r="B3" s="3261"/>
      <c r="C3" s="3262" t="s">
        <v>5871</v>
      </c>
      <c r="D3" s="3262"/>
      <c r="E3" s="3262"/>
    </row>
    <row r="4" spans="1:5" s="3" customFormat="1" ht="42.6" customHeight="1" x14ac:dyDescent="0.25">
      <c r="A4" s="3261"/>
      <c r="B4" s="3261"/>
      <c r="C4" s="1669" t="s">
        <v>3</v>
      </c>
      <c r="D4" s="1669" t="s">
        <v>4</v>
      </c>
      <c r="E4" s="1669" t="s">
        <v>5</v>
      </c>
    </row>
    <row r="5" spans="1:5" s="3" customFormat="1" ht="52.5" customHeight="1" x14ac:dyDescent="0.25">
      <c r="C5" s="10" t="s">
        <v>5872</v>
      </c>
      <c r="D5" s="11" t="s">
        <v>5873</v>
      </c>
      <c r="E5" s="12" t="s">
        <v>5874</v>
      </c>
    </row>
    <row r="6" spans="1:5" s="3" customFormat="1" ht="136.5" x14ac:dyDescent="0.25">
      <c r="C6" s="10" t="s">
        <v>5875</v>
      </c>
      <c r="D6" s="13" t="s">
        <v>5876</v>
      </c>
      <c r="E6" s="14" t="s">
        <v>5877</v>
      </c>
    </row>
    <row r="7" spans="1:5" s="3" customFormat="1" ht="33.75" customHeight="1" x14ac:dyDescent="0.25">
      <c r="C7" s="2408" t="s">
        <v>5878</v>
      </c>
      <c r="D7" s="13" t="s">
        <v>5879</v>
      </c>
      <c r="E7" s="14" t="s">
        <v>5880</v>
      </c>
    </row>
    <row r="8" spans="1:5" s="3" customFormat="1" ht="51.75" customHeight="1" x14ac:dyDescent="0.25">
      <c r="C8" s="2409"/>
      <c r="D8" s="11" t="s">
        <v>5881</v>
      </c>
      <c r="E8" s="12" t="s">
        <v>5882</v>
      </c>
    </row>
    <row r="9" spans="1:5" s="3" customFormat="1" ht="78" x14ac:dyDescent="0.25">
      <c r="C9" s="10" t="s">
        <v>5883</v>
      </c>
      <c r="D9" s="11" t="s">
        <v>5884</v>
      </c>
      <c r="E9" s="12" t="s">
        <v>5885</v>
      </c>
    </row>
    <row r="10" spans="1:5" s="3" customFormat="1" ht="64.150000000000006" customHeight="1" x14ac:dyDescent="0.25">
      <c r="C10" s="2564" t="s">
        <v>5886</v>
      </c>
      <c r="D10" s="11" t="s">
        <v>5887</v>
      </c>
      <c r="E10" s="12" t="s">
        <v>5888</v>
      </c>
    </row>
    <row r="11" spans="1:5" s="3" customFormat="1" ht="66" customHeight="1" x14ac:dyDescent="0.25">
      <c r="C11" s="2565"/>
      <c r="D11" s="11" t="s">
        <v>5889</v>
      </c>
      <c r="E11" s="12" t="s">
        <v>5890</v>
      </c>
    </row>
    <row r="12" spans="1:5" s="3" customFormat="1" ht="66" customHeight="1" x14ac:dyDescent="0.25">
      <c r="C12" s="2566"/>
      <c r="D12" s="11" t="s">
        <v>5891</v>
      </c>
      <c r="E12" s="12" t="s">
        <v>5892</v>
      </c>
    </row>
    <row r="13" spans="1:5" s="3" customFormat="1" ht="60" customHeight="1" x14ac:dyDescent="0.25">
      <c r="C13" s="2408" t="s">
        <v>5893</v>
      </c>
      <c r="D13" s="11" t="s">
        <v>5894</v>
      </c>
      <c r="E13" s="12" t="s">
        <v>5895</v>
      </c>
    </row>
    <row r="14" spans="1:5" s="3" customFormat="1" ht="46.15" customHeight="1" x14ac:dyDescent="0.25">
      <c r="C14" s="2409"/>
      <c r="D14" s="11" t="s">
        <v>5896</v>
      </c>
      <c r="E14" s="12" t="s">
        <v>5897</v>
      </c>
    </row>
    <row r="15" spans="1:5" s="3" customFormat="1" ht="57.6" customHeight="1" x14ac:dyDescent="0.25">
      <c r="C15" s="2408" t="s">
        <v>5898</v>
      </c>
      <c r="D15" s="13" t="s">
        <v>5899</v>
      </c>
      <c r="E15" s="14" t="s">
        <v>5900</v>
      </c>
    </row>
    <row r="16" spans="1:5" s="3" customFormat="1" ht="48" customHeight="1" x14ac:dyDescent="0.25">
      <c r="C16" s="2409"/>
      <c r="D16" s="11" t="s">
        <v>5901</v>
      </c>
      <c r="E16" s="12" t="s">
        <v>5902</v>
      </c>
    </row>
    <row r="17" spans="3:5" s="3" customFormat="1" ht="58.5" x14ac:dyDescent="0.25">
      <c r="C17" s="10" t="s">
        <v>5903</v>
      </c>
      <c r="D17" s="13" t="s">
        <v>5904</v>
      </c>
      <c r="E17" s="14" t="s">
        <v>5905</v>
      </c>
    </row>
    <row r="18" spans="3:5" s="3" customFormat="1" ht="72.599999999999994" customHeight="1" x14ac:dyDescent="0.25">
      <c r="C18" s="2408" t="s">
        <v>5906</v>
      </c>
      <c r="D18" s="13" t="s">
        <v>5907</v>
      </c>
      <c r="E18" s="14" t="s">
        <v>5908</v>
      </c>
    </row>
    <row r="19" spans="3:5" s="3" customFormat="1" ht="80.45" customHeight="1" x14ac:dyDescent="0.25">
      <c r="C19" s="2409"/>
      <c r="D19" s="11" t="s">
        <v>5909</v>
      </c>
      <c r="E19" s="12" t="s">
        <v>5910</v>
      </c>
    </row>
    <row r="20" spans="3:5" s="3" customFormat="1" ht="78" x14ac:dyDescent="0.25">
      <c r="C20" s="10" t="s">
        <v>5911</v>
      </c>
      <c r="D20" s="1670"/>
      <c r="E20" s="10" t="s">
        <v>5912</v>
      </c>
    </row>
  </sheetData>
  <mergeCells count="9">
    <mergeCell ref="C13:C14"/>
    <mergeCell ref="C15:C16"/>
    <mergeCell ref="C18:C19"/>
    <mergeCell ref="A1:B1"/>
    <mergeCell ref="A3:B3"/>
    <mergeCell ref="C3:E3"/>
    <mergeCell ref="A4:B4"/>
    <mergeCell ref="C7:C8"/>
    <mergeCell ref="C10:C12"/>
  </mergeCells>
  <hyperlinks>
    <hyperlink ref="A1" location="Objetivos!A1" display="REGRESAR A INICIO" xr:uid="{55331786-1D34-46F1-92AD-F8326DBD8BF5}"/>
    <hyperlink ref="A1:B1" location="'Lista de Objetivos'!A1" display="REGRESAR A INICIO" xr:uid="{F0751DE6-D84C-4889-8214-D44604D56715}"/>
    <hyperlink ref="D5" location="'11.1.1.a'!A1" display="11.1.1" xr:uid="{08CB1740-7625-4C1C-A5DF-5888D36C92E9}"/>
    <hyperlink ref="E5" location="'11.1.1.a'!A1" display="11.1.1 Proporción de la población urbana que vive en barrios marginales, asentamientos informales o viviendas inadecuadas" xr:uid="{4D77DCAB-83BC-49E8-A13C-8BFFA4515612}"/>
    <hyperlink ref="D6" location="'11.2.1'!A1" display="11.2.1" xr:uid="{55C7236C-A700-4344-81F7-4EDE24571EF5}"/>
    <hyperlink ref="E6" location="'11.2.1'!A1" display="11.2.1 Proporción de la población que tiene fácil acceso al transporte público, desglosada por sexo, edad y personas con discapacidad" xr:uid="{C5662E5F-16CE-4E5E-95EE-A65A9010C805}"/>
    <hyperlink ref="D7" location="'11.3.1'!A1" display="11.3.1" xr:uid="{7C642F8D-0077-4457-86FB-CFBE4497F700}"/>
    <hyperlink ref="E7" location="'11.3.1'!A1" display="11.3.1 Relación entre la tasa de consumo de tierras y la tasa de crecimiento de la población" xr:uid="{1B3844D8-9D12-4DC3-8628-FF0ECFAEB6AE}"/>
    <hyperlink ref="D8" location="'11.3.2'!A1" display="11.3.2" xr:uid="{F1FC00E4-98B8-4BCB-A184-51A5D4D63CB0}"/>
    <hyperlink ref="E8" location="'11.3.2'!A1" display="11.3.2 Proporción de ciudades que cuentan con una estructura de participación directa de la sociedad civil en la planificación y la gestión urbanas y funcionan con regularidad y democráticamente" xr:uid="{A2A38381-95B5-417C-B5A4-341A3CDEF0B0}"/>
    <hyperlink ref="D9" location="'11.4.1'!A1" display="11.4.1" xr:uid="{C60871F8-BC40-483B-95B4-6B42A3FFC95A}"/>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2223C06F-EB07-4047-98EF-70BFA0A8F8BD}"/>
    <hyperlink ref="D10" location="'11.5.1'!A1" display="11.5.1" xr:uid="{9A042321-821A-4831-8417-6D5B328331E4}"/>
    <hyperlink ref="E10" location="'11.5.1'!A1" display="11.5.1 Número de personas muertas, desaparecidas y afectadas directamente atribuido a desastres por cada 100.000 personas" xr:uid="{A12772EF-54A6-4791-85BF-402CCFA0C7F9}"/>
    <hyperlink ref="D11" location="'11.5.2'!A1" display="11.5.2" xr:uid="{9FB95A6D-A7B7-45A4-86E6-09B9E14370A8}"/>
    <hyperlink ref="E11" location="'11.5.2'!A1" display="11.5.2 Pérdidas económicas directas en relación con el PIB mundial, daños en la infraestructura esencial y número de interrupciones de los servicios básicos atribuidos a desastres" xr:uid="{2D7108ED-50BF-4041-A8B3-768EAA0F2651}"/>
    <hyperlink ref="D13" location="'11.6.1'!A1" display="11.6.1" xr:uid="{53ACFFA7-C051-40BF-A742-06EC9AEA60DA}"/>
    <hyperlink ref="E13" location="'11.6.1'!A1" display="11.6.1 Proporción de residuos sólidos municipales recogidos y administrados en instalaciones controladas con respecto al total de residuos municipales generados, desglosada por ciudad" xr:uid="{6581DD7B-6C0E-417F-B2DD-6BDA6C52C481}"/>
    <hyperlink ref="D14" location="'11.6.2'!A1" display="11.6.2" xr:uid="{42579178-7034-4FD7-880D-2AF983B02E0D}"/>
    <hyperlink ref="E14" location="'11.6.2'!A1" display="11.6.2 Niveles medios anuales de partículas finas en suspensión (por ejemplo, PM2.5 y PM10) en las ciudades (ponderados según la población)" xr:uid="{D669CC71-4518-47F9-80A0-2121BBB0E72E}"/>
    <hyperlink ref="D15" location="'11.7.1'!A1" display="11.7.1" xr:uid="{5B2F802C-FF2E-4B86-B650-3864A0E5B0F3}"/>
    <hyperlink ref="E15" location="'11.7.1'!A1" display="11.7.1 Proporción media de la superficie edificada de las ciudades que se dedica a espacios abiertos para uso público de todos, desglosada por sexo, edad y personas con discapacidad" xr:uid="{86CA584E-B5CE-4A9A-A012-E1F5802D093B}"/>
    <hyperlink ref="D16" location="'11.7.2'!A1" display="11.7.2" xr:uid="{CCB7198B-978E-4979-BE37-EDCA4851EB75}"/>
    <hyperlink ref="E16" location="'11.7.2'!A1" display="11.7.2 Proporción de personas que han sido víctimas de acoso físico o sexual en los últimos 12 meses, desglosada por sexo, edad, grado de discapacidad y lugar del hecho" xr:uid="{4FBC4D7A-8D34-4F5D-A6ED-E6A60C7B6028}"/>
    <hyperlink ref="D17" location="'11.a.1'!A1" display="11.a.1" xr:uid="{3665F033-FD40-42F3-B244-4A0375C1503E}"/>
    <hyperlink ref="E17" location="'11.a.1'!A1" display="11.a.1 Número de países que cuentan con políticas urbanas nacionales o planes de desarrollo regionales que a) responden a la dinámica de la población, b) garantizan un desarrollo territorial equilibrado y c) aumentan el margen fiscal local" xr:uid="{2703D672-5F19-49C3-BCB7-0F4865066008}"/>
    <hyperlink ref="D18" location="'11.b.1'!A1" display="11.b.1" xr:uid="{78FDFC54-AA87-41A2-9FD5-42091593A6BB}"/>
    <hyperlink ref="E18" location="'11.b.1'!A1" display="11.b.1 Número de países que adoptan y aplican estrategias nacionales de reducción del riesgo de desastres en consonancia con el Marco de Sendái para la Reducción del Riesgo de Desastres 2015‑2030" xr:uid="{A632AF09-B29C-4082-931A-6CB71F7760F6}"/>
    <hyperlink ref="D19" location="'11.b.2'!A1" display="11.b.2" xr:uid="{5E8EDCB5-9862-453F-B1DD-E6F12348D037}"/>
    <hyperlink ref="E19" location="'11.b.2'!A1" display="11.b.2 Proporción de gobiernos locales que adoptan y aplican estrategias locales de reducción del riesgo de desastres en consonancia con las estrategias nacionales de reducción del riesgo de desastres" xr:uid="{C314A69E-CF3A-4346-9A6F-FA593C4CF9DE}"/>
    <hyperlink ref="D12" location="'11.5.3'!A1" display="11.5.3" xr:uid="{DEDF4A48-F32E-4ADB-A304-CA419F6EC63F}"/>
    <hyperlink ref="E12" location="'11.5.3'!A1" display="11.5.3 a) Daños en la infraestructura crítica y b) número de interrupciones de los servicios básicos, atribuidos a desastres" xr:uid="{743BED60-67B8-47AC-BEF8-6F6309B059D1}"/>
  </hyperlinks>
  <pageMargins left="0.7" right="0.7" top="0.75" bottom="0.75" header="0.3" footer="0.3"/>
  <pageSetup paperSize="9" orientation="portrait"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ACB9-ABAA-441F-B94F-22DB1E0CD5A4}">
  <dimension ref="A1:V77"/>
  <sheetViews>
    <sheetView showGridLines="0" topLeftCell="I1" workbookViewId="0">
      <pane ySplit="1" topLeftCell="A2" activePane="bottomLeft" state="frozen"/>
      <selection sqref="A1:B1"/>
      <selection pane="bottomLeft" activeCell="O13" sqref="O13:P13"/>
    </sheetView>
  </sheetViews>
  <sheetFormatPr baseColWidth="10" defaultColWidth="11.42578125" defaultRowHeight="18.75" x14ac:dyDescent="0.4"/>
  <cols>
    <col min="1" max="2" width="15.28515625" style="115" customWidth="1"/>
    <col min="3" max="3" width="8.28515625" style="115" customWidth="1"/>
    <col min="4" max="4" width="6.28515625" style="115" customWidth="1"/>
    <col min="5" max="5" width="7.7109375" style="115" customWidth="1"/>
    <col min="6" max="6" width="7.42578125" style="115" customWidth="1"/>
    <col min="7" max="7" width="1.7109375" style="115" customWidth="1"/>
    <col min="8" max="8" width="8.42578125" style="115" customWidth="1"/>
    <col min="9" max="9" width="9.42578125" style="115" customWidth="1"/>
    <col min="10" max="10" width="9.28515625" style="115" customWidth="1"/>
    <col min="11" max="12" width="8.28515625" style="115" customWidth="1"/>
    <col min="13" max="13" width="7.42578125" style="115" customWidth="1"/>
    <col min="14" max="16384" width="11.42578125" style="115"/>
  </cols>
  <sheetData>
    <row r="1" spans="1:22" s="1032" customFormat="1" ht="13.5" customHeight="1" x14ac:dyDescent="0.4">
      <c r="A1" s="68" t="s">
        <v>39</v>
      </c>
      <c r="B1" s="1061"/>
      <c r="C1" s="2562" t="s">
        <v>149</v>
      </c>
      <c r="D1" s="2562"/>
      <c r="E1" s="800"/>
      <c r="F1" s="800"/>
      <c r="G1" s="800"/>
      <c r="H1" s="800"/>
      <c r="I1" s="800"/>
      <c r="J1" s="800"/>
    </row>
    <row r="2" spans="1:22" s="1032" customFormat="1" ht="16.5" customHeight="1" x14ac:dyDescent="0.4">
      <c r="B2" s="1061"/>
      <c r="C2" s="800"/>
      <c r="D2" s="800"/>
      <c r="E2" s="800"/>
      <c r="F2" s="800"/>
      <c r="G2" s="800"/>
      <c r="H2" s="800"/>
      <c r="I2" s="800"/>
      <c r="J2" s="800"/>
    </row>
    <row r="3" spans="1:22" s="1032" customFormat="1" ht="19.5" x14ac:dyDescent="0.4">
      <c r="A3" s="3263" t="s">
        <v>41</v>
      </c>
      <c r="B3" s="3269"/>
      <c r="C3" s="3263" t="s">
        <v>5871</v>
      </c>
      <c r="D3" s="3265"/>
      <c r="E3" s="3265"/>
      <c r="F3" s="3265"/>
      <c r="G3" s="3265"/>
      <c r="H3" s="3265"/>
      <c r="I3" s="3265"/>
      <c r="J3" s="3265"/>
      <c r="K3" s="3265"/>
      <c r="L3" s="3265"/>
      <c r="M3" s="3265"/>
      <c r="N3" s="3265"/>
      <c r="O3" s="3265"/>
      <c r="P3" s="3265"/>
      <c r="Q3" s="3265"/>
      <c r="R3" s="3265"/>
      <c r="S3" s="3265"/>
      <c r="T3" s="3265"/>
      <c r="U3" s="3265"/>
      <c r="V3" s="3264"/>
    </row>
    <row r="4" spans="1:22" s="1032" customFormat="1" ht="19.5" x14ac:dyDescent="0.4">
      <c r="A4" s="3263" t="s">
        <v>42</v>
      </c>
      <c r="B4" s="3264"/>
      <c r="C4" s="3263" t="s">
        <v>5872</v>
      </c>
      <c r="D4" s="3265"/>
      <c r="E4" s="3265"/>
      <c r="F4" s="3265"/>
      <c r="G4" s="3265"/>
      <c r="H4" s="3265"/>
      <c r="I4" s="3265"/>
      <c r="J4" s="3265"/>
      <c r="K4" s="3265"/>
      <c r="L4" s="3265"/>
      <c r="M4" s="3265"/>
      <c r="N4" s="3265"/>
      <c r="O4" s="3265"/>
      <c r="P4" s="3265"/>
      <c r="Q4" s="3265"/>
      <c r="R4" s="3265"/>
      <c r="S4" s="3265"/>
      <c r="T4" s="3265"/>
      <c r="U4" s="3265"/>
      <c r="V4" s="3264"/>
    </row>
    <row r="5" spans="1:22" s="1032" customFormat="1" ht="19.5" x14ac:dyDescent="0.4">
      <c r="A5" s="3263" t="s">
        <v>43</v>
      </c>
      <c r="B5" s="3264"/>
      <c r="C5" s="3263" t="s">
        <v>5874</v>
      </c>
      <c r="D5" s="3265"/>
      <c r="E5" s="3265"/>
      <c r="F5" s="3265"/>
      <c r="G5" s="3265"/>
      <c r="H5" s="3265"/>
      <c r="I5" s="3265"/>
      <c r="J5" s="3265"/>
      <c r="K5" s="3265"/>
      <c r="L5" s="3265"/>
      <c r="M5" s="3265"/>
      <c r="N5" s="3265"/>
      <c r="O5" s="3265"/>
      <c r="P5" s="3265"/>
      <c r="Q5" s="3265"/>
      <c r="R5" s="3265"/>
      <c r="S5" s="3265"/>
      <c r="T5" s="3265"/>
      <c r="U5" s="3265"/>
      <c r="V5" s="3264"/>
    </row>
    <row r="6" spans="1:22" s="1032" customFormat="1" ht="19.5" x14ac:dyDescent="0.4">
      <c r="A6" s="3263" t="s">
        <v>132</v>
      </c>
      <c r="B6" s="3264"/>
      <c r="C6" s="3263" t="s">
        <v>5913</v>
      </c>
      <c r="D6" s="3265"/>
      <c r="E6" s="3265"/>
      <c r="F6" s="3265"/>
      <c r="G6" s="3265"/>
      <c r="H6" s="3265"/>
      <c r="I6" s="3265"/>
      <c r="J6" s="3265"/>
      <c r="K6" s="3265"/>
      <c r="L6" s="3265"/>
      <c r="M6" s="3265"/>
      <c r="N6" s="3265"/>
      <c r="O6" s="3265"/>
      <c r="P6" s="3265"/>
      <c r="Q6" s="3265"/>
      <c r="R6" s="3265"/>
      <c r="S6" s="3265"/>
      <c r="T6" s="3265"/>
      <c r="U6" s="3265"/>
      <c r="V6" s="3264"/>
    </row>
    <row r="7" spans="1:22" s="1032" customFormat="1" ht="19.5" x14ac:dyDescent="0.4">
      <c r="B7" s="1061"/>
    </row>
    <row r="8" spans="1:22" s="1032" customFormat="1" ht="19.5" x14ac:dyDescent="0.4">
      <c r="B8" s="1061"/>
    </row>
    <row r="9" spans="1:22" s="1032" customFormat="1" ht="31.5" customHeight="1" x14ac:dyDescent="0.4">
      <c r="B9" s="1061"/>
      <c r="C9" s="2627" t="s">
        <v>5913</v>
      </c>
      <c r="D9" s="2627"/>
      <c r="E9" s="2627"/>
      <c r="F9" s="2627"/>
      <c r="G9" s="2627"/>
      <c r="H9" s="2627"/>
      <c r="I9" s="2627"/>
      <c r="J9" s="2627"/>
      <c r="K9" s="2627"/>
      <c r="L9" s="2627"/>
      <c r="M9" s="2627"/>
    </row>
    <row r="10" spans="1:22" s="1032" customFormat="1" ht="13.15" customHeight="1" x14ac:dyDescent="0.4">
      <c r="B10" s="1061"/>
      <c r="C10" s="533"/>
      <c r="D10" s="533"/>
      <c r="E10" s="533"/>
      <c r="F10" s="533"/>
      <c r="G10" s="533"/>
      <c r="H10" s="533"/>
      <c r="I10" s="533"/>
      <c r="J10" s="533"/>
      <c r="K10" s="533"/>
      <c r="L10" s="533"/>
      <c r="M10" s="533"/>
    </row>
    <row r="11" spans="1:22" ht="15" customHeight="1" x14ac:dyDescent="0.4">
      <c r="B11" s="1048"/>
      <c r="C11" s="3266" t="s">
        <v>46</v>
      </c>
      <c r="D11" s="3266" t="s">
        <v>47</v>
      </c>
      <c r="E11" s="3268" t="s">
        <v>49</v>
      </c>
      <c r="F11" s="3268"/>
      <c r="G11" s="1671"/>
      <c r="H11" s="3268" t="s">
        <v>50</v>
      </c>
      <c r="I11" s="3268"/>
      <c r="J11" s="3268"/>
      <c r="K11" s="3268"/>
      <c r="L11" s="3268"/>
      <c r="M11" s="3268"/>
      <c r="O11" s="2421" t="s">
        <v>5914</v>
      </c>
      <c r="P11" s="2421"/>
    </row>
    <row r="12" spans="1:22" ht="37.5" x14ac:dyDescent="0.4">
      <c r="B12" s="1048"/>
      <c r="C12" s="3267"/>
      <c r="D12" s="3267"/>
      <c r="E12" s="1672" t="s">
        <v>55</v>
      </c>
      <c r="F12" s="1672" t="s">
        <v>56</v>
      </c>
      <c r="G12" s="1672"/>
      <c r="H12" s="1672" t="s">
        <v>57</v>
      </c>
      <c r="I12" s="1672" t="s">
        <v>58</v>
      </c>
      <c r="J12" s="1672" t="s">
        <v>59</v>
      </c>
      <c r="K12" s="1672" t="s">
        <v>60</v>
      </c>
      <c r="L12" s="1673" t="s">
        <v>61</v>
      </c>
      <c r="M12" s="1673" t="s">
        <v>62</v>
      </c>
    </row>
    <row r="13" spans="1:22" ht="19.5" x14ac:dyDescent="0.4">
      <c r="C13" s="198">
        <v>2010</v>
      </c>
      <c r="D13" s="1674">
        <v>9.3670172599605976</v>
      </c>
      <c r="E13" s="1674">
        <v>7.2866806607736461</v>
      </c>
      <c r="F13" s="1674">
        <v>14.937211267856723</v>
      </c>
      <c r="G13" s="1674"/>
      <c r="H13" s="1674">
        <v>6.4095385875001227</v>
      </c>
      <c r="I13" s="1674">
        <v>13.290190594725312</v>
      </c>
      <c r="J13" s="1674">
        <v>14.238302375709095</v>
      </c>
      <c r="K13" s="1674">
        <v>15.368067246303157</v>
      </c>
      <c r="L13" s="1674">
        <v>14.943992104613866</v>
      </c>
      <c r="M13" s="1674">
        <v>13.652256605768429</v>
      </c>
      <c r="O13" s="2562" t="s">
        <v>5915</v>
      </c>
      <c r="P13" s="2562"/>
    </row>
    <row r="14" spans="1:22" x14ac:dyDescent="0.4">
      <c r="C14" s="198">
        <v>2011</v>
      </c>
      <c r="D14" s="1674">
        <v>9.6654084862072676</v>
      </c>
      <c r="E14" s="1674">
        <v>7.8874959956521229</v>
      </c>
      <c r="F14" s="1674">
        <v>14.424007589434035</v>
      </c>
      <c r="G14" s="1674"/>
      <c r="H14" s="1674">
        <v>6.8564134340098946</v>
      </c>
      <c r="I14" s="1674">
        <v>14.378084752197658</v>
      </c>
      <c r="J14" s="1674">
        <v>15.623349282296651</v>
      </c>
      <c r="K14" s="1674">
        <v>13.551156827153024</v>
      </c>
      <c r="L14" s="1674">
        <v>15.197729275878899</v>
      </c>
      <c r="M14" s="1674">
        <v>13.256516577678507</v>
      </c>
    </row>
    <row r="15" spans="1:22" x14ac:dyDescent="0.4">
      <c r="C15" s="198">
        <v>2012</v>
      </c>
      <c r="D15" s="1674">
        <v>9.5165169336033149</v>
      </c>
      <c r="E15" s="1674">
        <v>7.7317813540920408</v>
      </c>
      <c r="F15" s="1674">
        <v>14.28748555764661</v>
      </c>
      <c r="G15" s="1674"/>
      <c r="H15" s="1674">
        <v>6.9296524133509703</v>
      </c>
      <c r="I15" s="1674">
        <v>12.491005157520835</v>
      </c>
      <c r="J15" s="1674">
        <v>14.463448472930851</v>
      </c>
      <c r="K15" s="1674">
        <v>13.952186775405773</v>
      </c>
      <c r="L15" s="1674">
        <v>14.641965229084622</v>
      </c>
      <c r="M15" s="1674">
        <v>13.603410101099339</v>
      </c>
    </row>
    <row r="16" spans="1:22" x14ac:dyDescent="0.4">
      <c r="C16" s="198">
        <v>2013</v>
      </c>
      <c r="D16" s="1674">
        <v>9.3712290316652034</v>
      </c>
      <c r="E16" s="1674">
        <v>7.5430891120999615</v>
      </c>
      <c r="F16" s="1674">
        <v>14.249656269901701</v>
      </c>
      <c r="G16" s="1674"/>
      <c r="H16" s="1674">
        <v>6.8957276695266714</v>
      </c>
      <c r="I16" s="1674">
        <v>10.923321041961952</v>
      </c>
      <c r="J16" s="1674">
        <v>13.296640056663076</v>
      </c>
      <c r="K16" s="1674">
        <v>13.615107301975989</v>
      </c>
      <c r="L16" s="1674">
        <v>14.550534286856568</v>
      </c>
      <c r="M16" s="1674">
        <v>14.734899029131467</v>
      </c>
      <c r="P16" s="1675"/>
      <c r="Q16" s="1675"/>
      <c r="R16" s="1675"/>
    </row>
    <row r="17" spans="3:13" x14ac:dyDescent="0.4">
      <c r="C17" s="198">
        <v>2014</v>
      </c>
      <c r="D17" s="1674">
        <v>9.4592986145716207</v>
      </c>
      <c r="E17" s="1674">
        <v>7.8986351382586095</v>
      </c>
      <c r="F17" s="1674">
        <v>13.617487882939056</v>
      </c>
      <c r="G17" s="1674"/>
      <c r="H17" s="1674">
        <v>7.1681519727398699</v>
      </c>
      <c r="I17" s="1674">
        <v>11.458910151347771</v>
      </c>
      <c r="J17" s="1674">
        <v>14.417586566140198</v>
      </c>
      <c r="K17" s="1674">
        <v>11.847895904566096</v>
      </c>
      <c r="L17" s="1674">
        <v>16.105275697038071</v>
      </c>
      <c r="M17" s="1674">
        <v>12.205955275767613</v>
      </c>
    </row>
    <row r="18" spans="3:13" x14ac:dyDescent="0.4">
      <c r="C18" s="198">
        <v>2015</v>
      </c>
      <c r="D18" s="1674">
        <v>9.5016459263942377</v>
      </c>
      <c r="E18" s="1674">
        <v>8.2433570009021597</v>
      </c>
      <c r="F18" s="1674">
        <v>12.847398584025512</v>
      </c>
      <c r="G18" s="1674"/>
      <c r="H18" s="1674">
        <v>7.360309450301755</v>
      </c>
      <c r="I18" s="1674">
        <v>9.849004523031935</v>
      </c>
      <c r="J18" s="1674">
        <v>14.358641173194728</v>
      </c>
      <c r="K18" s="1674">
        <v>10.258946658604479</v>
      </c>
      <c r="L18" s="1674">
        <v>17.223537220863687</v>
      </c>
      <c r="M18" s="1674">
        <v>12.9670152814227</v>
      </c>
    </row>
    <row r="19" spans="3:13" x14ac:dyDescent="0.4">
      <c r="C19" s="198">
        <v>2016</v>
      </c>
      <c r="D19" s="1674">
        <v>8.7973197877524516</v>
      </c>
      <c r="E19" s="1674">
        <v>7.8705351310685954</v>
      </c>
      <c r="F19" s="1674">
        <v>11.257411994015101</v>
      </c>
      <c r="G19" s="1674"/>
      <c r="H19" s="1674">
        <v>6.932695457038716</v>
      </c>
      <c r="I19" s="1674">
        <v>8.9778983225973104</v>
      </c>
      <c r="J19" s="1674">
        <v>11.746435523199843</v>
      </c>
      <c r="K19" s="1674">
        <v>12.390530773323874</v>
      </c>
      <c r="L19" s="1674">
        <v>14.283762178707587</v>
      </c>
      <c r="M19" s="1674">
        <v>11.492130596444762</v>
      </c>
    </row>
    <row r="20" spans="3:13" x14ac:dyDescent="0.4">
      <c r="C20" s="198">
        <v>2017</v>
      </c>
      <c r="D20" s="1674">
        <v>9.4594173893706923</v>
      </c>
      <c r="E20" s="1674">
        <v>8.502005807236495</v>
      </c>
      <c r="F20" s="1674">
        <v>11.998184005964728</v>
      </c>
      <c r="G20" s="1674"/>
      <c r="H20" s="1674">
        <v>6.975295644870136</v>
      </c>
      <c r="I20" s="1674">
        <v>9.5029437415339277</v>
      </c>
      <c r="J20" s="1674">
        <v>14.357661708751296</v>
      </c>
      <c r="K20" s="1674">
        <v>12.852611150511564</v>
      </c>
      <c r="L20" s="1674">
        <v>16.280562078818022</v>
      </c>
      <c r="M20" s="1674">
        <v>14.30687952509779</v>
      </c>
    </row>
    <row r="21" spans="3:13" x14ac:dyDescent="0.4">
      <c r="C21" s="198">
        <v>2018</v>
      </c>
      <c r="D21" s="1674">
        <v>8.7817089566004807</v>
      </c>
      <c r="E21" s="1674">
        <v>7.6503371855977704</v>
      </c>
      <c r="F21" s="1674">
        <v>11.774231734457125</v>
      </c>
      <c r="G21" s="1674"/>
      <c r="H21" s="1674">
        <v>6.0572962307757505</v>
      </c>
      <c r="I21" s="1674">
        <v>8.5431938847727817</v>
      </c>
      <c r="J21" s="1674">
        <v>13.350555464793334</v>
      </c>
      <c r="K21" s="1674">
        <v>12.091786885872265</v>
      </c>
      <c r="L21" s="1674">
        <v>17.60346290349089</v>
      </c>
      <c r="M21" s="1674">
        <v>13.732260431467536</v>
      </c>
    </row>
    <row r="22" spans="3:13" x14ac:dyDescent="0.4">
      <c r="C22" s="198">
        <v>2019</v>
      </c>
      <c r="D22" s="1674">
        <v>9.4256610530601428</v>
      </c>
      <c r="E22" s="1674">
        <v>8.1725008133129382</v>
      </c>
      <c r="F22" s="1674">
        <v>12.73557884676832</v>
      </c>
      <c r="G22" s="1674"/>
      <c r="H22" s="1674">
        <v>6.6126088358902644</v>
      </c>
      <c r="I22" s="1674">
        <v>9.043590574843952</v>
      </c>
      <c r="J22" s="1674">
        <v>11.73907355412654</v>
      </c>
      <c r="K22" s="1674">
        <v>14.617047157720965</v>
      </c>
      <c r="L22" s="1674">
        <v>17.132160371223172</v>
      </c>
      <c r="M22" s="1674">
        <v>16.307395808238979</v>
      </c>
    </row>
    <row r="23" spans="3:13" x14ac:dyDescent="0.4">
      <c r="C23" s="198">
        <v>2020</v>
      </c>
      <c r="D23" s="1674">
        <v>8.6819768732863078</v>
      </c>
      <c r="E23" s="1674">
        <v>7.8171576865907184</v>
      </c>
      <c r="F23" s="1674">
        <v>10.964510375615435</v>
      </c>
      <c r="G23" s="1674"/>
      <c r="H23" s="1674">
        <v>6.4597410399506741</v>
      </c>
      <c r="I23" s="1674">
        <v>6.6314869930013103</v>
      </c>
      <c r="J23" s="1674">
        <v>10.364349201840408</v>
      </c>
      <c r="K23" s="1674">
        <v>10.138084439891781</v>
      </c>
      <c r="L23" s="1674">
        <v>18.512152083586862</v>
      </c>
      <c r="M23" s="1674">
        <v>14.046236337486878</v>
      </c>
    </row>
    <row r="24" spans="3:13" x14ac:dyDescent="0.4">
      <c r="C24" s="198">
        <v>2021</v>
      </c>
      <c r="D24" s="1674">
        <v>8.5086356640462419</v>
      </c>
      <c r="E24" s="1674">
        <v>7.2283900468346225</v>
      </c>
      <c r="F24" s="1674">
        <v>11.882834052224903</v>
      </c>
      <c r="G24" s="1674"/>
      <c r="H24" s="1674">
        <v>5.5460569803766573</v>
      </c>
      <c r="I24" s="1674">
        <v>9.4468886390440687</v>
      </c>
      <c r="J24" s="1674">
        <v>14.502748495568884</v>
      </c>
      <c r="K24" s="1674">
        <v>13.656477727892657</v>
      </c>
      <c r="L24" s="1674">
        <v>15.306995665336453</v>
      </c>
      <c r="M24" s="1674">
        <v>13.539204567947522</v>
      </c>
    </row>
    <row r="25" spans="3:13" x14ac:dyDescent="0.4">
      <c r="C25" s="198">
        <v>2022</v>
      </c>
      <c r="D25" s="1674">
        <v>8.0888197518739879</v>
      </c>
      <c r="E25" s="1674">
        <v>7.0601535310960699</v>
      </c>
      <c r="F25" s="1674">
        <v>10.793757984398441</v>
      </c>
      <c r="G25" s="1674"/>
      <c r="H25" s="1674">
        <v>5.6107726436785184</v>
      </c>
      <c r="I25" s="1674">
        <v>11.383005257607975</v>
      </c>
      <c r="J25" s="1674">
        <v>13.05872885078441</v>
      </c>
      <c r="K25" s="1674">
        <v>10.147398967725355</v>
      </c>
      <c r="L25" s="1674">
        <v>12.468154933564328</v>
      </c>
      <c r="M25" s="1674">
        <v>13.259794946905895</v>
      </c>
    </row>
    <row r="26" spans="3:13" x14ac:dyDescent="0.4">
      <c r="C26" s="2285">
        <v>2023</v>
      </c>
      <c r="D26" s="1674">
        <v>7.7252443198242133</v>
      </c>
      <c r="E26" s="1674">
        <v>6.7941815223310646</v>
      </c>
      <c r="F26" s="1674">
        <v>10.169208957424265</v>
      </c>
      <c r="G26" s="1674"/>
      <c r="H26" s="1674">
        <v>5.4147782533781612</v>
      </c>
      <c r="I26" s="1674">
        <v>10.845516040191345</v>
      </c>
      <c r="J26" s="1674">
        <v>11.028097688733405</v>
      </c>
      <c r="K26" s="1674">
        <v>12.249605147859809</v>
      </c>
      <c r="L26" s="1674">
        <v>11.950300094766767</v>
      </c>
      <c r="M26" s="1674">
        <v>11.00768255053481</v>
      </c>
    </row>
    <row r="27" spans="3:13" s="2279" customFormat="1" x14ac:dyDescent="0.4">
      <c r="C27" s="606">
        <v>2024</v>
      </c>
      <c r="D27" s="1676">
        <v>6.5750995112991015</v>
      </c>
      <c r="E27" s="1676">
        <v>5.2618678570582924</v>
      </c>
      <c r="F27" s="1676">
        <v>10.015514824974233</v>
      </c>
      <c r="G27" s="1676"/>
      <c r="H27" s="1676">
        <v>4.7179213650174177</v>
      </c>
      <c r="I27" s="1676">
        <v>5.8674820628882358</v>
      </c>
      <c r="J27" s="1676">
        <v>8.5128029085461954</v>
      </c>
      <c r="K27" s="1676">
        <v>8.0288951120162935</v>
      </c>
      <c r="L27" s="1676">
        <v>11.614066914808213</v>
      </c>
      <c r="M27" s="1676">
        <v>12.714077667754115</v>
      </c>
    </row>
    <row r="28" spans="3:13" x14ac:dyDescent="0.4">
      <c r="C28" s="2285" t="s">
        <v>8127</v>
      </c>
      <c r="D28" s="1674"/>
      <c r="E28" s="1674"/>
      <c r="F28" s="1674"/>
      <c r="G28" s="1674"/>
      <c r="H28" s="1674"/>
      <c r="I28" s="1674"/>
      <c r="J28" s="1674"/>
      <c r="K28" s="1674"/>
      <c r="L28" s="1674"/>
      <c r="M28" s="1674"/>
    </row>
    <row r="29" spans="3:13" x14ac:dyDescent="0.4">
      <c r="C29" s="155"/>
    </row>
    <row r="30" spans="3:13" ht="19.5" x14ac:dyDescent="0.4">
      <c r="C30" s="532" t="s">
        <v>8135</v>
      </c>
    </row>
    <row r="37" spans="2:8" s="1678" customFormat="1" ht="206.25" hidden="1" x14ac:dyDescent="0.4">
      <c r="B37" s="1677"/>
      <c r="C37" s="1677" t="s">
        <v>5916</v>
      </c>
      <c r="D37" s="1677" t="s">
        <v>5917</v>
      </c>
      <c r="E37" s="1677" t="s">
        <v>5918</v>
      </c>
      <c r="F37" s="1677" t="s">
        <v>5919</v>
      </c>
      <c r="G37" s="1677"/>
      <c r="H37" s="1677" t="s">
        <v>5920</v>
      </c>
    </row>
    <row r="38" spans="2:8" s="1678" customFormat="1" hidden="1" x14ac:dyDescent="0.4">
      <c r="B38" s="1679"/>
      <c r="C38" s="1680" t="s">
        <v>1797</v>
      </c>
      <c r="D38" s="1681" t="s">
        <v>1797</v>
      </c>
      <c r="E38" s="1680" t="s">
        <v>1797</v>
      </c>
      <c r="F38" s="1680" t="s">
        <v>1797</v>
      </c>
      <c r="G38" s="1680"/>
      <c r="H38" s="1680" t="s">
        <v>1797</v>
      </c>
    </row>
    <row r="39" spans="2:8" s="1678" customFormat="1" hidden="1" x14ac:dyDescent="0.4">
      <c r="B39" s="1682"/>
      <c r="C39" s="1680" t="s">
        <v>1797</v>
      </c>
      <c r="D39" s="1681" t="s">
        <v>1797</v>
      </c>
      <c r="E39" s="1680" t="s">
        <v>1797</v>
      </c>
      <c r="F39" s="1680" t="s">
        <v>1797</v>
      </c>
      <c r="G39" s="1680"/>
      <c r="H39" s="1680" t="s">
        <v>1797</v>
      </c>
    </row>
    <row r="40" spans="2:8" s="1678" customFormat="1" hidden="1" x14ac:dyDescent="0.4">
      <c r="B40" s="1679"/>
      <c r="C40" s="1680" t="s">
        <v>1797</v>
      </c>
      <c r="D40" s="1681" t="s">
        <v>1797</v>
      </c>
      <c r="E40" s="1680" t="s">
        <v>1797</v>
      </c>
      <c r="F40" s="1680" t="s">
        <v>1797</v>
      </c>
      <c r="G40" s="1680"/>
      <c r="H40" s="1680" t="s">
        <v>1797</v>
      </c>
    </row>
    <row r="41" spans="2:8" s="1678" customFormat="1" hidden="1" x14ac:dyDescent="0.4">
      <c r="B41" s="1679"/>
      <c r="C41" s="1680" t="s">
        <v>1797</v>
      </c>
      <c r="D41" s="1681" t="s">
        <v>1797</v>
      </c>
      <c r="E41" s="1680" t="s">
        <v>1797</v>
      </c>
      <c r="F41" s="1680" t="s">
        <v>1797</v>
      </c>
      <c r="G41" s="1680"/>
      <c r="H41" s="1680" t="s">
        <v>1797</v>
      </c>
    </row>
    <row r="42" spans="2:8" s="1678" customFormat="1" hidden="1" x14ac:dyDescent="0.4">
      <c r="B42" s="1679"/>
      <c r="C42" s="1680" t="s">
        <v>1797</v>
      </c>
      <c r="D42" s="1681" t="s">
        <v>1797</v>
      </c>
      <c r="E42" s="1680" t="s">
        <v>1797</v>
      </c>
      <c r="F42" s="1680" t="s">
        <v>1797</v>
      </c>
      <c r="G42" s="1680"/>
      <c r="H42" s="1680" t="s">
        <v>1797</v>
      </c>
    </row>
    <row r="43" spans="2:8" s="1678" customFormat="1" hidden="1" x14ac:dyDescent="0.4">
      <c r="B43" s="1682"/>
      <c r="C43" s="1680" t="s">
        <v>1797</v>
      </c>
      <c r="D43" s="1681" t="s">
        <v>1797</v>
      </c>
      <c r="E43" s="1680" t="s">
        <v>1797</v>
      </c>
      <c r="F43" s="1680" t="s">
        <v>1797</v>
      </c>
      <c r="G43" s="1680"/>
      <c r="H43" s="1680" t="s">
        <v>1797</v>
      </c>
    </row>
    <row r="44" spans="2:8" s="1678" customFormat="1" hidden="1" x14ac:dyDescent="0.4">
      <c r="B44" s="1679"/>
      <c r="C44" s="1680" t="s">
        <v>1797</v>
      </c>
      <c r="D44" s="1681" t="s">
        <v>1797</v>
      </c>
      <c r="E44" s="1680" t="s">
        <v>1797</v>
      </c>
      <c r="F44" s="1680" t="s">
        <v>1797</v>
      </c>
      <c r="G44" s="1680"/>
      <c r="H44" s="1680" t="s">
        <v>1797</v>
      </c>
    </row>
    <row r="45" spans="2:8" s="1678" customFormat="1" hidden="1" x14ac:dyDescent="0.4">
      <c r="B45" s="1679"/>
      <c r="C45" s="1680" t="s">
        <v>1797</v>
      </c>
      <c r="D45" s="1681" t="s">
        <v>1797</v>
      </c>
      <c r="E45" s="1680" t="s">
        <v>1797</v>
      </c>
      <c r="F45" s="1680" t="s">
        <v>1797</v>
      </c>
      <c r="G45" s="1680"/>
      <c r="H45" s="1680" t="s">
        <v>1797</v>
      </c>
    </row>
    <row r="46" spans="2:8" s="1678" customFormat="1" hidden="1" x14ac:dyDescent="0.4">
      <c r="B46" s="1679"/>
      <c r="C46" s="1680" t="s">
        <v>1797</v>
      </c>
      <c r="D46" s="1681" t="s">
        <v>1797</v>
      </c>
      <c r="E46" s="1680" t="s">
        <v>1797</v>
      </c>
      <c r="F46" s="1680" t="s">
        <v>1797</v>
      </c>
      <c r="G46" s="1680"/>
      <c r="H46" s="1680" t="s">
        <v>1797</v>
      </c>
    </row>
    <row r="47" spans="2:8" s="1678" customFormat="1" hidden="1" x14ac:dyDescent="0.4">
      <c r="B47" s="1682"/>
      <c r="C47" s="1680" t="s">
        <v>1797</v>
      </c>
      <c r="D47" s="1681" t="s">
        <v>1797</v>
      </c>
      <c r="E47" s="1680" t="s">
        <v>1797</v>
      </c>
      <c r="F47" s="1680" t="s">
        <v>1797</v>
      </c>
      <c r="G47" s="1680"/>
      <c r="H47" s="1680" t="s">
        <v>1797</v>
      </c>
    </row>
    <row r="48" spans="2:8" s="1678" customFormat="1" hidden="1" x14ac:dyDescent="0.4">
      <c r="B48" s="1679"/>
      <c r="C48" s="1680" t="s">
        <v>1797</v>
      </c>
      <c r="D48" s="1681" t="s">
        <v>1797</v>
      </c>
      <c r="E48" s="1680">
        <v>10.6</v>
      </c>
      <c r="F48" s="1680">
        <v>10.1</v>
      </c>
      <c r="G48" s="1680"/>
      <c r="H48" s="1680">
        <v>26.9</v>
      </c>
    </row>
    <row r="49" spans="2:8" s="1678" customFormat="1" hidden="1" x14ac:dyDescent="0.4">
      <c r="B49" s="1679"/>
      <c r="C49" s="1680">
        <v>0.6</v>
      </c>
      <c r="D49" s="1681">
        <v>0.6</v>
      </c>
      <c r="E49" s="1680">
        <v>10.4</v>
      </c>
      <c r="F49" s="1680">
        <v>10</v>
      </c>
      <c r="G49" s="1680"/>
      <c r="H49" s="1680">
        <v>24.8</v>
      </c>
    </row>
    <row r="50" spans="2:8" s="1678" customFormat="1" hidden="1" x14ac:dyDescent="0.4">
      <c r="B50" s="1679"/>
      <c r="C50" s="1680">
        <v>0.6</v>
      </c>
      <c r="D50" s="1681">
        <v>0.9</v>
      </c>
      <c r="E50" s="1680">
        <v>10</v>
      </c>
      <c r="F50" s="1680">
        <v>10.5</v>
      </c>
      <c r="G50" s="1680"/>
      <c r="H50" s="1680">
        <v>26</v>
      </c>
    </row>
    <row r="51" spans="2:8" s="1678" customFormat="1" hidden="1" x14ac:dyDescent="0.4">
      <c r="B51" s="1682"/>
      <c r="C51" s="1680">
        <v>0.6</v>
      </c>
      <c r="D51" s="1681">
        <v>0.7</v>
      </c>
      <c r="E51" s="1680">
        <v>9.9</v>
      </c>
      <c r="F51" s="1680">
        <v>12</v>
      </c>
      <c r="G51" s="1680"/>
      <c r="H51" s="1680">
        <v>25.9</v>
      </c>
    </row>
    <row r="52" spans="2:8" s="1678" customFormat="1" hidden="1" x14ac:dyDescent="0.4">
      <c r="B52" s="1679"/>
      <c r="C52" s="1680">
        <v>1</v>
      </c>
      <c r="D52" s="1681">
        <v>0.8</v>
      </c>
      <c r="E52" s="1680">
        <v>10.4</v>
      </c>
      <c r="F52" s="1680">
        <v>10.8</v>
      </c>
      <c r="G52" s="1680"/>
      <c r="H52" s="1680">
        <v>28.1</v>
      </c>
    </row>
    <row r="53" spans="2:8" s="1678" customFormat="1" hidden="1" x14ac:dyDescent="0.4">
      <c r="B53" s="1679"/>
      <c r="C53" s="1680">
        <v>1</v>
      </c>
      <c r="D53" s="1681">
        <v>0.8</v>
      </c>
      <c r="E53" s="1680">
        <v>9.5</v>
      </c>
      <c r="F53" s="1680">
        <v>10.4</v>
      </c>
      <c r="G53" s="1680"/>
      <c r="H53" s="1680">
        <v>27.9</v>
      </c>
    </row>
    <row r="54" spans="2:8" s="1678" customFormat="1" hidden="1" x14ac:dyDescent="0.4">
      <c r="B54" s="1679"/>
      <c r="C54" s="1680">
        <v>1.4</v>
      </c>
      <c r="D54" s="1681">
        <v>0.9</v>
      </c>
      <c r="E54" s="1680">
        <v>9.4</v>
      </c>
      <c r="F54" s="1680">
        <v>10.4</v>
      </c>
      <c r="G54" s="1680"/>
      <c r="H54" s="1680">
        <v>26.9</v>
      </c>
    </row>
    <row r="55" spans="2:8" s="1678" customFormat="1" hidden="1" x14ac:dyDescent="0.4">
      <c r="B55" s="1682"/>
      <c r="C55" s="1680">
        <v>0.8</v>
      </c>
      <c r="D55" s="1681">
        <v>0.7</v>
      </c>
      <c r="E55" s="1680">
        <v>9.4</v>
      </c>
      <c r="F55" s="1680">
        <v>10.8</v>
      </c>
      <c r="G55" s="1680"/>
      <c r="H55" s="1680">
        <v>27.9</v>
      </c>
    </row>
    <row r="56" spans="2:8" s="1678" customFormat="1" hidden="1" x14ac:dyDescent="0.4">
      <c r="B56" s="1679"/>
      <c r="C56" s="1680">
        <v>1.1000000000000001</v>
      </c>
      <c r="D56" s="1681">
        <v>0.9</v>
      </c>
      <c r="E56" s="1680">
        <v>9</v>
      </c>
      <c r="F56" s="1680">
        <v>10</v>
      </c>
      <c r="G56" s="1680"/>
      <c r="H56" s="1680">
        <v>26.7</v>
      </c>
    </row>
    <row r="57" spans="2:8" s="1678" customFormat="1" hidden="1" x14ac:dyDescent="0.4">
      <c r="B57" s="1679"/>
      <c r="C57" s="1680" t="s">
        <v>1797</v>
      </c>
      <c r="D57" s="1681" t="s">
        <v>1797</v>
      </c>
      <c r="E57" s="1680">
        <v>9.1</v>
      </c>
      <c r="F57" s="1680">
        <v>10.7</v>
      </c>
      <c r="G57" s="1680"/>
      <c r="H57" s="1680">
        <v>27.9</v>
      </c>
    </row>
    <row r="58" spans="2:8" s="1678" customFormat="1" hidden="1" x14ac:dyDescent="0.4">
      <c r="B58" s="1679"/>
      <c r="C58" s="1680">
        <v>0.5</v>
      </c>
      <c r="D58" s="1681">
        <v>0.5</v>
      </c>
      <c r="E58" s="1680">
        <v>8.9</v>
      </c>
      <c r="F58" s="1680">
        <v>9.1999999999999993</v>
      </c>
      <c r="G58" s="1680"/>
      <c r="H58" s="1680">
        <v>30.8</v>
      </c>
    </row>
    <row r="59" spans="2:8" s="1678" customFormat="1" hidden="1" x14ac:dyDescent="0.4">
      <c r="B59" s="1682"/>
      <c r="C59" s="1680">
        <v>0.4</v>
      </c>
      <c r="D59" s="1681">
        <v>0.2</v>
      </c>
      <c r="E59" s="1680">
        <v>9.1999999999999993</v>
      </c>
      <c r="F59" s="1680">
        <v>9.4</v>
      </c>
      <c r="G59" s="1680"/>
      <c r="H59" s="1680">
        <v>32.200000000000003</v>
      </c>
    </row>
    <row r="60" spans="2:8" s="1678" customFormat="1" hidden="1" x14ac:dyDescent="0.4">
      <c r="B60" s="1679"/>
      <c r="C60" s="1680">
        <v>0.5</v>
      </c>
      <c r="D60" s="1681">
        <v>0.5</v>
      </c>
      <c r="E60" s="1680">
        <v>9.1999999999999993</v>
      </c>
      <c r="F60" s="1680">
        <v>9.1999999999999993</v>
      </c>
      <c r="G60" s="1680"/>
      <c r="H60" s="1680">
        <v>30.9</v>
      </c>
    </row>
    <row r="61" spans="2:8" s="1678" customFormat="1" hidden="1" x14ac:dyDescent="0.4">
      <c r="B61" s="1679"/>
      <c r="C61" s="1680">
        <v>7.2681448086100914E-2</v>
      </c>
      <c r="D61" s="1681">
        <v>0.19420846327546148</v>
      </c>
      <c r="E61" s="1680">
        <v>8.8000000000000007</v>
      </c>
      <c r="F61" s="1680">
        <v>9.1</v>
      </c>
      <c r="G61" s="1680"/>
      <c r="H61" s="1680">
        <v>32.4</v>
      </c>
    </row>
    <row r="62" spans="2:8" s="1678" customFormat="1" hidden="1" x14ac:dyDescent="0.4">
      <c r="B62" s="1679"/>
      <c r="C62" s="1680">
        <v>0.2</v>
      </c>
      <c r="D62" s="1681">
        <v>0.2</v>
      </c>
      <c r="E62" s="1680">
        <v>8.9</v>
      </c>
      <c r="F62" s="1680">
        <v>9.1</v>
      </c>
      <c r="G62" s="1680"/>
      <c r="H62" s="1680">
        <v>31.1</v>
      </c>
    </row>
    <row r="63" spans="2:8" s="1678" customFormat="1" hidden="1" x14ac:dyDescent="0.4">
      <c r="B63" s="1682"/>
      <c r="D63" s="1683"/>
    </row>
    <row r="64" spans="2:8" s="1678" customFormat="1" hidden="1" x14ac:dyDescent="0.4">
      <c r="B64" s="1679"/>
      <c r="D64" s="1683"/>
    </row>
    <row r="65" spans="2:3" s="1678" customFormat="1" hidden="1" x14ac:dyDescent="0.4">
      <c r="B65" s="1683"/>
    </row>
    <row r="66" spans="2:3" s="1678" customFormat="1" hidden="1" x14ac:dyDescent="0.4">
      <c r="B66" s="1683"/>
    </row>
    <row r="67" spans="2:3" x14ac:dyDescent="0.4">
      <c r="B67" s="1048"/>
    </row>
    <row r="77" spans="2:3" x14ac:dyDescent="0.4">
      <c r="C77" s="155" t="s">
        <v>8113</v>
      </c>
    </row>
  </sheetData>
  <mergeCells count="16">
    <mergeCell ref="A5:B5"/>
    <mergeCell ref="C5:V5"/>
    <mergeCell ref="C1:D1"/>
    <mergeCell ref="A3:B3"/>
    <mergeCell ref="C3:V3"/>
    <mergeCell ref="A4:B4"/>
    <mergeCell ref="C4:V4"/>
    <mergeCell ref="O13:P13"/>
    <mergeCell ref="A6:B6"/>
    <mergeCell ref="C6:V6"/>
    <mergeCell ref="C9:M9"/>
    <mergeCell ref="C11:C12"/>
    <mergeCell ref="D11:D12"/>
    <mergeCell ref="E11:F11"/>
    <mergeCell ref="H11:M11"/>
    <mergeCell ref="O11:P11"/>
  </mergeCells>
  <hyperlinks>
    <hyperlink ref="A1" location="'ODS 11.'!A1" display="REGRESAR" xr:uid="{A7B6200C-FD74-438B-9331-DCC126836979}"/>
    <hyperlink ref="C1:D1" location="'Metadato 11.1.1.a'!A1" display="VER METADATO" xr:uid="{1318D55D-0D75-4209-A52B-D15FF741EEF3}"/>
    <hyperlink ref="O11:P11" location="'11.1.1.b'!A1" display="Ver indicador 11.1.1.b" xr:uid="{618CD8F4-F72F-415A-A9E4-3CC3B282A5BA}"/>
    <hyperlink ref="O13:P13" location="'11.1.1.c'!A1" display="Ver indicador 11.1.1.c" xr:uid="{24F8F0C6-B963-4DAA-8052-B4C159DDA227}"/>
  </hyperlinks>
  <pageMargins left="0.7" right="0.7" top="0.75" bottom="0.75" header="0.3" footer="0.3"/>
  <pageSetup orientation="portrait"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0D41-5D62-4261-803B-38A5C1E9D7C7}">
  <dimension ref="A1:M64"/>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2" width="11.42578125" style="5"/>
    <col min="3" max="3" width="23.7109375" style="5" customWidth="1"/>
    <col min="4" max="4" width="18.5703125" style="6" customWidth="1"/>
    <col min="5" max="16384" width="11.42578125" style="5"/>
  </cols>
  <sheetData>
    <row r="1" spans="1:13" ht="19.5" x14ac:dyDescent="0.4">
      <c r="A1" s="15" t="s">
        <v>39</v>
      </c>
      <c r="B1" s="16"/>
      <c r="C1" s="2421" t="s">
        <v>149</v>
      </c>
      <c r="D1" s="2421"/>
      <c r="E1" s="16"/>
      <c r="F1" s="16"/>
      <c r="G1" s="16"/>
      <c r="H1" s="16"/>
      <c r="I1" s="16"/>
      <c r="J1" s="16"/>
      <c r="K1" s="16"/>
      <c r="L1" s="16"/>
      <c r="M1" s="16"/>
    </row>
    <row r="2" spans="1:13" ht="19.5" x14ac:dyDescent="0.4">
      <c r="A2" s="16"/>
      <c r="B2" s="16"/>
      <c r="C2" s="16"/>
      <c r="D2" s="173"/>
      <c r="E2" s="16"/>
      <c r="F2" s="16"/>
      <c r="G2" s="16"/>
      <c r="H2" s="16"/>
      <c r="I2" s="16"/>
      <c r="J2" s="16"/>
      <c r="K2" s="16"/>
      <c r="L2" s="16"/>
      <c r="M2" s="16"/>
    </row>
    <row r="3" spans="1:13" ht="19.5" x14ac:dyDescent="0.4">
      <c r="A3" s="2508" t="s">
        <v>41</v>
      </c>
      <c r="B3" s="2508"/>
      <c r="C3" s="2522" t="s">
        <v>396</v>
      </c>
      <c r="D3" s="2523"/>
      <c r="E3" s="2523"/>
      <c r="F3" s="2523"/>
      <c r="G3" s="2523"/>
      <c r="H3" s="2523"/>
      <c r="I3" s="2523"/>
      <c r="J3" s="2523"/>
      <c r="K3" s="2523"/>
      <c r="L3" s="2523"/>
      <c r="M3" s="2524"/>
    </row>
    <row r="4" spans="1:13" ht="19.5" x14ac:dyDescent="0.4">
      <c r="A4" s="2508" t="s">
        <v>42</v>
      </c>
      <c r="B4" s="2508"/>
      <c r="C4" s="2519" t="s">
        <v>472</v>
      </c>
      <c r="D4" s="2520"/>
      <c r="E4" s="2520"/>
      <c r="F4" s="2520"/>
      <c r="G4" s="2520"/>
      <c r="H4" s="2520"/>
      <c r="I4" s="2520"/>
      <c r="J4" s="2520"/>
      <c r="K4" s="2520"/>
      <c r="L4" s="2520"/>
      <c r="M4" s="2521"/>
    </row>
    <row r="5" spans="1:13" ht="19.5" x14ac:dyDescent="0.4">
      <c r="A5" s="2508" t="s">
        <v>43</v>
      </c>
      <c r="B5" s="2508"/>
      <c r="C5" s="2519" t="s">
        <v>473</v>
      </c>
      <c r="D5" s="2520"/>
      <c r="E5" s="2520"/>
      <c r="F5" s="2520"/>
      <c r="G5" s="2520"/>
      <c r="H5" s="2520"/>
      <c r="I5" s="2520"/>
      <c r="J5" s="2520"/>
      <c r="K5" s="2520"/>
      <c r="L5" s="2520"/>
      <c r="M5" s="2521"/>
    </row>
    <row r="6" spans="1:13" ht="97.15" customHeight="1" x14ac:dyDescent="0.4">
      <c r="A6" s="2509" t="s">
        <v>132</v>
      </c>
      <c r="B6" s="2509"/>
      <c r="C6" s="2519" t="s">
        <v>474</v>
      </c>
      <c r="D6" s="2520"/>
      <c r="E6" s="2520"/>
      <c r="F6" s="2520"/>
      <c r="G6" s="2520"/>
      <c r="H6" s="2520"/>
      <c r="I6" s="2520"/>
      <c r="J6" s="2520"/>
      <c r="K6" s="2520"/>
      <c r="L6" s="2520"/>
      <c r="M6" s="2521"/>
    </row>
    <row r="7" spans="1:13" ht="19.5" x14ac:dyDescent="0.4">
      <c r="A7" s="16"/>
      <c r="B7" s="16"/>
      <c r="C7" s="16"/>
      <c r="D7" s="173"/>
      <c r="E7" s="16"/>
      <c r="F7" s="16"/>
      <c r="G7" s="16"/>
      <c r="H7" s="16"/>
      <c r="I7" s="16"/>
      <c r="J7" s="16"/>
      <c r="K7" s="16"/>
      <c r="L7" s="16"/>
      <c r="M7" s="16"/>
    </row>
    <row r="8" spans="1:13" ht="19.5" x14ac:dyDescent="0.4">
      <c r="A8" s="16"/>
      <c r="B8" s="16"/>
      <c r="C8" s="16"/>
      <c r="D8" s="173"/>
      <c r="E8" s="16"/>
      <c r="F8" s="16"/>
      <c r="G8" s="16"/>
      <c r="H8" s="16"/>
      <c r="I8" s="16"/>
      <c r="J8" s="16"/>
      <c r="K8" s="16"/>
      <c r="L8" s="16"/>
      <c r="M8" s="16"/>
    </row>
    <row r="9" spans="1:13" ht="19.5" x14ac:dyDescent="0.4">
      <c r="A9" s="16"/>
      <c r="B9" s="16"/>
      <c r="C9" s="138" t="s">
        <v>475</v>
      </c>
      <c r="D9" s="275"/>
      <c r="E9" s="138"/>
      <c r="F9" s="16"/>
      <c r="G9" s="16"/>
      <c r="H9" s="16"/>
      <c r="I9" s="16"/>
      <c r="J9" s="16"/>
      <c r="K9" s="16"/>
      <c r="L9" s="16"/>
      <c r="M9" s="16"/>
    </row>
    <row r="10" spans="1:13" ht="10.15" customHeight="1" x14ac:dyDescent="0.4">
      <c r="A10" s="22"/>
      <c r="B10" s="22"/>
      <c r="C10" s="276"/>
      <c r="D10" s="277"/>
      <c r="E10" s="276"/>
      <c r="F10" s="17"/>
      <c r="G10" s="17"/>
      <c r="H10" s="22"/>
      <c r="I10" s="22"/>
      <c r="J10" s="22"/>
      <c r="K10" s="22"/>
      <c r="L10" s="22"/>
      <c r="M10" s="22"/>
    </row>
    <row r="11" spans="1:13" ht="54" customHeight="1" x14ac:dyDescent="0.4">
      <c r="A11" s="22"/>
      <c r="B11" s="22"/>
      <c r="C11" s="2515" t="s">
        <v>476</v>
      </c>
      <c r="D11" s="2517" t="s">
        <v>477</v>
      </c>
      <c r="E11" s="2517" t="s">
        <v>478</v>
      </c>
      <c r="G11" s="17"/>
      <c r="H11" s="22"/>
      <c r="I11" s="22"/>
      <c r="J11" s="22"/>
      <c r="K11" s="22"/>
      <c r="L11" s="22"/>
      <c r="M11" s="22"/>
    </row>
    <row r="12" spans="1:13" x14ac:dyDescent="0.4">
      <c r="A12" s="22"/>
      <c r="B12" s="22"/>
      <c r="C12" s="2516"/>
      <c r="D12" s="2518"/>
      <c r="E12" s="2518"/>
      <c r="G12" s="17"/>
      <c r="H12" s="22"/>
      <c r="I12" s="22"/>
      <c r="J12" s="22"/>
      <c r="K12" s="22"/>
      <c r="L12" s="22"/>
      <c r="M12" s="22"/>
    </row>
    <row r="13" spans="1:13" x14ac:dyDescent="0.4">
      <c r="C13" s="3" t="s">
        <v>479</v>
      </c>
      <c r="D13" s="278">
        <v>16.420000000000002</v>
      </c>
      <c r="E13" s="278">
        <v>2.33</v>
      </c>
      <c r="G13" s="17"/>
    </row>
    <row r="14" spans="1:13" x14ac:dyDescent="0.4">
      <c r="C14" s="279" t="s">
        <v>480</v>
      </c>
      <c r="D14" s="280">
        <v>17.72</v>
      </c>
      <c r="E14" s="280">
        <v>2.59</v>
      </c>
      <c r="G14" s="17"/>
    </row>
    <row r="15" spans="1:13" x14ac:dyDescent="0.4">
      <c r="C15" s="281" t="s">
        <v>481</v>
      </c>
      <c r="D15" s="282"/>
      <c r="E15" s="281"/>
      <c r="G15" s="17"/>
    </row>
    <row r="16" spans="1:13" x14ac:dyDescent="0.4">
      <c r="G16" s="17"/>
    </row>
    <row r="17" spans="3:7" x14ac:dyDescent="0.4">
      <c r="G17" s="17"/>
    </row>
    <row r="18" spans="3:7" ht="31.5" customHeight="1" x14ac:dyDescent="0.4">
      <c r="C18" s="138" t="s">
        <v>482</v>
      </c>
      <c r="D18" s="283"/>
      <c r="E18" s="226"/>
      <c r="G18" s="17"/>
    </row>
    <row r="19" spans="3:7" ht="26.65" customHeight="1" x14ac:dyDescent="0.4">
      <c r="C19" s="2515" t="s">
        <v>483</v>
      </c>
      <c r="D19" s="2517" t="s">
        <v>484</v>
      </c>
      <c r="E19" s="2515" t="s">
        <v>485</v>
      </c>
      <c r="G19" s="17"/>
    </row>
    <row r="20" spans="3:7" x14ac:dyDescent="0.4">
      <c r="C20" s="2516"/>
      <c r="D20" s="2518"/>
      <c r="E20" s="2516"/>
      <c r="G20" s="17"/>
    </row>
    <row r="21" spans="3:7" x14ac:dyDescent="0.4">
      <c r="C21" s="284" t="s">
        <v>486</v>
      </c>
      <c r="D21" s="285">
        <v>16.399999999999999</v>
      </c>
      <c r="E21" s="286" t="s">
        <v>487</v>
      </c>
      <c r="G21" s="17"/>
    </row>
    <row r="22" spans="3:7" x14ac:dyDescent="0.4">
      <c r="C22" s="287" t="s">
        <v>57</v>
      </c>
      <c r="D22" s="288">
        <v>14.89</v>
      </c>
      <c r="E22" s="289">
        <v>2.3900000000000001E-2</v>
      </c>
      <c r="G22" s="17"/>
    </row>
    <row r="23" spans="3:7" x14ac:dyDescent="0.4">
      <c r="C23" s="287" t="s">
        <v>58</v>
      </c>
      <c r="D23" s="288">
        <v>20.29</v>
      </c>
      <c r="E23" s="289">
        <v>2.3E-2</v>
      </c>
      <c r="G23" s="17"/>
    </row>
    <row r="24" spans="3:7" x14ac:dyDescent="0.4">
      <c r="C24" s="287" t="s">
        <v>59</v>
      </c>
      <c r="D24" s="288">
        <v>19.93</v>
      </c>
      <c r="E24" s="289">
        <v>2.58E-2</v>
      </c>
      <c r="G24" s="17"/>
    </row>
    <row r="25" spans="3:7" x14ac:dyDescent="0.4">
      <c r="C25" s="287" t="s">
        <v>60</v>
      </c>
      <c r="D25" s="288">
        <v>11.75</v>
      </c>
      <c r="E25" s="289">
        <v>7.7999999999999996E-3</v>
      </c>
      <c r="G25" s="17"/>
    </row>
    <row r="26" spans="3:7" x14ac:dyDescent="0.4">
      <c r="C26" s="287" t="s">
        <v>61</v>
      </c>
      <c r="D26" s="288">
        <v>19.82</v>
      </c>
      <c r="E26" s="289">
        <v>2.3199999999999998E-2</v>
      </c>
      <c r="G26" s="17"/>
    </row>
    <row r="27" spans="3:7" x14ac:dyDescent="0.4">
      <c r="C27" s="290" t="s">
        <v>62</v>
      </c>
      <c r="D27" s="291">
        <v>22.65</v>
      </c>
      <c r="E27" s="292">
        <v>3.2099999999999997E-2</v>
      </c>
      <c r="G27" s="17"/>
    </row>
    <row r="28" spans="3:7" x14ac:dyDescent="0.4">
      <c r="C28" s="281" t="s">
        <v>481</v>
      </c>
      <c r="D28" s="282"/>
      <c r="E28" s="281"/>
      <c r="G28" s="17"/>
    </row>
    <row r="29" spans="3:7" x14ac:dyDescent="0.4">
      <c r="G29" s="17"/>
    </row>
    <row r="30" spans="3:7" ht="39.6" customHeight="1" x14ac:dyDescent="0.4">
      <c r="C30" s="138" t="s">
        <v>488</v>
      </c>
      <c r="D30" s="283"/>
      <c r="E30" s="226"/>
      <c r="G30" s="17"/>
    </row>
    <row r="31" spans="3:7" ht="26.65" customHeight="1" x14ac:dyDescent="0.4">
      <c r="C31" s="2515" t="s">
        <v>49</v>
      </c>
      <c r="D31" s="2517" t="s">
        <v>484</v>
      </c>
      <c r="E31" s="2515" t="s">
        <v>485</v>
      </c>
      <c r="G31" s="17"/>
    </row>
    <row r="32" spans="3:7" x14ac:dyDescent="0.4">
      <c r="C32" s="2516"/>
      <c r="D32" s="2518"/>
      <c r="E32" s="2516"/>
      <c r="G32" s="17"/>
    </row>
    <row r="33" spans="3:7" x14ac:dyDescent="0.4">
      <c r="C33" s="36" t="s">
        <v>55</v>
      </c>
      <c r="D33" s="6">
        <v>16.11</v>
      </c>
      <c r="E33" s="293">
        <v>2.37</v>
      </c>
      <c r="G33" s="17"/>
    </row>
    <row r="34" spans="3:7" ht="16.5" customHeight="1" x14ac:dyDescent="0.4">
      <c r="C34" s="294" t="s">
        <v>56</v>
      </c>
      <c r="D34" s="233">
        <v>17.260000000000002</v>
      </c>
      <c r="E34" s="295">
        <v>2.23</v>
      </c>
      <c r="G34" s="17"/>
    </row>
    <row r="35" spans="3:7" x14ac:dyDescent="0.4">
      <c r="C35" s="281" t="s">
        <v>481</v>
      </c>
      <c r="D35" s="282"/>
      <c r="E35" s="281"/>
      <c r="G35" s="17"/>
    </row>
    <row r="36" spans="3:7" x14ac:dyDescent="0.4">
      <c r="G36" s="17"/>
    </row>
    <row r="37" spans="3:7" ht="17.45" customHeight="1" x14ac:dyDescent="0.4">
      <c r="C37" s="138" t="s">
        <v>489</v>
      </c>
      <c r="D37" s="283"/>
      <c r="E37" s="226"/>
      <c r="G37" s="17"/>
    </row>
    <row r="38" spans="3:7" ht="14.65" customHeight="1" x14ac:dyDescent="0.4">
      <c r="C38" s="226"/>
      <c r="D38" s="283"/>
      <c r="E38" s="226"/>
      <c r="G38" s="17"/>
    </row>
    <row r="39" spans="3:7" ht="32.450000000000003" customHeight="1" x14ac:dyDescent="0.4">
      <c r="C39" s="296" t="s">
        <v>490</v>
      </c>
      <c r="D39" s="297" t="s">
        <v>491</v>
      </c>
      <c r="E39" s="296" t="s">
        <v>485</v>
      </c>
      <c r="G39" s="17"/>
    </row>
    <row r="40" spans="3:7" x14ac:dyDescent="0.4">
      <c r="C40" s="36" t="s">
        <v>53</v>
      </c>
      <c r="D40" s="6">
        <v>14.31</v>
      </c>
      <c r="E40" s="293">
        <v>1.93</v>
      </c>
      <c r="G40" s="17"/>
    </row>
    <row r="41" spans="3:7" x14ac:dyDescent="0.4">
      <c r="C41" s="294" t="s">
        <v>54</v>
      </c>
      <c r="D41" s="233">
        <v>19.440000000000001</v>
      </c>
      <c r="E41" s="298">
        <v>2.9</v>
      </c>
      <c r="G41" s="17"/>
    </row>
    <row r="42" spans="3:7" x14ac:dyDescent="0.4">
      <c r="C42" s="281" t="s">
        <v>481</v>
      </c>
      <c r="D42" s="282"/>
      <c r="E42" s="281"/>
      <c r="G42" s="17"/>
    </row>
    <row r="43" spans="3:7" x14ac:dyDescent="0.4">
      <c r="C43" s="299"/>
      <c r="G43" s="17"/>
    </row>
    <row r="44" spans="3:7" ht="17.45" customHeight="1" x14ac:dyDescent="0.4">
      <c r="C44" s="138" t="s">
        <v>492</v>
      </c>
      <c r="D44" s="283"/>
      <c r="E44" s="226"/>
      <c r="G44" s="17"/>
    </row>
    <row r="45" spans="3:7" ht="27" customHeight="1" x14ac:dyDescent="0.4">
      <c r="C45" s="300" t="s">
        <v>493</v>
      </c>
      <c r="D45" s="297" t="s">
        <v>484</v>
      </c>
      <c r="E45" s="300" t="s">
        <v>485</v>
      </c>
      <c r="G45" s="17"/>
    </row>
    <row r="46" spans="3:7" x14ac:dyDescent="0.4">
      <c r="C46" s="301" t="s">
        <v>494</v>
      </c>
      <c r="D46" s="232">
        <v>35.729999999999997</v>
      </c>
      <c r="E46" s="232">
        <v>6.49</v>
      </c>
      <c r="G46" s="17"/>
    </row>
    <row r="47" spans="3:7" x14ac:dyDescent="0.4">
      <c r="C47" s="287" t="s">
        <v>495</v>
      </c>
      <c r="D47" s="302">
        <v>20.92</v>
      </c>
      <c r="E47" s="302">
        <v>2.59</v>
      </c>
      <c r="G47" s="17"/>
    </row>
    <row r="48" spans="3:7" x14ac:dyDescent="0.4">
      <c r="C48" s="287" t="s">
        <v>496</v>
      </c>
      <c r="D48" s="303">
        <v>14.4</v>
      </c>
      <c r="E48" s="303">
        <v>1.4</v>
      </c>
      <c r="G48" s="17"/>
    </row>
    <row r="49" spans="3:7" x14ac:dyDescent="0.4">
      <c r="C49" s="287" t="s">
        <v>497</v>
      </c>
      <c r="D49" s="302">
        <v>8.09</v>
      </c>
      <c r="E49" s="302">
        <v>0.81</v>
      </c>
      <c r="G49" s="17"/>
    </row>
    <row r="50" spans="3:7" x14ac:dyDescent="0.4">
      <c r="C50" s="290" t="s">
        <v>498</v>
      </c>
      <c r="D50" s="304">
        <v>3.03</v>
      </c>
      <c r="E50" s="304">
        <v>0.38</v>
      </c>
      <c r="G50" s="17"/>
    </row>
    <row r="51" spans="3:7" x14ac:dyDescent="0.4">
      <c r="C51" s="281" t="s">
        <v>481</v>
      </c>
      <c r="D51" s="282"/>
      <c r="E51" s="281"/>
      <c r="G51" s="17"/>
    </row>
    <row r="52" spans="3:7" x14ac:dyDescent="0.4">
      <c r="G52" s="17"/>
    </row>
    <row r="53" spans="3:7" ht="25.5" customHeight="1" x14ac:dyDescent="0.4">
      <c r="C53" s="138" t="s">
        <v>499</v>
      </c>
      <c r="D53" s="283"/>
      <c r="E53" s="226"/>
      <c r="G53" s="17"/>
    </row>
    <row r="54" spans="3:7" ht="37.5" x14ac:dyDescent="0.4">
      <c r="C54" s="300" t="s">
        <v>500</v>
      </c>
      <c r="D54" s="297" t="s">
        <v>484</v>
      </c>
      <c r="E54" s="296" t="s">
        <v>485</v>
      </c>
      <c r="G54" s="17"/>
    </row>
    <row r="55" spans="3:7" x14ac:dyDescent="0.4">
      <c r="C55" s="287" t="s">
        <v>501</v>
      </c>
      <c r="D55" s="303">
        <v>15.3</v>
      </c>
      <c r="E55" s="305">
        <v>2</v>
      </c>
      <c r="G55" s="17"/>
    </row>
    <row r="56" spans="3:7" x14ac:dyDescent="0.4">
      <c r="C56" s="290" t="s">
        <v>502</v>
      </c>
      <c r="D56" s="304">
        <v>21.94</v>
      </c>
      <c r="E56" s="306">
        <v>3.93</v>
      </c>
      <c r="G56" s="17"/>
    </row>
    <row r="57" spans="3:7" x14ac:dyDescent="0.4">
      <c r="C57" s="281" t="s">
        <v>481</v>
      </c>
      <c r="D57" s="282"/>
      <c r="E57" s="281"/>
      <c r="G57" s="17"/>
    </row>
    <row r="58" spans="3:7" x14ac:dyDescent="0.4">
      <c r="G58" s="17"/>
    </row>
    <row r="59" spans="3:7" ht="26.65" customHeight="1" x14ac:dyDescent="0.4">
      <c r="C59" s="226" t="s">
        <v>503</v>
      </c>
      <c r="D59" s="283"/>
      <c r="E59" s="226"/>
      <c r="G59" s="17"/>
    </row>
    <row r="60" spans="3:7" ht="37.5" x14ac:dyDescent="0.4">
      <c r="C60" s="300" t="s">
        <v>500</v>
      </c>
      <c r="D60" s="297" t="s">
        <v>484</v>
      </c>
      <c r="E60" s="296" t="s">
        <v>485</v>
      </c>
      <c r="G60" s="17"/>
    </row>
    <row r="61" spans="3:7" x14ac:dyDescent="0.4">
      <c r="C61" s="307" t="s">
        <v>504</v>
      </c>
      <c r="D61" s="302">
        <v>14.8</v>
      </c>
      <c r="E61" s="308">
        <v>2.1</v>
      </c>
      <c r="G61" s="17"/>
    </row>
    <row r="62" spans="3:7" x14ac:dyDescent="0.4">
      <c r="C62" s="309" t="s">
        <v>505</v>
      </c>
      <c r="D62" s="304">
        <v>21.17</v>
      </c>
      <c r="E62" s="306">
        <v>3.01</v>
      </c>
      <c r="G62" s="17"/>
    </row>
    <row r="63" spans="3:7" x14ac:dyDescent="0.4">
      <c r="C63" s="281" t="s">
        <v>481</v>
      </c>
      <c r="D63" s="282"/>
      <c r="E63" s="281"/>
      <c r="G63" s="17"/>
    </row>
    <row r="64" spans="3:7" ht="61.5" customHeight="1" x14ac:dyDescent="0.4">
      <c r="C64" s="34"/>
      <c r="D64" s="262"/>
    </row>
  </sheetData>
  <mergeCells count="18">
    <mergeCell ref="A5:B5"/>
    <mergeCell ref="C5:M5"/>
    <mergeCell ref="C1:D1"/>
    <mergeCell ref="A3:B3"/>
    <mergeCell ref="C3:M3"/>
    <mergeCell ref="A4:B4"/>
    <mergeCell ref="C4:M4"/>
    <mergeCell ref="C31:C32"/>
    <mergeCell ref="D31:D32"/>
    <mergeCell ref="E31:E32"/>
    <mergeCell ref="A6:B6"/>
    <mergeCell ref="C6:M6"/>
    <mergeCell ref="C11:C12"/>
    <mergeCell ref="D11:D12"/>
    <mergeCell ref="E11:E12"/>
    <mergeCell ref="C19:C20"/>
    <mergeCell ref="D19:D20"/>
    <mergeCell ref="E19:E20"/>
  </mergeCells>
  <hyperlinks>
    <hyperlink ref="A3" location="'ODS 2.'!A1" display="REGRESAR" xr:uid="{9B2BE100-CF79-4D6D-B97B-9FD0A6799C86}"/>
    <hyperlink ref="C3" location="'Metadato 2.1.2'!A1" display="VER METADATO" xr:uid="{9EF83B36-96DC-43F5-881D-65E71E627FD7}"/>
    <hyperlink ref="A1" location="'ODS 2.'!A1" display="REGRESAR" xr:uid="{993F8692-F625-41FA-8258-470132D08985}"/>
    <hyperlink ref="C1" location="'Metadato 2.1.1'!A1" display="VER METADATO" xr:uid="{53465095-C869-4CE4-BE22-152201BDA890}"/>
    <hyperlink ref="C1:D1" location="'Metadato 2.1.2'!A1" display="VER METADATO" xr:uid="{A1AF37E8-CF64-4603-BC0A-E9E46E0A4EA4}"/>
  </hyperlinks>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B8A2-0710-45FC-AB2C-6D9B17B85D64}">
  <sheetPr>
    <tabColor theme="0" tint="-0.499984740745262"/>
  </sheetPr>
  <dimension ref="A1:M70"/>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5" x14ac:dyDescent="0.25"/>
  <cols>
    <col min="1" max="1" width="8.28515625" customWidth="1"/>
    <col min="2" max="2" width="26.42578125" customWidth="1"/>
    <col min="3" max="3" width="24" customWidth="1"/>
    <col min="4" max="4" width="85.7109375" customWidth="1"/>
    <col min="5" max="5" width="3.42578125" customWidth="1"/>
    <col min="6" max="6" width="7.28515625" customWidth="1"/>
    <col min="7" max="7" width="9.42578125" customWidth="1"/>
    <col min="8" max="8" width="9.28515625" customWidth="1"/>
    <col min="9" max="10" width="8.28515625" customWidth="1"/>
    <col min="11" max="11" width="7.42578125" customWidth="1"/>
  </cols>
  <sheetData>
    <row r="1" spans="1:8" ht="13.5" customHeight="1" x14ac:dyDescent="0.4">
      <c r="A1" s="470"/>
      <c r="B1" s="158" t="s">
        <v>39</v>
      </c>
      <c r="C1" s="470"/>
      <c r="D1" s="470"/>
      <c r="E1" s="470"/>
      <c r="F1" s="470"/>
      <c r="G1" s="470"/>
      <c r="H1" s="470"/>
    </row>
    <row r="2" spans="1:8" ht="16.5" customHeight="1" thickBot="1" x14ac:dyDescent="0.45">
      <c r="A2" s="470"/>
      <c r="B2" s="470"/>
      <c r="C2" s="470"/>
      <c r="D2" s="470"/>
      <c r="E2" s="470"/>
      <c r="F2" s="470"/>
      <c r="G2" s="470"/>
      <c r="H2" s="470"/>
    </row>
    <row r="3" spans="1:8" ht="23.25" customHeight="1" thickBot="1" x14ac:dyDescent="0.45">
      <c r="A3" s="115"/>
      <c r="B3" s="3270" t="s">
        <v>75</v>
      </c>
      <c r="C3" s="3270"/>
      <c r="D3" s="3270"/>
      <c r="E3" s="115"/>
      <c r="F3" s="1046" t="s">
        <v>76</v>
      </c>
      <c r="G3" s="115"/>
      <c r="H3" s="115"/>
    </row>
    <row r="4" spans="1:8" ht="37.5" x14ac:dyDescent="0.4">
      <c r="A4" s="115"/>
      <c r="B4" s="2445" t="s">
        <v>234</v>
      </c>
      <c r="C4" s="2445"/>
      <c r="D4" s="49" t="s">
        <v>5921</v>
      </c>
      <c r="E4" s="115"/>
      <c r="F4" s="115"/>
      <c r="G4" s="115"/>
      <c r="H4" s="115"/>
    </row>
    <row r="5" spans="1:8" ht="30" customHeight="1" x14ac:dyDescent="0.4">
      <c r="A5" s="115"/>
      <c r="B5" s="2445" t="s">
        <v>79</v>
      </c>
      <c r="C5" s="2445"/>
      <c r="D5" s="49" t="s">
        <v>5872</v>
      </c>
      <c r="E5" s="115"/>
      <c r="F5" s="115"/>
      <c r="G5" s="115"/>
      <c r="H5" s="115"/>
    </row>
    <row r="6" spans="1:8" ht="18.75" x14ac:dyDescent="0.4">
      <c r="A6" s="115"/>
      <c r="B6" s="2445" t="s">
        <v>80</v>
      </c>
      <c r="C6" s="2445"/>
      <c r="D6" s="50" t="s">
        <v>5873</v>
      </c>
      <c r="E6" s="115"/>
      <c r="F6" s="115"/>
      <c r="G6" s="115"/>
      <c r="H6" s="115"/>
    </row>
    <row r="7" spans="1:8" ht="37.5" x14ac:dyDescent="0.4">
      <c r="A7" s="115"/>
      <c r="B7" s="2446" t="s">
        <v>81</v>
      </c>
      <c r="C7" s="2446"/>
      <c r="D7" s="93" t="s">
        <v>5874</v>
      </c>
      <c r="E7" s="115"/>
      <c r="F7" s="115"/>
      <c r="G7" s="115"/>
      <c r="H7" s="115"/>
    </row>
    <row r="8" spans="1:8" ht="18.75" x14ac:dyDescent="0.4">
      <c r="A8" s="115"/>
      <c r="B8" s="2446" t="s">
        <v>82</v>
      </c>
      <c r="C8" s="2446"/>
      <c r="D8" s="1047" t="s">
        <v>5922</v>
      </c>
      <c r="E8" s="115"/>
      <c r="F8" s="115"/>
      <c r="G8" s="115"/>
      <c r="H8" s="115"/>
    </row>
    <row r="10" spans="1:8" ht="23.25" customHeight="1" x14ac:dyDescent="0.4">
      <c r="A10" s="115"/>
      <c r="B10" s="3270" t="s">
        <v>85</v>
      </c>
      <c r="C10" s="3270"/>
      <c r="D10" s="3270"/>
      <c r="E10" s="115"/>
      <c r="F10" s="115"/>
      <c r="G10" s="115"/>
      <c r="H10" s="115"/>
    </row>
    <row r="11" spans="1:8" ht="16.5" customHeight="1" x14ac:dyDescent="0.4">
      <c r="A11" s="115"/>
      <c r="B11" s="2487" t="s">
        <v>86</v>
      </c>
      <c r="C11" s="2456"/>
      <c r="D11" s="49" t="s">
        <v>167</v>
      </c>
      <c r="E11" s="115"/>
      <c r="F11" s="115"/>
      <c r="G11" s="115"/>
      <c r="H11" s="115"/>
    </row>
    <row r="12" spans="1:8" ht="37.5" customHeight="1" x14ac:dyDescent="0.4">
      <c r="A12" s="115"/>
      <c r="B12" s="2446" t="s">
        <v>88</v>
      </c>
      <c r="C12" s="2446"/>
      <c r="D12" s="755" t="s">
        <v>5923</v>
      </c>
      <c r="E12" s="115"/>
      <c r="F12" s="115"/>
      <c r="G12" s="115"/>
      <c r="H12" s="115"/>
    </row>
    <row r="13" spans="1:8" ht="18.75" x14ac:dyDescent="0.4">
      <c r="A13" s="115"/>
      <c r="B13" s="2445" t="s">
        <v>90</v>
      </c>
      <c r="C13" s="2445"/>
      <c r="D13" s="594" t="s">
        <v>5924</v>
      </c>
      <c r="E13" s="115"/>
      <c r="F13" s="115"/>
      <c r="G13" s="115"/>
      <c r="H13" s="115"/>
    </row>
    <row r="14" spans="1:8" ht="18.75" x14ac:dyDescent="0.4">
      <c r="A14" s="115"/>
      <c r="B14" s="2445" t="s">
        <v>91</v>
      </c>
      <c r="C14" s="2456"/>
      <c r="D14" s="54" t="s">
        <v>214</v>
      </c>
      <c r="E14" s="115"/>
      <c r="F14" s="115"/>
      <c r="G14" s="115"/>
      <c r="H14" s="115"/>
    </row>
    <row r="15" spans="1:8" ht="93.75" x14ac:dyDescent="0.4">
      <c r="A15" s="115"/>
      <c r="B15" s="2445" t="s">
        <v>93</v>
      </c>
      <c r="C15" s="2445"/>
      <c r="D15" s="756" t="s">
        <v>5925</v>
      </c>
      <c r="E15" s="115"/>
      <c r="F15" s="115"/>
      <c r="G15" s="115"/>
      <c r="H15" s="115"/>
    </row>
    <row r="16" spans="1:8" ht="51.75" customHeight="1" x14ac:dyDescent="0.4">
      <c r="A16" s="115"/>
      <c r="B16" s="2445" t="s">
        <v>95</v>
      </c>
      <c r="C16" s="2445"/>
      <c r="D16" s="594"/>
      <c r="E16" s="115"/>
      <c r="F16" s="115"/>
      <c r="G16" s="115"/>
      <c r="H16" s="115"/>
    </row>
    <row r="17" spans="2:13" ht="19.5" customHeight="1" x14ac:dyDescent="0.4">
      <c r="B17" s="2445" t="s">
        <v>97</v>
      </c>
      <c r="C17" s="2445"/>
      <c r="D17" s="55" t="s">
        <v>98</v>
      </c>
      <c r="E17" s="115"/>
      <c r="F17" s="115"/>
      <c r="G17" s="115"/>
      <c r="H17" s="115"/>
      <c r="I17" s="115"/>
      <c r="J17" s="115"/>
      <c r="K17" s="115"/>
      <c r="L17" s="115"/>
      <c r="M17" s="115"/>
    </row>
    <row r="18" spans="2:13" ht="18.75" x14ac:dyDescent="0.4">
      <c r="B18" s="2446" t="s">
        <v>99</v>
      </c>
      <c r="C18" s="2446"/>
      <c r="D18" s="49" t="s">
        <v>140</v>
      </c>
      <c r="E18" s="115"/>
      <c r="F18" s="115"/>
      <c r="G18" s="115"/>
      <c r="H18" s="115"/>
      <c r="I18" s="115"/>
      <c r="J18" s="115"/>
      <c r="K18" s="115"/>
      <c r="L18" s="115"/>
      <c r="M18" s="115"/>
    </row>
    <row r="19" spans="2:13" ht="56.25" x14ac:dyDescent="0.4">
      <c r="B19" s="2457" t="s">
        <v>100</v>
      </c>
      <c r="C19" s="2458"/>
      <c r="D19" s="55" t="s">
        <v>5926</v>
      </c>
      <c r="E19" s="115"/>
      <c r="F19" s="115"/>
      <c r="G19" s="115"/>
      <c r="H19" s="115"/>
      <c r="I19" s="115"/>
      <c r="J19" s="115"/>
      <c r="K19" s="115"/>
      <c r="L19" s="115"/>
      <c r="M19" s="115"/>
    </row>
    <row r="20" spans="2:13" ht="18.75" x14ac:dyDescent="0.4">
      <c r="B20" s="2445" t="s">
        <v>102</v>
      </c>
      <c r="C20" s="2445"/>
      <c r="D20" s="55" t="s">
        <v>140</v>
      </c>
      <c r="E20" s="115"/>
      <c r="F20" s="115"/>
      <c r="G20" s="115"/>
      <c r="H20" s="115"/>
      <c r="I20" s="115"/>
      <c r="J20" s="115"/>
      <c r="K20" s="115"/>
      <c r="L20" s="115"/>
      <c r="M20" s="115"/>
    </row>
    <row r="21" spans="2:13" ht="18.75" x14ac:dyDescent="0.4">
      <c r="B21" s="2451" t="s">
        <v>104</v>
      </c>
      <c r="C21" s="95" t="s">
        <v>105</v>
      </c>
      <c r="D21" s="55" t="s">
        <v>5927</v>
      </c>
      <c r="E21" s="120"/>
      <c r="F21" s="120"/>
      <c r="G21" s="120"/>
      <c r="H21" s="120"/>
      <c r="I21" s="120"/>
      <c r="J21" s="120"/>
      <c r="K21" s="120"/>
      <c r="L21" s="120"/>
      <c r="M21" s="120"/>
    </row>
    <row r="22" spans="2:13" ht="18.75" x14ac:dyDescent="0.4">
      <c r="B22" s="2452"/>
      <c r="C22" s="96" t="s">
        <v>107</v>
      </c>
      <c r="D22" s="55"/>
      <c r="E22" s="115"/>
      <c r="F22" s="115"/>
      <c r="G22" s="115"/>
      <c r="H22" s="115"/>
      <c r="I22" s="115"/>
      <c r="J22" s="115"/>
      <c r="K22" s="115"/>
      <c r="L22" s="115"/>
      <c r="M22" s="115"/>
    </row>
    <row r="23" spans="2:13" ht="18.75" x14ac:dyDescent="0.4">
      <c r="B23" s="2445" t="s">
        <v>109</v>
      </c>
      <c r="C23" s="2445"/>
      <c r="D23" s="55" t="s">
        <v>143</v>
      </c>
      <c r="E23" s="115"/>
      <c r="F23" s="115"/>
      <c r="G23" s="115"/>
      <c r="H23" s="115"/>
      <c r="I23" s="115"/>
      <c r="J23" s="115"/>
      <c r="K23" s="115"/>
      <c r="L23" s="115"/>
      <c r="M23" s="115"/>
    </row>
    <row r="24" spans="2:13" ht="18.75" x14ac:dyDescent="0.4">
      <c r="B24" s="2445" t="s">
        <v>111</v>
      </c>
      <c r="C24" s="2445"/>
      <c r="D24" s="50" t="s">
        <v>127</v>
      </c>
      <c r="E24" s="115"/>
      <c r="F24" s="115"/>
      <c r="G24" s="115"/>
      <c r="H24" s="115"/>
      <c r="I24" s="115"/>
      <c r="J24" s="115"/>
      <c r="K24" s="115"/>
      <c r="L24" s="115"/>
      <c r="M24" s="115"/>
    </row>
    <row r="25" spans="2:13" ht="18.75" x14ac:dyDescent="0.4">
      <c r="B25" s="2445" t="s">
        <v>113</v>
      </c>
      <c r="C25" s="2445"/>
      <c r="D25" s="55" t="s">
        <v>144</v>
      </c>
      <c r="E25" s="115"/>
      <c r="F25" s="115"/>
      <c r="G25" s="115"/>
      <c r="H25" s="115"/>
      <c r="I25" s="115"/>
      <c r="J25" s="115"/>
      <c r="K25" s="115"/>
      <c r="L25" s="115"/>
      <c r="M25" s="115"/>
    </row>
    <row r="26" spans="2:13" ht="15" customHeight="1" x14ac:dyDescent="0.4">
      <c r="B26" s="2446" t="s">
        <v>115</v>
      </c>
      <c r="C26" s="2446"/>
      <c r="D26" s="50" t="s">
        <v>5928</v>
      </c>
      <c r="E26" s="115"/>
      <c r="F26" s="115"/>
      <c r="G26" s="115"/>
      <c r="H26" s="115"/>
      <c r="I26" s="115"/>
      <c r="J26" s="115"/>
      <c r="K26" s="115"/>
      <c r="L26" s="115"/>
      <c r="M26" s="115"/>
    </row>
    <row r="27" spans="2:13" ht="18.75" x14ac:dyDescent="0.4">
      <c r="B27" s="2447" t="s">
        <v>117</v>
      </c>
      <c r="C27" s="2448"/>
      <c r="D27" s="49"/>
      <c r="E27" s="115"/>
      <c r="F27" s="115"/>
      <c r="G27" s="115"/>
      <c r="H27" s="115"/>
      <c r="I27" s="115"/>
      <c r="J27" s="115"/>
      <c r="K27" s="115"/>
      <c r="L27" s="115"/>
      <c r="M27" s="115"/>
    </row>
    <row r="28" spans="2:13" ht="15" customHeight="1" x14ac:dyDescent="0.4">
      <c r="B28" s="97" t="s">
        <v>118</v>
      </c>
      <c r="C28" s="98"/>
      <c r="D28" s="55" t="s">
        <v>5929</v>
      </c>
      <c r="E28" s="115"/>
      <c r="F28" s="115"/>
      <c r="G28" s="115"/>
      <c r="H28" s="115"/>
      <c r="I28" s="115"/>
      <c r="J28" s="115"/>
      <c r="K28" s="115"/>
      <c r="L28" s="115"/>
      <c r="M28" s="115"/>
    </row>
    <row r="29" spans="2:13" ht="18.75" x14ac:dyDescent="0.4">
      <c r="B29" s="2449" t="s">
        <v>120</v>
      </c>
      <c r="C29" s="2450"/>
      <c r="D29" s="62"/>
      <c r="E29" s="115"/>
      <c r="F29" s="115"/>
      <c r="G29" s="115"/>
      <c r="H29" s="115"/>
      <c r="I29" s="115"/>
      <c r="J29" s="115"/>
      <c r="K29" s="115"/>
      <c r="L29" s="115"/>
      <c r="M29" s="115"/>
    </row>
    <row r="30" spans="2:13" ht="18.75" x14ac:dyDescent="0.4">
      <c r="B30" s="63"/>
      <c r="C30" s="63"/>
      <c r="D30" s="64"/>
      <c r="E30" s="115"/>
      <c r="F30" s="115"/>
      <c r="G30" s="115"/>
      <c r="H30" s="115"/>
      <c r="I30" s="115"/>
      <c r="J30" s="115"/>
      <c r="K30" s="115"/>
      <c r="L30" s="115"/>
      <c r="M30" s="115"/>
    </row>
    <row r="31" spans="2:13" ht="19.5" x14ac:dyDescent="0.4">
      <c r="B31" s="3270" t="s">
        <v>121</v>
      </c>
      <c r="C31" s="3270"/>
      <c r="D31" s="3270"/>
      <c r="E31" s="115"/>
      <c r="F31" s="115"/>
      <c r="G31" s="115"/>
      <c r="H31" s="115"/>
      <c r="I31" s="115"/>
      <c r="J31" s="115"/>
      <c r="K31" s="115"/>
      <c r="L31" s="115"/>
      <c r="M31" s="115"/>
    </row>
    <row r="32" spans="2:13" ht="18.75" x14ac:dyDescent="0.4">
      <c r="B32" s="2447" t="s">
        <v>122</v>
      </c>
      <c r="C32" s="2448"/>
      <c r="D32" s="826" t="s">
        <v>123</v>
      </c>
      <c r="E32" s="115"/>
      <c r="F32" s="115"/>
      <c r="G32" s="115"/>
      <c r="H32" s="115"/>
      <c r="I32" s="115"/>
      <c r="J32" s="115"/>
      <c r="K32" s="115"/>
      <c r="L32" s="115"/>
      <c r="M32" s="115"/>
    </row>
    <row r="33" spans="1:6" ht="23.25" customHeight="1" x14ac:dyDescent="0.4">
      <c r="A33" s="115"/>
      <c r="B33" s="2447" t="s">
        <v>124</v>
      </c>
      <c r="C33" s="2448"/>
      <c r="D33" s="826" t="s">
        <v>4704</v>
      </c>
      <c r="E33" s="115"/>
      <c r="F33" s="115"/>
    </row>
    <row r="34" spans="1:6" ht="18.75" x14ac:dyDescent="0.4">
      <c r="A34" s="115"/>
      <c r="B34" s="2447" t="s">
        <v>126</v>
      </c>
      <c r="C34" s="2448"/>
      <c r="D34" s="50" t="s">
        <v>127</v>
      </c>
      <c r="E34" s="115"/>
      <c r="F34" s="115"/>
    </row>
    <row r="35" spans="1:6" ht="18.75" x14ac:dyDescent="0.4">
      <c r="A35" s="115"/>
      <c r="B35" s="2447" t="s">
        <v>128</v>
      </c>
      <c r="C35" s="2448"/>
      <c r="D35" s="826" t="s">
        <v>1791</v>
      </c>
      <c r="E35" s="115"/>
      <c r="F35" s="115"/>
    </row>
    <row r="36" spans="1:6" ht="18.75" x14ac:dyDescent="0.4">
      <c r="A36" s="115"/>
      <c r="B36" s="2447" t="s">
        <v>130</v>
      </c>
      <c r="C36" s="2448"/>
      <c r="D36" s="826" t="s">
        <v>1792</v>
      </c>
      <c r="E36" s="115"/>
      <c r="F36" s="115"/>
    </row>
    <row r="37" spans="1:6" ht="18.75" x14ac:dyDescent="0.4">
      <c r="A37" s="115"/>
      <c r="B37" s="2447" t="s">
        <v>128</v>
      </c>
      <c r="C37" s="2448"/>
      <c r="D37" s="826" t="s">
        <v>1791</v>
      </c>
      <c r="E37" s="115"/>
      <c r="F37" s="115"/>
    </row>
    <row r="38" spans="1:6" ht="18.75" x14ac:dyDescent="0.4">
      <c r="A38" s="115"/>
      <c r="B38" s="2447" t="s">
        <v>130</v>
      </c>
      <c r="C38" s="2448"/>
      <c r="D38" s="826" t="s">
        <v>1792</v>
      </c>
      <c r="E38" s="115"/>
      <c r="F38" s="115"/>
    </row>
    <row r="40" spans="1:6" s="1678" customFormat="1" ht="150" hidden="1" x14ac:dyDescent="0.4">
      <c r="A40" s="1677" t="s">
        <v>5916</v>
      </c>
      <c r="B40" s="1677" t="s">
        <v>5917</v>
      </c>
      <c r="C40" s="1677" t="s">
        <v>5918</v>
      </c>
      <c r="D40" s="1677" t="s">
        <v>5919</v>
      </c>
      <c r="E40" s="1677"/>
      <c r="F40" s="1677" t="s">
        <v>5920</v>
      </c>
    </row>
    <row r="41" spans="1:6" s="1678" customFormat="1" ht="18.75" hidden="1" x14ac:dyDescent="0.4">
      <c r="A41" s="1680" t="s">
        <v>1797</v>
      </c>
      <c r="B41" s="1681" t="s">
        <v>1797</v>
      </c>
      <c r="C41" s="1680" t="s">
        <v>1797</v>
      </c>
      <c r="D41" s="1680" t="s">
        <v>1797</v>
      </c>
      <c r="E41" s="1680"/>
      <c r="F41" s="1680" t="s">
        <v>1797</v>
      </c>
    </row>
    <row r="42" spans="1:6" s="1678" customFormat="1" ht="18.75" hidden="1" x14ac:dyDescent="0.4">
      <c r="A42" s="1680" t="s">
        <v>1797</v>
      </c>
      <c r="B42" s="1681" t="s">
        <v>1797</v>
      </c>
      <c r="C42" s="1680" t="s">
        <v>1797</v>
      </c>
      <c r="D42" s="1680" t="s">
        <v>1797</v>
      </c>
      <c r="E42" s="1680"/>
      <c r="F42" s="1680" t="s">
        <v>1797</v>
      </c>
    </row>
    <row r="43" spans="1:6" s="1678" customFormat="1" ht="18.75" hidden="1" x14ac:dyDescent="0.4">
      <c r="A43" s="1680" t="s">
        <v>1797</v>
      </c>
      <c r="B43" s="1681" t="s">
        <v>1797</v>
      </c>
      <c r="C43" s="1680" t="s">
        <v>1797</v>
      </c>
      <c r="D43" s="1680" t="s">
        <v>1797</v>
      </c>
      <c r="E43" s="1680"/>
      <c r="F43" s="1680" t="s">
        <v>1797</v>
      </c>
    </row>
    <row r="44" spans="1:6" s="1678" customFormat="1" ht="18.75" hidden="1" x14ac:dyDescent="0.4">
      <c r="A44" s="1680" t="s">
        <v>1797</v>
      </c>
      <c r="B44" s="1681" t="s">
        <v>1797</v>
      </c>
      <c r="C44" s="1680" t="s">
        <v>1797</v>
      </c>
      <c r="D44" s="1680" t="s">
        <v>1797</v>
      </c>
      <c r="E44" s="1680"/>
      <c r="F44" s="1680" t="s">
        <v>1797</v>
      </c>
    </row>
    <row r="45" spans="1:6" s="1678" customFormat="1" ht="18.75" hidden="1" x14ac:dyDescent="0.4">
      <c r="A45" s="1680" t="s">
        <v>1797</v>
      </c>
      <c r="B45" s="1681" t="s">
        <v>1797</v>
      </c>
      <c r="C45" s="1680" t="s">
        <v>1797</v>
      </c>
      <c r="D45" s="1680" t="s">
        <v>1797</v>
      </c>
      <c r="E45" s="1680"/>
      <c r="F45" s="1680" t="s">
        <v>1797</v>
      </c>
    </row>
    <row r="46" spans="1:6" s="1678" customFormat="1" ht="18.75" hidden="1" x14ac:dyDescent="0.4">
      <c r="A46" s="1680" t="s">
        <v>1797</v>
      </c>
      <c r="B46" s="1681" t="s">
        <v>1797</v>
      </c>
      <c r="C46" s="1680" t="s">
        <v>1797</v>
      </c>
      <c r="D46" s="1680" t="s">
        <v>1797</v>
      </c>
      <c r="E46" s="1680"/>
      <c r="F46" s="1680" t="s">
        <v>1797</v>
      </c>
    </row>
    <row r="47" spans="1:6" s="1678" customFormat="1" ht="18.75" hidden="1" x14ac:dyDescent="0.4">
      <c r="A47" s="1680" t="s">
        <v>1797</v>
      </c>
      <c r="B47" s="1681" t="s">
        <v>1797</v>
      </c>
      <c r="C47" s="1680" t="s">
        <v>1797</v>
      </c>
      <c r="D47" s="1680" t="s">
        <v>1797</v>
      </c>
      <c r="E47" s="1680"/>
      <c r="F47" s="1680" t="s">
        <v>1797</v>
      </c>
    </row>
    <row r="48" spans="1:6" s="1678" customFormat="1" ht="18.75" hidden="1" x14ac:dyDescent="0.4">
      <c r="A48" s="1680" t="s">
        <v>1797</v>
      </c>
      <c r="B48" s="1681" t="s">
        <v>1797</v>
      </c>
      <c r="C48" s="1680" t="s">
        <v>1797</v>
      </c>
      <c r="D48" s="1680" t="s">
        <v>1797</v>
      </c>
      <c r="E48" s="1680"/>
      <c r="F48" s="1680" t="s">
        <v>1797</v>
      </c>
    </row>
    <row r="49" spans="1:6" s="1678" customFormat="1" ht="18.75" hidden="1" x14ac:dyDescent="0.4">
      <c r="A49" s="1680" t="s">
        <v>1797</v>
      </c>
      <c r="B49" s="1681" t="s">
        <v>1797</v>
      </c>
      <c r="C49" s="1680" t="s">
        <v>1797</v>
      </c>
      <c r="D49" s="1680" t="s">
        <v>1797</v>
      </c>
      <c r="E49" s="1680"/>
      <c r="F49" s="1680" t="s">
        <v>1797</v>
      </c>
    </row>
    <row r="50" spans="1:6" s="1678" customFormat="1" ht="18.75" hidden="1" x14ac:dyDescent="0.4">
      <c r="A50" s="1680" t="s">
        <v>1797</v>
      </c>
      <c r="B50" s="1681" t="s">
        <v>1797</v>
      </c>
      <c r="C50" s="1680" t="s">
        <v>1797</v>
      </c>
      <c r="D50" s="1680" t="s">
        <v>1797</v>
      </c>
      <c r="E50" s="1680"/>
      <c r="F50" s="1680" t="s">
        <v>1797</v>
      </c>
    </row>
    <row r="51" spans="1:6" s="1678" customFormat="1" ht="18.75" hidden="1" x14ac:dyDescent="0.4">
      <c r="A51" s="1680" t="s">
        <v>1797</v>
      </c>
      <c r="B51" s="1681" t="s">
        <v>1797</v>
      </c>
      <c r="C51" s="1680">
        <v>10.6</v>
      </c>
      <c r="D51" s="1680">
        <v>10.1</v>
      </c>
      <c r="E51" s="1680"/>
      <c r="F51" s="1680">
        <v>26.9</v>
      </c>
    </row>
    <row r="52" spans="1:6" s="1678" customFormat="1" ht="18.75" hidden="1" x14ac:dyDescent="0.4">
      <c r="A52" s="1680">
        <v>0.6</v>
      </c>
      <c r="B52" s="1681">
        <v>0.6</v>
      </c>
      <c r="C52" s="1680">
        <v>10.4</v>
      </c>
      <c r="D52" s="1680">
        <v>10</v>
      </c>
      <c r="E52" s="1680"/>
      <c r="F52" s="1680">
        <v>24.8</v>
      </c>
    </row>
    <row r="53" spans="1:6" s="1678" customFormat="1" ht="18.75" hidden="1" x14ac:dyDescent="0.4">
      <c r="A53" s="1680">
        <v>0.6</v>
      </c>
      <c r="B53" s="1681">
        <v>0.9</v>
      </c>
      <c r="C53" s="1680">
        <v>10</v>
      </c>
      <c r="D53" s="1680">
        <v>10.5</v>
      </c>
      <c r="E53" s="1680"/>
      <c r="F53" s="1680">
        <v>26</v>
      </c>
    </row>
    <row r="54" spans="1:6" s="1678" customFormat="1" ht="18.75" hidden="1" x14ac:dyDescent="0.4">
      <c r="A54" s="1680">
        <v>0.6</v>
      </c>
      <c r="B54" s="1681">
        <v>0.7</v>
      </c>
      <c r="C54" s="1680">
        <v>9.9</v>
      </c>
      <c r="D54" s="1680">
        <v>12</v>
      </c>
      <c r="E54" s="1680"/>
      <c r="F54" s="1680">
        <v>25.9</v>
      </c>
    </row>
    <row r="55" spans="1:6" s="1678" customFormat="1" ht="18.75" hidden="1" x14ac:dyDescent="0.4">
      <c r="A55" s="1680">
        <v>1</v>
      </c>
      <c r="B55" s="1681">
        <v>0.8</v>
      </c>
      <c r="C55" s="1680">
        <v>10.4</v>
      </c>
      <c r="D55" s="1680">
        <v>10.8</v>
      </c>
      <c r="E55" s="1680"/>
      <c r="F55" s="1680">
        <v>28.1</v>
      </c>
    </row>
    <row r="56" spans="1:6" s="1678" customFormat="1" ht="18.75" hidden="1" x14ac:dyDescent="0.4">
      <c r="A56" s="1680">
        <v>1</v>
      </c>
      <c r="B56" s="1681">
        <v>0.8</v>
      </c>
      <c r="C56" s="1680">
        <v>9.5</v>
      </c>
      <c r="D56" s="1680">
        <v>10.4</v>
      </c>
      <c r="E56" s="1680"/>
      <c r="F56" s="1680">
        <v>27.9</v>
      </c>
    </row>
    <row r="57" spans="1:6" s="1678" customFormat="1" ht="18.75" hidden="1" x14ac:dyDescent="0.4">
      <c r="A57" s="1680">
        <v>1.4</v>
      </c>
      <c r="B57" s="1681">
        <v>0.9</v>
      </c>
      <c r="C57" s="1680">
        <v>9.4</v>
      </c>
      <c r="D57" s="1680">
        <v>10.4</v>
      </c>
      <c r="E57" s="1680"/>
      <c r="F57" s="1680">
        <v>26.9</v>
      </c>
    </row>
    <row r="58" spans="1:6" s="1678" customFormat="1" ht="18.75" hidden="1" x14ac:dyDescent="0.4">
      <c r="A58" s="1680">
        <v>0.8</v>
      </c>
      <c r="B58" s="1681">
        <v>0.7</v>
      </c>
      <c r="C58" s="1680">
        <v>9.4</v>
      </c>
      <c r="D58" s="1680">
        <v>10.8</v>
      </c>
      <c r="E58" s="1680"/>
      <c r="F58" s="1680">
        <v>27.9</v>
      </c>
    </row>
    <row r="59" spans="1:6" s="1678" customFormat="1" ht="18.75" hidden="1" x14ac:dyDescent="0.4">
      <c r="A59" s="1680">
        <v>1.1000000000000001</v>
      </c>
      <c r="B59" s="1681">
        <v>0.9</v>
      </c>
      <c r="C59" s="1680">
        <v>9</v>
      </c>
      <c r="D59" s="1680">
        <v>10</v>
      </c>
      <c r="E59" s="1680"/>
      <c r="F59" s="1680">
        <v>26.7</v>
      </c>
    </row>
    <row r="60" spans="1:6" s="1678" customFormat="1" ht="18.75" hidden="1" x14ac:dyDescent="0.4">
      <c r="A60" s="1680" t="s">
        <v>1797</v>
      </c>
      <c r="B60" s="1681" t="s">
        <v>1797</v>
      </c>
      <c r="C60" s="1680">
        <v>9.1</v>
      </c>
      <c r="D60" s="1680">
        <v>10.7</v>
      </c>
      <c r="E60" s="1680"/>
      <c r="F60" s="1680">
        <v>27.9</v>
      </c>
    </row>
    <row r="61" spans="1:6" s="1678" customFormat="1" ht="18.75" hidden="1" x14ac:dyDescent="0.4">
      <c r="A61" s="1680">
        <v>0.5</v>
      </c>
      <c r="B61" s="1681">
        <v>0.5</v>
      </c>
      <c r="C61" s="1680">
        <v>8.9</v>
      </c>
      <c r="D61" s="1680">
        <v>9.1999999999999993</v>
      </c>
      <c r="E61" s="1680"/>
      <c r="F61" s="1680">
        <v>30.8</v>
      </c>
    </row>
    <row r="62" spans="1:6" s="1678" customFormat="1" ht="18.75" hidden="1" x14ac:dyDescent="0.4">
      <c r="A62" s="1680">
        <v>0.4</v>
      </c>
      <c r="B62" s="1681">
        <v>0.2</v>
      </c>
      <c r="C62" s="1680">
        <v>9.1999999999999993</v>
      </c>
      <c r="D62" s="1680">
        <v>9.4</v>
      </c>
      <c r="E62" s="1680"/>
      <c r="F62" s="1680">
        <v>32.200000000000003</v>
      </c>
    </row>
    <row r="63" spans="1:6" s="1678" customFormat="1" ht="18.75" hidden="1" x14ac:dyDescent="0.4">
      <c r="A63" s="1680">
        <v>0.5</v>
      </c>
      <c r="B63" s="1681">
        <v>0.5</v>
      </c>
      <c r="C63" s="1680">
        <v>9.1999999999999993</v>
      </c>
      <c r="D63" s="1680">
        <v>9.1999999999999993</v>
      </c>
      <c r="E63" s="1680"/>
      <c r="F63" s="1680">
        <v>30.9</v>
      </c>
    </row>
    <row r="64" spans="1:6" s="1678" customFormat="1" ht="18.75" hidden="1" x14ac:dyDescent="0.4">
      <c r="A64" s="1680">
        <v>7.2681448086100914E-2</v>
      </c>
      <c r="B64" s="1681">
        <v>0.19420846327546148</v>
      </c>
      <c r="C64" s="1680">
        <v>8.8000000000000007</v>
      </c>
      <c r="D64" s="1680">
        <v>9.1</v>
      </c>
      <c r="E64" s="1680"/>
      <c r="F64" s="1680">
        <v>32.4</v>
      </c>
    </row>
    <row r="65" spans="1:6" s="1678" customFormat="1" ht="18.75" hidden="1" x14ac:dyDescent="0.4">
      <c r="A65" s="1680">
        <v>0.2</v>
      </c>
      <c r="B65" s="1681">
        <v>0.2</v>
      </c>
      <c r="C65" s="1680">
        <v>8.9</v>
      </c>
      <c r="D65" s="1680">
        <v>9.1</v>
      </c>
      <c r="E65" s="1680"/>
      <c r="F65" s="1680">
        <v>31.1</v>
      </c>
    </row>
    <row r="66" spans="1:6" s="1678" customFormat="1" ht="18.75" hidden="1" x14ac:dyDescent="0.4">
      <c r="B66" s="1683"/>
    </row>
    <row r="67" spans="1:6" s="1678" customFormat="1" ht="18.75" hidden="1" x14ac:dyDescent="0.4">
      <c r="B67" s="1683"/>
    </row>
    <row r="68" spans="1:6" s="1678" customFormat="1" ht="18.75" hidden="1" x14ac:dyDescent="0.4"/>
    <row r="69" spans="1:6" s="1678" customFormat="1" ht="18.75" hidden="1" x14ac:dyDescent="0.4"/>
    <row r="70" spans="1:6" ht="18.75" x14ac:dyDescent="0.4">
      <c r="A70" s="115"/>
      <c r="B70" s="115"/>
      <c r="C70" s="115"/>
      <c r="D70" s="115"/>
      <c r="E70" s="115"/>
      <c r="F70" s="115"/>
    </row>
  </sheetData>
  <mergeCells count="32">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7:C37"/>
    <mergeCell ref="B38:C38"/>
    <mergeCell ref="B31:D31"/>
    <mergeCell ref="B32:C32"/>
    <mergeCell ref="B33:C33"/>
    <mergeCell ref="B34:C34"/>
    <mergeCell ref="B35:C35"/>
    <mergeCell ref="B36:C36"/>
  </mergeCells>
  <dataValidations count="6">
    <dataValidation type="list" allowBlank="1" showInputMessage="1" showErrorMessage="1" sqref="D25" xr:uid="{1730F5AA-B99B-4553-8C8D-757B022AB163}">
      <formula1>Tipo_operación</formula1>
    </dataValidation>
    <dataValidation type="list" allowBlank="1" showInputMessage="1" showErrorMessage="1" sqref="D14" xr:uid="{2F4821C6-7938-46DA-BE6A-83A87EA322E4}">
      <formula1>Tipo_indicador</formula1>
    </dataValidation>
    <dataValidation type="list" allowBlank="1" showInputMessage="1" showErrorMessage="1" sqref="D7" xr:uid="{6482E8DD-FEF3-46C4-870C-955E62228E2C}">
      <formula1>Nombre_indicador_ODS</formula1>
    </dataValidation>
    <dataValidation type="list" allowBlank="1" showInputMessage="1" showErrorMessage="1" sqref="D6" xr:uid="{47EF57B1-4120-4EAA-86BF-A385D2ACE245}">
      <formula1>Numero_indicador</formula1>
    </dataValidation>
    <dataValidation type="list" allowBlank="1" showInputMessage="1" showErrorMessage="1" sqref="D5" xr:uid="{81D34A3C-1D34-4768-BD08-A0C0D555F74B}">
      <formula1>Metas_ODS</formula1>
    </dataValidation>
    <dataValidation type="list" allowBlank="1" showInputMessage="1" showErrorMessage="1" sqref="D4" xr:uid="{26220C65-D753-4789-B84A-031B8A0ED8E3}">
      <formula1>ODS</formula1>
    </dataValidation>
  </dataValidations>
  <hyperlinks>
    <hyperlink ref="B1" location="'11.1.1.a'!A1" display="REGRESAR" xr:uid="{9DC1670C-1A3E-43AC-926C-B73D4D1BF3B1}"/>
    <hyperlink ref="D8" r:id="rId1" xr:uid="{D2B45AC5-09C4-45CB-B6B2-E03787F40149}"/>
  </hyperlinks>
  <pageMargins left="0.7" right="0.7" top="0.75" bottom="0.75" header="0.3" footer="0.3"/>
  <pageSetup orientation="portrait" horizontalDpi="4294967294" verticalDpi="4294967294" r:id="rId2"/>
  <drawing r:id="rId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654A8-15C4-482C-A0B7-CD8457A0B0E6}">
  <dimension ref="A1:U48"/>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1" width="15.5703125" style="115" customWidth="1"/>
    <col min="2" max="2" width="15.5703125" style="1048" customWidth="1"/>
    <col min="3" max="3" width="7.7109375" style="115" customWidth="1"/>
    <col min="4" max="4" width="6.7109375" style="115" customWidth="1"/>
    <col min="5" max="5" width="8.7109375" style="115" customWidth="1"/>
    <col min="6" max="6" width="7" style="115" customWidth="1"/>
    <col min="7" max="7" width="2.28515625" style="115" customWidth="1"/>
    <col min="8" max="8" width="8.42578125" style="115" customWidth="1"/>
    <col min="9" max="11" width="9.28515625" style="115" customWidth="1"/>
    <col min="12" max="12" width="8.28515625" style="115" customWidth="1"/>
    <col min="13" max="13" width="7.28515625" style="115" customWidth="1"/>
    <col min="14" max="21" width="12.28515625" style="115" customWidth="1"/>
    <col min="22" max="16384" width="11.42578125" style="115"/>
  </cols>
  <sheetData>
    <row r="1" spans="1:21" s="1432" customFormat="1" ht="17.25" customHeight="1" x14ac:dyDescent="0.25">
      <c r="A1" s="68" t="s">
        <v>39</v>
      </c>
      <c r="B1" s="1314"/>
      <c r="C1" s="2562" t="s">
        <v>149</v>
      </c>
      <c r="D1" s="2562"/>
      <c r="E1" s="2562"/>
      <c r="F1" s="138"/>
      <c r="G1" s="138"/>
      <c r="H1" s="138"/>
      <c r="I1" s="138"/>
      <c r="J1" s="138"/>
    </row>
    <row r="2" spans="1:21" s="1432" customFormat="1" ht="14.25" customHeight="1" x14ac:dyDescent="0.25">
      <c r="A2" s="1484"/>
      <c r="B2" s="1485"/>
      <c r="C2" s="1062"/>
      <c r="D2" s="1062"/>
      <c r="E2" s="1062"/>
      <c r="F2" s="1062"/>
      <c r="G2" s="1062"/>
      <c r="H2" s="1062"/>
      <c r="I2" s="1062"/>
      <c r="J2" s="1062"/>
      <c r="K2" s="1484"/>
      <c r="L2" s="1484"/>
      <c r="M2" s="1484"/>
      <c r="N2" s="1484"/>
      <c r="O2" s="1484"/>
      <c r="P2" s="1484"/>
      <c r="Q2" s="1484"/>
      <c r="R2" s="1484"/>
      <c r="S2" s="1484"/>
      <c r="T2" s="1484"/>
      <c r="U2" s="1484"/>
    </row>
    <row r="3" spans="1:21" s="1032" customFormat="1" ht="19.5" x14ac:dyDescent="0.4">
      <c r="A3" s="3263" t="s">
        <v>41</v>
      </c>
      <c r="B3" s="3269"/>
      <c r="C3" s="3263" t="s">
        <v>5871</v>
      </c>
      <c r="D3" s="3265"/>
      <c r="E3" s="3265"/>
      <c r="F3" s="3265"/>
      <c r="G3" s="3265"/>
      <c r="H3" s="3265"/>
      <c r="I3" s="3265"/>
      <c r="J3" s="3265"/>
      <c r="K3" s="3265"/>
      <c r="L3" s="3265"/>
      <c r="M3" s="3265"/>
      <c r="N3" s="3265"/>
      <c r="O3" s="3265"/>
      <c r="P3" s="3265"/>
      <c r="Q3" s="3265"/>
      <c r="R3" s="3265"/>
      <c r="S3" s="3265"/>
      <c r="T3" s="3265"/>
      <c r="U3" s="3265"/>
    </row>
    <row r="4" spans="1:21" s="1032" customFormat="1" ht="19.5" x14ac:dyDescent="0.4">
      <c r="A4" s="3263" t="s">
        <v>42</v>
      </c>
      <c r="B4" s="3264"/>
      <c r="C4" s="3263" t="s">
        <v>5872</v>
      </c>
      <c r="D4" s="3265"/>
      <c r="E4" s="3265"/>
      <c r="F4" s="3265"/>
      <c r="G4" s="3265"/>
      <c r="H4" s="3265"/>
      <c r="I4" s="3265"/>
      <c r="J4" s="3265"/>
      <c r="K4" s="3265"/>
      <c r="L4" s="3265"/>
      <c r="M4" s="3265"/>
      <c r="N4" s="3265"/>
      <c r="O4" s="3265"/>
      <c r="P4" s="3265"/>
      <c r="Q4" s="3265"/>
      <c r="R4" s="3265"/>
      <c r="S4" s="3265"/>
      <c r="T4" s="3265"/>
      <c r="U4" s="3265"/>
    </row>
    <row r="5" spans="1:21" s="1032" customFormat="1" ht="19.5" x14ac:dyDescent="0.4">
      <c r="A5" s="3263" t="s">
        <v>43</v>
      </c>
      <c r="B5" s="3264"/>
      <c r="C5" s="3263" t="s">
        <v>5874</v>
      </c>
      <c r="D5" s="3265"/>
      <c r="E5" s="3265"/>
      <c r="F5" s="3265"/>
      <c r="G5" s="3265"/>
      <c r="H5" s="3265"/>
      <c r="I5" s="3265"/>
      <c r="J5" s="3265"/>
      <c r="K5" s="3265"/>
      <c r="L5" s="3265"/>
      <c r="M5" s="3265"/>
      <c r="N5" s="3265"/>
      <c r="O5" s="3265"/>
      <c r="P5" s="3265"/>
      <c r="Q5" s="3265"/>
      <c r="R5" s="3265"/>
      <c r="S5" s="3265"/>
      <c r="T5" s="3265"/>
      <c r="U5" s="3265"/>
    </row>
    <row r="6" spans="1:21" s="1032" customFormat="1" ht="19.5" x14ac:dyDescent="0.4">
      <c r="A6" s="3263" t="s">
        <v>132</v>
      </c>
      <c r="B6" s="3264"/>
      <c r="C6" s="3263" t="s">
        <v>5930</v>
      </c>
      <c r="D6" s="3265"/>
      <c r="E6" s="3265"/>
      <c r="F6" s="3265"/>
      <c r="G6" s="3265"/>
      <c r="H6" s="3265"/>
      <c r="I6" s="3265"/>
      <c r="J6" s="3265"/>
      <c r="K6" s="3265"/>
      <c r="L6" s="3265"/>
      <c r="M6" s="3265"/>
      <c r="N6" s="3265"/>
      <c r="O6" s="3265"/>
      <c r="P6" s="3265"/>
      <c r="Q6" s="3265"/>
      <c r="R6" s="3265"/>
      <c r="S6" s="3265"/>
      <c r="T6" s="3265"/>
      <c r="U6" s="3265"/>
    </row>
    <row r="9" spans="1:21" ht="30.75" customHeight="1" x14ac:dyDescent="0.4">
      <c r="C9" s="2628" t="s">
        <v>5930</v>
      </c>
      <c r="D9" s="2628"/>
      <c r="E9" s="2628"/>
      <c r="F9" s="2628"/>
      <c r="G9" s="2628"/>
      <c r="H9" s="2628"/>
      <c r="I9" s="2628"/>
      <c r="J9" s="2628"/>
      <c r="K9" s="2628"/>
      <c r="L9" s="2628"/>
      <c r="M9" s="2628"/>
    </row>
    <row r="10" spans="1:21" ht="10.15" customHeight="1" x14ac:dyDescent="0.4">
      <c r="C10" s="533"/>
      <c r="D10" s="533"/>
      <c r="E10" s="533"/>
      <c r="F10" s="533"/>
      <c r="G10" s="533"/>
      <c r="H10" s="533"/>
      <c r="I10" s="533"/>
      <c r="J10" s="533"/>
      <c r="K10" s="533"/>
      <c r="L10" s="533"/>
      <c r="M10" s="533"/>
    </row>
    <row r="11" spans="1:21" x14ac:dyDescent="0.4">
      <c r="C11" s="3266" t="s">
        <v>46</v>
      </c>
      <c r="D11" s="3266" t="s">
        <v>47</v>
      </c>
      <c r="E11" s="3268" t="s">
        <v>49</v>
      </c>
      <c r="F11" s="3268"/>
      <c r="G11" s="1671"/>
      <c r="H11" s="3268" t="s">
        <v>50</v>
      </c>
      <c r="I11" s="3268"/>
      <c r="J11" s="3268"/>
      <c r="K11" s="3268"/>
      <c r="L11" s="3268"/>
      <c r="M11" s="3268"/>
    </row>
    <row r="12" spans="1:21" ht="37.5" x14ac:dyDescent="0.4">
      <c r="C12" s="3267"/>
      <c r="D12" s="3267"/>
      <c r="E12" s="1672" t="s">
        <v>55</v>
      </c>
      <c r="F12" s="1672" t="s">
        <v>56</v>
      </c>
      <c r="G12" s="1684"/>
      <c r="H12" s="1672" t="s">
        <v>57</v>
      </c>
      <c r="I12" s="1672" t="s">
        <v>58</v>
      </c>
      <c r="J12" s="1672" t="s">
        <v>59</v>
      </c>
      <c r="K12" s="1672" t="s">
        <v>60</v>
      </c>
      <c r="L12" s="1673" t="s">
        <v>61</v>
      </c>
      <c r="M12" s="1673" t="s">
        <v>62</v>
      </c>
    </row>
    <row r="13" spans="1:21" x14ac:dyDescent="0.4">
      <c r="C13" s="198">
        <v>2010</v>
      </c>
      <c r="D13" s="1685">
        <v>0.52140588990564107</v>
      </c>
      <c r="E13" s="1686">
        <v>0.53518985257765161</v>
      </c>
      <c r="F13" s="1686">
        <v>0.48449871521539895</v>
      </c>
      <c r="G13" s="1686"/>
      <c r="H13" s="1686">
        <v>0.56904587396020756</v>
      </c>
      <c r="I13" s="1686">
        <v>0.74765636779135392</v>
      </c>
      <c r="J13" s="1686">
        <v>1.2345438840859395</v>
      </c>
      <c r="K13" s="1686">
        <v>5.2554221807691974E-2</v>
      </c>
      <c r="L13" s="1686">
        <v>0.30421909696521099</v>
      </c>
      <c r="M13" s="1686">
        <v>0.10515216897896094</v>
      </c>
    </row>
    <row r="14" spans="1:21" x14ac:dyDescent="0.4">
      <c r="C14" s="198">
        <v>2011</v>
      </c>
      <c r="D14" s="1685">
        <v>0.34522660095733204</v>
      </c>
      <c r="E14" s="1686">
        <v>0.40218458675279467</v>
      </c>
      <c r="F14" s="1686">
        <v>0.19277802906881328</v>
      </c>
      <c r="G14" s="1686"/>
      <c r="H14" s="1686">
        <v>0.51163993018094578</v>
      </c>
      <c r="I14" s="1686">
        <v>0.13288163312987356</v>
      </c>
      <c r="J14" s="1686">
        <v>0.10679425837320573</v>
      </c>
      <c r="K14" s="1686">
        <v>9.4217304866453452E-2</v>
      </c>
      <c r="L14" s="1686">
        <v>0</v>
      </c>
      <c r="M14" s="1686">
        <v>2.4474088410534549E-2</v>
      </c>
    </row>
    <row r="15" spans="1:21" x14ac:dyDescent="0.4">
      <c r="C15" s="198">
        <v>2012</v>
      </c>
      <c r="D15" s="1685">
        <v>0.51060314768382808</v>
      </c>
      <c r="E15" s="1686">
        <v>0.51129640981705649</v>
      </c>
      <c r="F15" s="1686">
        <v>0.50874991411587522</v>
      </c>
      <c r="G15" s="1686"/>
      <c r="H15" s="1686">
        <v>0.55149827998571987</v>
      </c>
      <c r="I15" s="1686">
        <v>0.75255654208152845</v>
      </c>
      <c r="J15" s="1686">
        <v>0.48840645644008468</v>
      </c>
      <c r="K15" s="1686">
        <v>0.2475756433540075</v>
      </c>
      <c r="L15" s="1686">
        <v>0.40005763135145517</v>
      </c>
      <c r="M15" s="1686">
        <v>0.34702858499577605</v>
      </c>
    </row>
    <row r="16" spans="1:21" x14ac:dyDescent="0.4">
      <c r="C16" s="198">
        <v>2013</v>
      </c>
      <c r="D16" s="1685">
        <v>9.6923038396124261E-2</v>
      </c>
      <c r="E16" s="1686">
        <v>8.7701178801872351E-2</v>
      </c>
      <c r="F16" s="1686">
        <v>0.12153175162989571</v>
      </c>
      <c r="G16" s="1686"/>
      <c r="H16" s="1686">
        <v>1.6486953211046599E-2</v>
      </c>
      <c r="I16" s="1686">
        <v>0.24253341540129539</v>
      </c>
      <c r="J16" s="1686">
        <v>0.37111363602827252</v>
      </c>
      <c r="K16" s="1686">
        <v>0.19895928986838077</v>
      </c>
      <c r="L16" s="1686">
        <v>0.35839919756430483</v>
      </c>
      <c r="M16" s="1686">
        <v>0</v>
      </c>
    </row>
    <row r="17" spans="3:13" x14ac:dyDescent="0.4">
      <c r="C17" s="198">
        <v>2014</v>
      </c>
      <c r="D17" s="1685">
        <v>0.20900660464223492</v>
      </c>
      <c r="E17" s="1686">
        <v>0.19300813129971106</v>
      </c>
      <c r="F17" s="1686">
        <v>0.25163250136681675</v>
      </c>
      <c r="G17" s="1686"/>
      <c r="H17" s="1686">
        <v>0.17748390932424035</v>
      </c>
      <c r="I17" s="1686">
        <v>0.289394525434718</v>
      </c>
      <c r="J17" s="1686">
        <v>3.48478853504572E-2</v>
      </c>
      <c r="K17" s="1686">
        <v>2.9731935745359997E-2</v>
      </c>
      <c r="L17" s="1686">
        <v>0.59724431426682822</v>
      </c>
      <c r="M17" s="1686">
        <v>0.23706547939466102</v>
      </c>
    </row>
    <row r="18" spans="3:13" x14ac:dyDescent="0.4">
      <c r="C18" s="198">
        <v>2015</v>
      </c>
      <c r="D18" s="1685">
        <v>0.28253414738695737</v>
      </c>
      <c r="E18" s="1686">
        <v>0.30068184347975607</v>
      </c>
      <c r="F18" s="1686">
        <v>0.23427996569444898</v>
      </c>
      <c r="G18" s="1686"/>
      <c r="H18" s="1686">
        <v>0.25324581257284717</v>
      </c>
      <c r="I18" s="1686">
        <v>0</v>
      </c>
      <c r="J18" s="1686">
        <v>1.2176750296297354</v>
      </c>
      <c r="K18" s="1686">
        <v>8.7495158508346868E-2</v>
      </c>
      <c r="L18" s="1686">
        <v>0</v>
      </c>
      <c r="M18" s="1686">
        <v>0.59962776354418945</v>
      </c>
    </row>
    <row r="19" spans="3:13" x14ac:dyDescent="0.4">
      <c r="C19" s="198">
        <v>2016</v>
      </c>
      <c r="D19" s="1685">
        <v>0.28402200352491597</v>
      </c>
      <c r="E19" s="1686">
        <v>0.375591824599181</v>
      </c>
      <c r="F19" s="1686">
        <v>4.0955610993442616E-2</v>
      </c>
      <c r="G19" s="1686"/>
      <c r="H19" s="1686">
        <v>0.30533482586213923</v>
      </c>
      <c r="I19" s="1686">
        <v>0.29867131625256288</v>
      </c>
      <c r="J19" s="1686">
        <v>0.55724595416950673</v>
      </c>
      <c r="K19" s="1686">
        <v>9.4780950691734658E-2</v>
      </c>
      <c r="L19" s="1686">
        <v>0.22068569710717262</v>
      </c>
      <c r="M19" s="1686">
        <v>0.15178525951204605</v>
      </c>
    </row>
    <row r="20" spans="3:13" x14ac:dyDescent="0.4">
      <c r="C20" s="198">
        <v>2017</v>
      </c>
      <c r="D20" s="1685">
        <v>0.43008470293326867</v>
      </c>
      <c r="E20" s="1686">
        <v>0.54328005857346884</v>
      </c>
      <c r="F20" s="1686">
        <v>0.12992477650723813</v>
      </c>
      <c r="G20" s="1686"/>
      <c r="H20" s="1686">
        <v>0.4009946437503315</v>
      </c>
      <c r="I20" s="1686">
        <v>3.3930564281188944E-2</v>
      </c>
      <c r="J20" s="1686">
        <v>1.6841923209961953</v>
      </c>
      <c r="K20" s="1686">
        <v>0.12452375847338819</v>
      </c>
      <c r="L20" s="1686">
        <v>0.40460488542949585</v>
      </c>
      <c r="M20" s="1686">
        <v>0.42695150121253223</v>
      </c>
    </row>
    <row r="21" spans="3:13" x14ac:dyDescent="0.4">
      <c r="C21" s="198">
        <v>2018</v>
      </c>
      <c r="D21" s="1685">
        <v>0.43198266553389875</v>
      </c>
      <c r="E21" s="1686">
        <v>0.47392712296381817</v>
      </c>
      <c r="F21" s="1686">
        <v>0.32103792793219377</v>
      </c>
      <c r="G21" s="1686"/>
      <c r="H21" s="1686">
        <v>0.41224228411424957</v>
      </c>
      <c r="I21" s="1686">
        <v>0.3321903408868333</v>
      </c>
      <c r="J21" s="1686">
        <v>0.70930675815498556</v>
      </c>
      <c r="K21" s="1686">
        <v>0.26254455342863536</v>
      </c>
      <c r="L21" s="1686">
        <v>0.29805133945426843</v>
      </c>
      <c r="M21" s="1686">
        <v>0.77645505566966799</v>
      </c>
    </row>
    <row r="22" spans="3:13" x14ac:dyDescent="0.4">
      <c r="C22" s="198">
        <v>2019</v>
      </c>
      <c r="D22" s="1685">
        <v>0.26005340205900318</v>
      </c>
      <c r="E22" s="1686">
        <v>0.29475441763796484</v>
      </c>
      <c r="F22" s="1686">
        <v>0.16839911453730544</v>
      </c>
      <c r="G22" s="1686"/>
      <c r="H22" s="1686">
        <v>0.16108238172217454</v>
      </c>
      <c r="I22" s="1686">
        <v>0.21715526601520088</v>
      </c>
      <c r="J22" s="1686">
        <v>1.357901693016266</v>
      </c>
      <c r="K22" s="1686">
        <v>0.22427612572496033</v>
      </c>
      <c r="L22" s="1686">
        <v>0.20630833318685954</v>
      </c>
      <c r="M22" s="1686">
        <v>0.34979523006504459</v>
      </c>
    </row>
    <row r="23" spans="3:13" x14ac:dyDescent="0.4">
      <c r="C23" s="198">
        <v>2020</v>
      </c>
      <c r="D23" s="1685">
        <v>6.7515683065615034E-2</v>
      </c>
      <c r="E23" s="1686">
        <v>8.0174592854965462E-2</v>
      </c>
      <c r="F23" s="1686">
        <v>3.4104784993894605E-2</v>
      </c>
      <c r="G23" s="1686"/>
      <c r="H23" s="1686">
        <v>7.0605346781970821E-2</v>
      </c>
      <c r="I23" s="1686">
        <v>0.16100033520574522</v>
      </c>
      <c r="J23" s="1686">
        <v>8.7528364144418502E-2</v>
      </c>
      <c r="K23" s="1686">
        <v>0</v>
      </c>
      <c r="L23" s="1686">
        <v>6.9322508301316033E-2</v>
      </c>
      <c r="M23" s="1686">
        <v>0</v>
      </c>
    </row>
    <row r="24" spans="3:13" x14ac:dyDescent="0.4">
      <c r="C24" s="198">
        <v>2021</v>
      </c>
      <c r="D24" s="1685">
        <v>7.4001440520059122E-2</v>
      </c>
      <c r="E24" s="1686">
        <v>7.9210915023652406E-2</v>
      </c>
      <c r="F24" s="1686">
        <v>6.0271418532897914E-2</v>
      </c>
      <c r="G24" s="1686"/>
      <c r="H24" s="1686">
        <v>3.9899239532404734E-2</v>
      </c>
      <c r="I24" s="1686">
        <v>3.3052967380226811E-2</v>
      </c>
      <c r="J24" s="1686">
        <v>0</v>
      </c>
      <c r="K24" s="1686">
        <v>0.23188062720750627</v>
      </c>
      <c r="L24" s="1686">
        <v>3.010183019127563E-2</v>
      </c>
      <c r="M24" s="1686">
        <v>0.32927598870122282</v>
      </c>
    </row>
    <row r="25" spans="3:13" x14ac:dyDescent="0.4">
      <c r="C25" s="198">
        <v>2022</v>
      </c>
      <c r="D25" s="1685">
        <v>0.13162033804675571</v>
      </c>
      <c r="E25" s="1686">
        <v>0.15715823181103947</v>
      </c>
      <c r="F25" s="1686">
        <v>6.4466946766035815E-2</v>
      </c>
      <c r="G25" s="1686"/>
      <c r="H25" s="1686">
        <v>0.17765783300350246</v>
      </c>
      <c r="I25" s="1686">
        <v>0.13730530922094053</v>
      </c>
      <c r="J25" s="1686">
        <v>0.13273868114180917</v>
      </c>
      <c r="K25" s="1686">
        <v>4.76516822650076E-2</v>
      </c>
      <c r="L25" s="1686">
        <v>0</v>
      </c>
      <c r="M25" s="1686">
        <v>0</v>
      </c>
    </row>
    <row r="26" spans="3:13" x14ac:dyDescent="0.4">
      <c r="C26" s="2285">
        <v>2023</v>
      </c>
      <c r="D26" s="1685">
        <v>0.21477224848356655</v>
      </c>
      <c r="E26" s="1686">
        <v>0.27197511990604351</v>
      </c>
      <c r="F26" s="1686">
        <v>6.4619331513704401E-2</v>
      </c>
      <c r="G26" s="1686"/>
      <c r="H26" s="1686">
        <v>0.31976514556827662</v>
      </c>
      <c r="I26" s="1686">
        <v>0.15490109504096952</v>
      </c>
      <c r="J26" s="1686">
        <v>0</v>
      </c>
      <c r="K26" s="1686">
        <v>8.0701651587265652E-2</v>
      </c>
      <c r="L26" s="1686">
        <v>0</v>
      </c>
      <c r="M26" s="1686">
        <v>0</v>
      </c>
    </row>
    <row r="27" spans="3:13" x14ac:dyDescent="0.4">
      <c r="C27" s="606">
        <v>2024</v>
      </c>
      <c r="D27" s="1687">
        <v>0.17204621821283225</v>
      </c>
      <c r="E27" s="1688">
        <v>0.20602531681141087</v>
      </c>
      <c r="F27" s="1688">
        <v>8.3027490415710059E-2</v>
      </c>
      <c r="G27" s="1688"/>
      <c r="H27" s="1688">
        <v>0.23729688534824928</v>
      </c>
      <c r="I27" s="1688">
        <v>0.29325371984398324</v>
      </c>
      <c r="J27" s="1688">
        <v>5.2428729695570081E-2</v>
      </c>
      <c r="K27" s="1688">
        <v>0</v>
      </c>
      <c r="L27" s="1688">
        <v>0</v>
      </c>
      <c r="M27" s="1688">
        <v>0</v>
      </c>
    </row>
    <row r="28" spans="3:13" x14ac:dyDescent="0.4">
      <c r="C28" s="2285" t="s">
        <v>8136</v>
      </c>
      <c r="D28" s="1685"/>
      <c r="E28" s="1686"/>
      <c r="F28" s="1686"/>
      <c r="G28" s="1686"/>
      <c r="H28" s="1686"/>
      <c r="I28" s="1686"/>
      <c r="J28" s="1686"/>
      <c r="K28" s="1686"/>
      <c r="L28" s="1686"/>
      <c r="M28" s="1686"/>
    </row>
    <row r="31" spans="3:13" ht="19.5" x14ac:dyDescent="0.4">
      <c r="C31" s="532" t="s">
        <v>8137</v>
      </c>
    </row>
    <row r="32" spans="3:13" ht="15" customHeight="1" x14ac:dyDescent="0.4"/>
    <row r="33" spans="3:3" ht="15" customHeight="1" x14ac:dyDescent="0.4"/>
    <row r="34" spans="3:3" ht="15" customHeight="1" x14ac:dyDescent="0.4"/>
    <row r="35" spans="3:3" ht="15" customHeight="1" x14ac:dyDescent="0.4"/>
    <row r="36" spans="3:3" ht="15" customHeight="1" x14ac:dyDescent="0.4"/>
    <row r="37" spans="3:3" ht="15" customHeight="1" x14ac:dyDescent="0.4"/>
    <row r="38" spans="3:3" ht="15" customHeight="1" x14ac:dyDescent="0.4"/>
    <row r="39" spans="3:3" ht="15" customHeight="1" x14ac:dyDescent="0.4"/>
    <row r="40" spans="3:3" ht="15" customHeight="1" x14ac:dyDescent="0.4"/>
    <row r="41" spans="3:3" ht="15" customHeight="1" x14ac:dyDescent="0.4"/>
    <row r="42" spans="3:3" ht="15" customHeight="1" x14ac:dyDescent="0.4"/>
    <row r="43" spans="3:3" ht="15" customHeight="1" x14ac:dyDescent="0.4"/>
    <row r="44" spans="3:3" ht="15" customHeight="1" x14ac:dyDescent="0.4"/>
    <row r="45" spans="3:3" ht="15" customHeight="1" x14ac:dyDescent="0.4"/>
    <row r="46" spans="3:3" ht="15" customHeight="1" x14ac:dyDescent="0.4"/>
    <row r="47" spans="3:3" ht="15" customHeight="1" x14ac:dyDescent="0.4"/>
    <row r="48" spans="3:3" x14ac:dyDescent="0.4">
      <c r="C48" s="155" t="s">
        <v>8113</v>
      </c>
    </row>
  </sheetData>
  <mergeCells count="14">
    <mergeCell ref="A5:B5"/>
    <mergeCell ref="C5:U5"/>
    <mergeCell ref="C1:E1"/>
    <mergeCell ref="A3:B3"/>
    <mergeCell ref="C3:U3"/>
    <mergeCell ref="A4:B4"/>
    <mergeCell ref="C4:U4"/>
    <mergeCell ref="A6:B6"/>
    <mergeCell ref="C6:U6"/>
    <mergeCell ref="C9:M9"/>
    <mergeCell ref="C11:C12"/>
    <mergeCell ref="D11:D12"/>
    <mergeCell ref="E11:F11"/>
    <mergeCell ref="H11:M11"/>
  </mergeCells>
  <hyperlinks>
    <hyperlink ref="A1" location="'ODS 11.'!A1" display="REGRESAR" xr:uid="{3BEA8D1C-5D98-4B29-8D6D-8C5D984BDF85}"/>
    <hyperlink ref="C1:D1" location="'Metadato 11.1.1.b'!A1" display="VER METADATO" xr:uid="{6631DD92-2D8B-4826-BB77-5BBB411CE95B}"/>
  </hyperlinks>
  <pageMargins left="0.7" right="0.7" top="0.75" bottom="0.75" header="0.3" footer="0.3"/>
  <pageSetup orientation="portrait" horizontalDpi="4294967294" verticalDpi="4294967294"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296A-0A41-45A3-B419-C00276F265F2}">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7.7109375" style="115" customWidth="1"/>
    <col min="2" max="2" width="26.42578125" style="115" customWidth="1"/>
    <col min="3" max="3" width="24" style="115" customWidth="1"/>
    <col min="4" max="4" width="85.7109375" style="115" customWidth="1"/>
    <col min="5" max="5" width="6.28515625" style="115" customWidth="1"/>
    <col min="6" max="6" width="7.28515625" style="115" customWidth="1"/>
    <col min="7" max="9" width="9.28515625" style="115" customWidth="1"/>
    <col min="10" max="10" width="8.28515625" style="115" customWidth="1"/>
    <col min="11" max="11" width="7.28515625" style="115" customWidth="1"/>
    <col min="12" max="16384" width="11.42578125" style="115"/>
  </cols>
  <sheetData>
    <row r="1" spans="1:8" ht="15" customHeight="1" x14ac:dyDescent="0.4">
      <c r="A1" s="470"/>
      <c r="B1" s="158" t="s">
        <v>39</v>
      </c>
      <c r="C1" s="470"/>
      <c r="D1" s="470"/>
      <c r="E1" s="470"/>
      <c r="F1" s="470"/>
      <c r="G1" s="470"/>
      <c r="H1" s="470"/>
    </row>
    <row r="2" spans="1:8" s="155" customFormat="1" ht="15" customHeight="1" thickBot="1" x14ac:dyDescent="0.3">
      <c r="A2" s="226"/>
      <c r="B2" s="226"/>
      <c r="C2" s="226"/>
      <c r="D2" s="226"/>
      <c r="E2" s="226"/>
      <c r="F2" s="226"/>
      <c r="G2" s="226"/>
      <c r="H2" s="226"/>
    </row>
    <row r="3" spans="1:8" ht="23.25" customHeight="1" thickBot="1" x14ac:dyDescent="0.45">
      <c r="B3" s="3270" t="s">
        <v>75</v>
      </c>
      <c r="C3" s="3270"/>
      <c r="D3" s="3270"/>
      <c r="F3" s="1046" t="s">
        <v>76</v>
      </c>
    </row>
    <row r="4" spans="1:8" ht="37.5" x14ac:dyDescent="0.4">
      <c r="B4" s="2445" t="s">
        <v>234</v>
      </c>
      <c r="C4" s="2445"/>
      <c r="D4" s="49" t="s">
        <v>5921</v>
      </c>
    </row>
    <row r="5" spans="1:8" ht="37.5" x14ac:dyDescent="0.4">
      <c r="B5" s="2445" t="s">
        <v>79</v>
      </c>
      <c r="C5" s="2445"/>
      <c r="D5" s="49" t="s">
        <v>5872</v>
      </c>
    </row>
    <row r="6" spans="1:8" x14ac:dyDescent="0.4">
      <c r="B6" s="2445" t="s">
        <v>80</v>
      </c>
      <c r="C6" s="2445"/>
      <c r="D6" s="50" t="s">
        <v>5873</v>
      </c>
    </row>
    <row r="7" spans="1:8" ht="37.5" x14ac:dyDescent="0.4">
      <c r="B7" s="2446" t="s">
        <v>81</v>
      </c>
      <c r="C7" s="2446"/>
      <c r="D7" s="93" t="s">
        <v>5588</v>
      </c>
    </row>
    <row r="8" spans="1:8" x14ac:dyDescent="0.4">
      <c r="B8" s="2446" t="s">
        <v>82</v>
      </c>
      <c r="C8" s="2446"/>
      <c r="D8" s="1047" t="s">
        <v>5922</v>
      </c>
    </row>
    <row r="9" spans="1:8" ht="23.25" customHeight="1" x14ac:dyDescent="0.4"/>
    <row r="10" spans="1:8" ht="16.5" customHeight="1" x14ac:dyDescent="0.4">
      <c r="B10" s="3270" t="s">
        <v>85</v>
      </c>
      <c r="C10" s="3270"/>
      <c r="D10" s="3270"/>
    </row>
    <row r="11" spans="1:8" x14ac:dyDescent="0.4">
      <c r="B11" s="2487" t="s">
        <v>86</v>
      </c>
      <c r="C11" s="2456"/>
      <c r="D11" s="49" t="s">
        <v>167</v>
      </c>
    </row>
    <row r="12" spans="1:8" ht="37.5" x14ac:dyDescent="0.4">
      <c r="B12" s="2446" t="s">
        <v>88</v>
      </c>
      <c r="C12" s="2446"/>
      <c r="D12" s="755" t="s">
        <v>5931</v>
      </c>
    </row>
    <row r="13" spans="1:8" x14ac:dyDescent="0.4">
      <c r="B13" s="2445" t="s">
        <v>90</v>
      </c>
      <c r="C13" s="2445"/>
      <c r="D13" s="594" t="s">
        <v>5932</v>
      </c>
    </row>
    <row r="14" spans="1:8" x14ac:dyDescent="0.4">
      <c r="B14" s="2445" t="s">
        <v>91</v>
      </c>
      <c r="C14" s="2456"/>
      <c r="D14" s="54" t="s">
        <v>214</v>
      </c>
    </row>
    <row r="15" spans="1:8" ht="53.25" customHeight="1" x14ac:dyDescent="0.4">
      <c r="B15" s="2445" t="s">
        <v>93</v>
      </c>
      <c r="C15" s="2445"/>
      <c r="D15" s="594" t="s">
        <v>5933</v>
      </c>
    </row>
    <row r="16" spans="1:8" ht="43.5" customHeight="1" x14ac:dyDescent="0.4">
      <c r="B16" s="2445" t="s">
        <v>95</v>
      </c>
      <c r="C16" s="2445"/>
      <c r="D16" s="594"/>
    </row>
    <row r="17" spans="2:13" x14ac:dyDescent="0.4">
      <c r="B17" s="2445" t="s">
        <v>97</v>
      </c>
      <c r="C17" s="2445"/>
      <c r="D17" s="594" t="s">
        <v>98</v>
      </c>
    </row>
    <row r="18" spans="2:13" x14ac:dyDescent="0.4">
      <c r="B18" s="2446" t="s">
        <v>99</v>
      </c>
      <c r="C18" s="2446"/>
      <c r="D18" s="594" t="s">
        <v>140</v>
      </c>
    </row>
    <row r="19" spans="2:13" ht="56.25" x14ac:dyDescent="0.4">
      <c r="B19" s="2457" t="s">
        <v>100</v>
      </c>
      <c r="C19" s="2458"/>
      <c r="D19" s="594" t="s">
        <v>5934</v>
      </c>
    </row>
    <row r="20" spans="2:13" x14ac:dyDescent="0.4">
      <c r="B20" s="2445" t="s">
        <v>102</v>
      </c>
      <c r="C20" s="2445"/>
      <c r="D20" s="49"/>
    </row>
    <row r="21" spans="2:13" x14ac:dyDescent="0.4">
      <c r="B21" s="2451" t="s">
        <v>104</v>
      </c>
      <c r="C21" s="95" t="s">
        <v>105</v>
      </c>
      <c r="D21" s="594" t="s">
        <v>1457</v>
      </c>
      <c r="E21" s="120"/>
      <c r="F21" s="120"/>
      <c r="G21" s="120"/>
      <c r="H21" s="120"/>
      <c r="I21" s="120"/>
      <c r="J21" s="120"/>
      <c r="K21" s="120"/>
      <c r="L21" s="120"/>
      <c r="M21" s="120"/>
    </row>
    <row r="22" spans="2:13" x14ac:dyDescent="0.4">
      <c r="B22" s="2452"/>
      <c r="C22" s="96" t="s">
        <v>107</v>
      </c>
      <c r="D22" s="55"/>
    </row>
    <row r="23" spans="2:13" x14ac:dyDescent="0.4">
      <c r="B23" s="2445" t="s">
        <v>109</v>
      </c>
      <c r="C23" s="2445"/>
      <c r="D23" s="594" t="s">
        <v>143</v>
      </c>
    </row>
    <row r="24" spans="2:13" x14ac:dyDescent="0.4">
      <c r="B24" s="2445" t="s">
        <v>111</v>
      </c>
      <c r="C24" s="2445"/>
      <c r="D24" s="826" t="s">
        <v>127</v>
      </c>
    </row>
    <row r="25" spans="2:13" x14ac:dyDescent="0.4">
      <c r="B25" s="2445" t="s">
        <v>113</v>
      </c>
      <c r="C25" s="2445"/>
      <c r="D25" s="55" t="s">
        <v>144</v>
      </c>
    </row>
    <row r="26" spans="2:13" ht="15" customHeight="1" x14ac:dyDescent="0.4">
      <c r="B26" s="2446" t="s">
        <v>115</v>
      </c>
      <c r="C26" s="2446"/>
      <c r="D26" s="826" t="s">
        <v>5631</v>
      </c>
    </row>
    <row r="27" spans="2:13" ht="15" customHeight="1" x14ac:dyDescent="0.4">
      <c r="B27" s="2447" t="s">
        <v>117</v>
      </c>
      <c r="C27" s="2448"/>
      <c r="D27" s="49"/>
    </row>
    <row r="28" spans="2:13" ht="15" customHeight="1" x14ac:dyDescent="0.4">
      <c r="B28" s="97" t="s">
        <v>118</v>
      </c>
      <c r="C28" s="98"/>
      <c r="D28" s="594" t="s">
        <v>5935</v>
      </c>
    </row>
    <row r="29" spans="2:13" x14ac:dyDescent="0.4">
      <c r="B29" s="2449" t="s">
        <v>120</v>
      </c>
      <c r="C29" s="2450"/>
      <c r="D29" s="62"/>
    </row>
    <row r="30" spans="2:13" x14ac:dyDescent="0.4">
      <c r="B30" s="63"/>
      <c r="C30" s="63"/>
      <c r="D30" s="64"/>
    </row>
    <row r="31" spans="2:13" ht="19.5" x14ac:dyDescent="0.4">
      <c r="B31" s="3270" t="s">
        <v>121</v>
      </c>
      <c r="C31" s="3270"/>
      <c r="D31" s="3270"/>
    </row>
    <row r="32" spans="2:13" ht="23.25" customHeight="1" x14ac:dyDescent="0.4">
      <c r="B32" s="2447" t="s">
        <v>122</v>
      </c>
      <c r="C32" s="2448"/>
      <c r="D32" s="826" t="s">
        <v>123</v>
      </c>
    </row>
    <row r="33" spans="2:4" x14ac:dyDescent="0.4">
      <c r="B33" s="2447" t="s">
        <v>124</v>
      </c>
      <c r="C33" s="2448"/>
      <c r="D33" s="826" t="s">
        <v>1790</v>
      </c>
    </row>
    <row r="34" spans="2:4" x14ac:dyDescent="0.4">
      <c r="B34" s="2447" t="s">
        <v>126</v>
      </c>
      <c r="C34" s="2448"/>
      <c r="D34" s="826" t="s">
        <v>127</v>
      </c>
    </row>
    <row r="35" spans="2:4" x14ac:dyDescent="0.4">
      <c r="B35" s="2447" t="s">
        <v>128</v>
      </c>
      <c r="C35" s="2448"/>
      <c r="D35" s="826" t="s">
        <v>5653</v>
      </c>
    </row>
    <row r="36" spans="2:4" x14ac:dyDescent="0.4">
      <c r="B36" s="2447" t="s">
        <v>130</v>
      </c>
      <c r="C36" s="2448"/>
      <c r="D36" s="826"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3F0A1C53-882B-4C6D-9A33-23141B2C25E8}">
      <formula1>ODS</formula1>
    </dataValidation>
    <dataValidation type="list" allowBlank="1" showInputMessage="1" showErrorMessage="1" sqref="D5" xr:uid="{55CBAD46-8FA1-4DA6-BF63-1E3002134407}">
      <formula1>Metas_ODS</formula1>
    </dataValidation>
    <dataValidation type="list" allowBlank="1" showInputMessage="1" showErrorMessage="1" sqref="D6" xr:uid="{016B8E13-B6DE-4523-B476-699F2B919F02}">
      <formula1>Numero_indicador</formula1>
    </dataValidation>
    <dataValidation type="list" allowBlank="1" showInputMessage="1" showErrorMessage="1" sqref="D7" xr:uid="{8DF64893-CAAE-4354-9F4C-D0D16CA4D6BA}">
      <formula1>Nombre_indicador_ODS</formula1>
    </dataValidation>
    <dataValidation type="list" allowBlank="1" showInputMessage="1" showErrorMessage="1" sqref="D14" xr:uid="{EBB2E51F-6512-46E9-98A2-25B87500F358}">
      <formula1>Tipo_indicador</formula1>
    </dataValidation>
    <dataValidation type="list" allowBlank="1" showInputMessage="1" showErrorMessage="1" sqref="D25" xr:uid="{47628A5E-E68F-4F09-9F47-22F9502CACD0}">
      <formula1>Tipo_operación</formula1>
    </dataValidation>
  </dataValidations>
  <hyperlinks>
    <hyperlink ref="B1" location="'11.1.1.b'!A1" display="REGRESAR" xr:uid="{928FDBEE-90EF-4107-8DC9-853D7F9EE347}"/>
    <hyperlink ref="D8" r:id="rId1" xr:uid="{E3E20AB2-DAD1-4A29-BBE7-F58DE644FEE2}"/>
  </hyperlinks>
  <pageMargins left="0.7" right="0.7" top="0.75" bottom="0.75" header="0.3" footer="0.3"/>
  <pageSetup orientation="portrait" horizontalDpi="4294967294" verticalDpi="4294967294" r:id="rId2"/>
  <drawing r:id="rId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32A38-EB68-4A4B-947B-B5A7762BAC05}">
  <dimension ref="A1:T50"/>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1" width="15.28515625" style="115" customWidth="1"/>
    <col min="2" max="2" width="15.28515625" style="1048" customWidth="1"/>
    <col min="3" max="3" width="7" style="115" customWidth="1"/>
    <col min="4" max="4" width="6.7109375" style="115" customWidth="1"/>
    <col min="5" max="5" width="7.7109375" style="115" customWidth="1"/>
    <col min="6" max="6" width="8.7109375" style="115" customWidth="1"/>
    <col min="7" max="7" width="2.28515625" style="115" customWidth="1"/>
    <col min="8" max="8" width="8" style="115" customWidth="1"/>
    <col min="9" max="9" width="9.28515625" style="115" customWidth="1"/>
    <col min="10" max="10" width="8.28515625" style="115" customWidth="1"/>
    <col min="11" max="11" width="7.5703125" style="115" customWidth="1"/>
    <col min="12" max="12" width="8.28515625" style="115" customWidth="1"/>
    <col min="13" max="13" width="8.42578125" style="115" customWidth="1"/>
    <col min="14" max="16384" width="11.42578125" style="115"/>
  </cols>
  <sheetData>
    <row r="1" spans="1:20" s="1032" customFormat="1" ht="14.25" customHeight="1" x14ac:dyDescent="0.4">
      <c r="A1" s="68" t="s">
        <v>39</v>
      </c>
      <c r="B1" s="1061"/>
      <c r="C1" s="2562" t="s">
        <v>149</v>
      </c>
      <c r="D1" s="2562"/>
      <c r="E1" s="2562"/>
      <c r="F1" s="800"/>
      <c r="G1" s="800"/>
      <c r="H1" s="800"/>
      <c r="I1" s="800"/>
      <c r="J1" s="800"/>
    </row>
    <row r="2" spans="1:20" s="1032" customFormat="1" ht="14.25" customHeight="1" x14ac:dyDescent="0.4">
      <c r="B2" s="1061"/>
      <c r="C2" s="800"/>
      <c r="D2" s="800"/>
      <c r="E2" s="800"/>
      <c r="F2" s="800"/>
      <c r="G2" s="800"/>
      <c r="H2" s="800"/>
      <c r="I2" s="800"/>
      <c r="J2" s="800"/>
    </row>
    <row r="3" spans="1:20" s="1032" customFormat="1" ht="19.5" x14ac:dyDescent="0.4">
      <c r="A3" s="3263" t="s">
        <v>41</v>
      </c>
      <c r="B3" s="3269"/>
      <c r="C3" s="3263" t="s">
        <v>5871</v>
      </c>
      <c r="D3" s="3265"/>
      <c r="E3" s="3265"/>
      <c r="F3" s="3265"/>
      <c r="G3" s="3265"/>
      <c r="H3" s="3265"/>
      <c r="I3" s="3265"/>
      <c r="J3" s="3265"/>
      <c r="K3" s="3265"/>
      <c r="L3" s="3265"/>
      <c r="M3" s="3265"/>
      <c r="N3" s="3265"/>
      <c r="O3" s="3265"/>
      <c r="P3" s="3265"/>
      <c r="Q3" s="3265"/>
      <c r="R3" s="3265"/>
      <c r="S3" s="3265"/>
      <c r="T3" s="3265"/>
    </row>
    <row r="4" spans="1:20" s="1032" customFormat="1" ht="15" customHeight="1" x14ac:dyDescent="0.4">
      <c r="A4" s="3263" t="s">
        <v>42</v>
      </c>
      <c r="B4" s="3264"/>
      <c r="C4" s="3263" t="s">
        <v>5872</v>
      </c>
      <c r="D4" s="3265"/>
      <c r="E4" s="3265"/>
      <c r="F4" s="3265"/>
      <c r="G4" s="3265"/>
      <c r="H4" s="3265"/>
      <c r="I4" s="3265"/>
      <c r="J4" s="3265"/>
      <c r="K4" s="3265"/>
      <c r="L4" s="3265"/>
      <c r="M4" s="3265"/>
      <c r="N4" s="3265"/>
      <c r="O4" s="3265"/>
      <c r="P4" s="3265"/>
      <c r="Q4" s="3265"/>
      <c r="R4" s="3265"/>
      <c r="S4" s="3265"/>
      <c r="T4" s="3265"/>
    </row>
    <row r="5" spans="1:20" s="1032" customFormat="1" ht="19.5" x14ac:dyDescent="0.4">
      <c r="A5" s="3263" t="s">
        <v>43</v>
      </c>
      <c r="B5" s="3264"/>
      <c r="C5" s="3263" t="s">
        <v>5874</v>
      </c>
      <c r="D5" s="3265"/>
      <c r="E5" s="3265"/>
      <c r="F5" s="3265"/>
      <c r="G5" s="3265"/>
      <c r="H5" s="3265"/>
      <c r="I5" s="3265"/>
      <c r="J5" s="3265"/>
      <c r="K5" s="3265"/>
      <c r="L5" s="3265"/>
      <c r="M5" s="3265"/>
      <c r="N5" s="3265"/>
      <c r="O5" s="3265"/>
      <c r="P5" s="3265"/>
      <c r="Q5" s="3265"/>
      <c r="R5" s="3265"/>
      <c r="S5" s="3265"/>
      <c r="T5" s="3265"/>
    </row>
    <row r="6" spans="1:20" s="1032" customFormat="1" ht="15" customHeight="1" x14ac:dyDescent="0.4">
      <c r="A6" s="3263" t="s">
        <v>132</v>
      </c>
      <c r="B6" s="3264"/>
      <c r="C6" s="3263" t="s">
        <v>5936</v>
      </c>
      <c r="D6" s="3265"/>
      <c r="E6" s="3265"/>
      <c r="F6" s="3265"/>
      <c r="G6" s="3265"/>
      <c r="H6" s="3265"/>
      <c r="I6" s="3265"/>
      <c r="J6" s="3265"/>
      <c r="K6" s="3265"/>
      <c r="L6" s="3265"/>
      <c r="M6" s="3265"/>
      <c r="N6" s="3265"/>
      <c r="O6" s="3265"/>
      <c r="P6" s="3265"/>
      <c r="Q6" s="3265"/>
      <c r="R6" s="3265"/>
      <c r="S6" s="3265"/>
      <c r="T6" s="3265"/>
    </row>
    <row r="7" spans="1:20" s="1032" customFormat="1" ht="19.5" x14ac:dyDescent="0.4">
      <c r="B7" s="1061"/>
    </row>
    <row r="8" spans="1:20" s="1032" customFormat="1" ht="19.5" x14ac:dyDescent="0.4">
      <c r="B8" s="1061"/>
    </row>
    <row r="9" spans="1:20" s="1032" customFormat="1" ht="15" customHeight="1" x14ac:dyDescent="0.4">
      <c r="B9" s="1061"/>
      <c r="C9" s="138" t="s">
        <v>5936</v>
      </c>
      <c r="D9" s="138"/>
      <c r="E9" s="138"/>
      <c r="F9" s="138"/>
      <c r="G9" s="138"/>
      <c r="H9" s="138"/>
      <c r="I9" s="138"/>
      <c r="J9" s="138"/>
      <c r="K9" s="138"/>
      <c r="L9" s="138"/>
      <c r="M9" s="138"/>
    </row>
    <row r="10" spans="1:20" s="1032" customFormat="1" ht="10.9" customHeight="1" x14ac:dyDescent="0.4">
      <c r="B10" s="1061"/>
      <c r="C10" s="138"/>
      <c r="D10" s="138"/>
      <c r="E10" s="138"/>
      <c r="F10" s="138"/>
      <c r="G10" s="138"/>
      <c r="H10" s="138"/>
      <c r="I10" s="138"/>
      <c r="J10" s="138"/>
      <c r="K10" s="138"/>
      <c r="L10" s="138"/>
      <c r="M10" s="138"/>
    </row>
    <row r="11" spans="1:20" ht="12.75" customHeight="1" x14ac:dyDescent="0.4">
      <c r="C11" s="3266" t="s">
        <v>46</v>
      </c>
      <c r="D11" s="3266" t="s">
        <v>47</v>
      </c>
      <c r="E11" s="3268" t="s">
        <v>49</v>
      </c>
      <c r="F11" s="3268"/>
      <c r="G11" s="1671"/>
      <c r="H11" s="3268" t="s">
        <v>50</v>
      </c>
      <c r="I11" s="3268"/>
      <c r="J11" s="3268"/>
      <c r="K11" s="3268"/>
      <c r="L11" s="3268"/>
      <c r="M11" s="3268"/>
    </row>
    <row r="12" spans="1:20" ht="27" customHeight="1" x14ac:dyDescent="0.4">
      <c r="C12" s="3267"/>
      <c r="D12" s="3267"/>
      <c r="E12" s="1672" t="s">
        <v>55</v>
      </c>
      <c r="F12" s="1672" t="s">
        <v>56</v>
      </c>
      <c r="G12" s="1672"/>
      <c r="H12" s="1672" t="s">
        <v>57</v>
      </c>
      <c r="I12" s="1672" t="s">
        <v>58</v>
      </c>
      <c r="J12" s="1672" t="s">
        <v>59</v>
      </c>
      <c r="K12" s="1672" t="s">
        <v>60</v>
      </c>
      <c r="L12" s="1673" t="s">
        <v>61</v>
      </c>
      <c r="M12" s="1673" t="s">
        <v>62</v>
      </c>
    </row>
    <row r="13" spans="1:20" x14ac:dyDescent="0.4">
      <c r="C13" s="198">
        <v>2010</v>
      </c>
      <c r="D13" s="1689">
        <v>0.99204394942871876</v>
      </c>
      <c r="E13" s="1689">
        <v>1.1306657369543691</v>
      </c>
      <c r="F13" s="1689">
        <v>0.62087793209238784</v>
      </c>
      <c r="G13" s="1689"/>
      <c r="H13" s="1689">
        <v>1.1960162568457837</v>
      </c>
      <c r="I13" s="1689">
        <v>0.77337645636306129</v>
      </c>
      <c r="J13" s="1689">
        <v>0.36223143904317984</v>
      </c>
      <c r="K13" s="1689">
        <v>0.45104227727260915</v>
      </c>
      <c r="L13" s="1689">
        <v>0.98149518874907482</v>
      </c>
      <c r="M13" s="1689">
        <v>0.55391634369245002</v>
      </c>
    </row>
    <row r="14" spans="1:20" x14ac:dyDescent="0.4">
      <c r="C14" s="198">
        <v>2011</v>
      </c>
      <c r="D14" s="1689">
        <v>1.1376102758807807</v>
      </c>
      <c r="E14" s="1689">
        <v>1.3634075437576891</v>
      </c>
      <c r="F14" s="1689">
        <v>0.53326181545986917</v>
      </c>
      <c r="G14" s="1689"/>
      <c r="H14" s="1689">
        <v>1.5292140276875623</v>
      </c>
      <c r="I14" s="1689">
        <v>0.57562571186589173</v>
      </c>
      <c r="J14" s="1689">
        <v>0.64880382775119616</v>
      </c>
      <c r="K14" s="1689">
        <v>0.46878151381565675</v>
      </c>
      <c r="L14" s="1689">
        <v>0.4273390133810529</v>
      </c>
      <c r="M14" s="1689">
        <v>0.34770084224621495</v>
      </c>
    </row>
    <row r="15" spans="1:20" x14ac:dyDescent="0.4">
      <c r="C15" s="198">
        <v>2012</v>
      </c>
      <c r="D15" s="1689">
        <v>0.56018211347434166</v>
      </c>
      <c r="E15" s="1689">
        <v>0.5437343515735209</v>
      </c>
      <c r="F15" s="1689">
        <v>0.60415039475107823</v>
      </c>
      <c r="G15" s="1689"/>
      <c r="H15" s="1689">
        <v>0.66107567443751303</v>
      </c>
      <c r="I15" s="1689">
        <v>0.48937676850787387</v>
      </c>
      <c r="J15" s="1689">
        <v>0.16919392255430185</v>
      </c>
      <c r="K15" s="1689">
        <v>0.3672229265896812</v>
      </c>
      <c r="L15" s="1689">
        <v>6.5315531649217176E-2</v>
      </c>
      <c r="M15" s="1689">
        <v>0.86108365680336152</v>
      </c>
    </row>
    <row r="16" spans="1:20" x14ac:dyDescent="0.4">
      <c r="C16" s="198">
        <v>2013</v>
      </c>
      <c r="D16" s="1689">
        <v>0.58981499520584313</v>
      </c>
      <c r="E16" s="1689">
        <v>0.59733663831987183</v>
      </c>
      <c r="F16" s="1689">
        <v>0.56974334300293206</v>
      </c>
      <c r="G16" s="1689"/>
      <c r="H16" s="1689">
        <v>0.69184014794066062</v>
      </c>
      <c r="I16" s="1689">
        <v>0.79310403243566785</v>
      </c>
      <c r="J16" s="1689">
        <v>0.42239076864052882</v>
      </c>
      <c r="K16" s="1689">
        <v>0.31232640660250088</v>
      </c>
      <c r="L16" s="1689">
        <v>4.8259693929450953E-2</v>
      </c>
      <c r="M16" s="1689">
        <v>0.59004555259931313</v>
      </c>
    </row>
    <row r="17" spans="3:13" x14ac:dyDescent="0.4">
      <c r="C17" s="198">
        <v>2014</v>
      </c>
      <c r="D17" s="1689">
        <v>1.2104738838137858</v>
      </c>
      <c r="E17" s="1689">
        <v>1.4767125040564275</v>
      </c>
      <c r="F17" s="1689">
        <v>0.50111495389680993</v>
      </c>
      <c r="G17" s="1689"/>
      <c r="H17" s="1689">
        <v>1.4445059471056949</v>
      </c>
      <c r="I17" s="1689">
        <v>0.65642469759663413</v>
      </c>
      <c r="J17" s="1689">
        <v>0.32669892516053622</v>
      </c>
      <c r="K17" s="1689">
        <v>0.67598080326714705</v>
      </c>
      <c r="L17" s="1689">
        <v>1.1851457374227168</v>
      </c>
      <c r="M17" s="1689">
        <v>1.0715677877335852</v>
      </c>
    </row>
    <row r="18" spans="3:13" x14ac:dyDescent="0.4">
      <c r="C18" s="198">
        <v>2015</v>
      </c>
      <c r="D18" s="1689">
        <v>2.5274776198696172</v>
      </c>
      <c r="E18" s="1689">
        <v>2.9411136729388905</v>
      </c>
      <c r="F18" s="1689">
        <v>1.4276317134078538</v>
      </c>
      <c r="G18" s="1689"/>
      <c r="H18" s="1689">
        <v>2.8958137025189021</v>
      </c>
      <c r="I18" s="1689">
        <v>0.42442710539620943</v>
      </c>
      <c r="J18" s="1689">
        <v>2.1272722080221613</v>
      </c>
      <c r="K18" s="1689">
        <v>0.57206229432368194</v>
      </c>
      <c r="L18" s="1689">
        <v>2.2353952563248618</v>
      </c>
      <c r="M18" s="1689">
        <v>4.0888902733108541</v>
      </c>
    </row>
    <row r="19" spans="3:13" x14ac:dyDescent="0.4">
      <c r="C19" s="198">
        <v>2016</v>
      </c>
      <c r="D19" s="1689">
        <v>1.9567414528559879</v>
      </c>
      <c r="E19" s="1689">
        <v>2.3695789767684916</v>
      </c>
      <c r="F19" s="1689">
        <v>0.86088993254282031</v>
      </c>
      <c r="G19" s="1689"/>
      <c r="H19" s="1689">
        <v>2.2140638832144441</v>
      </c>
      <c r="I19" s="1689">
        <v>0.76497527216760042</v>
      </c>
      <c r="J19" s="1689">
        <v>4.3919132579563902</v>
      </c>
      <c r="K19" s="1689">
        <v>0.24360367151472154</v>
      </c>
      <c r="L19" s="1689">
        <v>1.8800417230337565</v>
      </c>
      <c r="M19" s="1689">
        <v>0.986858860082514</v>
      </c>
    </row>
    <row r="20" spans="3:13" x14ac:dyDescent="0.4">
      <c r="C20" s="198">
        <v>2017</v>
      </c>
      <c r="D20" s="1689">
        <v>1.6494632785493359</v>
      </c>
      <c r="E20" s="1689">
        <v>2.005695880091424</v>
      </c>
      <c r="F20" s="1689">
        <v>0.70484191255176698</v>
      </c>
      <c r="G20" s="1689"/>
      <c r="H20" s="1689">
        <v>1.5963960598257194</v>
      </c>
      <c r="I20" s="1689">
        <v>0.19006417648134746</v>
      </c>
      <c r="J20" s="1689">
        <v>4.2694569353164988</v>
      </c>
      <c r="K20" s="1689">
        <v>0.54097738780491822</v>
      </c>
      <c r="L20" s="1689">
        <v>2.7167292974915398</v>
      </c>
      <c r="M20" s="1689">
        <v>1.3626910457809134</v>
      </c>
    </row>
    <row r="21" spans="3:13" x14ac:dyDescent="0.4">
      <c r="C21" s="198">
        <v>2018</v>
      </c>
      <c r="D21" s="1689">
        <v>2.2030016749695673</v>
      </c>
      <c r="E21" s="1689">
        <v>2.6624249711782464</v>
      </c>
      <c r="F21" s="1689">
        <v>0.98780900902213464</v>
      </c>
      <c r="G21" s="1689"/>
      <c r="H21" s="1689">
        <v>2.5586996464791172</v>
      </c>
      <c r="I21" s="1689">
        <v>1.03104360520536</v>
      </c>
      <c r="J21" s="1689">
        <v>2.2507896313238578</v>
      </c>
      <c r="K21" s="1689">
        <v>6.05872046373774E-2</v>
      </c>
      <c r="L21" s="1689">
        <v>1.9095718454752608</v>
      </c>
      <c r="M21" s="1689">
        <v>2.8120728454231116</v>
      </c>
    </row>
    <row r="22" spans="3:13" x14ac:dyDescent="0.4">
      <c r="C22" s="198">
        <v>2019</v>
      </c>
      <c r="D22" s="1689">
        <v>1.901623209143571</v>
      </c>
      <c r="E22" s="1689">
        <v>2.2034650128304545</v>
      </c>
      <c r="F22" s="1689">
        <v>1.1043815434570468</v>
      </c>
      <c r="G22" s="1689"/>
      <c r="H22" s="1689">
        <v>2.110086679485621</v>
      </c>
      <c r="I22" s="1689">
        <v>1.4089362994066825</v>
      </c>
      <c r="J22" s="1689">
        <v>3.4236029345168015</v>
      </c>
      <c r="K22" s="1689">
        <v>0.34510285205378283</v>
      </c>
      <c r="L22" s="1689">
        <v>1.4764558029986115</v>
      </c>
      <c r="M22" s="1689">
        <v>1.5430016863406408</v>
      </c>
    </row>
    <row r="23" spans="3:13" x14ac:dyDescent="0.4">
      <c r="C23" s="198">
        <v>2020</v>
      </c>
      <c r="D23" s="1689">
        <v>1.5434895102227275</v>
      </c>
      <c r="E23" s="1689">
        <v>1.9073837778635034</v>
      </c>
      <c r="F23" s="1689">
        <v>0.58305654345512081</v>
      </c>
      <c r="G23" s="1689"/>
      <c r="H23" s="1689">
        <v>1.7441386179311653</v>
      </c>
      <c r="I23" s="1689">
        <v>0.53937651731388458</v>
      </c>
      <c r="J23" s="1689">
        <v>3.0667957021921728</v>
      </c>
      <c r="K23" s="1689">
        <v>9.811049457959789E-2</v>
      </c>
      <c r="L23" s="1689">
        <v>0.64606839241320568</v>
      </c>
      <c r="M23" s="1689">
        <v>2.1296105428516592</v>
      </c>
    </row>
    <row r="24" spans="3:13" x14ac:dyDescent="0.4">
      <c r="C24" s="198">
        <v>2021</v>
      </c>
      <c r="D24" s="1689">
        <v>1.2453197139179066</v>
      </c>
      <c r="E24" s="1689">
        <v>1.5815200534520062</v>
      </c>
      <c r="F24" s="1689">
        <v>0.35923455298463219</v>
      </c>
      <c r="G24" s="1689"/>
      <c r="H24" s="1689">
        <v>1.4016449268571403</v>
      </c>
      <c r="I24" s="1689">
        <v>0.14147671643809204</v>
      </c>
      <c r="J24" s="1689">
        <v>3.4950969703084365</v>
      </c>
      <c r="K24" s="1689">
        <v>0</v>
      </c>
      <c r="L24" s="1689">
        <v>0.45776283198018441</v>
      </c>
      <c r="M24" s="1689">
        <v>1.4316752323444961</v>
      </c>
    </row>
    <row r="25" spans="3:13" x14ac:dyDescent="0.4">
      <c r="C25" s="198">
        <v>2022</v>
      </c>
      <c r="D25" s="1689">
        <v>0.88169514412638017</v>
      </c>
      <c r="E25" s="1689">
        <v>1.0011159399378091</v>
      </c>
      <c r="F25" s="1689">
        <v>0.56767114895276016</v>
      </c>
      <c r="G25" s="1689"/>
      <c r="H25" s="1689">
        <v>0.6324046768098075</v>
      </c>
      <c r="I25" s="1689">
        <v>0.643062994984405</v>
      </c>
      <c r="J25" s="1689">
        <v>5.4685771631755964</v>
      </c>
      <c r="K25" s="1689">
        <v>7.6028526759899767E-2</v>
      </c>
      <c r="L25" s="1689">
        <v>0.85601241239281223</v>
      </c>
      <c r="M25" s="1689">
        <v>0.38012632735261809</v>
      </c>
    </row>
    <row r="26" spans="3:13" x14ac:dyDescent="0.4">
      <c r="C26" s="2285">
        <v>2023</v>
      </c>
      <c r="D26" s="1689">
        <v>1.0790495287496629</v>
      </c>
      <c r="E26" s="1689">
        <v>1.3207445656809547</v>
      </c>
      <c r="F26" s="1689">
        <v>0.44461957951966757</v>
      </c>
      <c r="G26" s="1689"/>
      <c r="H26" s="1689">
        <v>1.1653546514211235</v>
      </c>
      <c r="I26" s="1689">
        <v>0.53178643651860402</v>
      </c>
      <c r="J26" s="1689">
        <v>1.6954138422948819</v>
      </c>
      <c r="K26" s="1689">
        <v>0.13104030554763926</v>
      </c>
      <c r="L26" s="1689">
        <v>1.1485732336527323</v>
      </c>
      <c r="M26" s="1689">
        <v>1.2425670873777672</v>
      </c>
    </row>
    <row r="27" spans="3:13" x14ac:dyDescent="0.4">
      <c r="C27" s="606">
        <v>2024</v>
      </c>
      <c r="D27" s="1690">
        <v>1.3334711812227069</v>
      </c>
      <c r="E27" s="1690">
        <v>1.5872900229156981</v>
      </c>
      <c r="F27" s="1690">
        <v>0.66851444869201027</v>
      </c>
      <c r="G27" s="1690"/>
      <c r="H27" s="1690">
        <v>1.2131535347590947</v>
      </c>
      <c r="I27" s="1690">
        <v>0.83425627196995233</v>
      </c>
      <c r="J27" s="1690">
        <v>3.727745096509433</v>
      </c>
      <c r="K27" s="1690">
        <v>0.40653640529531565</v>
      </c>
      <c r="L27" s="1690">
        <v>1.8422945794626382</v>
      </c>
      <c r="M27" s="1690">
        <v>1.1975955132773526</v>
      </c>
    </row>
    <row r="28" spans="3:13" x14ac:dyDescent="0.4">
      <c r="C28" s="2285" t="s">
        <v>8138</v>
      </c>
      <c r="D28" s="1689"/>
      <c r="E28" s="1689"/>
      <c r="F28" s="1689"/>
      <c r="G28" s="1689"/>
      <c r="H28" s="1689"/>
      <c r="I28" s="1689"/>
      <c r="J28" s="1689"/>
      <c r="K28" s="1689"/>
      <c r="L28" s="1689"/>
      <c r="M28" s="1689"/>
    </row>
    <row r="31" spans="3:13" ht="19.5" x14ac:dyDescent="0.4">
      <c r="C31" s="532" t="s">
        <v>8139</v>
      </c>
    </row>
    <row r="33" ht="15" customHeight="1" x14ac:dyDescent="0.4"/>
    <row r="34" ht="15" customHeight="1" x14ac:dyDescent="0.4"/>
    <row r="35" ht="15" customHeight="1" x14ac:dyDescent="0.4"/>
    <row r="36" ht="15" customHeight="1" x14ac:dyDescent="0.4"/>
    <row r="37" ht="15" customHeight="1" x14ac:dyDescent="0.4"/>
    <row r="38" ht="15" customHeight="1" x14ac:dyDescent="0.4"/>
    <row r="39" ht="15" customHeight="1" x14ac:dyDescent="0.4"/>
    <row r="40" ht="15" customHeight="1" x14ac:dyDescent="0.4"/>
    <row r="41" ht="15" customHeight="1" x14ac:dyDescent="0.4"/>
    <row r="42" ht="15" customHeight="1" x14ac:dyDescent="0.4"/>
    <row r="43" ht="15" customHeight="1" x14ac:dyDescent="0.4"/>
    <row r="44" ht="15" customHeight="1" x14ac:dyDescent="0.4"/>
    <row r="45" ht="15" customHeight="1" x14ac:dyDescent="0.4"/>
    <row r="46" ht="15" customHeight="1" x14ac:dyDescent="0.4"/>
    <row r="47" ht="15" customHeight="1" x14ac:dyDescent="0.4"/>
    <row r="48" ht="15" customHeight="1" x14ac:dyDescent="0.4"/>
    <row r="50" spans="3:3" x14ac:dyDescent="0.4">
      <c r="C50" s="155" t="s">
        <v>8140</v>
      </c>
    </row>
  </sheetData>
  <mergeCells count="13">
    <mergeCell ref="A5:B5"/>
    <mergeCell ref="C5:T5"/>
    <mergeCell ref="C1:E1"/>
    <mergeCell ref="A3:B3"/>
    <mergeCell ref="C3:T3"/>
    <mergeCell ref="A4:B4"/>
    <mergeCell ref="C4:T4"/>
    <mergeCell ref="A6:B6"/>
    <mergeCell ref="C6:T6"/>
    <mergeCell ref="C11:C12"/>
    <mergeCell ref="D11:D12"/>
    <mergeCell ref="E11:F11"/>
    <mergeCell ref="H11:M11"/>
  </mergeCells>
  <hyperlinks>
    <hyperlink ref="A1" location="'ODS 11.'!A1" display="REGRESAR" xr:uid="{203F8D28-6D60-442B-AC95-E07374047C73}"/>
    <hyperlink ref="C1:D1" location="'Metadato 11.1.1.c'!A1" display="VER METADATO" xr:uid="{B047E292-0EEF-473E-A839-2FA4F5768F0B}"/>
  </hyperlinks>
  <pageMargins left="0.7" right="0.7" top="0.75" bottom="0.75" header="0.3" footer="0.3"/>
  <pageSetup orientation="portrait" horizontalDpi="4294967294" verticalDpi="4294967294"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6F21C-D25A-4978-8878-576483049FFD}">
  <sheetPr>
    <tabColor theme="0" tint="-0.499984740745262"/>
  </sheetPr>
  <dimension ref="A1:M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7" style="115" customWidth="1"/>
    <col min="2" max="2" width="26.42578125" style="115" customWidth="1"/>
    <col min="3" max="3" width="24" style="115" customWidth="1"/>
    <col min="4" max="4" width="85.7109375" style="115" customWidth="1"/>
    <col min="5" max="5" width="2.28515625" style="115" customWidth="1"/>
    <col min="6" max="6" width="7.28515625" style="115" customWidth="1"/>
    <col min="7" max="7" width="9.28515625" style="115" customWidth="1"/>
    <col min="8" max="8" width="8.28515625" style="115" customWidth="1"/>
    <col min="9" max="9" width="7.5703125" style="115" customWidth="1"/>
    <col min="10" max="10" width="8.28515625" style="115" customWidth="1"/>
    <col min="11" max="11" width="8.42578125" style="115" customWidth="1"/>
    <col min="12" max="16384" width="11.42578125" style="115"/>
  </cols>
  <sheetData>
    <row r="1" spans="1:8" ht="15.75" customHeight="1" x14ac:dyDescent="0.4">
      <c r="A1" s="470"/>
      <c r="B1" s="158" t="s">
        <v>39</v>
      </c>
      <c r="C1" s="470"/>
      <c r="D1" s="470"/>
      <c r="E1" s="470"/>
      <c r="F1" s="470"/>
      <c r="G1" s="470"/>
      <c r="H1" s="470"/>
    </row>
    <row r="2" spans="1:8" ht="16.5" customHeight="1" thickBot="1" x14ac:dyDescent="0.45">
      <c r="A2" s="470"/>
      <c r="B2" s="470"/>
      <c r="C2" s="470"/>
      <c r="D2" s="470"/>
      <c r="E2" s="470"/>
      <c r="F2" s="470"/>
      <c r="G2" s="470"/>
      <c r="H2" s="470"/>
    </row>
    <row r="3" spans="1:8" ht="23.25" customHeight="1" thickBot="1" x14ac:dyDescent="0.45">
      <c r="B3" s="3270" t="s">
        <v>75</v>
      </c>
      <c r="C3" s="3270"/>
      <c r="D3" s="3270"/>
      <c r="F3" s="1046" t="s">
        <v>76</v>
      </c>
    </row>
    <row r="4" spans="1:8" ht="37.5" x14ac:dyDescent="0.4">
      <c r="B4" s="2445" t="s">
        <v>234</v>
      </c>
      <c r="C4" s="2445"/>
      <c r="D4" s="49" t="s">
        <v>5921</v>
      </c>
    </row>
    <row r="5" spans="1:8" ht="37.5" x14ac:dyDescent="0.4">
      <c r="B5" s="2445" t="s">
        <v>79</v>
      </c>
      <c r="C5" s="2445"/>
      <c r="D5" s="49" t="s">
        <v>5872</v>
      </c>
    </row>
    <row r="6" spans="1:8" x14ac:dyDescent="0.4">
      <c r="B6" s="2445" t="s">
        <v>80</v>
      </c>
      <c r="C6" s="2445"/>
      <c r="D6" s="50" t="s">
        <v>5873</v>
      </c>
    </row>
    <row r="7" spans="1:8" ht="37.5" x14ac:dyDescent="0.4">
      <c r="B7" s="2446" t="s">
        <v>81</v>
      </c>
      <c r="C7" s="2446"/>
      <c r="D7" s="93" t="s">
        <v>5874</v>
      </c>
    </row>
    <row r="8" spans="1:8" x14ac:dyDescent="0.4">
      <c r="B8" s="2446" t="s">
        <v>82</v>
      </c>
      <c r="C8" s="2446"/>
      <c r="D8" s="1047" t="s">
        <v>5922</v>
      </c>
    </row>
    <row r="9" spans="1:8" ht="23.25" customHeight="1" x14ac:dyDescent="0.4"/>
    <row r="10" spans="1:8" ht="19.5" x14ac:dyDescent="0.4">
      <c r="B10" s="3270" t="s">
        <v>85</v>
      </c>
      <c r="C10" s="3270"/>
      <c r="D10" s="3270"/>
    </row>
    <row r="11" spans="1:8" ht="28.5" customHeight="1" x14ac:dyDescent="0.4">
      <c r="B11" s="2487" t="s">
        <v>86</v>
      </c>
      <c r="C11" s="2456"/>
      <c r="D11" s="49" t="s">
        <v>167</v>
      </c>
    </row>
    <row r="12" spans="1:8" ht="14.65" customHeight="1" x14ac:dyDescent="0.4">
      <c r="B12" s="2446" t="s">
        <v>88</v>
      </c>
      <c r="C12" s="2446"/>
      <c r="D12" s="755" t="s">
        <v>5937</v>
      </c>
    </row>
    <row r="13" spans="1:8" x14ac:dyDescent="0.4">
      <c r="B13" s="2445" t="s">
        <v>90</v>
      </c>
      <c r="C13" s="2445"/>
      <c r="D13" s="594" t="s">
        <v>5938</v>
      </c>
    </row>
    <row r="14" spans="1:8" x14ac:dyDescent="0.4">
      <c r="B14" s="2445" t="s">
        <v>91</v>
      </c>
      <c r="C14" s="2456"/>
      <c r="D14" s="54" t="s">
        <v>214</v>
      </c>
    </row>
    <row r="15" spans="1:8" ht="45" customHeight="1" x14ac:dyDescent="0.4">
      <c r="B15" s="2445" t="s">
        <v>93</v>
      </c>
      <c r="C15" s="2445"/>
      <c r="D15" s="594" t="s">
        <v>5939</v>
      </c>
    </row>
    <row r="16" spans="1:8" ht="38.25" customHeight="1" x14ac:dyDescent="0.4">
      <c r="B16" s="2445" t="s">
        <v>95</v>
      </c>
      <c r="C16" s="2445"/>
      <c r="D16" s="594"/>
    </row>
    <row r="17" spans="2:13" x14ac:dyDescent="0.4">
      <c r="B17" s="2445" t="s">
        <v>97</v>
      </c>
      <c r="C17" s="2445"/>
      <c r="D17" s="594" t="s">
        <v>98</v>
      </c>
    </row>
    <row r="18" spans="2:13" x14ac:dyDescent="0.4">
      <c r="B18" s="2446" t="s">
        <v>99</v>
      </c>
      <c r="C18" s="2446"/>
      <c r="D18" s="49" t="s">
        <v>140</v>
      </c>
    </row>
    <row r="19" spans="2:13" ht="37.5" x14ac:dyDescent="0.4">
      <c r="B19" s="2457" t="s">
        <v>100</v>
      </c>
      <c r="C19" s="2458"/>
      <c r="D19" s="594" t="s">
        <v>5940</v>
      </c>
    </row>
    <row r="20" spans="2:13" x14ac:dyDescent="0.4">
      <c r="B20" s="2445" t="s">
        <v>102</v>
      </c>
      <c r="C20" s="2445"/>
      <c r="D20" s="594" t="s">
        <v>140</v>
      </c>
    </row>
    <row r="21" spans="2:13" x14ac:dyDescent="0.4">
      <c r="B21" s="2451" t="s">
        <v>104</v>
      </c>
      <c r="C21" s="95" t="s">
        <v>105</v>
      </c>
      <c r="D21" s="594" t="s">
        <v>1457</v>
      </c>
      <c r="E21" s="120"/>
      <c r="F21" s="120"/>
      <c r="G21" s="120"/>
      <c r="H21" s="120"/>
      <c r="I21" s="120"/>
      <c r="J21" s="120"/>
      <c r="K21" s="120"/>
      <c r="L21" s="120"/>
      <c r="M21" s="120"/>
    </row>
    <row r="22" spans="2:13" x14ac:dyDescent="0.4">
      <c r="B22" s="2452"/>
      <c r="C22" s="96" t="s">
        <v>107</v>
      </c>
      <c r="D22" s="55"/>
    </row>
    <row r="23" spans="2:13" x14ac:dyDescent="0.4">
      <c r="B23" s="2445" t="s">
        <v>109</v>
      </c>
      <c r="C23" s="2445"/>
      <c r="D23" s="594" t="s">
        <v>143</v>
      </c>
    </row>
    <row r="24" spans="2:13" x14ac:dyDescent="0.4">
      <c r="B24" s="2445" t="s">
        <v>111</v>
      </c>
      <c r="C24" s="2445"/>
      <c r="D24" s="826" t="s">
        <v>127</v>
      </c>
    </row>
    <row r="25" spans="2:13" x14ac:dyDescent="0.4">
      <c r="B25" s="2445" t="s">
        <v>113</v>
      </c>
      <c r="C25" s="2445"/>
      <c r="D25" s="55" t="s">
        <v>144</v>
      </c>
    </row>
    <row r="26" spans="2:13" ht="15" customHeight="1" x14ac:dyDescent="0.4">
      <c r="B26" s="2446" t="s">
        <v>115</v>
      </c>
      <c r="C26" s="2446"/>
      <c r="D26" s="826" t="s">
        <v>5631</v>
      </c>
    </row>
    <row r="27" spans="2:13" ht="15" customHeight="1" x14ac:dyDescent="0.4">
      <c r="B27" s="2447" t="s">
        <v>117</v>
      </c>
      <c r="C27" s="2448"/>
      <c r="D27" s="49"/>
    </row>
    <row r="28" spans="2:13" ht="15" customHeight="1" x14ac:dyDescent="0.4">
      <c r="B28" s="97" t="s">
        <v>118</v>
      </c>
      <c r="C28" s="98"/>
      <c r="D28" s="594" t="s">
        <v>5941</v>
      </c>
    </row>
    <row r="29" spans="2:13" x14ac:dyDescent="0.4">
      <c r="B29" s="2449" t="s">
        <v>120</v>
      </c>
      <c r="C29" s="2450"/>
      <c r="D29" s="62"/>
    </row>
    <row r="30" spans="2:13" x14ac:dyDescent="0.4">
      <c r="B30" s="63"/>
      <c r="C30" s="63"/>
      <c r="D30" s="64"/>
    </row>
    <row r="31" spans="2:13" ht="19.5" x14ac:dyDescent="0.4">
      <c r="B31" s="3270" t="s">
        <v>121</v>
      </c>
      <c r="C31" s="3270"/>
      <c r="D31" s="3270"/>
    </row>
    <row r="32" spans="2:13" ht="23.25" customHeight="1" x14ac:dyDescent="0.4">
      <c r="B32" s="2447" t="s">
        <v>122</v>
      </c>
      <c r="C32" s="2448"/>
      <c r="D32" s="826" t="s">
        <v>123</v>
      </c>
    </row>
    <row r="33" spans="2:4" x14ac:dyDescent="0.4">
      <c r="B33" s="2447" t="s">
        <v>124</v>
      </c>
      <c r="C33" s="2448"/>
      <c r="D33" s="826" t="s">
        <v>1790</v>
      </c>
    </row>
    <row r="34" spans="2:4" x14ac:dyDescent="0.4">
      <c r="B34" s="2447" t="s">
        <v>126</v>
      </c>
      <c r="C34" s="2448"/>
      <c r="D34" s="826" t="s">
        <v>127</v>
      </c>
    </row>
    <row r="35" spans="2:4" x14ac:dyDescent="0.4">
      <c r="B35" s="2447" t="s">
        <v>128</v>
      </c>
      <c r="C35" s="2448"/>
      <c r="D35" s="826" t="s">
        <v>5942</v>
      </c>
    </row>
    <row r="36" spans="2:4" x14ac:dyDescent="0.4">
      <c r="B36" s="2447" t="s">
        <v>130</v>
      </c>
      <c r="C36" s="2448"/>
      <c r="D36" s="826"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7" xr:uid="{4132AC39-2A34-4C11-9B08-66DB5422D7D8}">
      <formula1>Tipo_operación</formula1>
    </dataValidation>
    <dataValidation type="list" allowBlank="1" showInputMessage="1" showErrorMessage="1" sqref="D14" xr:uid="{E7C3187C-2FB9-419A-B998-D9D0FCB1FC5E}">
      <formula1>Tipo_indicador</formula1>
    </dataValidation>
    <dataValidation type="list" allowBlank="1" showInputMessage="1" showErrorMessage="1" sqref="D7" xr:uid="{8358BC50-16E4-4B64-81FE-A35BAB7052BC}">
      <formula1>Nombre_indicador_ODS</formula1>
    </dataValidation>
    <dataValidation type="list" allowBlank="1" showInputMessage="1" showErrorMessage="1" sqref="D6" xr:uid="{5A093777-CD41-47C1-830B-A0121C0594DF}">
      <formula1>Numero_indicador</formula1>
    </dataValidation>
    <dataValidation type="list" allowBlank="1" showInputMessage="1" showErrorMessage="1" sqref="D5" xr:uid="{5F16AA8E-4C28-4C10-B435-4A3F9E0F596B}">
      <formula1>Metas_ODS</formula1>
    </dataValidation>
    <dataValidation type="list" allowBlank="1" showInputMessage="1" showErrorMessage="1" sqref="D4" xr:uid="{4B4BAE6C-CC7A-43AF-A960-AF595D340954}">
      <formula1>ODS</formula1>
    </dataValidation>
  </dataValidations>
  <hyperlinks>
    <hyperlink ref="B1" location="'11.1.1.c'!A1" display="REGRESAR" xr:uid="{AC647B98-C346-4310-826E-228D0CAFCE93}"/>
    <hyperlink ref="D8" r:id="rId1" xr:uid="{9DDC8C5B-556B-4418-AB47-A7F295595B29}"/>
  </hyperlinks>
  <pageMargins left="0.7" right="0.7" top="0.75" bottom="0.75" header="0.3" footer="0.3"/>
  <pageSetup orientation="portrait" horizontalDpi="4294967294" verticalDpi="4294967294" r:id="rId2"/>
  <drawing r:id="rId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97C-08BE-4DF0-AAA9-D4DB941D5FC3}">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2" width="16" style="1032" customWidth="1"/>
    <col min="3" max="3" width="11.7109375" style="1061" customWidth="1"/>
    <col min="4" max="6" width="11.7109375" style="1032" customWidth="1"/>
    <col min="7" max="16384" width="11.42578125" style="1032"/>
  </cols>
  <sheetData>
    <row r="1" spans="1:16" s="1432" customFormat="1" x14ac:dyDescent="0.25">
      <c r="A1" s="68" t="s">
        <v>39</v>
      </c>
      <c r="B1" s="1059"/>
      <c r="C1" s="2562" t="s">
        <v>149</v>
      </c>
      <c r="D1" s="2562"/>
    </row>
    <row r="2" spans="1:16" ht="14.25" customHeight="1" x14ac:dyDescent="0.4"/>
    <row r="3" spans="1:16" ht="22.9" customHeight="1" x14ac:dyDescent="0.4">
      <c r="A3" s="3271" t="s">
        <v>41</v>
      </c>
      <c r="B3" s="3274"/>
      <c r="C3" s="3271" t="s">
        <v>5871</v>
      </c>
      <c r="D3" s="3273"/>
      <c r="E3" s="3273"/>
      <c r="F3" s="3273"/>
      <c r="G3" s="3273"/>
      <c r="H3" s="3273"/>
      <c r="I3" s="3273"/>
      <c r="J3" s="3273"/>
      <c r="K3" s="3273"/>
      <c r="L3" s="3273"/>
      <c r="M3" s="3273"/>
      <c r="N3" s="3273"/>
      <c r="O3" s="3273"/>
      <c r="P3" s="3273"/>
    </row>
    <row r="4" spans="1:16" ht="38.450000000000003" customHeight="1" x14ac:dyDescent="0.4">
      <c r="A4" s="3271" t="s">
        <v>42</v>
      </c>
      <c r="B4" s="3272"/>
      <c r="C4" s="3271" t="s">
        <v>5875</v>
      </c>
      <c r="D4" s="3273"/>
      <c r="E4" s="3273"/>
      <c r="F4" s="3273"/>
      <c r="G4" s="3273"/>
      <c r="H4" s="3273"/>
      <c r="I4" s="3273"/>
      <c r="J4" s="3273"/>
      <c r="K4" s="3273"/>
      <c r="L4" s="3273"/>
      <c r="M4" s="3273"/>
      <c r="N4" s="3273"/>
      <c r="O4" s="3273"/>
      <c r="P4" s="3273"/>
    </row>
    <row r="5" spans="1:16" ht="20.45" customHeight="1" x14ac:dyDescent="0.4">
      <c r="A5" s="3271" t="s">
        <v>43</v>
      </c>
      <c r="B5" s="3272"/>
      <c r="C5" s="3271" t="s">
        <v>5877</v>
      </c>
      <c r="D5" s="3273"/>
      <c r="E5" s="3273"/>
      <c r="F5" s="3273"/>
      <c r="G5" s="3273"/>
      <c r="H5" s="3273"/>
      <c r="I5" s="3273"/>
      <c r="J5" s="3273"/>
      <c r="K5" s="3273"/>
      <c r="L5" s="3273"/>
      <c r="M5" s="3273"/>
      <c r="N5" s="3273"/>
      <c r="O5" s="3273"/>
      <c r="P5" s="3273"/>
    </row>
    <row r="6" spans="1:16" ht="21" customHeight="1" x14ac:dyDescent="0.4">
      <c r="A6" s="3271" t="s">
        <v>132</v>
      </c>
      <c r="B6" s="3272"/>
      <c r="C6" s="3271"/>
      <c r="D6" s="3273"/>
      <c r="E6" s="3273"/>
      <c r="F6" s="3273"/>
      <c r="G6" s="3273"/>
      <c r="H6" s="3273"/>
      <c r="I6" s="3273"/>
      <c r="J6" s="3273"/>
      <c r="K6" s="3273"/>
      <c r="L6" s="3273"/>
      <c r="M6" s="3273"/>
      <c r="N6" s="3273"/>
      <c r="O6" s="3273"/>
      <c r="P6" s="3273"/>
    </row>
    <row r="7" spans="1:16" x14ac:dyDescent="0.4">
      <c r="A7" s="1084"/>
    </row>
    <row r="8" spans="1:16" x14ac:dyDescent="0.4">
      <c r="A8" s="1084"/>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E6557A6F-B9EB-40E7-A2E0-DAF1099DF086}"/>
    <hyperlink ref="C1:D1" location="'Metadato 11.2.1'!A1" display="VER METADATO" xr:uid="{CA56E452-D3F4-46F7-923B-527B31D3990B}"/>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FFF5-42A4-48B8-853D-63E1FA3B01F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158" t="s">
        <v>39</v>
      </c>
    </row>
    <row r="2" spans="2:6" ht="19.5" thickBot="1" x14ac:dyDescent="0.45"/>
    <row r="3" spans="2:6" ht="23.25" customHeight="1" thickBot="1" x14ac:dyDescent="0.45">
      <c r="B3" s="3275" t="s">
        <v>75</v>
      </c>
      <c r="C3" s="3275"/>
      <c r="D3" s="3275"/>
      <c r="F3" s="1046" t="s">
        <v>244</v>
      </c>
    </row>
    <row r="4" spans="2:6" ht="37.5" x14ac:dyDescent="0.4">
      <c r="B4" s="2445" t="s">
        <v>234</v>
      </c>
      <c r="C4" s="2445"/>
      <c r="D4" s="49" t="s">
        <v>5921</v>
      </c>
    </row>
    <row r="5" spans="2:6" ht="60.75" customHeight="1" x14ac:dyDescent="0.4">
      <c r="B5" s="2445" t="s">
        <v>79</v>
      </c>
      <c r="C5" s="2445"/>
      <c r="D5" s="49" t="s">
        <v>5875</v>
      </c>
    </row>
    <row r="6" spans="2:6" x14ac:dyDescent="0.4">
      <c r="B6" s="2445" t="s">
        <v>80</v>
      </c>
      <c r="C6" s="2445"/>
      <c r="D6" s="50" t="s">
        <v>5876</v>
      </c>
    </row>
    <row r="7" spans="2:6" ht="37.5" x14ac:dyDescent="0.4">
      <c r="B7" s="2446" t="s">
        <v>81</v>
      </c>
      <c r="C7" s="2446"/>
      <c r="D7" s="93" t="s">
        <v>5591</v>
      </c>
    </row>
    <row r="8" spans="2:6" x14ac:dyDescent="0.4">
      <c r="B8" s="2446" t="s">
        <v>82</v>
      </c>
      <c r="C8" s="2446"/>
      <c r="D8" s="1047" t="s">
        <v>5943</v>
      </c>
    </row>
    <row r="10" spans="2:6" ht="23.25" customHeight="1" x14ac:dyDescent="0.4">
      <c r="B10" s="3275" t="s">
        <v>85</v>
      </c>
      <c r="C10" s="3275"/>
      <c r="D10" s="3275"/>
    </row>
    <row r="11" spans="2:6" x14ac:dyDescent="0.4">
      <c r="B11" s="2487" t="s">
        <v>86</v>
      </c>
      <c r="C11" s="2456"/>
      <c r="D11" s="49" t="s">
        <v>167</v>
      </c>
    </row>
    <row r="12" spans="2:6" ht="19.5" customHeight="1" x14ac:dyDescent="0.4">
      <c r="B12" s="2446" t="s">
        <v>88</v>
      </c>
      <c r="C12" s="2446"/>
      <c r="D12" s="184" t="s">
        <v>5944</v>
      </c>
    </row>
    <row r="13" spans="2:6" x14ac:dyDescent="0.4">
      <c r="B13" s="2445" t="s">
        <v>90</v>
      </c>
      <c r="C13" s="2445"/>
      <c r="D13" s="594" t="s">
        <v>5876</v>
      </c>
    </row>
    <row r="14" spans="2:6" x14ac:dyDescent="0.4">
      <c r="B14" s="2445" t="s">
        <v>91</v>
      </c>
      <c r="C14" s="2456"/>
      <c r="D14" s="54" t="s">
        <v>214</v>
      </c>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75" t="s">
        <v>121</v>
      </c>
      <c r="C31" s="3275"/>
      <c r="D31" s="3275"/>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0623F276-FDEA-4E09-9B02-7C238567C3CB}">
      <formula1>Tipo_operación</formula1>
    </dataValidation>
    <dataValidation type="list" allowBlank="1" showInputMessage="1" showErrorMessage="1" sqref="D14" xr:uid="{9793C6D3-E23A-461B-9FFF-8B811DB5F2BD}">
      <formula1>Tipo_indicador</formula1>
    </dataValidation>
    <dataValidation type="list" allowBlank="1" showInputMessage="1" showErrorMessage="1" sqref="D7" xr:uid="{54647044-8D63-4B0F-B22F-02EE794979CC}">
      <formula1>Nombre_indicador_ODS</formula1>
    </dataValidation>
    <dataValidation type="list" allowBlank="1" showInputMessage="1" showErrorMessage="1" sqref="D6" xr:uid="{81940E58-C0A1-48FD-85ED-2AF819EC3C23}">
      <formula1>Numero_indicador</formula1>
    </dataValidation>
    <dataValidation type="list" allowBlank="1" showInputMessage="1" showErrorMessage="1" sqref="D5" xr:uid="{5A66FE90-AD5F-400A-9579-67E55F013013}">
      <formula1>Metas_ODS</formula1>
    </dataValidation>
    <dataValidation type="list" allowBlank="1" showInputMessage="1" showErrorMessage="1" sqref="D4" xr:uid="{D0DF5A9D-E2DE-406C-BB1D-7077ED95C04C}">
      <formula1>ODS</formula1>
    </dataValidation>
  </dataValidations>
  <hyperlinks>
    <hyperlink ref="B1" location="'11.2.1'!A1" display="REGRESAR" xr:uid="{BDECAAA0-DEA8-467A-B3FE-449424A02782}"/>
    <hyperlink ref="D8" r:id="rId1" xr:uid="{DD7411FD-03AC-4E58-8FED-ABE28CA4A857}"/>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92190-4BD5-45A8-9E02-5A4637967CC2}">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42578125" style="1032" customWidth="1"/>
    <col min="2" max="2" width="18.7109375" style="1032" customWidth="1"/>
    <col min="3" max="3" width="11.7109375" style="1061" customWidth="1"/>
    <col min="4" max="6" width="11.7109375" style="1032" customWidth="1"/>
    <col min="7" max="16384" width="11.42578125" style="1032"/>
  </cols>
  <sheetData>
    <row r="1" spans="1:16" x14ac:dyDescent="0.4">
      <c r="A1" s="68" t="s">
        <v>39</v>
      </c>
      <c r="B1" s="1080"/>
      <c r="C1" s="2562" t="s">
        <v>149</v>
      </c>
      <c r="D1" s="2562"/>
    </row>
    <row r="3" spans="1:16" x14ac:dyDescent="0.4">
      <c r="A3" s="3271" t="s">
        <v>41</v>
      </c>
      <c r="B3" s="3274"/>
      <c r="C3" s="3271" t="s">
        <v>5871</v>
      </c>
      <c r="D3" s="3273"/>
      <c r="E3" s="3273"/>
      <c r="F3" s="3273"/>
      <c r="G3" s="3273"/>
      <c r="H3" s="3273"/>
      <c r="I3" s="3273"/>
      <c r="J3" s="3273"/>
      <c r="K3" s="3273"/>
      <c r="L3" s="3273"/>
      <c r="M3" s="3273"/>
      <c r="N3" s="3273"/>
      <c r="O3" s="3273"/>
      <c r="P3" s="3273"/>
    </row>
    <row r="4" spans="1:16" x14ac:dyDescent="0.4">
      <c r="A4" s="3271" t="s">
        <v>42</v>
      </c>
      <c r="B4" s="3272"/>
      <c r="C4" s="3271" t="s">
        <v>5878</v>
      </c>
      <c r="D4" s="3273"/>
      <c r="E4" s="3273"/>
      <c r="F4" s="3273"/>
      <c r="G4" s="3273"/>
      <c r="H4" s="3273"/>
      <c r="I4" s="3273"/>
      <c r="J4" s="3273"/>
      <c r="K4" s="3273"/>
      <c r="L4" s="3273"/>
      <c r="M4" s="3273"/>
      <c r="N4" s="3273"/>
      <c r="O4" s="3273"/>
      <c r="P4" s="3273"/>
    </row>
    <row r="5" spans="1:16" x14ac:dyDescent="0.4">
      <c r="A5" s="3271" t="s">
        <v>43</v>
      </c>
      <c r="B5" s="3272"/>
      <c r="C5" s="3271" t="s">
        <v>5880</v>
      </c>
      <c r="D5" s="3273"/>
      <c r="E5" s="3273"/>
      <c r="F5" s="3273"/>
      <c r="G5" s="3273"/>
      <c r="H5" s="3273"/>
      <c r="I5" s="3273"/>
      <c r="J5" s="3273"/>
      <c r="K5" s="3273"/>
      <c r="L5" s="3273"/>
      <c r="M5" s="3273"/>
      <c r="N5" s="3273"/>
      <c r="O5" s="3273"/>
      <c r="P5" s="3273"/>
    </row>
    <row r="6" spans="1:16" x14ac:dyDescent="0.4">
      <c r="A6" s="3271" t="s">
        <v>132</v>
      </c>
      <c r="B6" s="3272"/>
      <c r="C6" s="3271" t="s">
        <v>242</v>
      </c>
      <c r="D6" s="3273"/>
      <c r="E6" s="3273"/>
      <c r="F6" s="3273"/>
      <c r="G6" s="3273"/>
      <c r="H6" s="3273"/>
      <c r="I6" s="3273"/>
      <c r="J6" s="3273"/>
      <c r="K6" s="3273"/>
      <c r="L6" s="3273"/>
      <c r="M6" s="3273"/>
      <c r="N6" s="3273"/>
      <c r="O6" s="3273"/>
      <c r="P6" s="3273"/>
    </row>
    <row r="7" spans="1:16" x14ac:dyDescent="0.4">
      <c r="A7" s="1084"/>
    </row>
    <row r="8" spans="1:16" x14ac:dyDescent="0.4">
      <c r="A8" s="1084"/>
    </row>
    <row r="9" spans="1:16" ht="11.25" customHeight="1" x14ac:dyDescent="0.4">
      <c r="A9" s="1084"/>
      <c r="C9" s="2506" t="s">
        <v>243</v>
      </c>
      <c r="D9" s="2506"/>
      <c r="E9" s="2506"/>
      <c r="F9" s="2506"/>
      <c r="G9" s="2506"/>
      <c r="H9" s="2506"/>
      <c r="I9" s="2506"/>
      <c r="J9" s="2506"/>
      <c r="K9" s="2506"/>
      <c r="L9" s="2506"/>
      <c r="M9" s="2506"/>
      <c r="N9" s="2506"/>
      <c r="O9" s="2506"/>
      <c r="P9" s="2506"/>
    </row>
    <row r="10" spans="1:16" ht="11.25" customHeight="1" x14ac:dyDescent="0.4">
      <c r="A10" s="108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D4ED3A64-8582-48A6-9EAA-6E2F4F655D89}"/>
    <hyperlink ref="C1:D1" location="'Metadato 11.3.1'!A1" display="VER METADATO" xr:uid="{C3ACD4A8-00D9-4EA1-BE5C-CA9CFACE0431}"/>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A615-927C-4024-91AD-BCC8D0CAFFD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158" t="s">
        <v>39</v>
      </c>
    </row>
    <row r="2" spans="1:6" ht="19.5" thickBot="1" x14ac:dyDescent="0.45"/>
    <row r="3" spans="1:6" ht="23.25" customHeight="1" thickBot="1" x14ac:dyDescent="0.45">
      <c r="B3" s="3270" t="s">
        <v>75</v>
      </c>
      <c r="C3" s="3270"/>
      <c r="D3" s="3270"/>
      <c r="F3" s="1046" t="s">
        <v>244</v>
      </c>
    </row>
    <row r="4" spans="1:6" ht="37.5" x14ac:dyDescent="0.4">
      <c r="A4" s="283"/>
      <c r="B4" s="2445" t="s">
        <v>234</v>
      </c>
      <c r="C4" s="2445"/>
      <c r="D4" s="49" t="s">
        <v>5921</v>
      </c>
    </row>
    <row r="5" spans="1:6" ht="37.5" x14ac:dyDescent="0.4">
      <c r="B5" s="2445" t="s">
        <v>79</v>
      </c>
      <c r="C5" s="2445"/>
      <c r="D5" s="49" t="s">
        <v>5878</v>
      </c>
    </row>
    <row r="6" spans="1:6" x14ac:dyDescent="0.4">
      <c r="B6" s="2445" t="s">
        <v>80</v>
      </c>
      <c r="C6" s="2445"/>
      <c r="D6" s="50" t="s">
        <v>5879</v>
      </c>
    </row>
    <row r="7" spans="1:6" x14ac:dyDescent="0.4">
      <c r="B7" s="2446" t="s">
        <v>81</v>
      </c>
      <c r="C7" s="2446"/>
      <c r="D7" s="93" t="s">
        <v>5880</v>
      </c>
    </row>
    <row r="8" spans="1:6" x14ac:dyDescent="0.4">
      <c r="B8" s="2446" t="s">
        <v>82</v>
      </c>
      <c r="C8" s="2446"/>
      <c r="D8" s="1047" t="s">
        <v>5945</v>
      </c>
    </row>
    <row r="10" spans="1:6" ht="23.25" customHeight="1" x14ac:dyDescent="0.4">
      <c r="B10" s="3270" t="s">
        <v>85</v>
      </c>
      <c r="C10" s="3270"/>
      <c r="D10" s="3270"/>
    </row>
    <row r="11" spans="1:6" x14ac:dyDescent="0.4">
      <c r="B11" s="2487" t="s">
        <v>86</v>
      </c>
      <c r="C11" s="2456"/>
      <c r="D11" s="49"/>
    </row>
    <row r="12" spans="1:6" x14ac:dyDescent="0.4">
      <c r="B12" s="2446" t="s">
        <v>88</v>
      </c>
      <c r="C12" s="2446"/>
      <c r="D12" s="184"/>
    </row>
    <row r="13" spans="1:6" x14ac:dyDescent="0.4">
      <c r="B13" s="2445" t="s">
        <v>90</v>
      </c>
      <c r="C13" s="2445"/>
      <c r="D13" s="54"/>
    </row>
    <row r="14" spans="1:6" x14ac:dyDescent="0.4">
      <c r="B14" s="2445" t="s">
        <v>91</v>
      </c>
      <c r="C14" s="2456"/>
      <c r="D14" s="54"/>
    </row>
    <row r="15" spans="1:6" x14ac:dyDescent="0.4">
      <c r="B15" s="2445" t="s">
        <v>93</v>
      </c>
      <c r="C15" s="2445"/>
      <c r="D15" s="49"/>
    </row>
    <row r="16" spans="1: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571B8D2-A781-4B9E-86A6-728FD85B29CE}">
      <formula1>Tipo_operación</formula1>
    </dataValidation>
    <dataValidation type="list" allowBlank="1" showInputMessage="1" showErrorMessage="1" sqref="D14" xr:uid="{80D96757-5D1D-4718-9CAB-749547F4E398}">
      <formula1>Tipo_indicador</formula1>
    </dataValidation>
    <dataValidation type="list" allowBlank="1" showInputMessage="1" showErrorMessage="1" sqref="D7" xr:uid="{B4BFF6BB-8B88-4E18-80B4-1B4BEF66E835}">
      <formula1>Nombre_indicador_ODS</formula1>
    </dataValidation>
    <dataValidation type="list" allowBlank="1" showInputMessage="1" showErrorMessage="1" sqref="D6" xr:uid="{A75CE5DE-6C8C-4987-BDA1-27F52D5DC488}">
      <formula1>Numero_indicador</formula1>
    </dataValidation>
    <dataValidation type="list" allowBlank="1" showInputMessage="1" showErrorMessage="1" sqref="D5" xr:uid="{8E30F042-56CC-456D-8084-94F176800928}">
      <formula1>Metas_ODS</formula1>
    </dataValidation>
    <dataValidation type="list" allowBlank="1" showInputMessage="1" showErrorMessage="1" sqref="D4" xr:uid="{F0F00669-645F-412B-A1C7-4506D5D3DDAA}">
      <formula1>ODS</formula1>
    </dataValidation>
    <dataValidation allowBlank="1" showDropDown="1" showInputMessage="1" showErrorMessage="1" sqref="D13" xr:uid="{9CB024AC-78F4-4E54-9FA5-4834ACE3EE45}"/>
  </dataValidations>
  <hyperlinks>
    <hyperlink ref="B1" location="'11.3.1'!A1" display="REGRESAR" xr:uid="{12A5C559-66A1-45E9-9088-66A1B3D45A71}"/>
    <hyperlink ref="D8" r:id="rId1" xr:uid="{284A2A8B-E421-4D48-8B89-C90E13FF311D}"/>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1E1EF-2741-45F3-9045-DE40B2BECB62}">
  <dimension ref="A1:P57"/>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1.28515625" style="1048" customWidth="1"/>
    <col min="4" max="4" width="15.42578125" style="115" customWidth="1"/>
    <col min="5" max="8" width="11.28515625" style="115" customWidth="1"/>
    <col min="9" max="16384" width="11.42578125" style="115"/>
  </cols>
  <sheetData>
    <row r="1" spans="1:16" s="1032" customFormat="1" ht="19.5" x14ac:dyDescent="0.4">
      <c r="A1" s="68" t="s">
        <v>39</v>
      </c>
      <c r="B1" s="1080"/>
      <c r="C1" s="2562" t="s">
        <v>149</v>
      </c>
      <c r="D1" s="2562"/>
    </row>
    <row r="2" spans="1:16" s="1032" customFormat="1" ht="19.5" x14ac:dyDescent="0.4">
      <c r="C2" s="1061"/>
    </row>
    <row r="3" spans="1:16" s="1032" customFormat="1" ht="19.5" x14ac:dyDescent="0.4">
      <c r="A3" s="3271" t="s">
        <v>41</v>
      </c>
      <c r="B3" s="3274"/>
      <c r="C3" s="3271" t="s">
        <v>5871</v>
      </c>
      <c r="D3" s="3273"/>
      <c r="E3" s="3273"/>
      <c r="F3" s="3273"/>
      <c r="G3" s="3273"/>
      <c r="H3" s="3273"/>
      <c r="I3" s="3273"/>
      <c r="J3" s="3273"/>
      <c r="K3" s="3273"/>
      <c r="L3" s="3273"/>
      <c r="M3" s="3273"/>
      <c r="N3" s="3273"/>
      <c r="O3" s="3273"/>
      <c r="P3" s="3273"/>
    </row>
    <row r="4" spans="1:16" s="1032" customFormat="1" ht="15" customHeight="1" x14ac:dyDescent="0.4">
      <c r="A4" s="3271" t="s">
        <v>42</v>
      </c>
      <c r="B4" s="3272"/>
      <c r="C4" s="3271" t="s">
        <v>5946</v>
      </c>
      <c r="D4" s="3273"/>
      <c r="E4" s="3273"/>
      <c r="F4" s="3273"/>
      <c r="G4" s="3273"/>
      <c r="H4" s="3273"/>
      <c r="I4" s="3273"/>
      <c r="J4" s="3273"/>
      <c r="K4" s="3273"/>
      <c r="L4" s="3273"/>
      <c r="M4" s="3273"/>
      <c r="N4" s="3273"/>
      <c r="O4" s="3273"/>
      <c r="P4" s="3273"/>
    </row>
    <row r="5" spans="1:16" s="1032" customFormat="1" ht="19.5" x14ac:dyDescent="0.4">
      <c r="A5" s="3271" t="s">
        <v>43</v>
      </c>
      <c r="B5" s="3272"/>
      <c r="C5" s="3271" t="s">
        <v>5882</v>
      </c>
      <c r="D5" s="3273"/>
      <c r="E5" s="3273"/>
      <c r="F5" s="3273"/>
      <c r="G5" s="3273"/>
      <c r="H5" s="3273"/>
      <c r="I5" s="3273"/>
      <c r="J5" s="3273"/>
      <c r="K5" s="3273"/>
      <c r="L5" s="3273"/>
      <c r="M5" s="3273"/>
      <c r="N5" s="3273"/>
      <c r="O5" s="3273"/>
      <c r="P5" s="3273"/>
    </row>
    <row r="6" spans="1:16" s="1032" customFormat="1" ht="19.5" x14ac:dyDescent="0.4">
      <c r="A6" s="3271" t="s">
        <v>132</v>
      </c>
      <c r="B6" s="3272"/>
      <c r="C6" s="3271" t="s">
        <v>5947</v>
      </c>
      <c r="D6" s="3273"/>
      <c r="E6" s="3273"/>
      <c r="F6" s="3273"/>
      <c r="G6" s="3273"/>
      <c r="H6" s="3273"/>
      <c r="I6" s="3273"/>
      <c r="J6" s="3273"/>
      <c r="K6" s="3273"/>
      <c r="L6" s="3273"/>
      <c r="M6" s="3273"/>
      <c r="N6" s="3273"/>
      <c r="O6" s="3273"/>
      <c r="P6" s="3273"/>
    </row>
    <row r="7" spans="1:16" s="1032" customFormat="1" ht="19.5" x14ac:dyDescent="0.4">
      <c r="A7" s="1084"/>
      <c r="C7" s="1061"/>
    </row>
    <row r="8" spans="1:16" s="1032" customFormat="1" ht="19.5" x14ac:dyDescent="0.4">
      <c r="A8" s="1084"/>
      <c r="C8" s="1061"/>
    </row>
    <row r="9" spans="1:16" s="1032" customFormat="1" ht="28.5" customHeight="1" x14ac:dyDescent="0.4">
      <c r="C9" s="138" t="s">
        <v>5947</v>
      </c>
      <c r="D9" s="138"/>
      <c r="E9" s="138"/>
    </row>
    <row r="10" spans="1:16" x14ac:dyDescent="0.4">
      <c r="C10" s="1691" t="s">
        <v>46</v>
      </c>
      <c r="D10" s="1691" t="s">
        <v>5948</v>
      </c>
      <c r="E10" s="1691" t="s">
        <v>47</v>
      </c>
    </row>
    <row r="11" spans="1:16" x14ac:dyDescent="0.4">
      <c r="C11" s="3276">
        <v>2020</v>
      </c>
      <c r="D11" s="1692" t="s">
        <v>5949</v>
      </c>
      <c r="E11" s="1578">
        <v>17</v>
      </c>
    </row>
    <row r="12" spans="1:16" x14ac:dyDescent="0.4">
      <c r="C12" s="3276"/>
      <c r="D12" s="1692" t="s">
        <v>5950</v>
      </c>
      <c r="E12" s="1578">
        <v>24</v>
      </c>
    </row>
    <row r="13" spans="1:16" x14ac:dyDescent="0.4">
      <c r="C13" s="3277"/>
      <c r="D13" s="1692" t="s">
        <v>5951</v>
      </c>
      <c r="E13" s="1578">
        <v>41</v>
      </c>
    </row>
    <row r="14" spans="1:16" x14ac:dyDescent="0.4">
      <c r="C14" s="3276">
        <v>2021</v>
      </c>
      <c r="D14" s="1692" t="s">
        <v>5949</v>
      </c>
      <c r="E14" s="1578">
        <v>16</v>
      </c>
    </row>
    <row r="15" spans="1:16" x14ac:dyDescent="0.4">
      <c r="C15" s="3276"/>
      <c r="D15" s="1692" t="s">
        <v>5950</v>
      </c>
      <c r="E15" s="1578">
        <v>25</v>
      </c>
    </row>
    <row r="16" spans="1:16" x14ac:dyDescent="0.4">
      <c r="C16" s="3277"/>
      <c r="D16" s="1692" t="s">
        <v>5951</v>
      </c>
      <c r="E16" s="1578">
        <v>41</v>
      </c>
    </row>
    <row r="17" spans="3:5" x14ac:dyDescent="0.4">
      <c r="C17" s="3276">
        <v>2022</v>
      </c>
      <c r="D17" s="1692" t="s">
        <v>5949</v>
      </c>
      <c r="E17" s="1578">
        <v>17</v>
      </c>
    </row>
    <row r="18" spans="3:5" x14ac:dyDescent="0.4">
      <c r="C18" s="3276"/>
      <c r="D18" s="1692" t="s">
        <v>5950</v>
      </c>
      <c r="E18" s="1578">
        <v>25</v>
      </c>
    </row>
    <row r="19" spans="3:5" x14ac:dyDescent="0.4">
      <c r="C19" s="3277"/>
      <c r="D19" s="1692" t="s">
        <v>5951</v>
      </c>
      <c r="E19" s="1578">
        <v>40</v>
      </c>
    </row>
    <row r="20" spans="3:5" x14ac:dyDescent="0.4">
      <c r="C20" s="3276">
        <v>2023</v>
      </c>
      <c r="D20" s="1692" t="s">
        <v>5949</v>
      </c>
      <c r="E20" s="1578">
        <v>22</v>
      </c>
    </row>
    <row r="21" spans="3:5" x14ac:dyDescent="0.4">
      <c r="C21" s="3276"/>
      <c r="D21" s="1692" t="s">
        <v>5950</v>
      </c>
      <c r="E21" s="1578">
        <v>21</v>
      </c>
    </row>
    <row r="22" spans="3:5" x14ac:dyDescent="0.4">
      <c r="C22" s="3277"/>
      <c r="D22" s="1692" t="s">
        <v>5951</v>
      </c>
      <c r="E22" s="1578">
        <v>41</v>
      </c>
    </row>
    <row r="23" spans="3:5" x14ac:dyDescent="0.4">
      <c r="C23" s="3276">
        <v>2024</v>
      </c>
      <c r="D23" s="1692" t="s">
        <v>5949</v>
      </c>
      <c r="E23" s="1578">
        <v>22</v>
      </c>
    </row>
    <row r="24" spans="3:5" x14ac:dyDescent="0.4">
      <c r="C24" s="3276"/>
      <c r="D24" s="1692" t="s">
        <v>5950</v>
      </c>
      <c r="E24" s="1578">
        <v>21</v>
      </c>
    </row>
    <row r="25" spans="3:5" x14ac:dyDescent="0.4">
      <c r="C25" s="3277"/>
      <c r="D25" s="1693" t="s">
        <v>5951</v>
      </c>
      <c r="E25" s="1694">
        <v>41</v>
      </c>
    </row>
    <row r="26" spans="3:5" x14ac:dyDescent="0.4">
      <c r="C26" s="1692" t="s">
        <v>5952</v>
      </c>
      <c r="D26" s="1692"/>
      <c r="E26" s="1578"/>
    </row>
    <row r="27" spans="3:5" x14ac:dyDescent="0.4">
      <c r="C27" s="1695"/>
      <c r="D27" s="1692"/>
      <c r="E27" s="1578"/>
    </row>
    <row r="28" spans="3:5" x14ac:dyDescent="0.4">
      <c r="C28" s="1695"/>
      <c r="D28" s="1692"/>
      <c r="E28" s="1578"/>
    </row>
    <row r="29" spans="3:5" x14ac:dyDescent="0.4">
      <c r="C29" s="1695"/>
      <c r="D29" s="1692"/>
      <c r="E29" s="1578"/>
    </row>
    <row r="30" spans="3:5" x14ac:dyDescent="0.4">
      <c r="C30" s="1695"/>
      <c r="D30" s="1692"/>
      <c r="E30" s="1578"/>
    </row>
    <row r="31" spans="3:5" x14ac:dyDescent="0.4">
      <c r="C31" s="1695"/>
      <c r="D31" s="1692"/>
      <c r="E31" s="1578"/>
    </row>
    <row r="32" spans="3:5" x14ac:dyDescent="0.4">
      <c r="C32" s="1695"/>
      <c r="D32" s="1692"/>
      <c r="E32" s="1578"/>
    </row>
    <row r="33" spans="3:5" x14ac:dyDescent="0.4">
      <c r="C33" s="1696"/>
      <c r="D33" s="1696"/>
      <c r="E33" s="1696"/>
    </row>
    <row r="37" spans="3:5" ht="19.5" x14ac:dyDescent="0.4">
      <c r="C37" s="266" t="s">
        <v>5953</v>
      </c>
    </row>
    <row r="52" spans="3:9" x14ac:dyDescent="0.4">
      <c r="C52" s="3278" t="s">
        <v>5952</v>
      </c>
      <c r="D52" s="3278"/>
      <c r="E52" s="3278"/>
      <c r="F52" s="3278"/>
      <c r="G52" s="3278"/>
      <c r="H52" s="3278"/>
      <c r="I52" s="3278"/>
    </row>
    <row r="57" spans="3:9" ht="10.5" customHeight="1" x14ac:dyDescent="0.4">
      <c r="C57" s="115"/>
    </row>
  </sheetData>
  <mergeCells count="15">
    <mergeCell ref="A5:B5"/>
    <mergeCell ref="C5:P5"/>
    <mergeCell ref="C1:D1"/>
    <mergeCell ref="A3:B3"/>
    <mergeCell ref="C3:P3"/>
    <mergeCell ref="A4:B4"/>
    <mergeCell ref="C4:P4"/>
    <mergeCell ref="C23:C25"/>
    <mergeCell ref="C52:I52"/>
    <mergeCell ref="A6:B6"/>
    <mergeCell ref="C6:P6"/>
    <mergeCell ref="C11:C13"/>
    <mergeCell ref="C14:C16"/>
    <mergeCell ref="C17:C19"/>
    <mergeCell ref="C20:C22"/>
  </mergeCells>
  <hyperlinks>
    <hyperlink ref="A1" location="'ODS 11.'!A1" display="REGRESAR" xr:uid="{5EDECDCC-75EC-4D41-9B4C-495C15FCBD3C}"/>
    <hyperlink ref="C1:D1" location="'Metadato 11.3.2'!A1" display="VER METADATO" xr:uid="{E11EC894-5DC2-41A7-B2C7-EAF8931CB51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0A00-E8C9-43A0-AB14-DDF76560C67D}">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7.28515625" style="222" customWidth="1"/>
    <col min="2" max="2" width="26.42578125" style="222" customWidth="1"/>
    <col min="3" max="3" width="24" style="222" customWidth="1"/>
    <col min="4" max="4" width="85.7109375" style="222" customWidth="1"/>
    <col min="5" max="5" width="7.7109375" style="222" customWidth="1"/>
    <col min="6" max="6" width="7.28515625" style="222" customWidth="1"/>
    <col min="7" max="7" width="6.28515625" style="222" customWidth="1"/>
    <col min="8" max="8" width="6.7109375" style="222" customWidth="1"/>
    <col min="9" max="9" width="2" style="222" customWidth="1"/>
    <col min="10" max="10" width="10.28515625" style="222" customWidth="1"/>
    <col min="11" max="11" width="7.7109375" style="222" customWidth="1"/>
    <col min="12" max="12" width="10.28515625" style="222" customWidth="1"/>
    <col min="13" max="13" width="0.7109375" style="222" customWidth="1"/>
    <col min="14" max="14" width="6.7109375" style="222" customWidth="1"/>
    <col min="15" max="15" width="6.42578125" style="222" customWidth="1"/>
    <col min="16"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265</v>
      </c>
    </row>
    <row r="4" spans="1:6" ht="30" customHeight="1" x14ac:dyDescent="0.25">
      <c r="A4" s="224"/>
      <c r="B4" s="2445" t="s">
        <v>234</v>
      </c>
      <c r="C4" s="2445"/>
      <c r="D4" s="49" t="s">
        <v>396</v>
      </c>
    </row>
    <row r="5" spans="1:6" ht="56.25" x14ac:dyDescent="0.25">
      <c r="B5" s="2445" t="s">
        <v>79</v>
      </c>
      <c r="C5" s="2445"/>
      <c r="D5" s="49" t="s">
        <v>506</v>
      </c>
    </row>
    <row r="6" spans="1:6" x14ac:dyDescent="0.25">
      <c r="B6" s="2445" t="s">
        <v>80</v>
      </c>
      <c r="C6" s="2445"/>
      <c r="D6" s="50" t="s">
        <v>400</v>
      </c>
    </row>
    <row r="7" spans="1:6" ht="37.5" x14ac:dyDescent="0.25">
      <c r="B7" s="2446" t="s">
        <v>81</v>
      </c>
      <c r="C7" s="2446"/>
      <c r="D7" s="49" t="s">
        <v>507</v>
      </c>
    </row>
    <row r="8" spans="1:6" x14ac:dyDescent="0.25">
      <c r="B8" s="2474" t="s">
        <v>82</v>
      </c>
      <c r="C8" s="2474"/>
      <c r="D8" s="310" t="s">
        <v>508</v>
      </c>
    </row>
    <row r="9" spans="1:6" x14ac:dyDescent="0.25">
      <c r="B9" s="2474"/>
      <c r="C9" s="2474"/>
      <c r="D9" s="94"/>
    </row>
    <row r="10" spans="1:6" ht="23.25" customHeight="1" x14ac:dyDescent="0.4">
      <c r="B10" s="5"/>
      <c r="C10" s="5"/>
      <c r="D10" s="5"/>
    </row>
    <row r="11" spans="1:6" ht="19.5" x14ac:dyDescent="0.25">
      <c r="B11" s="2514" t="s">
        <v>85</v>
      </c>
      <c r="C11" s="2514"/>
      <c r="D11" s="2514"/>
    </row>
    <row r="12" spans="1:6" ht="15" customHeight="1" x14ac:dyDescent="0.25">
      <c r="B12" s="2453" t="s">
        <v>86</v>
      </c>
      <c r="C12" s="2454"/>
      <c r="D12" s="49" t="s">
        <v>167</v>
      </c>
    </row>
    <row r="13" spans="1:6" ht="37.5" x14ac:dyDescent="0.25">
      <c r="B13" s="2455" t="s">
        <v>88</v>
      </c>
      <c r="C13" s="2455"/>
      <c r="D13" s="184" t="s">
        <v>507</v>
      </c>
    </row>
    <row r="14" spans="1:6" x14ac:dyDescent="0.25">
      <c r="B14" s="2445" t="s">
        <v>90</v>
      </c>
      <c r="C14" s="2445"/>
      <c r="D14" s="54" t="s">
        <v>400</v>
      </c>
    </row>
    <row r="15" spans="1:6" x14ac:dyDescent="0.25">
      <c r="B15" s="2445" t="s">
        <v>91</v>
      </c>
      <c r="C15" s="2456"/>
      <c r="D15" s="54" t="s">
        <v>214</v>
      </c>
    </row>
    <row r="16" spans="1:6" ht="131.25" x14ac:dyDescent="0.25">
      <c r="B16" s="2445" t="s">
        <v>93</v>
      </c>
      <c r="C16" s="2445"/>
      <c r="D16" s="56" t="s">
        <v>509</v>
      </c>
    </row>
    <row r="17" spans="2:4" ht="56.25" x14ac:dyDescent="0.4">
      <c r="B17" s="2445" t="s">
        <v>95</v>
      </c>
      <c r="C17" s="2445"/>
      <c r="D17" s="203" t="s">
        <v>510</v>
      </c>
    </row>
    <row r="18" spans="2:4" x14ac:dyDescent="0.25">
      <c r="B18" s="2445" t="s">
        <v>97</v>
      </c>
      <c r="C18" s="2445"/>
      <c r="D18" s="56" t="s">
        <v>238</v>
      </c>
    </row>
    <row r="19" spans="2:4" ht="15" customHeight="1" x14ac:dyDescent="0.25">
      <c r="B19" s="2446" t="s">
        <v>99</v>
      </c>
      <c r="C19" s="2446"/>
      <c r="D19" s="49" t="s">
        <v>511</v>
      </c>
    </row>
    <row r="20" spans="2:4" x14ac:dyDescent="0.25">
      <c r="B20" s="2457" t="s">
        <v>100</v>
      </c>
      <c r="C20" s="2458"/>
      <c r="D20" s="56" t="s">
        <v>512</v>
      </c>
    </row>
    <row r="21" spans="2:4" x14ac:dyDescent="0.25">
      <c r="B21" s="2445" t="s">
        <v>102</v>
      </c>
      <c r="C21" s="2445"/>
      <c r="D21" s="56" t="s">
        <v>140</v>
      </c>
    </row>
    <row r="22" spans="2:4" x14ac:dyDescent="0.25">
      <c r="B22" s="2451" t="s">
        <v>104</v>
      </c>
      <c r="C22" s="95" t="s">
        <v>105</v>
      </c>
      <c r="D22" s="49" t="s">
        <v>513</v>
      </c>
    </row>
    <row r="23" spans="2:4" x14ac:dyDescent="0.25">
      <c r="B23" s="2452"/>
      <c r="C23" s="96" t="s">
        <v>107</v>
      </c>
      <c r="D23" s="56" t="s">
        <v>514</v>
      </c>
    </row>
    <row r="24" spans="2:4" x14ac:dyDescent="0.25">
      <c r="B24" s="2444" t="s">
        <v>109</v>
      </c>
      <c r="C24" s="2444"/>
      <c r="D24" s="56" t="s">
        <v>515</v>
      </c>
    </row>
    <row r="25" spans="2:4" x14ac:dyDescent="0.25">
      <c r="B25" s="2444" t="s">
        <v>111</v>
      </c>
      <c r="C25" s="2444"/>
      <c r="D25" s="59" t="s">
        <v>127</v>
      </c>
    </row>
    <row r="26" spans="2:4" x14ac:dyDescent="0.25">
      <c r="B26" s="2445" t="s">
        <v>113</v>
      </c>
      <c r="C26" s="2445"/>
      <c r="D26" s="56" t="s">
        <v>144</v>
      </c>
    </row>
    <row r="27" spans="2:4" ht="19.149999999999999" customHeight="1" x14ac:dyDescent="0.25">
      <c r="B27" s="2446" t="s">
        <v>115</v>
      </c>
      <c r="C27" s="2446"/>
      <c r="D27" s="59" t="s">
        <v>516</v>
      </c>
    </row>
    <row r="28" spans="2:4" ht="37.5" x14ac:dyDescent="0.25">
      <c r="B28" s="2447" t="s">
        <v>117</v>
      </c>
      <c r="C28" s="2448"/>
      <c r="D28" s="49" t="s">
        <v>517</v>
      </c>
    </row>
    <row r="29" spans="2:4" ht="56.25" x14ac:dyDescent="0.25">
      <c r="B29" s="97" t="s">
        <v>118</v>
      </c>
      <c r="C29" s="98"/>
      <c r="D29" s="49" t="s">
        <v>518</v>
      </c>
    </row>
    <row r="30" spans="2:4" x14ac:dyDescent="0.25">
      <c r="B30" s="2449" t="s">
        <v>120</v>
      </c>
      <c r="C30" s="2450"/>
      <c r="D30" s="311" t="s">
        <v>519</v>
      </c>
    </row>
    <row r="31" spans="2:4" ht="23.25" customHeight="1" x14ac:dyDescent="0.25">
      <c r="B31" s="63"/>
      <c r="C31" s="63"/>
      <c r="D31" s="64"/>
    </row>
    <row r="32" spans="2:4" ht="19.5" x14ac:dyDescent="0.25">
      <c r="B32" s="2514" t="s">
        <v>121</v>
      </c>
      <c r="C32" s="2514"/>
      <c r="D32" s="2514"/>
    </row>
    <row r="33" spans="2:4" x14ac:dyDescent="0.25">
      <c r="B33" s="2442" t="s">
        <v>122</v>
      </c>
      <c r="C33" s="2443"/>
      <c r="D33" s="59" t="s">
        <v>520</v>
      </c>
    </row>
    <row r="34" spans="2:4" x14ac:dyDescent="0.25">
      <c r="B34" s="2442" t="s">
        <v>124</v>
      </c>
      <c r="C34" s="2443"/>
      <c r="D34" s="59" t="s">
        <v>521</v>
      </c>
    </row>
    <row r="35" spans="2:4" x14ac:dyDescent="0.25">
      <c r="B35" s="2442" t="s">
        <v>126</v>
      </c>
      <c r="C35" s="2443"/>
      <c r="D35" s="59" t="s">
        <v>522</v>
      </c>
    </row>
    <row r="36" spans="2:4" x14ac:dyDescent="0.25">
      <c r="B36" s="2442" t="s">
        <v>128</v>
      </c>
      <c r="C36" s="2443"/>
      <c r="D36" s="59">
        <v>22560255</v>
      </c>
    </row>
    <row r="37" spans="2:4" x14ac:dyDescent="0.25">
      <c r="B37" s="2442" t="s">
        <v>130</v>
      </c>
      <c r="C37" s="2443"/>
      <c r="D37" s="65" t="s">
        <v>523</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1BA75C18-4D38-468F-8255-87EF191CBCE2}">
      <formula1>Tipo_operación</formula1>
    </dataValidation>
    <dataValidation type="list" allowBlank="1" showInputMessage="1" showErrorMessage="1" sqref="D15" xr:uid="{8BCAC100-5718-4648-A894-9F985521D727}">
      <formula1>Tipo_indicador</formula1>
    </dataValidation>
    <dataValidation type="list" allowBlank="1" showInputMessage="1" showErrorMessage="1" sqref="D7" xr:uid="{6AE67C6B-9D54-4DD7-A102-5F441611273F}">
      <formula1>Nombre_indicador_ODS</formula1>
    </dataValidation>
    <dataValidation type="list" allowBlank="1" showInputMessage="1" showErrorMessage="1" sqref="D6" xr:uid="{E5EDE53D-1DD9-49A6-A10A-3A564B18BE24}">
      <formula1>Numero_indicador</formula1>
    </dataValidation>
    <dataValidation type="list" allowBlank="1" showInputMessage="1" showErrorMessage="1" sqref="D5" xr:uid="{C6C57A07-2568-49F4-92DA-30E9CB59DF15}">
      <formula1>Metas_ODS</formula1>
    </dataValidation>
    <dataValidation type="list" allowBlank="1" showInputMessage="1" showErrorMessage="1" sqref="D4" xr:uid="{04BDA292-EC3C-4F56-9361-69600DF17EF1}">
      <formula1>ODS</formula1>
    </dataValidation>
    <dataValidation allowBlank="1" showDropDown="1" showInputMessage="1" showErrorMessage="1" sqref="D14" xr:uid="{C56B5EA3-1540-4B40-855D-654F6B1FCEFB}"/>
  </dataValidations>
  <hyperlinks>
    <hyperlink ref="B1" location="'2.1.2'!A1" display="REGRESAR" xr:uid="{BD064088-A0FB-4938-BEDD-FAB90C8D2891}"/>
    <hyperlink ref="D30" r:id="rId1" xr:uid="{B75D253D-913B-4AD8-B002-09CBE2B6A602}"/>
    <hyperlink ref="D37" r:id="rId2" xr:uid="{70E5F80B-8459-4447-BE60-D759E76ED6D2}"/>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76BC-5535-407D-9636-0653FB0B9CEB}">
  <sheetPr>
    <tabColor theme="0" tint="-0.499984740745262"/>
  </sheetPr>
  <dimension ref="B1:F36"/>
  <sheetViews>
    <sheetView showGridLines="0" zoomScaleNormal="100" workbookViewId="0">
      <pane ySplit="1" topLeftCell="A24"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158" t="s">
        <v>39</v>
      </c>
    </row>
    <row r="2" spans="2:6" ht="19.5" thickBot="1" x14ac:dyDescent="0.45"/>
    <row r="3" spans="2:6" ht="23.25" customHeight="1" thickBot="1" x14ac:dyDescent="0.45">
      <c r="B3" s="3270" t="s">
        <v>75</v>
      </c>
      <c r="C3" s="3270"/>
      <c r="D3" s="3270"/>
      <c r="F3" s="1046" t="s">
        <v>244</v>
      </c>
    </row>
    <row r="4" spans="2:6" ht="37.5" x14ac:dyDescent="0.4">
      <c r="B4" s="2445" t="s">
        <v>234</v>
      </c>
      <c r="C4" s="2445"/>
      <c r="D4" s="49" t="s">
        <v>5921</v>
      </c>
    </row>
    <row r="5" spans="2:6" ht="37.5" x14ac:dyDescent="0.4">
      <c r="B5" s="2445" t="s">
        <v>79</v>
      </c>
      <c r="C5" s="2445"/>
      <c r="D5" s="49" t="s">
        <v>5878</v>
      </c>
    </row>
    <row r="6" spans="2:6" x14ac:dyDescent="0.4">
      <c r="B6" s="2445" t="s">
        <v>80</v>
      </c>
      <c r="C6" s="2445"/>
      <c r="D6" s="50" t="s">
        <v>5881</v>
      </c>
    </row>
    <row r="7" spans="2:6" ht="56.25" x14ac:dyDescent="0.4">
      <c r="B7" s="2446" t="s">
        <v>81</v>
      </c>
      <c r="C7" s="2446"/>
      <c r="D7" s="93" t="s">
        <v>5882</v>
      </c>
    </row>
    <row r="8" spans="2:6" x14ac:dyDescent="0.4">
      <c r="B8" s="2446" t="s">
        <v>82</v>
      </c>
      <c r="C8" s="2446"/>
      <c r="D8" s="1047" t="s">
        <v>5954</v>
      </c>
    </row>
    <row r="10" spans="2:6" ht="23.25" customHeight="1" x14ac:dyDescent="0.4">
      <c r="B10" s="3270" t="s">
        <v>85</v>
      </c>
      <c r="C10" s="3270"/>
      <c r="D10" s="3270"/>
    </row>
    <row r="11" spans="2:6" x14ac:dyDescent="0.4">
      <c r="B11" s="2446" t="s">
        <v>88</v>
      </c>
      <c r="C11" s="2446"/>
      <c r="D11" s="184" t="s">
        <v>5955</v>
      </c>
    </row>
    <row r="12" spans="2:6" ht="17.45" customHeight="1" x14ac:dyDescent="0.4">
      <c r="B12" s="2445" t="s">
        <v>90</v>
      </c>
      <c r="C12" s="2445"/>
      <c r="D12" s="594" t="s">
        <v>5881</v>
      </c>
    </row>
    <row r="13" spans="2:6" x14ac:dyDescent="0.4">
      <c r="B13" s="2445" t="s">
        <v>91</v>
      </c>
      <c r="C13" s="2456"/>
      <c r="D13" s="54" t="s">
        <v>214</v>
      </c>
    </row>
    <row r="14" spans="2:6" ht="150" x14ac:dyDescent="0.4">
      <c r="B14" s="2445" t="s">
        <v>93</v>
      </c>
      <c r="C14" s="2445"/>
      <c r="D14" s="49" t="s">
        <v>5956</v>
      </c>
    </row>
    <row r="15" spans="2:6" ht="37.5" x14ac:dyDescent="0.4">
      <c r="B15" s="2445" t="s">
        <v>95</v>
      </c>
      <c r="C15" s="2445"/>
      <c r="D15" s="49" t="s">
        <v>5957</v>
      </c>
    </row>
    <row r="16" spans="2:6" x14ac:dyDescent="0.4">
      <c r="B16" s="2445" t="s">
        <v>97</v>
      </c>
      <c r="C16" s="2445"/>
      <c r="D16" s="594" t="s">
        <v>5958</v>
      </c>
    </row>
    <row r="17" spans="2:6" x14ac:dyDescent="0.4">
      <c r="B17" s="2446" t="s">
        <v>99</v>
      </c>
      <c r="C17" s="2446"/>
      <c r="D17" s="49"/>
    </row>
    <row r="18" spans="2:6" x14ac:dyDescent="0.4">
      <c r="B18" s="2457" t="s">
        <v>100</v>
      </c>
      <c r="C18" s="2458"/>
      <c r="D18" s="55"/>
    </row>
    <row r="19" spans="2:6" ht="17.45" customHeight="1" x14ac:dyDescent="0.4">
      <c r="B19" s="2445" t="s">
        <v>102</v>
      </c>
      <c r="C19" s="2445"/>
      <c r="D19" s="49" t="s">
        <v>140</v>
      </c>
    </row>
    <row r="20" spans="2:6" x14ac:dyDescent="0.4">
      <c r="B20" s="2451" t="s">
        <v>104</v>
      </c>
      <c r="C20" s="95" t="s">
        <v>105</v>
      </c>
      <c r="D20" s="49"/>
    </row>
    <row r="21" spans="2:6" ht="75" x14ac:dyDescent="0.4">
      <c r="B21" s="2452"/>
      <c r="C21" s="96" t="s">
        <v>107</v>
      </c>
      <c r="D21" s="55" t="s">
        <v>5959</v>
      </c>
    </row>
    <row r="22" spans="2:6" x14ac:dyDescent="0.4">
      <c r="B22" s="2445" t="s">
        <v>109</v>
      </c>
      <c r="C22" s="2445"/>
      <c r="D22" s="49"/>
    </row>
    <row r="23" spans="2:6" x14ac:dyDescent="0.4">
      <c r="B23" s="2445" t="s">
        <v>111</v>
      </c>
      <c r="C23" s="2445"/>
      <c r="D23" s="3280" t="s">
        <v>5960</v>
      </c>
      <c r="E23" s="3280"/>
      <c r="F23" s="3280"/>
    </row>
    <row r="24" spans="2:6" x14ac:dyDescent="0.4">
      <c r="B24" s="2445" t="s">
        <v>113</v>
      </c>
      <c r="C24" s="2445"/>
      <c r="D24" s="55" t="s">
        <v>1701</v>
      </c>
    </row>
    <row r="25" spans="2:6" ht="112.5" x14ac:dyDescent="0.4">
      <c r="B25" s="2446" t="s">
        <v>115</v>
      </c>
      <c r="C25" s="2446"/>
      <c r="D25" s="49" t="s">
        <v>5961</v>
      </c>
    </row>
    <row r="26" spans="2:6" ht="75" x14ac:dyDescent="0.4">
      <c r="B26" s="2447" t="s">
        <v>117</v>
      </c>
      <c r="C26" s="2448"/>
      <c r="D26" s="49" t="s">
        <v>5962</v>
      </c>
    </row>
    <row r="27" spans="2:6" ht="37.5" x14ac:dyDescent="0.4">
      <c r="B27" s="97" t="s">
        <v>118</v>
      </c>
      <c r="C27" s="98"/>
      <c r="D27" s="594" t="s">
        <v>5963</v>
      </c>
    </row>
    <row r="28" spans="2:6" ht="56.25" x14ac:dyDescent="0.4">
      <c r="B28" s="2449" t="s">
        <v>120</v>
      </c>
      <c r="C28" s="2450"/>
      <c r="D28" s="62" t="s">
        <v>5964</v>
      </c>
    </row>
    <row r="29" spans="2:6" x14ac:dyDescent="0.4">
      <c r="B29" s="63"/>
      <c r="C29" s="63"/>
      <c r="D29" s="64"/>
    </row>
    <row r="30" spans="2:6" ht="19.5" x14ac:dyDescent="0.4">
      <c r="B30" s="3270" t="s">
        <v>121</v>
      </c>
      <c r="C30" s="3270"/>
      <c r="D30" s="3270"/>
    </row>
    <row r="31" spans="2:6" ht="23.25" customHeight="1" x14ac:dyDescent="0.4">
      <c r="B31" s="2447" t="s">
        <v>122</v>
      </c>
      <c r="C31" s="2448"/>
      <c r="D31" s="3280" t="s">
        <v>5965</v>
      </c>
      <c r="E31" s="3280"/>
      <c r="F31" s="3280"/>
    </row>
    <row r="32" spans="2:6" x14ac:dyDescent="0.4">
      <c r="B32" s="2447" t="s">
        <v>124</v>
      </c>
      <c r="C32" s="2448"/>
      <c r="D32" s="3280" t="s">
        <v>5966</v>
      </c>
      <c r="E32" s="3280"/>
      <c r="F32" s="3280"/>
    </row>
    <row r="33" spans="2:6" x14ac:dyDescent="0.4">
      <c r="B33" s="2447" t="s">
        <v>126</v>
      </c>
      <c r="C33" s="2448"/>
      <c r="D33" s="3280" t="s">
        <v>5960</v>
      </c>
      <c r="E33" s="3280"/>
      <c r="F33" s="3280"/>
    </row>
    <row r="34" spans="2:6" x14ac:dyDescent="0.4">
      <c r="B34" s="2447" t="s">
        <v>128</v>
      </c>
      <c r="C34" s="2448"/>
      <c r="D34" s="3279" t="s">
        <v>5967</v>
      </c>
      <c r="E34" s="3280"/>
      <c r="F34" s="3280"/>
    </row>
    <row r="35" spans="2:6" x14ac:dyDescent="0.4">
      <c r="B35" s="2447" t="s">
        <v>130</v>
      </c>
      <c r="C35" s="2448"/>
      <c r="D35" s="3280" t="s">
        <v>5968</v>
      </c>
      <c r="E35" s="3280"/>
      <c r="F35" s="3280"/>
    </row>
    <row r="36" spans="2:6" x14ac:dyDescent="0.4">
      <c r="B36" s="2447" t="s">
        <v>130</v>
      </c>
      <c r="C36" s="2448"/>
      <c r="D36" s="3280" t="s">
        <v>5968</v>
      </c>
      <c r="E36" s="3280"/>
      <c r="F36" s="3280"/>
    </row>
  </sheetData>
  <mergeCells count="37">
    <mergeCell ref="B8:C8"/>
    <mergeCell ref="B3:D3"/>
    <mergeCell ref="B4:C4"/>
    <mergeCell ref="B5:C5"/>
    <mergeCell ref="B6:C6"/>
    <mergeCell ref="B7:C7"/>
    <mergeCell ref="B22:C22"/>
    <mergeCell ref="B10:D10"/>
    <mergeCell ref="B11:C11"/>
    <mergeCell ref="B12:C12"/>
    <mergeCell ref="B13:C13"/>
    <mergeCell ref="B14:C14"/>
    <mergeCell ref="B15:C15"/>
    <mergeCell ref="B16:C16"/>
    <mergeCell ref="B17:C17"/>
    <mergeCell ref="B18:C18"/>
    <mergeCell ref="B19:C19"/>
    <mergeCell ref="B20:B21"/>
    <mergeCell ref="B33:C33"/>
    <mergeCell ref="D33:F33"/>
    <mergeCell ref="B23:C23"/>
    <mergeCell ref="D23:F23"/>
    <mergeCell ref="B24:C24"/>
    <mergeCell ref="B25:C25"/>
    <mergeCell ref="B26:C26"/>
    <mergeCell ref="B28:C28"/>
    <mergeCell ref="B30:D30"/>
    <mergeCell ref="B31:C31"/>
    <mergeCell ref="D31:F31"/>
    <mergeCell ref="B32:C32"/>
    <mergeCell ref="D32:F32"/>
    <mergeCell ref="B34:C34"/>
    <mergeCell ref="D34:F34"/>
    <mergeCell ref="B35:C35"/>
    <mergeCell ref="D35:F35"/>
    <mergeCell ref="B36:C36"/>
    <mergeCell ref="D36:F36"/>
  </mergeCells>
  <dataValidations count="6">
    <dataValidation type="list" allowBlank="1" showInputMessage="1" showErrorMessage="1" sqref="D24" xr:uid="{C7BC0F6A-1D09-4CA3-B563-661B79E373D7}">
      <formula1>Tipo_operación</formula1>
    </dataValidation>
    <dataValidation type="list" allowBlank="1" showInputMessage="1" showErrorMessage="1" sqref="D13" xr:uid="{592C033F-F0D7-4791-AC65-169D350A2EE4}">
      <formula1>Tipo_indicador</formula1>
    </dataValidation>
    <dataValidation type="list" allowBlank="1" showInputMessage="1" showErrorMessage="1" sqref="D7" xr:uid="{ECCAE8C7-92EA-48A5-B5B5-A3FA2DB94912}">
      <formula1>Nombre_indicador_ODS</formula1>
    </dataValidation>
    <dataValidation type="list" allowBlank="1" showInputMessage="1" showErrorMessage="1" sqref="D6" xr:uid="{F2404F63-6A20-4B3A-879B-B1F616251EF5}">
      <formula1>Numero_indicador</formula1>
    </dataValidation>
    <dataValidation type="list" allowBlank="1" showInputMessage="1" showErrorMessage="1" sqref="D5" xr:uid="{0CC015C3-2EBF-4A9C-9463-DCAEFE7012CF}">
      <formula1>Metas_ODS</formula1>
    </dataValidation>
    <dataValidation type="list" allowBlank="1" showInputMessage="1" showErrorMessage="1" sqref="D4" xr:uid="{24436651-2937-4C85-9E7C-CECB069892DF}">
      <formula1>ODS</formula1>
    </dataValidation>
  </dataValidations>
  <hyperlinks>
    <hyperlink ref="B1" location="'11.3.2'!A1" display="REGRESAR" xr:uid="{AAA8B8CF-2AA6-4416-87CE-ECE629E0694C}"/>
    <hyperlink ref="D8" r:id="rId1" xr:uid="{594B695C-AE7C-4956-85BE-E6D6B12FC685}"/>
    <hyperlink ref="D34" r:id="rId2" xr:uid="{DE83A995-B806-42E6-9364-30D9857BEC9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A305-6F26-477A-9901-9CBE39BD043D}">
  <dimension ref="A1:M19"/>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30" style="1048" customWidth="1"/>
    <col min="4" max="4" width="26.140625" style="115" customWidth="1"/>
    <col min="5" max="5" width="18.42578125" style="115" customWidth="1"/>
    <col min="6" max="9" width="11.7109375" style="115" customWidth="1"/>
    <col min="10" max="16384" width="11.42578125" style="115"/>
  </cols>
  <sheetData>
    <row r="1" spans="1:13" x14ac:dyDescent="0.4">
      <c r="A1" s="158" t="s">
        <v>39</v>
      </c>
      <c r="B1" s="1311"/>
      <c r="C1" s="158" t="s">
        <v>149</v>
      </c>
    </row>
    <row r="3" spans="1:13" x14ac:dyDescent="0.4">
      <c r="A3" s="3281" t="s">
        <v>41</v>
      </c>
      <c r="B3" s="3287"/>
      <c r="C3" s="3281" t="s">
        <v>5871</v>
      </c>
      <c r="D3" s="3283"/>
      <c r="E3" s="3283"/>
      <c r="F3" s="3283"/>
      <c r="G3" s="3283"/>
      <c r="H3" s="3283"/>
      <c r="I3" s="3283"/>
      <c r="J3" s="3283"/>
      <c r="K3" s="3283"/>
      <c r="L3" s="3283"/>
      <c r="M3" s="3283"/>
    </row>
    <row r="4" spans="1:13" ht="19.899999999999999" customHeight="1" x14ac:dyDescent="0.4">
      <c r="A4" s="3281" t="s">
        <v>42</v>
      </c>
      <c r="B4" s="3282"/>
      <c r="C4" s="3281" t="s">
        <v>5883</v>
      </c>
      <c r="D4" s="3283"/>
      <c r="E4" s="3283"/>
      <c r="F4" s="3283"/>
      <c r="G4" s="3283"/>
      <c r="H4" s="3283"/>
      <c r="I4" s="3283"/>
      <c r="J4" s="3283"/>
      <c r="K4" s="3283"/>
      <c r="L4" s="3283"/>
      <c r="M4" s="3283"/>
    </row>
    <row r="5" spans="1:13" ht="40.15" customHeight="1" x14ac:dyDescent="0.4">
      <c r="A5" s="3281" t="s">
        <v>43</v>
      </c>
      <c r="B5" s="3282"/>
      <c r="C5" s="3281" t="s">
        <v>5969</v>
      </c>
      <c r="D5" s="3283"/>
      <c r="E5" s="3283"/>
      <c r="F5" s="3283"/>
      <c r="G5" s="3283"/>
      <c r="H5" s="3283"/>
      <c r="I5" s="3283"/>
      <c r="J5" s="3283"/>
      <c r="K5" s="3283"/>
      <c r="L5" s="3283"/>
      <c r="M5" s="3283"/>
    </row>
    <row r="6" spans="1:13" ht="19.899999999999999" customHeight="1" x14ac:dyDescent="0.4">
      <c r="A6" s="3281" t="s">
        <v>132</v>
      </c>
      <c r="B6" s="3282"/>
      <c r="C6" s="3281" t="s">
        <v>5970</v>
      </c>
      <c r="D6" s="3283"/>
      <c r="E6" s="3283"/>
      <c r="F6" s="3283"/>
      <c r="G6" s="3283"/>
      <c r="H6" s="3283"/>
      <c r="I6" s="3283"/>
      <c r="J6" s="3283"/>
      <c r="K6" s="3283"/>
      <c r="L6" s="3283"/>
      <c r="M6" s="3283"/>
    </row>
    <row r="7" spans="1:13" x14ac:dyDescent="0.4">
      <c r="A7" s="536"/>
    </row>
    <row r="8" spans="1:13" x14ac:dyDescent="0.4">
      <c r="A8" s="536"/>
    </row>
    <row r="9" spans="1:13" ht="55.9" customHeight="1" x14ac:dyDescent="0.4">
      <c r="C9" s="2679" t="s">
        <v>5971</v>
      </c>
      <c r="D9" s="2679"/>
      <c r="E9" s="2679"/>
      <c r="F9" s="2679"/>
      <c r="G9" s="2679"/>
      <c r="H9" s="2679"/>
    </row>
    <row r="10" spans="1:13" x14ac:dyDescent="0.4">
      <c r="C10" s="3284" t="s">
        <v>5972</v>
      </c>
      <c r="D10" s="3284" t="s">
        <v>5973</v>
      </c>
      <c r="E10" s="3284"/>
      <c r="F10" s="3268" t="s">
        <v>5974</v>
      </c>
      <c r="G10" s="3268"/>
      <c r="H10" s="3268"/>
    </row>
    <row r="11" spans="1:13" ht="37.5" x14ac:dyDescent="0.4">
      <c r="C11" s="3275"/>
      <c r="D11" s="3275"/>
      <c r="E11" s="3275"/>
      <c r="F11" s="1697" t="s">
        <v>5975</v>
      </c>
      <c r="G11" s="1672" t="s">
        <v>5976</v>
      </c>
      <c r="H11" s="1672" t="s">
        <v>154</v>
      </c>
    </row>
    <row r="12" spans="1:13" x14ac:dyDescent="0.4">
      <c r="C12" s="3285" t="s">
        <v>5977</v>
      </c>
      <c r="D12" s="2526" t="s">
        <v>5978</v>
      </c>
      <c r="E12" s="2526"/>
      <c r="F12" s="730"/>
      <c r="G12" s="730"/>
      <c r="H12" s="1698">
        <v>10789451</v>
      </c>
    </row>
    <row r="13" spans="1:13" x14ac:dyDescent="0.4">
      <c r="C13" s="3285"/>
      <c r="D13" s="3286" t="s">
        <v>5979</v>
      </c>
      <c r="E13" s="3286"/>
      <c r="F13" s="730"/>
      <c r="G13" s="730"/>
      <c r="H13" s="1698">
        <v>262174</v>
      </c>
    </row>
    <row r="14" spans="1:13" x14ac:dyDescent="0.4">
      <c r="C14" s="3285" t="s">
        <v>5980</v>
      </c>
      <c r="D14" s="155" t="s">
        <v>5981</v>
      </c>
      <c r="E14" s="301" t="s">
        <v>5982</v>
      </c>
      <c r="F14" s="1699">
        <v>22250</v>
      </c>
      <c r="G14" s="1699">
        <v>19642</v>
      </c>
      <c r="H14" s="1699">
        <v>41893</v>
      </c>
    </row>
    <row r="15" spans="1:13" x14ac:dyDescent="0.4">
      <c r="C15" s="3285"/>
      <c r="D15" s="1063" t="s">
        <v>5983</v>
      </c>
      <c r="E15" s="301" t="s">
        <v>5982</v>
      </c>
      <c r="F15" s="1698">
        <v>22250</v>
      </c>
      <c r="G15" s="1698">
        <v>19642</v>
      </c>
      <c r="H15" s="1699">
        <v>41893</v>
      </c>
    </row>
    <row r="16" spans="1:13" x14ac:dyDescent="0.4">
      <c r="C16" s="1700" t="s">
        <v>5984</v>
      </c>
      <c r="D16" s="2685" t="s">
        <v>5185</v>
      </c>
      <c r="E16" s="2685"/>
      <c r="F16" s="1701">
        <v>22250</v>
      </c>
      <c r="G16" s="1701">
        <v>19642</v>
      </c>
      <c r="H16" s="1701">
        <v>41893</v>
      </c>
    </row>
    <row r="17" spans="3:8" x14ac:dyDescent="0.4">
      <c r="C17" s="3133" t="s">
        <v>5985</v>
      </c>
      <c r="D17" s="3133"/>
      <c r="E17" s="3133"/>
      <c r="F17" s="3133"/>
      <c r="G17" s="3133"/>
      <c r="H17" s="3133"/>
    </row>
    <row r="18" spans="3:8" x14ac:dyDescent="0.4">
      <c r="C18" s="115" t="s">
        <v>5986</v>
      </c>
    </row>
    <row r="19" spans="3:8" x14ac:dyDescent="0.4">
      <c r="C19" s="115" t="s">
        <v>5987</v>
      </c>
    </row>
  </sheetData>
  <mergeCells count="18">
    <mergeCell ref="A3:B3"/>
    <mergeCell ref="C3:M3"/>
    <mergeCell ref="A4:B4"/>
    <mergeCell ref="C4:M4"/>
    <mergeCell ref="A5:B5"/>
    <mergeCell ref="C5:M5"/>
    <mergeCell ref="C17:H17"/>
    <mergeCell ref="A6:B6"/>
    <mergeCell ref="C6:M6"/>
    <mergeCell ref="C9:H9"/>
    <mergeCell ref="C10:C11"/>
    <mergeCell ref="D10:E11"/>
    <mergeCell ref="F10:H10"/>
    <mergeCell ref="C12:C13"/>
    <mergeCell ref="D12:E12"/>
    <mergeCell ref="D13:E13"/>
    <mergeCell ref="C14:C15"/>
    <mergeCell ref="D16:E16"/>
  </mergeCells>
  <dataValidations count="1">
    <dataValidation allowBlank="1" showInputMessage="1" showErrorMessage="1" sqref="C12 C16:D16 F10 C14:F14 H14 D15:H15" xr:uid="{84C5B621-DF62-4EC7-8CB4-1C1650E02D81}"/>
  </dataValidations>
  <hyperlinks>
    <hyperlink ref="A1" location="'ODS 11.'!A1" display="REGRESAR" xr:uid="{C46904D7-87F0-4C8F-A172-FFCB3095FF67}"/>
    <hyperlink ref="C1" location="'Metadato 11.4.1'!A1" display="VER METADATO" xr:uid="{A15D4E1E-A388-468D-A931-800CB951365D}"/>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0AB7D-86EA-4EE7-B33F-463D6B795583}">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158" t="s">
        <v>39</v>
      </c>
    </row>
    <row r="2" spans="2:6" ht="19.5" thickBot="1" x14ac:dyDescent="0.45"/>
    <row r="3" spans="2:6" ht="23.25" customHeight="1" thickBot="1" x14ac:dyDescent="0.45">
      <c r="B3" s="3270" t="s">
        <v>75</v>
      </c>
      <c r="C3" s="3270"/>
      <c r="D3" s="3270"/>
      <c r="F3" s="1046" t="s">
        <v>244</v>
      </c>
    </row>
    <row r="4" spans="2:6" ht="37.5" x14ac:dyDescent="0.4">
      <c r="B4" s="2445" t="s">
        <v>234</v>
      </c>
      <c r="C4" s="2445"/>
      <c r="D4" s="49" t="s">
        <v>5921</v>
      </c>
    </row>
    <row r="5" spans="2:6" x14ac:dyDescent="0.4">
      <c r="B5" s="2445" t="s">
        <v>79</v>
      </c>
      <c r="C5" s="2445"/>
      <c r="D5" s="49" t="s">
        <v>5883</v>
      </c>
    </row>
    <row r="6" spans="2:6" x14ac:dyDescent="0.4">
      <c r="B6" s="2445" t="s">
        <v>80</v>
      </c>
      <c r="C6" s="2445"/>
      <c r="D6" s="50" t="s">
        <v>5884</v>
      </c>
    </row>
    <row r="7" spans="2:6" ht="56.25" x14ac:dyDescent="0.4">
      <c r="B7" s="2446" t="s">
        <v>81</v>
      </c>
      <c r="C7" s="2446"/>
      <c r="D7" s="93" t="s">
        <v>5969</v>
      </c>
    </row>
    <row r="8" spans="2:6" x14ac:dyDescent="0.4">
      <c r="B8" s="2446" t="s">
        <v>82</v>
      </c>
      <c r="C8" s="2446"/>
      <c r="D8" s="1047" t="s">
        <v>353</v>
      </c>
    </row>
    <row r="10" spans="2:6" ht="23.25" customHeight="1" x14ac:dyDescent="0.4">
      <c r="B10" s="3270" t="s">
        <v>85</v>
      </c>
      <c r="C10" s="3270"/>
      <c r="D10" s="3270"/>
    </row>
    <row r="11" spans="2:6" x14ac:dyDescent="0.4">
      <c r="B11" s="2487" t="s">
        <v>86</v>
      </c>
      <c r="C11" s="2456"/>
      <c r="D11" s="49"/>
    </row>
    <row r="12" spans="2:6" ht="56.25" x14ac:dyDescent="0.4">
      <c r="B12" s="2446" t="s">
        <v>88</v>
      </c>
      <c r="C12" s="2446"/>
      <c r="D12" s="184" t="s">
        <v>5970</v>
      </c>
    </row>
    <row r="13" spans="2:6" x14ac:dyDescent="0.4">
      <c r="B13" s="2445" t="s">
        <v>90</v>
      </c>
      <c r="C13" s="2445"/>
      <c r="D13" s="54" t="s">
        <v>5884</v>
      </c>
    </row>
    <row r="14" spans="2:6" x14ac:dyDescent="0.4">
      <c r="B14" s="2445" t="s">
        <v>91</v>
      </c>
      <c r="C14" s="2456"/>
      <c r="D14" s="54" t="s">
        <v>214</v>
      </c>
    </row>
    <row r="15" spans="2:6" ht="131.25" x14ac:dyDescent="0.4">
      <c r="B15" s="2445" t="s">
        <v>93</v>
      </c>
      <c r="C15" s="2445"/>
      <c r="D15" s="49" t="s">
        <v>5988</v>
      </c>
    </row>
    <row r="16" spans="2:6" x14ac:dyDescent="0.4">
      <c r="B16" s="2445" t="s">
        <v>95</v>
      </c>
      <c r="C16" s="2445"/>
      <c r="D16" s="49" t="s">
        <v>5989</v>
      </c>
    </row>
    <row r="17" spans="2:4" x14ac:dyDescent="0.4">
      <c r="B17" s="2445" t="s">
        <v>97</v>
      </c>
      <c r="C17" s="2445"/>
      <c r="D17" s="55" t="s">
        <v>5990</v>
      </c>
    </row>
    <row r="18" spans="2:4" x14ac:dyDescent="0.4">
      <c r="B18" s="2446" t="s">
        <v>99</v>
      </c>
      <c r="C18" s="2446"/>
      <c r="D18" s="49" t="s">
        <v>5991</v>
      </c>
    </row>
    <row r="19" spans="2:4" x14ac:dyDescent="0.4">
      <c r="B19" s="2457" t="s">
        <v>100</v>
      </c>
      <c r="C19" s="2458"/>
      <c r="D19" s="55"/>
    </row>
    <row r="20" spans="2:4" x14ac:dyDescent="0.4">
      <c r="B20" s="2445" t="s">
        <v>102</v>
      </c>
      <c r="C20" s="2445"/>
      <c r="D20" s="49" t="s">
        <v>140</v>
      </c>
    </row>
    <row r="21" spans="2:4" x14ac:dyDescent="0.4">
      <c r="B21" s="2451" t="s">
        <v>104</v>
      </c>
      <c r="C21" s="95" t="s">
        <v>105</v>
      </c>
      <c r="D21" s="49" t="s">
        <v>4620</v>
      </c>
    </row>
    <row r="22" spans="2:4" x14ac:dyDescent="0.4">
      <c r="B22" s="2452"/>
      <c r="C22" s="96" t="s">
        <v>107</v>
      </c>
      <c r="D22" s="55" t="s">
        <v>5992</v>
      </c>
    </row>
    <row r="23" spans="2:4" x14ac:dyDescent="0.4">
      <c r="B23" s="2445" t="s">
        <v>109</v>
      </c>
      <c r="C23" s="2445"/>
      <c r="D23" s="49" t="s">
        <v>515</v>
      </c>
    </row>
    <row r="24" spans="2:4" x14ac:dyDescent="0.4">
      <c r="B24" s="2445" t="s">
        <v>111</v>
      </c>
      <c r="C24" s="2445"/>
      <c r="D24" s="49" t="s">
        <v>5993</v>
      </c>
    </row>
    <row r="25" spans="2:4" x14ac:dyDescent="0.4">
      <c r="B25" s="2445" t="s">
        <v>113</v>
      </c>
      <c r="C25" s="2445"/>
      <c r="D25" s="55" t="s">
        <v>220</v>
      </c>
    </row>
    <row r="26" spans="2:4" x14ac:dyDescent="0.4">
      <c r="B26" s="2446" t="s">
        <v>115</v>
      </c>
      <c r="C26" s="2446"/>
      <c r="D26" s="49"/>
    </row>
    <row r="27" spans="2:4" ht="112.5" x14ac:dyDescent="0.4">
      <c r="B27" s="2447" t="s">
        <v>117</v>
      </c>
      <c r="C27" s="2448"/>
      <c r="D27" s="49" t="s">
        <v>5994</v>
      </c>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FE5B4418-163C-477A-88E6-E747EF4FB789}">
      <formula1>Tipo_operación</formula1>
    </dataValidation>
    <dataValidation type="list" allowBlank="1" showInputMessage="1" showErrorMessage="1" sqref="D14" xr:uid="{5F13C748-C531-44BC-ABB9-6B2317D3CAD0}">
      <formula1>Tipo_indicador</formula1>
    </dataValidation>
    <dataValidation type="list" allowBlank="1" showInputMessage="1" showErrorMessage="1" sqref="D7" xr:uid="{2C475078-B2A6-42E9-BCA6-E1BE8A269CC4}">
      <formula1>Nombre_indicador_ODS</formula1>
    </dataValidation>
    <dataValidation type="list" allowBlank="1" showInputMessage="1" showErrorMessage="1" sqref="D6" xr:uid="{B73113F7-9802-4648-802F-5EB9F523A323}">
      <formula1>Numero_indicador</formula1>
    </dataValidation>
    <dataValidation type="list" allowBlank="1" showInputMessage="1" showErrorMessage="1" sqref="D5" xr:uid="{307BCBF5-66ED-43DB-BF78-F8914169B5DF}">
      <formula1>Metas_ODS</formula1>
    </dataValidation>
    <dataValidation type="list" allowBlank="1" showInputMessage="1" showErrorMessage="1" sqref="D4" xr:uid="{492680A2-C96D-4536-8985-03FDC444F6CC}">
      <formula1>ODS</formula1>
    </dataValidation>
    <dataValidation allowBlank="1" showDropDown="1" showInputMessage="1" showErrorMessage="1" sqref="D13" xr:uid="{C401C5B9-CAA7-452C-9553-88AF19F68CB1}"/>
  </dataValidations>
  <hyperlinks>
    <hyperlink ref="B1" location="'11.4.1'!A1" display="REGRESAR" xr:uid="{6449A48E-5FC2-4167-A9DC-FB91413021C5}"/>
    <hyperlink ref="D8" r:id="rId1" xr:uid="{F940938C-5E2E-469C-85A4-7A49D6898BA3}"/>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0CCE-5047-4DE9-8DBA-02BD5F678C2A}">
  <dimension ref="A1:AO51"/>
  <sheetViews>
    <sheetView showGridLines="0" workbookViewId="0">
      <pane ySplit="1" topLeftCell="A23" activePane="bottomLeft" state="frozen"/>
      <selection sqref="A1:B1"/>
      <selection pane="bottomLeft" sqref="A1:B1"/>
    </sheetView>
  </sheetViews>
  <sheetFormatPr baseColWidth="10" defaultColWidth="11.42578125" defaultRowHeight="18.75" x14ac:dyDescent="0.4"/>
  <cols>
    <col min="1" max="2" width="15.5703125" style="115" customWidth="1"/>
    <col min="3" max="4" width="11.7109375" style="115" customWidth="1"/>
    <col min="5" max="5" width="2.28515625" style="115" customWidth="1"/>
    <col min="6" max="6" width="6.5703125" style="115" customWidth="1"/>
    <col min="7" max="7" width="5.5703125" style="115" customWidth="1"/>
    <col min="8" max="8" width="11.7109375" style="115" customWidth="1"/>
    <col min="9" max="9" width="2.7109375" style="115" customWidth="1"/>
    <col min="10" max="11" width="11.7109375" style="115" customWidth="1"/>
    <col min="12" max="12" width="1.28515625" style="115" customWidth="1"/>
    <col min="13" max="13" width="8.42578125" style="115" customWidth="1"/>
    <col min="14" max="14" width="1.7109375" style="115" customWidth="1"/>
    <col min="15" max="15" width="7.28515625" style="115" customWidth="1"/>
    <col min="16" max="16" width="6" style="115" customWidth="1"/>
    <col min="17" max="17" width="3" style="115" customWidth="1"/>
    <col min="18" max="18" width="7.42578125" style="115" customWidth="1"/>
    <col min="19" max="19" width="3.42578125" style="115" customWidth="1"/>
    <col min="20" max="21" width="5.42578125" style="115" customWidth="1"/>
    <col min="22" max="22" width="1.5703125" style="115" customWidth="1"/>
    <col min="23" max="23" width="8.7109375" style="115" customWidth="1"/>
    <col min="24" max="24" width="7" style="115" customWidth="1"/>
    <col min="25" max="25" width="8.28515625" style="115" customWidth="1"/>
    <col min="26" max="26" width="1.5703125" style="115" customWidth="1"/>
    <col min="27" max="30" width="6.42578125" style="115" customWidth="1"/>
    <col min="31" max="31" width="2.5703125" style="115" customWidth="1"/>
    <col min="32" max="32" width="8.28515625" style="115" customWidth="1"/>
    <col min="33" max="33" width="7" style="115" customWidth="1"/>
    <col min="34" max="34" width="8.42578125" style="115" customWidth="1"/>
    <col min="35" max="35" width="7" style="115" customWidth="1"/>
    <col min="36" max="36" width="2.28515625" style="115" customWidth="1"/>
    <col min="37" max="38" width="6.5703125" style="115" customWidth="1"/>
    <col min="39" max="39" width="1.28515625" style="115" customWidth="1"/>
    <col min="40" max="41" width="9" style="115" customWidth="1"/>
    <col min="42" max="42" width="11.42578125" style="115"/>
    <col min="43" max="43" width="12" style="115" customWidth="1"/>
    <col min="44" max="79" width="11.42578125" style="115"/>
    <col min="80" max="80" width="12.28515625" style="115" customWidth="1"/>
    <col min="81" max="95" width="11.42578125" style="115"/>
    <col min="96" max="96" width="12.28515625" style="115" customWidth="1"/>
    <col min="97" max="109" width="11.42578125" style="115"/>
    <col min="110" max="110" width="12.7109375" style="115" customWidth="1"/>
    <col min="111" max="120" width="11.42578125" style="115"/>
    <col min="121" max="121" width="11.7109375" style="115" customWidth="1"/>
    <col min="122" max="128" width="11.42578125" style="115"/>
    <col min="129" max="129" width="11.7109375" style="115" customWidth="1"/>
    <col min="130" max="16384" width="11.42578125" style="115"/>
  </cols>
  <sheetData>
    <row r="1" spans="1:41" x14ac:dyDescent="0.4">
      <c r="A1" s="158" t="s">
        <v>39</v>
      </c>
      <c r="C1" s="2541" t="s">
        <v>149</v>
      </c>
      <c r="D1" s="2541"/>
    </row>
    <row r="3" spans="1:41" ht="15" customHeight="1" x14ac:dyDescent="0.4">
      <c r="A3" s="3281" t="s">
        <v>41</v>
      </c>
      <c r="B3" s="3287"/>
      <c r="C3" s="3281" t="s">
        <v>5871</v>
      </c>
      <c r="D3" s="3288"/>
      <c r="E3" s="3288"/>
      <c r="F3" s="3288"/>
      <c r="G3" s="3288"/>
      <c r="H3" s="3288"/>
      <c r="I3" s="3288"/>
      <c r="J3" s="3288"/>
      <c r="K3" s="3288"/>
      <c r="L3" s="3288"/>
      <c r="M3" s="3288"/>
      <c r="N3" s="3288"/>
      <c r="O3" s="3288"/>
      <c r="P3" s="3288"/>
      <c r="Q3" s="3288"/>
      <c r="R3" s="3288"/>
      <c r="S3" s="3288"/>
      <c r="T3" s="3288"/>
      <c r="U3" s="3288"/>
      <c r="V3" s="3288"/>
      <c r="W3" s="3288"/>
      <c r="X3" s="3288"/>
      <c r="Y3" s="3288"/>
    </row>
    <row r="4" spans="1:41" ht="34.15" customHeight="1" x14ac:dyDescent="0.4">
      <c r="A4" s="3281" t="s">
        <v>42</v>
      </c>
      <c r="B4" s="3282"/>
      <c r="C4" s="3281" t="s">
        <v>5995</v>
      </c>
      <c r="D4" s="3283"/>
      <c r="E4" s="3283"/>
      <c r="F4" s="3283"/>
      <c r="G4" s="3283"/>
      <c r="H4" s="3283"/>
      <c r="I4" s="3283"/>
      <c r="J4" s="3283"/>
      <c r="K4" s="3283"/>
      <c r="L4" s="3283"/>
      <c r="M4" s="3283"/>
      <c r="N4" s="3283"/>
      <c r="O4" s="3283"/>
      <c r="P4" s="3283"/>
      <c r="Q4" s="3283"/>
      <c r="R4" s="3283"/>
      <c r="S4" s="3283"/>
      <c r="T4" s="3283"/>
      <c r="U4" s="3283"/>
      <c r="V4" s="3283"/>
      <c r="W4" s="3283"/>
      <c r="X4" s="3283"/>
      <c r="Y4" s="3283"/>
    </row>
    <row r="5" spans="1:41" x14ac:dyDescent="0.4">
      <c r="A5" s="3281" t="s">
        <v>43</v>
      </c>
      <c r="B5" s="3282"/>
      <c r="C5" s="3281" t="s">
        <v>5888</v>
      </c>
      <c r="D5" s="3283"/>
      <c r="E5" s="3283"/>
      <c r="F5" s="3283"/>
      <c r="G5" s="3283"/>
      <c r="H5" s="3283"/>
      <c r="I5" s="3283"/>
      <c r="J5" s="3283"/>
      <c r="K5" s="3283"/>
      <c r="L5" s="3283"/>
      <c r="M5" s="3283"/>
      <c r="N5" s="3283"/>
      <c r="O5" s="3283"/>
      <c r="P5" s="3283"/>
      <c r="Q5" s="3283"/>
      <c r="R5" s="3283"/>
      <c r="S5" s="3283"/>
      <c r="T5" s="3283"/>
      <c r="U5" s="3283"/>
      <c r="V5" s="3283"/>
      <c r="W5" s="3283"/>
      <c r="X5" s="3283"/>
      <c r="Y5" s="3283"/>
    </row>
    <row r="6" spans="1:41" x14ac:dyDescent="0.4">
      <c r="A6" s="3281" t="s">
        <v>132</v>
      </c>
      <c r="B6" s="3282"/>
      <c r="C6" s="3281" t="s">
        <v>246</v>
      </c>
      <c r="D6" s="3283"/>
      <c r="E6" s="3283"/>
      <c r="F6" s="3283"/>
      <c r="G6" s="3283"/>
      <c r="H6" s="3283"/>
      <c r="I6" s="3283"/>
      <c r="J6" s="3283"/>
      <c r="K6" s="3283"/>
      <c r="L6" s="3283"/>
      <c r="M6" s="3283"/>
      <c r="N6" s="3283"/>
      <c r="O6" s="3283"/>
      <c r="P6" s="3283"/>
      <c r="Q6" s="3283"/>
      <c r="R6" s="3283"/>
      <c r="S6" s="3283"/>
      <c r="T6" s="3283"/>
      <c r="U6" s="3283"/>
      <c r="V6" s="3283"/>
      <c r="W6" s="3283"/>
      <c r="X6" s="3283"/>
      <c r="Y6" s="3283"/>
    </row>
    <row r="9" spans="1:41" x14ac:dyDescent="0.4">
      <c r="C9" s="470" t="s">
        <v>246</v>
      </c>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470"/>
      <c r="AJ9" s="470"/>
      <c r="AK9" s="470"/>
      <c r="AL9" s="470"/>
      <c r="AM9" s="470"/>
      <c r="AN9" s="470"/>
      <c r="AO9" s="470"/>
    </row>
    <row r="10" spans="1:41" ht="9" customHeight="1" x14ac:dyDescent="0.4">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c r="AG10" s="470"/>
      <c r="AH10" s="470"/>
      <c r="AI10" s="470"/>
      <c r="AJ10" s="470"/>
      <c r="AK10" s="470"/>
      <c r="AL10" s="470"/>
      <c r="AM10" s="470"/>
      <c r="AN10" s="470"/>
      <c r="AO10" s="470"/>
    </row>
    <row r="11" spans="1:41" x14ac:dyDescent="0.4">
      <c r="C11" s="3266" t="s">
        <v>247</v>
      </c>
      <c r="D11" s="3266" t="s">
        <v>177</v>
      </c>
      <c r="E11" s="1702"/>
      <c r="F11" s="3268" t="s">
        <v>248</v>
      </c>
      <c r="G11" s="3268"/>
      <c r="H11" s="3268"/>
      <c r="I11" s="3268"/>
      <c r="J11" s="3268" t="s">
        <v>249</v>
      </c>
      <c r="K11" s="3268"/>
      <c r="L11" s="3268"/>
      <c r="M11" s="3268" t="s">
        <v>250</v>
      </c>
      <c r="N11" s="3268"/>
      <c r="O11" s="3268"/>
      <c r="P11" s="3268"/>
      <c r="Q11" s="1702"/>
      <c r="R11" s="3268" t="s">
        <v>251</v>
      </c>
      <c r="S11" s="3268"/>
      <c r="T11" s="3268"/>
      <c r="U11" s="3268"/>
      <c r="V11" s="1702"/>
      <c r="W11" s="3268" t="s">
        <v>252</v>
      </c>
      <c r="X11" s="3268"/>
      <c r="Y11" s="3268"/>
      <c r="Z11" s="3268"/>
      <c r="AA11" s="3268" t="s">
        <v>253</v>
      </c>
      <c r="AB11" s="3268"/>
      <c r="AC11" s="3268"/>
      <c r="AD11" s="3268"/>
      <c r="AE11" s="1702"/>
      <c r="AF11" s="3268" t="s">
        <v>254</v>
      </c>
      <c r="AG11" s="3268"/>
      <c r="AH11" s="3268"/>
      <c r="AI11" s="3268"/>
      <c r="AJ11" s="1702"/>
      <c r="AK11" s="3268" t="s">
        <v>255</v>
      </c>
      <c r="AL11" s="3268"/>
      <c r="AM11" s="1702"/>
      <c r="AN11" s="3268" t="s">
        <v>256</v>
      </c>
      <c r="AO11" s="3268"/>
    </row>
    <row r="12" spans="1:41" x14ac:dyDescent="0.4">
      <c r="C12" s="3267"/>
      <c r="D12" s="3267"/>
      <c r="E12" s="1672"/>
      <c r="F12" s="3267" t="s">
        <v>257</v>
      </c>
      <c r="G12" s="3267"/>
      <c r="H12" s="1672" t="s">
        <v>258</v>
      </c>
      <c r="I12" s="1672"/>
      <c r="J12" s="1672" t="s">
        <v>257</v>
      </c>
      <c r="K12" s="1672" t="s">
        <v>258</v>
      </c>
      <c r="L12" s="1672"/>
      <c r="M12" s="3267" t="s">
        <v>259</v>
      </c>
      <c r="N12" s="3267"/>
      <c r="O12" s="3267" t="s">
        <v>258</v>
      </c>
      <c r="P12" s="3267"/>
      <c r="Q12" s="1672"/>
      <c r="R12" s="3267" t="s">
        <v>259</v>
      </c>
      <c r="S12" s="3267"/>
      <c r="T12" s="3267" t="s">
        <v>258</v>
      </c>
      <c r="U12" s="3267"/>
      <c r="V12" s="1672"/>
      <c r="W12" s="3267" t="s">
        <v>259</v>
      </c>
      <c r="X12" s="3267"/>
      <c r="Y12" s="1672" t="s">
        <v>258</v>
      </c>
      <c r="Z12" s="1672"/>
      <c r="AA12" s="3267" t="s">
        <v>259</v>
      </c>
      <c r="AB12" s="3267"/>
      <c r="AC12" s="3267" t="s">
        <v>258</v>
      </c>
      <c r="AD12" s="3267"/>
      <c r="AE12" s="1672"/>
      <c r="AF12" s="3267" t="s">
        <v>259</v>
      </c>
      <c r="AG12" s="3267"/>
      <c r="AH12" s="3267" t="s">
        <v>258</v>
      </c>
      <c r="AI12" s="3267"/>
      <c r="AJ12" s="1672"/>
      <c r="AK12" s="3267" t="s">
        <v>259</v>
      </c>
      <c r="AL12" s="3267"/>
      <c r="AM12" s="1672"/>
      <c r="AN12" s="3267" t="s">
        <v>259</v>
      </c>
      <c r="AO12" s="3267"/>
    </row>
    <row r="13" spans="1:41" x14ac:dyDescent="0.4">
      <c r="C13" s="198">
        <v>1990</v>
      </c>
      <c r="D13" s="197">
        <v>3029336</v>
      </c>
      <c r="E13" s="198"/>
      <c r="F13" s="196">
        <v>16</v>
      </c>
      <c r="G13" s="196"/>
      <c r="H13" s="199">
        <f>+F13/D13*100000</f>
        <v>0.52816854914740397</v>
      </c>
      <c r="I13" s="200"/>
      <c r="J13" s="200">
        <v>1</v>
      </c>
      <c r="K13" s="199">
        <f>+J13/D13*100000</f>
        <v>3.3010534321712748E-2</v>
      </c>
      <c r="L13" s="196"/>
      <c r="M13" s="196">
        <v>1241</v>
      </c>
      <c r="N13" s="196"/>
      <c r="O13" s="196">
        <f>+M13/D13*100000</f>
        <v>40.966073093245519</v>
      </c>
      <c r="P13" s="196"/>
      <c r="Q13" s="196"/>
      <c r="R13" s="196">
        <v>746</v>
      </c>
      <c r="S13" s="196"/>
      <c r="T13" s="196">
        <f>+R13/D13*100000</f>
        <v>24.62585860399771</v>
      </c>
      <c r="U13" s="196"/>
      <c r="V13" s="196"/>
      <c r="W13" s="197">
        <v>0</v>
      </c>
      <c r="X13" s="196"/>
      <c r="Y13" s="199">
        <f>+W13/D13*100000</f>
        <v>0</v>
      </c>
      <c r="Z13" s="196"/>
      <c r="AA13" s="196">
        <v>90</v>
      </c>
      <c r="AB13" s="196"/>
      <c r="AC13" s="1703">
        <f>+AA13/D13*100000</f>
        <v>2.9709480889541471</v>
      </c>
      <c r="AD13" s="199"/>
      <c r="AE13" s="196"/>
      <c r="AF13" s="196">
        <v>0</v>
      </c>
      <c r="AG13" s="196"/>
      <c r="AH13" s="201">
        <f>+AF13/D13*100000</f>
        <v>0</v>
      </c>
      <c r="AI13" s="201"/>
      <c r="AJ13" s="196"/>
      <c r="AK13" s="196">
        <v>236</v>
      </c>
      <c r="AL13" s="196"/>
      <c r="AM13" s="196"/>
      <c r="AN13" s="196">
        <v>227</v>
      </c>
    </row>
    <row r="14" spans="1:41" x14ac:dyDescent="0.4">
      <c r="C14" s="198">
        <v>1991</v>
      </c>
      <c r="D14" s="197">
        <v>3101536</v>
      </c>
      <c r="E14" s="198"/>
      <c r="F14" s="196">
        <v>60</v>
      </c>
      <c r="G14" s="196"/>
      <c r="H14" s="199">
        <f t="shared" ref="H14:H41" si="0">+F14/D14*100000</f>
        <v>1.9345253448613846</v>
      </c>
      <c r="I14" s="200"/>
      <c r="J14" s="200">
        <v>1</v>
      </c>
      <c r="K14" s="199">
        <f t="shared" ref="K14:K41" si="1">+J14/D14*100000</f>
        <v>3.2242089081023079E-2</v>
      </c>
      <c r="L14" s="196"/>
      <c r="M14" s="196">
        <v>49527</v>
      </c>
      <c r="N14" s="196"/>
      <c r="O14" s="196">
        <f t="shared" ref="O14:O46" si="2">+M14/D14*100000</f>
        <v>1596.8539459158303</v>
      </c>
      <c r="P14" s="196"/>
      <c r="Q14" s="196"/>
      <c r="R14" s="196">
        <v>1272</v>
      </c>
      <c r="S14" s="196"/>
      <c r="T14" s="196">
        <f t="shared" ref="T14:T46" si="3">+R14/D14*100000</f>
        <v>41.011937311061352</v>
      </c>
      <c r="U14" s="196"/>
      <c r="V14" s="196"/>
      <c r="W14" s="197">
        <v>0</v>
      </c>
      <c r="X14" s="196"/>
      <c r="Y14" s="199">
        <f t="shared" ref="Y14:Y41" si="4">+W14/D14*100000</f>
        <v>0</v>
      </c>
      <c r="Z14" s="196"/>
      <c r="AA14" s="196">
        <v>1670</v>
      </c>
      <c r="AB14" s="196"/>
      <c r="AC14" s="1703">
        <f t="shared" ref="AC14:AC39" si="5">+AA14/D14*100000</f>
        <v>53.844288765308548</v>
      </c>
      <c r="AD14" s="199"/>
      <c r="AE14" s="196"/>
      <c r="AF14" s="196">
        <v>0</v>
      </c>
      <c r="AG14" s="196"/>
      <c r="AH14" s="201">
        <f t="shared" ref="AH14:AH43" si="6">+AF14/D14*100000</f>
        <v>0</v>
      </c>
      <c r="AI14" s="201"/>
      <c r="AJ14" s="196"/>
      <c r="AK14" s="196">
        <v>4451</v>
      </c>
      <c r="AL14" s="196"/>
      <c r="AM14" s="196"/>
      <c r="AN14" s="196">
        <v>7771</v>
      </c>
    </row>
    <row r="15" spans="1:41" x14ac:dyDescent="0.4">
      <c r="C15" s="198">
        <v>1992</v>
      </c>
      <c r="D15" s="197">
        <v>3170537</v>
      </c>
      <c r="E15" s="198"/>
      <c r="F15" s="196">
        <v>19</v>
      </c>
      <c r="G15" s="196"/>
      <c r="H15" s="199">
        <f t="shared" si="0"/>
        <v>0.59926756886924837</v>
      </c>
      <c r="I15" s="200"/>
      <c r="J15" s="200">
        <v>0</v>
      </c>
      <c r="K15" s="199">
        <f t="shared" si="1"/>
        <v>0</v>
      </c>
      <c r="L15" s="196"/>
      <c r="M15" s="196">
        <v>7049</v>
      </c>
      <c r="N15" s="196"/>
      <c r="O15" s="196">
        <f t="shared" si="2"/>
        <v>222.32826805049112</v>
      </c>
      <c r="P15" s="196"/>
      <c r="Q15" s="196"/>
      <c r="R15" s="196">
        <v>1883</v>
      </c>
      <c r="S15" s="196"/>
      <c r="T15" s="196">
        <f t="shared" si="3"/>
        <v>59.390570114778669</v>
      </c>
      <c r="U15" s="196"/>
      <c r="V15" s="196"/>
      <c r="W15" s="197">
        <v>0</v>
      </c>
      <c r="X15" s="196"/>
      <c r="Y15" s="199">
        <f t="shared" si="4"/>
        <v>0</v>
      </c>
      <c r="Z15" s="196"/>
      <c r="AA15" s="196">
        <v>0</v>
      </c>
      <c r="AB15" s="196"/>
      <c r="AC15" s="1703">
        <f t="shared" si="5"/>
        <v>0</v>
      </c>
      <c r="AD15" s="199"/>
      <c r="AE15" s="196"/>
      <c r="AF15" s="196">
        <v>0</v>
      </c>
      <c r="AG15" s="196"/>
      <c r="AH15" s="201">
        <f t="shared" si="6"/>
        <v>0</v>
      </c>
      <c r="AI15" s="201"/>
      <c r="AJ15" s="196"/>
      <c r="AK15" s="196">
        <v>50</v>
      </c>
      <c r="AL15" s="196"/>
      <c r="AM15" s="196"/>
      <c r="AN15" s="196">
        <v>118</v>
      </c>
    </row>
    <row r="16" spans="1:41" x14ac:dyDescent="0.4">
      <c r="C16" s="198">
        <v>1993</v>
      </c>
      <c r="D16" s="197">
        <v>3239868</v>
      </c>
      <c r="E16" s="198"/>
      <c r="F16" s="196">
        <v>15</v>
      </c>
      <c r="G16" s="196"/>
      <c r="H16" s="199">
        <f t="shared" si="0"/>
        <v>0.46298182518547049</v>
      </c>
      <c r="I16" s="200"/>
      <c r="J16" s="200">
        <v>0</v>
      </c>
      <c r="K16" s="199">
        <f t="shared" si="1"/>
        <v>0</v>
      </c>
      <c r="L16" s="196"/>
      <c r="M16" s="196">
        <v>860</v>
      </c>
      <c r="N16" s="196"/>
      <c r="O16" s="196">
        <f t="shared" si="2"/>
        <v>26.544291310633643</v>
      </c>
      <c r="P16" s="196"/>
      <c r="Q16" s="196"/>
      <c r="R16" s="196">
        <v>352</v>
      </c>
      <c r="S16" s="196"/>
      <c r="T16" s="196">
        <f t="shared" si="3"/>
        <v>10.864640164352375</v>
      </c>
      <c r="U16" s="196"/>
      <c r="V16" s="196"/>
      <c r="W16" s="197">
        <v>0</v>
      </c>
      <c r="X16" s="196"/>
      <c r="Y16" s="199">
        <f t="shared" si="4"/>
        <v>0</v>
      </c>
      <c r="Z16" s="196"/>
      <c r="AA16" s="196">
        <v>0</v>
      </c>
      <c r="AB16" s="196"/>
      <c r="AC16" s="1703">
        <f t="shared" si="5"/>
        <v>0</v>
      </c>
      <c r="AD16" s="199"/>
      <c r="AE16" s="196"/>
      <c r="AF16" s="196">
        <v>2000</v>
      </c>
      <c r="AG16" s="196"/>
      <c r="AH16" s="201">
        <f t="shared" si="6"/>
        <v>61.730910024729397</v>
      </c>
      <c r="AI16" s="201"/>
      <c r="AJ16" s="196"/>
      <c r="AK16" s="196">
        <v>76</v>
      </c>
      <c r="AL16" s="196"/>
      <c r="AM16" s="196"/>
      <c r="AN16" s="196">
        <v>668</v>
      </c>
    </row>
    <row r="17" spans="3:40" x14ac:dyDescent="0.4">
      <c r="C17" s="198">
        <v>1994</v>
      </c>
      <c r="D17" s="197">
        <v>3334223</v>
      </c>
      <c r="E17" s="198"/>
      <c r="F17" s="196">
        <v>28</v>
      </c>
      <c r="G17" s="196"/>
      <c r="H17" s="199">
        <f t="shared" si="0"/>
        <v>0.83977586382194591</v>
      </c>
      <c r="I17" s="200"/>
      <c r="J17" s="200">
        <v>4</v>
      </c>
      <c r="K17" s="199">
        <f t="shared" si="1"/>
        <v>0.11996798054599228</v>
      </c>
      <c r="L17" s="196"/>
      <c r="M17" s="196">
        <v>13114</v>
      </c>
      <c r="N17" s="196"/>
      <c r="O17" s="196">
        <f t="shared" si="2"/>
        <v>393.3150242200357</v>
      </c>
      <c r="P17" s="196"/>
      <c r="Q17" s="196"/>
      <c r="R17" s="196">
        <v>190</v>
      </c>
      <c r="S17" s="196"/>
      <c r="T17" s="196">
        <f t="shared" si="3"/>
        <v>5.6984790759346327</v>
      </c>
      <c r="U17" s="196"/>
      <c r="V17" s="196"/>
      <c r="W17" s="197">
        <v>0</v>
      </c>
      <c r="X17" s="196"/>
      <c r="Y17" s="199">
        <f t="shared" si="4"/>
        <v>0</v>
      </c>
      <c r="Z17" s="196"/>
      <c r="AA17" s="196">
        <v>0</v>
      </c>
      <c r="AB17" s="196"/>
      <c r="AC17" s="1703">
        <f t="shared" si="5"/>
        <v>0</v>
      </c>
      <c r="AD17" s="199"/>
      <c r="AE17" s="196"/>
      <c r="AF17" s="196">
        <v>3251</v>
      </c>
      <c r="AG17" s="196"/>
      <c r="AH17" s="201">
        <f t="shared" si="6"/>
        <v>97.503976188755217</v>
      </c>
      <c r="AI17" s="201"/>
      <c r="AJ17" s="196"/>
      <c r="AK17" s="196">
        <v>302</v>
      </c>
      <c r="AL17" s="196"/>
      <c r="AM17" s="196"/>
      <c r="AN17" s="196">
        <v>114</v>
      </c>
    </row>
    <row r="18" spans="3:40" x14ac:dyDescent="0.4">
      <c r="C18" s="198">
        <v>1995</v>
      </c>
      <c r="D18" s="197">
        <v>3428278</v>
      </c>
      <c r="E18" s="198"/>
      <c r="F18" s="196">
        <v>13</v>
      </c>
      <c r="G18" s="196"/>
      <c r="H18" s="199">
        <f t="shared" si="0"/>
        <v>0.37919911979133547</v>
      </c>
      <c r="I18" s="200"/>
      <c r="J18" s="200">
        <v>0</v>
      </c>
      <c r="K18" s="199">
        <f t="shared" si="1"/>
        <v>0</v>
      </c>
      <c r="L18" s="196"/>
      <c r="M18" s="196">
        <v>7497</v>
      </c>
      <c r="N18" s="196"/>
      <c r="O18" s="196">
        <f t="shared" si="2"/>
        <v>218.68121546735705</v>
      </c>
      <c r="P18" s="196"/>
      <c r="Q18" s="196"/>
      <c r="R18" s="196">
        <v>4018</v>
      </c>
      <c r="S18" s="196"/>
      <c r="T18" s="196">
        <f t="shared" si="3"/>
        <v>117.20169717858353</v>
      </c>
      <c r="U18" s="196"/>
      <c r="V18" s="196"/>
      <c r="W18" s="197">
        <v>0</v>
      </c>
      <c r="X18" s="196"/>
      <c r="Y18" s="199">
        <f t="shared" si="4"/>
        <v>0</v>
      </c>
      <c r="Z18" s="196"/>
      <c r="AA18" s="196">
        <v>0</v>
      </c>
      <c r="AB18" s="196"/>
      <c r="AC18" s="1703">
        <f t="shared" si="5"/>
        <v>0</v>
      </c>
      <c r="AD18" s="199"/>
      <c r="AE18" s="196"/>
      <c r="AF18" s="196">
        <v>116</v>
      </c>
      <c r="AG18" s="196"/>
      <c r="AH18" s="201">
        <f t="shared" si="6"/>
        <v>3.3836229150611477</v>
      </c>
      <c r="AI18" s="201"/>
      <c r="AJ18" s="196"/>
      <c r="AK18" s="196">
        <v>130</v>
      </c>
      <c r="AL18" s="196"/>
      <c r="AM18" s="196"/>
      <c r="AN18" s="196">
        <v>878</v>
      </c>
    </row>
    <row r="19" spans="3:40" x14ac:dyDescent="0.4">
      <c r="C19" s="198">
        <v>1996</v>
      </c>
      <c r="D19" s="197">
        <v>3520866</v>
      </c>
      <c r="E19" s="198"/>
      <c r="F19" s="196">
        <v>57</v>
      </c>
      <c r="G19" s="196"/>
      <c r="H19" s="199">
        <f t="shared" si="0"/>
        <v>1.6189198907314282</v>
      </c>
      <c r="I19" s="200"/>
      <c r="J19" s="200">
        <v>0</v>
      </c>
      <c r="K19" s="199">
        <f t="shared" si="1"/>
        <v>0</v>
      </c>
      <c r="L19" s="196"/>
      <c r="M19" s="196">
        <v>12346</v>
      </c>
      <c r="N19" s="196"/>
      <c r="O19" s="196">
        <f t="shared" si="2"/>
        <v>350.65236791175806</v>
      </c>
      <c r="P19" s="196"/>
      <c r="Q19" s="196"/>
      <c r="R19" s="196">
        <v>6551</v>
      </c>
      <c r="S19" s="196"/>
      <c r="T19" s="196">
        <f t="shared" si="3"/>
        <v>186.06217902072956</v>
      </c>
      <c r="U19" s="196"/>
      <c r="V19" s="196"/>
      <c r="W19" s="197">
        <v>0</v>
      </c>
      <c r="X19" s="196"/>
      <c r="Y19" s="199">
        <f t="shared" si="4"/>
        <v>0</v>
      </c>
      <c r="Z19" s="196"/>
      <c r="AA19" s="196">
        <v>139</v>
      </c>
      <c r="AB19" s="196"/>
      <c r="AC19" s="1703">
        <f t="shared" si="5"/>
        <v>3.9478923651169908</v>
      </c>
      <c r="AD19" s="199"/>
      <c r="AE19" s="196"/>
      <c r="AF19" s="196">
        <v>722</v>
      </c>
      <c r="AG19" s="196"/>
      <c r="AH19" s="201">
        <f t="shared" si="6"/>
        <v>20.50631861593142</v>
      </c>
      <c r="AI19" s="201"/>
      <c r="AJ19" s="196"/>
      <c r="AK19" s="196">
        <v>683</v>
      </c>
      <c r="AL19" s="196"/>
      <c r="AM19" s="196"/>
      <c r="AN19" s="196">
        <v>1057</v>
      </c>
    </row>
    <row r="20" spans="3:40" x14ac:dyDescent="0.4">
      <c r="C20" s="198">
        <v>1997</v>
      </c>
      <c r="D20" s="197">
        <v>3611224</v>
      </c>
      <c r="E20" s="198"/>
      <c r="F20" s="196">
        <v>20</v>
      </c>
      <c r="G20" s="196"/>
      <c r="H20" s="199">
        <f t="shared" si="0"/>
        <v>0.55382884030456159</v>
      </c>
      <c r="I20" s="200"/>
      <c r="J20" s="200">
        <v>2</v>
      </c>
      <c r="K20" s="199">
        <f t="shared" si="1"/>
        <v>5.5382884030456159E-2</v>
      </c>
      <c r="L20" s="196"/>
      <c r="M20" s="196">
        <v>1714</v>
      </c>
      <c r="N20" s="196"/>
      <c r="O20" s="196">
        <f t="shared" si="2"/>
        <v>47.463131614100924</v>
      </c>
      <c r="P20" s="196"/>
      <c r="Q20" s="196"/>
      <c r="R20" s="196">
        <v>1235</v>
      </c>
      <c r="S20" s="196"/>
      <c r="T20" s="196">
        <f t="shared" si="3"/>
        <v>34.198930888806679</v>
      </c>
      <c r="U20" s="196"/>
      <c r="V20" s="196"/>
      <c r="W20" s="197">
        <v>0</v>
      </c>
      <c r="X20" s="196"/>
      <c r="Y20" s="199">
        <f t="shared" si="4"/>
        <v>0</v>
      </c>
      <c r="Z20" s="196"/>
      <c r="AA20" s="196">
        <v>14</v>
      </c>
      <c r="AB20" s="196"/>
      <c r="AC20" s="1703">
        <f t="shared" si="5"/>
        <v>0.38768018821319311</v>
      </c>
      <c r="AD20" s="199"/>
      <c r="AE20" s="196"/>
      <c r="AF20" s="196">
        <v>105</v>
      </c>
      <c r="AG20" s="196"/>
      <c r="AH20" s="201">
        <f t="shared" si="6"/>
        <v>2.9076014115989484</v>
      </c>
      <c r="AI20" s="201"/>
      <c r="AJ20" s="196"/>
      <c r="AK20" s="196">
        <v>81</v>
      </c>
      <c r="AL20" s="196"/>
      <c r="AM20" s="196"/>
      <c r="AN20" s="196">
        <v>1059</v>
      </c>
    </row>
    <row r="21" spans="3:40" x14ac:dyDescent="0.4">
      <c r="C21" s="198">
        <v>1998</v>
      </c>
      <c r="D21" s="197">
        <v>3699939</v>
      </c>
      <c r="E21" s="198"/>
      <c r="F21" s="196">
        <v>14</v>
      </c>
      <c r="G21" s="196"/>
      <c r="H21" s="199">
        <f t="shared" si="0"/>
        <v>0.37838461661124684</v>
      </c>
      <c r="I21" s="200"/>
      <c r="J21" s="200">
        <v>2</v>
      </c>
      <c r="K21" s="199">
        <f t="shared" si="1"/>
        <v>5.405494523017812E-2</v>
      </c>
      <c r="L21" s="196"/>
      <c r="M21" s="196">
        <v>7467</v>
      </c>
      <c r="N21" s="196"/>
      <c r="O21" s="196">
        <f t="shared" si="2"/>
        <v>201.81413801687</v>
      </c>
      <c r="P21" s="196"/>
      <c r="Q21" s="196"/>
      <c r="R21" s="196">
        <v>8006</v>
      </c>
      <c r="S21" s="196"/>
      <c r="T21" s="196">
        <f t="shared" si="3"/>
        <v>216.38194575640301</v>
      </c>
      <c r="U21" s="196"/>
      <c r="V21" s="196"/>
      <c r="W21" s="197">
        <v>2</v>
      </c>
      <c r="X21" s="196"/>
      <c r="Y21" s="199">
        <f t="shared" si="4"/>
        <v>5.405494523017812E-2</v>
      </c>
      <c r="Z21" s="196"/>
      <c r="AA21" s="196">
        <v>243</v>
      </c>
      <c r="AB21" s="196"/>
      <c r="AC21" s="1703">
        <f t="shared" si="5"/>
        <v>6.567675845466642</v>
      </c>
      <c r="AD21" s="199"/>
      <c r="AE21" s="196"/>
      <c r="AF21" s="196">
        <v>911</v>
      </c>
      <c r="AG21" s="196"/>
      <c r="AH21" s="201">
        <f t="shared" si="6"/>
        <v>24.622027552346132</v>
      </c>
      <c r="AI21" s="201"/>
      <c r="AJ21" s="196"/>
      <c r="AK21" s="196">
        <v>122</v>
      </c>
      <c r="AL21" s="196"/>
      <c r="AM21" s="196"/>
      <c r="AN21" s="196">
        <v>1815</v>
      </c>
    </row>
    <row r="22" spans="3:40" x14ac:dyDescent="0.4">
      <c r="C22" s="198">
        <v>1999</v>
      </c>
      <c r="D22" s="197">
        <v>3786841</v>
      </c>
      <c r="E22" s="198"/>
      <c r="F22" s="196">
        <v>12</v>
      </c>
      <c r="G22" s="196"/>
      <c r="H22" s="199">
        <f t="shared" si="0"/>
        <v>0.31688681938322733</v>
      </c>
      <c r="I22" s="200"/>
      <c r="J22" s="200">
        <v>0</v>
      </c>
      <c r="K22" s="199">
        <f t="shared" si="1"/>
        <v>0</v>
      </c>
      <c r="L22" s="196"/>
      <c r="M22" s="196">
        <v>14786</v>
      </c>
      <c r="N22" s="196"/>
      <c r="O22" s="196">
        <f t="shared" si="2"/>
        <v>390.45737595003328</v>
      </c>
      <c r="P22" s="196"/>
      <c r="Q22" s="196"/>
      <c r="R22" s="196">
        <v>12829</v>
      </c>
      <c r="S22" s="196"/>
      <c r="T22" s="196">
        <f t="shared" si="3"/>
        <v>338.77841715561863</v>
      </c>
      <c r="U22" s="196"/>
      <c r="V22" s="196"/>
      <c r="W22" s="197">
        <v>0</v>
      </c>
      <c r="X22" s="196"/>
      <c r="Y22" s="199">
        <f t="shared" si="4"/>
        <v>0</v>
      </c>
      <c r="Z22" s="196"/>
      <c r="AA22" s="196">
        <v>18</v>
      </c>
      <c r="AB22" s="196"/>
      <c r="AC22" s="1703">
        <f t="shared" si="5"/>
        <v>0.47533022907484096</v>
      </c>
      <c r="AD22" s="199"/>
      <c r="AE22" s="196"/>
      <c r="AF22" s="196">
        <v>3410</v>
      </c>
      <c r="AG22" s="196"/>
      <c r="AH22" s="201">
        <f t="shared" si="6"/>
        <v>90.048671174733769</v>
      </c>
      <c r="AI22" s="201"/>
      <c r="AJ22" s="196"/>
      <c r="AK22" s="196">
        <v>173</v>
      </c>
      <c r="AL22" s="196"/>
      <c r="AM22" s="196"/>
      <c r="AN22" s="196">
        <v>5085</v>
      </c>
    </row>
    <row r="23" spans="3:40" x14ac:dyDescent="0.4">
      <c r="C23" s="198">
        <v>2000</v>
      </c>
      <c r="D23" s="197">
        <v>3872349</v>
      </c>
      <c r="E23" s="198"/>
      <c r="F23" s="196">
        <v>8</v>
      </c>
      <c r="G23" s="196"/>
      <c r="H23" s="199">
        <f t="shared" si="0"/>
        <v>0.20659294913759063</v>
      </c>
      <c r="I23" s="200"/>
      <c r="J23" s="200">
        <v>8</v>
      </c>
      <c r="K23" s="199">
        <f t="shared" si="1"/>
        <v>0.20659294913759063</v>
      </c>
      <c r="L23" s="196"/>
      <c r="M23" s="196">
        <v>3766</v>
      </c>
      <c r="N23" s="196"/>
      <c r="O23" s="196">
        <f t="shared" si="2"/>
        <v>97.253630806520803</v>
      </c>
      <c r="P23" s="196"/>
      <c r="Q23" s="196"/>
      <c r="R23" s="196">
        <v>2440</v>
      </c>
      <c r="S23" s="196"/>
      <c r="T23" s="196">
        <f t="shared" si="3"/>
        <v>63.010849486965142</v>
      </c>
      <c r="U23" s="196"/>
      <c r="V23" s="196"/>
      <c r="W23" s="197">
        <v>0</v>
      </c>
      <c r="X23" s="196"/>
      <c r="Y23" s="199">
        <f t="shared" si="4"/>
        <v>0</v>
      </c>
      <c r="Z23" s="196"/>
      <c r="AA23" s="196">
        <v>14</v>
      </c>
      <c r="AB23" s="196"/>
      <c r="AC23" s="1703">
        <f t="shared" si="5"/>
        <v>0.3615376609907836</v>
      </c>
      <c r="AD23" s="199"/>
      <c r="AE23" s="196"/>
      <c r="AF23" s="196">
        <v>0</v>
      </c>
      <c r="AG23" s="196"/>
      <c r="AH23" s="201">
        <f t="shared" si="6"/>
        <v>0</v>
      </c>
      <c r="AI23" s="201"/>
      <c r="AJ23" s="196"/>
      <c r="AK23" s="196">
        <v>5</v>
      </c>
      <c r="AL23" s="196"/>
      <c r="AM23" s="196"/>
      <c r="AN23" s="196">
        <v>1577</v>
      </c>
    </row>
    <row r="24" spans="3:40" x14ac:dyDescent="0.4">
      <c r="C24" s="198">
        <v>2001</v>
      </c>
      <c r="D24" s="197">
        <v>3953393</v>
      </c>
      <c r="E24" s="198"/>
      <c r="F24" s="196">
        <v>2</v>
      </c>
      <c r="G24" s="196"/>
      <c r="H24" s="199">
        <f t="shared" si="0"/>
        <v>5.0589455690339923E-2</v>
      </c>
      <c r="I24" s="200"/>
      <c r="J24" s="200">
        <v>0</v>
      </c>
      <c r="K24" s="199">
        <f t="shared" si="1"/>
        <v>0</v>
      </c>
      <c r="L24" s="196"/>
      <c r="M24" s="196">
        <v>3838</v>
      </c>
      <c r="N24" s="196"/>
      <c r="O24" s="196">
        <f t="shared" si="2"/>
        <v>97.081165469762311</v>
      </c>
      <c r="P24" s="196"/>
      <c r="Q24" s="196"/>
      <c r="R24" s="196">
        <v>2285</v>
      </c>
      <c r="S24" s="196"/>
      <c r="T24" s="196">
        <f t="shared" si="3"/>
        <v>57.79845312621336</v>
      </c>
      <c r="U24" s="196"/>
      <c r="V24" s="196"/>
      <c r="W24" s="197">
        <v>1</v>
      </c>
      <c r="X24" s="196"/>
      <c r="Y24" s="199">
        <f t="shared" si="4"/>
        <v>2.5294727845169961E-2</v>
      </c>
      <c r="Z24" s="196"/>
      <c r="AA24" s="196">
        <v>0</v>
      </c>
      <c r="AB24" s="196"/>
      <c r="AC24" s="1703">
        <f t="shared" si="5"/>
        <v>0</v>
      </c>
      <c r="AD24" s="199"/>
      <c r="AE24" s="196"/>
      <c r="AF24" s="196">
        <v>432</v>
      </c>
      <c r="AG24" s="196"/>
      <c r="AH24" s="201">
        <f t="shared" si="6"/>
        <v>10.927322429113422</v>
      </c>
      <c r="AI24" s="201"/>
      <c r="AJ24" s="196"/>
      <c r="AK24" s="196">
        <v>21</v>
      </c>
      <c r="AL24" s="196"/>
      <c r="AM24" s="196"/>
      <c r="AN24" s="196">
        <v>1555</v>
      </c>
    </row>
    <row r="25" spans="3:40" x14ac:dyDescent="0.4">
      <c r="C25" s="198">
        <v>2002</v>
      </c>
      <c r="D25" s="197">
        <v>4022431</v>
      </c>
      <c r="E25" s="198"/>
      <c r="F25" s="196">
        <v>18</v>
      </c>
      <c r="G25" s="196"/>
      <c r="H25" s="199">
        <f t="shared" si="0"/>
        <v>0.44749058467379549</v>
      </c>
      <c r="I25" s="200"/>
      <c r="J25" s="200">
        <v>7</v>
      </c>
      <c r="K25" s="199">
        <f t="shared" si="1"/>
        <v>0.1740241162620316</v>
      </c>
      <c r="L25" s="196"/>
      <c r="M25" s="196">
        <v>14835</v>
      </c>
      <c r="N25" s="196"/>
      <c r="O25" s="196">
        <f t="shared" si="2"/>
        <v>368.80682353531978</v>
      </c>
      <c r="P25" s="196"/>
      <c r="Q25" s="196"/>
      <c r="R25" s="196">
        <v>12638</v>
      </c>
      <c r="S25" s="196"/>
      <c r="T25" s="196">
        <f t="shared" si="3"/>
        <v>314.1881116170793</v>
      </c>
      <c r="U25" s="196"/>
      <c r="V25" s="196"/>
      <c r="W25" s="197">
        <v>0</v>
      </c>
      <c r="X25" s="196"/>
      <c r="Y25" s="199">
        <f t="shared" si="4"/>
        <v>0</v>
      </c>
      <c r="Z25" s="196"/>
      <c r="AA25" s="196">
        <v>1</v>
      </c>
      <c r="AB25" s="196"/>
      <c r="AC25" s="1703">
        <f t="shared" si="5"/>
        <v>2.4860588037433084E-2</v>
      </c>
      <c r="AD25" s="199"/>
      <c r="AE25" s="196"/>
      <c r="AF25" s="196">
        <v>0</v>
      </c>
      <c r="AG25" s="196"/>
      <c r="AH25" s="201">
        <f t="shared" si="6"/>
        <v>0</v>
      </c>
      <c r="AI25" s="201"/>
      <c r="AJ25" s="196"/>
      <c r="AK25" s="196">
        <v>98</v>
      </c>
      <c r="AL25" s="196"/>
      <c r="AM25" s="196"/>
      <c r="AN25" s="196">
        <v>1527</v>
      </c>
    </row>
    <row r="26" spans="3:40" x14ac:dyDescent="0.4">
      <c r="C26" s="198">
        <v>2003</v>
      </c>
      <c r="D26" s="197">
        <v>4086405</v>
      </c>
      <c r="E26" s="198"/>
      <c r="F26" s="196">
        <v>1</v>
      </c>
      <c r="G26" s="196"/>
      <c r="H26" s="199">
        <f t="shared" si="0"/>
        <v>2.4471387442018107E-2</v>
      </c>
      <c r="I26" s="200"/>
      <c r="J26" s="200">
        <v>0</v>
      </c>
      <c r="K26" s="199">
        <f t="shared" si="1"/>
        <v>0</v>
      </c>
      <c r="L26" s="196"/>
      <c r="M26" s="196">
        <v>2455</v>
      </c>
      <c r="N26" s="196"/>
      <c r="O26" s="196">
        <f t="shared" si="2"/>
        <v>60.077256170154449</v>
      </c>
      <c r="P26" s="196"/>
      <c r="Q26" s="196"/>
      <c r="R26" s="196">
        <v>462</v>
      </c>
      <c r="S26" s="196"/>
      <c r="T26" s="196">
        <f t="shared" si="3"/>
        <v>11.305780998212365</v>
      </c>
      <c r="U26" s="196"/>
      <c r="V26" s="196"/>
      <c r="W26" s="197">
        <v>0</v>
      </c>
      <c r="X26" s="196"/>
      <c r="Y26" s="199">
        <f t="shared" si="4"/>
        <v>0</v>
      </c>
      <c r="Z26" s="196"/>
      <c r="AA26" s="196">
        <v>0</v>
      </c>
      <c r="AB26" s="196"/>
      <c r="AC26" s="1703">
        <f t="shared" si="5"/>
        <v>0</v>
      </c>
      <c r="AD26" s="199"/>
      <c r="AE26" s="196"/>
      <c r="AF26" s="196">
        <v>500000</v>
      </c>
      <c r="AG26" s="196"/>
      <c r="AH26" s="201">
        <f t="shared" si="6"/>
        <v>12235.693721009053</v>
      </c>
      <c r="AI26" s="201"/>
      <c r="AJ26" s="196"/>
      <c r="AK26" s="196">
        <v>90</v>
      </c>
      <c r="AL26" s="196"/>
      <c r="AM26" s="196"/>
      <c r="AN26" s="196">
        <v>1525</v>
      </c>
    </row>
    <row r="27" spans="3:40" x14ac:dyDescent="0.4">
      <c r="C27" s="198">
        <v>2004</v>
      </c>
      <c r="D27" s="197">
        <v>4151823</v>
      </c>
      <c r="E27" s="198"/>
      <c r="F27" s="196">
        <v>9</v>
      </c>
      <c r="G27" s="196"/>
      <c r="H27" s="199">
        <f t="shared" si="0"/>
        <v>0.21677224679375781</v>
      </c>
      <c r="I27" s="200"/>
      <c r="J27" s="200">
        <v>0</v>
      </c>
      <c r="K27" s="199">
        <f t="shared" si="1"/>
        <v>0</v>
      </c>
      <c r="L27" s="196"/>
      <c r="M27" s="196">
        <v>1763</v>
      </c>
      <c r="N27" s="196"/>
      <c r="O27" s="196">
        <f t="shared" si="2"/>
        <v>42.46327456637723</v>
      </c>
      <c r="P27" s="196"/>
      <c r="Q27" s="196"/>
      <c r="R27" s="196">
        <v>1411</v>
      </c>
      <c r="S27" s="196"/>
      <c r="T27" s="196">
        <f t="shared" si="3"/>
        <v>33.985071136221364</v>
      </c>
      <c r="U27" s="196"/>
      <c r="V27" s="196"/>
      <c r="W27" s="197">
        <v>0</v>
      </c>
      <c r="X27" s="196"/>
      <c r="Y27" s="199">
        <f t="shared" si="4"/>
        <v>0</v>
      </c>
      <c r="Z27" s="196"/>
      <c r="AA27" s="196">
        <v>0</v>
      </c>
      <c r="AB27" s="196"/>
      <c r="AC27" s="1703">
        <f t="shared" si="5"/>
        <v>0</v>
      </c>
      <c r="AD27" s="199"/>
      <c r="AE27" s="196"/>
      <c r="AF27" s="196">
        <v>18</v>
      </c>
      <c r="AG27" s="196"/>
      <c r="AH27" s="201">
        <f t="shared" si="6"/>
        <v>0.43354449358751562</v>
      </c>
      <c r="AI27" s="201"/>
      <c r="AJ27" s="196"/>
      <c r="AK27" s="196">
        <v>15</v>
      </c>
      <c r="AL27" s="196"/>
      <c r="AM27" s="196"/>
      <c r="AN27" s="196">
        <v>2012</v>
      </c>
    </row>
    <row r="28" spans="3:40" x14ac:dyDescent="0.4">
      <c r="C28" s="198">
        <v>2005</v>
      </c>
      <c r="D28" s="197">
        <v>4215248</v>
      </c>
      <c r="E28" s="198"/>
      <c r="F28" s="196">
        <v>9</v>
      </c>
      <c r="G28" s="196"/>
      <c r="H28" s="199">
        <f t="shared" si="0"/>
        <v>0.21351056924764569</v>
      </c>
      <c r="I28" s="200"/>
      <c r="J28" s="200">
        <v>1</v>
      </c>
      <c r="K28" s="199">
        <f t="shared" si="1"/>
        <v>2.3723396583071741E-2</v>
      </c>
      <c r="L28" s="196"/>
      <c r="M28" s="196">
        <v>20215</v>
      </c>
      <c r="N28" s="196"/>
      <c r="O28" s="196">
        <f t="shared" si="2"/>
        <v>479.56846192679524</v>
      </c>
      <c r="P28" s="196"/>
      <c r="Q28" s="196"/>
      <c r="R28" s="196">
        <v>2866</v>
      </c>
      <c r="S28" s="196"/>
      <c r="T28" s="196">
        <f t="shared" si="3"/>
        <v>67.991254607083619</v>
      </c>
      <c r="U28" s="196"/>
      <c r="V28" s="196"/>
      <c r="W28" s="197">
        <v>50</v>
      </c>
      <c r="X28" s="196"/>
      <c r="Y28" s="199">
        <f t="shared" si="4"/>
        <v>1.1861698291535872</v>
      </c>
      <c r="Z28" s="196"/>
      <c r="AA28" s="196">
        <v>0</v>
      </c>
      <c r="AB28" s="196"/>
      <c r="AC28" s="1703">
        <f t="shared" si="5"/>
        <v>0</v>
      </c>
      <c r="AD28" s="199"/>
      <c r="AE28" s="196"/>
      <c r="AF28" s="196">
        <v>60</v>
      </c>
      <c r="AG28" s="196"/>
      <c r="AH28" s="201">
        <f t="shared" si="6"/>
        <v>1.4234037949843046</v>
      </c>
      <c r="AI28" s="201"/>
      <c r="AJ28" s="196"/>
      <c r="AK28" s="196">
        <v>35</v>
      </c>
      <c r="AL28" s="196"/>
      <c r="AM28" s="196"/>
      <c r="AN28" s="196">
        <v>3286</v>
      </c>
    </row>
    <row r="29" spans="3:40" x14ac:dyDescent="0.4">
      <c r="C29" s="198">
        <v>2006</v>
      </c>
      <c r="D29" s="197">
        <v>4278656</v>
      </c>
      <c r="E29" s="198"/>
      <c r="F29" s="196">
        <v>7</v>
      </c>
      <c r="G29" s="196"/>
      <c r="H29" s="199">
        <f t="shared" si="0"/>
        <v>0.16360277619888117</v>
      </c>
      <c r="I29" s="200"/>
      <c r="J29" s="200">
        <v>0</v>
      </c>
      <c r="K29" s="199">
        <f t="shared" si="1"/>
        <v>0</v>
      </c>
      <c r="L29" s="196"/>
      <c r="M29" s="196">
        <v>2441</v>
      </c>
      <c r="N29" s="196"/>
      <c r="O29" s="196">
        <f t="shared" si="2"/>
        <v>57.050625243066982</v>
      </c>
      <c r="P29" s="196"/>
      <c r="Q29" s="196"/>
      <c r="R29" s="196">
        <v>155</v>
      </c>
      <c r="S29" s="196"/>
      <c r="T29" s="196">
        <f t="shared" si="3"/>
        <v>3.6226329015466541</v>
      </c>
      <c r="U29" s="196"/>
      <c r="V29" s="196"/>
      <c r="W29" s="197">
        <v>58</v>
      </c>
      <c r="X29" s="196"/>
      <c r="Y29" s="199">
        <f t="shared" si="4"/>
        <v>1.3555658599335867</v>
      </c>
      <c r="Z29" s="196"/>
      <c r="AA29" s="196">
        <v>0</v>
      </c>
      <c r="AB29" s="196"/>
      <c r="AC29" s="1703">
        <f t="shared" si="5"/>
        <v>0</v>
      </c>
      <c r="AD29" s="199"/>
      <c r="AE29" s="196"/>
      <c r="AF29" s="196">
        <v>667</v>
      </c>
      <c r="AG29" s="196"/>
      <c r="AH29" s="201">
        <f t="shared" si="6"/>
        <v>15.589007389236247</v>
      </c>
      <c r="AI29" s="201"/>
      <c r="AJ29" s="196"/>
      <c r="AK29" s="196">
        <v>2</v>
      </c>
      <c r="AL29" s="196"/>
      <c r="AM29" s="196"/>
      <c r="AN29" s="196">
        <v>1414</v>
      </c>
    </row>
    <row r="30" spans="3:40" x14ac:dyDescent="0.4">
      <c r="C30" s="198">
        <v>2007</v>
      </c>
      <c r="D30" s="197">
        <v>4340390</v>
      </c>
      <c r="E30" s="198"/>
      <c r="F30" s="196">
        <v>30</v>
      </c>
      <c r="G30" s="196"/>
      <c r="H30" s="199">
        <f t="shared" si="0"/>
        <v>0.69118212879487784</v>
      </c>
      <c r="I30" s="200"/>
      <c r="J30" s="200">
        <v>2</v>
      </c>
      <c r="K30" s="199">
        <f t="shared" si="1"/>
        <v>4.6078808586325189E-2</v>
      </c>
      <c r="L30" s="196"/>
      <c r="M30" s="196">
        <v>24385</v>
      </c>
      <c r="N30" s="196"/>
      <c r="O30" s="196">
        <f t="shared" si="2"/>
        <v>561.8158736887699</v>
      </c>
      <c r="P30" s="196"/>
      <c r="Q30" s="196"/>
      <c r="R30" s="196">
        <v>4857</v>
      </c>
      <c r="S30" s="196"/>
      <c r="T30" s="196">
        <f t="shared" si="3"/>
        <v>111.90238665189072</v>
      </c>
      <c r="U30" s="196"/>
      <c r="V30" s="196"/>
      <c r="W30" s="197">
        <v>20</v>
      </c>
      <c r="X30" s="196"/>
      <c r="Y30" s="199">
        <f t="shared" si="4"/>
        <v>0.46078808586325193</v>
      </c>
      <c r="Z30" s="196"/>
      <c r="AA30" s="196">
        <v>0</v>
      </c>
      <c r="AB30" s="196"/>
      <c r="AC30" s="1703">
        <f t="shared" si="5"/>
        <v>0</v>
      </c>
      <c r="AD30" s="199"/>
      <c r="AE30" s="196"/>
      <c r="AF30" s="196">
        <v>5129</v>
      </c>
      <c r="AG30" s="196"/>
      <c r="AH30" s="201">
        <f t="shared" si="6"/>
        <v>118.16910461963094</v>
      </c>
      <c r="AI30" s="201"/>
      <c r="AJ30" s="196"/>
      <c r="AK30" s="196">
        <v>174</v>
      </c>
      <c r="AL30" s="196"/>
      <c r="AM30" s="196"/>
      <c r="AN30" s="196">
        <v>8910</v>
      </c>
    </row>
    <row r="31" spans="3:40" x14ac:dyDescent="0.4">
      <c r="C31" s="198">
        <v>2008</v>
      </c>
      <c r="D31" s="197">
        <v>4404090</v>
      </c>
      <c r="E31" s="198"/>
      <c r="F31" s="196">
        <v>9</v>
      </c>
      <c r="G31" s="196"/>
      <c r="H31" s="199">
        <f t="shared" si="0"/>
        <v>0.204355496822272</v>
      </c>
      <c r="I31" s="200"/>
      <c r="J31" s="200">
        <v>3</v>
      </c>
      <c r="K31" s="199">
        <f t="shared" si="1"/>
        <v>6.8118498940757347E-2</v>
      </c>
      <c r="L31" s="196"/>
      <c r="M31" s="196">
        <v>4371</v>
      </c>
      <c r="N31" s="196"/>
      <c r="O31" s="196">
        <f t="shared" si="2"/>
        <v>99.248652956683443</v>
      </c>
      <c r="P31" s="196"/>
      <c r="Q31" s="196"/>
      <c r="R31" s="196">
        <v>290</v>
      </c>
      <c r="S31" s="196"/>
      <c r="T31" s="196">
        <f t="shared" si="3"/>
        <v>6.5847882309398766</v>
      </c>
      <c r="U31" s="196"/>
      <c r="V31" s="196"/>
      <c r="W31" s="197">
        <v>30</v>
      </c>
      <c r="X31" s="196"/>
      <c r="Y31" s="199">
        <f t="shared" si="4"/>
        <v>0.68118498940757333</v>
      </c>
      <c r="Z31" s="196"/>
      <c r="AA31" s="196">
        <v>0</v>
      </c>
      <c r="AB31" s="196"/>
      <c r="AC31" s="1703">
        <f t="shared" si="5"/>
        <v>0</v>
      </c>
      <c r="AD31" s="199"/>
      <c r="AE31" s="196"/>
      <c r="AF31" s="196">
        <v>15739</v>
      </c>
      <c r="AG31" s="196"/>
      <c r="AH31" s="201">
        <f t="shared" si="6"/>
        <v>357.37235160952662</v>
      </c>
      <c r="AI31" s="201"/>
      <c r="AJ31" s="196"/>
      <c r="AK31" s="196">
        <v>274</v>
      </c>
      <c r="AL31" s="196"/>
      <c r="AM31" s="196"/>
      <c r="AN31" s="196">
        <v>2973</v>
      </c>
    </row>
    <row r="32" spans="3:40" x14ac:dyDescent="0.4">
      <c r="C32" s="198">
        <v>2009</v>
      </c>
      <c r="D32" s="197">
        <v>4469337</v>
      </c>
      <c r="E32" s="198"/>
      <c r="F32" s="196">
        <v>28</v>
      </c>
      <c r="G32" s="196"/>
      <c r="H32" s="199">
        <f t="shared" si="0"/>
        <v>0.62649113280112911</v>
      </c>
      <c r="I32" s="200"/>
      <c r="J32" s="200">
        <v>7</v>
      </c>
      <c r="K32" s="199">
        <f t="shared" si="1"/>
        <v>0.15662278320028228</v>
      </c>
      <c r="L32" s="196"/>
      <c r="M32" s="196">
        <v>14653</v>
      </c>
      <c r="N32" s="196"/>
      <c r="O32" s="196">
        <f t="shared" si="2"/>
        <v>327.85623460481946</v>
      </c>
      <c r="P32" s="196"/>
      <c r="Q32" s="196"/>
      <c r="R32" s="196">
        <v>1048</v>
      </c>
      <c r="S32" s="196"/>
      <c r="T32" s="196">
        <f t="shared" si="3"/>
        <v>23.448668113413689</v>
      </c>
      <c r="U32" s="196"/>
      <c r="V32" s="196"/>
      <c r="W32" s="197">
        <v>10</v>
      </c>
      <c r="X32" s="196"/>
      <c r="Y32" s="199">
        <f t="shared" si="4"/>
        <v>0.22374683314326041</v>
      </c>
      <c r="Z32" s="196"/>
      <c r="AA32" s="196">
        <v>0</v>
      </c>
      <c r="AB32" s="196"/>
      <c r="AC32" s="1703">
        <f t="shared" si="5"/>
        <v>0</v>
      </c>
      <c r="AD32" s="199"/>
      <c r="AE32" s="196"/>
      <c r="AF32" s="196">
        <v>0</v>
      </c>
      <c r="AG32" s="196"/>
      <c r="AH32" s="201">
        <f t="shared" si="6"/>
        <v>0</v>
      </c>
      <c r="AI32" s="201"/>
      <c r="AJ32" s="196"/>
      <c r="AK32" s="196">
        <v>853</v>
      </c>
      <c r="AL32" s="196"/>
      <c r="AM32" s="196"/>
      <c r="AN32" s="196">
        <v>2654</v>
      </c>
    </row>
    <row r="33" spans="3:40" x14ac:dyDescent="0.4">
      <c r="C33" s="198">
        <v>2010</v>
      </c>
      <c r="D33" s="197">
        <v>4533894</v>
      </c>
      <c r="E33" s="198"/>
      <c r="F33" s="196">
        <v>41</v>
      </c>
      <c r="G33" s="196"/>
      <c r="H33" s="199">
        <f t="shared" si="0"/>
        <v>0.90429992408291859</v>
      </c>
      <c r="I33" s="200"/>
      <c r="J33" s="200">
        <v>2</v>
      </c>
      <c r="K33" s="199">
        <f t="shared" si="1"/>
        <v>4.4112191418678955E-2</v>
      </c>
      <c r="L33" s="196"/>
      <c r="M33" s="196">
        <v>28797</v>
      </c>
      <c r="N33" s="196"/>
      <c r="O33" s="196">
        <f t="shared" si="2"/>
        <v>635.14938814184893</v>
      </c>
      <c r="P33" s="196"/>
      <c r="Q33" s="196"/>
      <c r="R33" s="196">
        <v>5104</v>
      </c>
      <c r="S33" s="196"/>
      <c r="T33" s="196">
        <f t="shared" si="3"/>
        <v>112.57431250046869</v>
      </c>
      <c r="U33" s="196"/>
      <c r="V33" s="196"/>
      <c r="W33" s="197">
        <v>73</v>
      </c>
      <c r="X33" s="196"/>
      <c r="Y33" s="199">
        <f t="shared" si="4"/>
        <v>1.610094986781782</v>
      </c>
      <c r="Z33" s="196"/>
      <c r="AA33" s="196">
        <v>125</v>
      </c>
      <c r="AB33" s="196"/>
      <c r="AC33" s="1703">
        <f t="shared" si="5"/>
        <v>2.7570119636674346</v>
      </c>
      <c r="AD33" s="199"/>
      <c r="AE33" s="196"/>
      <c r="AF33" s="196">
        <v>5204</v>
      </c>
      <c r="AG33" s="196"/>
      <c r="AH33" s="201">
        <f t="shared" si="6"/>
        <v>114.77992207140264</v>
      </c>
      <c r="AI33" s="201"/>
      <c r="AJ33" s="196"/>
      <c r="AK33" s="196">
        <v>39</v>
      </c>
      <c r="AL33" s="196"/>
      <c r="AM33" s="196"/>
      <c r="AN33" s="196">
        <v>10536</v>
      </c>
    </row>
    <row r="34" spans="3:40" x14ac:dyDescent="0.4">
      <c r="C34" s="198">
        <v>2011</v>
      </c>
      <c r="D34" s="197">
        <v>4592149</v>
      </c>
      <c r="E34" s="198"/>
      <c r="F34" s="196">
        <v>11</v>
      </c>
      <c r="G34" s="196"/>
      <c r="H34" s="199">
        <f t="shared" si="0"/>
        <v>0.2395392658208608</v>
      </c>
      <c r="I34" s="200"/>
      <c r="J34" s="200">
        <v>0</v>
      </c>
      <c r="K34" s="199">
        <f t="shared" si="1"/>
        <v>0</v>
      </c>
      <c r="L34" s="196"/>
      <c r="M34" s="196">
        <v>9767</v>
      </c>
      <c r="N34" s="196"/>
      <c r="O34" s="196">
        <f t="shared" si="2"/>
        <v>212.68909175203154</v>
      </c>
      <c r="P34" s="196"/>
      <c r="Q34" s="196"/>
      <c r="R34" s="196">
        <v>1728</v>
      </c>
      <c r="S34" s="196"/>
      <c r="T34" s="196">
        <f t="shared" si="3"/>
        <v>37.62944103076795</v>
      </c>
      <c r="U34" s="196"/>
      <c r="V34" s="196"/>
      <c r="W34" s="197">
        <v>6</v>
      </c>
      <c r="X34" s="196"/>
      <c r="Y34" s="199">
        <f t="shared" si="4"/>
        <v>0.13065778135683315</v>
      </c>
      <c r="Z34" s="196"/>
      <c r="AA34" s="196">
        <v>45</v>
      </c>
      <c r="AB34" s="196"/>
      <c r="AC34" s="1703">
        <f t="shared" si="5"/>
        <v>0.97993336017624866</v>
      </c>
      <c r="AD34" s="199"/>
      <c r="AE34" s="196"/>
      <c r="AF34" s="196">
        <v>1222</v>
      </c>
      <c r="AG34" s="196"/>
      <c r="AH34" s="201">
        <f t="shared" si="6"/>
        <v>26.610634803008356</v>
      </c>
      <c r="AI34" s="201"/>
      <c r="AJ34" s="196"/>
      <c r="AK34" s="196">
        <v>19</v>
      </c>
      <c r="AL34" s="196"/>
      <c r="AM34" s="196"/>
      <c r="AN34" s="196">
        <v>2381</v>
      </c>
    </row>
    <row r="35" spans="3:40" x14ac:dyDescent="0.4">
      <c r="C35" s="198">
        <v>2012</v>
      </c>
      <c r="D35" s="197">
        <v>4652458.9305058112</v>
      </c>
      <c r="E35" s="198"/>
      <c r="F35" s="196">
        <v>14</v>
      </c>
      <c r="G35" s="196"/>
      <c r="H35" s="199">
        <f t="shared" si="0"/>
        <v>0.30091614368056185</v>
      </c>
      <c r="I35" s="200"/>
      <c r="J35" s="200">
        <v>3</v>
      </c>
      <c r="K35" s="199">
        <f t="shared" si="1"/>
        <v>6.4482030788691844E-2</v>
      </c>
      <c r="L35" s="196"/>
      <c r="M35" s="196">
        <v>18231</v>
      </c>
      <c r="N35" s="196"/>
      <c r="O35" s="196">
        <f t="shared" si="2"/>
        <v>391.85730110288029</v>
      </c>
      <c r="P35" s="196"/>
      <c r="Q35" s="196"/>
      <c r="R35" s="196">
        <v>1858</v>
      </c>
      <c r="S35" s="196"/>
      <c r="T35" s="196">
        <f t="shared" si="3"/>
        <v>39.935871068463143</v>
      </c>
      <c r="U35" s="196"/>
      <c r="V35" s="196"/>
      <c r="W35" s="197">
        <v>13</v>
      </c>
      <c r="X35" s="196"/>
      <c r="Y35" s="199">
        <f t="shared" si="4"/>
        <v>0.27942213341766459</v>
      </c>
      <c r="Z35" s="196"/>
      <c r="AA35" s="196">
        <v>1</v>
      </c>
      <c r="AB35" s="196"/>
      <c r="AC35" s="1703">
        <f t="shared" si="5"/>
        <v>2.1494010262897278E-2</v>
      </c>
      <c r="AD35" s="199"/>
      <c r="AE35" s="196"/>
      <c r="AF35" s="196">
        <v>120550</v>
      </c>
      <c r="AG35" s="196"/>
      <c r="AH35" s="201">
        <f t="shared" si="6"/>
        <v>2591.1029371922668</v>
      </c>
      <c r="AI35" s="201"/>
      <c r="AJ35" s="196"/>
      <c r="AK35" s="196">
        <v>770</v>
      </c>
      <c r="AL35" s="196"/>
      <c r="AM35" s="196"/>
      <c r="AN35" s="196">
        <v>3567</v>
      </c>
    </row>
    <row r="36" spans="3:40" x14ac:dyDescent="0.4">
      <c r="C36" s="198">
        <v>2013</v>
      </c>
      <c r="D36" s="197">
        <v>4713168.1414101515</v>
      </c>
      <c r="E36" s="198"/>
      <c r="F36" s="196">
        <v>12</v>
      </c>
      <c r="G36" s="196"/>
      <c r="H36" s="199">
        <f t="shared" si="0"/>
        <v>0.25460581163161461</v>
      </c>
      <c r="I36" s="200"/>
      <c r="J36" s="200">
        <v>0</v>
      </c>
      <c r="K36" s="199">
        <f t="shared" si="1"/>
        <v>0</v>
      </c>
      <c r="L36" s="196"/>
      <c r="M36" s="196">
        <v>6020</v>
      </c>
      <c r="N36" s="196"/>
      <c r="O36" s="196">
        <f t="shared" si="2"/>
        <v>127.72724883519332</v>
      </c>
      <c r="P36" s="196"/>
      <c r="Q36" s="196"/>
      <c r="R36" s="196">
        <v>342</v>
      </c>
      <c r="S36" s="196"/>
      <c r="T36" s="196">
        <f t="shared" si="3"/>
        <v>7.256265631501015</v>
      </c>
      <c r="U36" s="196"/>
      <c r="V36" s="196"/>
      <c r="W36" s="197">
        <v>16</v>
      </c>
      <c r="X36" s="196"/>
      <c r="Y36" s="199">
        <f t="shared" si="4"/>
        <v>0.33947441550881946</v>
      </c>
      <c r="Z36" s="196"/>
      <c r="AA36" s="196">
        <v>25</v>
      </c>
      <c r="AB36" s="196"/>
      <c r="AC36" s="1703">
        <f t="shared" si="5"/>
        <v>0.53042877423253043</v>
      </c>
      <c r="AD36" s="199"/>
      <c r="AE36" s="196"/>
      <c r="AF36" s="196">
        <v>2558</v>
      </c>
      <c r="AG36" s="196"/>
      <c r="AH36" s="201">
        <f t="shared" si="6"/>
        <v>54.273472179472499</v>
      </c>
      <c r="AI36" s="201"/>
      <c r="AJ36" s="196"/>
      <c r="AK36" s="196">
        <v>21</v>
      </c>
      <c r="AL36" s="196"/>
      <c r="AM36" s="196"/>
      <c r="AN36" s="196">
        <v>1447</v>
      </c>
    </row>
    <row r="37" spans="3:40" x14ac:dyDescent="0.4">
      <c r="C37" s="198">
        <v>2014</v>
      </c>
      <c r="D37" s="197">
        <v>4773129.933844462</v>
      </c>
      <c r="E37" s="198"/>
      <c r="F37" s="196">
        <v>10</v>
      </c>
      <c r="G37" s="196"/>
      <c r="H37" s="199">
        <f t="shared" si="0"/>
        <v>0.20950613410068258</v>
      </c>
      <c r="I37" s="200"/>
      <c r="J37" s="200">
        <v>2</v>
      </c>
      <c r="K37" s="199">
        <f t="shared" si="1"/>
        <v>4.1901226820136514E-2</v>
      </c>
      <c r="L37" s="196"/>
      <c r="M37" s="196">
        <v>11204</v>
      </c>
      <c r="N37" s="196"/>
      <c r="O37" s="196">
        <f t="shared" si="2"/>
        <v>234.73067264640477</v>
      </c>
      <c r="P37" s="196"/>
      <c r="Q37" s="196"/>
      <c r="R37" s="196">
        <v>863</v>
      </c>
      <c r="S37" s="196"/>
      <c r="T37" s="196">
        <f t="shared" si="3"/>
        <v>18.080379372888906</v>
      </c>
      <c r="U37" s="196"/>
      <c r="V37" s="196"/>
      <c r="W37" s="197">
        <v>28</v>
      </c>
      <c r="X37" s="196"/>
      <c r="Y37" s="199">
        <f t="shared" si="4"/>
        <v>0.58661717548191117</v>
      </c>
      <c r="Z37" s="196"/>
      <c r="AA37" s="196">
        <v>5</v>
      </c>
      <c r="AB37" s="196"/>
      <c r="AC37" s="1703">
        <f t="shared" si="5"/>
        <v>0.10475306705034129</v>
      </c>
      <c r="AD37" s="199"/>
      <c r="AE37" s="196"/>
      <c r="AF37" s="196">
        <v>7870</v>
      </c>
      <c r="AG37" s="196"/>
      <c r="AH37" s="201">
        <f t="shared" si="6"/>
        <v>164.88132753723718</v>
      </c>
      <c r="AI37" s="201"/>
      <c r="AJ37" s="196"/>
      <c r="AK37" s="196">
        <v>3</v>
      </c>
      <c r="AL37" s="196"/>
      <c r="AM37" s="196"/>
      <c r="AN37" s="196">
        <v>2680</v>
      </c>
    </row>
    <row r="38" spans="3:40" x14ac:dyDescent="0.4">
      <c r="C38" s="198">
        <v>2015</v>
      </c>
      <c r="D38" s="197">
        <v>4832233.8134650989</v>
      </c>
      <c r="E38" s="198"/>
      <c r="F38" s="196">
        <v>8</v>
      </c>
      <c r="G38" s="196"/>
      <c r="H38" s="199">
        <f t="shared" si="0"/>
        <v>0.1655549029458771</v>
      </c>
      <c r="I38" s="200"/>
      <c r="J38" s="200">
        <v>0</v>
      </c>
      <c r="K38" s="199">
        <f t="shared" si="1"/>
        <v>0</v>
      </c>
      <c r="L38" s="196"/>
      <c r="M38" s="196">
        <v>2068</v>
      </c>
      <c r="N38" s="196"/>
      <c r="O38" s="196">
        <f t="shared" si="2"/>
        <v>42.79594241150923</v>
      </c>
      <c r="P38" s="196"/>
      <c r="Q38" s="196"/>
      <c r="R38" s="196">
        <v>144</v>
      </c>
      <c r="S38" s="196"/>
      <c r="T38" s="196">
        <f t="shared" si="3"/>
        <v>2.979988253025788</v>
      </c>
      <c r="U38" s="196"/>
      <c r="V38" s="196"/>
      <c r="W38" s="197">
        <v>11</v>
      </c>
      <c r="X38" s="196"/>
      <c r="Y38" s="199">
        <f t="shared" si="4"/>
        <v>0.22763799155058101</v>
      </c>
      <c r="Z38" s="196"/>
      <c r="AA38" s="196">
        <v>36</v>
      </c>
      <c r="AB38" s="196"/>
      <c r="AC38" s="1703">
        <f t="shared" si="5"/>
        <v>0.74499706325644699</v>
      </c>
      <c r="AD38" s="199"/>
      <c r="AE38" s="196"/>
      <c r="AF38" s="196">
        <v>0</v>
      </c>
      <c r="AG38" s="196"/>
      <c r="AH38" s="201">
        <f t="shared" si="6"/>
        <v>0</v>
      </c>
      <c r="AI38" s="201"/>
      <c r="AJ38" s="196"/>
      <c r="AK38" s="196">
        <v>22</v>
      </c>
      <c r="AL38" s="196"/>
      <c r="AM38" s="196"/>
      <c r="AN38" s="196">
        <v>465</v>
      </c>
    </row>
    <row r="39" spans="3:40" x14ac:dyDescent="0.4">
      <c r="C39" s="198">
        <v>2016</v>
      </c>
      <c r="D39" s="197">
        <v>4890379.4522162471</v>
      </c>
      <c r="E39" s="198"/>
      <c r="F39" s="196">
        <v>16</v>
      </c>
      <c r="G39" s="196"/>
      <c r="H39" s="199">
        <f t="shared" si="0"/>
        <v>0.327172976173639</v>
      </c>
      <c r="I39" s="200"/>
      <c r="J39" s="200">
        <v>8</v>
      </c>
      <c r="K39" s="199">
        <f t="shared" si="1"/>
        <v>0.1635864880868195</v>
      </c>
      <c r="L39" s="196"/>
      <c r="M39" s="196">
        <v>1118</v>
      </c>
      <c r="N39" s="196"/>
      <c r="O39" s="196">
        <f t="shared" si="2"/>
        <v>22.861211710133027</v>
      </c>
      <c r="P39" s="196"/>
      <c r="Q39" s="196"/>
      <c r="R39" s="196">
        <v>34</v>
      </c>
      <c r="S39" s="196"/>
      <c r="T39" s="196">
        <f t="shared" si="3"/>
        <v>0.69524257436898296</v>
      </c>
      <c r="U39" s="196"/>
      <c r="V39" s="196"/>
      <c r="W39" s="197">
        <v>19</v>
      </c>
      <c r="X39" s="196"/>
      <c r="Y39" s="199">
        <f t="shared" si="4"/>
        <v>0.38851790920619633</v>
      </c>
      <c r="Z39" s="196"/>
      <c r="AA39" s="196">
        <v>26</v>
      </c>
      <c r="AB39" s="196"/>
      <c r="AC39" s="1703">
        <f t="shared" si="5"/>
        <v>0.53165608628216332</v>
      </c>
      <c r="AD39" s="199"/>
      <c r="AE39" s="196"/>
      <c r="AF39" s="196">
        <v>0</v>
      </c>
      <c r="AG39" s="196"/>
      <c r="AH39" s="201">
        <f t="shared" si="6"/>
        <v>0</v>
      </c>
      <c r="AI39" s="201"/>
      <c r="AJ39" s="196"/>
      <c r="AK39" s="196">
        <v>11</v>
      </c>
      <c r="AL39" s="196"/>
      <c r="AM39" s="196"/>
      <c r="AN39" s="196">
        <v>284</v>
      </c>
    </row>
    <row r="40" spans="3:40" x14ac:dyDescent="0.4">
      <c r="C40" s="198">
        <v>2017</v>
      </c>
      <c r="D40" s="197">
        <v>4947490</v>
      </c>
      <c r="E40" s="198"/>
      <c r="F40" s="196">
        <v>22</v>
      </c>
      <c r="G40" s="196"/>
      <c r="H40" s="199">
        <f t="shared" si="0"/>
        <v>0.44466992353698542</v>
      </c>
      <c r="I40" s="200"/>
      <c r="J40" s="200">
        <v>0</v>
      </c>
      <c r="K40" s="199">
        <f t="shared" si="1"/>
        <v>0</v>
      </c>
      <c r="L40" s="196"/>
      <c r="M40" s="196">
        <v>9169</v>
      </c>
      <c r="O40" s="196">
        <f t="shared" si="2"/>
        <v>185.32629676866452</v>
      </c>
      <c r="P40" s="196"/>
      <c r="Q40" s="196"/>
      <c r="R40" s="196"/>
      <c r="S40" s="196"/>
      <c r="T40" s="196">
        <f t="shared" si="3"/>
        <v>0</v>
      </c>
      <c r="U40" s="196"/>
      <c r="V40" s="196"/>
      <c r="W40" s="197">
        <v>11</v>
      </c>
      <c r="Y40" s="199">
        <f t="shared" si="4"/>
        <v>0.22233496176849271</v>
      </c>
      <c r="Z40" s="196"/>
      <c r="AA40" s="196">
        <v>222</v>
      </c>
      <c r="AC40" s="1703">
        <v>4.4871237738732166</v>
      </c>
      <c r="AD40" s="199"/>
      <c r="AE40" s="196"/>
      <c r="AG40" s="196"/>
      <c r="AH40" s="201">
        <f t="shared" si="6"/>
        <v>0</v>
      </c>
      <c r="AI40" s="201"/>
      <c r="AJ40" s="196"/>
      <c r="AK40" s="196">
        <v>425</v>
      </c>
      <c r="AL40" s="196"/>
      <c r="AM40" s="196"/>
      <c r="AN40" s="196">
        <v>2126</v>
      </c>
    </row>
    <row r="41" spans="3:40" x14ac:dyDescent="0.4">
      <c r="C41" s="198">
        <v>2018</v>
      </c>
      <c r="D41" s="197">
        <v>5003402</v>
      </c>
      <c r="E41" s="198"/>
      <c r="F41" s="196">
        <v>14</v>
      </c>
      <c r="G41" s="196"/>
      <c r="H41" s="199">
        <f t="shared" si="0"/>
        <v>0.27980961753622835</v>
      </c>
      <c r="I41" s="200"/>
      <c r="J41" s="200">
        <v>1</v>
      </c>
      <c r="K41" s="199">
        <f t="shared" si="1"/>
        <v>1.998640125258774E-2</v>
      </c>
      <c r="L41" s="196"/>
      <c r="M41" s="196">
        <v>0</v>
      </c>
      <c r="O41" s="196">
        <f t="shared" si="2"/>
        <v>0</v>
      </c>
      <c r="P41" s="196"/>
      <c r="Q41" s="196"/>
      <c r="R41" s="196">
        <v>7313</v>
      </c>
      <c r="S41" s="196"/>
      <c r="T41" s="196">
        <f t="shared" si="3"/>
        <v>146.16055236017414</v>
      </c>
      <c r="U41" s="196"/>
      <c r="V41" s="196"/>
      <c r="W41" s="197">
        <v>24</v>
      </c>
      <c r="Y41" s="199">
        <f t="shared" si="4"/>
        <v>0.47967363006210573</v>
      </c>
      <c r="Z41" s="196"/>
      <c r="AA41" s="196"/>
      <c r="AC41" s="1703"/>
      <c r="AD41" s="199"/>
      <c r="AE41" s="196"/>
      <c r="AF41" s="196">
        <v>17112</v>
      </c>
      <c r="AG41" s="196"/>
      <c r="AH41" s="201">
        <f t="shared" si="6"/>
        <v>342.00729823428139</v>
      </c>
      <c r="AI41" s="201"/>
      <c r="AJ41" s="196"/>
      <c r="AK41" s="196">
        <v>20</v>
      </c>
      <c r="AL41" s="196"/>
      <c r="AM41" s="196"/>
      <c r="AN41" s="196">
        <v>1937</v>
      </c>
    </row>
    <row r="42" spans="3:40" x14ac:dyDescent="0.4">
      <c r="C42" s="198">
        <v>2019</v>
      </c>
      <c r="D42" s="197">
        <v>5058007</v>
      </c>
      <c r="E42" s="198"/>
      <c r="F42" s="196">
        <v>3</v>
      </c>
      <c r="G42" s="196"/>
      <c r="H42" s="199">
        <f>+F42/D42*100000</f>
        <v>5.9311898935687515E-2</v>
      </c>
      <c r="I42" s="200"/>
      <c r="J42" s="200">
        <v>3</v>
      </c>
      <c r="K42" s="199">
        <f>+J42/D42*100000</f>
        <v>5.9311898935687515E-2</v>
      </c>
      <c r="L42" s="196"/>
      <c r="M42" s="196"/>
      <c r="O42" s="196">
        <f t="shared" si="2"/>
        <v>0</v>
      </c>
      <c r="P42" s="196"/>
      <c r="Q42" s="196"/>
      <c r="R42" s="196">
        <v>831</v>
      </c>
      <c r="S42" s="196"/>
      <c r="T42" s="196">
        <f t="shared" si="3"/>
        <v>16.429396005185442</v>
      </c>
      <c r="U42" s="196"/>
      <c r="V42" s="196"/>
      <c r="W42" s="197">
        <v>2</v>
      </c>
      <c r="Y42" s="199">
        <f>+W42/D42*100000</f>
        <v>3.954126595712501E-2</v>
      </c>
      <c r="Z42" s="196"/>
      <c r="AA42" s="196"/>
      <c r="AC42" s="1703"/>
      <c r="AD42" s="199"/>
      <c r="AE42" s="196"/>
      <c r="AF42" s="196">
        <v>309</v>
      </c>
      <c r="AG42" s="196"/>
      <c r="AH42" s="201">
        <f t="shared" si="6"/>
        <v>6.1091255903758146</v>
      </c>
      <c r="AI42" s="201"/>
      <c r="AJ42" s="196"/>
      <c r="AK42" s="196">
        <v>28</v>
      </c>
      <c r="AL42" s="196"/>
      <c r="AM42" s="196"/>
      <c r="AN42" s="196">
        <v>1117</v>
      </c>
    </row>
    <row r="43" spans="3:40" x14ac:dyDescent="0.4">
      <c r="C43" s="198">
        <v>2020</v>
      </c>
      <c r="D43" s="197">
        <v>5111238</v>
      </c>
      <c r="E43" s="198"/>
      <c r="F43" s="196">
        <v>2187</v>
      </c>
      <c r="G43" s="196"/>
      <c r="H43" s="199">
        <f>+F43/D43*100000</f>
        <v>42.78806817448141</v>
      </c>
      <c r="I43" s="200"/>
      <c r="J43" s="200">
        <v>0</v>
      </c>
      <c r="K43" s="199">
        <f>+J43/D43*100000</f>
        <v>0</v>
      </c>
      <c r="L43" s="196"/>
      <c r="M43" s="196">
        <v>0</v>
      </c>
      <c r="O43" s="156">
        <f t="shared" si="2"/>
        <v>0</v>
      </c>
      <c r="P43" s="196"/>
      <c r="Q43" s="196"/>
      <c r="R43" s="196">
        <v>0</v>
      </c>
      <c r="S43" s="196"/>
      <c r="T43" s="156">
        <f t="shared" si="3"/>
        <v>0</v>
      </c>
      <c r="U43" s="196"/>
      <c r="V43" s="196"/>
      <c r="W43" s="197">
        <v>169321</v>
      </c>
      <c r="Y43" s="199">
        <f>+W43/D43*100000</f>
        <v>3312.7199320399482</v>
      </c>
      <c r="Z43" s="196"/>
      <c r="AA43" s="196"/>
      <c r="AC43" s="194"/>
      <c r="AD43" s="199"/>
      <c r="AE43" s="196"/>
      <c r="AF43" s="196"/>
      <c r="AG43" s="196"/>
      <c r="AH43" s="195">
        <f t="shared" si="6"/>
        <v>0</v>
      </c>
      <c r="AI43" s="201"/>
      <c r="AJ43" s="196"/>
      <c r="AK43" s="196">
        <v>1660</v>
      </c>
      <c r="AL43" s="196"/>
      <c r="AM43" s="196"/>
      <c r="AN43" s="196">
        <v>998</v>
      </c>
    </row>
    <row r="44" spans="3:40" ht="19.5" customHeight="1" x14ac:dyDescent="0.4">
      <c r="C44" s="198">
        <v>2021</v>
      </c>
      <c r="D44" s="197">
        <v>5170506</v>
      </c>
      <c r="E44" s="198"/>
      <c r="F44" s="196">
        <v>5175</v>
      </c>
      <c r="G44" s="196"/>
      <c r="H44" s="199">
        <f>+F44/D44*100000</f>
        <v>100.08691605811887</v>
      </c>
      <c r="I44" s="200"/>
      <c r="J44" s="200">
        <v>2</v>
      </c>
      <c r="K44" s="199">
        <f>+J44/D44*100000</f>
        <v>3.8680933742268164E-2</v>
      </c>
      <c r="L44" s="196"/>
      <c r="M44" s="196"/>
      <c r="O44" s="156">
        <f t="shared" si="2"/>
        <v>0</v>
      </c>
      <c r="P44" s="196"/>
      <c r="Q44" s="196"/>
      <c r="R44" s="196">
        <v>3318</v>
      </c>
      <c r="S44" s="196"/>
      <c r="T44" s="156">
        <f t="shared" si="3"/>
        <v>64.17166907842288</v>
      </c>
      <c r="U44" s="196"/>
      <c r="V44" s="196"/>
      <c r="W44" s="197">
        <v>398055</v>
      </c>
      <c r="Y44" s="199">
        <f>+W44/D44*100000</f>
        <v>7698.5695403892769</v>
      </c>
      <c r="Z44" s="196"/>
      <c r="AA44" s="196"/>
      <c r="AC44" s="194"/>
      <c r="AD44" s="199"/>
      <c r="AE44" s="196"/>
      <c r="AF44" s="196">
        <v>406550</v>
      </c>
      <c r="AG44" s="196"/>
      <c r="AH44" s="195">
        <f>+AF44/D44*100000</f>
        <v>7862.8668064595604</v>
      </c>
      <c r="AI44" s="201"/>
      <c r="AJ44" s="196"/>
      <c r="AK44" s="196">
        <v>2</v>
      </c>
      <c r="AL44" s="196"/>
      <c r="AM44" s="196"/>
      <c r="AN44" s="196">
        <v>674</v>
      </c>
    </row>
    <row r="45" spans="3:40" ht="19.5" customHeight="1" x14ac:dyDescent="0.4">
      <c r="C45" s="198">
        <v>2022</v>
      </c>
      <c r="D45" s="197">
        <v>5205148</v>
      </c>
      <c r="E45" s="198"/>
      <c r="F45" s="196">
        <v>0</v>
      </c>
      <c r="G45" s="196"/>
      <c r="H45" s="199">
        <f>+F45/D45*100000</f>
        <v>0</v>
      </c>
      <c r="I45" s="200"/>
      <c r="J45" s="200">
        <v>0</v>
      </c>
      <c r="K45" s="199">
        <f>+J45/D45*100000</f>
        <v>0</v>
      </c>
      <c r="L45" s="196"/>
      <c r="M45" s="196"/>
      <c r="O45" s="156">
        <f t="shared" si="2"/>
        <v>0</v>
      </c>
      <c r="P45" s="196"/>
      <c r="Q45" s="196"/>
      <c r="R45" s="196">
        <v>2364</v>
      </c>
      <c r="S45" s="196"/>
      <c r="T45" s="156">
        <f t="shared" si="3"/>
        <v>45.416576051247723</v>
      </c>
      <c r="U45" s="196"/>
      <c r="V45" s="196"/>
      <c r="W45" s="197">
        <v>0</v>
      </c>
      <c r="Y45" s="199">
        <f>+W45/D45*100000</f>
        <v>0</v>
      </c>
      <c r="Z45" s="196"/>
      <c r="AA45" s="196">
        <v>0</v>
      </c>
      <c r="AC45" s="194"/>
      <c r="AD45" s="199"/>
      <c r="AE45" s="196"/>
      <c r="AF45" s="196">
        <v>3820</v>
      </c>
      <c r="AG45" s="196"/>
      <c r="AH45" s="195">
        <f>+AF45/D45*100000</f>
        <v>73.388883466906222</v>
      </c>
      <c r="AI45" s="201"/>
      <c r="AJ45" s="196"/>
      <c r="AK45" s="196">
        <v>0</v>
      </c>
      <c r="AL45" s="196"/>
      <c r="AM45" s="196"/>
      <c r="AN45" s="196">
        <v>954</v>
      </c>
    </row>
    <row r="46" spans="3:40" x14ac:dyDescent="0.4">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row>
    <row r="47" spans="3:40" ht="54" customHeight="1" x14ac:dyDescent="0.4">
      <c r="C47" s="2483" t="s">
        <v>260</v>
      </c>
      <c r="D47" s="2483"/>
      <c r="E47" s="2483"/>
      <c r="F47" s="2483"/>
      <c r="G47" s="2483"/>
      <c r="H47" s="2483"/>
      <c r="I47" s="2483"/>
      <c r="J47" s="2483"/>
      <c r="K47" s="2483"/>
      <c r="L47" s="2483"/>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row>
    <row r="48" spans="3:40" ht="17.45" customHeight="1" x14ac:dyDescent="0.4">
      <c r="C48" s="2480" t="s">
        <v>261</v>
      </c>
      <c r="D48" s="2480"/>
      <c r="E48" s="2480"/>
      <c r="F48" s="2480"/>
      <c r="G48" s="2480"/>
      <c r="H48" s="2480"/>
      <c r="I48" s="2480"/>
      <c r="J48" s="2480"/>
      <c r="K48" s="2480"/>
      <c r="L48" s="2480"/>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row>
    <row r="49" spans="3:40" x14ac:dyDescent="0.4">
      <c r="C49" s="2481" t="s">
        <v>262</v>
      </c>
      <c r="D49" s="2481"/>
      <c r="E49" s="2481"/>
      <c r="F49" s="2481"/>
      <c r="G49" s="2481"/>
      <c r="H49" s="2481"/>
      <c r="I49" s="2481"/>
      <c r="J49" s="2481"/>
      <c r="K49" s="2481"/>
      <c r="L49" s="2481"/>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row>
    <row r="50" spans="3:40" x14ac:dyDescent="0.4">
      <c r="C50" s="2480" t="s">
        <v>263</v>
      </c>
      <c r="D50" s="2480"/>
      <c r="E50" s="2480"/>
      <c r="F50" s="2480"/>
      <c r="G50" s="2480"/>
      <c r="H50" s="2480"/>
      <c r="I50" s="2480"/>
      <c r="J50" s="2480"/>
      <c r="K50" s="2480"/>
      <c r="L50" s="2480"/>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row>
    <row r="51" spans="3:40" x14ac:dyDescent="0.4">
      <c r="C51" s="2482" t="s">
        <v>264</v>
      </c>
      <c r="D51" s="2482"/>
      <c r="E51" s="2482"/>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2482"/>
      <c r="AB51" s="2482"/>
      <c r="AC51" s="2482"/>
      <c r="AD51" s="192"/>
      <c r="AE51" s="156"/>
      <c r="AF51" s="156"/>
      <c r="AG51" s="156"/>
      <c r="AH51" s="195"/>
      <c r="AI51" s="195"/>
      <c r="AJ51" s="156"/>
      <c r="AK51" s="156"/>
      <c r="AL51" s="156"/>
      <c r="AM51" s="156"/>
      <c r="AN51" s="156"/>
    </row>
  </sheetData>
  <mergeCells count="37">
    <mergeCell ref="A5:B5"/>
    <mergeCell ref="C5:Y5"/>
    <mergeCell ref="C1:D1"/>
    <mergeCell ref="A3:B3"/>
    <mergeCell ref="C3:Y3"/>
    <mergeCell ref="A4:B4"/>
    <mergeCell ref="C4:Y4"/>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N12:AO12"/>
    <mergeCell ref="AA11:AD11"/>
    <mergeCell ref="AF11:AI11"/>
    <mergeCell ref="AK11:AL11"/>
    <mergeCell ref="AN11:AO11"/>
    <mergeCell ref="AA12:AB12"/>
    <mergeCell ref="AC12:AD12"/>
    <mergeCell ref="AF12:AG12"/>
    <mergeCell ref="AH12:AI12"/>
    <mergeCell ref="AK12:AL12"/>
    <mergeCell ref="C47:AN47"/>
    <mergeCell ref="C48:AN48"/>
    <mergeCell ref="C49:AN49"/>
    <mergeCell ref="C50:AN50"/>
    <mergeCell ref="C51:AC51"/>
  </mergeCells>
  <hyperlinks>
    <hyperlink ref="A1" location="'ODS 11.'!A1" display="REGRESAR" xr:uid="{FDDAE54E-6D00-4BE1-81FA-2E004AE900B7}"/>
    <hyperlink ref="C1:D1" location="'Metadato 11.5.1'!A1" display="VER METADATO" xr:uid="{0D9DDC08-2099-4849-8EBD-99CE3857A0BD}"/>
  </hyperlinks>
  <pageMargins left="0.7" right="0.7" top="0.75" bottom="0.75" header="0.3" footer="0.3"/>
  <pageSetup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4D229-C2A2-4585-AADF-070B8E4C07B2}">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7.28515625" style="115" customWidth="1"/>
    <col min="2" max="2" width="26.42578125" style="115" customWidth="1"/>
    <col min="3" max="3" width="24" style="115" customWidth="1"/>
    <col min="4" max="4" width="85.7109375" style="115" customWidth="1"/>
    <col min="5" max="5" width="9.28515625" style="115" customWidth="1"/>
    <col min="6" max="6" width="7.28515625" style="115" customWidth="1"/>
    <col min="7" max="8" width="12.42578125" style="115" customWidth="1"/>
    <col min="9" max="9" width="1.7109375" style="115" customWidth="1"/>
    <col min="10" max="11" width="11.42578125" style="115"/>
    <col min="12" max="12" width="2.28515625" style="115" customWidth="1"/>
    <col min="13" max="14" width="11.42578125" style="115"/>
    <col min="15" max="15" width="2.28515625" style="115" customWidth="1"/>
    <col min="16" max="16" width="11.42578125" style="115"/>
    <col min="17" max="17" width="9.7109375" style="115" customWidth="1"/>
    <col min="18" max="18" width="1.5703125" style="115" customWidth="1"/>
    <col min="19" max="20" width="11.42578125" style="115"/>
    <col min="21" max="21" width="3.28515625" style="115" customWidth="1"/>
    <col min="22" max="23" width="9.28515625" style="115" customWidth="1"/>
    <col min="24" max="24" width="1.5703125" style="115" customWidth="1"/>
    <col min="25" max="25" width="11.42578125" style="115"/>
    <col min="26" max="26" width="1.7109375" style="115" customWidth="1"/>
    <col min="27" max="40" width="11.42578125" style="115"/>
    <col min="41" max="41" width="12" style="115" customWidth="1"/>
    <col min="42" max="77" width="11.42578125" style="115"/>
    <col min="78" max="78" width="12.28515625" style="115" customWidth="1"/>
    <col min="79" max="93" width="11.42578125" style="115"/>
    <col min="94" max="94" width="12.28515625" style="115" customWidth="1"/>
    <col min="95" max="107" width="11.42578125" style="115"/>
    <col min="108" max="108" width="12.7109375" style="115" customWidth="1"/>
    <col min="109" max="118" width="11.42578125" style="115"/>
    <col min="119" max="119" width="11.7109375" style="115" customWidth="1"/>
    <col min="120" max="126" width="11.42578125" style="115"/>
    <col min="127" max="127" width="11.7109375" style="115" customWidth="1"/>
    <col min="128" max="16384" width="11.42578125" style="115"/>
  </cols>
  <sheetData>
    <row r="1" spans="1:6" x14ac:dyDescent="0.4">
      <c r="B1" s="158" t="s">
        <v>39</v>
      </c>
    </row>
    <row r="2" spans="1:6" ht="19.5" thickBot="1" x14ac:dyDescent="0.45"/>
    <row r="3" spans="1:6" ht="23.25" customHeight="1" thickBot="1" x14ac:dyDescent="0.45">
      <c r="B3" s="3270" t="s">
        <v>75</v>
      </c>
      <c r="C3" s="3270"/>
      <c r="D3" s="3270"/>
      <c r="F3" s="1046" t="s">
        <v>265</v>
      </c>
    </row>
    <row r="4" spans="1:6" ht="37.5" x14ac:dyDescent="0.4">
      <c r="A4" s="283"/>
      <c r="B4" s="2445" t="s">
        <v>234</v>
      </c>
      <c r="C4" s="2445"/>
      <c r="D4" s="49" t="s">
        <v>5921</v>
      </c>
    </row>
    <row r="5" spans="1:6" ht="75" x14ac:dyDescent="0.4">
      <c r="B5" s="2445" t="s">
        <v>79</v>
      </c>
      <c r="C5" s="2445"/>
      <c r="D5" s="49" t="s">
        <v>5886</v>
      </c>
    </row>
    <row r="6" spans="1:6" ht="19.5" customHeight="1" x14ac:dyDescent="0.4">
      <c r="B6" s="2445" t="s">
        <v>80</v>
      </c>
      <c r="C6" s="2445"/>
      <c r="D6" s="50" t="s">
        <v>5887</v>
      </c>
    </row>
    <row r="7" spans="1:6" ht="37.5" x14ac:dyDescent="0.4">
      <c r="B7" s="2446" t="s">
        <v>81</v>
      </c>
      <c r="C7" s="2446"/>
      <c r="D7" s="93" t="s">
        <v>5888</v>
      </c>
    </row>
    <row r="8" spans="1:6" x14ac:dyDescent="0.4">
      <c r="B8" s="2446" t="s">
        <v>82</v>
      </c>
      <c r="C8" s="2446"/>
      <c r="D8" s="1047" t="s">
        <v>5996</v>
      </c>
    </row>
    <row r="10" spans="1:6" ht="23.25" customHeight="1" x14ac:dyDescent="0.4">
      <c r="B10" s="3270" t="s">
        <v>85</v>
      </c>
      <c r="C10" s="3270"/>
      <c r="D10" s="3270"/>
    </row>
    <row r="11" spans="1:6" x14ac:dyDescent="0.4">
      <c r="B11" s="2453" t="s">
        <v>86</v>
      </c>
      <c r="C11" s="2454"/>
      <c r="D11" s="49" t="s">
        <v>167</v>
      </c>
    </row>
    <row r="12" spans="1:6" ht="33.75" customHeight="1" x14ac:dyDescent="0.4">
      <c r="B12" s="2455" t="s">
        <v>88</v>
      </c>
      <c r="C12" s="2455"/>
      <c r="D12" s="184" t="s">
        <v>267</v>
      </c>
    </row>
    <row r="13" spans="1:6" x14ac:dyDescent="0.4">
      <c r="B13" s="2445" t="s">
        <v>90</v>
      </c>
      <c r="C13" s="2445"/>
      <c r="D13" s="54" t="s">
        <v>23</v>
      </c>
    </row>
    <row r="14" spans="1:6" x14ac:dyDescent="0.4">
      <c r="B14" s="2445" t="s">
        <v>91</v>
      </c>
      <c r="C14" s="2456"/>
      <c r="D14" s="54" t="s">
        <v>92</v>
      </c>
    </row>
    <row r="15" spans="1:6" ht="10.5" customHeight="1" x14ac:dyDescent="0.4">
      <c r="B15" s="2449" t="s">
        <v>93</v>
      </c>
      <c r="C15" s="2450"/>
      <c r="D15" s="2485" t="s">
        <v>268</v>
      </c>
    </row>
    <row r="16" spans="1:6" ht="72.75" customHeight="1" x14ac:dyDescent="0.4">
      <c r="B16" s="2469"/>
      <c r="C16" s="2470"/>
      <c r="D16" s="2486"/>
    </row>
    <row r="17" spans="2:4" ht="93.75" x14ac:dyDescent="0.4">
      <c r="B17" s="2445" t="s">
        <v>95</v>
      </c>
      <c r="C17" s="2445"/>
      <c r="D17" s="56" t="s">
        <v>269</v>
      </c>
    </row>
    <row r="18" spans="2:4" x14ac:dyDescent="0.4">
      <c r="B18" s="2445" t="s">
        <v>97</v>
      </c>
      <c r="C18" s="2445"/>
      <c r="D18" s="203" t="s">
        <v>270</v>
      </c>
    </row>
    <row r="19" spans="2:4" ht="32.25" customHeight="1" x14ac:dyDescent="0.4">
      <c r="B19" s="2446" t="s">
        <v>99</v>
      </c>
      <c r="C19" s="2446"/>
      <c r="D19" s="49"/>
    </row>
    <row r="20" spans="2:4" ht="37.5" x14ac:dyDescent="0.4">
      <c r="B20" s="2457" t="s">
        <v>100</v>
      </c>
      <c r="C20" s="2458"/>
      <c r="D20" s="204" t="s">
        <v>271</v>
      </c>
    </row>
    <row r="21" spans="2:4" x14ac:dyDescent="0.4">
      <c r="B21" s="2445" t="s">
        <v>102</v>
      </c>
      <c r="C21" s="2445"/>
      <c r="D21" s="203" t="s">
        <v>140</v>
      </c>
    </row>
    <row r="22" spans="2:4" x14ac:dyDescent="0.4">
      <c r="B22" s="2451" t="s">
        <v>104</v>
      </c>
      <c r="C22" s="95" t="s">
        <v>105</v>
      </c>
      <c r="D22" s="49"/>
    </row>
    <row r="23" spans="2:4" ht="16.5" customHeight="1" x14ac:dyDescent="0.4">
      <c r="B23" s="2452"/>
      <c r="C23" s="96" t="s">
        <v>107</v>
      </c>
      <c r="D23" s="55" t="s">
        <v>272</v>
      </c>
    </row>
    <row r="24" spans="2:4" x14ac:dyDescent="0.4">
      <c r="B24" s="2444" t="s">
        <v>109</v>
      </c>
      <c r="C24" s="2444"/>
      <c r="D24" s="49" t="s">
        <v>143</v>
      </c>
    </row>
    <row r="25" spans="2:4" x14ac:dyDescent="0.4">
      <c r="B25" s="2444" t="s">
        <v>111</v>
      </c>
      <c r="C25" s="2444"/>
      <c r="D25" s="205" t="s">
        <v>273</v>
      </c>
    </row>
    <row r="26" spans="2:4" ht="15" customHeight="1" x14ac:dyDescent="0.4">
      <c r="B26" s="2445" t="s">
        <v>113</v>
      </c>
      <c r="C26" s="2445"/>
      <c r="D26" s="56" t="s">
        <v>220</v>
      </c>
    </row>
    <row r="27" spans="2:4" ht="14.65" customHeight="1" x14ac:dyDescent="0.4">
      <c r="B27" s="2446" t="s">
        <v>115</v>
      </c>
      <c r="C27" s="2446"/>
      <c r="D27" s="205" t="s">
        <v>274</v>
      </c>
    </row>
    <row r="28" spans="2:4" x14ac:dyDescent="0.4">
      <c r="B28" s="2447" t="s">
        <v>117</v>
      </c>
      <c r="C28" s="2448"/>
      <c r="D28" s="49"/>
    </row>
    <row r="29" spans="2:4" ht="93.75" x14ac:dyDescent="0.4">
      <c r="B29" s="97" t="s">
        <v>118</v>
      </c>
      <c r="C29" s="98"/>
      <c r="D29" s="203" t="s">
        <v>5997</v>
      </c>
    </row>
    <row r="30" spans="2:4" x14ac:dyDescent="0.4">
      <c r="B30" s="2445" t="s">
        <v>120</v>
      </c>
      <c r="C30" s="2445"/>
      <c r="D30" s="49"/>
    </row>
    <row r="31" spans="2:4" ht="23.25" customHeight="1" x14ac:dyDescent="0.4"/>
    <row r="32" spans="2:4" ht="19.5" x14ac:dyDescent="0.4">
      <c r="B32" s="2431" t="s">
        <v>121</v>
      </c>
      <c r="C32" s="2431"/>
      <c r="D32" s="2431"/>
    </row>
    <row r="33" spans="2:4" x14ac:dyDescent="0.4">
      <c r="B33" s="206" t="s">
        <v>122</v>
      </c>
      <c r="C33" s="207"/>
      <c r="D33" s="205" t="s">
        <v>276</v>
      </c>
    </row>
    <row r="34" spans="2:4" x14ac:dyDescent="0.4">
      <c r="B34" s="206" t="s">
        <v>124</v>
      </c>
      <c r="C34" s="207"/>
      <c r="D34" s="205" t="s">
        <v>277</v>
      </c>
    </row>
    <row r="35" spans="2:4" x14ac:dyDescent="0.4">
      <c r="B35" s="206" t="s">
        <v>126</v>
      </c>
      <c r="C35" s="207"/>
      <c r="D35" s="205" t="s">
        <v>273</v>
      </c>
    </row>
    <row r="36" spans="2:4" x14ac:dyDescent="0.4">
      <c r="B36" s="206" t="s">
        <v>128</v>
      </c>
      <c r="C36" s="207"/>
      <c r="D36" s="205" t="s">
        <v>278</v>
      </c>
    </row>
    <row r="37" spans="2:4" x14ac:dyDescent="0.4">
      <c r="B37" s="2442" t="s">
        <v>130</v>
      </c>
      <c r="C37" s="2443"/>
      <c r="D37" s="208" t="s">
        <v>279</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allowBlank="1" showDropDown="1" showInputMessage="1" showErrorMessage="1" sqref="D13" xr:uid="{CED389FD-6BEC-4506-92D8-A5A89FC62FAC}"/>
    <dataValidation type="list" allowBlank="1" showInputMessage="1" showErrorMessage="1" sqref="D26" xr:uid="{40F47D12-BD30-4DCE-A34A-BB3E8EBF8FEF}">
      <formula1>Tipo_operación</formula1>
    </dataValidation>
    <dataValidation type="list" allowBlank="1" showInputMessage="1" showErrorMessage="1" sqref="D14" xr:uid="{FF3CAD14-C182-4378-A37C-2A940F5E2499}">
      <formula1>Tipo_indicador</formula1>
    </dataValidation>
    <dataValidation type="list" allowBlank="1" showInputMessage="1" showErrorMessage="1" sqref="D7" xr:uid="{4265041A-7E69-4737-9963-C7E3335877DD}">
      <formula1>Nombre_indicador_ODS</formula1>
    </dataValidation>
    <dataValidation type="list" allowBlank="1" showInputMessage="1" showErrorMessage="1" sqref="D6" xr:uid="{22FDAC72-B437-4EB2-AD25-F875B2953128}">
      <formula1>Numero_indicador</formula1>
    </dataValidation>
    <dataValidation type="list" allowBlank="1" showInputMessage="1" showErrorMessage="1" sqref="D5" xr:uid="{FD881C11-9B73-4D09-9BC2-67B46550A0E1}">
      <formula1>Metas_ODS</formula1>
    </dataValidation>
    <dataValidation type="list" allowBlank="1" showInputMessage="1" showErrorMessage="1" sqref="D4" xr:uid="{660F9FE4-3612-4090-8BE6-4973B2E985DC}">
      <formula1>ODS</formula1>
    </dataValidation>
  </dataValidations>
  <hyperlinks>
    <hyperlink ref="B1" location="'11.5.1'!A1" display="REGRESAR" xr:uid="{2BBF2ADC-257D-4A77-8636-CA4805E61720}"/>
    <hyperlink ref="D8" r:id="rId1" xr:uid="{126A051D-6086-4470-9908-076777568A4C}"/>
    <hyperlink ref="D37" r:id="rId2" xr:uid="{356CA0B4-0DD2-45E7-BBE0-A1A69B1714E6}"/>
  </hyperlinks>
  <pageMargins left="0.7" right="0.7" top="0.75" bottom="0.75" header="0.3" footer="0.3"/>
  <pageSetup orientation="portrait" r:id="rId3"/>
  <drawing r:id="rId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F8C9E-EB13-40FC-830E-C7AD182C04CA}">
  <dimension ref="A1:O33"/>
  <sheetViews>
    <sheetView showGridLines="0" workbookViewId="0">
      <pane ySplit="1" topLeftCell="A5" activePane="bottomLeft" state="frozen"/>
      <selection sqref="A1:B1"/>
      <selection pane="bottomLeft" sqref="A1:B1"/>
    </sheetView>
  </sheetViews>
  <sheetFormatPr baseColWidth="10" defaultColWidth="11.42578125" defaultRowHeight="18.75" x14ac:dyDescent="0.4"/>
  <cols>
    <col min="1" max="2" width="15.28515625" style="115" customWidth="1"/>
    <col min="3" max="3" width="9.28515625" style="115" customWidth="1"/>
    <col min="4" max="4" width="35.7109375" style="115" customWidth="1"/>
    <col min="5" max="16384" width="11.42578125" style="115"/>
  </cols>
  <sheetData>
    <row r="1" spans="1:15" x14ac:dyDescent="0.4">
      <c r="A1" s="158" t="s">
        <v>39</v>
      </c>
      <c r="D1" s="90" t="s">
        <v>149</v>
      </c>
    </row>
    <row r="3" spans="1:15" ht="15" customHeight="1" x14ac:dyDescent="0.4">
      <c r="A3" s="3281" t="s">
        <v>41</v>
      </c>
      <c r="B3" s="3287"/>
      <c r="C3" s="3281" t="s">
        <v>5871</v>
      </c>
      <c r="D3" s="3288"/>
      <c r="E3" s="3288"/>
      <c r="F3" s="3288"/>
      <c r="G3" s="3288"/>
      <c r="H3" s="3288"/>
      <c r="I3" s="3288"/>
      <c r="J3" s="3288"/>
      <c r="K3" s="3288"/>
      <c r="L3" s="3288"/>
      <c r="M3" s="3288"/>
      <c r="N3" s="3288"/>
      <c r="O3" s="3288"/>
    </row>
    <row r="4" spans="1:15" ht="32.25" customHeight="1" x14ac:dyDescent="0.4">
      <c r="A4" s="3281" t="s">
        <v>42</v>
      </c>
      <c r="B4" s="3282"/>
      <c r="C4" s="3281" t="s">
        <v>5886</v>
      </c>
      <c r="D4" s="3283"/>
      <c r="E4" s="3283"/>
      <c r="F4" s="3283"/>
      <c r="G4" s="3283"/>
      <c r="H4" s="3283"/>
      <c r="I4" s="3283"/>
      <c r="J4" s="3283"/>
      <c r="K4" s="3283"/>
      <c r="L4" s="3283"/>
      <c r="M4" s="3283"/>
      <c r="N4" s="3283"/>
      <c r="O4" s="3283"/>
    </row>
    <row r="5" spans="1:15" ht="15" customHeight="1" x14ac:dyDescent="0.4">
      <c r="A5" s="3281" t="s">
        <v>43</v>
      </c>
      <c r="B5" s="3282"/>
      <c r="C5" s="3281" t="s">
        <v>5890</v>
      </c>
      <c r="D5" s="3283"/>
      <c r="E5" s="3283"/>
      <c r="F5" s="3283"/>
      <c r="G5" s="3283"/>
      <c r="H5" s="3283"/>
      <c r="I5" s="3283"/>
      <c r="J5" s="3283"/>
      <c r="K5" s="3283"/>
      <c r="L5" s="3283"/>
      <c r="M5" s="3283"/>
      <c r="N5" s="3283"/>
      <c r="O5" s="3283"/>
    </row>
    <row r="6" spans="1:15" ht="15" customHeight="1" x14ac:dyDescent="0.4">
      <c r="A6" s="3281" t="s">
        <v>132</v>
      </c>
      <c r="B6" s="3282"/>
      <c r="C6" s="3281" t="s">
        <v>281</v>
      </c>
      <c r="D6" s="3283"/>
      <c r="E6" s="3283"/>
      <c r="F6" s="3283"/>
      <c r="G6" s="3283"/>
      <c r="H6" s="3283"/>
      <c r="I6" s="3283"/>
      <c r="J6" s="3283"/>
      <c r="K6" s="3283"/>
      <c r="L6" s="3283"/>
      <c r="M6" s="3283"/>
      <c r="N6" s="3283"/>
      <c r="O6" s="3283"/>
    </row>
    <row r="9" spans="1:15" x14ac:dyDescent="0.4">
      <c r="C9" s="226" t="s">
        <v>281</v>
      </c>
      <c r="D9" s="226"/>
      <c r="E9" s="226"/>
      <c r="F9" s="226"/>
    </row>
    <row r="10" spans="1:15" x14ac:dyDescent="0.4">
      <c r="C10" s="226"/>
      <c r="D10" s="226"/>
      <c r="E10" s="226"/>
      <c r="F10" s="226"/>
    </row>
    <row r="11" spans="1:15" x14ac:dyDescent="0.4">
      <c r="C11" s="3266" t="s">
        <v>46</v>
      </c>
      <c r="D11" s="3266" t="s">
        <v>282</v>
      </c>
      <c r="E11" s="3266"/>
      <c r="F11" s="3289" t="s">
        <v>283</v>
      </c>
      <c r="G11" s="3289"/>
    </row>
    <row r="12" spans="1:15" ht="56.25" x14ac:dyDescent="0.4">
      <c r="C12" s="3267"/>
      <c r="D12" s="3267"/>
      <c r="E12" s="3267"/>
      <c r="F12" s="1672" t="s">
        <v>284</v>
      </c>
      <c r="G12" s="1672" t="s">
        <v>285</v>
      </c>
    </row>
    <row r="13" spans="1:15" x14ac:dyDescent="0.4">
      <c r="C13" s="210">
        <v>2010</v>
      </c>
      <c r="D13" s="2489" t="s">
        <v>286</v>
      </c>
      <c r="E13" s="2489"/>
      <c r="F13" s="211">
        <v>7889869.7647700002</v>
      </c>
      <c r="G13" s="212">
        <v>11288257.449999999</v>
      </c>
    </row>
    <row r="14" spans="1:15" x14ac:dyDescent="0.4">
      <c r="C14" s="210">
        <v>2010</v>
      </c>
      <c r="D14" s="2489" t="s">
        <v>287</v>
      </c>
      <c r="E14" s="2489"/>
      <c r="F14" s="211">
        <v>142822623.00569001</v>
      </c>
      <c r="G14" s="212">
        <v>204340342.99000001</v>
      </c>
    </row>
    <row r="15" spans="1:15" x14ac:dyDescent="0.4">
      <c r="C15" s="210">
        <v>2012</v>
      </c>
      <c r="D15" s="2489" t="s">
        <v>288</v>
      </c>
      <c r="E15" s="2489"/>
      <c r="F15" s="211">
        <v>50602833.619999997</v>
      </c>
      <c r="G15" s="212">
        <v>66061757.68</v>
      </c>
    </row>
    <row r="16" spans="1:15" x14ac:dyDescent="0.4">
      <c r="C16" s="210">
        <v>2014</v>
      </c>
      <c r="D16" s="2489" t="s">
        <v>289</v>
      </c>
      <c r="E16" s="2489"/>
      <c r="F16" s="211">
        <v>19241273.407910001</v>
      </c>
      <c r="G16" s="212">
        <v>22838519.190000001</v>
      </c>
    </row>
    <row r="17" spans="3:7" x14ac:dyDescent="0.4">
      <c r="C17" s="210">
        <v>2015</v>
      </c>
      <c r="D17" s="2489" t="s">
        <v>290</v>
      </c>
      <c r="E17" s="2489"/>
      <c r="F17" s="211">
        <v>91016579.010000005</v>
      </c>
      <c r="G17" s="212">
        <v>107173048.12</v>
      </c>
    </row>
    <row r="18" spans="3:7" x14ac:dyDescent="0.4">
      <c r="C18" s="210">
        <v>2016</v>
      </c>
      <c r="D18" s="2489" t="s">
        <v>291</v>
      </c>
      <c r="E18" s="2489"/>
      <c r="F18" s="211">
        <v>106258934.55</v>
      </c>
      <c r="G18" s="212">
        <v>125142968</v>
      </c>
    </row>
    <row r="19" spans="3:7" x14ac:dyDescent="0.4">
      <c r="C19" s="210">
        <v>2017</v>
      </c>
      <c r="D19" s="2489" t="s">
        <v>292</v>
      </c>
      <c r="E19" s="2489"/>
      <c r="F19" s="211">
        <v>329363329.70315999</v>
      </c>
      <c r="G19" s="212">
        <v>381691060.01999998</v>
      </c>
    </row>
    <row r="20" spans="3:7" x14ac:dyDescent="0.4">
      <c r="C20" s="210">
        <v>2018</v>
      </c>
      <c r="D20" s="2489" t="s">
        <v>293</v>
      </c>
      <c r="E20" s="2489"/>
      <c r="F20" s="211">
        <v>9100095</v>
      </c>
      <c r="G20" s="212">
        <v>10316723.130000001</v>
      </c>
    </row>
    <row r="21" spans="3:7" x14ac:dyDescent="0.4">
      <c r="C21" s="210">
        <v>2019</v>
      </c>
      <c r="D21" s="2489" t="s">
        <v>294</v>
      </c>
      <c r="E21" s="2489"/>
      <c r="F21" s="211">
        <v>35441377.055629998</v>
      </c>
      <c r="G21" s="212">
        <v>39354803.82</v>
      </c>
    </row>
    <row r="22" spans="3:7" ht="19.5" x14ac:dyDescent="0.4">
      <c r="C22" s="4">
        <v>2020</v>
      </c>
      <c r="D22" s="2489" t="s">
        <v>295</v>
      </c>
      <c r="E22" s="2489"/>
      <c r="F22" s="211">
        <v>155997347.20524001</v>
      </c>
      <c r="G22" s="212">
        <v>171975874.31999999</v>
      </c>
    </row>
    <row r="23" spans="3:7" x14ac:dyDescent="0.4">
      <c r="C23" s="4">
        <v>2020</v>
      </c>
      <c r="D23" s="2489" t="s">
        <v>296</v>
      </c>
      <c r="E23" s="2489"/>
      <c r="F23" s="211">
        <v>503390326.56301498</v>
      </c>
      <c r="G23" s="212">
        <v>554951690.54999995</v>
      </c>
    </row>
    <row r="24" spans="3:7" x14ac:dyDescent="0.4">
      <c r="C24" s="4">
        <v>2021</v>
      </c>
      <c r="D24" s="2489" t="s">
        <v>297</v>
      </c>
      <c r="E24" s="2489"/>
      <c r="F24" s="211">
        <v>209606648.06900001</v>
      </c>
      <c r="G24" s="212">
        <v>227154430.03</v>
      </c>
    </row>
    <row r="25" spans="3:7" ht="17.45" customHeight="1" x14ac:dyDescent="0.4">
      <c r="C25" s="4">
        <v>2022</v>
      </c>
      <c r="D25" s="213" t="s">
        <v>298</v>
      </c>
      <c r="E25" s="213"/>
      <c r="F25" s="211">
        <v>52629437</v>
      </c>
      <c r="G25" s="211">
        <v>52676600.630000003</v>
      </c>
    </row>
    <row r="26" spans="3:7" x14ac:dyDescent="0.4">
      <c r="C26" s="4">
        <v>2022</v>
      </c>
      <c r="D26" s="213" t="s">
        <v>299</v>
      </c>
      <c r="E26" s="213"/>
      <c r="F26" s="211">
        <v>30808911</v>
      </c>
      <c r="G26" s="211">
        <v>30836520.260000002</v>
      </c>
    </row>
    <row r="27" spans="3:7" ht="17.45" customHeight="1" x14ac:dyDescent="0.4">
      <c r="C27" s="4">
        <v>2022</v>
      </c>
      <c r="D27" s="213" t="s">
        <v>300</v>
      </c>
      <c r="E27" s="213"/>
      <c r="F27" s="211">
        <v>122318297</v>
      </c>
      <c r="G27" s="211">
        <v>122427911.97</v>
      </c>
    </row>
    <row r="28" spans="3:7" ht="17.45" customHeight="1" x14ac:dyDescent="0.4">
      <c r="C28" s="4">
        <v>2022</v>
      </c>
      <c r="D28" s="213" t="s">
        <v>301</v>
      </c>
      <c r="E28" s="213"/>
      <c r="F28" s="211">
        <v>16507756</v>
      </c>
      <c r="G28" s="211">
        <v>16522549.35</v>
      </c>
    </row>
    <row r="29" spans="3:7" ht="17.45" customHeight="1" x14ac:dyDescent="0.4">
      <c r="C29" s="4">
        <v>2023</v>
      </c>
      <c r="D29" s="213" t="s">
        <v>302</v>
      </c>
      <c r="E29" s="213"/>
      <c r="F29" s="211">
        <v>5095821</v>
      </c>
      <c r="G29" s="211">
        <v>5073743.54</v>
      </c>
    </row>
    <row r="30" spans="3:7" x14ac:dyDescent="0.4">
      <c r="C30" s="4">
        <v>2023</v>
      </c>
      <c r="D30" s="213" t="s">
        <v>303</v>
      </c>
      <c r="E30" s="213"/>
      <c r="F30" s="211">
        <v>9804428</v>
      </c>
      <c r="G30" s="211">
        <v>9761950.6699999999</v>
      </c>
    </row>
    <row r="31" spans="3:7" ht="17.45" customHeight="1" x14ac:dyDescent="0.4">
      <c r="C31" s="2490" t="s">
        <v>304</v>
      </c>
      <c r="D31" s="2490"/>
      <c r="E31" s="2490"/>
      <c r="F31" s="2490"/>
      <c r="G31" s="2490"/>
    </row>
    <row r="32" spans="3:7" ht="17.45" customHeight="1" x14ac:dyDescent="0.4">
      <c r="C32" s="2482" t="s">
        <v>305</v>
      </c>
      <c r="D32" s="2482"/>
      <c r="E32" s="2482"/>
      <c r="F32" s="2482"/>
      <c r="G32" s="2482"/>
    </row>
    <row r="33" spans="3:7" x14ac:dyDescent="0.4">
      <c r="C33" s="2488" t="s">
        <v>264</v>
      </c>
      <c r="D33" s="2488"/>
      <c r="E33" s="2488"/>
      <c r="F33" s="2488"/>
      <c r="G33" s="2488"/>
    </row>
  </sheetData>
  <mergeCells count="26">
    <mergeCell ref="A3:B3"/>
    <mergeCell ref="C3:O3"/>
    <mergeCell ref="A4:B4"/>
    <mergeCell ref="C4:O4"/>
    <mergeCell ref="A5:B5"/>
    <mergeCell ref="C5:O5"/>
    <mergeCell ref="D19:E19"/>
    <mergeCell ref="A6:B6"/>
    <mergeCell ref="C6:O6"/>
    <mergeCell ref="C11:C12"/>
    <mergeCell ref="D11:E12"/>
    <mergeCell ref="F11:G11"/>
    <mergeCell ref="D13:E13"/>
    <mergeCell ref="D14:E14"/>
    <mergeCell ref="D15:E15"/>
    <mergeCell ref="D16:E16"/>
    <mergeCell ref="D17:E17"/>
    <mergeCell ref="D18:E18"/>
    <mergeCell ref="C32:G32"/>
    <mergeCell ref="C33:G33"/>
    <mergeCell ref="D20:E20"/>
    <mergeCell ref="D21:E21"/>
    <mergeCell ref="D22:E22"/>
    <mergeCell ref="D23:E23"/>
    <mergeCell ref="D24:E24"/>
    <mergeCell ref="C31:G31"/>
  </mergeCells>
  <hyperlinks>
    <hyperlink ref="A1" location="'ODS 11.'!A1" display="REGRESAR" xr:uid="{A3167CE1-920F-4A0B-8B60-ED09380B7D46}"/>
    <hyperlink ref="D1" location="'Metadato 11.5.2'!A1" display="VER METADATO" xr:uid="{D8842C49-841E-4DE8-A7D2-C1713E8185B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324F-D02B-49DB-884F-A68BB29A296D}">
  <sheetPr>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158" t="s">
        <v>39</v>
      </c>
    </row>
    <row r="2" spans="1:6" ht="19.5" thickBot="1" x14ac:dyDescent="0.45"/>
    <row r="3" spans="1:6" ht="23.25" customHeight="1" thickBot="1" x14ac:dyDescent="0.45">
      <c r="B3" s="3270" t="s">
        <v>75</v>
      </c>
      <c r="C3" s="3270"/>
      <c r="D3" s="3270"/>
      <c r="F3" s="1046" t="s">
        <v>265</v>
      </c>
    </row>
    <row r="4" spans="1:6" ht="37.5" x14ac:dyDescent="0.4">
      <c r="A4" s="283"/>
      <c r="B4" s="2445" t="s">
        <v>234</v>
      </c>
      <c r="C4" s="2445"/>
      <c r="D4" s="49" t="s">
        <v>5921</v>
      </c>
    </row>
    <row r="5" spans="1:6" ht="75" x14ac:dyDescent="0.4">
      <c r="B5" s="2445" t="s">
        <v>79</v>
      </c>
      <c r="C5" s="2445"/>
      <c r="D5" s="49" t="s">
        <v>5886</v>
      </c>
    </row>
    <row r="6" spans="1:6" ht="19.5" customHeight="1" x14ac:dyDescent="0.4">
      <c r="B6" s="2445" t="s">
        <v>80</v>
      </c>
      <c r="C6" s="2445"/>
      <c r="D6" s="50" t="s">
        <v>5889</v>
      </c>
    </row>
    <row r="7" spans="1:6" ht="37.5" x14ac:dyDescent="0.4">
      <c r="B7" s="2446" t="s">
        <v>81</v>
      </c>
      <c r="C7" s="2446"/>
      <c r="D7" s="93" t="s">
        <v>5890</v>
      </c>
    </row>
    <row r="8" spans="1:6" x14ac:dyDescent="0.4">
      <c r="B8" s="2457" t="s">
        <v>82</v>
      </c>
      <c r="C8" s="2458"/>
      <c r="D8" s="1047" t="s">
        <v>5998</v>
      </c>
    </row>
    <row r="10" spans="1:6" ht="23.25" customHeight="1" x14ac:dyDescent="0.4">
      <c r="B10" s="3270" t="s">
        <v>85</v>
      </c>
      <c r="C10" s="3270"/>
      <c r="D10" s="3270"/>
    </row>
    <row r="11" spans="1:6" ht="18" customHeight="1" x14ac:dyDescent="0.4">
      <c r="B11" s="2453" t="s">
        <v>86</v>
      </c>
      <c r="C11" s="2454"/>
      <c r="D11" s="49" t="s">
        <v>307</v>
      </c>
    </row>
    <row r="12" spans="1:6" ht="18.75" customHeight="1" x14ac:dyDescent="0.4">
      <c r="B12" s="2455" t="s">
        <v>88</v>
      </c>
      <c r="C12" s="2455"/>
      <c r="D12" s="214" t="s">
        <v>308</v>
      </c>
    </row>
    <row r="13" spans="1:6" x14ac:dyDescent="0.4">
      <c r="B13" s="2445" t="s">
        <v>90</v>
      </c>
      <c r="C13" s="2445"/>
      <c r="D13" s="54" t="s">
        <v>25</v>
      </c>
    </row>
    <row r="14" spans="1:6" x14ac:dyDescent="0.4">
      <c r="B14" s="2445" t="s">
        <v>91</v>
      </c>
      <c r="C14" s="2456"/>
      <c r="D14" s="54" t="s">
        <v>92</v>
      </c>
    </row>
    <row r="15" spans="1:6" ht="187.5" x14ac:dyDescent="0.4">
      <c r="B15" s="2445" t="s">
        <v>93</v>
      </c>
      <c r="C15" s="2445"/>
      <c r="D15" s="204" t="s">
        <v>309</v>
      </c>
    </row>
    <row r="16" spans="1:6" ht="48" customHeight="1" x14ac:dyDescent="0.4">
      <c r="B16" s="2445" t="s">
        <v>95</v>
      </c>
      <c r="C16" s="2445"/>
      <c r="D16" s="49"/>
    </row>
    <row r="17" spans="2:4" x14ac:dyDescent="0.4">
      <c r="B17" s="2445" t="s">
        <v>97</v>
      </c>
      <c r="C17" s="2445"/>
      <c r="D17" s="203" t="s">
        <v>270</v>
      </c>
    </row>
    <row r="18" spans="2:4" ht="37.5" x14ac:dyDescent="0.4">
      <c r="B18" s="2487" t="s">
        <v>310</v>
      </c>
      <c r="C18" s="2456"/>
      <c r="D18" s="203" t="s">
        <v>311</v>
      </c>
    </row>
    <row r="19" spans="2:4" ht="15" customHeight="1" x14ac:dyDescent="0.4">
      <c r="B19" s="2446" t="s">
        <v>99</v>
      </c>
      <c r="C19" s="2446"/>
      <c r="D19" s="49"/>
    </row>
    <row r="20" spans="2:4" x14ac:dyDescent="0.4">
      <c r="B20" s="2457" t="s">
        <v>100</v>
      </c>
      <c r="C20" s="2458"/>
      <c r="D20" s="56" t="s">
        <v>312</v>
      </c>
    </row>
    <row r="21" spans="2:4" x14ac:dyDescent="0.4">
      <c r="B21" s="2445" t="s">
        <v>102</v>
      </c>
      <c r="C21" s="2445"/>
      <c r="D21" s="49" t="s">
        <v>140</v>
      </c>
    </row>
    <row r="22" spans="2:4" ht="15" customHeight="1" x14ac:dyDescent="0.4">
      <c r="B22" s="2451" t="s">
        <v>104</v>
      </c>
      <c r="C22" s="95" t="s">
        <v>105</v>
      </c>
      <c r="D22" s="49" t="s">
        <v>313</v>
      </c>
    </row>
    <row r="23" spans="2:4" x14ac:dyDescent="0.4">
      <c r="B23" s="2452"/>
      <c r="C23" s="96" t="s">
        <v>107</v>
      </c>
      <c r="D23" s="55"/>
    </row>
    <row r="24" spans="2:4" x14ac:dyDescent="0.4">
      <c r="B24" s="2444" t="s">
        <v>109</v>
      </c>
      <c r="C24" s="2444"/>
      <c r="D24" s="49" t="s">
        <v>143</v>
      </c>
    </row>
    <row r="25" spans="2:4" x14ac:dyDescent="0.4">
      <c r="B25" s="2444" t="s">
        <v>111</v>
      </c>
      <c r="C25" s="2444"/>
      <c r="D25" s="205" t="s">
        <v>273</v>
      </c>
    </row>
    <row r="26" spans="2:4" ht="15" customHeight="1" x14ac:dyDescent="0.4">
      <c r="B26" s="2445" t="s">
        <v>113</v>
      </c>
      <c r="C26" s="2445"/>
      <c r="D26" s="56" t="s">
        <v>220</v>
      </c>
    </row>
    <row r="27" spans="2:4" x14ac:dyDescent="0.4">
      <c r="B27" s="2446" t="s">
        <v>115</v>
      </c>
      <c r="C27" s="2446"/>
      <c r="D27" s="49" t="s">
        <v>274</v>
      </c>
    </row>
    <row r="28" spans="2:4" x14ac:dyDescent="0.4">
      <c r="B28" s="2447" t="s">
        <v>117</v>
      </c>
      <c r="C28" s="2448"/>
      <c r="D28" s="49"/>
    </row>
    <row r="29" spans="2:4" ht="56.25" x14ac:dyDescent="0.4">
      <c r="B29" s="97" t="s">
        <v>118</v>
      </c>
      <c r="C29" s="98"/>
      <c r="D29" s="49" t="s">
        <v>314</v>
      </c>
    </row>
    <row r="30" spans="2:4" x14ac:dyDescent="0.4">
      <c r="B30" s="2449" t="s">
        <v>120</v>
      </c>
      <c r="C30" s="2450"/>
      <c r="D30" s="62"/>
    </row>
    <row r="31" spans="2:4" ht="23.25" customHeight="1" x14ac:dyDescent="0.4">
      <c r="B31" s="63"/>
      <c r="C31" s="63"/>
      <c r="D31" s="64"/>
    </row>
    <row r="32" spans="2:4" ht="19.5" x14ac:dyDescent="0.4">
      <c r="B32" s="2431" t="s">
        <v>121</v>
      </c>
      <c r="C32" s="2431"/>
      <c r="D32" s="2431"/>
    </row>
    <row r="33" spans="2:4" x14ac:dyDescent="0.4">
      <c r="B33" s="2442" t="s">
        <v>122</v>
      </c>
      <c r="C33" s="2443"/>
      <c r="D33" s="205" t="s">
        <v>276</v>
      </c>
    </row>
    <row r="34" spans="2:4" x14ac:dyDescent="0.4">
      <c r="B34" s="2442" t="s">
        <v>124</v>
      </c>
      <c r="C34" s="2443"/>
      <c r="D34" s="205" t="s">
        <v>277</v>
      </c>
    </row>
    <row r="35" spans="2:4" x14ac:dyDescent="0.4">
      <c r="B35" s="2442" t="s">
        <v>126</v>
      </c>
      <c r="C35" s="2443"/>
      <c r="D35" s="205" t="s">
        <v>273</v>
      </c>
    </row>
    <row r="36" spans="2:4" x14ac:dyDescent="0.4">
      <c r="B36" s="2442" t="s">
        <v>128</v>
      </c>
      <c r="C36" s="2443"/>
      <c r="D36" s="205" t="s">
        <v>278</v>
      </c>
    </row>
    <row r="37" spans="2:4" x14ac:dyDescent="0.4">
      <c r="B37" s="2442" t="s">
        <v>130</v>
      </c>
      <c r="C37" s="2443"/>
      <c r="D37" s="205" t="s">
        <v>279</v>
      </c>
    </row>
  </sheetData>
  <mergeCells count="31">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B23"/>
    <mergeCell ref="B24:C24"/>
    <mergeCell ref="B25:C25"/>
    <mergeCell ref="B26:C26"/>
    <mergeCell ref="B27:C27"/>
    <mergeCell ref="B37:C37"/>
    <mergeCell ref="B30:C30"/>
    <mergeCell ref="B32:D32"/>
    <mergeCell ref="B33:C33"/>
    <mergeCell ref="B34:C34"/>
    <mergeCell ref="B35:C35"/>
    <mergeCell ref="B36:C36"/>
  </mergeCells>
  <dataValidations count="7">
    <dataValidation allowBlank="1" showDropDown="1" showInputMessage="1" showErrorMessage="1" sqref="D13" xr:uid="{E484AA3E-F4F4-494D-84B4-4B2FD21AFDFC}"/>
    <dataValidation type="list" allowBlank="1" showInputMessage="1" showErrorMessage="1" sqref="D26" xr:uid="{54A89D97-1131-4594-8F46-B5FD31337ED5}">
      <formula1>Tipo_operación</formula1>
    </dataValidation>
    <dataValidation type="list" allowBlank="1" showInputMessage="1" showErrorMessage="1" sqref="D14" xr:uid="{27124733-A94C-4429-AEDB-BA121938AF0C}">
      <formula1>Tipo_indicador</formula1>
    </dataValidation>
    <dataValidation type="list" allowBlank="1" showInputMessage="1" showErrorMessage="1" sqref="D7" xr:uid="{3AC5DB8E-217D-443E-943E-BCA8CD119E05}">
      <formula1>Nombre_indicador_ODS</formula1>
    </dataValidation>
    <dataValidation type="list" allowBlank="1" showInputMessage="1" showErrorMessage="1" sqref="D6" xr:uid="{466FAA51-1512-438F-923C-CBC7236B196E}">
      <formula1>Numero_indicador</formula1>
    </dataValidation>
    <dataValidation type="list" allowBlank="1" showInputMessage="1" showErrorMessage="1" sqref="D5" xr:uid="{76A022B5-2756-4B82-9E80-771978B7D529}">
      <formula1>Metas_ODS</formula1>
    </dataValidation>
    <dataValidation type="list" allowBlank="1" showInputMessage="1" showErrorMessage="1" sqref="D4" xr:uid="{730389C2-847C-4ECE-B901-B4139C816B8E}">
      <formula1>ODS</formula1>
    </dataValidation>
  </dataValidations>
  <hyperlinks>
    <hyperlink ref="B1" location="'11.5.2'!A1" display="REGRESAR" xr:uid="{03CD292A-CE85-4383-875C-9318539886C6}"/>
    <hyperlink ref="D8" r:id="rId1" xr:uid="{892DBCD0-F9F4-4C33-A590-8DCBEB11AEFB}"/>
  </hyperlinks>
  <pageMargins left="0.7" right="0.7" top="0.75" bottom="0.75" header="0.3" footer="0.3"/>
  <drawing r:id="rId2"/>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5669-1BAD-42D2-AAE9-4BBEFEF089B7}">
  <dimension ref="A1:O33"/>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2" width="15.28515625" style="115" customWidth="1"/>
    <col min="3" max="3" width="9.28515625" style="115" customWidth="1"/>
    <col min="4" max="5" width="35.7109375" style="115" customWidth="1"/>
    <col min="6" max="16384" width="11.42578125" style="115"/>
  </cols>
  <sheetData>
    <row r="1" spans="1:15" x14ac:dyDescent="0.4">
      <c r="A1" s="158" t="s">
        <v>39</v>
      </c>
      <c r="D1" s="158" t="s">
        <v>149</v>
      </c>
    </row>
    <row r="3" spans="1:15" ht="15" customHeight="1" x14ac:dyDescent="0.4">
      <c r="A3" s="3281" t="s">
        <v>41</v>
      </c>
      <c r="B3" s="3287"/>
      <c r="C3" s="3281" t="s">
        <v>5871</v>
      </c>
      <c r="D3" s="3288"/>
      <c r="E3" s="3288"/>
      <c r="F3" s="3288"/>
      <c r="G3" s="3288"/>
      <c r="H3" s="3288"/>
      <c r="I3" s="3288"/>
      <c r="J3" s="3288"/>
      <c r="K3" s="3288"/>
      <c r="L3" s="3288"/>
      <c r="M3" s="3288"/>
      <c r="N3" s="3288"/>
      <c r="O3" s="3288"/>
    </row>
    <row r="4" spans="1:15" ht="32.25" customHeight="1" x14ac:dyDescent="0.4">
      <c r="A4" s="3281" t="s">
        <v>42</v>
      </c>
      <c r="B4" s="3282"/>
      <c r="C4" s="3281" t="s">
        <v>5886</v>
      </c>
      <c r="D4" s="3283"/>
      <c r="E4" s="3283"/>
      <c r="F4" s="3283"/>
      <c r="G4" s="3283"/>
      <c r="H4" s="3283"/>
      <c r="I4" s="3283"/>
      <c r="J4" s="3283"/>
      <c r="K4" s="3283"/>
      <c r="L4" s="3283"/>
      <c r="M4" s="3283"/>
      <c r="N4" s="3283"/>
      <c r="O4" s="3283"/>
    </row>
    <row r="5" spans="1:15" ht="15" customHeight="1" x14ac:dyDescent="0.4">
      <c r="A5" s="3281" t="s">
        <v>43</v>
      </c>
      <c r="B5" s="3282"/>
      <c r="C5" s="3281" t="s">
        <v>5892</v>
      </c>
      <c r="D5" s="3283"/>
      <c r="E5" s="3283"/>
      <c r="F5" s="3283"/>
      <c r="G5" s="3283"/>
      <c r="H5" s="3283"/>
      <c r="I5" s="3283"/>
      <c r="J5" s="3283"/>
      <c r="K5" s="3283"/>
      <c r="L5" s="3283"/>
      <c r="M5" s="3283"/>
      <c r="N5" s="3283"/>
      <c r="O5" s="3283"/>
    </row>
    <row r="6" spans="1:15" ht="15" customHeight="1" x14ac:dyDescent="0.4">
      <c r="A6" s="3281" t="s">
        <v>132</v>
      </c>
      <c r="B6" s="3282"/>
      <c r="C6" s="3281" t="s">
        <v>5999</v>
      </c>
      <c r="D6" s="3283"/>
      <c r="E6" s="3283"/>
      <c r="F6" s="3283"/>
      <c r="G6" s="3283"/>
      <c r="H6" s="3283"/>
      <c r="I6" s="3283"/>
      <c r="J6" s="3283"/>
      <c r="K6" s="3283"/>
      <c r="L6" s="3283"/>
      <c r="M6" s="3283"/>
      <c r="N6" s="3283"/>
      <c r="O6" s="3283"/>
    </row>
    <row r="9" spans="1:15" x14ac:dyDescent="0.4">
      <c r="C9" s="226" t="s">
        <v>5999</v>
      </c>
    </row>
    <row r="10" spans="1:15" x14ac:dyDescent="0.4">
      <c r="C10" s="226"/>
    </row>
    <row r="11" spans="1:15" ht="37.5" x14ac:dyDescent="0.4">
      <c r="C11" s="1671" t="s">
        <v>247</v>
      </c>
      <c r="D11" s="1671" t="s">
        <v>6000</v>
      </c>
      <c r="E11" s="1671" t="s">
        <v>6001</v>
      </c>
    </row>
    <row r="12" spans="1:15" ht="19.5" x14ac:dyDescent="0.4">
      <c r="C12" s="1704">
        <v>2005</v>
      </c>
      <c r="D12" s="1705">
        <v>130367985100</v>
      </c>
      <c r="E12" s="1706">
        <v>10</v>
      </c>
    </row>
    <row r="13" spans="1:15" ht="19.5" x14ac:dyDescent="0.4">
      <c r="C13" s="1707">
        <v>2006</v>
      </c>
      <c r="D13" s="1708">
        <v>58525000</v>
      </c>
      <c r="E13" s="537">
        <v>3</v>
      </c>
    </row>
    <row r="14" spans="1:15" ht="19.5" x14ac:dyDescent="0.4">
      <c r="C14" s="1707">
        <v>2007</v>
      </c>
      <c r="D14" s="1708">
        <v>0</v>
      </c>
      <c r="E14" s="537">
        <v>7</v>
      </c>
    </row>
    <row r="15" spans="1:15" ht="19.5" x14ac:dyDescent="0.4">
      <c r="C15" s="1707">
        <v>2008</v>
      </c>
      <c r="D15" s="1708">
        <v>0</v>
      </c>
      <c r="E15" s="537">
        <v>9</v>
      </c>
    </row>
    <row r="16" spans="1:15" ht="19.5" x14ac:dyDescent="0.4">
      <c r="C16" s="1707">
        <v>2009</v>
      </c>
      <c r="D16" s="1708">
        <v>0</v>
      </c>
      <c r="E16" s="537">
        <v>8</v>
      </c>
    </row>
    <row r="17" spans="3:5" ht="19.5" x14ac:dyDescent="0.4">
      <c r="C17" s="1707">
        <v>2010</v>
      </c>
      <c r="D17" s="1708">
        <v>0</v>
      </c>
      <c r="E17" s="537">
        <v>3</v>
      </c>
    </row>
    <row r="18" spans="3:5" ht="19.5" x14ac:dyDescent="0.4">
      <c r="C18" s="1707">
        <v>2011</v>
      </c>
      <c r="D18" s="1708">
        <v>0</v>
      </c>
      <c r="E18" s="537">
        <v>0</v>
      </c>
    </row>
    <row r="19" spans="3:5" ht="19.5" x14ac:dyDescent="0.4">
      <c r="C19" s="1707">
        <v>2012</v>
      </c>
      <c r="D19" s="1708">
        <v>0</v>
      </c>
      <c r="E19" s="537">
        <v>3</v>
      </c>
    </row>
    <row r="20" spans="3:5" ht="19.5" x14ac:dyDescent="0.4">
      <c r="C20" s="1707">
        <v>2013</v>
      </c>
      <c r="D20" s="1708">
        <v>0</v>
      </c>
      <c r="E20" s="537">
        <v>0</v>
      </c>
    </row>
    <row r="21" spans="3:5" ht="19.5" x14ac:dyDescent="0.4">
      <c r="C21" s="1707">
        <v>2014</v>
      </c>
      <c r="D21" s="1708">
        <v>0</v>
      </c>
      <c r="E21" s="537">
        <v>2</v>
      </c>
    </row>
    <row r="22" spans="3:5" ht="19.5" x14ac:dyDescent="0.4">
      <c r="C22" s="1707">
        <v>2015</v>
      </c>
      <c r="D22" s="1708">
        <v>26700000</v>
      </c>
      <c r="E22" s="537">
        <v>3</v>
      </c>
    </row>
    <row r="23" spans="3:5" ht="19.5" x14ac:dyDescent="0.4">
      <c r="C23" s="1707">
        <v>2016</v>
      </c>
      <c r="D23" s="1708">
        <v>317879120</v>
      </c>
      <c r="E23" s="537">
        <v>6</v>
      </c>
    </row>
    <row r="24" spans="3:5" ht="19.5" x14ac:dyDescent="0.4">
      <c r="C24" s="1707">
        <v>2017</v>
      </c>
      <c r="D24" s="1708">
        <v>4389293034</v>
      </c>
      <c r="E24" s="537">
        <v>6</v>
      </c>
    </row>
    <row r="25" spans="3:5" ht="19.5" x14ac:dyDescent="0.4">
      <c r="C25" s="1707">
        <v>2018</v>
      </c>
      <c r="D25" s="1708">
        <v>0</v>
      </c>
      <c r="E25" s="537">
        <v>2</v>
      </c>
    </row>
    <row r="26" spans="3:5" ht="19.5" x14ac:dyDescent="0.4">
      <c r="C26" s="1707">
        <v>2019</v>
      </c>
      <c r="D26" s="1708">
        <v>0</v>
      </c>
      <c r="E26" s="537">
        <v>2</v>
      </c>
    </row>
    <row r="27" spans="3:5" ht="19.5" x14ac:dyDescent="0.4">
      <c r="C27" s="1707">
        <v>2020</v>
      </c>
      <c r="D27" s="1708">
        <v>0</v>
      </c>
      <c r="E27" s="537">
        <v>3</v>
      </c>
    </row>
    <row r="28" spans="3:5" ht="19.5" x14ac:dyDescent="0.4">
      <c r="C28" s="1707">
        <v>2021</v>
      </c>
      <c r="D28" s="1708">
        <v>1616018652.8800001</v>
      </c>
      <c r="E28" s="537">
        <v>261</v>
      </c>
    </row>
    <row r="29" spans="3:5" ht="19.5" x14ac:dyDescent="0.4">
      <c r="C29" s="1707">
        <v>2022</v>
      </c>
      <c r="D29" s="1708">
        <v>21140075819</v>
      </c>
      <c r="E29" s="537">
        <v>121</v>
      </c>
    </row>
    <row r="30" spans="3:5" ht="19.5" x14ac:dyDescent="0.4">
      <c r="C30" s="1709">
        <v>2023</v>
      </c>
      <c r="D30" s="1710">
        <v>0</v>
      </c>
      <c r="E30" s="1497">
        <v>1</v>
      </c>
    </row>
    <row r="31" spans="3:5" x14ac:dyDescent="0.4">
      <c r="C31" s="115" t="s">
        <v>6002</v>
      </c>
    </row>
    <row r="32" spans="3:5" x14ac:dyDescent="0.4">
      <c r="C32" s="115" t="s">
        <v>6003</v>
      </c>
    </row>
    <row r="33" spans="3:7" x14ac:dyDescent="0.4">
      <c r="C33" s="2488" t="s">
        <v>6004</v>
      </c>
      <c r="D33" s="2488"/>
      <c r="E33" s="2488"/>
      <c r="F33" s="2488"/>
      <c r="G33" s="2488"/>
    </row>
  </sheetData>
  <mergeCells count="9">
    <mergeCell ref="A6:B6"/>
    <mergeCell ref="C6:O6"/>
    <mergeCell ref="C33:G33"/>
    <mergeCell ref="A3:B3"/>
    <mergeCell ref="C3:O3"/>
    <mergeCell ref="A4:B4"/>
    <mergeCell ref="C4:O4"/>
    <mergeCell ref="A5:B5"/>
    <mergeCell ref="C5:O5"/>
  </mergeCells>
  <hyperlinks>
    <hyperlink ref="A1" location="'ODS 11.'!A1" display="REGRESAR" xr:uid="{591BF7FF-2975-40ED-BED1-330D24E6EDC9}"/>
    <hyperlink ref="D1" location="'Metadato 11.5.3'!A1" display="VER METADATO" xr:uid="{29E06F92-1AEF-4AF1-9F37-775ED8DA14BA}"/>
  </hyperlinks>
  <pageMargins left="0.7" right="0.7" top="0.75" bottom="0.75" header="0.3" footer="0.3"/>
  <legacy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EE3F-76EB-4615-8F4D-197A9D95775B}">
  <sheetPr>
    <tabColor theme="0" tint="-0.499984740745262"/>
  </sheetPr>
  <dimension ref="A1:F38"/>
  <sheetViews>
    <sheetView showGridLines="0" zoomScaleNormal="100" workbookViewId="0">
      <pane ySplit="1" topLeftCell="A16"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1711" t="s">
        <v>39</v>
      </c>
    </row>
    <row r="2" spans="1:6" ht="19.5" thickBot="1" x14ac:dyDescent="0.45"/>
    <row r="3" spans="1:6" ht="23.25" customHeight="1" thickBot="1" x14ac:dyDescent="0.45">
      <c r="B3" s="3270" t="s">
        <v>75</v>
      </c>
      <c r="C3" s="3270"/>
      <c r="D3" s="3270"/>
      <c r="F3" s="1046" t="s">
        <v>265</v>
      </c>
    </row>
    <row r="4" spans="1:6" ht="37.5" x14ac:dyDescent="0.4">
      <c r="A4" s="283"/>
      <c r="B4" s="2445" t="s">
        <v>234</v>
      </c>
      <c r="C4" s="2445"/>
      <c r="D4" s="49" t="s">
        <v>5921</v>
      </c>
    </row>
    <row r="5" spans="1:6" ht="75" x14ac:dyDescent="0.4">
      <c r="B5" s="2445" t="s">
        <v>79</v>
      </c>
      <c r="C5" s="2445"/>
      <c r="D5" s="49" t="s">
        <v>5886</v>
      </c>
    </row>
    <row r="6" spans="1:6" ht="19.5" customHeight="1" x14ac:dyDescent="0.4">
      <c r="B6" s="2445" t="s">
        <v>80</v>
      </c>
      <c r="C6" s="2445"/>
      <c r="D6" s="50"/>
    </row>
    <row r="7" spans="1:6" x14ac:dyDescent="0.4">
      <c r="B7" s="2446" t="s">
        <v>81</v>
      </c>
      <c r="C7" s="2446"/>
      <c r="D7" s="93"/>
    </row>
    <row r="8" spans="1:6" x14ac:dyDescent="0.4">
      <c r="B8" s="2457" t="s">
        <v>82</v>
      </c>
      <c r="C8" s="2458"/>
      <c r="D8" s="1047"/>
    </row>
    <row r="10" spans="1:6" ht="23.25" customHeight="1" x14ac:dyDescent="0.4">
      <c r="B10" s="3270" t="s">
        <v>85</v>
      </c>
      <c r="C10" s="3270"/>
      <c r="D10" s="3270"/>
    </row>
    <row r="11" spans="1:6" ht="18" customHeight="1" x14ac:dyDescent="0.4">
      <c r="B11" s="2487" t="s">
        <v>86</v>
      </c>
      <c r="C11" s="2456"/>
      <c r="D11" s="49" t="s">
        <v>167</v>
      </c>
    </row>
    <row r="12" spans="1:6" ht="18.75" customHeight="1" x14ac:dyDescent="0.4">
      <c r="B12" s="2446" t="s">
        <v>88</v>
      </c>
      <c r="C12" s="2446"/>
      <c r="D12" s="184" t="s">
        <v>6005</v>
      </c>
    </row>
    <row r="13" spans="1:6" x14ac:dyDescent="0.4">
      <c r="B13" s="2445" t="s">
        <v>90</v>
      </c>
      <c r="C13" s="2445"/>
      <c r="D13" s="55" t="s">
        <v>5891</v>
      </c>
    </row>
    <row r="14" spans="1:6" x14ac:dyDescent="0.4">
      <c r="B14" s="2445" t="s">
        <v>91</v>
      </c>
      <c r="C14" s="2456"/>
      <c r="D14" s="54" t="s">
        <v>92</v>
      </c>
    </row>
    <row r="15" spans="1:6" ht="112.5" x14ac:dyDescent="0.4">
      <c r="B15" s="2445" t="s">
        <v>93</v>
      </c>
      <c r="C15" s="2445"/>
      <c r="D15" s="55" t="s">
        <v>6006</v>
      </c>
    </row>
    <row r="16" spans="1:6" ht="57" customHeight="1" x14ac:dyDescent="0.4">
      <c r="B16" s="3290" t="s">
        <v>6007</v>
      </c>
      <c r="C16" s="3290"/>
      <c r="D16" s="756"/>
    </row>
    <row r="17" spans="2:4" ht="89.45" customHeight="1" x14ac:dyDescent="0.4">
      <c r="B17" s="3290" t="s">
        <v>6008</v>
      </c>
      <c r="C17" s="3290"/>
      <c r="D17" s="756"/>
    </row>
    <row r="18" spans="2:4" x14ac:dyDescent="0.4">
      <c r="B18" s="2445" t="s">
        <v>97</v>
      </c>
      <c r="C18" s="2445"/>
      <c r="D18" s="55" t="s">
        <v>270</v>
      </c>
    </row>
    <row r="19" spans="2:4" ht="15" customHeight="1" x14ac:dyDescent="0.4">
      <c r="B19" s="2474" t="s">
        <v>6009</v>
      </c>
      <c r="C19" s="2474"/>
      <c r="D19" s="756" t="s">
        <v>6010</v>
      </c>
    </row>
    <row r="20" spans="2:4" x14ac:dyDescent="0.4">
      <c r="B20" s="2474" t="s">
        <v>6011</v>
      </c>
      <c r="C20" s="2474"/>
      <c r="D20" s="756" t="s">
        <v>6012</v>
      </c>
    </row>
    <row r="21" spans="2:4" ht="37.5" x14ac:dyDescent="0.4">
      <c r="B21" s="2457" t="s">
        <v>100</v>
      </c>
      <c r="C21" s="2458"/>
      <c r="D21" s="49" t="s">
        <v>6013</v>
      </c>
    </row>
    <row r="22" spans="2:4" ht="15" customHeight="1" x14ac:dyDescent="0.4">
      <c r="B22" s="2445" t="s">
        <v>102</v>
      </c>
      <c r="C22" s="2445"/>
      <c r="D22" s="55" t="s">
        <v>140</v>
      </c>
    </row>
    <row r="23" spans="2:4" x14ac:dyDescent="0.4">
      <c r="B23" s="2451" t="s">
        <v>104</v>
      </c>
      <c r="C23" s="95" t="s">
        <v>105</v>
      </c>
      <c r="D23" s="55"/>
    </row>
    <row r="24" spans="2:4" x14ac:dyDescent="0.4">
      <c r="B24" s="2452"/>
      <c r="C24" s="96" t="s">
        <v>107</v>
      </c>
      <c r="D24" s="55" t="s">
        <v>6014</v>
      </c>
    </row>
    <row r="25" spans="2:4" x14ac:dyDescent="0.4">
      <c r="B25" s="2445" t="s">
        <v>109</v>
      </c>
      <c r="C25" s="2445"/>
      <c r="D25" s="55" t="s">
        <v>143</v>
      </c>
    </row>
    <row r="26" spans="2:4" ht="15" customHeight="1" x14ac:dyDescent="0.4">
      <c r="B26" s="2445" t="s">
        <v>111</v>
      </c>
      <c r="C26" s="2445"/>
      <c r="D26" s="59" t="s">
        <v>273</v>
      </c>
    </row>
    <row r="27" spans="2:4" x14ac:dyDescent="0.4">
      <c r="B27" s="2445" t="s">
        <v>113</v>
      </c>
      <c r="C27" s="2445"/>
      <c r="D27" s="56" t="s">
        <v>220</v>
      </c>
    </row>
    <row r="28" spans="2:4" x14ac:dyDescent="0.4">
      <c r="B28" s="2446" t="s">
        <v>115</v>
      </c>
      <c r="C28" s="2446"/>
      <c r="D28" s="49" t="s">
        <v>274</v>
      </c>
    </row>
    <row r="29" spans="2:4" x14ac:dyDescent="0.4">
      <c r="B29" s="2447" t="s">
        <v>117</v>
      </c>
      <c r="C29" s="2448"/>
      <c r="D29" s="49"/>
    </row>
    <row r="30" spans="2:4" x14ac:dyDescent="0.4">
      <c r="B30" s="97" t="s">
        <v>118</v>
      </c>
      <c r="C30" s="98"/>
      <c r="D30" s="55"/>
    </row>
    <row r="31" spans="2:4" ht="23.25" customHeight="1" x14ac:dyDescent="0.4">
      <c r="B31" s="2449" t="s">
        <v>120</v>
      </c>
      <c r="C31" s="2450"/>
      <c r="D31" s="62"/>
    </row>
    <row r="32" spans="2:4" x14ac:dyDescent="0.4">
      <c r="B32" s="63"/>
      <c r="C32" s="63"/>
      <c r="D32" s="64"/>
    </row>
    <row r="33" spans="2:4" ht="19.5" x14ac:dyDescent="0.4">
      <c r="B33" s="3270" t="s">
        <v>121</v>
      </c>
      <c r="C33" s="3270"/>
      <c r="D33" s="3270"/>
    </row>
    <row r="34" spans="2:4" x14ac:dyDescent="0.4">
      <c r="B34" s="2447" t="s">
        <v>122</v>
      </c>
      <c r="C34" s="2448"/>
      <c r="D34" s="50" t="s">
        <v>276</v>
      </c>
    </row>
    <row r="35" spans="2:4" x14ac:dyDescent="0.4">
      <c r="B35" s="2447" t="s">
        <v>124</v>
      </c>
      <c r="C35" s="2448"/>
      <c r="D35" s="50" t="s">
        <v>277</v>
      </c>
    </row>
    <row r="36" spans="2:4" x14ac:dyDescent="0.4">
      <c r="B36" s="2447" t="s">
        <v>126</v>
      </c>
      <c r="C36" s="2448"/>
      <c r="D36" s="50" t="s">
        <v>6015</v>
      </c>
    </row>
    <row r="37" spans="2:4" x14ac:dyDescent="0.4">
      <c r="B37" s="2447" t="s">
        <v>128</v>
      </c>
      <c r="C37" s="2448"/>
      <c r="D37" s="50" t="s">
        <v>344</v>
      </c>
    </row>
    <row r="38" spans="2:4" x14ac:dyDescent="0.4">
      <c r="B38" s="2447" t="s">
        <v>130</v>
      </c>
      <c r="C38" s="2448"/>
      <c r="D38" s="50" t="s">
        <v>279</v>
      </c>
    </row>
  </sheetData>
  <mergeCells count="32">
    <mergeCell ref="B15:C15"/>
    <mergeCell ref="B3:D3"/>
    <mergeCell ref="B4:C4"/>
    <mergeCell ref="B5:C5"/>
    <mergeCell ref="B6:C6"/>
    <mergeCell ref="B7:C7"/>
    <mergeCell ref="B8:C8"/>
    <mergeCell ref="B10:D10"/>
    <mergeCell ref="B11:C11"/>
    <mergeCell ref="B12:C12"/>
    <mergeCell ref="B13:C13"/>
    <mergeCell ref="B14:C14"/>
    <mergeCell ref="B28:C28"/>
    <mergeCell ref="B16:C16"/>
    <mergeCell ref="B17:C17"/>
    <mergeCell ref="B18:C18"/>
    <mergeCell ref="B19:C19"/>
    <mergeCell ref="B20:C20"/>
    <mergeCell ref="B21:C21"/>
    <mergeCell ref="B22:C22"/>
    <mergeCell ref="B23:B24"/>
    <mergeCell ref="B25:C25"/>
    <mergeCell ref="B26:C26"/>
    <mergeCell ref="B27:C27"/>
    <mergeCell ref="B37:C37"/>
    <mergeCell ref="B38:C38"/>
    <mergeCell ref="B29:C29"/>
    <mergeCell ref="B31:C31"/>
    <mergeCell ref="B33:D33"/>
    <mergeCell ref="B34:C34"/>
    <mergeCell ref="B35:C35"/>
    <mergeCell ref="B36:C36"/>
  </mergeCells>
  <dataValidations count="6">
    <dataValidation type="list" allowBlank="1" showInputMessage="1" showErrorMessage="1" sqref="D4" xr:uid="{5043B835-3E7D-42D0-BF3D-01318257E948}">
      <formula1>ODS</formula1>
    </dataValidation>
    <dataValidation type="list" allowBlank="1" showInputMessage="1" showErrorMessage="1" sqref="D5" xr:uid="{C16F80BB-ADD4-4606-A99E-D5D0A2012B7F}">
      <formula1>Metas_ODS</formula1>
    </dataValidation>
    <dataValidation type="list" allowBlank="1" showInputMessage="1" showErrorMessage="1" sqref="D6" xr:uid="{F36B235D-9F61-4E85-A2C2-5D3257F66FDD}">
      <formula1>Numero_indicador</formula1>
    </dataValidation>
    <dataValidation type="list" allowBlank="1" showInputMessage="1" showErrorMessage="1" sqref="D7" xr:uid="{A83693F9-2920-48B7-A633-DB89706D8D65}">
      <formula1>Nombre_indicador_ODS</formula1>
    </dataValidation>
    <dataValidation type="list" allowBlank="1" showInputMessage="1" showErrorMessage="1" sqref="D14" xr:uid="{E74E6799-4D87-4E8A-B8C7-F6D9B86A22EE}">
      <formula1>Tipo_indicador</formula1>
    </dataValidation>
    <dataValidation type="list" allowBlank="1" showInputMessage="1" showErrorMessage="1" sqref="D27" xr:uid="{261CC08F-0833-43DF-AD79-1BCEB7C0583D}">
      <formula1>Tipo_operación</formula1>
    </dataValidation>
  </dataValidations>
  <hyperlinks>
    <hyperlink ref="B1" location="'11.5.3'!A1" display="REGRESAR" xr:uid="{7085A152-AEE8-408A-AEDC-938733FCEE12}"/>
  </hyperlinks>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0C13C-A55E-4B1F-AC63-A7653095476A}">
  <dimension ref="A1:BF116"/>
  <sheetViews>
    <sheetView showGridLines="0" zoomScaleNormal="100" workbookViewId="0">
      <pane ySplit="1" topLeftCell="A2" activePane="bottomLeft" state="frozen"/>
      <selection activeCell="L15" sqref="L15"/>
      <selection pane="bottomLeft" activeCell="L15" sqref="L15"/>
    </sheetView>
  </sheetViews>
  <sheetFormatPr baseColWidth="10" defaultColWidth="11.42578125" defaultRowHeight="18.75" x14ac:dyDescent="0.4"/>
  <cols>
    <col min="1" max="2" width="15.28515625" style="2270" customWidth="1"/>
    <col min="3" max="3" width="27.7109375" style="1048" customWidth="1"/>
    <col min="4" max="4" width="15.5703125" style="1048" customWidth="1"/>
    <col min="5" max="5" width="13.42578125" style="1048" customWidth="1"/>
    <col min="6" max="6" width="12.5703125" style="2270" customWidth="1"/>
    <col min="7" max="7" width="11.28515625" style="2270" customWidth="1"/>
    <col min="8" max="8" width="18" style="2270" customWidth="1"/>
    <col min="9" max="9" width="10.7109375" style="2270" customWidth="1"/>
    <col min="10" max="10" width="14.7109375" style="2270" customWidth="1"/>
    <col min="11" max="11" width="11.42578125" style="2270"/>
    <col min="12" max="12" width="13.7109375" style="2270" customWidth="1"/>
    <col min="13" max="13" width="12.42578125" style="2270" customWidth="1"/>
    <col min="14" max="14" width="14" style="2270" customWidth="1"/>
    <col min="15" max="15" width="12.5703125" style="2270" customWidth="1"/>
    <col min="16" max="16" width="11.42578125" style="2270"/>
    <col min="17" max="17" width="19" style="2270" customWidth="1"/>
    <col min="18" max="23" width="11.42578125" style="2270"/>
    <col min="24" max="24" width="13.28515625" style="2270" customWidth="1"/>
    <col min="25" max="30" width="11.42578125" style="2270"/>
    <col min="31" max="31" width="13.5703125" style="2270" customWidth="1"/>
    <col min="32" max="37" width="11.42578125" style="2270"/>
    <col min="38" max="38" width="13" style="2270" customWidth="1"/>
    <col min="39" max="46" width="11.42578125" style="2270"/>
    <col min="47" max="47" width="17.28515625" style="2270" customWidth="1"/>
    <col min="48" max="57" width="11.42578125" style="2270"/>
    <col min="58" max="58" width="15.28515625" style="2270" customWidth="1"/>
    <col min="59" max="16384" width="11.42578125" style="2270"/>
  </cols>
  <sheetData>
    <row r="1" spans="1:38" s="1032" customFormat="1" ht="19.5" x14ac:dyDescent="0.4">
      <c r="A1" s="2269" t="s">
        <v>39</v>
      </c>
      <c r="B1" s="1080"/>
      <c r="C1" s="2269" t="s">
        <v>149</v>
      </c>
      <c r="D1" s="1712"/>
      <c r="E1" s="1712"/>
      <c r="F1" s="1712"/>
    </row>
    <row r="2" spans="1:38" s="1032" customFormat="1" ht="19.5" x14ac:dyDescent="0.4">
      <c r="C2" s="1061"/>
      <c r="D2" s="1061"/>
      <c r="E2" s="1061"/>
    </row>
    <row r="3" spans="1:38" s="1032" customFormat="1" ht="19.5" x14ac:dyDescent="0.4">
      <c r="A3" s="3271" t="s">
        <v>41</v>
      </c>
      <c r="B3" s="3274"/>
      <c r="C3" s="3271" t="s">
        <v>5871</v>
      </c>
      <c r="D3" s="3294"/>
      <c r="E3" s="3294"/>
      <c r="F3" s="3294"/>
      <c r="G3" s="3294"/>
      <c r="H3" s="3294"/>
      <c r="I3" s="3294"/>
      <c r="J3" s="3294"/>
      <c r="K3" s="3294"/>
      <c r="L3" s="3294"/>
      <c r="M3" s="3294"/>
      <c r="N3" s="3294"/>
      <c r="O3" s="3294"/>
      <c r="P3" s="3294"/>
      <c r="Q3" s="3294"/>
      <c r="R3" s="3294"/>
      <c r="S3" s="3294"/>
      <c r="T3" s="3294"/>
    </row>
    <row r="4" spans="1:38" s="1032" customFormat="1" ht="19.5" x14ac:dyDescent="0.4">
      <c r="A4" s="3271" t="s">
        <v>42</v>
      </c>
      <c r="B4" s="3272"/>
      <c r="C4" s="3271" t="s">
        <v>5893</v>
      </c>
      <c r="D4" s="3294"/>
      <c r="E4" s="3294"/>
      <c r="F4" s="3273"/>
      <c r="G4" s="3273"/>
      <c r="H4" s="3273"/>
      <c r="I4" s="3273"/>
      <c r="J4" s="3273"/>
      <c r="K4" s="3273"/>
      <c r="L4" s="3273"/>
      <c r="M4" s="3273"/>
      <c r="N4" s="3273"/>
      <c r="O4" s="3273"/>
      <c r="P4" s="3273"/>
      <c r="Q4" s="3273"/>
      <c r="R4" s="3273"/>
      <c r="S4" s="3273"/>
      <c r="T4" s="3273"/>
    </row>
    <row r="5" spans="1:38" s="1032" customFormat="1" ht="16.149999999999999" customHeight="1" x14ac:dyDescent="0.4">
      <c r="A5" s="3271" t="s">
        <v>43</v>
      </c>
      <c r="B5" s="3272"/>
      <c r="C5" s="3271" t="s">
        <v>5895</v>
      </c>
      <c r="D5" s="3294"/>
      <c r="E5" s="3294"/>
      <c r="F5" s="3273"/>
      <c r="G5" s="3273"/>
      <c r="H5" s="3273"/>
      <c r="I5" s="3273"/>
      <c r="J5" s="3273"/>
      <c r="K5" s="3273"/>
      <c r="L5" s="3273"/>
      <c r="M5" s="3273"/>
      <c r="N5" s="3273"/>
      <c r="O5" s="3273"/>
      <c r="P5" s="3273"/>
      <c r="Q5" s="3273"/>
      <c r="R5" s="3273"/>
      <c r="S5" s="3273"/>
      <c r="T5" s="3273"/>
    </row>
    <row r="6" spans="1:38" s="1032" customFormat="1" ht="113.45" customHeight="1" x14ac:dyDescent="0.4">
      <c r="A6" s="3271" t="s">
        <v>132</v>
      </c>
      <c r="B6" s="3272"/>
      <c r="C6" s="3271" t="s">
        <v>8102</v>
      </c>
      <c r="D6" s="3294"/>
      <c r="E6" s="3294"/>
      <c r="F6" s="3273"/>
      <c r="G6" s="3273"/>
      <c r="H6" s="3273"/>
      <c r="I6" s="3273"/>
      <c r="J6" s="3273"/>
      <c r="K6" s="3273"/>
      <c r="L6" s="3273"/>
      <c r="M6" s="3273"/>
      <c r="N6" s="3273"/>
      <c r="O6" s="3273"/>
      <c r="P6" s="3273"/>
      <c r="Q6" s="3273"/>
      <c r="R6" s="3273"/>
      <c r="S6" s="3273"/>
      <c r="T6" s="3273"/>
    </row>
    <row r="7" spans="1:38" x14ac:dyDescent="0.4">
      <c r="A7" s="536"/>
    </row>
    <row r="8" spans="1:38" x14ac:dyDescent="0.4">
      <c r="A8" s="536"/>
    </row>
    <row r="9" spans="1:38" x14ac:dyDescent="0.4">
      <c r="A9" s="536"/>
    </row>
    <row r="10" spans="1:38" ht="18.600000000000001" customHeight="1" x14ac:dyDescent="0.4">
      <c r="A10" s="536"/>
      <c r="C10" s="138" t="s">
        <v>8098</v>
      </c>
      <c r="D10" s="138"/>
      <c r="E10" s="138"/>
      <c r="F10" s="138"/>
      <c r="G10" s="138"/>
      <c r="H10" s="138"/>
      <c r="I10" s="138"/>
      <c r="J10" s="138"/>
      <c r="K10" s="138"/>
      <c r="L10" s="138"/>
      <c r="M10" s="138"/>
      <c r="N10" s="138"/>
    </row>
    <row r="11" spans="1:38" x14ac:dyDescent="0.4">
      <c r="A11" s="536"/>
    </row>
    <row r="12" spans="1:38" x14ac:dyDescent="0.4">
      <c r="A12" s="536"/>
      <c r="C12" s="3266" t="s">
        <v>327</v>
      </c>
      <c r="D12" s="3268">
        <v>2019</v>
      </c>
      <c r="E12" s="3268"/>
      <c r="F12" s="3268"/>
      <c r="G12" s="3268"/>
      <c r="H12" s="3268"/>
      <c r="I12" s="3268"/>
      <c r="J12" s="3293"/>
      <c r="K12" s="3292">
        <v>2020</v>
      </c>
      <c r="L12" s="3268"/>
      <c r="M12" s="3268"/>
      <c r="N12" s="3268"/>
      <c r="O12" s="3268"/>
      <c r="P12" s="3268"/>
      <c r="Q12" s="3293"/>
      <c r="R12" s="3292">
        <v>2021</v>
      </c>
      <c r="S12" s="3268"/>
      <c r="T12" s="3268"/>
      <c r="U12" s="3268"/>
      <c r="V12" s="3268"/>
      <c r="W12" s="3268"/>
      <c r="X12" s="3293"/>
      <c r="Y12" s="3292">
        <v>2022</v>
      </c>
      <c r="Z12" s="3268"/>
      <c r="AA12" s="3268"/>
      <c r="AB12" s="3268"/>
      <c r="AC12" s="3268"/>
      <c r="AD12" s="3268"/>
      <c r="AE12" s="3293"/>
      <c r="AF12" s="3292">
        <v>2023</v>
      </c>
      <c r="AG12" s="3268"/>
      <c r="AH12" s="3268"/>
      <c r="AI12" s="3268"/>
      <c r="AJ12" s="3268"/>
      <c r="AK12" s="3268"/>
      <c r="AL12" s="3293"/>
    </row>
    <row r="13" spans="1:38" ht="75" x14ac:dyDescent="0.4">
      <c r="A13" s="536"/>
      <c r="C13" s="3295"/>
      <c r="D13" s="3268" t="s">
        <v>6018</v>
      </c>
      <c r="E13" s="3268"/>
      <c r="F13" s="3268" t="s">
        <v>8089</v>
      </c>
      <c r="G13" s="3268"/>
      <c r="H13" s="3291" t="s">
        <v>8090</v>
      </c>
      <c r="I13" s="3291"/>
      <c r="J13" s="2299" t="s">
        <v>8091</v>
      </c>
      <c r="K13" s="3292" t="s">
        <v>6018</v>
      </c>
      <c r="L13" s="3268"/>
      <c r="M13" s="3268" t="s">
        <v>8089</v>
      </c>
      <c r="N13" s="3268"/>
      <c r="O13" s="3291" t="s">
        <v>8090</v>
      </c>
      <c r="P13" s="3291"/>
      <c r="Q13" s="2299" t="s">
        <v>8091</v>
      </c>
      <c r="R13" s="3292" t="s">
        <v>6018</v>
      </c>
      <c r="S13" s="3268"/>
      <c r="T13" s="3268" t="s">
        <v>8089</v>
      </c>
      <c r="U13" s="3268"/>
      <c r="V13" s="3291" t="s">
        <v>8090</v>
      </c>
      <c r="W13" s="3291"/>
      <c r="X13" s="2299" t="s">
        <v>8091</v>
      </c>
      <c r="Y13" s="3292" t="s">
        <v>6018</v>
      </c>
      <c r="Z13" s="3268"/>
      <c r="AA13" s="3268" t="s">
        <v>8089</v>
      </c>
      <c r="AB13" s="3268"/>
      <c r="AC13" s="3291" t="s">
        <v>8090</v>
      </c>
      <c r="AD13" s="3291"/>
      <c r="AE13" s="2299" t="s">
        <v>8091</v>
      </c>
      <c r="AF13" s="3292" t="s">
        <v>6018</v>
      </c>
      <c r="AG13" s="3268"/>
      <c r="AH13" s="3268" t="s">
        <v>8089</v>
      </c>
      <c r="AI13" s="3268"/>
      <c r="AJ13" s="3291" t="s">
        <v>8090</v>
      </c>
      <c r="AK13" s="3291"/>
      <c r="AL13" s="2299" t="s">
        <v>8091</v>
      </c>
    </row>
    <row r="14" spans="1:38" ht="37.5" x14ac:dyDescent="0.4">
      <c r="A14" s="536"/>
      <c r="C14" s="3267"/>
      <c r="D14" s="2274" t="s">
        <v>8092</v>
      </c>
      <c r="E14" s="2274" t="s">
        <v>6023</v>
      </c>
      <c r="F14" s="2272" t="s">
        <v>8092</v>
      </c>
      <c r="G14" s="2272" t="s">
        <v>6023</v>
      </c>
      <c r="H14" s="1714" t="s">
        <v>8092</v>
      </c>
      <c r="I14" s="1714" t="s">
        <v>6023</v>
      </c>
      <c r="J14" s="2300" t="s">
        <v>6023</v>
      </c>
      <c r="K14" s="2303" t="s">
        <v>8092</v>
      </c>
      <c r="L14" s="2274" t="s">
        <v>6023</v>
      </c>
      <c r="M14" s="2272" t="s">
        <v>8092</v>
      </c>
      <c r="N14" s="2272" t="s">
        <v>6023</v>
      </c>
      <c r="O14" s="1714" t="s">
        <v>8092</v>
      </c>
      <c r="P14" s="1714" t="s">
        <v>6023</v>
      </c>
      <c r="Q14" s="2300" t="s">
        <v>6023</v>
      </c>
      <c r="R14" s="2303" t="s">
        <v>8092</v>
      </c>
      <c r="S14" s="2274" t="s">
        <v>6023</v>
      </c>
      <c r="T14" s="2272" t="s">
        <v>8092</v>
      </c>
      <c r="U14" s="2272" t="s">
        <v>6023</v>
      </c>
      <c r="V14" s="1714" t="s">
        <v>8092</v>
      </c>
      <c r="W14" s="1714" t="s">
        <v>6023</v>
      </c>
      <c r="X14" s="2300" t="s">
        <v>6023</v>
      </c>
      <c r="Y14" s="2303" t="s">
        <v>8092</v>
      </c>
      <c r="Z14" s="2274" t="s">
        <v>6023</v>
      </c>
      <c r="AA14" s="2272" t="s">
        <v>8092</v>
      </c>
      <c r="AB14" s="2272" t="s">
        <v>6023</v>
      </c>
      <c r="AC14" s="1714" t="s">
        <v>8092</v>
      </c>
      <c r="AD14" s="1714" t="s">
        <v>6023</v>
      </c>
      <c r="AE14" s="2300" t="s">
        <v>6023</v>
      </c>
      <c r="AF14" s="2303" t="s">
        <v>8092</v>
      </c>
      <c r="AG14" s="2274" t="s">
        <v>6023</v>
      </c>
      <c r="AH14" s="2272" t="s">
        <v>8092</v>
      </c>
      <c r="AI14" s="2272" t="s">
        <v>6023</v>
      </c>
      <c r="AJ14" s="1714" t="s">
        <v>8092</v>
      </c>
      <c r="AK14" s="1714" t="s">
        <v>6023</v>
      </c>
      <c r="AL14" s="2300" t="s">
        <v>6023</v>
      </c>
    </row>
    <row r="15" spans="1:38" x14ac:dyDescent="0.4">
      <c r="A15" s="536"/>
      <c r="C15" s="2290" t="s">
        <v>328</v>
      </c>
      <c r="D15" s="2291">
        <v>472.78199999999998</v>
      </c>
      <c r="E15" s="2292">
        <f>+D15/$D$22</f>
        <v>0.37727306097564861</v>
      </c>
      <c r="F15" s="2291">
        <v>9.0310000000000006</v>
      </c>
      <c r="G15" s="2292">
        <f>+F15/$F$22</f>
        <v>9.9844114492929889E-2</v>
      </c>
      <c r="H15" s="2291">
        <v>481.81400000000002</v>
      </c>
      <c r="I15" s="2292">
        <f>+H15/$H$22</f>
        <v>0.35859715035933104</v>
      </c>
      <c r="J15" s="2301">
        <v>0.98099999999999998</v>
      </c>
      <c r="K15" s="2304">
        <v>478.37</v>
      </c>
      <c r="L15" s="2292">
        <f t="shared" ref="L15:L22" si="0">+K15/$K$22</f>
        <v>0.36398152586607008</v>
      </c>
      <c r="M15" s="2291">
        <v>21.477</v>
      </c>
      <c r="N15" s="2292">
        <f t="shared" ref="N15:N22" si="1">+M15/$M$22</f>
        <v>0.14809783545604369</v>
      </c>
      <c r="O15" s="2291">
        <v>499.846</v>
      </c>
      <c r="P15" s="2292">
        <f t="shared" ref="P15:P22" si="2">+O15/$O$22</f>
        <v>0.34252754941282965</v>
      </c>
      <c r="Q15" s="2301">
        <v>0.95699999999999996</v>
      </c>
      <c r="R15" s="2304">
        <v>628.10299999999995</v>
      </c>
      <c r="S15" s="2292">
        <f t="shared" ref="S15:S22" si="3">+R15/$R$22</f>
        <v>0.43679293568513788</v>
      </c>
      <c r="T15" s="2291">
        <v>35.195</v>
      </c>
      <c r="U15" s="2292">
        <f t="shared" ref="U15:U22" si="4">+T15/$T$22</f>
        <v>0.1949375501952422</v>
      </c>
      <c r="V15" s="2291">
        <v>663.298</v>
      </c>
      <c r="W15" s="2292">
        <f t="shared" ref="W15:W22" si="5">+V15/$V$22</f>
        <v>0.40981457271156829</v>
      </c>
      <c r="X15" s="2301">
        <v>0.94699999999999995</v>
      </c>
      <c r="Y15" s="2304">
        <v>624.75400000000002</v>
      </c>
      <c r="Z15" s="2292">
        <f t="shared" ref="Z15:Z21" si="6">+Y15/$Y$22</f>
        <v>0.41727183775426024</v>
      </c>
      <c r="AA15" s="2291">
        <v>30.375</v>
      </c>
      <c r="AB15" s="2292">
        <f t="shared" ref="AB15:AB22" si="7">+AA15/$AA$22</f>
        <v>0.25623829528774611</v>
      </c>
      <c r="AC15" s="2291">
        <v>655.12900000000002</v>
      </c>
      <c r="AD15" s="2292">
        <f t="shared" ref="AD15:AD22" si="8">+AC15/$AC$22</f>
        <v>0.40545756004696193</v>
      </c>
      <c r="AE15" s="2301">
        <v>0.95399999999999996</v>
      </c>
      <c r="AF15" s="2304">
        <v>607.53</v>
      </c>
      <c r="AG15" s="2292">
        <v>0.38200000000000001</v>
      </c>
      <c r="AH15" s="2291">
        <v>20.626000000000001</v>
      </c>
      <c r="AI15" s="2292">
        <v>0.17499999999999999</v>
      </c>
      <c r="AJ15" s="2291">
        <v>628.15599999999995</v>
      </c>
      <c r="AK15" s="2292">
        <v>0.36699999999999999</v>
      </c>
      <c r="AL15" s="2301">
        <v>0.96699999999999997</v>
      </c>
    </row>
    <row r="16" spans="1:38" x14ac:dyDescent="0.4">
      <c r="A16" s="536"/>
      <c r="C16" s="2290" t="s">
        <v>329</v>
      </c>
      <c r="D16" s="2291">
        <v>242.08</v>
      </c>
      <c r="E16" s="2292">
        <f t="shared" ref="E16:E22" si="9">+D16/$D$22</f>
        <v>0.1931762685571469</v>
      </c>
      <c r="F16" s="2291">
        <v>27.138000000000002</v>
      </c>
      <c r="G16" s="2292">
        <f t="shared" ref="G16:G22" si="10">+F16/$F$22</f>
        <v>0.30002985041624752</v>
      </c>
      <c r="H16" s="2291">
        <v>269.21800000000002</v>
      </c>
      <c r="I16" s="2292">
        <f t="shared" ref="I16:I22" si="11">+H16/$H$22</f>
        <v>0.20036945299521886</v>
      </c>
      <c r="J16" s="2301">
        <v>0.89900000000000002</v>
      </c>
      <c r="K16" s="2304">
        <v>292.06200000000001</v>
      </c>
      <c r="L16" s="2292">
        <f t="shared" si="0"/>
        <v>0.22222374397954756</v>
      </c>
      <c r="M16" s="2291">
        <v>36.526000000000003</v>
      </c>
      <c r="N16" s="2292">
        <f t="shared" si="1"/>
        <v>0.25187044456243668</v>
      </c>
      <c r="O16" s="2291">
        <v>328.58800000000002</v>
      </c>
      <c r="P16" s="2292">
        <f t="shared" si="2"/>
        <v>0.2251702372459975</v>
      </c>
      <c r="Q16" s="2301">
        <v>0.88900000000000001</v>
      </c>
      <c r="R16" s="2304">
        <v>220.85300000000001</v>
      </c>
      <c r="S16" s="2292">
        <f t="shared" si="3"/>
        <v>0.15358473088787947</v>
      </c>
      <c r="T16" s="2291">
        <v>42.735999999999997</v>
      </c>
      <c r="U16" s="2292">
        <f t="shared" si="4"/>
        <v>0.23670553047716636</v>
      </c>
      <c r="V16" s="2291">
        <v>263.589</v>
      </c>
      <c r="W16" s="2292">
        <f t="shared" si="5"/>
        <v>0.16285683570049897</v>
      </c>
      <c r="X16" s="2301">
        <v>0.83899999999999997</v>
      </c>
      <c r="Y16" s="2304">
        <v>203.749</v>
      </c>
      <c r="Z16" s="2292">
        <f t="shared" si="6"/>
        <v>0.13608351394403681</v>
      </c>
      <c r="AA16" s="2291">
        <v>36.460999999999999</v>
      </c>
      <c r="AB16" s="2292">
        <f t="shared" si="7"/>
        <v>0.30757874846046124</v>
      </c>
      <c r="AC16" s="2291">
        <v>240.21</v>
      </c>
      <c r="AD16" s="2292">
        <f t="shared" si="8"/>
        <v>0.14866531705798511</v>
      </c>
      <c r="AE16" s="2301">
        <v>0.84799999999999998</v>
      </c>
      <c r="AF16" s="2304">
        <v>307.69400000000002</v>
      </c>
      <c r="AG16" s="2292">
        <v>0.193</v>
      </c>
      <c r="AH16" s="2291">
        <v>38.139000000000003</v>
      </c>
      <c r="AI16" s="2292">
        <v>0.32300000000000001</v>
      </c>
      <c r="AJ16" s="2291">
        <v>345.83300000000003</v>
      </c>
      <c r="AK16" s="2292">
        <v>0.20200000000000001</v>
      </c>
      <c r="AL16" s="2301">
        <v>0.89</v>
      </c>
    </row>
    <row r="17" spans="1:58" x14ac:dyDescent="0.4">
      <c r="A17" s="536"/>
      <c r="C17" s="2290" t="s">
        <v>330</v>
      </c>
      <c r="D17" s="2291">
        <v>145.98400000000001</v>
      </c>
      <c r="E17" s="2292">
        <f t="shared" si="9"/>
        <v>0.11649307827596883</v>
      </c>
      <c r="F17" s="2291">
        <v>5.7359999999999998</v>
      </c>
      <c r="G17" s="2292">
        <f t="shared" si="10"/>
        <v>6.3415550961293962E-2</v>
      </c>
      <c r="H17" s="2291">
        <v>151.72</v>
      </c>
      <c r="I17" s="2292">
        <f t="shared" si="11"/>
        <v>0.11291983971515501</v>
      </c>
      <c r="J17" s="2301">
        <v>0.96199999999999997</v>
      </c>
      <c r="K17" s="2304">
        <v>111.989</v>
      </c>
      <c r="L17" s="2292">
        <f t="shared" si="0"/>
        <v>8.5210040554832708E-2</v>
      </c>
      <c r="M17" s="2291">
        <v>12.49</v>
      </c>
      <c r="N17" s="2292">
        <f t="shared" si="1"/>
        <v>8.6126645474041336E-2</v>
      </c>
      <c r="O17" s="2291">
        <v>124.479</v>
      </c>
      <c r="P17" s="2292">
        <f t="shared" si="2"/>
        <v>8.530124643061987E-2</v>
      </c>
      <c r="Q17" s="2301">
        <v>0.9</v>
      </c>
      <c r="R17" s="2304">
        <v>144.71600000000001</v>
      </c>
      <c r="S17" s="2292">
        <f t="shared" si="3"/>
        <v>0.1006378356425784</v>
      </c>
      <c r="T17" s="2291">
        <v>15.388999999999999</v>
      </c>
      <c r="U17" s="2292">
        <f t="shared" si="4"/>
        <v>8.5236367664571155E-2</v>
      </c>
      <c r="V17" s="2291">
        <v>160.10499999999999</v>
      </c>
      <c r="W17" s="2292">
        <f t="shared" si="5"/>
        <v>9.891988542704129E-2</v>
      </c>
      <c r="X17" s="2301">
        <v>0.90400000000000003</v>
      </c>
      <c r="Y17" s="2304">
        <v>160.63800000000001</v>
      </c>
      <c r="Z17" s="2292">
        <f t="shared" si="6"/>
        <v>0.10728977081086133</v>
      </c>
      <c r="AA17" s="2291">
        <v>5.7530000000000001</v>
      </c>
      <c r="AB17" s="2292">
        <f t="shared" si="7"/>
        <v>4.8531322231782831E-2</v>
      </c>
      <c r="AC17" s="2291">
        <v>166.39099999999999</v>
      </c>
      <c r="AD17" s="2292">
        <f t="shared" si="8"/>
        <v>0.10297893830646183</v>
      </c>
      <c r="AE17" s="2301">
        <v>0.96499999999999997</v>
      </c>
      <c r="AF17" s="2304">
        <v>154.06100000000001</v>
      </c>
      <c r="AG17" s="2292">
        <v>9.7000000000000003E-2</v>
      </c>
      <c r="AH17" s="2291">
        <v>10.388999999999999</v>
      </c>
      <c r="AI17" s="2292">
        <v>8.7999999999999995E-2</v>
      </c>
      <c r="AJ17" s="2291">
        <v>164.45</v>
      </c>
      <c r="AK17" s="2292">
        <v>9.6000000000000002E-2</v>
      </c>
      <c r="AL17" s="2301">
        <v>0.93700000000000006</v>
      </c>
    </row>
    <row r="18" spans="1:58" x14ac:dyDescent="0.4">
      <c r="A18" s="536"/>
      <c r="C18" s="2290" t="s">
        <v>331</v>
      </c>
      <c r="D18" s="2291">
        <v>152.45599999999999</v>
      </c>
      <c r="E18" s="2292">
        <f t="shared" si="9"/>
        <v>0.12165763879357396</v>
      </c>
      <c r="F18" s="2291">
        <v>0.89800000000000002</v>
      </c>
      <c r="G18" s="2292">
        <f t="shared" si="10"/>
        <v>9.9280273297144318E-3</v>
      </c>
      <c r="H18" s="2291">
        <v>153.35400000000001</v>
      </c>
      <c r="I18" s="2292">
        <f t="shared" si="11"/>
        <v>0.11413596822882865</v>
      </c>
      <c r="J18" s="2301">
        <v>0.99399999999999999</v>
      </c>
      <c r="K18" s="2304">
        <v>174.85599999999999</v>
      </c>
      <c r="L18" s="2292">
        <f t="shared" si="0"/>
        <v>0.13304419944151505</v>
      </c>
      <c r="M18" s="2291">
        <v>6.3070000000000004</v>
      </c>
      <c r="N18" s="2292">
        <f t="shared" si="1"/>
        <v>4.3490852922720473E-2</v>
      </c>
      <c r="O18" s="2291">
        <v>181.16300000000001</v>
      </c>
      <c r="P18" s="2292">
        <f t="shared" si="2"/>
        <v>0.12414487348958771</v>
      </c>
      <c r="Q18" s="2301">
        <v>0.96499999999999997</v>
      </c>
      <c r="R18" s="2304">
        <v>183.58199999999999</v>
      </c>
      <c r="S18" s="2292">
        <f t="shared" si="3"/>
        <v>0.1276658776012039</v>
      </c>
      <c r="T18" s="2291">
        <v>9.6270000000000007</v>
      </c>
      <c r="U18" s="2292">
        <f t="shared" si="4"/>
        <v>5.3321886510288304E-2</v>
      </c>
      <c r="V18" s="2291">
        <v>193.209</v>
      </c>
      <c r="W18" s="2292">
        <f t="shared" si="5"/>
        <v>0.11937298737374362</v>
      </c>
      <c r="X18" s="2301">
        <v>0.95</v>
      </c>
      <c r="Y18" s="2304">
        <v>87.218000000000004</v>
      </c>
      <c r="Z18" s="2292">
        <f t="shared" si="6"/>
        <v>5.8252712500041735E-2</v>
      </c>
      <c r="AA18" s="2291">
        <v>3.4350000000000001</v>
      </c>
      <c r="AB18" s="2292">
        <f t="shared" si="7"/>
        <v>2.8977071417725365E-2</v>
      </c>
      <c r="AC18" s="2291">
        <v>90.653000000000006</v>
      </c>
      <c r="AD18" s="2292">
        <f t="shared" si="8"/>
        <v>5.6104895663201051E-2</v>
      </c>
      <c r="AE18" s="2301">
        <v>0.96199999999999997</v>
      </c>
      <c r="AF18" s="2304">
        <v>206.95699999999999</v>
      </c>
      <c r="AG18" s="2292">
        <v>0.13</v>
      </c>
      <c r="AH18" s="2291">
        <v>5.3959999999999999</v>
      </c>
      <c r="AI18" s="2292">
        <v>4.5999999999999999E-2</v>
      </c>
      <c r="AJ18" s="2291">
        <v>212.35300000000001</v>
      </c>
      <c r="AK18" s="2292">
        <v>0.124</v>
      </c>
      <c r="AL18" s="2301">
        <v>0.97499999999999998</v>
      </c>
    </row>
    <row r="19" spans="1:58" x14ac:dyDescent="0.4">
      <c r="A19" s="536"/>
      <c r="C19" s="2290" t="s">
        <v>332</v>
      </c>
      <c r="D19" s="2291">
        <v>106.203</v>
      </c>
      <c r="E19" s="2292">
        <f t="shared" si="9"/>
        <v>8.4748427171078458E-2</v>
      </c>
      <c r="F19" s="2291">
        <v>4.0039999999999996</v>
      </c>
      <c r="G19" s="2292">
        <f t="shared" si="10"/>
        <v>4.4267061724027369E-2</v>
      </c>
      <c r="H19" s="2291">
        <v>110.20699999999999</v>
      </c>
      <c r="I19" s="2292">
        <f t="shared" si="11"/>
        <v>8.2023179379700037E-2</v>
      </c>
      <c r="J19" s="2301">
        <v>0.96399999999999997</v>
      </c>
      <c r="K19" s="2304">
        <v>118.15900000000001</v>
      </c>
      <c r="L19" s="2292">
        <f t="shared" si="0"/>
        <v>8.9904661903566233E-2</v>
      </c>
      <c r="M19" s="2291">
        <v>7.9329999999999998</v>
      </c>
      <c r="N19" s="2292">
        <f t="shared" si="1"/>
        <v>5.470317682510567E-2</v>
      </c>
      <c r="O19" s="2291">
        <v>126.092</v>
      </c>
      <c r="P19" s="2292">
        <f t="shared" si="2"/>
        <v>8.6406580747995412E-2</v>
      </c>
      <c r="Q19" s="2301">
        <v>0.93700000000000006</v>
      </c>
      <c r="R19" s="2304">
        <v>91.076999999999998</v>
      </c>
      <c r="S19" s="2292">
        <f t="shared" si="3"/>
        <v>6.3336411708581716E-2</v>
      </c>
      <c r="T19" s="2291">
        <v>9.282</v>
      </c>
      <c r="U19" s="2292">
        <f t="shared" si="4"/>
        <v>5.1411005566479276E-2</v>
      </c>
      <c r="V19" s="2291">
        <v>100.35899999999999</v>
      </c>
      <c r="W19" s="2292">
        <f t="shared" si="5"/>
        <v>6.2006188323740274E-2</v>
      </c>
      <c r="X19" s="2301">
        <v>0.90800000000000003</v>
      </c>
      <c r="Y19" s="2304">
        <v>152.75800000000001</v>
      </c>
      <c r="Z19" s="2292">
        <f t="shared" si="6"/>
        <v>0.10202673594993436</v>
      </c>
      <c r="AA19" s="2291">
        <v>2.6960000000000002</v>
      </c>
      <c r="AB19" s="2292">
        <f t="shared" si="7"/>
        <v>2.2742994044304972E-2</v>
      </c>
      <c r="AC19" s="2291">
        <v>155.45400000000001</v>
      </c>
      <c r="AD19" s="2292">
        <f t="shared" si="8"/>
        <v>9.6210058690029632E-2</v>
      </c>
      <c r="AE19" s="2301">
        <v>0.98299999999999998</v>
      </c>
      <c r="AF19" s="2304">
        <v>109.601</v>
      </c>
      <c r="AG19" s="2292">
        <v>6.9000000000000006E-2</v>
      </c>
      <c r="AH19" s="2291">
        <v>8.3729999999999993</v>
      </c>
      <c r="AI19" s="2292">
        <v>7.0999999999999994E-2</v>
      </c>
      <c r="AJ19" s="2291">
        <v>117.974</v>
      </c>
      <c r="AK19" s="2292">
        <v>6.9000000000000006E-2</v>
      </c>
      <c r="AL19" s="2301">
        <v>0.92900000000000005</v>
      </c>
    </row>
    <row r="20" spans="1:58" x14ac:dyDescent="0.4">
      <c r="A20" s="536"/>
      <c r="C20" s="2290" t="s">
        <v>533</v>
      </c>
      <c r="D20" s="2291">
        <v>84.575999999999993</v>
      </c>
      <c r="E20" s="2292">
        <f t="shared" si="9"/>
        <v>6.7490400237480389E-2</v>
      </c>
      <c r="F20" s="2291">
        <v>12.205</v>
      </c>
      <c r="G20" s="2292">
        <f t="shared" si="10"/>
        <v>0.13493493714829025</v>
      </c>
      <c r="H20" s="2291">
        <v>96.781000000000006</v>
      </c>
      <c r="I20" s="2292">
        <f t="shared" si="11"/>
        <v>7.2030681567838248E-2</v>
      </c>
      <c r="J20" s="2301">
        <v>0.874</v>
      </c>
      <c r="K20" s="2304">
        <v>79.350999999999999</v>
      </c>
      <c r="L20" s="2292">
        <f t="shared" si="0"/>
        <v>6.037648276229389E-2</v>
      </c>
      <c r="M20" s="2291">
        <v>19.376999999999999</v>
      </c>
      <c r="N20" s="2292">
        <f t="shared" si="1"/>
        <v>0.13361697432750191</v>
      </c>
      <c r="O20" s="2291">
        <v>98.727000000000004</v>
      </c>
      <c r="P20" s="2292">
        <f t="shared" si="2"/>
        <v>6.7654272257616208E-2</v>
      </c>
      <c r="Q20" s="2301">
        <v>0.80400000000000005</v>
      </c>
      <c r="R20" s="2304">
        <v>103.598</v>
      </c>
      <c r="S20" s="2292">
        <f t="shared" si="3"/>
        <v>7.2043716637412838E-2</v>
      </c>
      <c r="T20" s="2291">
        <v>26.535</v>
      </c>
      <c r="U20" s="2292">
        <f t="shared" si="4"/>
        <v>0.14697166911296353</v>
      </c>
      <c r="V20" s="2291">
        <v>130.13300000000001</v>
      </c>
      <c r="W20" s="2292">
        <f t="shared" si="5"/>
        <v>8.040187033682375E-2</v>
      </c>
      <c r="X20" s="2301">
        <v>0.79600000000000004</v>
      </c>
      <c r="Y20" s="2304">
        <v>195.98500000000001</v>
      </c>
      <c r="Z20" s="2292">
        <f t="shared" si="6"/>
        <v>0.13089795523080877</v>
      </c>
      <c r="AA20" s="2291">
        <v>22.012</v>
      </c>
      <c r="AB20" s="2292">
        <f t="shared" si="7"/>
        <v>0.18568946027568289</v>
      </c>
      <c r="AC20" s="2291">
        <v>217.99700000000001</v>
      </c>
      <c r="AD20" s="2292">
        <f t="shared" si="8"/>
        <v>0.13491775164518371</v>
      </c>
      <c r="AE20" s="2301">
        <v>0.89900000000000002</v>
      </c>
      <c r="AF20" s="2304">
        <v>116.77200000000001</v>
      </c>
      <c r="AG20" s="2292">
        <v>7.2999999999999995E-2</v>
      </c>
      <c r="AH20" s="2291">
        <v>16.378</v>
      </c>
      <c r="AI20" s="2292">
        <v>0.13900000000000001</v>
      </c>
      <c r="AJ20" s="2291">
        <v>133.15</v>
      </c>
      <c r="AK20" s="2292">
        <v>7.8E-2</v>
      </c>
      <c r="AL20" s="2301">
        <v>0.877</v>
      </c>
    </row>
    <row r="21" spans="1:58" x14ac:dyDescent="0.4">
      <c r="A21" s="536"/>
      <c r="C21" s="2290" t="s">
        <v>334</v>
      </c>
      <c r="D21" s="2291">
        <v>49.075000000000003</v>
      </c>
      <c r="E21" s="2292">
        <f t="shared" si="9"/>
        <v>3.9161125989102707E-2</v>
      </c>
      <c r="F21" s="2291">
        <v>31.439</v>
      </c>
      <c r="G21" s="2292">
        <f t="shared" si="10"/>
        <v>0.3475804579274967</v>
      </c>
      <c r="H21" s="2291">
        <v>80.513999999999996</v>
      </c>
      <c r="I21" s="2292">
        <f t="shared" si="11"/>
        <v>5.9923727753928228E-2</v>
      </c>
      <c r="J21" s="2301">
        <v>0.61</v>
      </c>
      <c r="K21" s="2304">
        <v>59.482999999999997</v>
      </c>
      <c r="L21" s="2292">
        <f t="shared" si="0"/>
        <v>4.5259345492174356E-2</v>
      </c>
      <c r="M21" s="2291">
        <v>40.908999999999999</v>
      </c>
      <c r="N21" s="2292">
        <f t="shared" si="1"/>
        <v>0.28209407043215023</v>
      </c>
      <c r="O21" s="2291">
        <v>100.392</v>
      </c>
      <c r="P21" s="2292">
        <f t="shared" si="2"/>
        <v>6.8795240415353509E-2</v>
      </c>
      <c r="Q21" s="2301">
        <v>0.59299999999999997</v>
      </c>
      <c r="R21" s="2304">
        <v>66.058999999999997</v>
      </c>
      <c r="S21" s="2292">
        <f t="shared" si="3"/>
        <v>4.5938491837205879E-2</v>
      </c>
      <c r="T21" s="2291">
        <v>41.780999999999999</v>
      </c>
      <c r="U21" s="2292">
        <f t="shared" si="4"/>
        <v>0.23141599047328923</v>
      </c>
      <c r="V21" s="2291">
        <v>107.839</v>
      </c>
      <c r="W21" s="2292">
        <f t="shared" si="5"/>
        <v>6.6627660126583846E-2</v>
      </c>
      <c r="X21" s="2301">
        <v>0.61299999999999999</v>
      </c>
      <c r="Y21" s="2304">
        <v>72.132999999999996</v>
      </c>
      <c r="Z21" s="2292">
        <f t="shared" si="6"/>
        <v>4.817747381005652E-2</v>
      </c>
      <c r="AA21" s="2291">
        <v>17.809999999999999</v>
      </c>
      <c r="AB21" s="2292">
        <f t="shared" si="7"/>
        <v>0.15024210828229656</v>
      </c>
      <c r="AC21" s="2291">
        <v>89.942999999999998</v>
      </c>
      <c r="AD21" s="2292">
        <f t="shared" si="8"/>
        <v>5.5665478590176738E-2</v>
      </c>
      <c r="AE21" s="2301">
        <v>0.80200000000000005</v>
      </c>
      <c r="AF21" s="2304">
        <v>89.713999999999999</v>
      </c>
      <c r="AG21" s="2292">
        <v>5.6000000000000001E-2</v>
      </c>
      <c r="AH21" s="2291">
        <v>18.722999999999999</v>
      </c>
      <c r="AI21" s="2292">
        <v>0.159</v>
      </c>
      <c r="AJ21" s="2291">
        <v>108.437</v>
      </c>
      <c r="AK21" s="2292">
        <v>6.3E-2</v>
      </c>
      <c r="AL21" s="2301">
        <v>0.82699999999999996</v>
      </c>
    </row>
    <row r="22" spans="1:58" x14ac:dyDescent="0.4">
      <c r="A22" s="536"/>
      <c r="C22" s="1726" t="s">
        <v>47</v>
      </c>
      <c r="D22" s="2344">
        <f>SUM(D15:D21)</f>
        <v>1253.1560000000002</v>
      </c>
      <c r="E22" s="2293">
        <f t="shared" si="9"/>
        <v>1</v>
      </c>
      <c r="F22" s="2344">
        <f>SUM(F15:F21)</f>
        <v>90.450999999999993</v>
      </c>
      <c r="G22" s="2293">
        <f t="shared" si="10"/>
        <v>1</v>
      </c>
      <c r="H22" s="2344">
        <f>SUM(H15:H21)</f>
        <v>1343.6079999999999</v>
      </c>
      <c r="I22" s="2293">
        <f t="shared" si="11"/>
        <v>1</v>
      </c>
      <c r="J22" s="2302">
        <v>0.93300000000000005</v>
      </c>
      <c r="K22" s="2345">
        <f>SUM(K15:K21)</f>
        <v>1314.2700000000002</v>
      </c>
      <c r="L22" s="2293">
        <f t="shared" si="0"/>
        <v>1</v>
      </c>
      <c r="M22" s="2344">
        <f>SUM(M15:M21)</f>
        <v>145.01900000000001</v>
      </c>
      <c r="N22" s="2293">
        <f t="shared" si="1"/>
        <v>1</v>
      </c>
      <c r="O22" s="2344">
        <f>SUM(O15:O21)</f>
        <v>1459.2870000000003</v>
      </c>
      <c r="P22" s="2293">
        <f t="shared" si="2"/>
        <v>1</v>
      </c>
      <c r="Q22" s="2302">
        <v>0.90100000000000002</v>
      </c>
      <c r="R22" s="2345">
        <f>SUM(R15:R21)</f>
        <v>1437.9879999999998</v>
      </c>
      <c r="S22" s="2293">
        <f t="shared" si="3"/>
        <v>1</v>
      </c>
      <c r="T22" s="2344">
        <f>SUM(T15:T21)</f>
        <v>180.54499999999999</v>
      </c>
      <c r="U22" s="2293">
        <f t="shared" si="4"/>
        <v>1</v>
      </c>
      <c r="V22" s="2344">
        <f>SUM(V15:V21)</f>
        <v>1618.5319999999999</v>
      </c>
      <c r="W22" s="2293">
        <f t="shared" si="5"/>
        <v>1</v>
      </c>
      <c r="X22" s="2302">
        <v>0.88800000000000001</v>
      </c>
      <c r="Y22" s="2345">
        <f>SUM(Y15:Y21)</f>
        <v>1497.2350000000004</v>
      </c>
      <c r="Z22" s="2293">
        <f t="shared" ref="Z22:AC22" si="12">SUM(Z15:Z21)</f>
        <v>0.99999999999999989</v>
      </c>
      <c r="AA22" s="2344">
        <f t="shared" si="12"/>
        <v>118.542</v>
      </c>
      <c r="AB22" s="2293">
        <f t="shared" si="7"/>
        <v>1</v>
      </c>
      <c r="AC22" s="2344">
        <f t="shared" si="12"/>
        <v>1615.777</v>
      </c>
      <c r="AD22" s="2293">
        <f t="shared" si="8"/>
        <v>1</v>
      </c>
      <c r="AE22" s="2302">
        <v>0.92700000000000005</v>
      </c>
      <c r="AF22" s="2345">
        <v>1592.329</v>
      </c>
      <c r="AG22" s="1088">
        <v>1</v>
      </c>
      <c r="AH22" s="2344">
        <v>118.024</v>
      </c>
      <c r="AI22" s="1088">
        <v>1</v>
      </c>
      <c r="AJ22" s="2344">
        <v>1710.3530000000001</v>
      </c>
      <c r="AK22" s="1088">
        <v>1</v>
      </c>
      <c r="AL22" s="2302">
        <v>0.93100000000000005</v>
      </c>
    </row>
    <row r="23" spans="1:58" x14ac:dyDescent="0.4">
      <c r="A23" s="536"/>
      <c r="C23" s="2289" t="s">
        <v>8093</v>
      </c>
    </row>
    <row r="24" spans="1:58" x14ac:dyDescent="0.4">
      <c r="A24" s="536"/>
      <c r="C24" s="2289" t="s">
        <v>8094</v>
      </c>
    </row>
    <row r="25" spans="1:58" x14ac:dyDescent="0.4">
      <c r="A25" s="536"/>
    </row>
    <row r="26" spans="1:58" ht="19.5" x14ac:dyDescent="0.4">
      <c r="A26" s="536"/>
      <c r="C26" s="138" t="s">
        <v>8101</v>
      </c>
      <c r="D26" s="138"/>
      <c r="E26" s="138"/>
      <c r="F26" s="138"/>
      <c r="G26" s="138"/>
      <c r="H26" s="138"/>
      <c r="I26" s="138"/>
      <c r="J26" s="138"/>
      <c r="K26" s="138"/>
      <c r="L26" s="138"/>
      <c r="M26" s="138"/>
      <c r="N26" s="138"/>
    </row>
    <row r="27" spans="1:58" x14ac:dyDescent="0.4">
      <c r="A27" s="536"/>
      <c r="C27" s="3266" t="s">
        <v>749</v>
      </c>
      <c r="D27" s="3268">
        <v>2019</v>
      </c>
      <c r="E27" s="3268"/>
      <c r="F27" s="3268"/>
      <c r="G27" s="3268"/>
      <c r="H27" s="3268"/>
      <c r="I27" s="3268"/>
      <c r="J27" s="3268"/>
      <c r="K27" s="3268"/>
      <c r="L27" s="3268"/>
      <c r="M27" s="3268"/>
      <c r="N27" s="3293"/>
      <c r="O27" s="3292">
        <v>2020</v>
      </c>
      <c r="P27" s="3268"/>
      <c r="Q27" s="3268"/>
      <c r="R27" s="3268"/>
      <c r="S27" s="3268"/>
      <c r="T27" s="3268"/>
      <c r="U27" s="3268"/>
      <c r="V27" s="3268"/>
      <c r="W27" s="3268"/>
      <c r="X27" s="3268"/>
      <c r="Y27" s="3293"/>
      <c r="Z27" s="3292">
        <v>2021</v>
      </c>
      <c r="AA27" s="3268"/>
      <c r="AB27" s="3268"/>
      <c r="AC27" s="3268"/>
      <c r="AD27" s="3268"/>
      <c r="AE27" s="3268"/>
      <c r="AF27" s="3268"/>
      <c r="AG27" s="3268"/>
      <c r="AH27" s="3268"/>
      <c r="AI27" s="3268"/>
      <c r="AJ27" s="3293"/>
      <c r="AK27" s="3292">
        <v>2022</v>
      </c>
      <c r="AL27" s="3268"/>
      <c r="AM27" s="3268"/>
      <c r="AN27" s="3268"/>
      <c r="AO27" s="3268"/>
      <c r="AP27" s="3268"/>
      <c r="AQ27" s="3268"/>
      <c r="AR27" s="3268"/>
      <c r="AS27" s="3268"/>
      <c r="AT27" s="3268"/>
      <c r="AU27" s="3293"/>
      <c r="AV27" s="3292">
        <v>2023</v>
      </c>
      <c r="AW27" s="3268"/>
      <c r="AX27" s="3268"/>
      <c r="AY27" s="3268"/>
      <c r="AZ27" s="3268"/>
      <c r="BA27" s="3268"/>
      <c r="BB27" s="3268"/>
      <c r="BC27" s="3268"/>
      <c r="BD27" s="3268"/>
      <c r="BE27" s="3268"/>
      <c r="BF27" s="3293"/>
    </row>
    <row r="28" spans="1:58" ht="93.75" x14ac:dyDescent="0.4">
      <c r="A28" s="536"/>
      <c r="C28" s="3295"/>
      <c r="D28" s="3268" t="s">
        <v>6016</v>
      </c>
      <c r="E28" s="3268"/>
      <c r="F28" s="3268" t="s">
        <v>6017</v>
      </c>
      <c r="G28" s="3268"/>
      <c r="H28" s="3291" t="s">
        <v>6018</v>
      </c>
      <c r="I28" s="3291"/>
      <c r="J28" s="3268" t="s">
        <v>6019</v>
      </c>
      <c r="K28" s="3268"/>
      <c r="L28" s="3291" t="s">
        <v>6020</v>
      </c>
      <c r="M28" s="3291"/>
      <c r="N28" s="2299" t="s">
        <v>6021</v>
      </c>
      <c r="O28" s="3292" t="s">
        <v>6016</v>
      </c>
      <c r="P28" s="3268"/>
      <c r="Q28" s="3268" t="s">
        <v>6017</v>
      </c>
      <c r="R28" s="3268"/>
      <c r="S28" s="3291" t="s">
        <v>6018</v>
      </c>
      <c r="T28" s="3291"/>
      <c r="U28" s="3268" t="s">
        <v>6019</v>
      </c>
      <c r="V28" s="3268"/>
      <c r="W28" s="3291" t="s">
        <v>6020</v>
      </c>
      <c r="X28" s="3291"/>
      <c r="Y28" s="2299" t="s">
        <v>6021</v>
      </c>
      <c r="Z28" s="3292" t="s">
        <v>6016</v>
      </c>
      <c r="AA28" s="3268"/>
      <c r="AB28" s="3268" t="s">
        <v>6017</v>
      </c>
      <c r="AC28" s="3268"/>
      <c r="AD28" s="3291" t="s">
        <v>6018</v>
      </c>
      <c r="AE28" s="3291"/>
      <c r="AF28" s="3268" t="s">
        <v>6019</v>
      </c>
      <c r="AG28" s="3268"/>
      <c r="AH28" s="3291" t="s">
        <v>6020</v>
      </c>
      <c r="AI28" s="3291"/>
      <c r="AJ28" s="2299" t="s">
        <v>6021</v>
      </c>
      <c r="AK28" s="3292" t="s">
        <v>6016</v>
      </c>
      <c r="AL28" s="3268"/>
      <c r="AM28" s="3268" t="s">
        <v>6017</v>
      </c>
      <c r="AN28" s="3268"/>
      <c r="AO28" s="3291" t="s">
        <v>6018</v>
      </c>
      <c r="AP28" s="3291"/>
      <c r="AQ28" s="3268" t="s">
        <v>6019</v>
      </c>
      <c r="AR28" s="3268"/>
      <c r="AS28" s="3291" t="s">
        <v>6020</v>
      </c>
      <c r="AT28" s="3291"/>
      <c r="AU28" s="2299" t="s">
        <v>6021</v>
      </c>
      <c r="AV28" s="3292" t="s">
        <v>6016</v>
      </c>
      <c r="AW28" s="3268"/>
      <c r="AX28" s="3268" t="s">
        <v>6017</v>
      </c>
      <c r="AY28" s="3268"/>
      <c r="AZ28" s="3291" t="s">
        <v>6018</v>
      </c>
      <c r="BA28" s="3291"/>
      <c r="BB28" s="3268" t="s">
        <v>6019</v>
      </c>
      <c r="BC28" s="3268"/>
      <c r="BD28" s="3291" t="s">
        <v>6020</v>
      </c>
      <c r="BE28" s="3291"/>
      <c r="BF28" s="2299" t="s">
        <v>6021</v>
      </c>
    </row>
    <row r="29" spans="1:58" x14ac:dyDescent="0.4">
      <c r="A29" s="536"/>
      <c r="C29" s="3267"/>
      <c r="D29" s="2274" t="s">
        <v>6022</v>
      </c>
      <c r="E29" s="2274" t="s">
        <v>6023</v>
      </c>
      <c r="F29" s="2272" t="s">
        <v>6022</v>
      </c>
      <c r="G29" s="2272" t="s">
        <v>6023</v>
      </c>
      <c r="H29" s="1714" t="s">
        <v>6024</v>
      </c>
      <c r="I29" s="1714" t="s">
        <v>6023</v>
      </c>
      <c r="J29" s="1714" t="s">
        <v>6025</v>
      </c>
      <c r="K29" s="1714" t="s">
        <v>6023</v>
      </c>
      <c r="L29" s="1714" t="s">
        <v>6025</v>
      </c>
      <c r="M29" s="1714" t="s">
        <v>6023</v>
      </c>
      <c r="N29" s="2332" t="s">
        <v>6023</v>
      </c>
      <c r="O29" s="2303" t="s">
        <v>6022</v>
      </c>
      <c r="P29" s="2274" t="s">
        <v>6023</v>
      </c>
      <c r="Q29" s="2272" t="s">
        <v>6022</v>
      </c>
      <c r="R29" s="2272" t="s">
        <v>6023</v>
      </c>
      <c r="S29" s="1714" t="s">
        <v>6024</v>
      </c>
      <c r="T29" s="1714" t="s">
        <v>6023</v>
      </c>
      <c r="U29" s="1714" t="s">
        <v>6025</v>
      </c>
      <c r="V29" s="1714" t="s">
        <v>6023</v>
      </c>
      <c r="W29" s="1714" t="s">
        <v>6025</v>
      </c>
      <c r="X29" s="1714" t="s">
        <v>6023</v>
      </c>
      <c r="Y29" s="2332" t="s">
        <v>6023</v>
      </c>
      <c r="Z29" s="2303" t="s">
        <v>6022</v>
      </c>
      <c r="AA29" s="2274" t="s">
        <v>6023</v>
      </c>
      <c r="AB29" s="2272" t="s">
        <v>6022</v>
      </c>
      <c r="AC29" s="2272" t="s">
        <v>6023</v>
      </c>
      <c r="AD29" s="1714" t="s">
        <v>6024</v>
      </c>
      <c r="AE29" s="1714" t="s">
        <v>6023</v>
      </c>
      <c r="AF29" s="1714" t="s">
        <v>6025</v>
      </c>
      <c r="AG29" s="1714" t="s">
        <v>6023</v>
      </c>
      <c r="AH29" s="1714" t="s">
        <v>6025</v>
      </c>
      <c r="AI29" s="1714" t="s">
        <v>6023</v>
      </c>
      <c r="AJ29" s="2332" t="s">
        <v>6023</v>
      </c>
      <c r="AK29" s="2303" t="s">
        <v>6022</v>
      </c>
      <c r="AL29" s="2274" t="s">
        <v>6023</v>
      </c>
      <c r="AM29" s="2272" t="s">
        <v>6022</v>
      </c>
      <c r="AN29" s="2272" t="s">
        <v>6023</v>
      </c>
      <c r="AO29" s="1714" t="s">
        <v>6024</v>
      </c>
      <c r="AP29" s="1714" t="s">
        <v>6023</v>
      </c>
      <c r="AQ29" s="1714" t="s">
        <v>6025</v>
      </c>
      <c r="AR29" s="1714" t="s">
        <v>6023</v>
      </c>
      <c r="AS29" s="1714" t="s">
        <v>6025</v>
      </c>
      <c r="AT29" s="1714" t="s">
        <v>6023</v>
      </c>
      <c r="AU29" s="2332" t="s">
        <v>6023</v>
      </c>
      <c r="AV29" s="2303" t="s">
        <v>8095</v>
      </c>
      <c r="AW29" s="2274" t="s">
        <v>6023</v>
      </c>
      <c r="AX29" s="2274" t="s">
        <v>8095</v>
      </c>
      <c r="AY29" s="2272" t="s">
        <v>6023</v>
      </c>
      <c r="AZ29" s="2274" t="s">
        <v>8095</v>
      </c>
      <c r="BA29" s="1714" t="s">
        <v>6023</v>
      </c>
      <c r="BB29" s="2274" t="s">
        <v>8095</v>
      </c>
      <c r="BC29" s="1714" t="s">
        <v>6023</v>
      </c>
      <c r="BD29" s="2274" t="s">
        <v>8095</v>
      </c>
      <c r="BE29" s="1714" t="s">
        <v>6023</v>
      </c>
      <c r="BF29" s="2332" t="s">
        <v>6023</v>
      </c>
    </row>
    <row r="30" spans="1:58" x14ac:dyDescent="0.4">
      <c r="A30" s="536"/>
      <c r="C30" s="2290" t="s">
        <v>329</v>
      </c>
      <c r="D30" s="2294">
        <v>236978129.28044948</v>
      </c>
      <c r="E30" s="2333">
        <v>0.20386092243145892</v>
      </c>
      <c r="F30" s="2323">
        <v>5102138</v>
      </c>
      <c r="G30" s="2334">
        <v>0.06</v>
      </c>
      <c r="H30" s="2294">
        <v>242080267.28044948</v>
      </c>
      <c r="I30" s="2334">
        <v>0.19317629177379486</v>
      </c>
      <c r="J30" s="2294">
        <v>27137633.296288438</v>
      </c>
      <c r="K30" s="2334">
        <v>0.30002471248932655</v>
      </c>
      <c r="L30" s="2294">
        <v>269217900.57673794</v>
      </c>
      <c r="M30" s="2334">
        <v>0.20036929552677391</v>
      </c>
      <c r="N30" s="2335">
        <v>0.89919825822074884</v>
      </c>
      <c r="O30" s="2336">
        <v>283543211</v>
      </c>
      <c r="P30" s="2333">
        <v>0.23180219270994773</v>
      </c>
      <c r="Q30" s="2323">
        <v>8518386.5693007447</v>
      </c>
      <c r="R30" s="2334">
        <v>9.3549899126072644E-2</v>
      </c>
      <c r="S30" s="2294">
        <v>292061597.56930077</v>
      </c>
      <c r="T30" s="2334">
        <v>0.22222359193561156</v>
      </c>
      <c r="U30" s="2294">
        <v>36526273.164708994</v>
      </c>
      <c r="V30" s="2334">
        <v>0.25187318943437403</v>
      </c>
      <c r="W30" s="2294">
        <v>328587870.73400974</v>
      </c>
      <c r="X30" s="2334">
        <v>0.22517005725192793</v>
      </c>
      <c r="Y30" s="2335">
        <f t="shared" ref="Y30:Y37" si="13">S30/W30</f>
        <v>0.88883864433852822</v>
      </c>
      <c r="Z30" s="2337">
        <v>210242526</v>
      </c>
      <c r="AA30" s="2333">
        <f t="shared" ref="AA30:AA36" si="14">Z30/$Z$37</f>
        <v>0.16398849657917858</v>
      </c>
      <c r="AB30" s="2338">
        <v>10610501</v>
      </c>
      <c r="AC30" s="2333">
        <f t="shared" ref="AC30:AC36" si="15">AB30/$AB$37</f>
        <v>6.804575365133364E-2</v>
      </c>
      <c r="AD30" s="2294">
        <v>220853027</v>
      </c>
      <c r="AE30" s="2334">
        <f t="shared" ref="AE30:AE36" si="16">AD30/$AD$37</f>
        <v>0.15358470587395068</v>
      </c>
      <c r="AF30" s="2338">
        <v>42735739</v>
      </c>
      <c r="AG30" s="2334">
        <f t="shared" ref="AG30:AG35" si="17">AF30/$AF$37</f>
        <v>0.23670509174726778</v>
      </c>
      <c r="AH30" s="2294">
        <v>263588766</v>
      </c>
      <c r="AI30" s="2334">
        <f t="shared" ref="AI30:AI36" si="18">AH30/$AH$37</f>
        <v>0.16285662652702929</v>
      </c>
      <c r="AJ30" s="2335">
        <v>0.83786964957376064</v>
      </c>
      <c r="AK30" s="2313">
        <v>253490336</v>
      </c>
      <c r="AL30" s="2292">
        <v>0.1915</v>
      </c>
      <c r="AM30" s="2294">
        <v>18335607</v>
      </c>
      <c r="AN30" s="2292">
        <v>0.10583749225986142</v>
      </c>
      <c r="AO30" s="2294">
        <f>AK30+AM30</f>
        <v>271825943</v>
      </c>
      <c r="AP30" s="2292">
        <f t="shared" ref="AP30:AP37" si="19">AO30/$AO$36</f>
        <v>0.49372820145105839</v>
      </c>
      <c r="AQ30" s="2294">
        <v>36460580</v>
      </c>
      <c r="AR30" s="2292">
        <v>0.30759999999999998</v>
      </c>
      <c r="AS30" s="2294">
        <f>AO30+AQ30</f>
        <v>308286523</v>
      </c>
      <c r="AT30" s="2292">
        <f t="shared" ref="AT30:AT37" si="20">AS30/$AS$36</f>
        <v>0.53067476947043146</v>
      </c>
      <c r="AU30" s="2339">
        <f>AO30/AS30</f>
        <v>0.88173151506853253</v>
      </c>
      <c r="AV30" s="2313">
        <v>249453</v>
      </c>
      <c r="AW30" s="2292">
        <f t="shared" ref="AW30:AW37" si="21">+AV30/$AV$37</f>
        <v>0.18587944248015112</v>
      </c>
      <c r="AX30" s="2294">
        <v>58241</v>
      </c>
      <c r="AY30" s="2292">
        <f t="shared" ref="AY30:AY37" si="22">+AX30/$AX$37</f>
        <v>0.23267176426408431</v>
      </c>
      <c r="AZ30" s="2294">
        <v>307694</v>
      </c>
      <c r="BA30" s="2292">
        <f t="shared" ref="BA30:BA37" si="23">+AZ30/$AZ$37</f>
        <v>0.19323519197351804</v>
      </c>
      <c r="BB30" s="2294">
        <v>38139</v>
      </c>
      <c r="BC30" s="2292">
        <f t="shared" ref="BC30:BC37" si="24">+BB30/$BB$37</f>
        <v>0.32314613976818274</v>
      </c>
      <c r="BD30" s="2294">
        <v>345833</v>
      </c>
      <c r="BE30" s="2292">
        <f t="shared" ref="BE30:BE37" si="25">+BD30/$BD$37</f>
        <v>0.20219977981153597</v>
      </c>
      <c r="BF30" s="2339">
        <v>0.89</v>
      </c>
    </row>
    <row r="31" spans="1:58" x14ac:dyDescent="0.4">
      <c r="A31" s="536"/>
      <c r="C31" s="2290" t="s">
        <v>330</v>
      </c>
      <c r="D31" s="2294">
        <v>107032936.44933179</v>
      </c>
      <c r="E31" s="2333">
        <v>9.2075303410324549E-2</v>
      </c>
      <c r="F31" s="2323">
        <v>38951004</v>
      </c>
      <c r="G31" s="2334">
        <v>0.43</v>
      </c>
      <c r="H31" s="2294">
        <v>145983940.44933179</v>
      </c>
      <c r="I31" s="2334">
        <v>0.11649291613619228</v>
      </c>
      <c r="J31" s="2294">
        <v>5736201.9408963248</v>
      </c>
      <c r="K31" s="2334">
        <v>6.3417554482671668E-2</v>
      </c>
      <c r="L31" s="2294">
        <v>151720142.39022812</v>
      </c>
      <c r="M31" s="2334">
        <v>0.11291989865022588</v>
      </c>
      <c r="N31" s="2335">
        <v>0.96219221884103778</v>
      </c>
      <c r="O31" s="2336">
        <v>102524064.60000013</v>
      </c>
      <c r="P31" s="2333">
        <v>8.3815454074886525E-2</v>
      </c>
      <c r="Q31" s="2323">
        <v>9465043.5990360342</v>
      </c>
      <c r="R31" s="2334">
        <v>0.10394619529298792</v>
      </c>
      <c r="S31" s="2294">
        <v>111989108.19903617</v>
      </c>
      <c r="T31" s="2334">
        <v>8.5210181991661985E-2</v>
      </c>
      <c r="U31" s="2294">
        <v>12489528.214800002</v>
      </c>
      <c r="V31" s="2334">
        <v>8.6123686690041834E-2</v>
      </c>
      <c r="W31" s="2294">
        <v>124478636.41383617</v>
      </c>
      <c r="X31" s="2334">
        <v>8.5300962647628084E-2</v>
      </c>
      <c r="Y31" s="2335">
        <f t="shared" si="13"/>
        <v>0.89966528735679696</v>
      </c>
      <c r="Z31" s="2337">
        <v>130876839</v>
      </c>
      <c r="AA31" s="2333">
        <f t="shared" si="14"/>
        <v>0.10208351503846184</v>
      </c>
      <c r="AB31" s="2338">
        <v>13839412</v>
      </c>
      <c r="AC31" s="2333">
        <f t="shared" si="15"/>
        <v>8.8752945749810547E-2</v>
      </c>
      <c r="AD31" s="2294">
        <v>144716251</v>
      </c>
      <c r="AE31" s="2334">
        <f t="shared" si="16"/>
        <v>0.10063798149805672</v>
      </c>
      <c r="AF31" s="2338">
        <v>15388891</v>
      </c>
      <c r="AG31" s="2334">
        <f t="shared" si="17"/>
        <v>8.5236126513307836E-2</v>
      </c>
      <c r="AH31" s="2294">
        <v>160105142</v>
      </c>
      <c r="AI31" s="2334">
        <f t="shared" si="18"/>
        <v>9.8919933923705197E-2</v>
      </c>
      <c r="AJ31" s="2335">
        <v>0.90388259360214673</v>
      </c>
      <c r="AK31" s="2313">
        <v>140834154</v>
      </c>
      <c r="AL31" s="2292">
        <v>0.10639999999999999</v>
      </c>
      <c r="AM31" s="2294">
        <v>13877358</v>
      </c>
      <c r="AN31" s="2292">
        <v>8.0103416806017153E-2</v>
      </c>
      <c r="AO31" s="2294">
        <f t="shared" ref="AO31:AO37" si="26">AK31+AM31</f>
        <v>154711512</v>
      </c>
      <c r="AP31" s="2292">
        <f t="shared" si="19"/>
        <v>0.28100863265848702</v>
      </c>
      <c r="AQ31" s="2294">
        <v>5753294</v>
      </c>
      <c r="AR31" s="2292">
        <v>4.8500000000000001E-2</v>
      </c>
      <c r="AS31" s="2294">
        <f t="shared" ref="AS31:AS37" si="27">AO31+AQ31</f>
        <v>160464806</v>
      </c>
      <c r="AT31" s="2292">
        <f t="shared" si="20"/>
        <v>0.27621909353516405</v>
      </c>
      <c r="AU31" s="2339">
        <f t="shared" ref="AU31:AU37" si="28">AO31/AS31</f>
        <v>0.9641460695125883</v>
      </c>
      <c r="AV31" s="2313">
        <v>142015</v>
      </c>
      <c r="AW31" s="2292">
        <f t="shared" si="21"/>
        <v>0.10582221510191764</v>
      </c>
      <c r="AX31" s="2294">
        <v>12046</v>
      </c>
      <c r="AY31" s="2292">
        <f t="shared" si="22"/>
        <v>4.8123556812643319E-2</v>
      </c>
      <c r="AZ31" s="2294">
        <v>154061</v>
      </c>
      <c r="BA31" s="2292">
        <f t="shared" si="23"/>
        <v>9.6751990323607748E-2</v>
      </c>
      <c r="BB31" s="2294">
        <v>10389</v>
      </c>
      <c r="BC31" s="2292">
        <f t="shared" si="24"/>
        <v>8.8024469599403507E-2</v>
      </c>
      <c r="BD31" s="2294">
        <v>164450</v>
      </c>
      <c r="BE31" s="2292">
        <f t="shared" si="25"/>
        <v>9.6149742187723819E-2</v>
      </c>
      <c r="BF31" s="2339">
        <v>0.93700000000000006</v>
      </c>
    </row>
    <row r="32" spans="1:58" x14ac:dyDescent="0.4">
      <c r="A32" s="536"/>
      <c r="C32" s="2290" t="s">
        <v>332</v>
      </c>
      <c r="D32" s="2294">
        <v>94181602.355515614</v>
      </c>
      <c r="E32" s="2333">
        <v>8.1019916861383795E-2</v>
      </c>
      <c r="F32" s="2323">
        <v>12021618</v>
      </c>
      <c r="G32" s="2334">
        <v>0.13</v>
      </c>
      <c r="H32" s="2294">
        <v>106203220.35551561</v>
      </c>
      <c r="I32" s="2334">
        <v>8.4748519626120691E-2</v>
      </c>
      <c r="J32" s="2294">
        <v>4003735.5521350312</v>
      </c>
      <c r="K32" s="2334">
        <v>4.4263978173693444E-2</v>
      </c>
      <c r="L32" s="2294">
        <v>110206955.90765065</v>
      </c>
      <c r="M32" s="2334">
        <v>8.2023112393568007E-2</v>
      </c>
      <c r="N32" s="2335">
        <v>0.96367075454393258</v>
      </c>
      <c r="O32" s="2336">
        <v>105055620.2</v>
      </c>
      <c r="P32" s="2333">
        <v>8.5885050934488713E-2</v>
      </c>
      <c r="Q32" s="2323">
        <v>13103170.627022335</v>
      </c>
      <c r="R32" s="2334">
        <v>0.14390052393340499</v>
      </c>
      <c r="S32" s="2294">
        <v>118158790.82702234</v>
      </c>
      <c r="T32" s="2334">
        <v>8.9904565115305993E-2</v>
      </c>
      <c r="U32" s="2294">
        <v>7933168.4576028781</v>
      </c>
      <c r="V32" s="2334">
        <v>5.4704525499392816E-2</v>
      </c>
      <c r="W32" s="2294">
        <v>126091959.28462522</v>
      </c>
      <c r="X32" s="2334">
        <v>8.6406517768606611E-2</v>
      </c>
      <c r="Y32" s="2335">
        <f t="shared" si="13"/>
        <v>0.93708426371823228</v>
      </c>
      <c r="Z32" s="2337">
        <v>83503275</v>
      </c>
      <c r="AA32" s="2333">
        <f t="shared" si="14"/>
        <v>6.5132286922236216E-2</v>
      </c>
      <c r="AB32" s="2338">
        <v>7573836</v>
      </c>
      <c r="AC32" s="2333">
        <f t="shared" si="15"/>
        <v>4.8571446216498372E-2</v>
      </c>
      <c r="AD32" s="2294">
        <v>91077111</v>
      </c>
      <c r="AE32" s="2334">
        <f t="shared" si="16"/>
        <v>6.3336470841235781E-2</v>
      </c>
      <c r="AF32" s="2338">
        <v>9281807</v>
      </c>
      <c r="AG32" s="2334">
        <f t="shared" si="17"/>
        <v>5.1410155268765384E-2</v>
      </c>
      <c r="AH32" s="2294">
        <v>100358918</v>
      </c>
      <c r="AI32" s="2334">
        <f t="shared" si="18"/>
        <v>6.200611306546637E-2</v>
      </c>
      <c r="AJ32" s="2335">
        <v>0.90751387933456995</v>
      </c>
      <c r="AK32" s="2313">
        <v>111227820</v>
      </c>
      <c r="AL32" s="2292">
        <v>8.4000000000000005E-2</v>
      </c>
      <c r="AM32" s="2294">
        <v>20357665</v>
      </c>
      <c r="AN32" s="2292">
        <v>0.11750929281295959</v>
      </c>
      <c r="AO32" s="2294">
        <f t="shared" si="26"/>
        <v>131585485</v>
      </c>
      <c r="AP32" s="2292">
        <f t="shared" si="19"/>
        <v>0.23900391599530005</v>
      </c>
      <c r="AQ32" s="2294">
        <v>2696164</v>
      </c>
      <c r="AR32" s="2292">
        <v>2.2700000000000001E-2</v>
      </c>
      <c r="AS32" s="2294">
        <f t="shared" si="27"/>
        <v>134281649</v>
      </c>
      <c r="AT32" s="2292">
        <f t="shared" si="20"/>
        <v>0.23114822676560659</v>
      </c>
      <c r="AU32" s="2339">
        <f t="shared" si="28"/>
        <v>0.97992157513645073</v>
      </c>
      <c r="AV32" s="2313">
        <v>103696</v>
      </c>
      <c r="AW32" s="2292">
        <f t="shared" si="21"/>
        <v>7.726888298565962E-2</v>
      </c>
      <c r="AX32" s="2294">
        <v>5905</v>
      </c>
      <c r="AY32" s="2292">
        <f t="shared" si="22"/>
        <v>2.3590370494658709E-2</v>
      </c>
      <c r="AZ32" s="2294">
        <v>109601</v>
      </c>
      <c r="BA32" s="2292">
        <f t="shared" si="23"/>
        <v>6.8830624826904496E-2</v>
      </c>
      <c r="BB32" s="2294">
        <v>8373</v>
      </c>
      <c r="BC32" s="2292">
        <f t="shared" si="24"/>
        <v>7.0943197993628415E-2</v>
      </c>
      <c r="BD32" s="2294">
        <v>117974</v>
      </c>
      <c r="BE32" s="2292">
        <f t="shared" si="25"/>
        <v>6.8976404286132748E-2</v>
      </c>
      <c r="BF32" s="2339">
        <v>0.92900000000000005</v>
      </c>
    </row>
    <row r="33" spans="1:58" x14ac:dyDescent="0.4">
      <c r="A33" s="536"/>
      <c r="C33" s="2290" t="s">
        <v>331</v>
      </c>
      <c r="D33" s="2294">
        <v>149784251.53922334</v>
      </c>
      <c r="E33" s="2333">
        <v>0.12885221002126829</v>
      </c>
      <c r="F33" s="2323">
        <v>2672043</v>
      </c>
      <c r="G33" s="2334">
        <v>0.03</v>
      </c>
      <c r="H33" s="2294">
        <v>152456294.53922334</v>
      </c>
      <c r="I33" s="2334">
        <v>0.12165775413054118</v>
      </c>
      <c r="J33" s="2294">
        <v>897963.80857729656</v>
      </c>
      <c r="K33" s="2334">
        <v>9.927591347144887E-3</v>
      </c>
      <c r="L33" s="2294">
        <v>153354258.34780064</v>
      </c>
      <c r="M33" s="2334">
        <v>0.11413611296036806</v>
      </c>
      <c r="N33" s="2335">
        <v>0.99414451337542409</v>
      </c>
      <c r="O33" s="2336">
        <v>151309158.19999999</v>
      </c>
      <c r="P33" s="2333">
        <v>0.12369823465057807</v>
      </c>
      <c r="Q33" s="2323">
        <v>23547017.335850514</v>
      </c>
      <c r="R33" s="2334">
        <v>0.25859604733452762</v>
      </c>
      <c r="S33" s="2294">
        <v>174856175.5358505</v>
      </c>
      <c r="T33" s="2334">
        <v>0.13304442529620972</v>
      </c>
      <c r="U33" s="2294">
        <v>6307044.225300001</v>
      </c>
      <c r="V33" s="2334">
        <v>4.3491306593655271E-2</v>
      </c>
      <c r="W33" s="2294">
        <v>181163219.76115051</v>
      </c>
      <c r="X33" s="2334">
        <v>0.1241449736852375</v>
      </c>
      <c r="Y33" s="2335">
        <f t="shared" si="13"/>
        <v>0.96518584603643409</v>
      </c>
      <c r="Z33" s="2337">
        <v>159405696</v>
      </c>
      <c r="AA33" s="2333">
        <f t="shared" si="14"/>
        <v>0.1243359320806371</v>
      </c>
      <c r="AB33" s="2338">
        <v>24176252</v>
      </c>
      <c r="AC33" s="2333">
        <f t="shared" si="15"/>
        <v>0.1550436956562713</v>
      </c>
      <c r="AD33" s="2294">
        <v>183581948</v>
      </c>
      <c r="AE33" s="2334">
        <f t="shared" si="16"/>
        <v>0.12766580503941613</v>
      </c>
      <c r="AF33" s="2338">
        <v>9627390</v>
      </c>
      <c r="AG33" s="2334">
        <f t="shared" si="17"/>
        <v>5.332427346668156E-2</v>
      </c>
      <c r="AH33" s="2294">
        <v>193209338</v>
      </c>
      <c r="AI33" s="2334">
        <f t="shared" si="18"/>
        <v>0.119373148854912</v>
      </c>
      <c r="AJ33" s="2335">
        <v>0.95017119721201049</v>
      </c>
      <c r="AK33" s="2313">
        <v>162957210</v>
      </c>
      <c r="AL33" s="2292">
        <v>0.1231</v>
      </c>
      <c r="AM33" s="2294">
        <v>28464559</v>
      </c>
      <c r="AN33" s="2292">
        <v>0.16430421653577482</v>
      </c>
      <c r="AO33" s="2294">
        <f t="shared" si="26"/>
        <v>191421769</v>
      </c>
      <c r="AP33" s="2292">
        <f t="shared" si="19"/>
        <v>0.34768692305042409</v>
      </c>
      <c r="AQ33" s="2294">
        <v>3434982</v>
      </c>
      <c r="AR33" s="2292">
        <v>2.9000000000000001E-2</v>
      </c>
      <c r="AS33" s="2294">
        <f t="shared" si="27"/>
        <v>194856751</v>
      </c>
      <c r="AT33" s="2292">
        <f t="shared" si="20"/>
        <v>0.33542031098350106</v>
      </c>
      <c r="AU33" s="2339">
        <f t="shared" si="28"/>
        <v>0.98237175780478858</v>
      </c>
      <c r="AV33" s="2313">
        <v>153358</v>
      </c>
      <c r="AW33" s="2292">
        <f t="shared" si="21"/>
        <v>0.11427443061366677</v>
      </c>
      <c r="AX33" s="2294">
        <v>53599</v>
      </c>
      <c r="AY33" s="2292">
        <f t="shared" si="22"/>
        <v>0.21412705641714008</v>
      </c>
      <c r="AZ33" s="2294">
        <v>206957</v>
      </c>
      <c r="BA33" s="2292">
        <f t="shared" si="23"/>
        <v>0.12997125594019829</v>
      </c>
      <c r="BB33" s="2294">
        <v>5396</v>
      </c>
      <c r="BC33" s="2292">
        <f t="shared" si="24"/>
        <v>4.5719514674981358E-2</v>
      </c>
      <c r="BD33" s="2294">
        <v>212353</v>
      </c>
      <c r="BE33" s="2292">
        <f t="shared" si="25"/>
        <v>0.12415741078011382</v>
      </c>
      <c r="BF33" s="2339">
        <v>0.97499999999999998</v>
      </c>
    </row>
    <row r="34" spans="1:58" x14ac:dyDescent="0.4">
      <c r="A34" s="536"/>
      <c r="C34" s="2290" t="s">
        <v>334</v>
      </c>
      <c r="D34" s="2294">
        <v>44549627.867955104</v>
      </c>
      <c r="E34" s="2333">
        <v>3.8323908871740801E-2</v>
      </c>
      <c r="F34" s="2323">
        <v>4525434</v>
      </c>
      <c r="G34" s="2334">
        <v>0.05</v>
      </c>
      <c r="H34" s="2294">
        <v>49075061.867955104</v>
      </c>
      <c r="I34" s="2334">
        <v>3.9161136827556495E-2</v>
      </c>
      <c r="J34" s="2294">
        <v>31439297.274102733</v>
      </c>
      <c r="K34" s="2334">
        <v>0.34758248895710497</v>
      </c>
      <c r="L34" s="2294">
        <v>80514359.142057836</v>
      </c>
      <c r="M34" s="2334">
        <v>5.9923970087142682E-2</v>
      </c>
      <c r="N34" s="2335">
        <v>0.60951937506411868</v>
      </c>
      <c r="O34" s="2336">
        <v>57461985</v>
      </c>
      <c r="P34" s="2333">
        <v>4.6976311206640482E-2</v>
      </c>
      <c r="Q34" s="2323">
        <v>2020940.0172440286</v>
      </c>
      <c r="R34" s="2334">
        <v>2.2194195252228592E-2</v>
      </c>
      <c r="S34" s="2294">
        <v>59482925.017244026</v>
      </c>
      <c r="T34" s="2334">
        <v>4.5259319835885339E-2</v>
      </c>
      <c r="U34" s="2294">
        <v>40909003.644599997</v>
      </c>
      <c r="V34" s="2334">
        <v>0.2820950601251937</v>
      </c>
      <c r="W34" s="2294">
        <v>100391928.66184402</v>
      </c>
      <c r="X34" s="2334">
        <v>6.8795163600903958E-2</v>
      </c>
      <c r="Y34" s="2335">
        <f t="shared" si="13"/>
        <v>0.59250704523870468</v>
      </c>
      <c r="Z34" s="2337">
        <v>62991494</v>
      </c>
      <c r="AA34" s="2333">
        <f t="shared" si="14"/>
        <v>4.9133163470155165E-2</v>
      </c>
      <c r="AB34" s="2338">
        <v>3067017</v>
      </c>
      <c r="AC34" s="2333">
        <f t="shared" si="15"/>
        <v>1.9668956557890374E-2</v>
      </c>
      <c r="AD34" s="2294">
        <v>66058511</v>
      </c>
      <c r="AE34" s="2334">
        <f t="shared" si="16"/>
        <v>4.593813868082567E-2</v>
      </c>
      <c r="AF34" s="2338">
        <v>41780917</v>
      </c>
      <c r="AG34" s="2334">
        <f t="shared" si="17"/>
        <v>0.2314165151507028</v>
      </c>
      <c r="AH34" s="2294">
        <v>107839428</v>
      </c>
      <c r="AI34" s="2334">
        <f t="shared" si="18"/>
        <v>6.6627898135402569E-2</v>
      </c>
      <c r="AJ34" s="2335">
        <v>0.61256362561567002</v>
      </c>
      <c r="AK34" s="2313">
        <v>68605707</v>
      </c>
      <c r="AL34" s="2292">
        <v>5.1799999999999999E-2</v>
      </c>
      <c r="AM34" s="2294">
        <v>3197676</v>
      </c>
      <c r="AN34" s="2292">
        <v>1.8457747752749314E-2</v>
      </c>
      <c r="AO34" s="2294">
        <f t="shared" si="26"/>
        <v>71803383</v>
      </c>
      <c r="AP34" s="2292">
        <f t="shared" si="19"/>
        <v>0.13041932184777338</v>
      </c>
      <c r="AQ34" s="2294">
        <v>17810093</v>
      </c>
      <c r="AR34" s="2292">
        <v>0.1502</v>
      </c>
      <c r="AS34" s="2294">
        <f t="shared" si="27"/>
        <v>89613476</v>
      </c>
      <c r="AT34" s="2292">
        <f t="shared" si="20"/>
        <v>0.15425783214579264</v>
      </c>
      <c r="AU34" s="2339">
        <f t="shared" si="28"/>
        <v>0.80125653199748659</v>
      </c>
      <c r="AV34" s="2313">
        <v>81997</v>
      </c>
      <c r="AW34" s="2292">
        <f t="shared" si="21"/>
        <v>6.1099913190240052E-2</v>
      </c>
      <c r="AX34" s="2294">
        <v>7717</v>
      </c>
      <c r="AY34" s="2292">
        <f t="shared" si="22"/>
        <v>3.0829278426296573E-2</v>
      </c>
      <c r="AZ34" s="2294">
        <v>89714</v>
      </c>
      <c r="BA34" s="2292">
        <f t="shared" si="23"/>
        <v>5.6341371663770491E-2</v>
      </c>
      <c r="BB34" s="2294">
        <v>18723</v>
      </c>
      <c r="BC34" s="2292">
        <f t="shared" si="24"/>
        <v>0.15863722632684879</v>
      </c>
      <c r="BD34" s="2294">
        <v>108437</v>
      </c>
      <c r="BE34" s="2292">
        <f t="shared" si="25"/>
        <v>6.3400362381332981E-2</v>
      </c>
      <c r="BF34" s="2339">
        <v>0.82699999999999996</v>
      </c>
    </row>
    <row r="35" spans="1:58" x14ac:dyDescent="0.4">
      <c r="A35" s="536"/>
      <c r="C35" s="2290" t="s">
        <v>533</v>
      </c>
      <c r="D35" s="2294">
        <v>83944460.51979883</v>
      </c>
      <c r="E35" s="2333">
        <v>7.2213394571636474E-2</v>
      </c>
      <c r="F35" s="2323">
        <v>631516</v>
      </c>
      <c r="G35" s="2334">
        <v>0.01</v>
      </c>
      <c r="H35" s="2294">
        <v>84575976.51979883</v>
      </c>
      <c r="I35" s="2334">
        <v>6.7490315095838263E-2</v>
      </c>
      <c r="J35" s="2294">
        <v>12205058.748589555</v>
      </c>
      <c r="K35" s="2334">
        <v>0.13493509923953984</v>
      </c>
      <c r="L35" s="2294">
        <v>96781035.268388391</v>
      </c>
      <c r="M35" s="2334">
        <v>7.2030677809818797E-2</v>
      </c>
      <c r="N35" s="2335">
        <v>0.87388997529585111</v>
      </c>
      <c r="O35" s="2336">
        <v>77200862</v>
      </c>
      <c r="P35" s="2333">
        <v>6.3113234231864865E-2</v>
      </c>
      <c r="Q35" s="2323">
        <v>2149797.0784825766</v>
      </c>
      <c r="R35" s="2334">
        <v>2.3609318290198196E-2</v>
      </c>
      <c r="S35" s="2294">
        <v>79350659.078482583</v>
      </c>
      <c r="T35" s="2334">
        <v>6.0376265245534112E-2</v>
      </c>
      <c r="U35" s="2294">
        <v>19376838.157950003</v>
      </c>
      <c r="V35" s="2334">
        <v>0.13361631519286787</v>
      </c>
      <c r="W35" s="2294">
        <v>98727497.236432582</v>
      </c>
      <c r="X35" s="2334">
        <v>6.7654585531133446E-2</v>
      </c>
      <c r="Y35" s="2335">
        <f t="shared" si="13"/>
        <v>0.80373412979824299</v>
      </c>
      <c r="Z35" s="2337">
        <v>100144558</v>
      </c>
      <c r="AA35" s="2333">
        <f t="shared" si="14"/>
        <v>7.8112434336935002E-2</v>
      </c>
      <c r="AB35" s="2338">
        <v>3453913</v>
      </c>
      <c r="AC35" s="2333">
        <f t="shared" si="15"/>
        <v>2.2150142875547417E-2</v>
      </c>
      <c r="AD35" s="2294">
        <v>103598471</v>
      </c>
      <c r="AE35" s="2334">
        <f t="shared" si="16"/>
        <v>7.2044023637158519E-2</v>
      </c>
      <c r="AF35" s="2338">
        <v>26534584</v>
      </c>
      <c r="AG35" s="2334">
        <f t="shared" si="17"/>
        <v>0.14696999015731502</v>
      </c>
      <c r="AH35" s="2294">
        <v>130133055</v>
      </c>
      <c r="AI35" s="2334">
        <f t="shared" si="18"/>
        <v>8.0401872426370258E-2</v>
      </c>
      <c r="AJ35" s="2335">
        <v>0.79609651060601017</v>
      </c>
      <c r="AK35" s="2313">
        <v>120652590</v>
      </c>
      <c r="AL35" s="2292">
        <v>9.11E-2</v>
      </c>
      <c r="AM35" s="2294">
        <v>4676167</v>
      </c>
      <c r="AN35" s="2292">
        <v>2.6991950071154958E-2</v>
      </c>
      <c r="AO35" s="2294">
        <f t="shared" si="26"/>
        <v>125328757</v>
      </c>
      <c r="AP35" s="2292">
        <f t="shared" si="19"/>
        <v>0.22763957369479904</v>
      </c>
      <c r="AQ35" s="2294">
        <v>22011720</v>
      </c>
      <c r="AR35" s="2292">
        <v>0.1857</v>
      </c>
      <c r="AS35" s="2294">
        <f t="shared" si="27"/>
        <v>147340477</v>
      </c>
      <c r="AT35" s="2292">
        <f t="shared" si="20"/>
        <v>0.2536272844649729</v>
      </c>
      <c r="AU35" s="2339">
        <f t="shared" si="28"/>
        <v>0.85060642908058459</v>
      </c>
      <c r="AV35" s="2313">
        <v>111728</v>
      </c>
      <c r="AW35" s="2292">
        <f t="shared" si="21"/>
        <v>8.3253912959244128E-2</v>
      </c>
      <c r="AX35" s="2294">
        <v>5044</v>
      </c>
      <c r="AY35" s="2292">
        <f t="shared" si="22"/>
        <v>2.0150690732440055E-2</v>
      </c>
      <c r="AZ35" s="2294">
        <v>116772</v>
      </c>
      <c r="BA35" s="2292">
        <f t="shared" si="23"/>
        <v>7.3334091133176627E-2</v>
      </c>
      <c r="BB35" s="2294">
        <v>16378</v>
      </c>
      <c r="BC35" s="2292">
        <f t="shared" si="24"/>
        <v>0.13876838609096456</v>
      </c>
      <c r="BD35" s="2294">
        <v>133150</v>
      </c>
      <c r="BE35" s="2292">
        <f t="shared" si="25"/>
        <v>7.7849426404958511E-2</v>
      </c>
      <c r="BF35" s="2339">
        <v>0.877</v>
      </c>
    </row>
    <row r="36" spans="1:58" x14ac:dyDescent="0.4">
      <c r="A36" s="536"/>
      <c r="C36" s="2290" t="s">
        <v>328</v>
      </c>
      <c r="D36" s="2294">
        <v>445978991.98772591</v>
      </c>
      <c r="E36" s="2333">
        <v>0.38365434383218705</v>
      </c>
      <c r="F36" s="2323">
        <v>26803480</v>
      </c>
      <c r="G36" s="2334">
        <v>0.3</v>
      </c>
      <c r="H36" s="2294">
        <v>472782471.98772591</v>
      </c>
      <c r="I36" s="2334">
        <v>0.37727306640995611</v>
      </c>
      <c r="J36" s="2294">
        <v>9031436.1088841595</v>
      </c>
      <c r="K36" s="2334">
        <v>9.984857531051855E-2</v>
      </c>
      <c r="L36" s="2294">
        <v>481813908.09661007</v>
      </c>
      <c r="M36" s="2334">
        <v>0.35859693257210268</v>
      </c>
      <c r="N36" s="2335">
        <v>0.98125534369781364</v>
      </c>
      <c r="O36" s="2336">
        <v>446117044</v>
      </c>
      <c r="P36" s="2333">
        <v>0.36470952219159369</v>
      </c>
      <c r="Q36" s="2323">
        <v>32252788.061063766</v>
      </c>
      <c r="R36" s="2334">
        <v>0.35420382077057988</v>
      </c>
      <c r="S36" s="2294">
        <v>478369832.06106377</v>
      </c>
      <c r="T36" s="2334">
        <v>0.36398165057979132</v>
      </c>
      <c r="U36" s="2294">
        <v>21476648.274900008</v>
      </c>
      <c r="V36" s="2334">
        <v>0.14809591646447429</v>
      </c>
      <c r="W36" s="2294">
        <v>499846480.33596379</v>
      </c>
      <c r="X36" s="2334">
        <v>0.34252773951456256</v>
      </c>
      <c r="Y36" s="2335">
        <f t="shared" si="13"/>
        <v>0.95703351104830259</v>
      </c>
      <c r="Z36" s="2337">
        <v>534892161</v>
      </c>
      <c r="AA36" s="2333">
        <f t="shared" si="14"/>
        <v>0.41721417157239604</v>
      </c>
      <c r="AB36" s="2338">
        <v>93210930</v>
      </c>
      <c r="AC36" s="2333">
        <f t="shared" si="15"/>
        <v>0.5977670592926484</v>
      </c>
      <c r="AD36" s="2294">
        <v>628103091</v>
      </c>
      <c r="AE36" s="2334">
        <f t="shared" si="16"/>
        <v>0.43679287442935649</v>
      </c>
      <c r="AF36" s="2338">
        <v>35194904</v>
      </c>
      <c r="AG36" s="2334">
        <v>0.14809591646447429</v>
      </c>
      <c r="AH36" s="2294">
        <v>663297995</v>
      </c>
      <c r="AI36" s="2334">
        <f t="shared" si="18"/>
        <v>0.40981440706711431</v>
      </c>
      <c r="AJ36" s="2335">
        <v>0.94693952904229717</v>
      </c>
      <c r="AK36" s="2313">
        <v>466223872</v>
      </c>
      <c r="AL36" s="2292">
        <v>0.35210000000000002</v>
      </c>
      <c r="AM36" s="2294">
        <v>84333990</v>
      </c>
      <c r="AN36" s="2292">
        <v>0.48679588376148275</v>
      </c>
      <c r="AO36" s="2294">
        <f t="shared" si="26"/>
        <v>550557862</v>
      </c>
      <c r="AP36" s="2292">
        <f t="shared" si="19"/>
        <v>1</v>
      </c>
      <c r="AQ36" s="2294">
        <v>30375208</v>
      </c>
      <c r="AR36" s="2292">
        <v>0.25619999999999998</v>
      </c>
      <c r="AS36" s="2294">
        <f t="shared" si="27"/>
        <v>580933070</v>
      </c>
      <c r="AT36" s="2292">
        <f t="shared" si="20"/>
        <v>1</v>
      </c>
      <c r="AU36" s="2339">
        <f t="shared" si="28"/>
        <v>0.94771306787544385</v>
      </c>
      <c r="AV36" s="2313">
        <v>499768</v>
      </c>
      <c r="AW36" s="2292">
        <f t="shared" si="21"/>
        <v>0.37240120266912069</v>
      </c>
      <c r="AX36" s="2294">
        <v>107762</v>
      </c>
      <c r="AY36" s="2292">
        <f t="shared" si="22"/>
        <v>0.43050728285273698</v>
      </c>
      <c r="AZ36" s="2294">
        <v>607530</v>
      </c>
      <c r="BA36" s="2292">
        <f t="shared" si="23"/>
        <v>0.38153547413882433</v>
      </c>
      <c r="BB36" s="2294">
        <v>20626</v>
      </c>
      <c r="BC36" s="2292">
        <f t="shared" si="24"/>
        <v>0.17476106554599063</v>
      </c>
      <c r="BD36" s="2294">
        <v>628156</v>
      </c>
      <c r="BE36" s="2292">
        <f t="shared" si="25"/>
        <v>0.36726687414820214</v>
      </c>
      <c r="BF36" s="2339">
        <v>0.96699999999999997</v>
      </c>
    </row>
    <row r="37" spans="1:58" x14ac:dyDescent="0.4">
      <c r="A37" s="536"/>
      <c r="C37" s="1726" t="s">
        <v>6034</v>
      </c>
      <c r="D37" s="1436">
        <v>1162450000.0000002</v>
      </c>
      <c r="E37" s="1088">
        <v>1</v>
      </c>
      <c r="F37" s="1436">
        <v>90707233</v>
      </c>
      <c r="G37" s="1088">
        <v>1</v>
      </c>
      <c r="H37" s="1436">
        <v>1253157233.0000002</v>
      </c>
      <c r="I37" s="1088">
        <v>1</v>
      </c>
      <c r="J37" s="1436">
        <v>90451326.729473546</v>
      </c>
      <c r="K37" s="1088">
        <v>1</v>
      </c>
      <c r="L37" s="1436">
        <v>1343608559.7294736</v>
      </c>
      <c r="M37" s="1088">
        <v>1</v>
      </c>
      <c r="N37" s="2346">
        <v>0.93268029883072112</v>
      </c>
      <c r="O37" s="2347">
        <v>1223211945</v>
      </c>
      <c r="P37" s="1088">
        <v>1</v>
      </c>
      <c r="Q37" s="1436">
        <v>91057143.288000017</v>
      </c>
      <c r="R37" s="1088">
        <v>1</v>
      </c>
      <c r="S37" s="1436">
        <v>1314269088.2880001</v>
      </c>
      <c r="T37" s="1088">
        <v>1</v>
      </c>
      <c r="U37" s="1436">
        <v>145018504.13986191</v>
      </c>
      <c r="V37" s="1088">
        <f>SUM(V30:V36)</f>
        <v>0.99999999999999978</v>
      </c>
      <c r="W37" s="1436">
        <v>1459287592.4278619</v>
      </c>
      <c r="X37" s="1088">
        <f>SUM(X30:X36)</f>
        <v>1</v>
      </c>
      <c r="Y37" s="2346">
        <f t="shared" si="13"/>
        <v>0.90062376676650147</v>
      </c>
      <c r="Z37" s="2347">
        <f t="shared" ref="Z37:AI37" si="29">SUM(Z30:Z36)</f>
        <v>1282056549</v>
      </c>
      <c r="AA37" s="1088">
        <f t="shared" si="29"/>
        <v>1</v>
      </c>
      <c r="AB37" s="1436">
        <f t="shared" si="29"/>
        <v>155931861</v>
      </c>
      <c r="AC37" s="1088">
        <f t="shared" si="29"/>
        <v>1</v>
      </c>
      <c r="AD37" s="1436">
        <f t="shared" si="29"/>
        <v>1437988410</v>
      </c>
      <c r="AE37" s="1088">
        <f t="shared" si="29"/>
        <v>1</v>
      </c>
      <c r="AF37" s="1436">
        <f t="shared" si="29"/>
        <v>180544232</v>
      </c>
      <c r="AG37" s="1088">
        <f t="shared" si="29"/>
        <v>0.95315806876851472</v>
      </c>
      <c r="AH37" s="1436">
        <f t="shared" si="29"/>
        <v>1618532642</v>
      </c>
      <c r="AI37" s="1088">
        <f t="shared" si="29"/>
        <v>1</v>
      </c>
      <c r="AJ37" s="2346">
        <v>0.88845190556249531</v>
      </c>
      <c r="AK37" s="2348">
        <v>1323991690</v>
      </c>
      <c r="AL37" s="1088">
        <v>1</v>
      </c>
      <c r="AM37" s="1436">
        <v>173243022</v>
      </c>
      <c r="AN37" s="1088">
        <v>1</v>
      </c>
      <c r="AO37" s="1436">
        <f t="shared" si="26"/>
        <v>1497234712</v>
      </c>
      <c r="AP37" s="1088">
        <f t="shared" si="19"/>
        <v>2.7194865705141815</v>
      </c>
      <c r="AQ37" s="1436">
        <v>118542041</v>
      </c>
      <c r="AR37" s="1088">
        <v>1</v>
      </c>
      <c r="AS37" s="1436">
        <f t="shared" si="27"/>
        <v>1615776753</v>
      </c>
      <c r="AT37" s="1088">
        <f t="shared" si="20"/>
        <v>2.7813475190868373</v>
      </c>
      <c r="AU37" s="2349">
        <f t="shared" si="28"/>
        <v>0.92663464133896967</v>
      </c>
      <c r="AV37" s="2348">
        <f>SUM(AV30:AV36)</f>
        <v>1342015</v>
      </c>
      <c r="AW37" s="2293">
        <f t="shared" si="21"/>
        <v>1</v>
      </c>
      <c r="AX37" s="1436">
        <f>SUM(AX30:AX36)</f>
        <v>250314</v>
      </c>
      <c r="AY37" s="2293">
        <f t="shared" si="22"/>
        <v>1</v>
      </c>
      <c r="AZ37" s="1436">
        <f>SUM(AZ30:AZ36)</f>
        <v>1592329</v>
      </c>
      <c r="BA37" s="2293">
        <f t="shared" si="23"/>
        <v>1</v>
      </c>
      <c r="BB37" s="1436">
        <f>SUM(BB30:BB36)</f>
        <v>118024</v>
      </c>
      <c r="BC37" s="2293">
        <f t="shared" si="24"/>
        <v>1</v>
      </c>
      <c r="BD37" s="1436">
        <f>SUM(BD30:BD36)</f>
        <v>1710353</v>
      </c>
      <c r="BE37" s="2293">
        <f t="shared" si="25"/>
        <v>1</v>
      </c>
      <c r="BF37" s="2349">
        <v>0.93100000000000005</v>
      </c>
    </row>
    <row r="38" spans="1:58" x14ac:dyDescent="0.4">
      <c r="A38" s="536"/>
      <c r="C38" s="1048" t="s">
        <v>1150</v>
      </c>
      <c r="D38" s="1648"/>
      <c r="E38" s="1719"/>
      <c r="F38" s="1648"/>
      <c r="G38" s="1719"/>
      <c r="H38" s="1648"/>
      <c r="I38" s="1719"/>
      <c r="J38" s="1648"/>
      <c r="K38" s="1719"/>
      <c r="L38" s="1648"/>
      <c r="M38" s="1719"/>
      <c r="N38" s="1719"/>
    </row>
    <row r="39" spans="1:58" x14ac:dyDescent="0.4">
      <c r="A39" s="536"/>
      <c r="C39" s="649"/>
      <c r="D39" s="1648"/>
      <c r="E39" s="1719"/>
      <c r="F39" s="1648"/>
      <c r="G39" s="1719"/>
      <c r="H39" s="1648"/>
      <c r="I39" s="1719"/>
      <c r="J39" s="1648"/>
      <c r="K39" s="1719"/>
      <c r="L39" s="1648"/>
      <c r="M39" s="1719"/>
      <c r="N39" s="1719"/>
    </row>
    <row r="40" spans="1:58" x14ac:dyDescent="0.4">
      <c r="A40" s="536"/>
      <c r="C40" s="649"/>
      <c r="D40" s="1648"/>
      <c r="E40" s="1719"/>
      <c r="F40" s="1648"/>
      <c r="G40" s="1719"/>
      <c r="H40" s="1648"/>
      <c r="I40" s="1719"/>
      <c r="J40" s="1648"/>
      <c r="K40" s="1719"/>
      <c r="L40" s="1648"/>
      <c r="M40" s="1719"/>
      <c r="N40" s="1719"/>
    </row>
    <row r="41" spans="1:58" ht="19.5" x14ac:dyDescent="0.4">
      <c r="A41" s="536"/>
      <c r="C41" s="138" t="s">
        <v>8100</v>
      </c>
      <c r="D41" s="226"/>
      <c r="E41" s="226"/>
      <c r="F41" s="226"/>
      <c r="G41" s="226"/>
      <c r="H41" s="226"/>
      <c r="I41" s="226"/>
      <c r="J41" s="226"/>
      <c r="K41" s="226"/>
      <c r="L41" s="1355"/>
      <c r="M41" s="1355"/>
      <c r="N41" s="1355"/>
    </row>
    <row r="42" spans="1:58" x14ac:dyDescent="0.4">
      <c r="A42" s="536"/>
      <c r="C42" s="3295" t="s">
        <v>749</v>
      </c>
      <c r="D42" s="3268">
        <v>2019</v>
      </c>
      <c r="E42" s="3268"/>
      <c r="F42" s="3268"/>
      <c r="G42" s="3268"/>
      <c r="H42" s="3268"/>
      <c r="I42" s="3268"/>
      <c r="J42" s="3268"/>
      <c r="K42" s="3293"/>
      <c r="L42" s="3292">
        <v>2020</v>
      </c>
      <c r="M42" s="3268"/>
      <c r="N42" s="3268"/>
      <c r="O42" s="3268"/>
      <c r="P42" s="3268"/>
      <c r="Q42" s="3268"/>
      <c r="R42" s="3268"/>
      <c r="S42" s="3293"/>
      <c r="T42" s="3292">
        <v>2021</v>
      </c>
      <c r="U42" s="3268"/>
      <c r="V42" s="3268"/>
      <c r="W42" s="3268"/>
      <c r="X42" s="3268"/>
      <c r="Y42" s="3268"/>
      <c r="Z42" s="3268"/>
      <c r="AA42" s="3293"/>
      <c r="AB42" s="3268">
        <v>2022</v>
      </c>
      <c r="AC42" s="3268"/>
      <c r="AD42" s="3268"/>
      <c r="AE42" s="3268"/>
      <c r="AF42" s="3268"/>
      <c r="AG42" s="3268"/>
      <c r="AH42" s="3268"/>
      <c r="AI42" s="3268"/>
      <c r="AJ42" s="3268">
        <v>2023</v>
      </c>
      <c r="AK42" s="3268"/>
      <c r="AL42" s="3268"/>
      <c r="AM42" s="3268"/>
      <c r="AN42" s="3268"/>
      <c r="AO42" s="3268"/>
      <c r="AP42" s="3268"/>
      <c r="AQ42" s="3293"/>
    </row>
    <row r="43" spans="1:58" x14ac:dyDescent="0.4">
      <c r="A43" s="536"/>
      <c r="C43" s="3295"/>
      <c r="D43" s="3268" t="s">
        <v>6026</v>
      </c>
      <c r="E43" s="3268"/>
      <c r="F43" s="3268" t="s">
        <v>6027</v>
      </c>
      <c r="G43" s="3268"/>
      <c r="H43" s="3268" t="s">
        <v>6028</v>
      </c>
      <c r="I43" s="3268"/>
      <c r="J43" s="3268" t="s">
        <v>6029</v>
      </c>
      <c r="K43" s="3293"/>
      <c r="L43" s="3292" t="s">
        <v>6026</v>
      </c>
      <c r="M43" s="3268"/>
      <c r="N43" s="3268" t="s">
        <v>6027</v>
      </c>
      <c r="O43" s="3268"/>
      <c r="P43" s="3268" t="s">
        <v>6028</v>
      </c>
      <c r="Q43" s="3268"/>
      <c r="R43" s="3268" t="s">
        <v>6029</v>
      </c>
      <c r="S43" s="3293"/>
      <c r="T43" s="3292" t="s">
        <v>6026</v>
      </c>
      <c r="U43" s="3268"/>
      <c r="V43" s="3268" t="s">
        <v>6027</v>
      </c>
      <c r="W43" s="3268"/>
      <c r="X43" s="3268" t="s">
        <v>6028</v>
      </c>
      <c r="Y43" s="3268"/>
      <c r="Z43" s="3268" t="s">
        <v>6029</v>
      </c>
      <c r="AA43" s="3293"/>
      <c r="AB43" s="3268" t="s">
        <v>6026</v>
      </c>
      <c r="AC43" s="3268"/>
      <c r="AD43" s="3268" t="s">
        <v>6027</v>
      </c>
      <c r="AE43" s="3268"/>
      <c r="AF43" s="3268" t="s">
        <v>6028</v>
      </c>
      <c r="AG43" s="3268"/>
      <c r="AH43" s="3268" t="s">
        <v>6029</v>
      </c>
      <c r="AI43" s="3268"/>
      <c r="AJ43" s="3268" t="s">
        <v>6026</v>
      </c>
      <c r="AK43" s="3268"/>
      <c r="AL43" s="3268" t="s">
        <v>6027</v>
      </c>
      <c r="AM43" s="3268"/>
      <c r="AN43" s="3268" t="s">
        <v>6028</v>
      </c>
      <c r="AO43" s="3268"/>
      <c r="AP43" s="3268" t="s">
        <v>6029</v>
      </c>
      <c r="AQ43" s="3293"/>
    </row>
    <row r="44" spans="1:58" x14ac:dyDescent="0.4">
      <c r="A44" s="536"/>
      <c r="C44" s="3267"/>
      <c r="D44" s="1715" t="s">
        <v>6022</v>
      </c>
      <c r="E44" s="1715" t="s">
        <v>6023</v>
      </c>
      <c r="F44" s="1716" t="s">
        <v>6022</v>
      </c>
      <c r="G44" s="1716" t="s">
        <v>6023</v>
      </c>
      <c r="H44" s="1716" t="s">
        <v>6022</v>
      </c>
      <c r="I44" s="1716" t="s">
        <v>6023</v>
      </c>
      <c r="J44" s="1716" t="s">
        <v>6022</v>
      </c>
      <c r="K44" s="2321" t="s">
        <v>6023</v>
      </c>
      <c r="L44" s="2328" t="s">
        <v>6022</v>
      </c>
      <c r="M44" s="1715" t="s">
        <v>6023</v>
      </c>
      <c r="N44" s="1716" t="s">
        <v>6022</v>
      </c>
      <c r="O44" s="1716" t="s">
        <v>6023</v>
      </c>
      <c r="P44" s="1716" t="s">
        <v>6022</v>
      </c>
      <c r="Q44" s="1716" t="s">
        <v>6023</v>
      </c>
      <c r="R44" s="1716" t="s">
        <v>6022</v>
      </c>
      <c r="S44" s="2321" t="s">
        <v>6023</v>
      </c>
      <c r="T44" s="2328" t="s">
        <v>6022</v>
      </c>
      <c r="U44" s="1715" t="s">
        <v>6023</v>
      </c>
      <c r="V44" s="1716" t="s">
        <v>6022</v>
      </c>
      <c r="W44" s="1716" t="s">
        <v>6023</v>
      </c>
      <c r="X44" s="1716" t="s">
        <v>6022</v>
      </c>
      <c r="Y44" s="1716" t="s">
        <v>6023</v>
      </c>
      <c r="Z44" s="1716" t="s">
        <v>6022</v>
      </c>
      <c r="AA44" s="2321" t="s">
        <v>6023</v>
      </c>
      <c r="AB44" s="1715" t="s">
        <v>6022</v>
      </c>
      <c r="AC44" s="1715" t="s">
        <v>6023</v>
      </c>
      <c r="AD44" s="1716" t="s">
        <v>6022</v>
      </c>
      <c r="AE44" s="1716" t="s">
        <v>6023</v>
      </c>
      <c r="AF44" s="1716" t="s">
        <v>6022</v>
      </c>
      <c r="AG44" s="1716" t="s">
        <v>6023</v>
      </c>
      <c r="AH44" s="1716" t="s">
        <v>6022</v>
      </c>
      <c r="AI44" s="1716" t="s">
        <v>6023</v>
      </c>
      <c r="AJ44" s="1715" t="s">
        <v>8095</v>
      </c>
      <c r="AK44" s="1715" t="s">
        <v>6023</v>
      </c>
      <c r="AL44" s="1716" t="s">
        <v>8095</v>
      </c>
      <c r="AM44" s="1716" t="s">
        <v>6023</v>
      </c>
      <c r="AN44" s="1716" t="s">
        <v>8095</v>
      </c>
      <c r="AO44" s="1716" t="s">
        <v>6023</v>
      </c>
      <c r="AP44" s="1716" t="s">
        <v>8095</v>
      </c>
      <c r="AQ44" s="2321" t="s">
        <v>6023</v>
      </c>
    </row>
    <row r="45" spans="1:58" x14ac:dyDescent="0.4">
      <c r="A45" s="536"/>
      <c r="C45" s="2290" t="s">
        <v>329</v>
      </c>
      <c r="D45" s="2307">
        <v>4512895</v>
      </c>
      <c r="E45" s="2322">
        <v>0.11</v>
      </c>
      <c r="F45" s="2323">
        <v>13522</v>
      </c>
      <c r="G45" s="2306">
        <v>7.0000000000000007E-2</v>
      </c>
      <c r="H45" s="2323">
        <v>575721</v>
      </c>
      <c r="I45" s="2324">
        <v>1.14E-2</v>
      </c>
      <c r="J45" s="2323">
        <v>5102138</v>
      </c>
      <c r="K45" s="2325">
        <v>0.06</v>
      </c>
      <c r="L45" s="2329">
        <v>6804129.0668007452</v>
      </c>
      <c r="M45" s="2322">
        <v>0.14950625249951452</v>
      </c>
      <c r="N45" s="2323">
        <v>352113</v>
      </c>
      <c r="O45" s="2306">
        <v>0.19448631493247359</v>
      </c>
      <c r="P45" s="2323">
        <v>1362144.5024999999</v>
      </c>
      <c r="Q45" s="2324">
        <v>3.1144697319016361E-2</v>
      </c>
      <c r="R45" s="2323">
        <f>L45+N45+P45</f>
        <v>8518386.5693007447</v>
      </c>
      <c r="S45" s="2325">
        <v>9.3549899126072644E-2</v>
      </c>
      <c r="T45" s="2329">
        <v>7084266</v>
      </c>
      <c r="U45" s="2330">
        <v>0.1108</v>
      </c>
      <c r="V45" s="2323">
        <v>1872188</v>
      </c>
      <c r="W45" s="2330">
        <v>3.8800000000000001E-2</v>
      </c>
      <c r="X45" s="2323">
        <v>1654047</v>
      </c>
      <c r="Y45" s="2330">
        <v>3.78E-2</v>
      </c>
      <c r="Z45" s="2323">
        <v>10610501</v>
      </c>
      <c r="AA45" s="2331">
        <f>+Z45/$Z$52</f>
        <v>6.8045753214952306E-2</v>
      </c>
      <c r="AB45" s="2323">
        <v>13478212</v>
      </c>
      <c r="AC45" s="2330">
        <v>0.17699999999999999</v>
      </c>
      <c r="AD45" s="2323">
        <v>1746243</v>
      </c>
      <c r="AE45" s="2330">
        <v>3.4000000000000002E-2</v>
      </c>
      <c r="AF45" s="2323">
        <v>3111152</v>
      </c>
      <c r="AG45" s="2330">
        <v>6.8000000000000005E-2</v>
      </c>
      <c r="AH45" s="2323">
        <f>AB45+AD45+AF45</f>
        <v>18335607</v>
      </c>
      <c r="AI45" s="2330">
        <f t="shared" ref="AI45:AI52" si="30">AH45/$AH$51</f>
        <v>0.21741657189467734</v>
      </c>
      <c r="AJ45" s="2323">
        <v>49105</v>
      </c>
      <c r="AK45" s="2343">
        <f>+AJ45/$AJ$52</f>
        <v>0.34532105962686621</v>
      </c>
      <c r="AL45" s="2323">
        <v>2713</v>
      </c>
      <c r="AM45" s="2330">
        <f>+AL45/$AL$52</f>
        <v>4.9649543399886538E-2</v>
      </c>
      <c r="AN45" s="2323">
        <v>6423</v>
      </c>
      <c r="AO45" s="2330">
        <f>+AN45/$AN$52</f>
        <v>0.12012343370114083</v>
      </c>
      <c r="AP45" s="2323">
        <v>58241</v>
      </c>
      <c r="AQ45" s="2331">
        <f>+AP45/$AP$52</f>
        <v>0.23267176426408431</v>
      </c>
    </row>
    <row r="46" spans="1:58" x14ac:dyDescent="0.4">
      <c r="A46" s="536"/>
      <c r="C46" s="2290" t="s">
        <v>330</v>
      </c>
      <c r="D46" s="2307">
        <v>842018</v>
      </c>
      <c r="E46" s="2322">
        <v>0.02</v>
      </c>
      <c r="F46" s="2323">
        <v>57985</v>
      </c>
      <c r="G46" s="2306">
        <v>0.28000000000000003</v>
      </c>
      <c r="H46" s="2323">
        <v>38051000</v>
      </c>
      <c r="I46" s="2324">
        <v>0.75080000000000002</v>
      </c>
      <c r="J46" s="2323">
        <v>38951004</v>
      </c>
      <c r="K46" s="2325">
        <v>0.43</v>
      </c>
      <c r="L46" s="2329">
        <v>6983599.479036035</v>
      </c>
      <c r="M46" s="2322">
        <v>0.15344973277515506</v>
      </c>
      <c r="N46" s="2323">
        <v>56758</v>
      </c>
      <c r="O46" s="2306">
        <v>3.1349749264972714E-2</v>
      </c>
      <c r="P46" s="2323">
        <v>2424686.12</v>
      </c>
      <c r="Q46" s="2324">
        <v>5.5439136715981566E-2</v>
      </c>
      <c r="R46" s="2323">
        <f t="shared" ref="R46:R52" si="31">L46+N46+P46</f>
        <v>9465043.5990360342</v>
      </c>
      <c r="S46" s="2325">
        <v>0.10394619529298792</v>
      </c>
      <c r="T46" s="2329">
        <v>4612050</v>
      </c>
      <c r="U46" s="2330">
        <v>7.22E-2</v>
      </c>
      <c r="V46" s="2323">
        <v>7775422</v>
      </c>
      <c r="W46" s="2330">
        <v>0.16109999999999999</v>
      </c>
      <c r="X46" s="2323">
        <v>1451940</v>
      </c>
      <c r="Y46" s="2330">
        <v>3.32E-2</v>
      </c>
      <c r="Z46" s="2323">
        <v>13839412</v>
      </c>
      <c r="AA46" s="2331">
        <f t="shared" ref="AA46:AA52" si="32">+Z46/$Z$52</f>
        <v>8.8752945180632814E-2</v>
      </c>
      <c r="AB46" s="2323">
        <v>4760549</v>
      </c>
      <c r="AC46" s="2330">
        <v>6.3E-2</v>
      </c>
      <c r="AD46" s="2323">
        <v>7833862</v>
      </c>
      <c r="AE46" s="2330">
        <v>0.151</v>
      </c>
      <c r="AF46" s="2323">
        <v>1282947</v>
      </c>
      <c r="AG46" s="2330">
        <v>2.8000000000000001E-2</v>
      </c>
      <c r="AH46" s="2323">
        <f t="shared" ref="AH46:AH52" si="33">AB46+AD46+AF46</f>
        <v>13877358</v>
      </c>
      <c r="AI46" s="2330">
        <f t="shared" si="30"/>
        <v>0.16455237087679594</v>
      </c>
      <c r="AJ46" s="2323">
        <v>2367</v>
      </c>
      <c r="AK46" s="2330">
        <f t="shared" ref="AK46:AK52" si="34">+AJ46/$AJ$52</f>
        <v>1.6645452563624728E-2</v>
      </c>
      <c r="AL46" s="2323">
        <v>8930</v>
      </c>
      <c r="AM46" s="2330">
        <f t="shared" ref="AM46:AM52" si="35">+AL46/$AL$52</f>
        <v>0.16342440934794941</v>
      </c>
      <c r="AN46" s="2323">
        <v>749</v>
      </c>
      <c r="AO46" s="2330">
        <f t="shared" ref="AO46:AO52" si="36">+AN46/$AN$52</f>
        <v>1.400785487189078E-2</v>
      </c>
      <c r="AP46" s="2323">
        <v>12046</v>
      </c>
      <c r="AQ46" s="2331">
        <f t="shared" ref="AQ46:AQ52" si="37">+AP46/$AP$52</f>
        <v>4.8123556812643319E-2</v>
      </c>
    </row>
    <row r="47" spans="1:58" x14ac:dyDescent="0.4">
      <c r="A47" s="536"/>
      <c r="C47" s="2290" t="s">
        <v>332</v>
      </c>
      <c r="D47" s="2307">
        <v>246478</v>
      </c>
      <c r="E47" s="2322">
        <v>0.01</v>
      </c>
      <c r="F47" s="2326">
        <v>0</v>
      </c>
      <c r="G47" s="2306">
        <v>0</v>
      </c>
      <c r="H47" s="2323">
        <v>11775140</v>
      </c>
      <c r="I47" s="2324">
        <v>0.2324</v>
      </c>
      <c r="J47" s="2323">
        <v>12021618</v>
      </c>
      <c r="K47" s="2325">
        <v>0.13</v>
      </c>
      <c r="L47" s="2329">
        <v>12928626.227022335</v>
      </c>
      <c r="M47" s="2322">
        <v>0.28407904056380401</v>
      </c>
      <c r="N47" s="2326">
        <v>6250</v>
      </c>
      <c r="O47" s="2306">
        <v>3.4521289140928054E-3</v>
      </c>
      <c r="P47" s="2323">
        <v>168294.39999999999</v>
      </c>
      <c r="Q47" s="2324">
        <v>3.8479604321461974E-3</v>
      </c>
      <c r="R47" s="2323">
        <f t="shared" si="31"/>
        <v>13103170.627022335</v>
      </c>
      <c r="S47" s="2325">
        <v>0.14390052393340499</v>
      </c>
      <c r="T47" s="2329">
        <v>7075330</v>
      </c>
      <c r="U47" s="2330">
        <v>0.11070000000000001</v>
      </c>
      <c r="V47" s="2326">
        <v>55935</v>
      </c>
      <c r="W47" s="2330">
        <v>1.1999999999999999E-3</v>
      </c>
      <c r="X47" s="2323">
        <v>442571</v>
      </c>
      <c r="Y47" s="2330">
        <v>1.01E-2</v>
      </c>
      <c r="Z47" s="2323">
        <v>7573836</v>
      </c>
      <c r="AA47" s="2331">
        <f t="shared" si="32"/>
        <v>4.8571445905006894E-2</v>
      </c>
      <c r="AB47" s="2323">
        <v>20237000</v>
      </c>
      <c r="AC47" s="2330">
        <v>0.26600000000000001</v>
      </c>
      <c r="AD47" s="2323">
        <v>30430</v>
      </c>
      <c r="AE47" s="2330">
        <v>1E-3</v>
      </c>
      <c r="AF47" s="2323">
        <v>90235</v>
      </c>
      <c r="AG47" s="2330">
        <v>2E-3</v>
      </c>
      <c r="AH47" s="2323">
        <f t="shared" si="33"/>
        <v>20357665</v>
      </c>
      <c r="AI47" s="2330">
        <f t="shared" si="30"/>
        <v>0.24139335752998287</v>
      </c>
      <c r="AJ47" s="2323">
        <v>4102</v>
      </c>
      <c r="AK47" s="2330">
        <f t="shared" si="34"/>
        <v>2.8846491937468795E-2</v>
      </c>
      <c r="AL47" s="2323">
        <v>405</v>
      </c>
      <c r="AM47" s="2330">
        <f t="shared" si="35"/>
        <v>7.4117453287703824E-3</v>
      </c>
      <c r="AN47" s="2323">
        <v>1398</v>
      </c>
      <c r="AO47" s="2330">
        <f t="shared" si="36"/>
        <v>2.6145502150738732E-2</v>
      </c>
      <c r="AP47" s="2323">
        <v>5905</v>
      </c>
      <c r="AQ47" s="2331">
        <f t="shared" si="37"/>
        <v>2.3590370494658709E-2</v>
      </c>
    </row>
    <row r="48" spans="1:58" x14ac:dyDescent="0.4">
      <c r="A48" s="536"/>
      <c r="C48" s="2290" t="s">
        <v>331</v>
      </c>
      <c r="D48" s="2307">
        <v>2385155</v>
      </c>
      <c r="E48" s="2322">
        <v>0.06</v>
      </c>
      <c r="F48" s="2323">
        <v>82040</v>
      </c>
      <c r="G48" s="2306">
        <v>0.4</v>
      </c>
      <c r="H48" s="2323">
        <v>204848</v>
      </c>
      <c r="I48" s="2324">
        <v>4.0000000000000001E-3</v>
      </c>
      <c r="J48" s="2323">
        <v>2672043</v>
      </c>
      <c r="K48" s="2325">
        <v>0.03</v>
      </c>
      <c r="L48" s="2329">
        <v>7888027.1283505168</v>
      </c>
      <c r="M48" s="2322">
        <v>0.17332260514110087</v>
      </c>
      <c r="N48" s="2323">
        <v>246637</v>
      </c>
      <c r="O48" s="2306">
        <v>0.13622763503761715</v>
      </c>
      <c r="P48" s="2323">
        <v>15412353.2075</v>
      </c>
      <c r="Q48" s="2324">
        <v>0.35239512015088759</v>
      </c>
      <c r="R48" s="2323">
        <f t="shared" si="31"/>
        <v>23547017.335850514</v>
      </c>
      <c r="S48" s="2325">
        <v>0.25859604733452762</v>
      </c>
      <c r="T48" s="2329">
        <v>5959371</v>
      </c>
      <c r="U48" s="2330">
        <v>9.3200000000000005E-2</v>
      </c>
      <c r="V48" s="2323">
        <v>2936771</v>
      </c>
      <c r="W48" s="2330">
        <v>6.0900000000000003E-2</v>
      </c>
      <c r="X48" s="2323">
        <v>15280110</v>
      </c>
      <c r="Y48" s="2330">
        <v>0.34920000000000001</v>
      </c>
      <c r="Z48" s="2323">
        <v>24176252</v>
      </c>
      <c r="AA48" s="2331">
        <f t="shared" si="32"/>
        <v>0.15504369466196716</v>
      </c>
      <c r="AB48" s="2323">
        <v>10477687</v>
      </c>
      <c r="AC48" s="2330">
        <v>0.13800000000000001</v>
      </c>
      <c r="AD48" s="2323">
        <v>2426947</v>
      </c>
      <c r="AE48" s="2330">
        <v>4.7E-2</v>
      </c>
      <c r="AF48" s="2323">
        <v>15559925</v>
      </c>
      <c r="AG48" s="2330">
        <v>0.34200000000000003</v>
      </c>
      <c r="AH48" s="2323">
        <f t="shared" si="33"/>
        <v>28464559</v>
      </c>
      <c r="AI48" s="2330">
        <f t="shared" si="30"/>
        <v>0.33752178688569107</v>
      </c>
      <c r="AJ48" s="2323">
        <v>28599</v>
      </c>
      <c r="AK48" s="2330">
        <f t="shared" si="34"/>
        <v>0.20111672913692591</v>
      </c>
      <c r="AL48" s="2323">
        <v>6743</v>
      </c>
      <c r="AM48" s="2330">
        <f t="shared" si="35"/>
        <v>0.12340098457258936</v>
      </c>
      <c r="AN48" s="2323">
        <v>18257</v>
      </c>
      <c r="AO48" s="2330">
        <f t="shared" si="36"/>
        <v>0.34144380026182908</v>
      </c>
      <c r="AP48" s="2323">
        <v>53599</v>
      </c>
      <c r="AQ48" s="2331">
        <f t="shared" si="37"/>
        <v>0.21412705641714008</v>
      </c>
    </row>
    <row r="49" spans="1:43" x14ac:dyDescent="0.4">
      <c r="A49" s="536"/>
      <c r="C49" s="2290" t="s">
        <v>334</v>
      </c>
      <c r="D49" s="2307">
        <v>4503434</v>
      </c>
      <c r="E49" s="2322">
        <v>0.11</v>
      </c>
      <c r="F49" s="2323">
        <v>22000</v>
      </c>
      <c r="G49" s="2306">
        <v>0.11</v>
      </c>
      <c r="H49" s="2326">
        <v>0</v>
      </c>
      <c r="I49" s="2324">
        <v>0</v>
      </c>
      <c r="J49" s="2323">
        <v>4525434</v>
      </c>
      <c r="K49" s="2325">
        <v>0.05</v>
      </c>
      <c r="L49" s="2329">
        <v>1910394.0172440286</v>
      </c>
      <c r="M49" s="2322">
        <v>4.1976841931063227E-2</v>
      </c>
      <c r="N49" s="2323">
        <v>41750</v>
      </c>
      <c r="O49" s="2306">
        <v>2.3060221146139939E-2</v>
      </c>
      <c r="P49" s="2326">
        <v>68796</v>
      </c>
      <c r="Q49" s="2324">
        <v>1.5729833309363224E-3</v>
      </c>
      <c r="R49" s="2323">
        <f t="shared" si="31"/>
        <v>2020940.0172440286</v>
      </c>
      <c r="S49" s="2325">
        <v>2.2194195252228592E-2</v>
      </c>
      <c r="T49" s="2329">
        <v>2840839</v>
      </c>
      <c r="U49" s="2330">
        <v>4.4400000000000002E-2</v>
      </c>
      <c r="V49" s="2323">
        <v>68904</v>
      </c>
      <c r="W49" s="2330">
        <v>1.4E-3</v>
      </c>
      <c r="X49" s="2326">
        <v>157274</v>
      </c>
      <c r="Y49" s="2330">
        <v>3.5999999999999999E-3</v>
      </c>
      <c r="Z49" s="2323">
        <v>3067017</v>
      </c>
      <c r="AA49" s="2331">
        <f t="shared" si="32"/>
        <v>1.9668956431752222E-2</v>
      </c>
      <c r="AB49" s="2323">
        <v>2942046</v>
      </c>
      <c r="AC49" s="2330">
        <v>3.9E-2</v>
      </c>
      <c r="AD49" s="2323">
        <v>64623</v>
      </c>
      <c r="AE49" s="2330">
        <v>1E-3</v>
      </c>
      <c r="AF49" s="2323">
        <v>191007</v>
      </c>
      <c r="AG49" s="2330">
        <v>4.0000000000000001E-3</v>
      </c>
      <c r="AH49" s="2323">
        <f t="shared" si="33"/>
        <v>3197676</v>
      </c>
      <c r="AI49" s="2330">
        <f t="shared" si="30"/>
        <v>3.7916811477792051E-2</v>
      </c>
      <c r="AJ49" s="2323">
        <v>7227</v>
      </c>
      <c r="AK49" s="2330">
        <f t="shared" si="34"/>
        <v>5.0822427409089953E-2</v>
      </c>
      <c r="AL49" s="2323">
        <v>299</v>
      </c>
      <c r="AM49" s="2330">
        <f t="shared" si="35"/>
        <v>5.471881119265048E-3</v>
      </c>
      <c r="AN49" s="2323">
        <v>191</v>
      </c>
      <c r="AO49" s="2330">
        <f t="shared" si="36"/>
        <v>3.5720965027118009E-3</v>
      </c>
      <c r="AP49" s="2323">
        <v>7717</v>
      </c>
      <c r="AQ49" s="2331">
        <f t="shared" si="37"/>
        <v>3.0829278426296573E-2</v>
      </c>
    </row>
    <row r="50" spans="1:43" x14ac:dyDescent="0.4">
      <c r="A50" s="536"/>
      <c r="C50" s="2290" t="s">
        <v>533</v>
      </c>
      <c r="D50" s="2307">
        <v>558354</v>
      </c>
      <c r="E50" s="2322">
        <v>0.01</v>
      </c>
      <c r="F50" s="2323">
        <v>5250</v>
      </c>
      <c r="G50" s="2306">
        <v>0.03</v>
      </c>
      <c r="H50" s="2323">
        <v>67912</v>
      </c>
      <c r="I50" s="2324">
        <v>1.2999999999999999E-3</v>
      </c>
      <c r="J50" s="2323">
        <v>631516</v>
      </c>
      <c r="K50" s="2325">
        <v>0.01</v>
      </c>
      <c r="L50" s="2329">
        <v>1950744.1584825767</v>
      </c>
      <c r="M50" s="2322">
        <v>4.2863450392656967E-2</v>
      </c>
      <c r="N50" s="2323">
        <v>70450</v>
      </c>
      <c r="O50" s="2306">
        <v>3.89123971196541E-2</v>
      </c>
      <c r="P50" s="2323">
        <v>128602.92000000001</v>
      </c>
      <c r="Q50" s="2324">
        <v>2.9404362095141784E-3</v>
      </c>
      <c r="R50" s="2323">
        <f t="shared" si="31"/>
        <v>2149797.0784825766</v>
      </c>
      <c r="S50" s="2325">
        <v>2.3609318290198196E-2</v>
      </c>
      <c r="T50" s="2329">
        <v>2918067</v>
      </c>
      <c r="U50" s="2330">
        <v>4.5699999999999998E-2</v>
      </c>
      <c r="V50" s="2323">
        <v>377967</v>
      </c>
      <c r="W50" s="2330">
        <v>7.7999999999999996E-3</v>
      </c>
      <c r="X50" s="2323">
        <v>157879</v>
      </c>
      <c r="Y50" s="2330">
        <v>3.5999999999999999E-3</v>
      </c>
      <c r="Z50" s="2323">
        <v>3453913</v>
      </c>
      <c r="AA50" s="2331">
        <f t="shared" si="32"/>
        <v>2.2150142733497274E-2</v>
      </c>
      <c r="AB50" s="2323">
        <v>3957131</v>
      </c>
      <c r="AC50" s="2330">
        <v>5.1999999999999998E-2</v>
      </c>
      <c r="AD50" s="2323">
        <v>531404</v>
      </c>
      <c r="AE50" s="2330">
        <v>0.01</v>
      </c>
      <c r="AF50" s="2323">
        <v>187632</v>
      </c>
      <c r="AG50" s="2330">
        <v>4.0000000000000001E-3</v>
      </c>
      <c r="AH50" s="2323">
        <f t="shared" si="33"/>
        <v>4676167</v>
      </c>
      <c r="AI50" s="2330">
        <f t="shared" si="30"/>
        <v>5.5448188802640547E-2</v>
      </c>
      <c r="AJ50" s="2323">
        <v>3896</v>
      </c>
      <c r="AK50" s="2330">
        <f t="shared" si="34"/>
        <v>2.7397838271179527E-2</v>
      </c>
      <c r="AL50" s="2323">
        <v>735</v>
      </c>
      <c r="AM50" s="2330">
        <f t="shared" si="35"/>
        <v>1.345094522628699E-2</v>
      </c>
      <c r="AN50" s="2323">
        <v>413</v>
      </c>
      <c r="AO50" s="2330">
        <f t="shared" si="36"/>
        <v>7.7239573592668784E-3</v>
      </c>
      <c r="AP50" s="2323">
        <v>5044</v>
      </c>
      <c r="AQ50" s="2331">
        <f t="shared" si="37"/>
        <v>2.0150690732440055E-2</v>
      </c>
    </row>
    <row r="51" spans="1:43" x14ac:dyDescent="0.4">
      <c r="A51" s="536"/>
      <c r="C51" s="2290" t="s">
        <v>328</v>
      </c>
      <c r="D51" s="2307">
        <v>26778179</v>
      </c>
      <c r="E51" s="2322">
        <v>0.67</v>
      </c>
      <c r="F51" s="2323">
        <v>22669</v>
      </c>
      <c r="G51" s="2306">
        <v>0.11</v>
      </c>
      <c r="H51" s="2323">
        <v>2632</v>
      </c>
      <c r="I51" s="2324">
        <v>1E-4</v>
      </c>
      <c r="J51" s="2323">
        <v>26803480</v>
      </c>
      <c r="K51" s="2325">
        <v>0.3</v>
      </c>
      <c r="L51" s="2329">
        <v>7045145.5510637639</v>
      </c>
      <c r="M51" s="2322">
        <v>0.15480207669670523</v>
      </c>
      <c r="N51" s="2323">
        <v>1036519</v>
      </c>
      <c r="O51" s="2306">
        <v>0.57251155358504968</v>
      </c>
      <c r="P51" s="2323">
        <v>24171123.510000002</v>
      </c>
      <c r="Q51" s="2324">
        <v>0.55265966584151771</v>
      </c>
      <c r="R51" s="2323">
        <f t="shared" si="31"/>
        <v>32252788.061063766</v>
      </c>
      <c r="S51" s="2325">
        <v>0.35420382077057988</v>
      </c>
      <c r="T51" s="2329">
        <v>33427534</v>
      </c>
      <c r="U51" s="2330">
        <v>0.52300000000000002</v>
      </c>
      <c r="V51" s="2323">
        <v>35172146</v>
      </c>
      <c r="W51" s="2330">
        <v>0.7288</v>
      </c>
      <c r="X51" s="2323">
        <v>24611250</v>
      </c>
      <c r="Y51" s="2330">
        <v>0.5625</v>
      </c>
      <c r="Z51" s="2323">
        <v>93210930</v>
      </c>
      <c r="AA51" s="2331">
        <f t="shared" si="32"/>
        <v>0.59776705545913378</v>
      </c>
      <c r="AB51" s="2323">
        <v>20130438</v>
      </c>
      <c r="AC51" s="2330">
        <v>0.26500000000000001</v>
      </c>
      <c r="AD51" s="2323">
        <v>39101158</v>
      </c>
      <c r="AE51" s="2330">
        <v>0.75600000000000001</v>
      </c>
      <c r="AF51" s="2323">
        <v>25102394</v>
      </c>
      <c r="AG51" s="2330">
        <v>0.55100000000000005</v>
      </c>
      <c r="AH51" s="2323">
        <f t="shared" si="33"/>
        <v>84333990</v>
      </c>
      <c r="AI51" s="2330">
        <f t="shared" si="30"/>
        <v>1</v>
      </c>
      <c r="AJ51" s="2323">
        <v>46905</v>
      </c>
      <c r="AK51" s="2330">
        <f t="shared" si="34"/>
        <v>0.32985000105484491</v>
      </c>
      <c r="AL51" s="2323">
        <v>34818</v>
      </c>
      <c r="AM51" s="2330">
        <f t="shared" si="35"/>
        <v>0.63719049100525227</v>
      </c>
      <c r="AN51" s="2323">
        <v>26039</v>
      </c>
      <c r="AO51" s="2330">
        <f t="shared" si="36"/>
        <v>0.48698335515242192</v>
      </c>
      <c r="AP51" s="2323">
        <v>107762</v>
      </c>
      <c r="AQ51" s="2331">
        <f t="shared" si="37"/>
        <v>0.43050728285273698</v>
      </c>
    </row>
    <row r="52" spans="1:43" x14ac:dyDescent="0.4">
      <c r="A52" s="536"/>
      <c r="C52" s="1306" t="s">
        <v>154</v>
      </c>
      <c r="D52" s="1727">
        <v>39826513</v>
      </c>
      <c r="E52" s="1728">
        <v>1</v>
      </c>
      <c r="F52" s="1721">
        <v>203466</v>
      </c>
      <c r="G52" s="1729">
        <v>1</v>
      </c>
      <c r="H52" s="1721">
        <v>50677252</v>
      </c>
      <c r="I52" s="1729">
        <v>1</v>
      </c>
      <c r="J52" s="1721">
        <v>90707233</v>
      </c>
      <c r="K52" s="2327">
        <v>1</v>
      </c>
      <c r="L52" s="2350">
        <v>45510665.628000006</v>
      </c>
      <c r="M52" s="1728">
        <v>1</v>
      </c>
      <c r="N52" s="1721">
        <v>1810477</v>
      </c>
      <c r="O52" s="1729">
        <v>1</v>
      </c>
      <c r="P52" s="1721">
        <v>43736000.660000004</v>
      </c>
      <c r="Q52" s="1729">
        <v>1</v>
      </c>
      <c r="R52" s="1721">
        <f t="shared" si="31"/>
        <v>91057143.288000017</v>
      </c>
      <c r="S52" s="2327">
        <f>R52/$R$52</f>
        <v>1</v>
      </c>
      <c r="T52" s="2350">
        <v>63917457</v>
      </c>
      <c r="U52" s="1728">
        <v>1</v>
      </c>
      <c r="V52" s="1721">
        <v>48259334</v>
      </c>
      <c r="W52" s="1729">
        <v>1</v>
      </c>
      <c r="X52" s="1721">
        <v>43755071</v>
      </c>
      <c r="Y52" s="1729">
        <v>1</v>
      </c>
      <c r="Z52" s="1721">
        <v>155931862</v>
      </c>
      <c r="AA52" s="2342">
        <f t="shared" si="32"/>
        <v>1</v>
      </c>
      <c r="AB52" s="1721">
        <v>75983063</v>
      </c>
      <c r="AC52" s="2295">
        <v>1</v>
      </c>
      <c r="AD52" s="1721">
        <v>51734668</v>
      </c>
      <c r="AE52" s="2295">
        <v>1</v>
      </c>
      <c r="AF52" s="1721">
        <v>45525292</v>
      </c>
      <c r="AG52" s="2295">
        <v>1</v>
      </c>
      <c r="AH52" s="1721">
        <f t="shared" si="33"/>
        <v>173243023</v>
      </c>
      <c r="AI52" s="2295">
        <f t="shared" si="30"/>
        <v>2.0542490993251952</v>
      </c>
      <c r="AJ52" s="1721">
        <f>SUM(AJ45:AJ51)</f>
        <v>142201</v>
      </c>
      <c r="AK52" s="2295">
        <f t="shared" si="34"/>
        <v>1</v>
      </c>
      <c r="AL52" s="1721">
        <f>SUM(AL45:AL51)</f>
        <v>54643</v>
      </c>
      <c r="AM52" s="2295">
        <f t="shared" si="35"/>
        <v>1</v>
      </c>
      <c r="AN52" s="1721">
        <f>SUM(AN45:AN51)</f>
        <v>53470</v>
      </c>
      <c r="AO52" s="2295">
        <f t="shared" si="36"/>
        <v>1</v>
      </c>
      <c r="AP52" s="1721">
        <f>SUM(AP45:AP51)</f>
        <v>250314</v>
      </c>
      <c r="AQ52" s="2342">
        <f t="shared" si="37"/>
        <v>1</v>
      </c>
    </row>
    <row r="53" spans="1:43" x14ac:dyDescent="0.4">
      <c r="A53" s="536"/>
      <c r="C53" s="1048" t="s">
        <v>1150</v>
      </c>
      <c r="D53" s="1724"/>
      <c r="E53" s="1725"/>
      <c r="F53" s="1718"/>
      <c r="G53" s="1719"/>
      <c r="H53" s="1718"/>
      <c r="I53" s="1719"/>
      <c r="J53" s="1718"/>
      <c r="K53" s="1719"/>
    </row>
    <row r="54" spans="1:43" x14ac:dyDescent="0.4">
      <c r="A54" s="536"/>
      <c r="C54" s="226"/>
      <c r="D54" s="1724"/>
      <c r="E54" s="1725"/>
      <c r="F54" s="1718"/>
      <c r="G54" s="1719"/>
      <c r="H54" s="1718"/>
      <c r="I54" s="1719"/>
      <c r="J54" s="1718"/>
      <c r="K54" s="1719"/>
    </row>
    <row r="55" spans="1:43" x14ac:dyDescent="0.4">
      <c r="A55" s="536"/>
      <c r="C55" s="226"/>
      <c r="D55" s="1724"/>
      <c r="E55" s="1725"/>
      <c r="F55" s="1718"/>
      <c r="G55" s="1719"/>
      <c r="H55" s="1718"/>
      <c r="I55" s="1719"/>
      <c r="J55" s="1718"/>
      <c r="K55" s="1719"/>
    </row>
    <row r="56" spans="1:43" x14ac:dyDescent="0.4">
      <c r="A56" s="536"/>
    </row>
    <row r="57" spans="1:43" ht="18.600000000000001" customHeight="1" x14ac:dyDescent="0.4">
      <c r="A57" s="536"/>
      <c r="C57" s="138" t="s">
        <v>8099</v>
      </c>
      <c r="D57" s="138"/>
      <c r="E57" s="138"/>
      <c r="F57" s="138"/>
      <c r="G57" s="138"/>
      <c r="H57" s="138"/>
      <c r="I57" s="138"/>
      <c r="J57" s="138"/>
      <c r="K57" s="138"/>
      <c r="L57" s="138"/>
      <c r="M57" s="138"/>
      <c r="N57" s="138"/>
      <c r="O57" s="138"/>
    </row>
    <row r="58" spans="1:43" ht="18.600000000000001" customHeight="1" x14ac:dyDescent="0.4">
      <c r="A58" s="536"/>
      <c r="C58" s="138"/>
      <c r="D58" s="138"/>
      <c r="E58" s="138"/>
      <c r="F58" s="138"/>
      <c r="G58" s="138"/>
      <c r="H58" s="138"/>
      <c r="I58" s="138"/>
      <c r="J58" s="138"/>
      <c r="K58" s="138"/>
      <c r="L58" s="138"/>
      <c r="M58" s="138"/>
      <c r="N58" s="138"/>
      <c r="O58" s="138"/>
    </row>
    <row r="59" spans="1:43" x14ac:dyDescent="0.4">
      <c r="A59" s="536"/>
      <c r="C59" s="3266" t="s">
        <v>327</v>
      </c>
      <c r="D59" s="3296">
        <v>2018</v>
      </c>
      <c r="E59" s="3296"/>
      <c r="F59" s="3296"/>
      <c r="G59" s="3296"/>
      <c r="H59" s="3297"/>
      <c r="I59" s="1730"/>
      <c r="J59" s="3289">
        <v>2019</v>
      </c>
      <c r="K59" s="3289"/>
      <c r="L59" s="3289"/>
      <c r="M59" s="3289"/>
      <c r="N59" s="3289"/>
      <c r="O59" s="3298"/>
      <c r="P59" s="3289">
        <v>2020</v>
      </c>
      <c r="Q59" s="3289"/>
      <c r="R59" s="3289"/>
      <c r="S59" s="3289"/>
      <c r="T59" s="3289"/>
      <c r="U59" s="3298"/>
      <c r="V59" s="3289">
        <v>2021</v>
      </c>
      <c r="W59" s="3289"/>
      <c r="X59" s="3289"/>
      <c r="Y59" s="3289"/>
      <c r="Z59" s="3289"/>
      <c r="AA59" s="3298"/>
      <c r="AB59" s="3289">
        <v>2022</v>
      </c>
      <c r="AC59" s="3289"/>
      <c r="AD59" s="3289"/>
      <c r="AE59" s="3289"/>
      <c r="AF59" s="3289"/>
      <c r="AG59" s="3298"/>
      <c r="AH59" s="3299">
        <v>2023</v>
      </c>
      <c r="AI59" s="3289"/>
      <c r="AJ59" s="3289"/>
      <c r="AK59" s="3298"/>
    </row>
    <row r="60" spans="1:43" ht="37.5" x14ac:dyDescent="0.4">
      <c r="A60" s="536"/>
      <c r="C60" s="3267"/>
      <c r="D60" s="1716" t="s">
        <v>6022</v>
      </c>
      <c r="E60" s="1716" t="s">
        <v>6035</v>
      </c>
      <c r="F60" s="1716" t="s">
        <v>6036</v>
      </c>
      <c r="G60" s="1716" t="s">
        <v>1595</v>
      </c>
      <c r="H60" s="2309" t="s">
        <v>6032</v>
      </c>
      <c r="I60" s="1731"/>
      <c r="J60" s="2274" t="s">
        <v>6025</v>
      </c>
      <c r="K60" s="2274" t="s">
        <v>6023</v>
      </c>
      <c r="L60" s="2272" t="s">
        <v>6037</v>
      </c>
      <c r="M60" s="2272" t="s">
        <v>6038</v>
      </c>
      <c r="N60" s="2274" t="s">
        <v>1595</v>
      </c>
      <c r="O60" s="2309" t="s">
        <v>6039</v>
      </c>
      <c r="P60" s="2274" t="s">
        <v>6025</v>
      </c>
      <c r="Q60" s="2274" t="s">
        <v>6023</v>
      </c>
      <c r="R60" s="2272" t="s">
        <v>6030</v>
      </c>
      <c r="S60" s="2272" t="s">
        <v>6031</v>
      </c>
      <c r="T60" s="2274" t="s">
        <v>1595</v>
      </c>
      <c r="U60" s="2309" t="s">
        <v>6032</v>
      </c>
      <c r="V60" s="2274" t="s">
        <v>6025</v>
      </c>
      <c r="W60" s="2274" t="s">
        <v>6023</v>
      </c>
      <c r="X60" s="2272" t="s">
        <v>6030</v>
      </c>
      <c r="Y60" s="2272" t="s">
        <v>6031</v>
      </c>
      <c r="Z60" s="2274" t="s">
        <v>1595</v>
      </c>
      <c r="AA60" s="2309" t="s">
        <v>6032</v>
      </c>
      <c r="AB60" s="2274" t="s">
        <v>6025</v>
      </c>
      <c r="AC60" s="2274" t="s">
        <v>6023</v>
      </c>
      <c r="AD60" s="2272" t="s">
        <v>6030</v>
      </c>
      <c r="AE60" s="2272" t="s">
        <v>6031</v>
      </c>
      <c r="AF60" s="2274" t="s">
        <v>1595</v>
      </c>
      <c r="AG60" s="2309" t="s">
        <v>6032</v>
      </c>
      <c r="AH60" s="2312" t="s">
        <v>8096</v>
      </c>
      <c r="AI60" s="2273" t="s">
        <v>8097</v>
      </c>
      <c r="AJ60" s="2273" t="s">
        <v>6031</v>
      </c>
      <c r="AK60" s="2299" t="s">
        <v>6032</v>
      </c>
    </row>
    <row r="61" spans="1:43" x14ac:dyDescent="0.4">
      <c r="A61" s="536"/>
      <c r="C61" s="2298" t="s">
        <v>329</v>
      </c>
      <c r="D61" s="2318">
        <v>263216593</v>
      </c>
      <c r="E61" s="2318">
        <v>721141</v>
      </c>
      <c r="F61" s="2296">
        <v>103</v>
      </c>
      <c r="G61" s="2318">
        <v>1002917</v>
      </c>
      <c r="H61" s="2311">
        <v>0.72</v>
      </c>
      <c r="I61" s="2296"/>
      <c r="J61" s="2305">
        <v>269217900.57673794</v>
      </c>
      <c r="K61" s="2306">
        <v>0.20036929552677391</v>
      </c>
      <c r="L61" s="2305">
        <v>737583.28925133683</v>
      </c>
      <c r="M61" s="2305">
        <v>105.36904132161955</v>
      </c>
      <c r="N61" s="2305">
        <v>1016421</v>
      </c>
      <c r="O61" s="2315">
        <v>0.72566710964387471</v>
      </c>
      <c r="P61" s="2305">
        <v>328587870.73400974</v>
      </c>
      <c r="Q61" s="2306">
        <v>0.22517005725192793</v>
      </c>
      <c r="R61" s="2305">
        <v>900240.74173701298</v>
      </c>
      <c r="S61" s="2305">
        <v>128.60582024814471</v>
      </c>
      <c r="T61" s="2305">
        <v>1029568</v>
      </c>
      <c r="U61" s="2315">
        <v>0.87438687074288735</v>
      </c>
      <c r="V61" s="2307">
        <v>263588766</v>
      </c>
      <c r="W61" s="2308">
        <v>0.16289999999999999</v>
      </c>
      <c r="X61" s="2297">
        <v>722161.00273972598</v>
      </c>
      <c r="Y61" s="2297">
        <v>103.16585753424657</v>
      </c>
      <c r="Z61" s="2297">
        <v>1042717</v>
      </c>
      <c r="AA61" s="2310">
        <v>0.69257622417178011</v>
      </c>
      <c r="AB61" s="2294">
        <v>308286523</v>
      </c>
      <c r="AC61" s="2292">
        <v>0.19079772154637503</v>
      </c>
      <c r="AD61" s="2297">
        <v>844620.61095890414</v>
      </c>
      <c r="AE61" s="2297">
        <v>120.66008727984345</v>
      </c>
      <c r="AF61" s="2297">
        <v>1035464</v>
      </c>
      <c r="AG61" s="2310">
        <v>0.8156928787083898</v>
      </c>
      <c r="AH61" s="2313">
        <v>345833</v>
      </c>
      <c r="AI61" s="2297">
        <f t="shared" ref="AI61:AI68" si="38">+AH61/365</f>
        <v>947.48767123287666</v>
      </c>
      <c r="AJ61" s="2297">
        <v>49405</v>
      </c>
      <c r="AK61" s="2310">
        <v>0.9</v>
      </c>
    </row>
    <row r="62" spans="1:43" x14ac:dyDescent="0.4">
      <c r="A62" s="536"/>
      <c r="C62" s="2298" t="s">
        <v>330</v>
      </c>
      <c r="D62" s="2318">
        <v>121190148</v>
      </c>
      <c r="E62" s="2318">
        <v>332028</v>
      </c>
      <c r="F62" s="2296">
        <v>47</v>
      </c>
      <c r="G62" s="2318">
        <v>533795</v>
      </c>
      <c r="H62" s="2311">
        <v>0.62</v>
      </c>
      <c r="I62" s="2296"/>
      <c r="J62" s="2305">
        <v>151720142.39022812</v>
      </c>
      <c r="K62" s="2306">
        <v>0.11291989865022588</v>
      </c>
      <c r="L62" s="2305">
        <v>415671.62298692635</v>
      </c>
      <c r="M62" s="2305">
        <v>59.381660426703768</v>
      </c>
      <c r="N62" s="2305">
        <v>537606</v>
      </c>
      <c r="O62" s="2315">
        <v>0.77319007411919949</v>
      </c>
      <c r="P62" s="2305">
        <v>124478636.41383617</v>
      </c>
      <c r="Q62" s="2306">
        <v>8.5300962647628084E-2</v>
      </c>
      <c r="R62" s="2305">
        <v>341037.36003790732</v>
      </c>
      <c r="S62" s="2305">
        <v>48.71962286255819</v>
      </c>
      <c r="T62" s="2305">
        <v>541259</v>
      </c>
      <c r="U62" s="2315">
        <v>0.63008164305426295</v>
      </c>
      <c r="V62" s="2307">
        <v>160105142</v>
      </c>
      <c r="W62" s="2308">
        <v>9.8900000000000002E-2</v>
      </c>
      <c r="X62" s="2297">
        <v>438644.22465753427</v>
      </c>
      <c r="Y62" s="2297">
        <v>62.663460665362038</v>
      </c>
      <c r="Z62" s="2297">
        <v>544551</v>
      </c>
      <c r="AA62" s="2310">
        <v>0.80551541482346789</v>
      </c>
      <c r="AB62" s="2294">
        <v>160464806</v>
      </c>
      <c r="AC62" s="2292">
        <v>9.931124810532535E-2</v>
      </c>
      <c r="AD62" s="2297">
        <v>439629.60547945206</v>
      </c>
      <c r="AE62" s="2297">
        <v>62.804229354207436</v>
      </c>
      <c r="AF62" s="2297">
        <v>545092</v>
      </c>
      <c r="AG62" s="2310">
        <v>0.80652367945127068</v>
      </c>
      <c r="AH62" s="2313">
        <v>164450</v>
      </c>
      <c r="AI62" s="2297">
        <f t="shared" si="38"/>
        <v>450.54794520547944</v>
      </c>
      <c r="AJ62" s="2297">
        <v>23493</v>
      </c>
      <c r="AK62" s="2310">
        <v>0.81</v>
      </c>
    </row>
    <row r="63" spans="1:43" x14ac:dyDescent="0.4">
      <c r="A63" s="536"/>
      <c r="C63" s="2298" t="s">
        <v>332</v>
      </c>
      <c r="D63" s="2318">
        <v>123197567</v>
      </c>
      <c r="E63" s="2318">
        <v>337528</v>
      </c>
      <c r="F63" s="2296">
        <v>48</v>
      </c>
      <c r="G63" s="2318">
        <v>382821</v>
      </c>
      <c r="H63" s="2311">
        <v>0.88</v>
      </c>
      <c r="I63" s="2296"/>
      <c r="J63" s="2305">
        <v>110206955.90765065</v>
      </c>
      <c r="K63" s="2306">
        <v>8.2023112393568007E-2</v>
      </c>
      <c r="L63" s="2305">
        <v>301936.86550041276</v>
      </c>
      <c r="M63" s="2305">
        <v>43.133837928630392</v>
      </c>
      <c r="N63" s="2305">
        <v>388387</v>
      </c>
      <c r="O63" s="2315">
        <v>0.77741238893272113</v>
      </c>
      <c r="P63" s="2305">
        <v>126091959.28462522</v>
      </c>
      <c r="Q63" s="2306">
        <v>8.6406517768606611E-2</v>
      </c>
      <c r="R63" s="2305">
        <v>345457.42269760335</v>
      </c>
      <c r="S63" s="2305">
        <v>49.351060385371909</v>
      </c>
      <c r="T63" s="2305">
        <v>393893</v>
      </c>
      <c r="U63" s="2315">
        <v>0.87703366827438756</v>
      </c>
      <c r="V63" s="2307">
        <v>100358918</v>
      </c>
      <c r="W63" s="2308">
        <v>6.2E-2</v>
      </c>
      <c r="X63" s="2297">
        <v>274955.93972602737</v>
      </c>
      <c r="Y63" s="2297">
        <v>39.279419960861055</v>
      </c>
      <c r="Z63" s="2297">
        <v>399409</v>
      </c>
      <c r="AA63" s="2310">
        <v>0.68840697061415079</v>
      </c>
      <c r="AB63" s="2294">
        <v>134281649</v>
      </c>
      <c r="AC63" s="2292">
        <v>8.31065608232575E-2</v>
      </c>
      <c r="AD63" s="2297">
        <v>367894.92876712326</v>
      </c>
      <c r="AE63" s="2297">
        <v>52.556418395303325</v>
      </c>
      <c r="AF63" s="2297">
        <v>412808</v>
      </c>
      <c r="AG63" s="2310">
        <v>0.89120106385322784</v>
      </c>
      <c r="AH63" s="2313">
        <v>117974</v>
      </c>
      <c r="AI63" s="2297">
        <f t="shared" si="38"/>
        <v>323.21643835616436</v>
      </c>
      <c r="AJ63" s="2297">
        <v>16853</v>
      </c>
      <c r="AK63" s="2310">
        <v>0.77</v>
      </c>
    </row>
    <row r="64" spans="1:43" x14ac:dyDescent="0.4">
      <c r="A64" s="536"/>
      <c r="C64" s="2298" t="s">
        <v>331</v>
      </c>
      <c r="D64" s="2318">
        <v>150296755</v>
      </c>
      <c r="E64" s="2318">
        <v>411772</v>
      </c>
      <c r="F64" s="2296">
        <v>59</v>
      </c>
      <c r="G64" s="2318">
        <v>512172</v>
      </c>
      <c r="H64" s="2311">
        <v>0.8</v>
      </c>
      <c r="I64" s="2296"/>
      <c r="J64" s="2305">
        <v>153354258.34780064</v>
      </c>
      <c r="K64" s="2306">
        <v>0.11413611296036806</v>
      </c>
      <c r="L64" s="2305">
        <v>420148.65300767298</v>
      </c>
      <c r="M64" s="2305">
        <v>60.021236143953281</v>
      </c>
      <c r="N64" s="2305">
        <v>519170</v>
      </c>
      <c r="O64" s="2315">
        <v>0.80926989812137251</v>
      </c>
      <c r="P64" s="2305">
        <v>181163219.76115051</v>
      </c>
      <c r="Q64" s="2306">
        <v>0.1241449736852375</v>
      </c>
      <c r="R64" s="2305">
        <v>496337.5883867137</v>
      </c>
      <c r="S64" s="2305">
        <v>70.905369769530523</v>
      </c>
      <c r="T64" s="2305">
        <v>526092</v>
      </c>
      <c r="U64" s="2315">
        <v>0.94344256971539897</v>
      </c>
      <c r="V64" s="2307">
        <v>193209338</v>
      </c>
      <c r="W64" s="2308">
        <v>0.11940000000000001</v>
      </c>
      <c r="X64" s="2297">
        <v>529340.65205479448</v>
      </c>
      <c r="Y64" s="2297">
        <v>75.620093150684923</v>
      </c>
      <c r="Z64" s="2297">
        <v>532954</v>
      </c>
      <c r="AA64" s="2310">
        <v>0.99322015043473633</v>
      </c>
      <c r="AB64" s="2294">
        <v>194856751</v>
      </c>
      <c r="AC64" s="2292">
        <v>0.12059633277815825</v>
      </c>
      <c r="AD64" s="2297">
        <v>533854.11232876708</v>
      </c>
      <c r="AE64" s="2297">
        <v>76.264873189823874</v>
      </c>
      <c r="AF64" s="2297">
        <v>479117</v>
      </c>
      <c r="AG64" s="2310">
        <v>1.1142458153828128</v>
      </c>
      <c r="AH64" s="2313">
        <v>212353</v>
      </c>
      <c r="AI64" s="2297">
        <f t="shared" si="38"/>
        <v>581.78904109589041</v>
      </c>
      <c r="AJ64" s="2297">
        <v>30336</v>
      </c>
      <c r="AK64" s="2310">
        <v>1.19</v>
      </c>
    </row>
    <row r="65" spans="1:37" x14ac:dyDescent="0.4">
      <c r="A65" s="536"/>
      <c r="C65" s="2298" t="s">
        <v>334</v>
      </c>
      <c r="D65" s="2318">
        <v>105411109</v>
      </c>
      <c r="E65" s="2318">
        <v>288798</v>
      </c>
      <c r="F65" s="2296">
        <v>41</v>
      </c>
      <c r="G65" s="2318">
        <v>449781</v>
      </c>
      <c r="H65" s="2311">
        <v>0.64</v>
      </c>
      <c r="I65" s="2296"/>
      <c r="J65" s="2305">
        <v>80514359.142057836</v>
      </c>
      <c r="K65" s="2306">
        <v>5.9923970087142682E-2</v>
      </c>
      <c r="L65" s="2305">
        <v>220587.2853207064</v>
      </c>
      <c r="M65" s="2305">
        <v>31.512469331529488</v>
      </c>
      <c r="N65" s="2305">
        <v>455024</v>
      </c>
      <c r="O65" s="2315">
        <v>0.48478164958487113</v>
      </c>
      <c r="P65" s="2305">
        <v>100391928.66184402</v>
      </c>
      <c r="Q65" s="2306">
        <v>6.8795163600903958E-2</v>
      </c>
      <c r="R65" s="2305">
        <v>275046.37989546306</v>
      </c>
      <c r="S65" s="2305">
        <v>39.29233998506615</v>
      </c>
      <c r="T65" s="2305">
        <v>460083</v>
      </c>
      <c r="U65" s="2315">
        <v>0.59781904546671594</v>
      </c>
      <c r="V65" s="2307">
        <v>107839428</v>
      </c>
      <c r="W65" s="2308">
        <v>6.6600000000000006E-2</v>
      </c>
      <c r="X65" s="2297">
        <v>295450.4876712329</v>
      </c>
      <c r="Y65" s="2297">
        <v>42.207212524461845</v>
      </c>
      <c r="Z65" s="2297">
        <v>464991</v>
      </c>
      <c r="AA65" s="2310">
        <v>0.63538969070634244</v>
      </c>
      <c r="AB65" s="2294">
        <v>89613476</v>
      </c>
      <c r="AC65" s="2292">
        <v>5.5461545559196447E-2</v>
      </c>
      <c r="AD65" s="2297">
        <v>245516.37260273972</v>
      </c>
      <c r="AE65" s="2297">
        <v>35.073767514677101</v>
      </c>
      <c r="AF65" s="2297">
        <v>470383</v>
      </c>
      <c r="AG65" s="2310">
        <v>0.52194992719281885</v>
      </c>
      <c r="AH65" s="2313">
        <v>108437</v>
      </c>
      <c r="AI65" s="2297">
        <f t="shared" si="38"/>
        <v>297.08767123287669</v>
      </c>
      <c r="AJ65" s="2297">
        <v>15491</v>
      </c>
      <c r="AK65" s="2310">
        <v>0.62</v>
      </c>
    </row>
    <row r="66" spans="1:37" x14ac:dyDescent="0.4">
      <c r="A66" s="536"/>
      <c r="C66" s="2298" t="s">
        <v>533</v>
      </c>
      <c r="D66" s="2318">
        <v>125404762</v>
      </c>
      <c r="E66" s="2318">
        <v>343575</v>
      </c>
      <c r="F66" s="2296">
        <v>49</v>
      </c>
      <c r="G66" s="2318">
        <v>486763</v>
      </c>
      <c r="H66" s="2311">
        <v>0.71</v>
      </c>
      <c r="I66" s="2296"/>
      <c r="J66" s="2305">
        <v>96781035.268388391</v>
      </c>
      <c r="K66" s="2306">
        <v>7.2030677809818797E-2</v>
      </c>
      <c r="L66" s="2305">
        <v>265153.52128325589</v>
      </c>
      <c r="M66" s="2305">
        <v>37.879074469036553</v>
      </c>
      <c r="N66" s="2305">
        <v>492830</v>
      </c>
      <c r="O66" s="2315">
        <v>0.53802228209170688</v>
      </c>
      <c r="P66" s="2305">
        <v>98727497.236432582</v>
      </c>
      <c r="Q66" s="2306">
        <v>6.7654585531133446E-2</v>
      </c>
      <c r="R66" s="2305">
        <v>270486.29379844543</v>
      </c>
      <c r="S66" s="2305">
        <v>38.640899114063636</v>
      </c>
      <c r="T66" s="2305">
        <v>498779</v>
      </c>
      <c r="U66" s="2315">
        <v>0.54229687656947356</v>
      </c>
      <c r="V66" s="2307">
        <v>130133055</v>
      </c>
      <c r="W66" s="2308">
        <v>8.0399999999999999E-2</v>
      </c>
      <c r="X66" s="2297">
        <v>356528.91780821915</v>
      </c>
      <c r="Y66" s="2297">
        <v>50.932702544031308</v>
      </c>
      <c r="Z66" s="2297">
        <v>504716</v>
      </c>
      <c r="AA66" s="2310">
        <v>0.70639511687408196</v>
      </c>
      <c r="AB66" s="2294">
        <v>147340477</v>
      </c>
      <c r="AC66" s="2292">
        <v>9.1188635265629425E-2</v>
      </c>
      <c r="AD66" s="2297">
        <v>403672.5397260274</v>
      </c>
      <c r="AE66" s="2297">
        <v>57.667505675146771</v>
      </c>
      <c r="AF66" s="2297">
        <v>500166</v>
      </c>
      <c r="AG66" s="2310">
        <v>0.80707712984494628</v>
      </c>
      <c r="AH66" s="2313">
        <v>133150</v>
      </c>
      <c r="AI66" s="2297">
        <f t="shared" si="38"/>
        <v>364.79452054794518</v>
      </c>
      <c r="AJ66" s="2297">
        <v>19021</v>
      </c>
      <c r="AK66" s="2310">
        <v>0.72</v>
      </c>
    </row>
    <row r="67" spans="1:37" x14ac:dyDescent="0.4">
      <c r="A67" s="536"/>
      <c r="C67" s="2298" t="s">
        <v>328</v>
      </c>
      <c r="D67" s="2318">
        <v>534277938</v>
      </c>
      <c r="E67" s="2318">
        <v>1463775</v>
      </c>
      <c r="F67" s="2296">
        <v>209</v>
      </c>
      <c r="G67" s="2318">
        <v>1635144</v>
      </c>
      <c r="H67" s="2311">
        <v>0.9</v>
      </c>
      <c r="I67" s="2296"/>
      <c r="J67" s="2305">
        <v>481813908.09661007</v>
      </c>
      <c r="K67" s="2306">
        <v>0.35859693257210268</v>
      </c>
      <c r="L67" s="2305">
        <v>1320038.1043742741</v>
      </c>
      <c r="M67" s="2305">
        <v>188.57687205346772</v>
      </c>
      <c r="N67" s="2305">
        <v>1648561</v>
      </c>
      <c r="O67" s="2315">
        <v>0.80072141969528221</v>
      </c>
      <c r="P67" s="2305">
        <v>499846480.33596379</v>
      </c>
      <c r="Q67" s="2306">
        <v>0.34252773951456256</v>
      </c>
      <c r="R67" s="2305">
        <v>1369442.4118793528</v>
      </c>
      <c r="S67" s="2305">
        <v>195.63463026847896</v>
      </c>
      <c r="T67" s="2305">
        <v>1661547</v>
      </c>
      <c r="U67" s="2315">
        <v>0.82419721613613861</v>
      </c>
      <c r="V67" s="2307">
        <v>663297995</v>
      </c>
      <c r="W67" s="2308">
        <v>0.4098</v>
      </c>
      <c r="X67" s="2297">
        <v>1817254.7808219178</v>
      </c>
      <c r="Y67" s="2297">
        <v>259.60782583170254</v>
      </c>
      <c r="Z67" s="2297">
        <v>1673683</v>
      </c>
      <c r="AA67" s="2310">
        <v>1.0857819436667027</v>
      </c>
      <c r="AB67" s="2294">
        <v>580933070</v>
      </c>
      <c r="AC67" s="2292">
        <v>0.35953795530316063</v>
      </c>
      <c r="AD67" s="2297">
        <v>1591597.4520547944</v>
      </c>
      <c r="AE67" s="2297">
        <v>227.37106457925634</v>
      </c>
      <c r="AF67" s="2297">
        <v>1601167</v>
      </c>
      <c r="AG67" s="2310">
        <v>0.99402339172290866</v>
      </c>
      <c r="AH67" s="2313">
        <v>628156</v>
      </c>
      <c r="AI67" s="2297">
        <f t="shared" si="38"/>
        <v>1720.9753424657533</v>
      </c>
      <c r="AJ67" s="2297">
        <v>89737</v>
      </c>
      <c r="AK67" s="2310">
        <v>1.06</v>
      </c>
    </row>
    <row r="68" spans="1:37" x14ac:dyDescent="0.4">
      <c r="A68" s="536"/>
      <c r="C68" s="2298" t="s">
        <v>6033</v>
      </c>
      <c r="D68" s="2318">
        <v>1422994873</v>
      </c>
      <c r="E68" s="2318">
        <v>3898616</v>
      </c>
      <c r="F68" s="2296">
        <v>557</v>
      </c>
      <c r="G68" s="2318">
        <v>5003393</v>
      </c>
      <c r="H68" s="2311">
        <v>0.78</v>
      </c>
      <c r="I68" s="2296"/>
      <c r="J68" s="2305">
        <v>1343608559.7294736</v>
      </c>
      <c r="K68" s="2306">
        <v>1</v>
      </c>
      <c r="L68" s="2305">
        <v>3681119.3417245853</v>
      </c>
      <c r="M68" s="2305">
        <v>525.87419167494079</v>
      </c>
      <c r="N68" s="2305">
        <v>5057999</v>
      </c>
      <c r="O68" s="2315">
        <v>0.72778174565170639</v>
      </c>
      <c r="P68" s="2305">
        <v>1459287592.4278619</v>
      </c>
      <c r="Q68" s="2306">
        <v>1</v>
      </c>
      <c r="R68" s="2305">
        <f>SUM(R61:R67)</f>
        <v>3998048.1984324981</v>
      </c>
      <c r="S68" s="2305">
        <v>571.14974263321403</v>
      </c>
      <c r="T68" s="2305">
        <v>5111221</v>
      </c>
      <c r="U68" s="2315">
        <v>0.78221000391736106</v>
      </c>
      <c r="V68" s="2305">
        <f>SUM(V61:V67)</f>
        <v>1618532642</v>
      </c>
      <c r="W68" s="2306">
        <f>SUM(W61:W67)</f>
        <v>1</v>
      </c>
      <c r="X68" s="2305">
        <f>V68/365</f>
        <v>4434336.0054794522</v>
      </c>
      <c r="Y68" s="2305">
        <f>SUM(Y61:Y67)</f>
        <v>633.47657221135023</v>
      </c>
      <c r="Z68" s="2305">
        <f>SUM(Z61:Z67)</f>
        <v>5163021</v>
      </c>
      <c r="AA68" s="2310">
        <v>0.85886460765498573</v>
      </c>
      <c r="AB68" s="2298">
        <v>1615776753</v>
      </c>
      <c r="AC68" s="2292">
        <v>1</v>
      </c>
      <c r="AD68" s="2297">
        <v>4426785.6246575341</v>
      </c>
      <c r="AE68" s="2297">
        <v>632.39794598825824</v>
      </c>
      <c r="AF68" s="2297">
        <v>5044197</v>
      </c>
      <c r="AG68" s="2310">
        <v>0.87759967040492948</v>
      </c>
      <c r="AH68" s="2351">
        <f>SUM(AH61:AH67)</f>
        <v>1710353</v>
      </c>
      <c r="AI68" s="2297">
        <f t="shared" si="38"/>
        <v>4685.898630136986</v>
      </c>
      <c r="AJ68" s="2297">
        <f>SUM(AJ61:AJ67)</f>
        <v>244336</v>
      </c>
      <c r="AK68" s="2310">
        <v>0.91</v>
      </c>
    </row>
    <row r="69" spans="1:37" ht="23.65" customHeight="1" x14ac:dyDescent="0.4">
      <c r="A69" s="536"/>
      <c r="C69" s="2320" t="s">
        <v>6040</v>
      </c>
      <c r="D69" s="2319">
        <v>39401866</v>
      </c>
      <c r="E69" s="2320">
        <v>107950</v>
      </c>
      <c r="F69" s="2290">
        <v>15</v>
      </c>
      <c r="G69" s="2319"/>
      <c r="H69" s="2316"/>
      <c r="I69" s="2296"/>
      <c r="J69" s="2290"/>
      <c r="K69" s="2290"/>
      <c r="L69" s="2290"/>
      <c r="M69" s="2290"/>
      <c r="N69" s="2290"/>
      <c r="O69" s="2316"/>
      <c r="P69" s="2296"/>
      <c r="Q69" s="2296"/>
      <c r="R69" s="2296"/>
      <c r="S69" s="2296"/>
      <c r="T69" s="2296"/>
      <c r="U69" s="2311"/>
      <c r="V69" s="2296"/>
      <c r="W69" s="2296"/>
      <c r="X69" s="2296"/>
      <c r="Y69" s="2296"/>
      <c r="Z69" s="2296"/>
      <c r="AA69" s="2311"/>
      <c r="AB69" s="2296"/>
      <c r="AC69" s="2296"/>
      <c r="AD69" s="2296"/>
      <c r="AE69" s="2296"/>
      <c r="AF69" s="2296"/>
      <c r="AG69" s="2311"/>
      <c r="AH69" s="2314"/>
      <c r="AI69" s="2296"/>
      <c r="AJ69" s="2296"/>
      <c r="AK69" s="2311"/>
    </row>
    <row r="70" spans="1:37" x14ac:dyDescent="0.4">
      <c r="A70" s="536"/>
      <c r="C70" s="1726" t="s">
        <v>6033</v>
      </c>
      <c r="D70" s="1596">
        <v>1462396738</v>
      </c>
      <c r="E70" s="1596">
        <v>4006566</v>
      </c>
      <c r="F70" s="1306">
        <v>572</v>
      </c>
      <c r="G70" s="1596">
        <v>5003393</v>
      </c>
      <c r="H70" s="2317">
        <v>0.8</v>
      </c>
      <c r="I70" s="120"/>
      <c r="J70" s="1306"/>
      <c r="K70" s="1306"/>
      <c r="L70" s="1306"/>
      <c r="M70" s="1306"/>
      <c r="N70" s="1306"/>
      <c r="O70" s="2317"/>
      <c r="P70" s="120"/>
      <c r="Q70" s="120"/>
      <c r="R70" s="120"/>
      <c r="S70" s="120"/>
      <c r="T70" s="120"/>
      <c r="U70" s="2340"/>
      <c r="V70" s="120"/>
      <c r="W70" s="120"/>
      <c r="X70" s="120"/>
      <c r="Y70" s="120"/>
      <c r="Z70" s="120"/>
      <c r="AA70" s="2340"/>
      <c r="AB70" s="120"/>
      <c r="AC70" s="120"/>
      <c r="AD70" s="120"/>
      <c r="AE70" s="120"/>
      <c r="AF70" s="120"/>
      <c r="AG70" s="2340"/>
      <c r="AH70" s="2341"/>
      <c r="AI70" s="120"/>
      <c r="AJ70" s="120"/>
      <c r="AK70" s="2340"/>
    </row>
    <row r="71" spans="1:37" ht="17.45" customHeight="1" x14ac:dyDescent="0.4">
      <c r="A71" s="536"/>
      <c r="C71" s="2290" t="s">
        <v>6041</v>
      </c>
      <c r="D71" s="2290"/>
      <c r="E71" s="2290"/>
      <c r="F71" s="2290"/>
      <c r="G71" s="2290"/>
      <c r="H71" s="2290"/>
    </row>
    <row r="72" spans="1:37" x14ac:dyDescent="0.4">
      <c r="A72" s="536"/>
      <c r="C72" s="1048" t="s">
        <v>1150</v>
      </c>
      <c r="D72" s="2270"/>
      <c r="E72" s="2270"/>
    </row>
    <row r="75" spans="1:37" ht="22.5" customHeight="1" x14ac:dyDescent="0.4">
      <c r="C75" s="2270"/>
      <c r="D75" s="2270"/>
      <c r="E75" s="2270"/>
      <c r="G75" s="2683"/>
      <c r="H75" s="2683"/>
      <c r="I75" s="2683"/>
      <c r="J75" s="2683"/>
      <c r="K75" s="2683"/>
      <c r="L75" s="2683"/>
      <c r="N75" s="2683"/>
      <c r="O75" s="2683"/>
      <c r="P75" s="2683"/>
      <c r="Q75" s="2683"/>
      <c r="R75" s="2683"/>
      <c r="S75" s="2683"/>
      <c r="U75" s="2683"/>
      <c r="V75" s="2683"/>
      <c r="W75" s="2683"/>
      <c r="X75" s="2683"/>
      <c r="Y75" s="2683"/>
      <c r="Z75" s="2683"/>
    </row>
    <row r="76" spans="1:37" x14ac:dyDescent="0.4">
      <c r="C76" s="2811"/>
      <c r="D76" s="2811"/>
      <c r="E76" s="2811"/>
    </row>
    <row r="102" s="2270" customFormat="1" ht="38.25" customHeight="1" x14ac:dyDescent="0.4"/>
    <row r="103" s="2270" customFormat="1" ht="15" customHeight="1" x14ac:dyDescent="0.4"/>
    <row r="104" s="2270" customFormat="1" x14ac:dyDescent="0.4"/>
    <row r="105" s="2270" customFormat="1" x14ac:dyDescent="0.4"/>
    <row r="106" s="2270" customFormat="1" x14ac:dyDescent="0.4"/>
    <row r="107" s="2270" customFormat="1" x14ac:dyDescent="0.4"/>
    <row r="108" s="2270" customFormat="1" x14ac:dyDescent="0.4"/>
    <row r="109" s="2270" customFormat="1" x14ac:dyDescent="0.4"/>
    <row r="110" s="2270" customFormat="1" x14ac:dyDescent="0.4"/>
    <row r="111" s="2270" customFormat="1" x14ac:dyDescent="0.4"/>
    <row r="112" s="2270" customFormat="1" x14ac:dyDescent="0.4"/>
    <row r="113" s="2270" customFormat="1" x14ac:dyDescent="0.4"/>
    <row r="114" s="2270" customFormat="1" x14ac:dyDescent="0.4"/>
    <row r="115" s="2270" customFormat="1" x14ac:dyDescent="0.4"/>
    <row r="116" s="2270" customFormat="1" ht="33" customHeight="1" x14ac:dyDescent="0.4"/>
  </sheetData>
  <mergeCells count="97">
    <mergeCell ref="AP43:AQ43"/>
    <mergeCell ref="D27:N27"/>
    <mergeCell ref="O27:Y27"/>
    <mergeCell ref="Z27:AJ27"/>
    <mergeCell ref="AK27:AU27"/>
    <mergeCell ref="T42:AA42"/>
    <mergeCell ref="AB42:AI42"/>
    <mergeCell ref="AJ42:AQ42"/>
    <mergeCell ref="T43:U43"/>
    <mergeCell ref="V43:W43"/>
    <mergeCell ref="X43:Y43"/>
    <mergeCell ref="Z43:AA43"/>
    <mergeCell ref="AJ43:AK43"/>
    <mergeCell ref="AL43:AM43"/>
    <mergeCell ref="AN43:AO43"/>
    <mergeCell ref="AH59:AK59"/>
    <mergeCell ref="D42:K42"/>
    <mergeCell ref="L42:S42"/>
    <mergeCell ref="L43:M43"/>
    <mergeCell ref="N43:O43"/>
    <mergeCell ref="P43:Q43"/>
    <mergeCell ref="R43:S43"/>
    <mergeCell ref="V59:AA59"/>
    <mergeCell ref="AH43:AI43"/>
    <mergeCell ref="AB59:AG59"/>
    <mergeCell ref="D12:J12"/>
    <mergeCell ref="K12:Q12"/>
    <mergeCell ref="R12:X12"/>
    <mergeCell ref="Y12:AE12"/>
    <mergeCell ref="D43:E43"/>
    <mergeCell ref="F43:G43"/>
    <mergeCell ref="H43:I43"/>
    <mergeCell ref="J43:K43"/>
    <mergeCell ref="D28:E28"/>
    <mergeCell ref="U28:V28"/>
    <mergeCell ref="V13:W13"/>
    <mergeCell ref="K13:L13"/>
    <mergeCell ref="M13:N13"/>
    <mergeCell ref="O13:P13"/>
    <mergeCell ref="D13:E13"/>
    <mergeCell ref="F13:G13"/>
    <mergeCell ref="G75:L75"/>
    <mergeCell ref="N75:S75"/>
    <mergeCell ref="U75:Z75"/>
    <mergeCell ref="C76:E76"/>
    <mergeCell ref="C59:C60"/>
    <mergeCell ref="D59:H59"/>
    <mergeCell ref="J59:O59"/>
    <mergeCell ref="P59:U59"/>
    <mergeCell ref="C42:C44"/>
    <mergeCell ref="AD28:AE28"/>
    <mergeCell ref="AF28:AG28"/>
    <mergeCell ref="AB43:AC43"/>
    <mergeCell ref="AD43:AE43"/>
    <mergeCell ref="AF43:AG43"/>
    <mergeCell ref="C27:C29"/>
    <mergeCell ref="W28:X28"/>
    <mergeCell ref="O28:P28"/>
    <mergeCell ref="Q28:R28"/>
    <mergeCell ref="S28:T28"/>
    <mergeCell ref="H13:I13"/>
    <mergeCell ref="F28:G28"/>
    <mergeCell ref="H28:I28"/>
    <mergeCell ref="J28:K28"/>
    <mergeCell ref="L28:M28"/>
    <mergeCell ref="R13:S13"/>
    <mergeCell ref="AV28:AW28"/>
    <mergeCell ref="AX28:AY28"/>
    <mergeCell ref="AZ28:BA28"/>
    <mergeCell ref="AH28:AI28"/>
    <mergeCell ref="AV27:BF27"/>
    <mergeCell ref="AF13:AG13"/>
    <mergeCell ref="BB28:BC28"/>
    <mergeCell ref="BD28:BE28"/>
    <mergeCell ref="AK28:AL28"/>
    <mergeCell ref="AM28:AN28"/>
    <mergeCell ref="AO28:AP28"/>
    <mergeCell ref="AQ28:AR28"/>
    <mergeCell ref="AS28:AT28"/>
    <mergeCell ref="Z28:AA28"/>
    <mergeCell ref="AB28:AC28"/>
    <mergeCell ref="AH13:AI13"/>
    <mergeCell ref="AJ13:AK13"/>
    <mergeCell ref="AF12:AL12"/>
    <mergeCell ref="A3:B3"/>
    <mergeCell ref="C3:T3"/>
    <mergeCell ref="A4:B4"/>
    <mergeCell ref="C4:T4"/>
    <mergeCell ref="A5:B5"/>
    <mergeCell ref="C5:T5"/>
    <mergeCell ref="Y13:Z13"/>
    <mergeCell ref="AA13:AB13"/>
    <mergeCell ref="AC13:AD13"/>
    <mergeCell ref="A6:B6"/>
    <mergeCell ref="C6:T6"/>
    <mergeCell ref="T13:U13"/>
    <mergeCell ref="C12:C14"/>
  </mergeCells>
  <hyperlinks>
    <hyperlink ref="A1" location="'ODS 11.'!A1" display="REGRESAR" xr:uid="{0A4029D2-7EEC-4483-A89B-272B8BD0AFB2}"/>
    <hyperlink ref="C1:F1" location="'Metadato 11.6.1'!A1" display="VER METADATO" xr:uid="{C7CC55B3-46B0-4F16-A872-E4908DCC4393}"/>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C619-E47E-427E-9FDD-26C89CDD917A}">
  <dimension ref="A1:AD57"/>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5.42578125" style="5" customWidth="1"/>
    <col min="2" max="2" width="9.28515625" style="5" customWidth="1"/>
    <col min="3" max="3" width="17.28515625" style="5" customWidth="1"/>
    <col min="4" max="4" width="19.85546875" style="5" customWidth="1"/>
    <col min="5" max="5" width="16.28515625" style="5" bestFit="1" customWidth="1"/>
    <col min="6" max="6" width="16" style="5" customWidth="1"/>
    <col min="7" max="7" width="12.28515625" style="5" customWidth="1"/>
    <col min="8" max="8" width="2.42578125" style="5" customWidth="1"/>
    <col min="9" max="10" width="9.28515625" style="5" customWidth="1"/>
    <col min="11" max="11" width="2" style="5" customWidth="1"/>
    <col min="12" max="13" width="8.7109375" style="5" customWidth="1"/>
    <col min="14" max="14" width="2.5703125" style="5" customWidth="1"/>
    <col min="15" max="24" width="9.7109375" style="5" customWidth="1"/>
    <col min="25" max="25" width="1.7109375" style="5" customWidth="1"/>
    <col min="26" max="32" width="6.5703125" style="5" customWidth="1"/>
    <col min="33" max="33" width="1.7109375" style="5" customWidth="1"/>
    <col min="34" max="34" width="20" style="5" customWidth="1"/>
    <col min="35" max="35" width="9" style="5" customWidth="1"/>
    <col min="36" max="36" width="10" style="5" customWidth="1"/>
    <col min="37" max="37" width="9" style="5" customWidth="1"/>
    <col min="38" max="38" width="10" style="5" customWidth="1"/>
    <col min="39" max="39" width="1.7109375" style="5" customWidth="1"/>
    <col min="40" max="40" width="7" style="5" customWidth="1"/>
    <col min="41" max="42" width="7.7109375" style="5" customWidth="1"/>
    <col min="43" max="43" width="11.7109375" style="5" customWidth="1"/>
    <col min="44" max="44" width="2.28515625" style="5" customWidth="1"/>
    <col min="45" max="46" width="9.5703125" style="5" customWidth="1"/>
    <col min="47" max="47" width="11" style="5" customWidth="1"/>
    <col min="48" max="48" width="1.5703125" style="5" customWidth="1"/>
    <col min="49" max="50" width="9.28515625" style="5" customWidth="1"/>
    <col min="51" max="51" width="10.7109375" style="5" customWidth="1"/>
    <col min="52" max="52" width="8.28515625" style="5" customWidth="1"/>
    <col min="53" max="53" width="7.7109375" style="5" customWidth="1"/>
    <col min="54" max="16384" width="11.42578125" style="5"/>
  </cols>
  <sheetData>
    <row r="1" spans="1:30" x14ac:dyDescent="0.4">
      <c r="A1" s="90" t="s">
        <v>39</v>
      </c>
      <c r="C1" s="2541" t="s">
        <v>149</v>
      </c>
      <c r="D1" s="2541"/>
      <c r="F1" s="312"/>
      <c r="G1" s="312"/>
    </row>
    <row r="3" spans="1:30" x14ac:dyDescent="0.4">
      <c r="A3" s="2532" t="s">
        <v>41</v>
      </c>
      <c r="B3" s="2532"/>
      <c r="C3" s="2542" t="s">
        <v>396</v>
      </c>
      <c r="D3" s="2543"/>
      <c r="E3" s="2543"/>
      <c r="F3" s="2543"/>
      <c r="G3" s="2543"/>
      <c r="H3" s="2543"/>
      <c r="I3" s="2543"/>
      <c r="J3" s="2543"/>
      <c r="K3" s="2543"/>
      <c r="L3" s="2543"/>
      <c r="M3" s="2543"/>
      <c r="N3" s="2543"/>
      <c r="O3" s="2543"/>
      <c r="P3" s="2543"/>
      <c r="Q3" s="2543"/>
      <c r="R3" s="2543"/>
      <c r="S3" s="2544"/>
      <c r="T3" s="313"/>
      <c r="U3" s="313"/>
      <c r="V3" s="313"/>
      <c r="W3" s="313"/>
      <c r="X3" s="313"/>
      <c r="Y3" s="313"/>
      <c r="Z3" s="313"/>
      <c r="AA3" s="313"/>
      <c r="AB3" s="313"/>
      <c r="AC3" s="313"/>
      <c r="AD3" s="314"/>
    </row>
    <row r="4" spans="1:30" ht="34.9" customHeight="1" x14ac:dyDescent="0.4">
      <c r="A4" s="2532" t="s">
        <v>42</v>
      </c>
      <c r="B4" s="2532"/>
      <c r="C4" s="2533" t="s">
        <v>402</v>
      </c>
      <c r="D4" s="2534"/>
      <c r="E4" s="2534"/>
      <c r="F4" s="2534"/>
      <c r="G4" s="2534"/>
      <c r="H4" s="2534"/>
      <c r="I4" s="2534"/>
      <c r="J4" s="2534"/>
      <c r="K4" s="2534"/>
      <c r="L4" s="2534"/>
      <c r="M4" s="2534"/>
      <c r="N4" s="2534"/>
      <c r="O4" s="2534"/>
      <c r="P4" s="2534"/>
      <c r="Q4" s="2534"/>
      <c r="R4" s="2534"/>
      <c r="S4" s="2535"/>
      <c r="T4" s="315"/>
      <c r="U4" s="315"/>
      <c r="V4" s="315"/>
      <c r="W4" s="315"/>
      <c r="X4" s="315"/>
      <c r="Y4" s="315"/>
      <c r="Z4" s="315"/>
      <c r="AA4" s="315"/>
      <c r="AB4" s="315"/>
      <c r="AC4" s="315"/>
      <c r="AD4" s="316"/>
    </row>
    <row r="5" spans="1:30" x14ac:dyDescent="0.4">
      <c r="A5" s="2532" t="s">
        <v>43</v>
      </c>
      <c r="B5" s="2532"/>
      <c r="C5" s="2533" t="s">
        <v>404</v>
      </c>
      <c r="D5" s="2534"/>
      <c r="E5" s="2534"/>
      <c r="F5" s="2534"/>
      <c r="G5" s="2534"/>
      <c r="H5" s="2534"/>
      <c r="I5" s="2534"/>
      <c r="J5" s="2534"/>
      <c r="K5" s="2534"/>
      <c r="L5" s="2534"/>
      <c r="M5" s="2534"/>
      <c r="N5" s="2534"/>
      <c r="O5" s="2534"/>
      <c r="P5" s="2534"/>
      <c r="Q5" s="2534"/>
      <c r="R5" s="2534"/>
      <c r="S5" s="2535"/>
      <c r="T5" s="317"/>
      <c r="U5" s="317"/>
      <c r="V5" s="317"/>
      <c r="W5" s="318"/>
      <c r="X5" s="318"/>
      <c r="Y5" s="318"/>
      <c r="Z5" s="318"/>
      <c r="AA5" s="318"/>
      <c r="AB5" s="318"/>
      <c r="AC5" s="318"/>
      <c r="AD5" s="319"/>
    </row>
    <row r="6" spans="1:30" ht="31.9" customHeight="1" x14ac:dyDescent="0.4">
      <c r="A6" s="2532" t="s">
        <v>132</v>
      </c>
      <c r="B6" s="2532"/>
      <c r="C6" s="2533" t="s">
        <v>524</v>
      </c>
      <c r="D6" s="2534"/>
      <c r="E6" s="2534"/>
      <c r="F6" s="2534"/>
      <c r="G6" s="2534"/>
      <c r="H6" s="2534"/>
      <c r="I6" s="2534"/>
      <c r="J6" s="2534"/>
      <c r="K6" s="2534"/>
      <c r="L6" s="2534"/>
      <c r="M6" s="2534"/>
      <c r="N6" s="2534"/>
      <c r="O6" s="2534"/>
      <c r="P6" s="2534"/>
      <c r="Q6" s="2534"/>
      <c r="R6" s="2534"/>
      <c r="S6" s="2535"/>
      <c r="T6" s="317"/>
      <c r="U6" s="317"/>
      <c r="V6" s="317"/>
      <c r="W6" s="318"/>
      <c r="X6" s="318"/>
      <c r="Y6" s="318"/>
      <c r="Z6" s="318"/>
      <c r="AA6" s="318"/>
      <c r="AB6" s="318"/>
      <c r="AC6" s="318"/>
      <c r="AD6" s="319"/>
    </row>
    <row r="9" spans="1:30" ht="16.149999999999999" customHeight="1" x14ac:dyDescent="0.4">
      <c r="C9" s="320" t="s">
        <v>525</v>
      </c>
      <c r="D9" s="321"/>
      <c r="E9" s="321"/>
      <c r="F9" s="321"/>
    </row>
    <row r="10" spans="1:30" ht="16.149999999999999" customHeight="1" x14ac:dyDescent="0.4">
      <c r="C10" s="322"/>
      <c r="D10" s="322"/>
      <c r="E10" s="322"/>
      <c r="F10" s="322"/>
    </row>
    <row r="11" spans="1:30" x14ac:dyDescent="0.4">
      <c r="C11" s="2536" t="s">
        <v>526</v>
      </c>
      <c r="D11" s="2536"/>
      <c r="E11" s="2539" t="s">
        <v>527</v>
      </c>
      <c r="F11" s="2539"/>
    </row>
    <row r="12" spans="1:30" x14ac:dyDescent="0.4">
      <c r="C12" s="2537"/>
      <c r="D12" s="2537"/>
      <c r="E12" s="323" t="s">
        <v>528</v>
      </c>
      <c r="F12" s="324" t="s">
        <v>529</v>
      </c>
    </row>
    <row r="13" spans="1:30" x14ac:dyDescent="0.4">
      <c r="C13" s="2538"/>
      <c r="D13" s="2538"/>
      <c r="E13" s="325" t="s">
        <v>530</v>
      </c>
      <c r="F13" s="326" t="s">
        <v>531</v>
      </c>
    </row>
    <row r="14" spans="1:30" x14ac:dyDescent="0.4">
      <c r="C14" s="2540" t="s">
        <v>47</v>
      </c>
      <c r="D14" s="2540"/>
      <c r="E14" s="327">
        <v>9.0159548596610346</v>
      </c>
      <c r="F14" s="327">
        <v>0.90548030624407094</v>
      </c>
    </row>
    <row r="15" spans="1:30" x14ac:dyDescent="0.4">
      <c r="C15" s="2526" t="s">
        <v>53</v>
      </c>
      <c r="D15" s="2526"/>
      <c r="E15" s="327">
        <v>10.326762510248427</v>
      </c>
      <c r="F15" s="327">
        <v>0.84900674269798537</v>
      </c>
    </row>
    <row r="16" spans="1:30" x14ac:dyDescent="0.4">
      <c r="C16" s="2526" t="s">
        <v>54</v>
      </c>
      <c r="D16" s="2526"/>
      <c r="E16" s="327">
        <v>7.5750069887894931</v>
      </c>
      <c r="F16" s="327">
        <v>0.96756070462730548</v>
      </c>
    </row>
    <row r="17" spans="3:6" x14ac:dyDescent="0.4">
      <c r="C17" s="2528" t="s">
        <v>49</v>
      </c>
      <c r="D17" s="2528"/>
      <c r="E17" s="327"/>
      <c r="F17" s="327"/>
    </row>
    <row r="18" spans="3:6" x14ac:dyDescent="0.4">
      <c r="C18" s="2526" t="s">
        <v>532</v>
      </c>
      <c r="D18" s="2526"/>
      <c r="E18" s="327">
        <v>10.457562961191181</v>
      </c>
      <c r="F18" s="327">
        <v>0.96766801006796721</v>
      </c>
    </row>
    <row r="19" spans="3:6" x14ac:dyDescent="0.4">
      <c r="C19" s="2526" t="s">
        <v>56</v>
      </c>
      <c r="D19" s="2526"/>
      <c r="E19" s="327">
        <v>5.9225352030040828</v>
      </c>
      <c r="F19" s="327">
        <v>0.77203719836543339</v>
      </c>
    </row>
    <row r="20" spans="3:6" x14ac:dyDescent="0.4">
      <c r="C20" s="2528" t="s">
        <v>327</v>
      </c>
      <c r="D20" s="2528"/>
      <c r="E20" s="327"/>
      <c r="F20" s="327"/>
    </row>
    <row r="21" spans="3:6" x14ac:dyDescent="0.4">
      <c r="C21" s="2526" t="s">
        <v>328</v>
      </c>
      <c r="D21" s="2526"/>
      <c r="E21" s="327">
        <v>15.96511418301238</v>
      </c>
      <c r="F21" s="327">
        <v>1.6322224427782801</v>
      </c>
    </row>
    <row r="22" spans="3:6" x14ac:dyDescent="0.4">
      <c r="C22" s="2526" t="s">
        <v>329</v>
      </c>
      <c r="D22" s="2526"/>
      <c r="E22" s="327">
        <v>7.2786019387954699</v>
      </c>
      <c r="F22" s="327">
        <v>0.75233838979109824</v>
      </c>
    </row>
    <row r="23" spans="3:6" x14ac:dyDescent="0.4">
      <c r="C23" s="2526" t="s">
        <v>330</v>
      </c>
      <c r="D23" s="2526"/>
      <c r="E23" s="327">
        <v>7.9157224180983725</v>
      </c>
      <c r="F23" s="327">
        <v>1.6069928739425423</v>
      </c>
    </row>
    <row r="24" spans="3:6" x14ac:dyDescent="0.4">
      <c r="C24" s="2526" t="s">
        <v>331</v>
      </c>
      <c r="D24" s="2526"/>
      <c r="E24" s="327">
        <v>3.5434429855537926</v>
      </c>
      <c r="F24" s="327">
        <v>0</v>
      </c>
    </row>
    <row r="25" spans="3:6" x14ac:dyDescent="0.4">
      <c r="C25" s="2526" t="s">
        <v>332</v>
      </c>
      <c r="D25" s="2526"/>
      <c r="E25" s="327">
        <v>2.3697772080027266</v>
      </c>
      <c r="F25" s="327">
        <v>0.55841015815317119</v>
      </c>
    </row>
    <row r="26" spans="3:6" x14ac:dyDescent="0.4">
      <c r="C26" s="2526" t="s">
        <v>533</v>
      </c>
      <c r="D26" s="2526"/>
      <c r="E26" s="327">
        <v>8.6801397344187627</v>
      </c>
      <c r="F26" s="327">
        <v>0.45434781507512539</v>
      </c>
    </row>
    <row r="27" spans="3:6" x14ac:dyDescent="0.4">
      <c r="C27" s="2526" t="s">
        <v>334</v>
      </c>
      <c r="D27" s="2526"/>
      <c r="E27" s="327">
        <v>6.2510512573483519</v>
      </c>
      <c r="F27" s="327">
        <v>0.25383629399810526</v>
      </c>
    </row>
    <row r="28" spans="3:6" x14ac:dyDescent="0.4">
      <c r="C28" s="2528" t="s">
        <v>534</v>
      </c>
      <c r="D28" s="2528"/>
      <c r="E28" s="327"/>
      <c r="F28" s="327"/>
    </row>
    <row r="29" spans="3:6" x14ac:dyDescent="0.4">
      <c r="C29" s="2530" t="s">
        <v>535</v>
      </c>
      <c r="D29" s="2530"/>
      <c r="E29" s="327">
        <v>8.1884909641693326</v>
      </c>
      <c r="F29" s="327">
        <v>1.6727969059925476</v>
      </c>
    </row>
    <row r="30" spans="3:6" x14ac:dyDescent="0.4">
      <c r="C30" s="2530" t="s">
        <v>536</v>
      </c>
      <c r="D30" s="2530"/>
      <c r="E30" s="327">
        <v>2.5791225445911787</v>
      </c>
      <c r="F30" s="327">
        <v>0.14058389985858949</v>
      </c>
    </row>
    <row r="31" spans="3:6" x14ac:dyDescent="0.4">
      <c r="C31" s="2531" t="s">
        <v>537</v>
      </c>
      <c r="D31" s="2531"/>
      <c r="E31" s="327">
        <v>10.059547111729712</v>
      </c>
      <c r="F31" s="327">
        <v>2.4122649919658739</v>
      </c>
    </row>
    <row r="32" spans="3:6" x14ac:dyDescent="0.4">
      <c r="C32" s="2526" t="s">
        <v>538</v>
      </c>
      <c r="D32" s="2526"/>
      <c r="E32" s="327">
        <v>18.175747062610956</v>
      </c>
      <c r="F32" s="327">
        <v>0.7147451155821507</v>
      </c>
    </row>
    <row r="33" spans="3:6" x14ac:dyDescent="0.4">
      <c r="C33" s="2526" t="s">
        <v>539</v>
      </c>
      <c r="D33" s="2526"/>
      <c r="E33" s="327">
        <v>8.0424893720292907</v>
      </c>
      <c r="F33" s="327">
        <v>0.76822950233867948</v>
      </c>
    </row>
    <row r="34" spans="3:6" x14ac:dyDescent="0.4">
      <c r="C34" s="2526" t="s">
        <v>540</v>
      </c>
      <c r="D34" s="2526"/>
      <c r="E34" s="327">
        <v>11.835331737381019</v>
      </c>
      <c r="F34" s="327">
        <v>0.55737492102244257</v>
      </c>
    </row>
    <row r="35" spans="3:6" x14ac:dyDescent="0.4">
      <c r="C35" s="2526" t="s">
        <v>541</v>
      </c>
      <c r="D35" s="2526"/>
      <c r="E35" s="327">
        <v>4.768617763100063</v>
      </c>
      <c r="F35" s="327">
        <v>0.69538911921320623</v>
      </c>
    </row>
    <row r="36" spans="3:6" x14ac:dyDescent="0.4">
      <c r="C36" s="2528" t="s">
        <v>542</v>
      </c>
      <c r="D36" s="2528"/>
      <c r="E36" s="327"/>
      <c r="F36" s="328"/>
    </row>
    <row r="37" spans="3:6" ht="27" customHeight="1" x14ac:dyDescent="0.4">
      <c r="C37" s="2526" t="s">
        <v>543</v>
      </c>
      <c r="D37" s="2526"/>
      <c r="E37" s="329">
        <v>8.469521100095637</v>
      </c>
      <c r="F37" s="329">
        <v>0</v>
      </c>
    </row>
    <row r="38" spans="3:6" x14ac:dyDescent="0.4">
      <c r="C38" s="2526" t="s">
        <v>544</v>
      </c>
      <c r="D38" s="2526"/>
      <c r="E38" s="327">
        <v>8.5910299584788827</v>
      </c>
      <c r="F38" s="327">
        <v>0.82490757992291541</v>
      </c>
    </row>
    <row r="39" spans="3:6" x14ac:dyDescent="0.4">
      <c r="C39" s="2526" t="s">
        <v>545</v>
      </c>
      <c r="D39" s="2526"/>
      <c r="E39" s="327">
        <v>9.7423194604758176</v>
      </c>
      <c r="F39" s="327">
        <v>1.1351847399756354</v>
      </c>
    </row>
    <row r="40" spans="3:6" x14ac:dyDescent="0.4">
      <c r="C40" s="2526" t="s">
        <v>546</v>
      </c>
      <c r="D40" s="2526"/>
      <c r="E40" s="327">
        <v>7.9136762966910359</v>
      </c>
      <c r="F40" s="327">
        <v>0.55540682607611347</v>
      </c>
    </row>
    <row r="41" spans="3:6" x14ac:dyDescent="0.4">
      <c r="C41" s="2526" t="s">
        <v>547</v>
      </c>
      <c r="D41" s="2526"/>
      <c r="E41" s="328" t="s">
        <v>548</v>
      </c>
      <c r="F41" s="328" t="s">
        <v>548</v>
      </c>
    </row>
    <row r="42" spans="3:6" x14ac:dyDescent="0.4">
      <c r="C42" s="2528" t="s">
        <v>549</v>
      </c>
      <c r="D42" s="2528"/>
      <c r="E42" s="327"/>
      <c r="F42" s="327"/>
    </row>
    <row r="43" spans="3:6" x14ac:dyDescent="0.4">
      <c r="C43" s="2526" t="s">
        <v>550</v>
      </c>
      <c r="D43" s="2526"/>
      <c r="E43" s="327">
        <v>6.1744605545011417</v>
      </c>
      <c r="F43" s="327">
        <v>0.66808799165913413</v>
      </c>
    </row>
    <row r="44" spans="3:6" x14ac:dyDescent="0.4">
      <c r="C44" s="2526" t="s">
        <v>551</v>
      </c>
      <c r="D44" s="2526"/>
      <c r="E44" s="327">
        <v>9.6261607452002522</v>
      </c>
      <c r="F44" s="327">
        <v>0.85551363026771765</v>
      </c>
    </row>
    <row r="45" spans="3:6" x14ac:dyDescent="0.4">
      <c r="C45" s="2526" t="s">
        <v>552</v>
      </c>
      <c r="D45" s="2526"/>
      <c r="E45" s="327">
        <v>9.0310445524749134</v>
      </c>
      <c r="F45" s="327">
        <v>1.6088580937952222</v>
      </c>
    </row>
    <row r="46" spans="3:6" x14ac:dyDescent="0.4">
      <c r="C46" s="2526" t="s">
        <v>553</v>
      </c>
      <c r="D46" s="2526"/>
      <c r="E46" s="329">
        <v>0</v>
      </c>
      <c r="F46" s="329">
        <v>0</v>
      </c>
    </row>
    <row r="47" spans="3:6" ht="28.15" customHeight="1" x14ac:dyDescent="0.4">
      <c r="C47" s="2527" t="s">
        <v>554</v>
      </c>
      <c r="D47" s="2527"/>
      <c r="E47" s="327"/>
      <c r="F47" s="327"/>
    </row>
    <row r="48" spans="3:6" x14ac:dyDescent="0.4">
      <c r="C48" s="2526" t="s">
        <v>555</v>
      </c>
      <c r="D48" s="2526"/>
      <c r="E48" s="327">
        <v>9.8417617703741023</v>
      </c>
      <c r="F48" s="327">
        <v>1.2588892178220936</v>
      </c>
    </row>
    <row r="49" spans="3:6" x14ac:dyDescent="0.4">
      <c r="C49" s="2526" t="s">
        <v>556</v>
      </c>
      <c r="D49" s="2526"/>
      <c r="E49" s="327">
        <v>9.1155483112611115</v>
      </c>
      <c r="F49" s="327">
        <v>0.88282085184314296</v>
      </c>
    </row>
    <row r="50" spans="3:6" x14ac:dyDescent="0.4">
      <c r="C50" s="2526" t="s">
        <v>557</v>
      </c>
      <c r="D50" s="2526"/>
      <c r="E50" s="327">
        <v>3.7750547155221623</v>
      </c>
      <c r="F50" s="327">
        <v>0.54146448295216443</v>
      </c>
    </row>
    <row r="51" spans="3:6" x14ac:dyDescent="0.4">
      <c r="C51" s="2528" t="s">
        <v>558</v>
      </c>
      <c r="D51" s="2528"/>
      <c r="E51" s="327"/>
      <c r="F51" s="328"/>
    </row>
    <row r="52" spans="3:6" x14ac:dyDescent="0.4">
      <c r="C52" s="2526" t="s">
        <v>559</v>
      </c>
      <c r="D52" s="2526"/>
      <c r="E52" s="327">
        <v>9.0849692703267539</v>
      </c>
      <c r="F52" s="327">
        <v>1.2887138185325639</v>
      </c>
    </row>
    <row r="53" spans="3:6" x14ac:dyDescent="0.4">
      <c r="C53" s="2526" t="s">
        <v>560</v>
      </c>
      <c r="D53" s="2526"/>
      <c r="E53" s="327">
        <v>8.2987128113912334</v>
      </c>
      <c r="F53" s="327">
        <v>0.85798353153339302</v>
      </c>
    </row>
    <row r="54" spans="3:6" x14ac:dyDescent="0.4">
      <c r="C54" s="2526" t="s">
        <v>561</v>
      </c>
      <c r="D54" s="2526"/>
      <c r="E54" s="327">
        <v>6.7685496046427156</v>
      </c>
      <c r="F54" s="327">
        <v>0.50974656608908486</v>
      </c>
    </row>
    <row r="55" spans="3:6" x14ac:dyDescent="0.4">
      <c r="C55" s="2526" t="s">
        <v>562</v>
      </c>
      <c r="D55" s="2526"/>
      <c r="E55" s="327">
        <v>8.7065556894783249</v>
      </c>
      <c r="F55" s="327">
        <v>0.72155684338841208</v>
      </c>
    </row>
    <row r="56" spans="3:6" x14ac:dyDescent="0.4">
      <c r="C56" s="2529" t="s">
        <v>563</v>
      </c>
      <c r="D56" s="2529"/>
      <c r="E56" s="330">
        <v>13.549888123221136</v>
      </c>
      <c r="F56" s="331">
        <v>0.95747348378862707</v>
      </c>
    </row>
    <row r="57" spans="3:6" x14ac:dyDescent="0.4">
      <c r="C57" s="2525" t="s">
        <v>564</v>
      </c>
      <c r="D57" s="2525"/>
      <c r="E57" s="2525"/>
      <c r="F57" s="2525"/>
    </row>
  </sheetData>
  <mergeCells count="55">
    <mergeCell ref="A5:B5"/>
    <mergeCell ref="C5:S5"/>
    <mergeCell ref="C1:D1"/>
    <mergeCell ref="A3:B3"/>
    <mergeCell ref="C3:S3"/>
    <mergeCell ref="A4:B4"/>
    <mergeCell ref="C4:S4"/>
    <mergeCell ref="C21:D21"/>
    <mergeCell ref="A6:B6"/>
    <mergeCell ref="C6:S6"/>
    <mergeCell ref="C11:D13"/>
    <mergeCell ref="E11:F11"/>
    <mergeCell ref="C14:D14"/>
    <mergeCell ref="C15:D15"/>
    <mergeCell ref="C16:D16"/>
    <mergeCell ref="C17:D17"/>
    <mergeCell ref="C18:D18"/>
    <mergeCell ref="C19:D19"/>
    <mergeCell ref="C20:D20"/>
    <mergeCell ref="C33:D33"/>
    <mergeCell ref="C22:D22"/>
    <mergeCell ref="C23:D23"/>
    <mergeCell ref="C24:D24"/>
    <mergeCell ref="C25:D25"/>
    <mergeCell ref="C26:D26"/>
    <mergeCell ref="C27:D27"/>
    <mergeCell ref="C28:D28"/>
    <mergeCell ref="C29:D29"/>
    <mergeCell ref="C30:D30"/>
    <mergeCell ref="C31:D31"/>
    <mergeCell ref="C32:D32"/>
    <mergeCell ref="C45:D45"/>
    <mergeCell ref="C34:D34"/>
    <mergeCell ref="C35:D35"/>
    <mergeCell ref="C36:D36"/>
    <mergeCell ref="C37:D37"/>
    <mergeCell ref="C38:D38"/>
    <mergeCell ref="C39:D39"/>
    <mergeCell ref="C40:D40"/>
    <mergeCell ref="C41:D41"/>
    <mergeCell ref="C42:D42"/>
    <mergeCell ref="C43:D43"/>
    <mergeCell ref="C44:D44"/>
    <mergeCell ref="C57:F57"/>
    <mergeCell ref="C46:D46"/>
    <mergeCell ref="C47:D47"/>
    <mergeCell ref="C48:D48"/>
    <mergeCell ref="C49:D49"/>
    <mergeCell ref="C50:D50"/>
    <mergeCell ref="C51:D51"/>
    <mergeCell ref="C52:D52"/>
    <mergeCell ref="C53:D53"/>
    <mergeCell ref="C54:D54"/>
    <mergeCell ref="C55:D55"/>
    <mergeCell ref="C56:D56"/>
  </mergeCells>
  <hyperlinks>
    <hyperlink ref="A1" location="'ODS 2.'!A1" display="REGRESAR" xr:uid="{0B831BB4-E210-46F8-8912-1D6EC85CEE51}"/>
    <hyperlink ref="C1" location="'Metadato 2.2.1'!A1" display="VER METADATO" xr:uid="{F08EFB67-B303-44BA-8B44-FF3881B074A3}"/>
  </hyperlinks>
  <pageMargins left="0.7" right="0.7" top="0.75" bottom="0.75" header="0.3" footer="0.3"/>
  <pageSetup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DF2E-E7D1-4902-83F2-13D5DAFE9572}">
  <sheetPr>
    <tabColor theme="0" tint="-0.499984740745262"/>
  </sheetPr>
  <dimension ref="C1:G36"/>
  <sheetViews>
    <sheetView showGridLines="0" zoomScaleNormal="100" workbookViewId="0">
      <pane ySplit="1" topLeftCell="A2" activePane="bottomLeft" state="frozen"/>
      <selection activeCell="B12" sqref="B12"/>
      <selection pane="bottomLeft" activeCell="L15" sqref="L15"/>
    </sheetView>
  </sheetViews>
  <sheetFormatPr baseColWidth="10" defaultColWidth="11.42578125" defaultRowHeight="18.75" x14ac:dyDescent="0.4"/>
  <cols>
    <col min="1" max="1" width="3.7109375" style="115" customWidth="1"/>
    <col min="2" max="2" width="11.42578125" style="115"/>
    <col min="3" max="3" width="26.42578125" style="115" customWidth="1"/>
    <col min="4" max="4" width="24" style="115" customWidth="1"/>
    <col min="5" max="5" width="85.7109375" style="115" customWidth="1"/>
    <col min="6" max="6" width="11.42578125" style="115"/>
    <col min="7" max="7" width="7.28515625" style="115" customWidth="1"/>
    <col min="8" max="16384" width="11.42578125" style="115"/>
  </cols>
  <sheetData>
    <row r="1" spans="3:7" x14ac:dyDescent="0.4">
      <c r="C1" s="158" t="s">
        <v>39</v>
      </c>
    </row>
    <row r="2" spans="3:7" ht="19.5" thickBot="1" x14ac:dyDescent="0.45"/>
    <row r="3" spans="3:7" ht="23.25" customHeight="1" thickBot="1" x14ac:dyDescent="0.45">
      <c r="C3" s="3270" t="s">
        <v>75</v>
      </c>
      <c r="D3" s="3270"/>
      <c r="E3" s="3270"/>
      <c r="G3" s="1046" t="s">
        <v>244</v>
      </c>
    </row>
    <row r="4" spans="3:7" ht="37.5" x14ac:dyDescent="0.4">
      <c r="C4" s="2446" t="s">
        <v>77</v>
      </c>
      <c r="D4" s="2446"/>
      <c r="E4" s="49" t="s">
        <v>5921</v>
      </c>
    </row>
    <row r="5" spans="3:7" ht="37.5" x14ac:dyDescent="0.4">
      <c r="C5" s="2446" t="s">
        <v>79</v>
      </c>
      <c r="D5" s="2446"/>
      <c r="E5" s="49" t="s">
        <v>5893</v>
      </c>
    </row>
    <row r="6" spans="3:7" x14ac:dyDescent="0.4">
      <c r="C6" s="2445" t="s">
        <v>80</v>
      </c>
      <c r="D6" s="2445"/>
      <c r="E6" s="50" t="s">
        <v>5894</v>
      </c>
    </row>
    <row r="7" spans="3:7" ht="37.5" x14ac:dyDescent="0.4">
      <c r="C7" s="2446" t="s">
        <v>81</v>
      </c>
      <c r="D7" s="2446"/>
      <c r="E7" s="49" t="s">
        <v>5895</v>
      </c>
    </row>
    <row r="8" spans="3:7" x14ac:dyDescent="0.4">
      <c r="C8" s="2446" t="s">
        <v>82</v>
      </c>
      <c r="D8" s="2446"/>
      <c r="E8" s="1047" t="s">
        <v>6042</v>
      </c>
    </row>
    <row r="10" spans="3:7" ht="23.25" customHeight="1" x14ac:dyDescent="0.4">
      <c r="C10" s="3270" t="s">
        <v>85</v>
      </c>
      <c r="D10" s="3270"/>
      <c r="E10" s="3270"/>
    </row>
    <row r="11" spans="3:7" x14ac:dyDescent="0.4">
      <c r="C11" s="2487" t="s">
        <v>86</v>
      </c>
      <c r="D11" s="2456"/>
      <c r="E11" s="49" t="s">
        <v>6043</v>
      </c>
    </row>
    <row r="12" spans="3:7" ht="15" customHeight="1" x14ac:dyDescent="0.4">
      <c r="C12" s="2446" t="s">
        <v>88</v>
      </c>
      <c r="D12" s="2446"/>
      <c r="E12" s="184" t="s">
        <v>6044</v>
      </c>
    </row>
    <row r="13" spans="3:7" x14ac:dyDescent="0.4">
      <c r="C13" s="2445" t="s">
        <v>90</v>
      </c>
      <c r="D13" s="2445"/>
      <c r="E13" s="54" t="s">
        <v>6045</v>
      </c>
    </row>
    <row r="14" spans="3:7" x14ac:dyDescent="0.4">
      <c r="C14" s="2445" t="s">
        <v>91</v>
      </c>
      <c r="D14" s="2456"/>
      <c r="E14" s="54" t="s">
        <v>92</v>
      </c>
    </row>
    <row r="15" spans="3:7" ht="232.5" customHeight="1" x14ac:dyDescent="0.4">
      <c r="C15" s="2445" t="s">
        <v>93</v>
      </c>
      <c r="D15" s="2445"/>
      <c r="E15" s="49" t="s">
        <v>6046</v>
      </c>
    </row>
    <row r="16" spans="3:7" ht="168.75" x14ac:dyDescent="0.4">
      <c r="C16" s="2445" t="s">
        <v>95</v>
      </c>
      <c r="D16" s="2445"/>
      <c r="E16" s="49" t="s">
        <v>6047</v>
      </c>
    </row>
    <row r="17" spans="3:5" x14ac:dyDescent="0.4">
      <c r="C17" s="2445" t="s">
        <v>97</v>
      </c>
      <c r="D17" s="2445"/>
      <c r="E17" s="55" t="s">
        <v>6022</v>
      </c>
    </row>
    <row r="18" spans="3:5" ht="75" x14ac:dyDescent="0.4">
      <c r="C18" s="2446" t="s">
        <v>99</v>
      </c>
      <c r="D18" s="2446"/>
      <c r="E18" s="55" t="s">
        <v>6048</v>
      </c>
    </row>
    <row r="19" spans="3:5" ht="45.75" customHeight="1" x14ac:dyDescent="0.4">
      <c r="C19" s="2457" t="s">
        <v>100</v>
      </c>
      <c r="D19" s="2458"/>
      <c r="E19" s="55" t="s">
        <v>6049</v>
      </c>
    </row>
    <row r="20" spans="3:5" x14ac:dyDescent="0.4">
      <c r="C20" s="2445" t="s">
        <v>102</v>
      </c>
      <c r="D20" s="2445"/>
      <c r="E20" s="49" t="s">
        <v>1521</v>
      </c>
    </row>
    <row r="21" spans="3:5" x14ac:dyDescent="0.4">
      <c r="C21" s="2451" t="s">
        <v>104</v>
      </c>
      <c r="D21" s="95" t="s">
        <v>105</v>
      </c>
      <c r="E21" s="49" t="s">
        <v>6050</v>
      </c>
    </row>
    <row r="22" spans="3:5" ht="56.25" x14ac:dyDescent="0.4">
      <c r="C22" s="2452"/>
      <c r="D22" s="96" t="s">
        <v>107</v>
      </c>
      <c r="E22" s="55" t="s">
        <v>6051</v>
      </c>
    </row>
    <row r="23" spans="3:5" x14ac:dyDescent="0.4">
      <c r="C23" s="2445" t="s">
        <v>109</v>
      </c>
      <c r="D23" s="2445"/>
      <c r="E23" s="49" t="s">
        <v>143</v>
      </c>
    </row>
    <row r="24" spans="3:5" x14ac:dyDescent="0.4">
      <c r="C24" s="2445" t="s">
        <v>111</v>
      </c>
      <c r="D24" s="2445"/>
      <c r="E24" s="50" t="s">
        <v>6052</v>
      </c>
    </row>
    <row r="25" spans="3:5" x14ac:dyDescent="0.4">
      <c r="C25" s="2445" t="s">
        <v>113</v>
      </c>
      <c r="D25" s="2445"/>
      <c r="E25" s="55" t="s">
        <v>220</v>
      </c>
    </row>
    <row r="26" spans="3:5" ht="15" customHeight="1" x14ac:dyDescent="0.4">
      <c r="C26" s="2446" t="s">
        <v>115</v>
      </c>
      <c r="D26" s="2446"/>
      <c r="E26" s="49" t="s">
        <v>6053</v>
      </c>
    </row>
    <row r="27" spans="3:5" ht="409.5" x14ac:dyDescent="0.4">
      <c r="C27" s="2447" t="s">
        <v>117</v>
      </c>
      <c r="D27" s="2448"/>
      <c r="E27" s="49" t="s">
        <v>6054</v>
      </c>
    </row>
    <row r="28" spans="3:5" ht="37.5" x14ac:dyDescent="0.4">
      <c r="C28" s="97" t="s">
        <v>118</v>
      </c>
      <c r="D28" s="98"/>
      <c r="E28" s="55" t="s">
        <v>6055</v>
      </c>
    </row>
    <row r="29" spans="3:5" x14ac:dyDescent="0.4">
      <c r="C29" s="2449" t="s">
        <v>120</v>
      </c>
      <c r="D29" s="2450"/>
      <c r="E29" s="62"/>
    </row>
    <row r="30" spans="3:5" x14ac:dyDescent="0.4">
      <c r="C30" s="63"/>
      <c r="D30" s="63"/>
      <c r="E30" s="64"/>
    </row>
    <row r="31" spans="3:5" ht="23.25" customHeight="1" x14ac:dyDescent="0.4">
      <c r="C31" s="3270" t="s">
        <v>121</v>
      </c>
      <c r="D31" s="3270"/>
      <c r="E31" s="3270"/>
    </row>
    <row r="32" spans="3:5" x14ac:dyDescent="0.4">
      <c r="C32" s="2447" t="s">
        <v>122</v>
      </c>
      <c r="D32" s="2448"/>
      <c r="E32" s="55" t="s">
        <v>6056</v>
      </c>
    </row>
    <row r="33" spans="3:5" x14ac:dyDescent="0.4">
      <c r="C33" s="2447" t="s">
        <v>124</v>
      </c>
      <c r="D33" s="2448"/>
      <c r="E33" s="55" t="s">
        <v>6057</v>
      </c>
    </row>
    <row r="34" spans="3:5" x14ac:dyDescent="0.4">
      <c r="C34" s="2447" t="s">
        <v>126</v>
      </c>
      <c r="D34" s="2448"/>
      <c r="E34" s="55" t="s">
        <v>6058</v>
      </c>
    </row>
    <row r="35" spans="3:5" x14ac:dyDescent="0.4">
      <c r="C35" s="2447" t="s">
        <v>128</v>
      </c>
      <c r="D35" s="2448"/>
      <c r="E35" s="55" t="s">
        <v>6059</v>
      </c>
    </row>
    <row r="36" spans="3:5" x14ac:dyDescent="0.4">
      <c r="C36" s="2447" t="s">
        <v>130</v>
      </c>
      <c r="D36" s="2448"/>
      <c r="E36" s="247" t="s">
        <v>6060</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E64BA0E5-1C54-4DFA-9914-2302EE76D7B5}">
      <formula1>Tipo_operación</formula1>
    </dataValidation>
    <dataValidation type="list" allowBlank="1" showInputMessage="1" showErrorMessage="1" sqref="E14" xr:uid="{870767D7-C385-4FC2-B9F5-AEC9368D1B80}">
      <formula1>Tipo_indicador</formula1>
    </dataValidation>
    <dataValidation type="list" allowBlank="1" showInputMessage="1" showErrorMessage="1" sqref="E7" xr:uid="{618FD7F0-9C0A-4FF6-A60E-5C95CEEA9101}">
      <formula1>Nombre_indicador_ODS</formula1>
    </dataValidation>
    <dataValidation type="list" allowBlank="1" showInputMessage="1" showErrorMessage="1" sqref="E6" xr:uid="{9F3B1AF7-45AC-4E76-B4AF-2A390FA7D860}">
      <formula1>Numero_indicador</formula1>
    </dataValidation>
    <dataValidation type="list" allowBlank="1" showInputMessage="1" showErrorMessage="1" sqref="E5" xr:uid="{FE6C0F44-35D0-4822-A9B0-1A7514F508D9}">
      <formula1>Metas_ODS</formula1>
    </dataValidation>
    <dataValidation type="list" allowBlank="1" showInputMessage="1" showErrorMessage="1" sqref="E4" xr:uid="{76D0854E-6993-46A3-B1D6-0FF13FBF6A86}">
      <formula1>ODS</formula1>
    </dataValidation>
    <dataValidation allowBlank="1" showDropDown="1" showInputMessage="1" showErrorMessage="1" sqref="E13" xr:uid="{DEC7D45F-A2E2-4EB6-BAB6-FCEDFA3B22AD}"/>
  </dataValidations>
  <hyperlinks>
    <hyperlink ref="C1" location="'11.6.1'!A1" display="REGRESAR" xr:uid="{E37ADC4C-AEBC-46B8-A2D2-FFE6EBB9135C}"/>
    <hyperlink ref="E8" r:id="rId1" xr:uid="{98F9FE2B-C28F-435B-A803-8E684F077773}"/>
    <hyperlink ref="E36" r:id="rId2" xr:uid="{5CB5E516-A04A-432D-AB22-D284C977FD5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37B5-0C92-4526-8F06-B088B6D92CAC}">
  <dimension ref="A1:Z28"/>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5.28515625" style="1048" customWidth="1"/>
    <col min="3" max="3" width="6.5703125" style="115" customWidth="1"/>
    <col min="4" max="4" width="13" style="115" customWidth="1"/>
    <col min="5" max="5" width="9.42578125" style="115" customWidth="1"/>
    <col min="6" max="6" width="9.28515625" style="115" customWidth="1"/>
    <col min="7" max="7" width="7.42578125" style="115" customWidth="1"/>
    <col min="8" max="8" width="11.7109375" style="115" customWidth="1"/>
    <col min="9" max="9" width="10.7109375" style="115" customWidth="1"/>
    <col min="10" max="11" width="13" style="115" customWidth="1"/>
    <col min="12" max="12" width="9.28515625" style="115" customWidth="1"/>
    <col min="13" max="13" width="1.28515625" style="115" customWidth="1"/>
    <col min="14" max="15" width="9.7109375" style="115" customWidth="1"/>
    <col min="16" max="16" width="8.7109375" style="115" customWidth="1"/>
    <col min="17" max="17" width="9.28515625" style="115" customWidth="1"/>
    <col min="18" max="19" width="8.28515625" style="115" customWidth="1"/>
    <col min="20" max="20" width="2.28515625" style="115" customWidth="1"/>
    <col min="21" max="26" width="7.42578125" style="115" customWidth="1"/>
    <col min="27" max="27" width="3.28515625" style="115" customWidth="1"/>
    <col min="28" max="55" width="8.42578125" style="115" customWidth="1"/>
    <col min="56" max="56" width="2.5703125" style="115" customWidth="1"/>
    <col min="57" max="68" width="7.7109375" style="115" customWidth="1"/>
    <col min="69" max="69" width="2.42578125" style="115" customWidth="1"/>
    <col min="70" max="79" width="8.28515625" style="115" customWidth="1"/>
    <col min="80" max="80" width="3.28515625" style="115" customWidth="1"/>
    <col min="81" max="90" width="9" style="115" customWidth="1"/>
    <col min="91" max="16384" width="11.42578125" style="115"/>
  </cols>
  <sheetData>
    <row r="1" spans="1:26" x14ac:dyDescent="0.4">
      <c r="A1" s="158" t="s">
        <v>39</v>
      </c>
      <c r="C1" s="2492" t="s">
        <v>149</v>
      </c>
      <c r="D1" s="2492"/>
    </row>
    <row r="3" spans="1:26" x14ac:dyDescent="0.4">
      <c r="A3" s="3281" t="s">
        <v>41</v>
      </c>
      <c r="B3" s="3287"/>
      <c r="C3" s="3281" t="s">
        <v>5871</v>
      </c>
      <c r="D3" s="3288"/>
      <c r="E3" s="3288"/>
      <c r="F3" s="3288"/>
      <c r="G3" s="3288"/>
      <c r="H3" s="3288"/>
      <c r="I3" s="3288"/>
      <c r="J3" s="3288"/>
      <c r="K3" s="3288"/>
      <c r="L3" s="3288"/>
      <c r="M3" s="3288"/>
      <c r="N3" s="3288"/>
      <c r="O3" s="3288"/>
      <c r="P3" s="3288"/>
      <c r="Q3" s="3288"/>
      <c r="R3" s="3288"/>
      <c r="S3" s="3288"/>
      <c r="T3" s="3288"/>
      <c r="U3" s="3288"/>
      <c r="V3" s="3288"/>
      <c r="W3" s="3288"/>
      <c r="X3" s="3288"/>
      <c r="Y3" s="3288"/>
      <c r="Z3" s="3288"/>
    </row>
    <row r="4" spans="1:26" x14ac:dyDescent="0.4">
      <c r="A4" s="3281" t="s">
        <v>42</v>
      </c>
      <c r="B4" s="3282"/>
      <c r="C4" s="3281" t="s">
        <v>5893</v>
      </c>
      <c r="D4" s="3283"/>
      <c r="E4" s="3283"/>
      <c r="F4" s="3283"/>
      <c r="G4" s="3283"/>
      <c r="H4" s="3283"/>
      <c r="I4" s="3283"/>
      <c r="J4" s="3283"/>
      <c r="K4" s="3283"/>
      <c r="L4" s="3283"/>
      <c r="M4" s="3283"/>
      <c r="N4" s="3283"/>
      <c r="O4" s="3283"/>
      <c r="P4" s="3283"/>
      <c r="Q4" s="3283"/>
      <c r="R4" s="3283"/>
      <c r="S4" s="3283"/>
      <c r="T4" s="3283"/>
      <c r="U4" s="3283"/>
      <c r="V4" s="3283"/>
      <c r="W4" s="3283"/>
      <c r="X4" s="3283"/>
      <c r="Y4" s="3283"/>
      <c r="Z4" s="3283"/>
    </row>
    <row r="5" spans="1:26" x14ac:dyDescent="0.4">
      <c r="A5" s="3281" t="s">
        <v>43</v>
      </c>
      <c r="B5" s="3282"/>
      <c r="C5" s="3281" t="s">
        <v>5897</v>
      </c>
      <c r="D5" s="3283"/>
      <c r="E5" s="3283"/>
      <c r="F5" s="3283"/>
      <c r="G5" s="3283"/>
      <c r="H5" s="3283"/>
      <c r="I5" s="3283"/>
      <c r="J5" s="3283"/>
      <c r="K5" s="3283"/>
      <c r="L5" s="3283"/>
      <c r="M5" s="3283"/>
      <c r="N5" s="3283"/>
      <c r="O5" s="3283"/>
      <c r="P5" s="3283"/>
      <c r="Q5" s="3283"/>
      <c r="R5" s="3283"/>
      <c r="S5" s="3283"/>
      <c r="T5" s="3283"/>
      <c r="U5" s="3283"/>
      <c r="V5" s="3283"/>
      <c r="W5" s="3283"/>
      <c r="X5" s="3283"/>
      <c r="Y5" s="3283"/>
      <c r="Z5" s="3283"/>
    </row>
    <row r="6" spans="1:26" x14ac:dyDescent="0.4">
      <c r="A6" s="3281" t="s">
        <v>132</v>
      </c>
      <c r="B6" s="3282"/>
      <c r="C6" s="3281" t="s">
        <v>6061</v>
      </c>
      <c r="D6" s="3283"/>
      <c r="E6" s="3283"/>
      <c r="F6" s="3283"/>
      <c r="G6" s="3283"/>
      <c r="H6" s="3283"/>
      <c r="I6" s="3283"/>
      <c r="J6" s="3283"/>
      <c r="K6" s="3283"/>
      <c r="L6" s="3283"/>
      <c r="M6" s="3283"/>
      <c r="N6" s="3283"/>
      <c r="O6" s="3283"/>
      <c r="P6" s="3283"/>
      <c r="Q6" s="3283"/>
      <c r="R6" s="3283"/>
      <c r="S6" s="3283"/>
      <c r="T6" s="3283"/>
      <c r="U6" s="3283"/>
      <c r="V6" s="3283"/>
      <c r="W6" s="3283"/>
      <c r="X6" s="3283"/>
      <c r="Y6" s="3283"/>
      <c r="Z6" s="3283"/>
    </row>
    <row r="9" spans="1:26" x14ac:dyDescent="0.4">
      <c r="B9" s="115"/>
      <c r="C9" s="226" t="s">
        <v>6061</v>
      </c>
      <c r="D9" s="226"/>
      <c r="E9" s="226"/>
      <c r="F9" s="226"/>
      <c r="G9" s="226"/>
      <c r="H9" s="226"/>
      <c r="I9" s="226"/>
      <c r="J9" s="226"/>
      <c r="K9" s="226"/>
      <c r="L9" s="226"/>
      <c r="M9" s="226"/>
      <c r="N9" s="226"/>
      <c r="O9" s="226"/>
      <c r="P9" s="226"/>
      <c r="Q9" s="226"/>
    </row>
    <row r="10" spans="1:26" ht="10.9" customHeight="1" x14ac:dyDescent="0.4">
      <c r="B10" s="115"/>
      <c r="C10" s="655"/>
      <c r="D10" s="655"/>
      <c r="E10" s="655"/>
      <c r="F10" s="655"/>
      <c r="G10" s="655"/>
      <c r="H10" s="655"/>
      <c r="I10" s="655"/>
      <c r="J10" s="655"/>
      <c r="K10" s="655"/>
      <c r="L10" s="655"/>
      <c r="M10" s="655"/>
      <c r="N10" s="655"/>
      <c r="O10" s="655"/>
      <c r="P10" s="655"/>
      <c r="Q10" s="655"/>
    </row>
    <row r="11" spans="1:26" x14ac:dyDescent="0.4">
      <c r="B11" s="115"/>
      <c r="C11" s="3301" t="s">
        <v>6062</v>
      </c>
      <c r="D11" s="3296"/>
      <c r="E11" s="3296"/>
      <c r="F11" s="3296"/>
      <c r="G11" s="3296"/>
      <c r="H11" s="3296"/>
      <c r="I11" s="3296"/>
      <c r="J11" s="3296"/>
      <c r="K11" s="3296"/>
      <c r="L11" s="3296"/>
      <c r="M11" s="1732"/>
      <c r="N11" s="3268" t="s">
        <v>6063</v>
      </c>
      <c r="O11" s="3268"/>
      <c r="P11" s="3268"/>
      <c r="Q11" s="3268"/>
    </row>
    <row r="12" spans="1:26" x14ac:dyDescent="0.4">
      <c r="B12" s="115"/>
      <c r="C12" s="3302" t="s">
        <v>46</v>
      </c>
      <c r="D12" s="3300" t="s">
        <v>6064</v>
      </c>
      <c r="E12" s="3300" t="s">
        <v>6065</v>
      </c>
      <c r="F12" s="3300" t="s">
        <v>6066</v>
      </c>
      <c r="G12" s="3300" t="s">
        <v>6067</v>
      </c>
      <c r="H12" s="3300" t="s">
        <v>6068</v>
      </c>
      <c r="I12" s="3300" t="s">
        <v>6069</v>
      </c>
      <c r="J12" s="3300" t="s">
        <v>6070</v>
      </c>
      <c r="K12" s="3300" t="s">
        <v>6071</v>
      </c>
      <c r="L12" s="3300" t="s">
        <v>6072</v>
      </c>
      <c r="M12" s="3300"/>
      <c r="N12" s="3300" t="s">
        <v>6073</v>
      </c>
      <c r="O12" s="1733"/>
      <c r="P12" s="3300" t="s">
        <v>6074</v>
      </c>
      <c r="Q12" s="3300" t="s">
        <v>6070</v>
      </c>
    </row>
    <row r="13" spans="1:26" ht="44.65" customHeight="1" x14ac:dyDescent="0.4">
      <c r="B13" s="115"/>
      <c r="C13" s="3275"/>
      <c r="D13" s="3267"/>
      <c r="E13" s="3267"/>
      <c r="F13" s="3267"/>
      <c r="G13" s="3267"/>
      <c r="H13" s="3267"/>
      <c r="I13" s="3267"/>
      <c r="J13" s="3267"/>
      <c r="K13" s="3267"/>
      <c r="L13" s="3267"/>
      <c r="M13" s="3267"/>
      <c r="N13" s="3267"/>
      <c r="O13" s="1672" t="s">
        <v>6075</v>
      </c>
      <c r="P13" s="3267"/>
      <c r="Q13" s="3267"/>
    </row>
    <row r="14" spans="1:26" x14ac:dyDescent="0.4">
      <c r="B14" s="115"/>
      <c r="C14" s="232">
        <v>2010</v>
      </c>
      <c r="D14" s="536">
        <v>28</v>
      </c>
      <c r="E14" s="536">
        <v>28</v>
      </c>
      <c r="F14" s="536">
        <v>37</v>
      </c>
      <c r="G14" s="536">
        <v>35</v>
      </c>
      <c r="H14" s="536">
        <v>22</v>
      </c>
      <c r="I14" s="536">
        <v>34</v>
      </c>
      <c r="J14" s="536">
        <v>56</v>
      </c>
      <c r="K14" s="536">
        <v>28</v>
      </c>
      <c r="L14" s="536">
        <v>25</v>
      </c>
      <c r="M14" s="536"/>
      <c r="N14" s="536" t="s">
        <v>6076</v>
      </c>
      <c r="O14" s="536" t="s">
        <v>6076</v>
      </c>
      <c r="P14" s="536" t="s">
        <v>6076</v>
      </c>
      <c r="Q14" s="536" t="s">
        <v>6076</v>
      </c>
    </row>
    <row r="15" spans="1:26" x14ac:dyDescent="0.4">
      <c r="B15" s="115"/>
      <c r="C15" s="232">
        <v>2011</v>
      </c>
      <c r="D15" s="536">
        <v>24</v>
      </c>
      <c r="E15" s="536">
        <v>26</v>
      </c>
      <c r="F15" s="536">
        <v>32</v>
      </c>
      <c r="G15" s="536">
        <v>32</v>
      </c>
      <c r="H15" s="536">
        <v>23</v>
      </c>
      <c r="I15" s="536">
        <v>33</v>
      </c>
      <c r="J15" s="536">
        <v>45</v>
      </c>
      <c r="K15" s="536">
        <v>28</v>
      </c>
      <c r="L15" s="536">
        <v>26</v>
      </c>
      <c r="M15" s="536"/>
      <c r="N15" s="536" t="s">
        <v>6076</v>
      </c>
      <c r="O15" s="536" t="s">
        <v>6076</v>
      </c>
      <c r="P15" s="536" t="s">
        <v>6076</v>
      </c>
      <c r="Q15" s="536" t="s">
        <v>6076</v>
      </c>
    </row>
    <row r="16" spans="1:26" x14ac:dyDescent="0.4">
      <c r="B16" s="115"/>
      <c r="C16" s="232">
        <v>2012</v>
      </c>
      <c r="D16" s="835">
        <v>27</v>
      </c>
      <c r="E16" s="835">
        <v>29</v>
      </c>
      <c r="F16" s="835">
        <v>27</v>
      </c>
      <c r="G16" s="835">
        <v>29</v>
      </c>
      <c r="H16" s="835">
        <v>23</v>
      </c>
      <c r="I16" s="835">
        <v>32</v>
      </c>
      <c r="J16" s="835">
        <v>42</v>
      </c>
      <c r="K16" s="835">
        <v>25</v>
      </c>
      <c r="L16" s="835">
        <v>22</v>
      </c>
      <c r="M16" s="835"/>
      <c r="N16" s="536" t="s">
        <v>6076</v>
      </c>
      <c r="O16" s="536" t="s">
        <v>6076</v>
      </c>
      <c r="P16" s="536" t="s">
        <v>6076</v>
      </c>
      <c r="Q16" s="536" t="s">
        <v>6076</v>
      </c>
    </row>
    <row r="17" spans="2:17" x14ac:dyDescent="0.4">
      <c r="B17" s="115"/>
      <c r="C17" s="232">
        <v>2013</v>
      </c>
      <c r="D17" s="536">
        <v>23</v>
      </c>
      <c r="E17" s="536">
        <v>27</v>
      </c>
      <c r="F17" s="536">
        <v>29</v>
      </c>
      <c r="G17" s="536">
        <v>30</v>
      </c>
      <c r="H17" s="536">
        <v>22</v>
      </c>
      <c r="I17" s="536">
        <v>36</v>
      </c>
      <c r="J17" s="536">
        <v>46</v>
      </c>
      <c r="K17" s="536">
        <v>26</v>
      </c>
      <c r="L17" s="536">
        <v>27</v>
      </c>
      <c r="M17" s="536"/>
      <c r="N17" s="536">
        <v>22</v>
      </c>
      <c r="O17" s="536" t="s">
        <v>6076</v>
      </c>
      <c r="P17" s="536" t="s">
        <v>6076</v>
      </c>
      <c r="Q17" s="536" t="s">
        <v>6076</v>
      </c>
    </row>
    <row r="18" spans="2:17" x14ac:dyDescent="0.4">
      <c r="B18" s="115"/>
      <c r="C18" s="232">
        <v>2014</v>
      </c>
      <c r="D18" s="536">
        <v>21</v>
      </c>
      <c r="E18" s="536">
        <v>27</v>
      </c>
      <c r="F18" s="536">
        <v>25</v>
      </c>
      <c r="G18" s="536">
        <v>30</v>
      </c>
      <c r="H18" s="536">
        <v>24</v>
      </c>
      <c r="I18" s="536">
        <v>29</v>
      </c>
      <c r="J18" s="536">
        <v>45</v>
      </c>
      <c r="K18" s="536">
        <v>24</v>
      </c>
      <c r="L18" s="536">
        <v>21</v>
      </c>
      <c r="M18" s="536"/>
      <c r="N18" s="536">
        <v>25</v>
      </c>
      <c r="O18" s="536" t="s">
        <v>6076</v>
      </c>
      <c r="P18" s="536" t="s">
        <v>6076</v>
      </c>
      <c r="Q18" s="536" t="s">
        <v>6076</v>
      </c>
    </row>
    <row r="19" spans="2:17" x14ac:dyDescent="0.4">
      <c r="B19" s="115"/>
      <c r="C19" s="232">
        <v>2015</v>
      </c>
      <c r="D19" s="536">
        <v>23</v>
      </c>
      <c r="E19" s="536">
        <v>24</v>
      </c>
      <c r="F19" s="536">
        <v>26</v>
      </c>
      <c r="G19" s="536">
        <v>33</v>
      </c>
      <c r="H19" s="536">
        <v>26</v>
      </c>
      <c r="I19" s="536">
        <v>30</v>
      </c>
      <c r="J19" s="536">
        <v>35</v>
      </c>
      <c r="K19" s="536">
        <v>26</v>
      </c>
      <c r="L19" s="536">
        <v>30</v>
      </c>
      <c r="M19" s="536"/>
      <c r="N19" s="536">
        <v>24</v>
      </c>
      <c r="O19" s="536" t="s">
        <v>6076</v>
      </c>
      <c r="P19" s="536" t="s">
        <v>6076</v>
      </c>
      <c r="Q19" s="536" t="s">
        <v>6076</v>
      </c>
    </row>
    <row r="20" spans="2:17" x14ac:dyDescent="0.4">
      <c r="B20" s="115"/>
      <c r="C20" s="232">
        <v>2016</v>
      </c>
      <c r="D20" s="536">
        <v>23</v>
      </c>
      <c r="E20" s="536">
        <v>24</v>
      </c>
      <c r="F20" s="536">
        <v>26</v>
      </c>
      <c r="G20" s="536">
        <v>31</v>
      </c>
      <c r="H20" s="536">
        <v>24</v>
      </c>
      <c r="I20" s="536">
        <v>34</v>
      </c>
      <c r="J20" s="536">
        <v>50</v>
      </c>
      <c r="K20" s="536">
        <v>27</v>
      </c>
      <c r="L20" s="536">
        <v>25</v>
      </c>
      <c r="M20" s="536"/>
      <c r="N20" s="536">
        <v>33</v>
      </c>
      <c r="O20" s="536" t="s">
        <v>6076</v>
      </c>
      <c r="P20" s="536" t="s">
        <v>6076</v>
      </c>
      <c r="Q20" s="536">
        <v>21</v>
      </c>
    </row>
    <row r="21" spans="2:17" x14ac:dyDescent="0.4">
      <c r="B21" s="115"/>
      <c r="C21" s="232">
        <v>2017</v>
      </c>
      <c r="D21" s="536">
        <v>24</v>
      </c>
      <c r="E21" s="536">
        <v>23</v>
      </c>
      <c r="F21" s="536">
        <v>25</v>
      </c>
      <c r="G21" s="536">
        <v>30</v>
      </c>
      <c r="H21" s="536">
        <v>24</v>
      </c>
      <c r="I21" s="536">
        <v>32</v>
      </c>
      <c r="J21" s="536">
        <v>36</v>
      </c>
      <c r="K21" s="536">
        <v>22</v>
      </c>
      <c r="L21" s="536">
        <v>23</v>
      </c>
      <c r="M21" s="536"/>
      <c r="N21" s="536" t="s">
        <v>6076</v>
      </c>
      <c r="O21" s="536" t="s">
        <v>6076</v>
      </c>
      <c r="P21" s="536">
        <v>26</v>
      </c>
      <c r="Q21" s="536">
        <v>20</v>
      </c>
    </row>
    <row r="22" spans="2:17" x14ac:dyDescent="0.4">
      <c r="B22" s="115"/>
      <c r="C22" s="232">
        <v>2018</v>
      </c>
      <c r="D22" s="536">
        <v>21</v>
      </c>
      <c r="E22" s="536">
        <v>22</v>
      </c>
      <c r="F22" s="536">
        <v>20</v>
      </c>
      <c r="G22" s="536">
        <v>24</v>
      </c>
      <c r="H22" s="536" t="s">
        <v>6076</v>
      </c>
      <c r="I22" s="536">
        <v>25</v>
      </c>
      <c r="J22" s="536">
        <v>30</v>
      </c>
      <c r="K22" s="536">
        <v>23</v>
      </c>
      <c r="L22" s="536">
        <v>18</v>
      </c>
      <c r="M22" s="536"/>
      <c r="N22" s="536" t="s">
        <v>6076</v>
      </c>
      <c r="O22" s="536" t="s">
        <v>6076</v>
      </c>
      <c r="P22" s="536">
        <v>22</v>
      </c>
      <c r="Q22" s="536">
        <v>23</v>
      </c>
    </row>
    <row r="23" spans="2:17" x14ac:dyDescent="0.4">
      <c r="B23" s="115"/>
      <c r="C23" s="232">
        <v>2019</v>
      </c>
      <c r="D23" s="536">
        <v>19</v>
      </c>
      <c r="E23" s="536">
        <v>24</v>
      </c>
      <c r="F23" s="536">
        <v>19</v>
      </c>
      <c r="G23" s="536">
        <v>28</v>
      </c>
      <c r="H23" s="536" t="s">
        <v>6076</v>
      </c>
      <c r="I23" s="536">
        <v>24</v>
      </c>
      <c r="J23" s="536">
        <v>36</v>
      </c>
      <c r="K23" s="536">
        <v>24</v>
      </c>
      <c r="L23" s="536">
        <v>21</v>
      </c>
      <c r="M23" s="536"/>
      <c r="N23" s="536" t="s">
        <v>6076</v>
      </c>
      <c r="O23" s="536" t="s">
        <v>6076</v>
      </c>
      <c r="P23" s="536">
        <v>21</v>
      </c>
      <c r="Q23" s="536">
        <v>27</v>
      </c>
    </row>
    <row r="24" spans="2:17" x14ac:dyDescent="0.4">
      <c r="B24" s="115"/>
      <c r="C24" s="795">
        <v>2020</v>
      </c>
      <c r="D24" s="824">
        <v>18</v>
      </c>
      <c r="E24" s="824">
        <v>22</v>
      </c>
      <c r="F24" s="824">
        <v>20</v>
      </c>
      <c r="G24" s="824">
        <v>30</v>
      </c>
      <c r="H24" s="824">
        <v>16</v>
      </c>
      <c r="I24" s="824">
        <v>30</v>
      </c>
      <c r="J24" s="824">
        <v>29</v>
      </c>
      <c r="K24" s="824">
        <v>21</v>
      </c>
      <c r="L24" s="824">
        <v>24</v>
      </c>
      <c r="M24" s="824"/>
      <c r="N24" s="824" t="s">
        <v>6076</v>
      </c>
      <c r="O24" s="824">
        <v>18</v>
      </c>
      <c r="P24" s="824">
        <v>29</v>
      </c>
      <c r="Q24" s="824">
        <v>22</v>
      </c>
    </row>
    <row r="25" spans="2:17" x14ac:dyDescent="0.4">
      <c r="C25" s="115" t="s">
        <v>6077</v>
      </c>
    </row>
    <row r="26" spans="2:17" x14ac:dyDescent="0.4">
      <c r="C26" s="115" t="s">
        <v>6078</v>
      </c>
    </row>
    <row r="27" spans="2:17" x14ac:dyDescent="0.4">
      <c r="C27" s="115" t="s">
        <v>6079</v>
      </c>
    </row>
    <row r="28" spans="2:17" x14ac:dyDescent="0.4">
      <c r="C28" s="115" t="s">
        <v>6080</v>
      </c>
    </row>
  </sheetData>
  <mergeCells count="25">
    <mergeCell ref="K12:K13"/>
    <mergeCell ref="L12:L13"/>
    <mergeCell ref="I12:I13"/>
    <mergeCell ref="J12:J13"/>
    <mergeCell ref="D12:D13"/>
    <mergeCell ref="E12:E13"/>
    <mergeCell ref="F12:F13"/>
    <mergeCell ref="G12:G13"/>
    <mergeCell ref="H12:H13"/>
    <mergeCell ref="M12:M13"/>
    <mergeCell ref="N12:N13"/>
    <mergeCell ref="A5:B5"/>
    <mergeCell ref="C5:Z5"/>
    <mergeCell ref="C1:D1"/>
    <mergeCell ref="A3:B3"/>
    <mergeCell ref="C3:Z3"/>
    <mergeCell ref="A4:B4"/>
    <mergeCell ref="C4:Z4"/>
    <mergeCell ref="A6:B6"/>
    <mergeCell ref="C6:Z6"/>
    <mergeCell ref="C11:L11"/>
    <mergeCell ref="N11:Q11"/>
    <mergeCell ref="C12:C13"/>
    <mergeCell ref="P12:P13"/>
    <mergeCell ref="Q12:Q13"/>
  </mergeCells>
  <hyperlinks>
    <hyperlink ref="A1" location="'ODS 11.'!A1" display="REGRESAR" xr:uid="{3854A821-D139-4CE0-AB19-27E10F7CCE33}"/>
    <hyperlink ref="C1:D1" location="'Metadato 11.6.2'!A1" display="VER METADATO" xr:uid="{A5744514-6705-4A78-B4F4-C6AFB4745BEB}"/>
  </hyperlinks>
  <pageMargins left="0.7" right="0.7" top="0.75" bottom="0.75" header="0.3" footer="0.3"/>
  <pageSetup paperSize="9"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BEB7-4D5E-402A-80FE-25FD24C85DD4}">
  <sheetPr>
    <tabColor theme="0" tint="-0.499984740745262"/>
  </sheetPr>
  <dimension ref="A1:F50"/>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8.28515625" style="115" customWidth="1"/>
    <col min="6" max="6" width="7.28515625" style="115" customWidth="1"/>
    <col min="7" max="16" width="8.28515625" style="115" customWidth="1"/>
    <col min="17" max="17" width="2.28515625" style="115" customWidth="1"/>
    <col min="18" max="23" width="7.42578125" style="115" customWidth="1"/>
    <col min="24" max="24" width="3.28515625" style="115" customWidth="1"/>
    <col min="25" max="52" width="8.42578125" style="115" customWidth="1"/>
    <col min="53" max="53" width="2.5703125" style="115" customWidth="1"/>
    <col min="54" max="65" width="7.7109375" style="115" customWidth="1"/>
    <col min="66" max="66" width="2.42578125" style="115" customWidth="1"/>
    <col min="67" max="76" width="8.28515625" style="115" customWidth="1"/>
    <col min="77" max="77" width="3.28515625" style="115" customWidth="1"/>
    <col min="78" max="87" width="9" style="115" customWidth="1"/>
    <col min="88" max="16384" width="11.42578125" style="115"/>
  </cols>
  <sheetData>
    <row r="1" spans="2:6" x14ac:dyDescent="0.4">
      <c r="B1" s="158" t="s">
        <v>39</v>
      </c>
    </row>
    <row r="2" spans="2:6" ht="19.5" thickBot="1" x14ac:dyDescent="0.45"/>
    <row r="3" spans="2:6" ht="23.25" customHeight="1" thickBot="1" x14ac:dyDescent="0.45">
      <c r="B3" s="3270" t="s">
        <v>75</v>
      </c>
      <c r="C3" s="3270"/>
      <c r="D3" s="3270"/>
      <c r="F3" s="1046" t="s">
        <v>76</v>
      </c>
    </row>
    <row r="4" spans="2:6" ht="37.5" x14ac:dyDescent="0.4">
      <c r="B4" s="2445" t="s">
        <v>234</v>
      </c>
      <c r="C4" s="2445"/>
      <c r="D4" s="49" t="s">
        <v>5921</v>
      </c>
    </row>
    <row r="5" spans="2:6" ht="37.5" x14ac:dyDescent="0.4">
      <c r="B5" s="2445" t="s">
        <v>79</v>
      </c>
      <c r="C5" s="2445"/>
      <c r="D5" s="49" t="s">
        <v>5893</v>
      </c>
    </row>
    <row r="6" spans="2:6" x14ac:dyDescent="0.4">
      <c r="B6" s="2445" t="s">
        <v>80</v>
      </c>
      <c r="C6" s="2445"/>
      <c r="D6" s="50" t="s">
        <v>5896</v>
      </c>
    </row>
    <row r="7" spans="2:6" ht="37.5" x14ac:dyDescent="0.4">
      <c r="B7" s="2446" t="s">
        <v>81</v>
      </c>
      <c r="C7" s="2446"/>
      <c r="D7" s="93" t="s">
        <v>5897</v>
      </c>
    </row>
    <row r="8" spans="2:6" x14ac:dyDescent="0.4">
      <c r="B8" s="2446" t="s">
        <v>82</v>
      </c>
      <c r="C8" s="2446"/>
      <c r="D8" s="1047" t="s">
        <v>6081</v>
      </c>
    </row>
    <row r="10" spans="2:6" ht="23.25" customHeight="1" x14ac:dyDescent="0.4">
      <c r="B10" s="3270" t="s">
        <v>85</v>
      </c>
      <c r="C10" s="3270"/>
      <c r="D10" s="3270"/>
    </row>
    <row r="11" spans="2:6" x14ac:dyDescent="0.4">
      <c r="B11" s="2487" t="s">
        <v>86</v>
      </c>
      <c r="C11" s="2456"/>
      <c r="D11" s="49" t="s">
        <v>167</v>
      </c>
    </row>
    <row r="12" spans="2:6" ht="36" customHeight="1" x14ac:dyDescent="0.4">
      <c r="B12" s="2446" t="s">
        <v>88</v>
      </c>
      <c r="C12" s="2446"/>
      <c r="D12" s="184" t="s">
        <v>6082</v>
      </c>
    </row>
    <row r="13" spans="2:6" x14ac:dyDescent="0.4">
      <c r="B13" s="2445" t="s">
        <v>90</v>
      </c>
      <c r="C13" s="2445"/>
      <c r="D13" s="594" t="s">
        <v>5896</v>
      </c>
    </row>
    <row r="14" spans="2:6" x14ac:dyDescent="0.4">
      <c r="B14" s="2445" t="s">
        <v>91</v>
      </c>
      <c r="C14" s="2456"/>
      <c r="D14" s="54" t="s">
        <v>92</v>
      </c>
    </row>
    <row r="15" spans="2:6" ht="60.75" customHeight="1" x14ac:dyDescent="0.4">
      <c r="B15" s="2445" t="s">
        <v>93</v>
      </c>
      <c r="C15" s="2445"/>
      <c r="D15" s="594" t="s">
        <v>6083</v>
      </c>
    </row>
    <row r="16" spans="2:6" ht="105.75" customHeight="1" x14ac:dyDescent="0.4">
      <c r="B16" s="2445" t="s">
        <v>95</v>
      </c>
      <c r="C16" s="2445"/>
      <c r="D16" s="594"/>
    </row>
    <row r="17" spans="2:4" x14ac:dyDescent="0.4">
      <c r="B17" s="2445" t="s">
        <v>97</v>
      </c>
      <c r="C17" s="2445"/>
      <c r="D17" s="594" t="s">
        <v>6084</v>
      </c>
    </row>
    <row r="18" spans="2:4" x14ac:dyDescent="0.4">
      <c r="B18" s="2446" t="s">
        <v>99</v>
      </c>
      <c r="C18" s="2446"/>
      <c r="D18" s="49"/>
    </row>
    <row r="19" spans="2:4" ht="16.5" customHeight="1" x14ac:dyDescent="0.4">
      <c r="B19" s="2457" t="s">
        <v>100</v>
      </c>
      <c r="C19" s="2458"/>
      <c r="D19" s="594" t="s">
        <v>6085</v>
      </c>
    </row>
    <row r="20" spans="2:4" x14ac:dyDescent="0.4">
      <c r="B20" s="2445" t="s">
        <v>102</v>
      </c>
      <c r="C20" s="2445"/>
      <c r="D20" s="594" t="s">
        <v>6086</v>
      </c>
    </row>
    <row r="21" spans="2:4" x14ac:dyDescent="0.4">
      <c r="B21" s="2451" t="s">
        <v>104</v>
      </c>
      <c r="C21" s="95" t="s">
        <v>105</v>
      </c>
      <c r="D21" s="594" t="s">
        <v>105</v>
      </c>
    </row>
    <row r="22" spans="2:4" x14ac:dyDescent="0.4">
      <c r="B22" s="2452"/>
      <c r="C22" s="96" t="s">
        <v>107</v>
      </c>
      <c r="D22" s="55"/>
    </row>
    <row r="23" spans="2:4" x14ac:dyDescent="0.4">
      <c r="B23" s="2445" t="s">
        <v>109</v>
      </c>
      <c r="C23" s="2445"/>
      <c r="D23" s="594" t="s">
        <v>6087</v>
      </c>
    </row>
    <row r="24" spans="2:4" x14ac:dyDescent="0.4">
      <c r="B24" s="2445" t="s">
        <v>111</v>
      </c>
      <c r="C24" s="2445"/>
      <c r="D24" s="826" t="s">
        <v>6088</v>
      </c>
    </row>
    <row r="25" spans="2:4" x14ac:dyDescent="0.4">
      <c r="B25" s="2445" t="s">
        <v>113</v>
      </c>
      <c r="C25" s="2445"/>
      <c r="D25" s="55" t="s">
        <v>1701</v>
      </c>
    </row>
    <row r="26" spans="2:4" ht="14.65" customHeight="1" x14ac:dyDescent="0.4">
      <c r="B26" s="2446" t="s">
        <v>115</v>
      </c>
      <c r="C26" s="2446"/>
      <c r="D26" s="826" t="s">
        <v>6089</v>
      </c>
    </row>
    <row r="27" spans="2:4" x14ac:dyDescent="0.4">
      <c r="B27" s="2447" t="s">
        <v>117</v>
      </c>
      <c r="C27" s="2448"/>
      <c r="D27" s="49"/>
    </row>
    <row r="28" spans="2:4" ht="37.5" x14ac:dyDescent="0.4">
      <c r="B28" s="97" t="s">
        <v>118</v>
      </c>
      <c r="C28" s="98"/>
      <c r="D28" s="49" t="s">
        <v>6090</v>
      </c>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826" t="s">
        <v>6091</v>
      </c>
    </row>
    <row r="33" spans="1:4" ht="37.5" x14ac:dyDescent="0.4">
      <c r="B33" s="2447" t="s">
        <v>124</v>
      </c>
      <c r="C33" s="2448"/>
      <c r="D33" s="826" t="s">
        <v>6092</v>
      </c>
    </row>
    <row r="34" spans="1:4" ht="37.5" x14ac:dyDescent="0.4">
      <c r="B34" s="2447" t="s">
        <v>126</v>
      </c>
      <c r="C34" s="2448"/>
      <c r="D34" s="826" t="s">
        <v>6093</v>
      </c>
    </row>
    <row r="35" spans="1:4" x14ac:dyDescent="0.4">
      <c r="A35" s="1048"/>
      <c r="B35" s="2447" t="s">
        <v>128</v>
      </c>
      <c r="C35" s="2448"/>
      <c r="D35" s="826" t="s">
        <v>6094</v>
      </c>
    </row>
    <row r="36" spans="1:4" x14ac:dyDescent="0.4">
      <c r="A36" s="1048"/>
      <c r="B36" s="2447" t="s">
        <v>130</v>
      </c>
      <c r="C36" s="2448"/>
      <c r="D36" s="1667" t="s">
        <v>6095</v>
      </c>
    </row>
    <row r="37" spans="1:4" x14ac:dyDescent="0.4">
      <c r="A37" s="1048"/>
    </row>
    <row r="38" spans="1:4" x14ac:dyDescent="0.4">
      <c r="A38" s="1048"/>
    </row>
    <row r="39" spans="1:4" x14ac:dyDescent="0.4">
      <c r="A39" s="1048"/>
    </row>
    <row r="40" spans="1:4" x14ac:dyDescent="0.4">
      <c r="A40" s="1048"/>
    </row>
    <row r="41" spans="1:4" x14ac:dyDescent="0.4">
      <c r="A41" s="1048"/>
    </row>
    <row r="42" spans="1:4" x14ac:dyDescent="0.4">
      <c r="A42" s="1048"/>
    </row>
    <row r="43" spans="1:4" x14ac:dyDescent="0.4">
      <c r="A43" s="1048"/>
    </row>
    <row r="44" spans="1:4" x14ac:dyDescent="0.4">
      <c r="A44" s="1048"/>
    </row>
    <row r="45" spans="1:4" x14ac:dyDescent="0.4">
      <c r="A45" s="1048"/>
    </row>
    <row r="46" spans="1:4" x14ac:dyDescent="0.4">
      <c r="A46" s="1048"/>
    </row>
    <row r="47" spans="1:4" x14ac:dyDescent="0.4">
      <c r="A47" s="1048"/>
    </row>
    <row r="48" spans="1:4" x14ac:dyDescent="0.4">
      <c r="A48" s="1048"/>
    </row>
    <row r="49" spans="1:1" x14ac:dyDescent="0.4">
      <c r="A49" s="1048"/>
    </row>
    <row r="50" spans="1:1" x14ac:dyDescent="0.4">
      <c r="A50" s="1048"/>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487C13A-48E7-4BBB-85FB-3199D3F02350}">
      <formula1>ODS</formula1>
    </dataValidation>
    <dataValidation type="list" allowBlank="1" showInputMessage="1" showErrorMessage="1" sqref="D5" xr:uid="{1F531746-D206-4DED-A869-7D9EFBEEE3D5}">
      <formula1>Metas_ODS</formula1>
    </dataValidation>
    <dataValidation type="list" allowBlank="1" showInputMessage="1" showErrorMessage="1" sqref="D6" xr:uid="{68B955BF-D894-443D-B5F7-AC27DBC7778E}">
      <formula1>Numero_indicador</formula1>
    </dataValidation>
    <dataValidation type="list" allowBlank="1" showInputMessage="1" showErrorMessage="1" sqref="D7" xr:uid="{1F16F843-3673-4ACA-8A13-8ECD0F040070}">
      <formula1>Nombre_indicador_ODS</formula1>
    </dataValidation>
    <dataValidation type="list" allowBlank="1" showInputMessage="1" showErrorMessage="1" sqref="D14" xr:uid="{DC4D018F-601F-4C4C-9692-60241C06317D}">
      <formula1>Tipo_indicador</formula1>
    </dataValidation>
    <dataValidation type="list" allowBlank="1" showInputMessage="1" showErrorMessage="1" sqref="D25" xr:uid="{643362DA-6B53-459C-A71A-1A0CC4F82CDA}">
      <formula1>Tipo_operación</formula1>
    </dataValidation>
  </dataValidations>
  <hyperlinks>
    <hyperlink ref="B1" location="'11.6.2'!A1" display="REGRESAR" xr:uid="{E6E87192-71D3-4AB2-86F6-E41D1C39446D}"/>
    <hyperlink ref="D8" r:id="rId1" xr:uid="{D2836EC4-8A6C-44B0-920E-3573A498C5B3}"/>
    <hyperlink ref="D36" r:id="rId2" display="jorge.herrera.murillo@una.ac.cr" xr:uid="{874B89CA-C738-4684-9DC2-D9CD62A9066F}"/>
  </hyperlinks>
  <pageMargins left="0.7" right="0.7" top="0.75" bottom="0.75" header="0.3" footer="0.3"/>
  <drawing r:id="rId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CE3D-00A3-4323-8CFE-410581737740}">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28515625" style="1032" customWidth="1"/>
    <col min="2" max="2" width="19.140625" style="1032" customWidth="1"/>
    <col min="3" max="3" width="12" style="1061" customWidth="1"/>
    <col min="4" max="6" width="12" style="1032" customWidth="1"/>
    <col min="7" max="16384" width="11.42578125" style="1032"/>
  </cols>
  <sheetData>
    <row r="1" spans="1:15" x14ac:dyDescent="0.4">
      <c r="A1" s="68" t="s">
        <v>39</v>
      </c>
      <c r="B1" s="1080"/>
      <c r="C1" s="2421" t="s">
        <v>149</v>
      </c>
      <c r="D1" s="2421"/>
    </row>
    <row r="3" spans="1:15" ht="21.6" customHeight="1" x14ac:dyDescent="0.4">
      <c r="A3" s="3271" t="s">
        <v>41</v>
      </c>
      <c r="B3" s="3274"/>
      <c r="C3" s="3271" t="s">
        <v>5871</v>
      </c>
      <c r="D3" s="3294"/>
      <c r="E3" s="3294"/>
      <c r="F3" s="3294"/>
      <c r="G3" s="3294"/>
      <c r="H3" s="3294"/>
      <c r="I3" s="3294"/>
      <c r="J3" s="3294"/>
      <c r="K3" s="3294"/>
      <c r="L3" s="3294"/>
      <c r="M3" s="3294"/>
      <c r="N3" s="3294"/>
      <c r="O3" s="3294"/>
    </row>
    <row r="4" spans="1:15" ht="35.450000000000003" customHeight="1" x14ac:dyDescent="0.4">
      <c r="A4" s="3271" t="s">
        <v>42</v>
      </c>
      <c r="B4" s="3272"/>
      <c r="C4" s="3271" t="s">
        <v>5898</v>
      </c>
      <c r="D4" s="3273"/>
      <c r="E4" s="3273"/>
      <c r="F4" s="3273"/>
      <c r="G4" s="3273"/>
      <c r="H4" s="3273"/>
      <c r="I4" s="3273"/>
      <c r="J4" s="3273"/>
      <c r="K4" s="3273"/>
      <c r="L4" s="3273"/>
      <c r="M4" s="3273"/>
      <c r="N4" s="3273"/>
      <c r="O4" s="3273"/>
    </row>
    <row r="5" spans="1:15" ht="38.450000000000003" customHeight="1" x14ac:dyDescent="0.4">
      <c r="A5" s="3271" t="s">
        <v>43</v>
      </c>
      <c r="B5" s="3272"/>
      <c r="C5" s="3271" t="s">
        <v>5900</v>
      </c>
      <c r="D5" s="3273"/>
      <c r="E5" s="3273"/>
      <c r="F5" s="3273"/>
      <c r="G5" s="3273"/>
      <c r="H5" s="3273"/>
      <c r="I5" s="3273"/>
      <c r="J5" s="3273"/>
      <c r="K5" s="3273"/>
      <c r="L5" s="3273"/>
      <c r="M5" s="3273"/>
      <c r="N5" s="3273"/>
      <c r="O5" s="3273"/>
    </row>
    <row r="6" spans="1:15" ht="19.149999999999999" customHeight="1" x14ac:dyDescent="0.4">
      <c r="A6" s="3271" t="s">
        <v>132</v>
      </c>
      <c r="B6" s="3272"/>
      <c r="C6" s="3271" t="s">
        <v>242</v>
      </c>
      <c r="D6" s="3273"/>
      <c r="E6" s="3273"/>
      <c r="F6" s="3273"/>
      <c r="G6" s="3273"/>
      <c r="H6" s="3273"/>
      <c r="I6" s="3273"/>
      <c r="J6" s="3273"/>
      <c r="K6" s="3273"/>
      <c r="L6" s="3273"/>
      <c r="M6" s="3273"/>
      <c r="N6" s="3273"/>
      <c r="O6" s="3273"/>
    </row>
    <row r="9" spans="1:15" ht="11.25" customHeight="1" x14ac:dyDescent="0.4">
      <c r="C9" s="2506" t="s">
        <v>243</v>
      </c>
      <c r="D9" s="2506"/>
      <c r="E9" s="2506"/>
      <c r="F9" s="2506"/>
      <c r="G9" s="2506"/>
      <c r="H9" s="2506"/>
      <c r="I9" s="2506"/>
      <c r="J9" s="2506"/>
      <c r="K9" s="2506"/>
      <c r="L9" s="2506"/>
      <c r="M9" s="2506"/>
      <c r="N9" s="2506"/>
      <c r="O9" s="2506"/>
    </row>
    <row r="10" spans="1:15" ht="11.25" customHeight="1" x14ac:dyDescent="0.4">
      <c r="C10" s="2506"/>
      <c r="D10" s="2506"/>
      <c r="E10" s="2506"/>
      <c r="F10" s="2506"/>
      <c r="G10" s="2506"/>
      <c r="H10" s="2506"/>
      <c r="I10" s="2506"/>
      <c r="J10" s="2506"/>
      <c r="K10" s="2506"/>
      <c r="L10" s="2506"/>
      <c r="M10" s="2506"/>
      <c r="N10" s="2506"/>
      <c r="O10" s="2506"/>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AB3153BD-0EBB-4D55-B7CF-B96206785260}"/>
    <hyperlink ref="C1:D1" location="'Metadato 11.7.1'!A1" display="VER METADATO" xr:uid="{878D3F25-8E78-4931-B9D2-FC3ACECFA73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B571D-2D29-4653-B339-21BFA76A58A9}">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7.28515625" style="115" customWidth="1"/>
    <col min="6" max="16384" width="11.42578125" style="115"/>
  </cols>
  <sheetData>
    <row r="1" spans="2:6" x14ac:dyDescent="0.4">
      <c r="B1" s="158" t="s">
        <v>39</v>
      </c>
    </row>
    <row r="2" spans="2:6" ht="19.5" thickBot="1" x14ac:dyDescent="0.45"/>
    <row r="3" spans="2:6" ht="23.25" customHeight="1" thickBot="1" x14ac:dyDescent="0.45">
      <c r="B3" s="3270" t="s">
        <v>75</v>
      </c>
      <c r="C3" s="3270"/>
      <c r="D3" s="3270"/>
      <c r="F3" s="1046" t="s">
        <v>244</v>
      </c>
    </row>
    <row r="4" spans="2:6" ht="37.5" x14ac:dyDescent="0.4">
      <c r="B4" s="2445" t="s">
        <v>234</v>
      </c>
      <c r="C4" s="2445"/>
      <c r="D4" s="49" t="s">
        <v>5921</v>
      </c>
    </row>
    <row r="5" spans="2:6" ht="37.5" x14ac:dyDescent="0.4">
      <c r="B5" s="2445" t="s">
        <v>79</v>
      </c>
      <c r="C5" s="2445"/>
      <c r="D5" s="49" t="s">
        <v>5898</v>
      </c>
    </row>
    <row r="6" spans="2:6" x14ac:dyDescent="0.4">
      <c r="B6" s="2445" t="s">
        <v>80</v>
      </c>
      <c r="C6" s="2445"/>
      <c r="D6" s="50" t="s">
        <v>5899</v>
      </c>
    </row>
    <row r="7" spans="2:6" ht="37.5" x14ac:dyDescent="0.4">
      <c r="B7" s="2446" t="s">
        <v>81</v>
      </c>
      <c r="C7" s="2446"/>
      <c r="D7" s="93" t="s">
        <v>5900</v>
      </c>
    </row>
    <row r="8" spans="2:6" x14ac:dyDescent="0.4">
      <c r="B8" s="2446" t="s">
        <v>210</v>
      </c>
      <c r="C8" s="2446"/>
      <c r="D8" s="1047" t="s">
        <v>6096</v>
      </c>
    </row>
    <row r="10" spans="2:6" ht="23.25" customHeight="1" x14ac:dyDescent="0.4">
      <c r="B10" s="3270" t="s">
        <v>85</v>
      </c>
      <c r="C10" s="3270"/>
      <c r="D10" s="3270"/>
    </row>
    <row r="11" spans="2:6" x14ac:dyDescent="0.4">
      <c r="B11" s="2487" t="s">
        <v>86</v>
      </c>
      <c r="C11" s="2456"/>
      <c r="D11" s="49"/>
    </row>
    <row r="12" spans="2:6" x14ac:dyDescent="0.4">
      <c r="B12" s="2446" t="s">
        <v>88</v>
      </c>
      <c r="C12" s="2446"/>
      <c r="D12" s="184"/>
    </row>
    <row r="13" spans="2:6" x14ac:dyDescent="0.4">
      <c r="B13" s="2445" t="s">
        <v>90</v>
      </c>
      <c r="C13" s="2445"/>
      <c r="D13" s="54"/>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94" t="s">
        <v>1696</v>
      </c>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826" t="s">
        <v>6097</v>
      </c>
    </row>
    <row r="33" spans="2:4" x14ac:dyDescent="0.4">
      <c r="B33" s="2447" t="s">
        <v>124</v>
      </c>
      <c r="C33" s="2448"/>
      <c r="D33" s="826" t="s">
        <v>6098</v>
      </c>
    </row>
    <row r="34" spans="2:4" x14ac:dyDescent="0.4">
      <c r="B34" s="2447" t="s">
        <v>126</v>
      </c>
      <c r="C34" s="2448"/>
      <c r="D34" s="826" t="s">
        <v>6099</v>
      </c>
    </row>
    <row r="35" spans="2:4" x14ac:dyDescent="0.4">
      <c r="B35" s="2447" t="s">
        <v>128</v>
      </c>
      <c r="C35" s="2448"/>
      <c r="D35" s="826" t="s">
        <v>6100</v>
      </c>
    </row>
    <row r="36" spans="2:4" x14ac:dyDescent="0.4">
      <c r="B36" s="2447" t="s">
        <v>130</v>
      </c>
      <c r="C36" s="2448"/>
      <c r="D36" s="1667" t="s">
        <v>6101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6D14E70-5C4A-491F-BCFE-EB4F4875FA3A}"/>
    <dataValidation type="list" allowBlank="1" showInputMessage="1" showErrorMessage="1" sqref="D4" xr:uid="{D0929156-1D2A-4EE9-9E20-45B3FA39FADB}">
      <formula1>ODS</formula1>
    </dataValidation>
    <dataValidation type="list" allowBlank="1" showInputMessage="1" showErrorMessage="1" sqref="D5" xr:uid="{A79691A6-4B12-407F-A00F-C7FBE126C2FD}">
      <formula1>Metas_ODS</formula1>
    </dataValidation>
    <dataValidation type="list" allowBlank="1" showInputMessage="1" showErrorMessage="1" sqref="D6" xr:uid="{E8EBC93C-1CB9-469E-B8C2-0FDB72A00E46}">
      <formula1>Numero_indicador</formula1>
    </dataValidation>
    <dataValidation type="list" allowBlank="1" showInputMessage="1" showErrorMessage="1" sqref="D7" xr:uid="{72DBD7B9-70AF-4784-97A2-B830D035CEF0}">
      <formula1>Nombre_indicador_ODS</formula1>
    </dataValidation>
    <dataValidation type="list" allowBlank="1" showInputMessage="1" showErrorMessage="1" sqref="D14" xr:uid="{C5C5AC5E-C36B-4C52-B79F-B32089C1B114}">
      <formula1>Tipo_indicador</formula1>
    </dataValidation>
    <dataValidation type="list" allowBlank="1" showInputMessage="1" showErrorMessage="1" sqref="D25" xr:uid="{F66ECA68-7160-4A51-931F-B38FC93BFA00}">
      <formula1>Tipo_operación</formula1>
    </dataValidation>
  </dataValidations>
  <hyperlinks>
    <hyperlink ref="B1" location="'11.7.1'!A1" display="REGRESAR" xr:uid="{433A9520-BF01-4610-9F4F-C9802C197E66}"/>
    <hyperlink ref="D36" r:id="rId1" xr:uid="{71605077-422D-4953-8602-D05EC516721B}"/>
    <hyperlink ref="D8" r:id="rId2" xr:uid="{A749A72E-B18C-4CCD-BEF7-81686377A146}"/>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4C4F-32E3-4AD1-8300-E6DDAA0AF212}">
  <dimension ref="A1:BW43"/>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6" style="115" customWidth="1"/>
    <col min="3" max="3" width="6.5703125" style="115" customWidth="1"/>
    <col min="4" max="5" width="11.42578125" style="115"/>
    <col min="6" max="6" width="2.5703125" style="115" customWidth="1"/>
    <col min="7" max="8" width="11.42578125" style="115"/>
    <col min="9" max="9" width="2.7109375" style="115" customWidth="1"/>
    <col min="10" max="10" width="11.42578125" style="115"/>
    <col min="11" max="11" width="9.7109375" style="115" customWidth="1"/>
    <col min="12" max="25" width="11.42578125" style="115"/>
    <col min="26" max="26" width="2" style="115" customWidth="1"/>
    <col min="27" max="27" width="11.42578125" style="115"/>
    <col min="28" max="28" width="2.7109375" style="115" customWidth="1"/>
    <col min="29" max="44" width="11.42578125" style="115"/>
    <col min="45" max="45" width="1.28515625" style="115" customWidth="1"/>
    <col min="46" max="46" width="11.42578125" style="115"/>
    <col min="47" max="47" width="1.7109375" style="115" customWidth="1"/>
    <col min="48" max="49" width="11.42578125" style="115"/>
    <col min="50" max="50" width="1.42578125" style="115" customWidth="1"/>
    <col min="51" max="51" width="11.42578125" style="115" customWidth="1"/>
    <col min="52" max="52" width="1.28515625" style="115" customWidth="1"/>
    <col min="53" max="55" width="11.42578125" style="115"/>
    <col min="56" max="56" width="2" style="115" customWidth="1"/>
    <col min="57" max="58" width="11.42578125" style="115"/>
    <col min="59" max="59" width="1" style="115" customWidth="1"/>
    <col min="60" max="63" width="11.42578125" style="115"/>
    <col min="64" max="64" width="2.28515625" style="115" customWidth="1"/>
    <col min="65" max="67" width="11.42578125" style="115"/>
    <col min="68" max="68" width="1.5703125" style="115" customWidth="1"/>
    <col min="69" max="70" width="11.42578125" style="115"/>
    <col min="71" max="71" width="1.42578125" style="115" customWidth="1"/>
    <col min="72" max="16384" width="11.42578125" style="115"/>
  </cols>
  <sheetData>
    <row r="1" spans="1:75" s="1032" customFormat="1" ht="19.5" x14ac:dyDescent="0.4">
      <c r="A1" s="68" t="s">
        <v>39</v>
      </c>
      <c r="C1" s="2421" t="s">
        <v>149</v>
      </c>
      <c r="D1" s="2421"/>
    </row>
    <row r="2" spans="1:75" s="1032" customFormat="1" ht="19.5" x14ac:dyDescent="0.4"/>
    <row r="3" spans="1:75" s="1032" customFormat="1" ht="19.5" x14ac:dyDescent="0.4">
      <c r="A3" s="3271" t="s">
        <v>41</v>
      </c>
      <c r="B3" s="3274"/>
      <c r="C3" s="3271" t="s">
        <v>5871</v>
      </c>
      <c r="D3" s="3294"/>
      <c r="E3" s="3294"/>
      <c r="F3" s="3294"/>
      <c r="G3" s="3294"/>
      <c r="H3" s="3294"/>
      <c r="I3" s="3294"/>
      <c r="J3" s="3294"/>
      <c r="K3" s="3294"/>
      <c r="L3" s="3294"/>
      <c r="M3" s="3294"/>
      <c r="N3" s="3294"/>
      <c r="O3" s="3294"/>
      <c r="P3" s="3294"/>
      <c r="Q3" s="3294"/>
      <c r="R3" s="3294"/>
      <c r="S3" s="3294"/>
      <c r="T3" s="3294"/>
    </row>
    <row r="4" spans="1:75" s="1032" customFormat="1" ht="19.5" x14ac:dyDescent="0.4">
      <c r="A4" s="3271" t="s">
        <v>42</v>
      </c>
      <c r="B4" s="3272"/>
      <c r="C4" s="3271" t="s">
        <v>5898</v>
      </c>
      <c r="D4" s="3273"/>
      <c r="E4" s="3273"/>
      <c r="F4" s="3273"/>
      <c r="G4" s="3273"/>
      <c r="H4" s="3273"/>
      <c r="I4" s="3273"/>
      <c r="J4" s="3273"/>
      <c r="K4" s="3273"/>
      <c r="L4" s="3273"/>
      <c r="M4" s="3273"/>
      <c r="N4" s="3273"/>
      <c r="O4" s="3273"/>
      <c r="P4" s="3273"/>
      <c r="Q4" s="3273"/>
      <c r="R4" s="3273"/>
      <c r="S4" s="3273"/>
      <c r="T4" s="3273"/>
    </row>
    <row r="5" spans="1:75" s="1032" customFormat="1" ht="19.5" x14ac:dyDescent="0.4">
      <c r="A5" s="3271" t="s">
        <v>43</v>
      </c>
      <c r="B5" s="3272"/>
      <c r="C5" s="3271" t="s">
        <v>5902</v>
      </c>
      <c r="D5" s="3273"/>
      <c r="E5" s="3273"/>
      <c r="F5" s="3273"/>
      <c r="G5" s="3273"/>
      <c r="H5" s="3273"/>
      <c r="I5" s="3273"/>
      <c r="J5" s="3273"/>
      <c r="K5" s="3273"/>
      <c r="L5" s="3273"/>
      <c r="M5" s="3273"/>
      <c r="N5" s="3273"/>
      <c r="O5" s="3273"/>
      <c r="P5" s="3273"/>
      <c r="Q5" s="3273"/>
      <c r="R5" s="3273"/>
      <c r="S5" s="3273"/>
      <c r="T5" s="3273"/>
    </row>
    <row r="6" spans="1:75" s="1032" customFormat="1" ht="19.5" x14ac:dyDescent="0.4">
      <c r="A6" s="3271" t="s">
        <v>132</v>
      </c>
      <c r="B6" s="3272"/>
      <c r="C6" s="3271" t="s">
        <v>6102</v>
      </c>
      <c r="D6" s="3273"/>
      <c r="E6" s="3273"/>
      <c r="F6" s="3273"/>
      <c r="G6" s="3273"/>
      <c r="H6" s="3273"/>
      <c r="I6" s="3273"/>
      <c r="J6" s="3273"/>
      <c r="K6" s="3273"/>
      <c r="L6" s="3273"/>
      <c r="M6" s="3273"/>
      <c r="N6" s="3273"/>
      <c r="O6" s="3273"/>
      <c r="P6" s="3273"/>
      <c r="Q6" s="3273"/>
      <c r="R6" s="3273"/>
      <c r="S6" s="3273"/>
      <c r="T6" s="3273"/>
    </row>
    <row r="7" spans="1:75" s="1032" customFormat="1" ht="19.5" x14ac:dyDescent="0.4"/>
    <row r="8" spans="1:75" s="1032" customFormat="1" ht="19.5" x14ac:dyDescent="0.4"/>
    <row r="9" spans="1:75" s="1032" customFormat="1" ht="19.5" x14ac:dyDescent="0.4">
      <c r="A9" s="1084"/>
      <c r="C9" s="3118" t="s">
        <v>6102</v>
      </c>
      <c r="D9" s="3118"/>
      <c r="E9" s="3118"/>
      <c r="F9" s="3118"/>
      <c r="G9" s="3118"/>
      <c r="H9" s="3118"/>
      <c r="I9" s="3118"/>
      <c r="J9" s="3118"/>
      <c r="K9" s="3118"/>
      <c r="L9" s="3118"/>
      <c r="M9" s="3118"/>
      <c r="N9" s="3118"/>
      <c r="O9" s="3118"/>
      <c r="P9" s="3118"/>
      <c r="Q9" s="3118"/>
      <c r="R9" s="3118"/>
      <c r="S9" s="3118"/>
      <c r="T9" s="3118"/>
      <c r="U9" s="3118"/>
      <c r="V9" s="3118"/>
      <c r="W9" s="3118"/>
      <c r="X9" s="3118"/>
      <c r="Y9" s="3118"/>
      <c r="Z9" s="3118"/>
      <c r="AA9" s="3118"/>
      <c r="AB9" s="3118"/>
      <c r="AC9" s="3118"/>
      <c r="AD9" s="3118"/>
      <c r="AE9" s="3118"/>
      <c r="AF9" s="3118"/>
      <c r="AG9" s="3118"/>
      <c r="AH9" s="3118"/>
      <c r="AI9" s="3118"/>
      <c r="AJ9" s="3118"/>
      <c r="AK9" s="3118"/>
      <c r="AL9" s="3118"/>
      <c r="AM9" s="3118"/>
      <c r="AN9" s="3118"/>
      <c r="AO9" s="3118"/>
      <c r="AP9" s="3118"/>
      <c r="AQ9" s="3118"/>
      <c r="AR9" s="3118"/>
      <c r="AS9" s="3118"/>
      <c r="AT9" s="3118"/>
      <c r="AU9" s="3118"/>
      <c r="AV9" s="3118"/>
      <c r="AW9" s="3118"/>
      <c r="AX9" s="3118"/>
      <c r="AY9" s="3118"/>
      <c r="AZ9" s="3118"/>
      <c r="BA9" s="3118"/>
      <c r="BB9" s="3118"/>
      <c r="BC9" s="3118"/>
      <c r="BD9" s="3118"/>
      <c r="BE9" s="3118"/>
      <c r="BF9" s="3118"/>
      <c r="BG9" s="3118"/>
      <c r="BH9" s="3118"/>
      <c r="BI9" s="3118"/>
      <c r="BJ9" s="3118"/>
      <c r="BK9" s="3118"/>
      <c r="BL9" s="3118"/>
      <c r="BM9" s="3118"/>
      <c r="BN9" s="3118"/>
      <c r="BO9" s="3118"/>
      <c r="BP9" s="3118"/>
      <c r="BQ9" s="3118"/>
      <c r="BR9" s="3118"/>
      <c r="BS9" s="3118"/>
      <c r="BT9" s="3118"/>
      <c r="BU9" s="3118"/>
      <c r="BV9" s="3118"/>
      <c r="BW9" s="3118"/>
    </row>
    <row r="10" spans="1:75" s="1032" customFormat="1" ht="11.45" customHeight="1" x14ac:dyDescent="0.4">
      <c r="A10" s="108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row>
    <row r="11" spans="1:75" ht="13.15" customHeight="1" x14ac:dyDescent="0.4">
      <c r="A11" s="536"/>
      <c r="C11" s="3284" t="s">
        <v>46</v>
      </c>
      <c r="D11" s="3284" t="s">
        <v>48</v>
      </c>
      <c r="E11" s="3284"/>
      <c r="F11" s="3284"/>
      <c r="G11" s="3284"/>
      <c r="H11" s="3284"/>
      <c r="I11" s="1734"/>
      <c r="J11" s="3266" t="s">
        <v>6103</v>
      </c>
      <c r="K11" s="3266"/>
      <c r="L11" s="3266"/>
      <c r="M11" s="3266"/>
      <c r="N11" s="3266"/>
      <c r="O11" s="3266"/>
      <c r="P11" s="3266"/>
      <c r="Q11" s="3266"/>
      <c r="R11" s="3266"/>
      <c r="S11" s="3266"/>
      <c r="T11" s="3266"/>
      <c r="U11" s="3266"/>
      <c r="V11" s="3266"/>
      <c r="W11" s="3266"/>
      <c r="X11" s="3266"/>
      <c r="Y11" s="3266"/>
      <c r="Z11" s="3266"/>
      <c r="AA11" s="3266"/>
      <c r="AB11" s="1671"/>
      <c r="AC11" s="3284" t="s">
        <v>327</v>
      </c>
      <c r="AD11" s="3284"/>
      <c r="AE11" s="3284"/>
      <c r="AF11" s="3284"/>
      <c r="AG11" s="3284"/>
      <c r="AH11" s="3284"/>
      <c r="AI11" s="3284"/>
      <c r="AJ11" s="3284"/>
      <c r="AK11" s="3284"/>
      <c r="AL11" s="3284"/>
      <c r="AM11" s="3284"/>
      <c r="AN11" s="3284"/>
      <c r="AO11" s="3284"/>
      <c r="AP11" s="3284"/>
      <c r="AQ11" s="3284"/>
      <c r="AR11" s="3284"/>
      <c r="AS11" s="1734"/>
      <c r="AT11" s="3268" t="s">
        <v>6104</v>
      </c>
      <c r="AU11" s="3268"/>
      <c r="AV11" s="3268"/>
      <c r="AW11" s="3268"/>
      <c r="AX11" s="3268"/>
      <c r="AY11" s="3268"/>
      <c r="AZ11" s="3268"/>
      <c r="BA11" s="3268"/>
      <c r="BB11" s="3268"/>
      <c r="BC11" s="3268"/>
      <c r="BD11" s="3268"/>
      <c r="BE11" s="3268"/>
      <c r="BF11" s="3268"/>
      <c r="BG11" s="3268"/>
      <c r="BH11" s="3268"/>
      <c r="BI11" s="3268"/>
      <c r="BJ11" s="3268"/>
      <c r="BK11" s="3268"/>
      <c r="BL11" s="3268"/>
      <c r="BM11" s="3268"/>
      <c r="BN11" s="3268"/>
      <c r="BO11" s="3268"/>
      <c r="BP11" s="3268"/>
      <c r="BQ11" s="3268"/>
      <c r="BR11" s="3268"/>
      <c r="BS11" s="3268"/>
      <c r="BT11" s="3268"/>
      <c r="BU11" s="3268"/>
      <c r="BV11" s="3268"/>
      <c r="BW11" s="3268"/>
    </row>
    <row r="12" spans="1:75" ht="13.15" customHeight="1" x14ac:dyDescent="0.4">
      <c r="A12" s="536"/>
      <c r="C12" s="3302"/>
      <c r="D12" s="3275"/>
      <c r="E12" s="3275"/>
      <c r="F12" s="3275"/>
      <c r="G12" s="3275"/>
      <c r="H12" s="3275"/>
      <c r="I12" s="1735"/>
      <c r="J12" s="3267"/>
      <c r="K12" s="3267"/>
      <c r="L12" s="3267"/>
      <c r="M12" s="3267"/>
      <c r="N12" s="3267"/>
      <c r="O12" s="3267"/>
      <c r="P12" s="3267"/>
      <c r="Q12" s="3267"/>
      <c r="R12" s="3267"/>
      <c r="S12" s="3267"/>
      <c r="T12" s="3267"/>
      <c r="U12" s="3267"/>
      <c r="V12" s="3267"/>
      <c r="W12" s="3267"/>
      <c r="X12" s="3267"/>
      <c r="Y12" s="3267"/>
      <c r="Z12" s="3267"/>
      <c r="AA12" s="3267"/>
      <c r="AB12" s="1733"/>
      <c r="AC12" s="3302"/>
      <c r="AD12" s="3302"/>
      <c r="AE12" s="3302"/>
      <c r="AF12" s="3302"/>
      <c r="AG12" s="3302"/>
      <c r="AH12" s="3302"/>
      <c r="AI12" s="3302"/>
      <c r="AJ12" s="3302"/>
      <c r="AK12" s="3302"/>
      <c r="AL12" s="3302"/>
      <c r="AM12" s="3302"/>
      <c r="AN12" s="3302"/>
      <c r="AO12" s="3302"/>
      <c r="AP12" s="3302"/>
      <c r="AQ12" s="3302"/>
      <c r="AR12" s="3302"/>
      <c r="AS12" s="1735"/>
      <c r="AT12" s="3300" t="s">
        <v>154</v>
      </c>
      <c r="AU12" s="1733"/>
      <c r="AV12" s="3268" t="s">
        <v>6105</v>
      </c>
      <c r="AW12" s="3268"/>
      <c r="AX12" s="3268"/>
      <c r="AY12" s="3268"/>
      <c r="AZ12" s="1733"/>
      <c r="BA12" s="3268" t="s">
        <v>6106</v>
      </c>
      <c r="BB12" s="3268"/>
      <c r="BC12" s="3268"/>
      <c r="BD12" s="1733"/>
      <c r="BE12" s="3268" t="s">
        <v>6107</v>
      </c>
      <c r="BF12" s="3268"/>
      <c r="BG12" s="1733"/>
      <c r="BH12" s="1733"/>
      <c r="BI12" s="3268" t="s">
        <v>6108</v>
      </c>
      <c r="BJ12" s="3268"/>
      <c r="BK12" s="3268"/>
      <c r="BL12" s="1733"/>
      <c r="BM12" s="3268" t="s">
        <v>6109</v>
      </c>
      <c r="BN12" s="3268"/>
      <c r="BO12" s="3268"/>
      <c r="BP12" s="1733"/>
      <c r="BQ12" s="3268" t="s">
        <v>6110</v>
      </c>
      <c r="BR12" s="3268"/>
      <c r="BS12" s="1733"/>
      <c r="BT12" s="1733"/>
      <c r="BU12" s="3268" t="s">
        <v>6111</v>
      </c>
      <c r="BV12" s="3268"/>
      <c r="BW12" s="3268"/>
    </row>
    <row r="13" spans="1:75" ht="15" customHeight="1" x14ac:dyDescent="0.4">
      <c r="A13" s="536"/>
      <c r="C13" s="3302"/>
      <c r="D13" s="3291" t="s">
        <v>894</v>
      </c>
      <c r="E13" s="3291"/>
      <c r="F13" s="1735"/>
      <c r="G13" s="3291" t="s">
        <v>895</v>
      </c>
      <c r="H13" s="3291"/>
      <c r="I13" s="1735"/>
      <c r="J13" s="3291" t="s">
        <v>6112</v>
      </c>
      <c r="K13" s="3291"/>
      <c r="L13" s="3291" t="s">
        <v>6113</v>
      </c>
      <c r="M13" s="3291"/>
      <c r="N13" s="3291" t="s">
        <v>6114</v>
      </c>
      <c r="O13" s="3291"/>
      <c r="P13" s="3291" t="s">
        <v>6115</v>
      </c>
      <c r="Q13" s="3291"/>
      <c r="R13" s="3291" t="s">
        <v>6116</v>
      </c>
      <c r="S13" s="3291"/>
      <c r="T13" s="3291" t="s">
        <v>6117</v>
      </c>
      <c r="U13" s="3291"/>
      <c r="V13" s="3291" t="s">
        <v>6118</v>
      </c>
      <c r="W13" s="3291"/>
      <c r="X13" s="3291" t="s">
        <v>72</v>
      </c>
      <c r="Y13" s="3291"/>
      <c r="Z13" s="1735"/>
      <c r="AA13" s="3304" t="s">
        <v>878</v>
      </c>
      <c r="AB13" s="1735"/>
      <c r="AC13" s="3303" t="s">
        <v>6119</v>
      </c>
      <c r="AD13" s="3303"/>
      <c r="AE13" s="3303" t="s">
        <v>328</v>
      </c>
      <c r="AF13" s="3303"/>
      <c r="AG13" s="3303" t="s">
        <v>329</v>
      </c>
      <c r="AH13" s="3303"/>
      <c r="AI13" s="3303" t="s">
        <v>330</v>
      </c>
      <c r="AJ13" s="3303"/>
      <c r="AK13" s="3303" t="s">
        <v>331</v>
      </c>
      <c r="AL13" s="3303"/>
      <c r="AM13" s="3303" t="s">
        <v>332</v>
      </c>
      <c r="AN13" s="3303"/>
      <c r="AO13" s="3303" t="s">
        <v>533</v>
      </c>
      <c r="AP13" s="3303"/>
      <c r="AQ13" s="3303" t="s">
        <v>334</v>
      </c>
      <c r="AR13" s="3303"/>
      <c r="AS13" s="1736"/>
      <c r="AT13" s="3300"/>
      <c r="AU13" s="1733"/>
      <c r="AV13" s="3268" t="s">
        <v>48</v>
      </c>
      <c r="AW13" s="3268"/>
      <c r="AX13" s="1733"/>
      <c r="AY13" s="3300" t="s">
        <v>47</v>
      </c>
      <c r="AZ13" s="1733"/>
      <c r="BA13" s="3268" t="s">
        <v>48</v>
      </c>
      <c r="BB13" s="3268"/>
      <c r="BC13" s="3300" t="s">
        <v>47</v>
      </c>
      <c r="BD13" s="1733"/>
      <c r="BE13" s="3268" t="s">
        <v>48</v>
      </c>
      <c r="BF13" s="3268"/>
      <c r="BG13" s="1733"/>
      <c r="BH13" s="1702"/>
      <c r="BI13" s="3268" t="s">
        <v>48</v>
      </c>
      <c r="BJ13" s="3268"/>
      <c r="BK13" s="3266" t="s">
        <v>47</v>
      </c>
      <c r="BL13" s="1733"/>
      <c r="BM13" s="3268" t="s">
        <v>48</v>
      </c>
      <c r="BN13" s="3268"/>
      <c r="BO13" s="3300" t="s">
        <v>47</v>
      </c>
      <c r="BP13" s="1733"/>
      <c r="BQ13" s="3268" t="s">
        <v>48</v>
      </c>
      <c r="BR13" s="3268"/>
      <c r="BS13" s="1733"/>
      <c r="BT13" s="3300" t="s">
        <v>47</v>
      </c>
      <c r="BU13" s="3268" t="s">
        <v>48</v>
      </c>
      <c r="BV13" s="3268"/>
      <c r="BW13" s="3300" t="s">
        <v>47</v>
      </c>
    </row>
    <row r="14" spans="1:75" x14ac:dyDescent="0.4">
      <c r="A14" s="536"/>
      <c r="C14" s="3275"/>
      <c r="D14" s="1713" t="s">
        <v>259</v>
      </c>
      <c r="E14" s="1713" t="s">
        <v>258</v>
      </c>
      <c r="F14" s="1713"/>
      <c r="G14" s="1713" t="s">
        <v>259</v>
      </c>
      <c r="H14" s="1713" t="s">
        <v>258</v>
      </c>
      <c r="I14" s="1713"/>
      <c r="J14" s="1713" t="s">
        <v>259</v>
      </c>
      <c r="K14" s="1713" t="s">
        <v>258</v>
      </c>
      <c r="L14" s="1713" t="s">
        <v>259</v>
      </c>
      <c r="M14" s="1713" t="s">
        <v>258</v>
      </c>
      <c r="N14" s="1713" t="s">
        <v>259</v>
      </c>
      <c r="O14" s="1713" t="s">
        <v>258</v>
      </c>
      <c r="P14" s="1713" t="s">
        <v>259</v>
      </c>
      <c r="Q14" s="1713" t="s">
        <v>258</v>
      </c>
      <c r="R14" s="1713" t="s">
        <v>259</v>
      </c>
      <c r="S14" s="1713" t="s">
        <v>258</v>
      </c>
      <c r="T14" s="1713" t="s">
        <v>259</v>
      </c>
      <c r="U14" s="1713" t="s">
        <v>258</v>
      </c>
      <c r="V14" s="1713" t="s">
        <v>259</v>
      </c>
      <c r="W14" s="1713" t="s">
        <v>258</v>
      </c>
      <c r="X14" s="1713" t="s">
        <v>259</v>
      </c>
      <c r="Y14" s="1713" t="s">
        <v>258</v>
      </c>
      <c r="Z14" s="1713"/>
      <c r="AA14" s="3305"/>
      <c r="AB14" s="1713"/>
      <c r="AC14" s="1737" t="s">
        <v>257</v>
      </c>
      <c r="AD14" s="1737" t="s">
        <v>258</v>
      </c>
      <c r="AE14" s="1737" t="s">
        <v>257</v>
      </c>
      <c r="AF14" s="1737" t="s">
        <v>258</v>
      </c>
      <c r="AG14" s="1737" t="s">
        <v>257</v>
      </c>
      <c r="AH14" s="1737" t="s">
        <v>258</v>
      </c>
      <c r="AI14" s="1737" t="s">
        <v>257</v>
      </c>
      <c r="AJ14" s="1737" t="s">
        <v>258</v>
      </c>
      <c r="AK14" s="1737" t="s">
        <v>257</v>
      </c>
      <c r="AL14" s="1737" t="s">
        <v>258</v>
      </c>
      <c r="AM14" s="1737" t="s">
        <v>257</v>
      </c>
      <c r="AN14" s="1737" t="s">
        <v>258</v>
      </c>
      <c r="AO14" s="1737" t="s">
        <v>257</v>
      </c>
      <c r="AP14" s="1737" t="s">
        <v>258</v>
      </c>
      <c r="AQ14" s="1737" t="s">
        <v>257</v>
      </c>
      <c r="AR14" s="1737" t="s">
        <v>258</v>
      </c>
      <c r="AS14" s="1737"/>
      <c r="AT14" s="3267"/>
      <c r="AU14" s="1672"/>
      <c r="AV14" s="1697" t="s">
        <v>894</v>
      </c>
      <c r="AW14" s="1697" t="s">
        <v>895</v>
      </c>
      <c r="AX14" s="1738"/>
      <c r="AY14" s="3267"/>
      <c r="AZ14" s="1672"/>
      <c r="BA14" s="1697" t="s">
        <v>894</v>
      </c>
      <c r="BB14" s="1697" t="s">
        <v>895</v>
      </c>
      <c r="BC14" s="3267"/>
      <c r="BD14" s="1672"/>
      <c r="BE14" s="1697" t="s">
        <v>894</v>
      </c>
      <c r="BF14" s="1697" t="s">
        <v>895</v>
      </c>
      <c r="BG14" s="1738"/>
      <c r="BH14" s="1697" t="s">
        <v>47</v>
      </c>
      <c r="BI14" s="1697" t="s">
        <v>894</v>
      </c>
      <c r="BJ14" s="1697" t="s">
        <v>895</v>
      </c>
      <c r="BK14" s="3267"/>
      <c r="BL14" s="1672"/>
      <c r="BM14" s="1697" t="s">
        <v>894</v>
      </c>
      <c r="BN14" s="1697" t="s">
        <v>895</v>
      </c>
      <c r="BO14" s="3267"/>
      <c r="BP14" s="1672"/>
      <c r="BQ14" s="1697" t="s">
        <v>894</v>
      </c>
      <c r="BR14" s="1697" t="s">
        <v>895</v>
      </c>
      <c r="BS14" s="1738"/>
      <c r="BT14" s="3267"/>
      <c r="BU14" s="1697" t="s">
        <v>894</v>
      </c>
      <c r="BV14" s="1697" t="s">
        <v>895</v>
      </c>
      <c r="BW14" s="3267"/>
    </row>
    <row r="15" spans="1:75" x14ac:dyDescent="0.4">
      <c r="A15" s="536"/>
      <c r="C15" s="232">
        <v>2012</v>
      </c>
      <c r="D15" s="1739">
        <v>1997</v>
      </c>
      <c r="E15" s="1740">
        <v>84.424574864981992</v>
      </c>
      <c r="F15" s="546"/>
      <c r="G15" s="1739">
        <v>7894</v>
      </c>
      <c r="H15" s="1740">
        <v>342.96821743854792</v>
      </c>
      <c r="I15" s="283"/>
      <c r="J15" s="1739">
        <v>675</v>
      </c>
      <c r="K15" s="1740">
        <v>198.00528014080376</v>
      </c>
      <c r="L15" s="1739">
        <v>665</v>
      </c>
      <c r="M15" s="1740">
        <v>183.76866702775598</v>
      </c>
      <c r="N15" s="1739">
        <v>1063</v>
      </c>
      <c r="O15" s="1740">
        <v>270.119864101502</v>
      </c>
      <c r="P15" s="1739">
        <v>1098</v>
      </c>
      <c r="Q15" s="1740">
        <v>261.60484326343703</v>
      </c>
      <c r="R15" s="1739">
        <v>888</v>
      </c>
      <c r="S15" s="1741">
        <v>202.77761902040351</v>
      </c>
      <c r="T15" s="1382">
        <v>1933</v>
      </c>
      <c r="U15" s="1382">
        <v>239.26939282761217</v>
      </c>
      <c r="V15" s="1552">
        <v>2717</v>
      </c>
      <c r="W15" s="1382">
        <v>171.96899114900856</v>
      </c>
      <c r="X15" s="1552">
        <v>696</v>
      </c>
      <c r="Y15" s="1382">
        <v>213.59849007963911</v>
      </c>
      <c r="Z15" s="283"/>
      <c r="AA15" s="1552">
        <v>157</v>
      </c>
      <c r="AB15" s="283"/>
      <c r="AC15" s="1739">
        <v>9891</v>
      </c>
      <c r="AD15" s="1382">
        <v>211.92568909595084</v>
      </c>
      <c r="AE15" s="1739">
        <v>3846</v>
      </c>
      <c r="AF15" s="1382">
        <v>228.49198852193132</v>
      </c>
      <c r="AG15" s="1742">
        <v>2033</v>
      </c>
      <c r="AH15" s="1382">
        <v>227.23030512346779</v>
      </c>
      <c r="AI15" s="1742">
        <v>682</v>
      </c>
      <c r="AJ15" s="1382">
        <v>131.17150385628835</v>
      </c>
      <c r="AK15" s="1743">
        <v>581</v>
      </c>
      <c r="AL15" s="1382">
        <v>125.42771715078312</v>
      </c>
      <c r="AM15" s="232">
        <v>970</v>
      </c>
      <c r="AN15" s="1382">
        <v>346.5238654915816</v>
      </c>
      <c r="AO15" s="1739">
        <v>1067</v>
      </c>
      <c r="AP15" s="1382">
        <v>289.87239637808926</v>
      </c>
      <c r="AQ15" s="232">
        <v>712</v>
      </c>
      <c r="AR15" s="1382">
        <v>155.40965286023609</v>
      </c>
      <c r="AS15" s="1744"/>
      <c r="AT15" s="1590">
        <v>9891</v>
      </c>
      <c r="AU15" s="1089"/>
      <c r="AV15" s="1578">
        <v>699</v>
      </c>
      <c r="AW15" s="1745">
        <v>1813</v>
      </c>
      <c r="AX15" s="1578"/>
      <c r="AY15" s="1745">
        <v>2512</v>
      </c>
      <c r="AZ15" s="1089"/>
      <c r="BA15" s="536">
        <v>317</v>
      </c>
      <c r="BB15" s="1742">
        <v>1707</v>
      </c>
      <c r="BC15" s="1742">
        <v>2024</v>
      </c>
      <c r="BD15" s="1089"/>
      <c r="BE15" s="1742">
        <v>160</v>
      </c>
      <c r="BF15" s="1742">
        <v>1155</v>
      </c>
      <c r="BG15" s="1746"/>
      <c r="BH15" s="1747">
        <f>BE15+BF15</f>
        <v>1315</v>
      </c>
      <c r="BI15" s="536">
        <v>254</v>
      </c>
      <c r="BJ15" s="536">
        <v>262</v>
      </c>
      <c r="BK15" s="1742">
        <v>516</v>
      </c>
      <c r="BL15" s="1089"/>
      <c r="BM15" s="1742">
        <v>112</v>
      </c>
      <c r="BN15" s="1742">
        <v>859</v>
      </c>
      <c r="BO15" s="1742">
        <v>971</v>
      </c>
      <c r="BP15" s="1089"/>
      <c r="BQ15" s="1742">
        <v>444</v>
      </c>
      <c r="BR15" s="1742">
        <v>2010</v>
      </c>
      <c r="BS15" s="1742"/>
      <c r="BT15" s="1742">
        <f>BQ15+BR15</f>
        <v>2454</v>
      </c>
      <c r="BU15" s="1742">
        <v>11</v>
      </c>
      <c r="BV15" s="1742">
        <v>88</v>
      </c>
      <c r="BW15" s="1742">
        <v>99</v>
      </c>
    </row>
    <row r="16" spans="1:75" x14ac:dyDescent="0.4">
      <c r="A16" s="536"/>
      <c r="C16" s="232">
        <v>2013</v>
      </c>
      <c r="D16" s="1739">
        <v>2065</v>
      </c>
      <c r="E16" s="1740">
        <v>88.538521100644886</v>
      </c>
      <c r="F16" s="546"/>
      <c r="G16" s="1739">
        <v>7140</v>
      </c>
      <c r="H16" s="1740">
        <v>299.89289685037005</v>
      </c>
      <c r="I16" s="283"/>
      <c r="J16" s="1739">
        <v>724</v>
      </c>
      <c r="K16" s="1740">
        <v>197.48252282437636</v>
      </c>
      <c r="L16" s="1739">
        <v>796</v>
      </c>
      <c r="M16" s="1740">
        <v>217.60617379244312</v>
      </c>
      <c r="N16" s="1739">
        <v>1131</v>
      </c>
      <c r="O16" s="1740">
        <v>291.27821838432379</v>
      </c>
      <c r="P16" s="1739">
        <v>1092</v>
      </c>
      <c r="Q16" s="1740">
        <v>261.2690896944269</v>
      </c>
      <c r="R16" s="1739">
        <v>795</v>
      </c>
      <c r="S16" s="1741">
        <v>180.3484200224118</v>
      </c>
      <c r="T16" s="1382">
        <v>1568</v>
      </c>
      <c r="U16" s="1382">
        <v>188.64504535830795</v>
      </c>
      <c r="V16" s="1552">
        <v>2374</v>
      </c>
      <c r="W16" s="1382">
        <v>150.77334600305053</v>
      </c>
      <c r="X16" s="1552">
        <v>669</v>
      </c>
      <c r="Y16" s="1382">
        <v>203.99226856022651</v>
      </c>
      <c r="Z16" s="283"/>
      <c r="AA16" s="1552">
        <v>56</v>
      </c>
      <c r="AB16" s="283"/>
      <c r="AC16" s="1739">
        <v>9205</v>
      </c>
      <c r="AD16" s="1382">
        <v>195.85060545602977</v>
      </c>
      <c r="AE16" s="1739">
        <v>3533</v>
      </c>
      <c r="AF16" s="1382">
        <v>230.88636051732135</v>
      </c>
      <c r="AG16" s="1742">
        <v>1702</v>
      </c>
      <c r="AH16" s="1382">
        <v>183.46329548369849</v>
      </c>
      <c r="AI16" s="1742">
        <v>668</v>
      </c>
      <c r="AJ16" s="1382">
        <v>124.91841966978899</v>
      </c>
      <c r="AK16" s="1743">
        <v>610</v>
      </c>
      <c r="AL16" s="1382">
        <v>129.10408117048723</v>
      </c>
      <c r="AM16" s="232">
        <v>617</v>
      </c>
      <c r="AN16" s="1382">
        <v>172.45282702450396</v>
      </c>
      <c r="AO16" s="1739">
        <v>1262</v>
      </c>
      <c r="AP16" s="1382">
        <v>280.13318534961155</v>
      </c>
      <c r="AQ16" s="232">
        <v>813</v>
      </c>
      <c r="AR16" s="1382">
        <v>190.57665260196907</v>
      </c>
      <c r="AS16" s="1744"/>
      <c r="AT16" s="1590">
        <v>9205</v>
      </c>
      <c r="AU16" s="1089"/>
      <c r="AV16" s="1578">
        <v>795</v>
      </c>
      <c r="AW16" s="1745">
        <v>1875</v>
      </c>
      <c r="AX16" s="1578"/>
      <c r="AY16" s="1745">
        <v>2670</v>
      </c>
      <c r="AZ16" s="1089"/>
      <c r="BA16" s="536">
        <v>380</v>
      </c>
      <c r="BB16" s="1742">
        <v>1971</v>
      </c>
      <c r="BC16" s="1742">
        <v>2351</v>
      </c>
      <c r="BD16" s="1089"/>
      <c r="BE16" s="1742">
        <v>218</v>
      </c>
      <c r="BF16" s="1742">
        <v>1267</v>
      </c>
      <c r="BG16" s="1746"/>
      <c r="BH16" s="1747">
        <f>BE16+BF16</f>
        <v>1485</v>
      </c>
      <c r="BI16" s="536">
        <v>302</v>
      </c>
      <c r="BJ16" s="536">
        <v>368</v>
      </c>
      <c r="BK16" s="1742">
        <v>670</v>
      </c>
      <c r="BL16" s="1089"/>
      <c r="BM16" s="1742">
        <v>134</v>
      </c>
      <c r="BN16" s="1742">
        <v>876</v>
      </c>
      <c r="BO16" s="1742">
        <v>1010</v>
      </c>
      <c r="BP16" s="1089"/>
      <c r="BQ16" s="1742">
        <v>203</v>
      </c>
      <c r="BR16" s="1742">
        <v>667</v>
      </c>
      <c r="BS16" s="1742"/>
      <c r="BT16" s="1742">
        <f>BQ16+BR16</f>
        <v>870</v>
      </c>
      <c r="BU16" s="1742">
        <v>33</v>
      </c>
      <c r="BV16" s="1742">
        <v>116</v>
      </c>
      <c r="BW16" s="1742">
        <v>149</v>
      </c>
    </row>
    <row r="17" spans="1:75" x14ac:dyDescent="0.4">
      <c r="A17" s="536"/>
      <c r="C17" s="232">
        <v>2014</v>
      </c>
      <c r="D17" s="1739">
        <v>2840</v>
      </c>
      <c r="E17" s="1740">
        <v>117.82692303703043</v>
      </c>
      <c r="F17" s="546"/>
      <c r="G17" s="1739">
        <v>8093</v>
      </c>
      <c r="H17" s="1740">
        <v>342.51677244494249</v>
      </c>
      <c r="I17" s="283"/>
      <c r="J17" s="1739">
        <v>1177</v>
      </c>
      <c r="K17" s="1740">
        <v>321.62160685105937</v>
      </c>
      <c r="L17" s="1739">
        <v>1306</v>
      </c>
      <c r="M17" s="1740">
        <v>354.69853340575776</v>
      </c>
      <c r="N17" s="1739">
        <v>1176</v>
      </c>
      <c r="O17" s="1740">
        <v>306.45430286857908</v>
      </c>
      <c r="P17" s="1739">
        <v>865</v>
      </c>
      <c r="Q17" s="1740">
        <v>209.1053915347369</v>
      </c>
      <c r="R17" s="1739">
        <v>871</v>
      </c>
      <c r="S17" s="1741">
        <v>198.894674777555</v>
      </c>
      <c r="T17" s="1382">
        <v>1570</v>
      </c>
      <c r="U17" s="1382">
        <v>185.02913914309116</v>
      </c>
      <c r="V17" s="1552">
        <v>2909</v>
      </c>
      <c r="W17" s="1382">
        <v>180.29319180927223</v>
      </c>
      <c r="X17" s="1552">
        <v>872</v>
      </c>
      <c r="Y17" s="1382">
        <v>255.62177358125518</v>
      </c>
      <c r="Z17" s="283"/>
      <c r="AA17" s="1552">
        <v>184</v>
      </c>
      <c r="AB17" s="283"/>
      <c r="AC17" s="1739">
        <v>10933</v>
      </c>
      <c r="AD17" s="1382">
        <v>229.05358110702875</v>
      </c>
      <c r="AE17" s="1739">
        <v>4865</v>
      </c>
      <c r="AF17" s="1382">
        <v>308.51984039409365</v>
      </c>
      <c r="AG17" s="1742">
        <v>1893</v>
      </c>
      <c r="AH17" s="1382">
        <v>199.97739294131566</v>
      </c>
      <c r="AI17" s="1742">
        <v>1088</v>
      </c>
      <c r="AJ17" s="1382">
        <v>210.51368822690591</v>
      </c>
      <c r="AK17" s="1743">
        <v>731</v>
      </c>
      <c r="AL17" s="1382">
        <v>151.29751590590163</v>
      </c>
      <c r="AM17" s="232">
        <v>577</v>
      </c>
      <c r="AN17" s="1382">
        <v>160.33612231117434</v>
      </c>
      <c r="AO17" s="1739">
        <v>1076</v>
      </c>
      <c r="AP17" s="1382">
        <v>233.06640443086093</v>
      </c>
      <c r="AQ17" s="232">
        <v>703</v>
      </c>
      <c r="AR17" s="1382">
        <v>164.21281794334541</v>
      </c>
      <c r="AS17" s="1744"/>
      <c r="AT17" s="1590">
        <v>10933</v>
      </c>
      <c r="AU17" s="1089"/>
      <c r="AV17" s="1578">
        <v>918</v>
      </c>
      <c r="AW17" s="1745">
        <v>1779</v>
      </c>
      <c r="AX17" s="1578"/>
      <c r="AY17" s="1745">
        <v>2697</v>
      </c>
      <c r="AZ17" s="1089"/>
      <c r="BA17" s="536">
        <v>523</v>
      </c>
      <c r="BB17" s="1742">
        <v>2279</v>
      </c>
      <c r="BC17" s="1742">
        <v>2802</v>
      </c>
      <c r="BD17" s="1089"/>
      <c r="BE17" s="1742">
        <v>194</v>
      </c>
      <c r="BF17" s="1742">
        <v>1352</v>
      </c>
      <c r="BG17" s="1746"/>
      <c r="BH17" s="1747">
        <f>BE17+BF17</f>
        <v>1546</v>
      </c>
      <c r="BI17" s="536">
        <v>474</v>
      </c>
      <c r="BJ17" s="536">
        <v>490</v>
      </c>
      <c r="BK17" s="1742">
        <v>964</v>
      </c>
      <c r="BL17" s="1089"/>
      <c r="BM17" s="1742">
        <v>224</v>
      </c>
      <c r="BN17" s="1742">
        <v>993</v>
      </c>
      <c r="BO17" s="1742">
        <v>1217</v>
      </c>
      <c r="BP17" s="1089"/>
      <c r="BQ17" s="1742">
        <v>467</v>
      </c>
      <c r="BR17" s="1742">
        <v>1090</v>
      </c>
      <c r="BS17" s="1742"/>
      <c r="BT17" s="1742">
        <f>BQ17+BR17</f>
        <v>1557</v>
      </c>
      <c r="BU17" s="1742">
        <v>40</v>
      </c>
      <c r="BV17" s="1742">
        <v>110</v>
      </c>
      <c r="BW17" s="1742">
        <v>150</v>
      </c>
    </row>
    <row r="18" spans="1:75" x14ac:dyDescent="0.4">
      <c r="A18" s="536"/>
      <c r="C18" s="232">
        <v>2015</v>
      </c>
      <c r="D18" s="1739">
        <v>3669</v>
      </c>
      <c r="E18" s="1740">
        <v>150.4105235712845</v>
      </c>
      <c r="F18" s="546"/>
      <c r="G18" s="1739">
        <v>8822</v>
      </c>
      <c r="H18" s="1740">
        <v>368.673531689333</v>
      </c>
      <c r="I18" s="283"/>
      <c r="J18" s="1739">
        <v>1537</v>
      </c>
      <c r="K18" s="1748">
        <v>419.25347241164849</v>
      </c>
      <c r="L18" s="1739">
        <v>1480</v>
      </c>
      <c r="M18" s="1748">
        <v>399.4752838163925</v>
      </c>
      <c r="N18" s="1739">
        <v>1736</v>
      </c>
      <c r="O18" s="1748">
        <v>462.19259267147856</v>
      </c>
      <c r="P18" s="1739">
        <v>1274</v>
      </c>
      <c r="Q18" s="1748">
        <v>309.83771216222459</v>
      </c>
      <c r="R18" s="1739">
        <v>812</v>
      </c>
      <c r="S18" s="1741">
        <v>186.44079471536782</v>
      </c>
      <c r="T18" s="1382">
        <v>1779</v>
      </c>
      <c r="U18" s="1382">
        <v>205.8041632828714</v>
      </c>
      <c r="V18" s="1552">
        <v>2662</v>
      </c>
      <c r="W18" s="1382">
        <v>161.0617734220242</v>
      </c>
      <c r="X18" s="1552">
        <v>971</v>
      </c>
      <c r="Y18" s="1382">
        <v>273.03120878873682</v>
      </c>
      <c r="Z18" s="283"/>
      <c r="AA18" s="1552">
        <v>240</v>
      </c>
      <c r="AB18" s="283"/>
      <c r="AC18" s="1739">
        <v>12491</v>
      </c>
      <c r="AD18" s="1382">
        <v>258.49365106399182</v>
      </c>
      <c r="AE18" s="1739">
        <v>4784</v>
      </c>
      <c r="AF18" s="1382">
        <v>300.40420189121522</v>
      </c>
      <c r="AG18" s="1742">
        <v>2611</v>
      </c>
      <c r="AH18" s="1382">
        <v>271.76741455615831</v>
      </c>
      <c r="AI18" s="1742">
        <v>1186</v>
      </c>
      <c r="AJ18" s="1382">
        <v>227.41915690004296</v>
      </c>
      <c r="AK18" s="1743">
        <v>673</v>
      </c>
      <c r="AL18" s="1382">
        <v>137.22763475019676</v>
      </c>
      <c r="AM18" s="232">
        <v>860</v>
      </c>
      <c r="AN18" s="1382">
        <v>235.26708285231246</v>
      </c>
      <c r="AO18" s="1739">
        <v>1515</v>
      </c>
      <c r="AP18" s="1382">
        <v>323.74354382718292</v>
      </c>
      <c r="AQ18" s="232">
        <v>862</v>
      </c>
      <c r="AR18" s="1382">
        <v>198.83604791441286</v>
      </c>
      <c r="AS18" s="1744"/>
      <c r="AT18" s="1590">
        <v>12491</v>
      </c>
      <c r="AU18" s="1089"/>
      <c r="AV18" s="1578">
        <v>907</v>
      </c>
      <c r="AW18" s="1745">
        <v>1498</v>
      </c>
      <c r="AX18" s="1578"/>
      <c r="AY18" s="1745">
        <v>2405</v>
      </c>
      <c r="AZ18" s="1089"/>
      <c r="BA18" s="536">
        <v>597</v>
      </c>
      <c r="BB18" s="1742">
        <v>2467</v>
      </c>
      <c r="BC18" s="1742">
        <v>3064</v>
      </c>
      <c r="BD18" s="1089"/>
      <c r="BE18" s="1742">
        <v>290</v>
      </c>
      <c r="BF18" s="1742">
        <v>1523</v>
      </c>
      <c r="BG18" s="1746"/>
      <c r="BH18" s="1747">
        <f>BE18+BF18</f>
        <v>1813</v>
      </c>
      <c r="BI18" s="536">
        <v>960</v>
      </c>
      <c r="BJ18" s="536">
        <v>848</v>
      </c>
      <c r="BK18" s="1742">
        <v>1808</v>
      </c>
      <c r="BL18" s="1089"/>
      <c r="BM18" s="1742">
        <v>341</v>
      </c>
      <c r="BN18" s="1742">
        <v>1224</v>
      </c>
      <c r="BO18" s="1742">
        <v>1565</v>
      </c>
      <c r="BP18" s="1089"/>
      <c r="BQ18" s="1742">
        <v>541</v>
      </c>
      <c r="BR18" s="1742">
        <v>1148</v>
      </c>
      <c r="BS18" s="1742"/>
      <c r="BT18" s="1742">
        <f>BQ18+BR18</f>
        <v>1689</v>
      </c>
      <c r="BU18" s="1742">
        <v>33</v>
      </c>
      <c r="BV18" s="1742">
        <v>115</v>
      </c>
      <c r="BW18" s="1742">
        <v>148</v>
      </c>
    </row>
    <row r="19" spans="1:75" x14ac:dyDescent="0.4">
      <c r="A19" s="536"/>
      <c r="C19" s="232">
        <v>2016</v>
      </c>
      <c r="D19" s="536">
        <v>3695</v>
      </c>
      <c r="E19" s="1740">
        <v>149.72698631385936</v>
      </c>
      <c r="F19" s="546"/>
      <c r="G19" s="1739">
        <v>9342</v>
      </c>
      <c r="H19" s="1740">
        <v>385.6271931979029</v>
      </c>
      <c r="I19" s="546"/>
      <c r="J19" s="1739">
        <v>1370</v>
      </c>
      <c r="K19" s="1748">
        <v>369.65384750294783</v>
      </c>
      <c r="L19" s="1739">
        <v>1384</v>
      </c>
      <c r="M19" s="1748">
        <v>374.73668249730588</v>
      </c>
      <c r="N19" s="1739">
        <v>1770</v>
      </c>
      <c r="O19" s="1748">
        <v>479.49</v>
      </c>
      <c r="P19" s="1739">
        <v>1445</v>
      </c>
      <c r="Q19" s="1748">
        <v>354.81890730509514</v>
      </c>
      <c r="R19" s="1739">
        <v>828</v>
      </c>
      <c r="S19" s="1741">
        <v>190.35401709048023</v>
      </c>
      <c r="T19" s="1382">
        <v>1910</v>
      </c>
      <c r="U19" s="1382">
        <v>218.12666878321863</v>
      </c>
      <c r="V19" s="1552">
        <v>2944</v>
      </c>
      <c r="W19" s="1382">
        <v>174.01028693965318</v>
      </c>
      <c r="X19" s="1552">
        <v>1130</v>
      </c>
      <c r="Y19" s="1382">
        <v>304.12151942340716</v>
      </c>
      <c r="Z19" s="546"/>
      <c r="AA19" s="1552">
        <v>256</v>
      </c>
      <c r="AB19" s="232"/>
      <c r="AC19" s="1739">
        <v>13037</v>
      </c>
      <c r="AD19" s="1382">
        <v>266.58503688471961</v>
      </c>
      <c r="AE19" s="1739">
        <v>4831</v>
      </c>
      <c r="AF19" s="1382">
        <v>300.59047891635606</v>
      </c>
      <c r="AG19" s="1742">
        <v>2930</v>
      </c>
      <c r="AH19" s="1382">
        <v>300.50573165966341</v>
      </c>
      <c r="AI19" s="1742">
        <v>1152</v>
      </c>
      <c r="AJ19" s="1382">
        <v>219.12638570809017</v>
      </c>
      <c r="AK19" s="1743">
        <v>511</v>
      </c>
      <c r="AL19" s="1382">
        <v>102.65063629332771</v>
      </c>
      <c r="AM19" s="232">
        <v>830</v>
      </c>
      <c r="AN19" s="1382">
        <v>223.49377314035678</v>
      </c>
      <c r="AO19" s="1739">
        <v>1721</v>
      </c>
      <c r="AP19" s="1382">
        <v>362.87958976262064</v>
      </c>
      <c r="AQ19" s="232">
        <v>1062</v>
      </c>
      <c r="AR19" s="1382">
        <v>241.90627612394167</v>
      </c>
      <c r="AS19" s="546"/>
      <c r="AT19" s="1749">
        <v>13037</v>
      </c>
      <c r="AU19" s="1749"/>
      <c r="AV19" s="1750">
        <v>921</v>
      </c>
      <c r="AW19" s="1745">
        <v>1682</v>
      </c>
      <c r="AX19" s="1751"/>
      <c r="AY19" s="1745">
        <v>2603</v>
      </c>
      <c r="AZ19" s="1749"/>
      <c r="BA19" s="1749">
        <v>765</v>
      </c>
      <c r="BB19" s="1742">
        <v>2850</v>
      </c>
      <c r="BC19" s="1742">
        <v>3615</v>
      </c>
      <c r="BD19" s="1749"/>
      <c r="BE19" s="1742">
        <v>246</v>
      </c>
      <c r="BF19" s="1742">
        <v>1620</v>
      </c>
      <c r="BG19" s="232"/>
      <c r="BH19" s="785">
        <v>1866</v>
      </c>
      <c r="BI19" s="232">
        <v>1149</v>
      </c>
      <c r="BJ19" s="232">
        <v>1092</v>
      </c>
      <c r="BK19" s="1742">
        <v>2241</v>
      </c>
      <c r="BL19" s="1749"/>
      <c r="BM19" s="1742">
        <v>285</v>
      </c>
      <c r="BN19" s="1742">
        <v>1250</v>
      </c>
      <c r="BO19" s="1742">
        <v>1490</v>
      </c>
      <c r="BP19" s="1749"/>
      <c r="BQ19" s="1742">
        <v>294</v>
      </c>
      <c r="BR19" s="1742">
        <v>765</v>
      </c>
      <c r="BS19" s="1742"/>
      <c r="BT19" s="1742">
        <v>1059</v>
      </c>
      <c r="BU19" s="1742">
        <v>35</v>
      </c>
      <c r="BV19" s="1742">
        <v>128</v>
      </c>
      <c r="BW19" s="1742">
        <v>163</v>
      </c>
    </row>
    <row r="20" spans="1:75" x14ac:dyDescent="0.4">
      <c r="A20" s="536"/>
      <c r="C20" s="232">
        <v>2019</v>
      </c>
      <c r="D20" s="536">
        <v>2782</v>
      </c>
      <c r="E20" s="1740">
        <v>109.1</v>
      </c>
      <c r="F20" s="546"/>
      <c r="G20" s="1739">
        <v>8024</v>
      </c>
      <c r="H20" s="1740">
        <v>319.89999999999998</v>
      </c>
      <c r="I20" s="546"/>
      <c r="J20" s="1739">
        <v>1395</v>
      </c>
      <c r="K20" s="1748">
        <v>379.08</v>
      </c>
      <c r="L20" s="1739">
        <v>1038</v>
      </c>
      <c r="M20" s="1748">
        <v>279.7</v>
      </c>
      <c r="N20" s="1739">
        <v>1325</v>
      </c>
      <c r="O20" s="1748">
        <v>355.8</v>
      </c>
      <c r="P20" s="1739">
        <v>1431</v>
      </c>
      <c r="Q20" s="1748">
        <v>367.3</v>
      </c>
      <c r="R20" s="1739">
        <v>695</v>
      </c>
      <c r="S20" s="1741">
        <v>164.5</v>
      </c>
      <c r="T20" s="1382">
        <v>1438</v>
      </c>
      <c r="U20" s="1382">
        <v>160.11000000000001</v>
      </c>
      <c r="V20" s="1552">
        <v>2257</v>
      </c>
      <c r="W20" s="1382">
        <v>124.97</v>
      </c>
      <c r="X20" s="1552">
        <v>978</v>
      </c>
      <c r="Y20" s="1382">
        <v>227.29</v>
      </c>
      <c r="Z20" s="546"/>
      <c r="AA20" s="1552">
        <v>230.42699999999999</v>
      </c>
      <c r="AB20" s="232"/>
      <c r="AC20" s="1739">
        <v>10806</v>
      </c>
      <c r="AD20" s="1382">
        <v>213.6</v>
      </c>
      <c r="AE20" s="1739">
        <v>3641</v>
      </c>
      <c r="AF20" s="1382">
        <v>220.9</v>
      </c>
      <c r="AG20" s="1742">
        <v>2338</v>
      </c>
      <c r="AH20" s="1382">
        <v>230</v>
      </c>
      <c r="AI20" s="1742">
        <v>861</v>
      </c>
      <c r="AJ20" s="1382">
        <v>160.19999999999999</v>
      </c>
      <c r="AK20" s="1743">
        <v>344</v>
      </c>
      <c r="AL20" s="1382">
        <v>66.3</v>
      </c>
      <c r="AM20" s="232">
        <v>733</v>
      </c>
      <c r="AN20" s="1382">
        <v>188.7</v>
      </c>
      <c r="AO20" s="1739">
        <v>1453</v>
      </c>
      <c r="AP20" s="1382">
        <v>294.8</v>
      </c>
      <c r="AQ20" s="232">
        <v>1436</v>
      </c>
      <c r="AR20" s="1382">
        <v>315.60000000000002</v>
      </c>
      <c r="AS20" s="546"/>
      <c r="AT20" s="1749">
        <v>10806</v>
      </c>
      <c r="AU20" s="1749"/>
      <c r="AV20" s="1750">
        <v>414</v>
      </c>
      <c r="AW20" s="1745">
        <v>922</v>
      </c>
      <c r="AX20" s="1751"/>
      <c r="AY20" s="1745">
        <v>1336</v>
      </c>
      <c r="AZ20" s="1749"/>
      <c r="BA20" s="1749">
        <v>298</v>
      </c>
      <c r="BB20" s="1742">
        <v>1472</v>
      </c>
      <c r="BC20" s="1742">
        <v>1336</v>
      </c>
      <c r="BD20" s="1749"/>
      <c r="BE20" s="1742">
        <v>210</v>
      </c>
      <c r="BF20" s="1742">
        <v>1398</v>
      </c>
      <c r="BG20" s="232"/>
      <c r="BH20" s="785">
        <v>1608</v>
      </c>
      <c r="BI20" s="232">
        <v>996</v>
      </c>
      <c r="BJ20" s="232">
        <v>1063</v>
      </c>
      <c r="BK20" s="1742">
        <v>2059</v>
      </c>
      <c r="BL20" s="1749"/>
      <c r="BM20" s="1742">
        <v>392</v>
      </c>
      <c r="BN20" s="1742">
        <v>1543</v>
      </c>
      <c r="BO20" s="1742">
        <v>1935</v>
      </c>
      <c r="BP20" s="1749"/>
      <c r="BQ20" s="1742">
        <v>460</v>
      </c>
      <c r="BR20" s="1742">
        <v>1571</v>
      </c>
      <c r="BS20" s="1742"/>
      <c r="BT20" s="1742">
        <v>2031</v>
      </c>
      <c r="BU20" s="1742">
        <v>12</v>
      </c>
      <c r="BV20" s="1742">
        <v>55</v>
      </c>
      <c r="BW20" s="1742">
        <v>67</v>
      </c>
    </row>
    <row r="21" spans="1:75" x14ac:dyDescent="0.4">
      <c r="A21" s="536"/>
      <c r="C21" s="232">
        <v>2020</v>
      </c>
      <c r="D21" s="536">
        <v>1533</v>
      </c>
      <c r="E21" s="1740">
        <v>59.5</v>
      </c>
      <c r="F21" s="546"/>
      <c r="G21" s="1739">
        <v>4281</v>
      </c>
      <c r="H21" s="1740">
        <v>168.8</v>
      </c>
      <c r="I21" s="546"/>
      <c r="J21" s="1739">
        <v>644</v>
      </c>
      <c r="K21" s="1748">
        <v>176.05</v>
      </c>
      <c r="L21" s="1739">
        <v>538</v>
      </c>
      <c r="M21" s="1748">
        <v>144.80000000000001</v>
      </c>
      <c r="N21" s="1739">
        <v>623</v>
      </c>
      <c r="O21" s="1748">
        <v>166.3</v>
      </c>
      <c r="P21" s="1739">
        <v>809</v>
      </c>
      <c r="Q21" s="1748">
        <v>212.1</v>
      </c>
      <c r="R21" s="1739">
        <v>402</v>
      </c>
      <c r="S21" s="1741">
        <v>95.8</v>
      </c>
      <c r="T21" s="1552">
        <v>848</v>
      </c>
      <c r="U21" s="1382">
        <v>94.6</v>
      </c>
      <c r="V21" s="1552">
        <v>1349</v>
      </c>
      <c r="W21" s="1382">
        <v>72.959999999999994</v>
      </c>
      <c r="X21" s="1552">
        <v>538</v>
      </c>
      <c r="Y21" s="1382">
        <v>118.74</v>
      </c>
      <c r="Z21" s="546"/>
      <c r="AA21" s="1552">
        <v>63</v>
      </c>
      <c r="AB21" s="232"/>
      <c r="AC21" s="1739">
        <v>5814</v>
      </c>
      <c r="AD21" s="1382">
        <v>113.7</v>
      </c>
      <c r="AE21" s="1739">
        <v>1570</v>
      </c>
      <c r="AF21" s="1382">
        <v>94.5</v>
      </c>
      <c r="AG21" s="1742">
        <v>1282</v>
      </c>
      <c r="AH21" s="1382">
        <v>124.5</v>
      </c>
      <c r="AI21" s="1742">
        <v>431</v>
      </c>
      <c r="AJ21" s="1382">
        <v>79.599999999999994</v>
      </c>
      <c r="AK21" s="1743">
        <v>112</v>
      </c>
      <c r="AL21" s="1382">
        <v>21.3</v>
      </c>
      <c r="AM21" s="232">
        <v>239</v>
      </c>
      <c r="AN21" s="1382">
        <v>60.7</v>
      </c>
      <c r="AO21" s="1739">
        <v>1484</v>
      </c>
      <c r="AP21" s="1382">
        <v>297.5</v>
      </c>
      <c r="AQ21" s="232">
        <v>696</v>
      </c>
      <c r="AR21" s="1382">
        <v>151.30000000000001</v>
      </c>
      <c r="AS21" s="546"/>
      <c r="AT21" s="1749">
        <v>5814</v>
      </c>
      <c r="AU21" s="1749"/>
      <c r="AV21" s="1750">
        <v>326</v>
      </c>
      <c r="AW21" s="1745">
        <v>613</v>
      </c>
      <c r="AX21" s="1751"/>
      <c r="AY21" s="1745">
        <v>939</v>
      </c>
      <c r="AZ21" s="1749"/>
      <c r="BA21" s="1749">
        <v>160</v>
      </c>
      <c r="BB21" s="1742">
        <v>807</v>
      </c>
      <c r="BC21" s="1742">
        <v>967</v>
      </c>
      <c r="BD21" s="1749"/>
      <c r="BE21" s="1742">
        <v>96</v>
      </c>
      <c r="BF21" s="1742">
        <v>734</v>
      </c>
      <c r="BG21" s="232"/>
      <c r="BH21" s="785">
        <v>830</v>
      </c>
      <c r="BI21" s="232">
        <v>558</v>
      </c>
      <c r="BJ21" s="232">
        <v>611</v>
      </c>
      <c r="BK21" s="1742">
        <v>1169</v>
      </c>
      <c r="BL21" s="1749"/>
      <c r="BM21" s="1742">
        <v>184</v>
      </c>
      <c r="BN21" s="1742">
        <v>731</v>
      </c>
      <c r="BO21" s="1742">
        <v>915</v>
      </c>
      <c r="BP21" s="1749"/>
      <c r="BQ21" s="1742">
        <v>198</v>
      </c>
      <c r="BR21" s="1742">
        <v>737</v>
      </c>
      <c r="BS21" s="1742"/>
      <c r="BT21" s="1742">
        <v>935</v>
      </c>
      <c r="BU21" s="1742">
        <v>11</v>
      </c>
      <c r="BV21" s="1742">
        <v>48</v>
      </c>
      <c r="BW21" s="1742">
        <v>59</v>
      </c>
    </row>
    <row r="22" spans="1:75" x14ac:dyDescent="0.4">
      <c r="A22" s="536"/>
      <c r="C22" s="1751">
        <v>2021</v>
      </c>
      <c r="D22" s="1752">
        <v>2334</v>
      </c>
      <c r="E22" s="1753">
        <v>89.746656033443898</v>
      </c>
      <c r="F22" s="1754"/>
      <c r="G22" s="1752">
        <v>7072</v>
      </c>
      <c r="H22" s="1753">
        <v>275.99481260881049</v>
      </c>
      <c r="I22" s="1754"/>
      <c r="J22" s="1755">
        <v>855</v>
      </c>
      <c r="K22" s="1756">
        <v>235.40943344796352</v>
      </c>
      <c r="L22" s="1752">
        <v>756</v>
      </c>
      <c r="M22" s="1753">
        <v>201.3</v>
      </c>
      <c r="N22" s="1752">
        <v>1115</v>
      </c>
      <c r="O22" s="1753">
        <v>298.66658095069727</v>
      </c>
      <c r="P22" s="1752">
        <v>1241</v>
      </c>
      <c r="Q22" s="1753">
        <v>331.18149866966979</v>
      </c>
      <c r="R22" s="1752">
        <v>661</v>
      </c>
      <c r="S22" s="1753">
        <v>159.09845811690968</v>
      </c>
      <c r="T22" s="1752">
        <v>1440</v>
      </c>
      <c r="U22" s="1753">
        <v>161.74</v>
      </c>
      <c r="V22" s="1757">
        <v>2309</v>
      </c>
      <c r="W22" s="1758">
        <v>121.93</v>
      </c>
      <c r="X22" s="1757">
        <v>910</v>
      </c>
      <c r="Y22" s="1758">
        <v>190.87</v>
      </c>
      <c r="Z22" s="1754"/>
      <c r="AA22" s="1757">
        <v>119</v>
      </c>
      <c r="AB22" s="1751"/>
      <c r="AC22" s="1755">
        <v>9406</v>
      </c>
      <c r="AD22" s="1758">
        <v>182.18016157594556</v>
      </c>
      <c r="AE22" s="1755">
        <v>2609</v>
      </c>
      <c r="AF22" s="1758">
        <v>155.88376054485826</v>
      </c>
      <c r="AG22" s="1745">
        <v>1958</v>
      </c>
      <c r="AH22" s="1758">
        <v>187.77865902253441</v>
      </c>
      <c r="AI22" s="1745">
        <v>823</v>
      </c>
      <c r="AJ22" s="1758">
        <v>151.1336862846639</v>
      </c>
      <c r="AK22" s="1759">
        <v>106</v>
      </c>
      <c r="AL22" s="1758">
        <v>19.889146155202887</v>
      </c>
      <c r="AM22" s="1751">
        <v>536</v>
      </c>
      <c r="AN22" s="1758">
        <v>134.19827795567952</v>
      </c>
      <c r="AO22" s="1755">
        <v>2254</v>
      </c>
      <c r="AP22" s="1758">
        <v>446.5877840211129</v>
      </c>
      <c r="AQ22" s="1751">
        <v>1120</v>
      </c>
      <c r="AR22" s="1758">
        <v>240.86487695460772</v>
      </c>
      <c r="AS22" s="1754"/>
      <c r="AT22" s="1750">
        <v>9406</v>
      </c>
      <c r="AU22" s="1750"/>
      <c r="AV22" s="1750">
        <v>429</v>
      </c>
      <c r="AW22" s="1745">
        <v>980</v>
      </c>
      <c r="AX22" s="1751"/>
      <c r="AY22" s="1745">
        <f>SUM(AV22:AX22)</f>
        <v>1409</v>
      </c>
      <c r="AZ22" s="1750"/>
      <c r="BA22" s="1750">
        <v>427</v>
      </c>
      <c r="BB22" s="1745">
        <v>1937</v>
      </c>
      <c r="BC22" s="1745">
        <f>SUM(BA22:BB22)</f>
        <v>2364</v>
      </c>
      <c r="BD22" s="1750"/>
      <c r="BE22" s="1745">
        <v>161</v>
      </c>
      <c r="BF22" s="1745">
        <v>1084</v>
      </c>
      <c r="BG22" s="1751"/>
      <c r="BH22" s="1760">
        <f>SUM(BE22:BG22)</f>
        <v>1245</v>
      </c>
      <c r="BI22" s="1751">
        <v>840</v>
      </c>
      <c r="BJ22" s="1751">
        <v>954</v>
      </c>
      <c r="BK22" s="1745">
        <f>SUM(BI22:BJ22)</f>
        <v>1794</v>
      </c>
      <c r="BL22" s="1750"/>
      <c r="BM22" s="1745">
        <v>247</v>
      </c>
      <c r="BN22" s="1745">
        <v>1281</v>
      </c>
      <c r="BO22" s="1745">
        <f>SUM(BM22:BN22)</f>
        <v>1528</v>
      </c>
      <c r="BP22" s="1750"/>
      <c r="BQ22" s="1745">
        <v>201</v>
      </c>
      <c r="BR22" s="1745">
        <v>757</v>
      </c>
      <c r="BS22" s="1745"/>
      <c r="BT22" s="1745">
        <f>SUM(BQ22:BS22)</f>
        <v>958</v>
      </c>
      <c r="BU22" s="1745">
        <v>29</v>
      </c>
      <c r="BV22" s="1745">
        <v>79</v>
      </c>
      <c r="BW22" s="1745">
        <f>SUM(BU22:BV22)</f>
        <v>108</v>
      </c>
    </row>
    <row r="23" spans="1:75" x14ac:dyDescent="0.4">
      <c r="A23" s="536"/>
      <c r="C23" s="1751">
        <v>2022</v>
      </c>
      <c r="D23" s="1752">
        <v>2940</v>
      </c>
      <c r="E23" s="1753">
        <v>112.00072533803075</v>
      </c>
      <c r="F23" s="1754"/>
      <c r="G23" s="1752">
        <v>8182</v>
      </c>
      <c r="H23" s="1753">
        <v>316.1051762512368</v>
      </c>
      <c r="I23" s="1754"/>
      <c r="J23" s="1755">
        <v>931</v>
      </c>
      <c r="K23" s="1756">
        <v>258.43</v>
      </c>
      <c r="L23" s="1752">
        <v>1099</v>
      </c>
      <c r="M23" s="1753">
        <v>292.37743559183156</v>
      </c>
      <c r="N23" s="1752">
        <v>1637</v>
      </c>
      <c r="O23" s="1753">
        <v>436.49724956070304</v>
      </c>
      <c r="P23" s="1752">
        <v>1392</v>
      </c>
      <c r="Q23" s="1753">
        <v>374.54695155913237</v>
      </c>
      <c r="R23" s="1752">
        <v>689</v>
      </c>
      <c r="S23" s="1753">
        <v>168.03074791973543</v>
      </c>
      <c r="T23" s="1752">
        <v>1682</v>
      </c>
      <c r="U23" s="1753">
        <v>189.54761003227495</v>
      </c>
      <c r="V23" s="1757">
        <v>2595</v>
      </c>
      <c r="W23" s="1758">
        <v>134.32</v>
      </c>
      <c r="X23" s="1757">
        <v>1035</v>
      </c>
      <c r="Y23" s="1758">
        <v>206.52787727255495</v>
      </c>
      <c r="Z23" s="1754"/>
      <c r="AA23" s="1757">
        <v>62</v>
      </c>
      <c r="AB23" s="1751"/>
      <c r="AC23" s="1755">
        <v>11122</v>
      </c>
      <c r="AD23" s="1758">
        <v>213.33642283041155</v>
      </c>
      <c r="AE23" s="1755">
        <v>3013</v>
      </c>
      <c r="AF23" s="1758">
        <v>178.78133197729304</v>
      </c>
      <c r="AG23" s="1745">
        <v>2983</v>
      </c>
      <c r="AH23" s="1758">
        <v>282.57819686123167</v>
      </c>
      <c r="AI23" s="1745">
        <v>838</v>
      </c>
      <c r="AJ23" s="1758">
        <v>153.00598330080282</v>
      </c>
      <c r="AK23" s="1759">
        <v>339</v>
      </c>
      <c r="AL23" s="1758">
        <v>62.824547162887932</v>
      </c>
      <c r="AM23" s="1751">
        <v>719</v>
      </c>
      <c r="AN23" s="1758">
        <v>177.62998611570902</v>
      </c>
      <c r="AO23" s="1755">
        <v>2124</v>
      </c>
      <c r="AP23" s="1758">
        <v>416.00889992674797</v>
      </c>
      <c r="AQ23" s="1751">
        <v>1106</v>
      </c>
      <c r="AR23" s="1758">
        <v>235.42083069921691</v>
      </c>
      <c r="AS23" s="1754"/>
      <c r="AT23" s="1750">
        <v>11122</v>
      </c>
      <c r="AU23" s="1750"/>
      <c r="AV23" s="1750">
        <v>609</v>
      </c>
      <c r="AW23" s="1745">
        <v>1067</v>
      </c>
      <c r="AX23" s="1751"/>
      <c r="AY23" s="1745">
        <v>1676</v>
      </c>
      <c r="AZ23" s="1750"/>
      <c r="BA23" s="1750">
        <v>444</v>
      </c>
      <c r="BB23" s="1745">
        <v>2019</v>
      </c>
      <c r="BC23" s="1745">
        <v>2463</v>
      </c>
      <c r="BD23" s="1750"/>
      <c r="BE23" s="1745">
        <v>151</v>
      </c>
      <c r="BF23" s="1745">
        <v>1249</v>
      </c>
      <c r="BG23" s="1751"/>
      <c r="BH23" s="1760">
        <v>1400</v>
      </c>
      <c r="BI23" s="1751">
        <v>1219</v>
      </c>
      <c r="BJ23" s="1751">
        <v>1510</v>
      </c>
      <c r="BK23" s="1745">
        <v>2729</v>
      </c>
      <c r="BL23" s="1750"/>
      <c r="BM23" s="1745">
        <v>284</v>
      </c>
      <c r="BN23" s="1745">
        <v>1590</v>
      </c>
      <c r="BO23" s="1745">
        <v>1874</v>
      </c>
      <c r="BP23" s="1750"/>
      <c r="BQ23" s="1745">
        <v>208</v>
      </c>
      <c r="BR23" s="1745">
        <v>661</v>
      </c>
      <c r="BS23" s="1745"/>
      <c r="BT23" s="1745">
        <v>869</v>
      </c>
      <c r="BU23" s="1745">
        <v>25</v>
      </c>
      <c r="BV23" s="1745">
        <v>86</v>
      </c>
      <c r="BW23" s="1745">
        <v>111</v>
      </c>
    </row>
    <row r="24" spans="1:75" x14ac:dyDescent="0.4">
      <c r="A24" s="536"/>
      <c r="C24" s="1761">
        <v>2023</v>
      </c>
      <c r="D24" s="1762">
        <v>5742</v>
      </c>
      <c r="E24" s="1763">
        <v>216.79983507807736</v>
      </c>
      <c r="F24" s="1764"/>
      <c r="G24" s="1762">
        <v>13191</v>
      </c>
      <c r="H24" s="1763">
        <v>504.68703550026231</v>
      </c>
      <c r="I24" s="1764"/>
      <c r="J24" s="1765">
        <v>1912</v>
      </c>
      <c r="K24" s="1766">
        <v>535.47973326835881</v>
      </c>
      <c r="L24" s="1762">
        <v>1802</v>
      </c>
      <c r="M24" s="1763">
        <v>481.27770952406388</v>
      </c>
      <c r="N24" s="1762">
        <v>2929</v>
      </c>
      <c r="O24" s="1763">
        <v>779.76497899506421</v>
      </c>
      <c r="P24" s="1762">
        <v>2697</v>
      </c>
      <c r="Q24" s="1763">
        <v>718.63275920873127</v>
      </c>
      <c r="R24" s="1762">
        <v>1119</v>
      </c>
      <c r="S24" s="1763">
        <v>278.31043925296404</v>
      </c>
      <c r="T24" s="1762">
        <v>1408</v>
      </c>
      <c r="U24" s="1763">
        <v>159.36922385603344</v>
      </c>
      <c r="V24" s="1767">
        <v>4137</v>
      </c>
      <c r="W24" s="1768">
        <v>210.2</v>
      </c>
      <c r="X24" s="1767">
        <v>1882</v>
      </c>
      <c r="Y24" s="1768">
        <v>357.71374917081499</v>
      </c>
      <c r="Z24" s="1764"/>
      <c r="AA24" s="1767">
        <v>47</v>
      </c>
      <c r="AB24" s="1761"/>
      <c r="AC24" s="1765">
        <v>18933</v>
      </c>
      <c r="AD24" s="1768">
        <v>359.79077291449909</v>
      </c>
      <c r="AE24" s="1765">
        <v>5432</v>
      </c>
      <c r="AF24" s="1768">
        <v>320.23298246441448</v>
      </c>
      <c r="AG24" s="1769">
        <v>5050</v>
      </c>
      <c r="AH24" s="1768">
        <v>472.73224258559259</v>
      </c>
      <c r="AI24" s="1769">
        <v>1557</v>
      </c>
      <c r="AJ24" s="1768">
        <v>282.75417457391649</v>
      </c>
      <c r="AK24" s="1770">
        <v>847</v>
      </c>
      <c r="AL24" s="1768">
        <v>155.08872283429676</v>
      </c>
      <c r="AM24" s="1761">
        <v>1264</v>
      </c>
      <c r="AN24" s="1768">
        <v>308.25133213837165</v>
      </c>
      <c r="AO24" s="1765">
        <v>2952</v>
      </c>
      <c r="AP24" s="1768">
        <v>571.73181284692225</v>
      </c>
      <c r="AQ24" s="1761">
        <v>1831</v>
      </c>
      <c r="AR24" s="1768">
        <v>385.85791746307376</v>
      </c>
      <c r="AS24" s="1764"/>
      <c r="AT24" s="1771">
        <v>18933</v>
      </c>
      <c r="AU24" s="1771"/>
      <c r="AV24" s="1771">
        <v>1778</v>
      </c>
      <c r="AW24" s="1769">
        <v>2416</v>
      </c>
      <c r="AX24" s="1761"/>
      <c r="AY24" s="1769">
        <v>4194</v>
      </c>
      <c r="AZ24" s="1771"/>
      <c r="BA24" s="1771">
        <v>869</v>
      </c>
      <c r="BB24" s="1769">
        <v>3364</v>
      </c>
      <c r="BC24" s="1769">
        <v>4233</v>
      </c>
      <c r="BD24" s="1771"/>
      <c r="BE24" s="1769">
        <v>410</v>
      </c>
      <c r="BF24" s="1769">
        <v>2786</v>
      </c>
      <c r="BG24" s="1761"/>
      <c r="BH24" s="1772">
        <v>3196</v>
      </c>
      <c r="BI24" s="1761">
        <v>2196</v>
      </c>
      <c r="BJ24" s="1761">
        <v>2436</v>
      </c>
      <c r="BK24" s="1769">
        <v>4632</v>
      </c>
      <c r="BL24" s="1771"/>
      <c r="BM24" s="1769">
        <v>270</v>
      </c>
      <c r="BN24" s="1769">
        <v>1558</v>
      </c>
      <c r="BO24" s="1769">
        <v>1828</v>
      </c>
      <c r="BP24" s="1771"/>
      <c r="BQ24" s="1769">
        <v>171</v>
      </c>
      <c r="BR24" s="1769">
        <v>414</v>
      </c>
      <c r="BS24" s="1769"/>
      <c r="BT24" s="1769">
        <v>585</v>
      </c>
      <c r="BU24" s="1769">
        <v>48</v>
      </c>
      <c r="BV24" s="1769">
        <v>217</v>
      </c>
      <c r="BW24" s="1769">
        <v>265</v>
      </c>
    </row>
    <row r="25" spans="1:75" x14ac:dyDescent="0.4">
      <c r="A25" s="536"/>
      <c r="C25" s="155" t="s">
        <v>6120</v>
      </c>
      <c r="AA25" s="1773"/>
    </row>
    <row r="26" spans="1:75" x14ac:dyDescent="0.4">
      <c r="A26" s="536"/>
      <c r="C26" s="155"/>
    </row>
    <row r="27" spans="1:75" ht="23.25" customHeight="1" x14ac:dyDescent="0.4">
      <c r="A27" s="536"/>
    </row>
    <row r="28" spans="1:75" ht="23.25" customHeight="1" x14ac:dyDescent="0.4">
      <c r="A28" s="536"/>
      <c r="C28" s="138" t="s">
        <v>6121</v>
      </c>
      <c r="D28" s="1032"/>
      <c r="O28" s="226"/>
      <c r="P28" s="226"/>
      <c r="Q28" s="226"/>
      <c r="R28" s="226"/>
      <c r="S28" s="226"/>
    </row>
    <row r="29" spans="1:75" x14ac:dyDescent="0.4">
      <c r="A29" s="536"/>
      <c r="N29" s="226"/>
      <c r="O29" s="226"/>
      <c r="P29" s="226"/>
      <c r="Q29" s="226"/>
      <c r="R29" s="226"/>
      <c r="S29" s="226"/>
    </row>
    <row r="30" spans="1:75" x14ac:dyDescent="0.4">
      <c r="A30" s="536"/>
      <c r="M30" s="123"/>
      <c r="N30" s="1774" t="s">
        <v>46</v>
      </c>
      <c r="O30" s="1774" t="s">
        <v>894</v>
      </c>
      <c r="P30" s="1774" t="s">
        <v>895</v>
      </c>
      <c r="Q30" s="283"/>
      <c r="S30" s="226"/>
    </row>
    <row r="31" spans="1:75" x14ac:dyDescent="0.4">
      <c r="A31" s="536"/>
      <c r="M31" s="123"/>
      <c r="N31" s="1775">
        <v>2012</v>
      </c>
      <c r="O31" s="1776">
        <v>84.424574864981992</v>
      </c>
      <c r="P31" s="1776">
        <v>342.96821743854792</v>
      </c>
      <c r="Q31" s="283"/>
      <c r="R31" s="283"/>
      <c r="S31" s="283"/>
    </row>
    <row r="32" spans="1:75" x14ac:dyDescent="0.4">
      <c r="A32" s="536"/>
      <c r="M32" s="123"/>
      <c r="N32" s="1775">
        <v>2013</v>
      </c>
      <c r="O32" s="1776">
        <v>88.538521100644886</v>
      </c>
      <c r="P32" s="1776">
        <v>299.89289685037005</v>
      </c>
      <c r="Q32" s="546"/>
      <c r="R32" s="1739"/>
    </row>
    <row r="33" spans="1:18" x14ac:dyDescent="0.4">
      <c r="A33" s="536"/>
      <c r="M33" s="123"/>
      <c r="N33" s="1775">
        <v>2014</v>
      </c>
      <c r="O33" s="1776">
        <v>117.82692303703043</v>
      </c>
      <c r="P33" s="1776">
        <v>342.51677244494249</v>
      </c>
      <c r="Q33" s="546"/>
      <c r="R33" s="1739"/>
    </row>
    <row r="34" spans="1:18" x14ac:dyDescent="0.4">
      <c r="A34" s="536"/>
      <c r="M34" s="123"/>
      <c r="N34" s="1775">
        <v>2015</v>
      </c>
      <c r="O34" s="1776">
        <v>150.4105235712845</v>
      </c>
      <c r="P34" s="1776">
        <v>368.673531689333</v>
      </c>
      <c r="Q34" s="546"/>
      <c r="R34" s="1739"/>
    </row>
    <row r="35" spans="1:18" x14ac:dyDescent="0.4">
      <c r="A35" s="536"/>
      <c r="M35" s="123"/>
      <c r="N35" s="1775">
        <v>2016</v>
      </c>
      <c r="O35" s="1776">
        <v>149.72698631385936</v>
      </c>
      <c r="P35" s="1776">
        <v>385.6271931979029</v>
      </c>
      <c r="Q35" s="546"/>
      <c r="R35" s="1739"/>
    </row>
    <row r="36" spans="1:18" x14ac:dyDescent="0.4">
      <c r="A36" s="536"/>
      <c r="M36" s="123"/>
      <c r="N36" s="1775">
        <v>2019</v>
      </c>
      <c r="O36" s="1776">
        <v>109.1</v>
      </c>
      <c r="P36" s="1776">
        <v>319.89999999999998</v>
      </c>
      <c r="Q36" s="546"/>
      <c r="R36" s="1739"/>
    </row>
    <row r="37" spans="1:18" x14ac:dyDescent="0.4">
      <c r="A37" s="536"/>
      <c r="M37" s="123"/>
      <c r="N37" s="1775">
        <v>2020</v>
      </c>
      <c r="O37" s="1776">
        <v>59.5</v>
      </c>
      <c r="P37" s="1776">
        <v>168.8</v>
      </c>
      <c r="Q37" s="546"/>
      <c r="R37" s="1739"/>
    </row>
    <row r="38" spans="1:18" x14ac:dyDescent="0.4">
      <c r="A38" s="536"/>
      <c r="M38" s="123"/>
      <c r="N38" s="1775">
        <v>2021</v>
      </c>
      <c r="O38" s="1777">
        <v>89.746656033443898</v>
      </c>
      <c r="P38" s="1777">
        <v>275.99481260881049</v>
      </c>
      <c r="Q38" s="546"/>
      <c r="R38" s="1739"/>
    </row>
    <row r="39" spans="1:18" x14ac:dyDescent="0.4">
      <c r="A39" s="536"/>
      <c r="M39" s="123"/>
      <c r="N39" s="1775">
        <v>2022</v>
      </c>
      <c r="O39" s="1777">
        <v>112.00072533803075</v>
      </c>
      <c r="P39" s="1777">
        <v>316.1051762512368</v>
      </c>
      <c r="Q39" s="546"/>
      <c r="R39" s="1778"/>
    </row>
    <row r="40" spans="1:18" x14ac:dyDescent="0.4">
      <c r="A40" s="536"/>
      <c r="M40" s="123"/>
      <c r="N40" s="1775">
        <v>2023</v>
      </c>
      <c r="O40" s="1777">
        <v>216.79983507807736</v>
      </c>
      <c r="P40" s="1777">
        <v>504.68703550026231</v>
      </c>
      <c r="Q40" s="546"/>
      <c r="R40" s="1778"/>
    </row>
    <row r="41" spans="1:18" x14ac:dyDescent="0.4">
      <c r="A41" s="536"/>
      <c r="Q41" s="546"/>
      <c r="R41" s="1778"/>
    </row>
    <row r="42" spans="1:18" x14ac:dyDescent="0.4">
      <c r="A42" s="536"/>
      <c r="C42" s="1779" t="s">
        <v>6120</v>
      </c>
    </row>
    <row r="43" spans="1:18" x14ac:dyDescent="0.4">
      <c r="A43" s="536"/>
    </row>
  </sheetData>
  <mergeCells count="55">
    <mergeCell ref="A5:B5"/>
    <mergeCell ref="C5:T5"/>
    <mergeCell ref="C1:D1"/>
    <mergeCell ref="A3:B3"/>
    <mergeCell ref="C3:T3"/>
    <mergeCell ref="A4:B4"/>
    <mergeCell ref="C4:T4"/>
    <mergeCell ref="BU12:BW12"/>
    <mergeCell ref="A6:B6"/>
    <mergeCell ref="C6:T6"/>
    <mergeCell ref="C9:BW9"/>
    <mergeCell ref="C11:C14"/>
    <mergeCell ref="D11:H12"/>
    <mergeCell ref="J11:AA12"/>
    <mergeCell ref="AC11:AR12"/>
    <mergeCell ref="AT11:BW11"/>
    <mergeCell ref="AT12:AT14"/>
    <mergeCell ref="AV12:AY12"/>
    <mergeCell ref="BA12:BC12"/>
    <mergeCell ref="BE12:BF12"/>
    <mergeCell ref="BI12:BK12"/>
    <mergeCell ref="BM12:BO12"/>
    <mergeCell ref="BQ12:BR12"/>
    <mergeCell ref="AC13:AD13"/>
    <mergeCell ref="D13:E13"/>
    <mergeCell ref="G13:H13"/>
    <mergeCell ref="J13:K13"/>
    <mergeCell ref="L13:M13"/>
    <mergeCell ref="N13:O13"/>
    <mergeCell ref="P13:Q13"/>
    <mergeCell ref="R13:S13"/>
    <mergeCell ref="T13:U13"/>
    <mergeCell ref="V13:W13"/>
    <mergeCell ref="X13:Y13"/>
    <mergeCell ref="AA13:AA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BU13:BV13"/>
    <mergeCell ref="BW13:BW14"/>
    <mergeCell ref="BI13:BJ13"/>
    <mergeCell ref="BK13:BK14"/>
    <mergeCell ref="BM13:BN13"/>
    <mergeCell ref="BO13:BO14"/>
    <mergeCell ref="BQ13:BR13"/>
    <mergeCell ref="BT13:BT14"/>
  </mergeCells>
  <hyperlinks>
    <hyperlink ref="A1" location="'ODS 11.'!A1" display="REGRESAR" xr:uid="{D0EFC679-0C8B-47FB-BD21-79BAE98BE637}"/>
    <hyperlink ref="C1:D1" location="'Metadato 11.7.2'!A1" display="VER METADATO" xr:uid="{5DEAE639-E822-4AD5-A7D7-ED982316C6B5}"/>
  </hyperlinks>
  <pageMargins left="0.7" right="0.7" top="0.75" bottom="0.75" header="0.3" footer="0.3"/>
  <pageSetup orientation="portrait"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1511-A8CF-416E-87B2-F960ED4E22F6}">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2.42578125" style="115" customWidth="1"/>
    <col min="2" max="2" width="26.42578125" style="115" customWidth="1"/>
    <col min="3" max="3" width="24" style="115" customWidth="1"/>
    <col min="4" max="4" width="85.7109375" style="115" customWidth="1"/>
    <col min="5" max="5" width="11.42578125" style="115"/>
    <col min="6" max="6" width="7.28515625" style="115" customWidth="1"/>
    <col min="7" max="8" width="11.42578125" style="115"/>
    <col min="9" max="9" width="2.5703125" style="115" customWidth="1"/>
    <col min="10" max="16384" width="11.42578125" style="115"/>
  </cols>
  <sheetData>
    <row r="1" spans="1:6" x14ac:dyDescent="0.4">
      <c r="B1" s="158" t="s">
        <v>39</v>
      </c>
    </row>
    <row r="2" spans="1:6" ht="19.5" thickBot="1" x14ac:dyDescent="0.45"/>
    <row r="3" spans="1:6" ht="23.25" customHeight="1" thickBot="1" x14ac:dyDescent="0.45">
      <c r="B3" s="3270" t="s">
        <v>75</v>
      </c>
      <c r="C3" s="3270"/>
      <c r="D3" s="3270"/>
      <c r="F3" s="1046" t="s">
        <v>265</v>
      </c>
    </row>
    <row r="4" spans="1:6" ht="37.5" x14ac:dyDescent="0.4">
      <c r="A4" s="283"/>
      <c r="B4" s="2445" t="s">
        <v>234</v>
      </c>
      <c r="C4" s="2445"/>
      <c r="D4" s="49" t="s">
        <v>5921</v>
      </c>
    </row>
    <row r="5" spans="1:6" ht="37.5" x14ac:dyDescent="0.4">
      <c r="B5" s="2445" t="s">
        <v>79</v>
      </c>
      <c r="C5" s="2445"/>
      <c r="D5" s="49" t="s">
        <v>5898</v>
      </c>
    </row>
    <row r="6" spans="1:6" x14ac:dyDescent="0.4">
      <c r="B6" s="2445" t="s">
        <v>80</v>
      </c>
      <c r="C6" s="2445"/>
      <c r="D6" s="50" t="s">
        <v>5901</v>
      </c>
    </row>
    <row r="7" spans="1:6" ht="37.5" x14ac:dyDescent="0.4">
      <c r="B7" s="2446" t="s">
        <v>81</v>
      </c>
      <c r="C7" s="2446"/>
      <c r="D7" s="93" t="s">
        <v>5902</v>
      </c>
    </row>
    <row r="8" spans="1:6" x14ac:dyDescent="0.4">
      <c r="B8" s="2446" t="s">
        <v>82</v>
      </c>
      <c r="C8" s="2446"/>
      <c r="D8" s="1047" t="s">
        <v>353</v>
      </c>
    </row>
    <row r="10" spans="1:6" ht="23.25" customHeight="1" x14ac:dyDescent="0.4">
      <c r="B10" s="3270" t="s">
        <v>85</v>
      </c>
      <c r="C10" s="3270"/>
      <c r="D10" s="3270"/>
    </row>
    <row r="11" spans="1:6" x14ac:dyDescent="0.4">
      <c r="B11" s="2487" t="s">
        <v>86</v>
      </c>
      <c r="C11" s="2456"/>
      <c r="D11" s="49" t="s">
        <v>167</v>
      </c>
    </row>
    <row r="12" spans="1:6" ht="30.75" customHeight="1" x14ac:dyDescent="0.4">
      <c r="A12" s="283"/>
      <c r="B12" s="2446" t="s">
        <v>88</v>
      </c>
      <c r="C12" s="2446"/>
      <c r="D12" s="184" t="s">
        <v>6122</v>
      </c>
    </row>
    <row r="13" spans="1:6" x14ac:dyDescent="0.4">
      <c r="B13" s="2445" t="s">
        <v>90</v>
      </c>
      <c r="C13" s="2445"/>
      <c r="D13" s="630" t="s">
        <v>5901</v>
      </c>
    </row>
    <row r="14" spans="1:6" x14ac:dyDescent="0.4">
      <c r="B14" s="2445" t="s">
        <v>91</v>
      </c>
      <c r="C14" s="2456"/>
      <c r="D14" s="54" t="s">
        <v>214</v>
      </c>
    </row>
    <row r="15" spans="1:6" ht="228.75" customHeight="1" x14ac:dyDescent="0.4">
      <c r="B15" s="2445" t="s">
        <v>93</v>
      </c>
      <c r="C15" s="2445"/>
      <c r="D15" s="756" t="s">
        <v>6123</v>
      </c>
    </row>
    <row r="16" spans="1:6" ht="54.75" customHeight="1" x14ac:dyDescent="0.4">
      <c r="B16" s="2445" t="s">
        <v>95</v>
      </c>
      <c r="C16" s="2445"/>
      <c r="D16" s="594"/>
    </row>
    <row r="17" spans="2:4" x14ac:dyDescent="0.4">
      <c r="B17" s="2445" t="s">
        <v>97</v>
      </c>
      <c r="C17" s="2445"/>
      <c r="D17" s="594" t="s">
        <v>6124</v>
      </c>
    </row>
    <row r="18" spans="2:4" x14ac:dyDescent="0.4">
      <c r="B18" s="2446" t="s">
        <v>99</v>
      </c>
      <c r="C18" s="2446"/>
      <c r="D18" s="49"/>
    </row>
    <row r="19" spans="2:4" ht="45.75" customHeight="1" x14ac:dyDescent="0.4">
      <c r="B19" s="2457" t="s">
        <v>100</v>
      </c>
      <c r="C19" s="2458"/>
      <c r="D19" s="594" t="s">
        <v>6125</v>
      </c>
    </row>
    <row r="20" spans="2:4" x14ac:dyDescent="0.4">
      <c r="B20" s="2445" t="s">
        <v>102</v>
      </c>
      <c r="C20" s="2445"/>
      <c r="D20" s="594" t="s">
        <v>140</v>
      </c>
    </row>
    <row r="21" spans="2:4" x14ac:dyDescent="0.4">
      <c r="B21" s="2451" t="s">
        <v>104</v>
      </c>
      <c r="C21" s="95" t="s">
        <v>105</v>
      </c>
      <c r="D21" s="49" t="s">
        <v>6126</v>
      </c>
    </row>
    <row r="22" spans="2:4" x14ac:dyDescent="0.4">
      <c r="B22" s="2452"/>
      <c r="C22" s="96" t="s">
        <v>107</v>
      </c>
      <c r="D22" s="594" t="s">
        <v>6127</v>
      </c>
    </row>
    <row r="23" spans="2:4" x14ac:dyDescent="0.4">
      <c r="B23" s="2445" t="s">
        <v>109</v>
      </c>
      <c r="C23" s="2445"/>
      <c r="D23" s="594" t="s">
        <v>6087</v>
      </c>
    </row>
    <row r="24" spans="2:4" x14ac:dyDescent="0.4">
      <c r="B24" s="2445" t="s">
        <v>111</v>
      </c>
      <c r="C24" s="2445"/>
      <c r="D24" s="826" t="s">
        <v>522</v>
      </c>
    </row>
    <row r="25" spans="2:4" x14ac:dyDescent="0.4">
      <c r="B25" s="2445" t="s">
        <v>113</v>
      </c>
      <c r="C25" s="2445"/>
      <c r="D25" s="55" t="s">
        <v>220</v>
      </c>
    </row>
    <row r="26" spans="2:4" ht="15" customHeight="1" x14ac:dyDescent="0.4">
      <c r="B26" s="2446" t="s">
        <v>115</v>
      </c>
      <c r="C26" s="2446"/>
      <c r="D26" s="826" t="s">
        <v>6128</v>
      </c>
    </row>
    <row r="27" spans="2:4" x14ac:dyDescent="0.4">
      <c r="B27" s="2447" t="s">
        <v>117</v>
      </c>
      <c r="C27" s="2448"/>
      <c r="D27" s="49"/>
    </row>
    <row r="28" spans="2:4" x14ac:dyDescent="0.4">
      <c r="B28" s="97" t="s">
        <v>118</v>
      </c>
      <c r="C28" s="98"/>
      <c r="D28" s="594" t="s">
        <v>6129</v>
      </c>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826" t="s">
        <v>6130</v>
      </c>
    </row>
    <row r="33" spans="2:4" x14ac:dyDescent="0.4">
      <c r="B33" s="2447" t="s">
        <v>124</v>
      </c>
      <c r="C33" s="2448"/>
      <c r="D33" s="826" t="s">
        <v>6131</v>
      </c>
    </row>
    <row r="34" spans="2:4" x14ac:dyDescent="0.4">
      <c r="B34" s="2447" t="s">
        <v>126</v>
      </c>
      <c r="C34" s="2448"/>
      <c r="D34" s="826" t="s">
        <v>522</v>
      </c>
    </row>
    <row r="35" spans="2:4" x14ac:dyDescent="0.4">
      <c r="B35" s="2447" t="s">
        <v>128</v>
      </c>
      <c r="C35" s="2448"/>
      <c r="D35" s="826" t="s">
        <v>6132</v>
      </c>
    </row>
    <row r="36" spans="2:4" x14ac:dyDescent="0.4">
      <c r="B36" s="2447" t="s">
        <v>130</v>
      </c>
      <c r="C36" s="2448"/>
      <c r="D36" s="639" t="s">
        <v>6133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BC05D6D4-860F-4F04-9E6E-6C441D35F672}">
      <formula1>Tipo_operación</formula1>
    </dataValidation>
    <dataValidation type="list" allowBlank="1" showInputMessage="1" showErrorMessage="1" sqref="D14" xr:uid="{65DB8951-183C-463E-A81A-67B6F18939F6}">
      <formula1>Tipo_indicador</formula1>
    </dataValidation>
    <dataValidation type="list" allowBlank="1" showInputMessage="1" showErrorMessage="1" sqref="D7" xr:uid="{6A6B5D1F-BD6A-4FB3-8E48-17CC4A49C326}">
      <formula1>Nombre_indicador_ODS</formula1>
    </dataValidation>
    <dataValidation type="list" allowBlank="1" showInputMessage="1" showErrorMessage="1" sqref="D6" xr:uid="{81B4B647-BF72-4556-9CBE-DDB7EDCCE98F}">
      <formula1>Numero_indicador</formula1>
    </dataValidation>
    <dataValidation type="list" allowBlank="1" showInputMessage="1" showErrorMessage="1" sqref="D5" xr:uid="{7FD74EC4-A389-4FD7-98A0-CD3BA9AE9B69}">
      <formula1>Metas_ODS</formula1>
    </dataValidation>
    <dataValidation type="list" allowBlank="1" showInputMessage="1" showErrorMessage="1" sqref="D4" xr:uid="{C5332C07-7EAF-4E0F-93E4-91CF9E254CC5}">
      <formula1>ODS</formula1>
    </dataValidation>
  </dataValidations>
  <hyperlinks>
    <hyperlink ref="B1" location="'11.7.2'!A1" display="REGRESAR" xr:uid="{2D437CCF-5408-4E0B-A0AA-77A9607F1106}"/>
    <hyperlink ref="D8" r:id="rId1" xr:uid="{268E4664-C5EE-4D52-BE81-2F2493F15A21}"/>
    <hyperlink ref="D36" r:id="rId2" xr:uid="{C2990E68-4C5C-4322-AD46-F57E38E882DF}"/>
  </hyperlinks>
  <pageMargins left="0.7" right="0.7" top="0.75" bottom="0.75" header="0.3" footer="0.3"/>
  <pageSetup orientation="portrait" r:id="rId3"/>
  <drawing r:id="rId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4F2F-F5D8-40CA-AD19-B504F3B23218}">
  <sheetPr>
    <tabColor rgb="FF7030A0"/>
  </sheetPr>
  <dimension ref="A1:O39"/>
  <sheetViews>
    <sheetView showGridLines="0" workbookViewId="0">
      <pane ySplit="1" topLeftCell="A2" activePane="bottomLeft" state="frozen"/>
      <selection sqref="A1:B1"/>
      <selection pane="bottomLeft" sqref="A1:B1"/>
    </sheetView>
  </sheetViews>
  <sheetFormatPr baseColWidth="10" defaultColWidth="11.42578125" defaultRowHeight="12.75" x14ac:dyDescent="0.25"/>
  <cols>
    <col min="1" max="2" width="15" style="270" customWidth="1"/>
    <col min="3" max="3" width="12.5703125" style="1052" customWidth="1"/>
    <col min="4" max="6" width="12.5703125" style="270" customWidth="1"/>
    <col min="7" max="16384" width="11.42578125" style="270"/>
  </cols>
  <sheetData>
    <row r="1" spans="1:15" s="1032" customFormat="1" ht="19.5" x14ac:dyDescent="0.4">
      <c r="A1" s="68" t="s">
        <v>39</v>
      </c>
      <c r="B1" s="1080"/>
      <c r="C1" s="2562" t="s">
        <v>149</v>
      </c>
      <c r="D1" s="2562"/>
    </row>
    <row r="2" spans="1:15" s="1032" customFormat="1" ht="19.5" x14ac:dyDescent="0.4">
      <c r="C2" s="1061"/>
    </row>
    <row r="3" spans="1:15" s="1032" customFormat="1" ht="19.5" x14ac:dyDescent="0.4">
      <c r="A3" s="3271" t="s">
        <v>41</v>
      </c>
      <c r="B3" s="3274"/>
      <c r="C3" s="3271" t="s">
        <v>5871</v>
      </c>
      <c r="D3" s="3294"/>
      <c r="E3" s="3294"/>
      <c r="F3" s="3294"/>
      <c r="G3" s="3294"/>
      <c r="H3" s="3294"/>
      <c r="I3" s="3294"/>
      <c r="J3" s="3294"/>
      <c r="K3" s="3294"/>
      <c r="L3" s="3294"/>
      <c r="M3" s="3294"/>
      <c r="N3" s="3294"/>
      <c r="O3" s="3294"/>
    </row>
    <row r="4" spans="1:15" s="1032" customFormat="1" ht="15" customHeight="1" x14ac:dyDescent="0.4">
      <c r="A4" s="3271" t="s">
        <v>42</v>
      </c>
      <c r="B4" s="3272"/>
      <c r="C4" s="3271" t="s">
        <v>5903</v>
      </c>
      <c r="D4" s="3273"/>
      <c r="E4" s="3273"/>
      <c r="F4" s="3273"/>
      <c r="G4" s="3273"/>
      <c r="H4" s="3273"/>
      <c r="I4" s="3273"/>
      <c r="J4" s="3273"/>
      <c r="K4" s="3273"/>
      <c r="L4" s="3273"/>
      <c r="M4" s="3273"/>
      <c r="N4" s="3273"/>
      <c r="O4" s="3273"/>
    </row>
    <row r="5" spans="1:15" s="1032" customFormat="1" ht="19.5" x14ac:dyDescent="0.4">
      <c r="A5" s="3271" t="s">
        <v>43</v>
      </c>
      <c r="B5" s="3272"/>
      <c r="C5" s="3271" t="s">
        <v>5905</v>
      </c>
      <c r="D5" s="3273"/>
      <c r="E5" s="3273"/>
      <c r="F5" s="3273"/>
      <c r="G5" s="3273"/>
      <c r="H5" s="3273"/>
      <c r="I5" s="3273"/>
      <c r="J5" s="3273"/>
      <c r="K5" s="3273"/>
      <c r="L5" s="3273"/>
      <c r="M5" s="3273"/>
      <c r="N5" s="3273"/>
      <c r="O5" s="3273"/>
    </row>
    <row r="6" spans="1:15" s="1032" customFormat="1" ht="15" customHeight="1" x14ac:dyDescent="0.4">
      <c r="A6" s="3271" t="s">
        <v>132</v>
      </c>
      <c r="B6" s="3272"/>
      <c r="C6" s="3271"/>
      <c r="D6" s="3273"/>
      <c r="E6" s="3273"/>
      <c r="F6" s="3273"/>
      <c r="G6" s="3273"/>
      <c r="H6" s="3273"/>
      <c r="I6" s="3273"/>
      <c r="J6" s="3273"/>
      <c r="K6" s="3273"/>
      <c r="L6" s="3273"/>
      <c r="M6" s="3273"/>
      <c r="N6" s="3273"/>
      <c r="O6" s="3273"/>
    </row>
    <row r="7" spans="1:15" s="1032" customFormat="1" ht="19.5" x14ac:dyDescent="0.4">
      <c r="A7" s="1780"/>
      <c r="C7" s="1061"/>
    </row>
    <row r="8" spans="1:15" s="1061" customFormat="1" ht="19.5" x14ac:dyDescent="0.4">
      <c r="A8" s="1084"/>
      <c r="B8" s="1032"/>
      <c r="D8" s="1032"/>
      <c r="E8" s="1032"/>
    </row>
    <row r="9" spans="1:15" s="1061" customFormat="1" ht="11.25" customHeight="1" x14ac:dyDescent="0.4">
      <c r="A9" s="1084"/>
      <c r="B9" s="1032"/>
      <c r="C9" s="2506" t="s">
        <v>650</v>
      </c>
      <c r="D9" s="2506"/>
      <c r="E9" s="2506"/>
      <c r="F9" s="2506"/>
      <c r="G9" s="2506"/>
      <c r="H9" s="2506"/>
      <c r="I9" s="2506"/>
      <c r="J9" s="2506"/>
      <c r="K9" s="2506"/>
      <c r="L9" s="2506"/>
      <c r="M9" s="2506"/>
      <c r="N9" s="2506"/>
      <c r="O9" s="2506"/>
    </row>
    <row r="10" spans="1:15" s="1061" customFormat="1" ht="11.25" customHeight="1" x14ac:dyDescent="0.4">
      <c r="A10" s="1084"/>
      <c r="B10" s="1032"/>
      <c r="C10" s="2506"/>
      <c r="D10" s="2506"/>
      <c r="E10" s="2506"/>
      <c r="F10" s="2506"/>
      <c r="G10" s="2506"/>
      <c r="H10" s="2506"/>
      <c r="I10" s="2506"/>
      <c r="J10" s="2506"/>
      <c r="K10" s="2506"/>
      <c r="L10" s="2506"/>
      <c r="M10" s="2506"/>
      <c r="N10" s="2506"/>
      <c r="O10" s="2506"/>
    </row>
    <row r="11" spans="1:15" s="1052" customFormat="1" ht="18.75" x14ac:dyDescent="0.4">
      <c r="A11" s="835"/>
      <c r="B11" s="115"/>
      <c r="C11" s="1048"/>
      <c r="D11" s="115"/>
      <c r="E11" s="115"/>
      <c r="F11" s="1048"/>
      <c r="G11" s="1048"/>
      <c r="H11" s="1048"/>
      <c r="I11" s="1048"/>
      <c r="J11" s="1048"/>
      <c r="K11" s="1048"/>
      <c r="L11" s="1048"/>
      <c r="M11" s="1048"/>
      <c r="N11" s="1048"/>
      <c r="O11" s="1048"/>
    </row>
    <row r="12" spans="1:15" s="1052" customFormat="1" ht="18.75" x14ac:dyDescent="0.4">
      <c r="A12" s="835"/>
      <c r="B12" s="115"/>
      <c r="C12" s="1048"/>
      <c r="D12" s="115"/>
      <c r="E12" s="115"/>
      <c r="F12" s="1048"/>
      <c r="G12" s="1048"/>
      <c r="H12" s="1048"/>
      <c r="I12" s="1048"/>
      <c r="J12" s="1048"/>
      <c r="K12" s="1048"/>
      <c r="L12" s="1048"/>
      <c r="M12" s="1048"/>
      <c r="N12" s="1048"/>
      <c r="O12" s="1048"/>
    </row>
    <row r="13" spans="1:15" s="1052" customFormat="1" ht="18.75" x14ac:dyDescent="0.4">
      <c r="A13" s="835"/>
      <c r="B13" s="115"/>
      <c r="C13" s="3070" t="s">
        <v>6134</v>
      </c>
      <c r="D13" s="3070"/>
      <c r="E13" s="3070"/>
      <c r="F13" s="3070"/>
      <c r="G13" s="3070"/>
      <c r="H13" s="3070"/>
      <c r="I13" s="3070"/>
      <c r="J13" s="3070"/>
      <c r="K13" s="3070"/>
      <c r="L13" s="3070"/>
      <c r="M13" s="3070"/>
      <c r="N13" s="1048"/>
      <c r="O13" s="1048"/>
    </row>
    <row r="14" spans="1:15" s="1052" customFormat="1" ht="18.75" x14ac:dyDescent="0.4">
      <c r="A14" s="835"/>
      <c r="B14" s="115"/>
      <c r="C14" s="3070"/>
      <c r="D14" s="3070"/>
      <c r="E14" s="3070"/>
      <c r="F14" s="3070"/>
      <c r="G14" s="3070"/>
      <c r="H14" s="3070"/>
      <c r="I14" s="3070"/>
      <c r="J14" s="3070"/>
      <c r="K14" s="3070"/>
      <c r="L14" s="3070"/>
      <c r="M14" s="3070"/>
      <c r="N14" s="1048"/>
      <c r="O14" s="1048"/>
    </row>
    <row r="15" spans="1:15" s="1052" customFormat="1" ht="18.75" x14ac:dyDescent="0.4">
      <c r="A15" s="835"/>
      <c r="B15" s="115"/>
      <c r="C15" s="3070"/>
      <c r="D15" s="3070"/>
      <c r="E15" s="3070"/>
      <c r="F15" s="3070"/>
      <c r="G15" s="3070"/>
      <c r="H15" s="3070"/>
      <c r="I15" s="3070"/>
      <c r="J15" s="3070"/>
      <c r="K15" s="3070"/>
      <c r="L15" s="3070"/>
      <c r="M15" s="3070"/>
      <c r="N15" s="1048"/>
      <c r="O15" s="1048"/>
    </row>
    <row r="16" spans="1:15" s="1052" customFormat="1" ht="18.75" x14ac:dyDescent="0.4">
      <c r="A16" s="835"/>
      <c r="B16" s="115"/>
      <c r="C16" s="3070"/>
      <c r="D16" s="3070"/>
      <c r="E16" s="3070"/>
      <c r="F16" s="3070"/>
      <c r="G16" s="3070"/>
      <c r="H16" s="3070"/>
      <c r="I16" s="3070"/>
      <c r="J16" s="3070"/>
      <c r="K16" s="3070"/>
      <c r="L16" s="3070"/>
      <c r="M16" s="3070"/>
      <c r="N16" s="1048"/>
      <c r="O16" s="1048"/>
    </row>
    <row r="17" spans="1:15" s="1052" customFormat="1" ht="18.75" x14ac:dyDescent="0.4">
      <c r="A17" s="835"/>
      <c r="B17" s="115"/>
      <c r="C17" s="3070"/>
      <c r="D17" s="3070"/>
      <c r="E17" s="3070"/>
      <c r="F17" s="3070"/>
      <c r="G17" s="3070"/>
      <c r="H17" s="3070"/>
      <c r="I17" s="3070"/>
      <c r="J17" s="3070"/>
      <c r="K17" s="3070"/>
      <c r="L17" s="3070"/>
      <c r="M17" s="3070"/>
      <c r="N17" s="1048"/>
      <c r="O17" s="1048"/>
    </row>
    <row r="18" spans="1:15" s="1052" customFormat="1" ht="18.75" x14ac:dyDescent="0.4">
      <c r="A18" s="835"/>
      <c r="B18" s="115"/>
      <c r="C18" s="1048"/>
      <c r="D18" s="115"/>
      <c r="E18" s="115"/>
      <c r="F18" s="1048"/>
      <c r="G18" s="1048"/>
      <c r="H18" s="1048"/>
      <c r="I18" s="1048"/>
      <c r="J18" s="1048"/>
      <c r="K18" s="1048"/>
      <c r="L18" s="1048"/>
      <c r="M18" s="1048"/>
      <c r="N18" s="1048"/>
      <c r="O18" s="1048"/>
    </row>
    <row r="19" spans="1:15" s="1052" customFormat="1" x14ac:dyDescent="0.25">
      <c r="A19" s="1781"/>
      <c r="B19" s="270"/>
      <c r="D19" s="270"/>
      <c r="E19" s="270"/>
    </row>
    <row r="20" spans="1:15" s="1052" customFormat="1" ht="15.75" x14ac:dyDescent="0.25">
      <c r="A20" s="221"/>
      <c r="B20" s="220"/>
      <c r="C20" s="220"/>
      <c r="D20" s="220"/>
      <c r="E20" s="220"/>
      <c r="F20" s="220"/>
      <c r="G20" s="220"/>
      <c r="H20" s="220"/>
      <c r="I20" s="220"/>
      <c r="J20" s="220"/>
      <c r="K20" s="220"/>
      <c r="L20" s="220"/>
      <c r="M20" s="220"/>
      <c r="N20" s="220"/>
      <c r="O20" s="220"/>
    </row>
    <row r="21" spans="1:15" s="1052" customFormat="1" ht="15.75" x14ac:dyDescent="0.25">
      <c r="A21" s="221"/>
      <c r="B21" s="220"/>
      <c r="C21" s="220"/>
      <c r="D21" s="220"/>
      <c r="E21" s="220"/>
      <c r="F21" s="220"/>
      <c r="G21" s="220"/>
      <c r="H21" s="220"/>
      <c r="I21" s="220"/>
      <c r="J21" s="220"/>
      <c r="K21" s="220"/>
      <c r="L21" s="220"/>
      <c r="M21" s="220"/>
      <c r="N21" s="220"/>
      <c r="O21" s="220"/>
    </row>
    <row r="22" spans="1:15" s="1052" customFormat="1" ht="15.75" x14ac:dyDescent="0.25">
      <c r="A22" s="221"/>
      <c r="B22" s="220"/>
      <c r="C22" s="220"/>
      <c r="D22" s="220"/>
      <c r="E22" s="220"/>
      <c r="F22" s="220"/>
      <c r="G22" s="220"/>
      <c r="H22" s="220"/>
      <c r="I22" s="220"/>
      <c r="J22" s="220"/>
      <c r="K22" s="220"/>
      <c r="L22" s="220"/>
      <c r="M22" s="220"/>
      <c r="N22" s="220"/>
      <c r="O22" s="220"/>
    </row>
    <row r="23" spans="1:15" s="1052" customFormat="1" ht="15.75" x14ac:dyDescent="0.25">
      <c r="A23" s="221"/>
      <c r="B23" s="220"/>
      <c r="C23" s="220"/>
      <c r="D23" s="220"/>
      <c r="E23" s="220"/>
      <c r="F23" s="220"/>
      <c r="G23" s="220"/>
      <c r="H23" s="220"/>
      <c r="I23" s="220"/>
      <c r="J23" s="220"/>
      <c r="K23" s="220"/>
      <c r="L23" s="220"/>
      <c r="M23" s="220"/>
      <c r="N23" s="220"/>
      <c r="O23" s="220"/>
    </row>
    <row r="24" spans="1:15" s="1052" customFormat="1" ht="15.75" x14ac:dyDescent="0.25">
      <c r="A24" s="221"/>
      <c r="B24" s="220"/>
      <c r="C24" s="220"/>
      <c r="D24" s="220"/>
      <c r="E24" s="220"/>
      <c r="F24" s="220"/>
      <c r="G24" s="220"/>
      <c r="H24" s="220"/>
      <c r="I24" s="220"/>
      <c r="J24" s="220"/>
      <c r="K24" s="220"/>
      <c r="L24" s="220"/>
      <c r="M24" s="220"/>
      <c r="N24" s="220"/>
      <c r="O24" s="220"/>
    </row>
    <row r="25" spans="1:15" s="1052" customFormat="1" ht="16.5" x14ac:dyDescent="0.35">
      <c r="A25" s="2494" t="s">
        <v>652</v>
      </c>
      <c r="B25" s="2494"/>
      <c r="C25" s="2494"/>
      <c r="D25" s="2494"/>
      <c r="E25" s="2494"/>
      <c r="F25" s="2494"/>
      <c r="G25" s="2494"/>
      <c r="H25" s="2494"/>
      <c r="I25" s="2494"/>
      <c r="J25" s="2494"/>
      <c r="K25" s="2494"/>
      <c r="L25" s="2494"/>
      <c r="M25" s="2494"/>
      <c r="N25" s="2494"/>
      <c r="O25" s="2494"/>
    </row>
    <row r="26" spans="1:15" s="1052" customFormat="1" x14ac:dyDescent="0.25">
      <c r="A26" s="1782"/>
      <c r="B26" s="270"/>
      <c r="D26" s="270"/>
      <c r="E26" s="270"/>
    </row>
    <row r="27" spans="1:15" s="1052" customFormat="1" x14ac:dyDescent="0.25">
      <c r="A27" s="1781"/>
      <c r="B27" s="270"/>
      <c r="D27" s="270"/>
      <c r="E27" s="270"/>
    </row>
    <row r="28" spans="1:15" s="1052" customFormat="1" x14ac:dyDescent="0.25">
      <c r="A28" s="1781"/>
      <c r="B28" s="270"/>
      <c r="D28" s="270"/>
      <c r="E28" s="270"/>
    </row>
    <row r="29" spans="1:15" s="1052" customFormat="1" x14ac:dyDescent="0.25">
      <c r="A29" s="1781"/>
      <c r="B29" s="270"/>
      <c r="D29" s="270"/>
      <c r="E29" s="270"/>
    </row>
    <row r="30" spans="1:15" s="1052" customFormat="1" x14ac:dyDescent="0.25">
      <c r="A30" s="1782"/>
      <c r="B30" s="270"/>
      <c r="D30" s="270"/>
      <c r="E30" s="270"/>
    </row>
    <row r="31" spans="1:15" s="1052" customFormat="1" x14ac:dyDescent="0.25">
      <c r="A31" s="1781"/>
      <c r="B31" s="270"/>
      <c r="D31" s="270"/>
      <c r="E31" s="270"/>
    </row>
    <row r="32" spans="1:15" s="1052" customFormat="1" x14ac:dyDescent="0.25">
      <c r="A32" s="1781"/>
      <c r="B32" s="270"/>
      <c r="D32" s="270"/>
      <c r="E32" s="270"/>
    </row>
    <row r="33" spans="1:5" s="1052" customFormat="1" x14ac:dyDescent="0.25">
      <c r="A33" s="1781"/>
      <c r="B33" s="270"/>
      <c r="D33" s="270"/>
      <c r="E33" s="270"/>
    </row>
    <row r="34" spans="1:5" s="1052" customFormat="1" x14ac:dyDescent="0.25">
      <c r="A34" s="1782"/>
      <c r="B34" s="270"/>
      <c r="D34" s="270"/>
      <c r="E34" s="270"/>
    </row>
    <row r="35" spans="1:5" s="1052" customFormat="1" x14ac:dyDescent="0.25">
      <c r="A35" s="1781"/>
      <c r="B35" s="270"/>
      <c r="D35" s="270"/>
      <c r="E35" s="270"/>
    </row>
    <row r="36" spans="1:5" s="1052" customFormat="1" x14ac:dyDescent="0.25">
      <c r="A36" s="1781"/>
      <c r="B36" s="270"/>
      <c r="D36" s="270"/>
      <c r="E36" s="270"/>
    </row>
    <row r="37" spans="1:5" s="1052" customFormat="1" x14ac:dyDescent="0.25">
      <c r="A37" s="1781"/>
      <c r="B37" s="270"/>
      <c r="D37" s="270"/>
      <c r="E37" s="270"/>
    </row>
    <row r="38" spans="1:5" s="1052" customFormat="1" x14ac:dyDescent="0.25">
      <c r="A38" s="1782"/>
      <c r="B38" s="270"/>
      <c r="D38" s="270"/>
      <c r="E38" s="270"/>
    </row>
    <row r="39" spans="1:5" s="1052" customFormat="1" x14ac:dyDescent="0.25">
      <c r="A39" s="1781"/>
      <c r="B39" s="270"/>
      <c r="D39" s="270"/>
      <c r="E39" s="270"/>
    </row>
  </sheetData>
  <mergeCells count="12">
    <mergeCell ref="A5:B5"/>
    <mergeCell ref="C5:O5"/>
    <mergeCell ref="C1:D1"/>
    <mergeCell ref="A3:B3"/>
    <mergeCell ref="C3:O3"/>
    <mergeCell ref="A4:B4"/>
    <mergeCell ref="C4:O4"/>
    <mergeCell ref="A6:B6"/>
    <mergeCell ref="C6:O6"/>
    <mergeCell ref="C9:O10"/>
    <mergeCell ref="C13:M17"/>
    <mergeCell ref="A25:O25"/>
  </mergeCells>
  <hyperlinks>
    <hyperlink ref="A1" location="'ODS 11.'!A1" display="REGRESAR" xr:uid="{1541BE27-F983-43DC-946F-6FC1E30D4F64}"/>
    <hyperlink ref="C1:D1" location="'Metadato 11.a.1'!A1" display="VER METADATO" xr:uid="{D2898943-A31F-496B-9663-5E88C86D4A54}"/>
  </hyperlinks>
  <pageMargins left="0.7" right="0.7" top="0.75" bottom="0.75" header="0.3" footer="0.3"/>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077F-2430-4D0D-B28F-25D642A25C84}">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158" t="s">
        <v>39</v>
      </c>
    </row>
    <row r="2" spans="2:6" ht="19.5" thickBot="1" x14ac:dyDescent="0.45"/>
    <row r="3" spans="2:6" ht="23.25" customHeight="1" thickBot="1" x14ac:dyDescent="0.45">
      <c r="B3" s="3270" t="s">
        <v>75</v>
      </c>
      <c r="C3" s="3270"/>
      <c r="D3" s="3270"/>
      <c r="F3" s="1046" t="s">
        <v>265</v>
      </c>
    </row>
    <row r="4" spans="2:6" ht="37.5" x14ac:dyDescent="0.4">
      <c r="B4" s="2445" t="s">
        <v>234</v>
      </c>
      <c r="C4" s="2445"/>
      <c r="D4" s="49" t="s">
        <v>5921</v>
      </c>
    </row>
    <row r="5" spans="2:6" ht="37.5" x14ac:dyDescent="0.4">
      <c r="B5" s="2445" t="s">
        <v>79</v>
      </c>
      <c r="C5" s="2445"/>
      <c r="D5" s="49" t="s">
        <v>5903</v>
      </c>
    </row>
    <row r="6" spans="2:6" x14ac:dyDescent="0.4">
      <c r="B6" s="2445" t="s">
        <v>80</v>
      </c>
      <c r="C6" s="2445"/>
      <c r="D6" s="50" t="s">
        <v>5904</v>
      </c>
    </row>
    <row r="7" spans="2:6" ht="56.25" x14ac:dyDescent="0.4">
      <c r="B7" s="2446" t="s">
        <v>81</v>
      </c>
      <c r="C7" s="2446"/>
      <c r="D7" s="93" t="s">
        <v>5905</v>
      </c>
    </row>
    <row r="8" spans="2:6" x14ac:dyDescent="0.4">
      <c r="B8" s="2446" t="s">
        <v>82</v>
      </c>
      <c r="C8" s="2446"/>
      <c r="D8" s="1047" t="s">
        <v>353</v>
      </c>
    </row>
    <row r="10" spans="2:6" ht="23.25" customHeight="1" x14ac:dyDescent="0.4">
      <c r="B10" s="3270" t="s">
        <v>85</v>
      </c>
      <c r="C10" s="3270"/>
      <c r="D10" s="3270"/>
    </row>
    <row r="11" spans="2:6" x14ac:dyDescent="0.4">
      <c r="B11" s="2487" t="s">
        <v>86</v>
      </c>
      <c r="C11" s="2456"/>
      <c r="D11" s="49"/>
    </row>
    <row r="12" spans="2:6" x14ac:dyDescent="0.4">
      <c r="B12" s="2446" t="s">
        <v>88</v>
      </c>
      <c r="C12" s="2446"/>
      <c r="D12" s="755" t="s">
        <v>6135</v>
      </c>
    </row>
    <row r="13" spans="2:6" x14ac:dyDescent="0.4">
      <c r="B13" s="2445" t="s">
        <v>90</v>
      </c>
      <c r="C13" s="2445"/>
      <c r="D13" s="594" t="s">
        <v>5904</v>
      </c>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AE175265-5515-410F-944C-C5B8627ABE38}">
      <formula1>Tipo_operación</formula1>
    </dataValidation>
    <dataValidation type="list" allowBlank="1" showInputMessage="1" showErrorMessage="1" sqref="D14" xr:uid="{43A94A7E-ABD6-4FE8-BA9B-69EABECA7056}">
      <formula1>Tipo_indicador</formula1>
    </dataValidation>
    <dataValidation type="list" allowBlank="1" showInputMessage="1" showErrorMessage="1" sqref="D7" xr:uid="{6D87FB3E-F579-40CB-A76B-9E414D02B003}">
      <formula1>Nombre_indicador_ODS</formula1>
    </dataValidation>
    <dataValidation type="list" allowBlank="1" showInputMessage="1" showErrorMessage="1" sqref="D6" xr:uid="{197DD92F-94A5-42AD-93EF-F5E75D242023}">
      <formula1>Numero_indicador</formula1>
    </dataValidation>
    <dataValidation type="list" allowBlank="1" showInputMessage="1" showErrorMessage="1" sqref="D5" xr:uid="{03B33E45-3DC4-487E-9C03-9E934020AA87}">
      <formula1>Metas_ODS</formula1>
    </dataValidation>
    <dataValidation type="list" allowBlank="1" showInputMessage="1" showErrorMessage="1" sqref="D4" xr:uid="{2953524D-FD44-4714-A678-8C97FD5745A4}">
      <formula1>ODS</formula1>
    </dataValidation>
  </dataValidations>
  <hyperlinks>
    <hyperlink ref="B1" location="'11.a.1'!A1" display="REGRESAR" xr:uid="{C04B4C93-5CB7-487A-8E26-CFB7649CB018}"/>
    <hyperlink ref="D8" r:id="rId1" xr:uid="{A60CAD60-EF3A-4472-9D21-0DE271307D2C}"/>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C1B29-7808-475A-A5B9-090BF40D7EFB}">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2" width="15.28515625" style="1032" customWidth="1"/>
    <col min="3" max="3" width="11.5703125" style="1061" customWidth="1"/>
    <col min="4" max="7" width="11.5703125" style="1032" customWidth="1"/>
    <col min="8" max="13" width="11.42578125" style="1032"/>
    <col min="14" max="14" width="13.7109375" style="1032" customWidth="1"/>
    <col min="15" max="15" width="24.5703125" style="1032" customWidth="1"/>
    <col min="16" max="16384" width="11.42578125" style="1032"/>
  </cols>
  <sheetData>
    <row r="1" spans="1:15" x14ac:dyDescent="0.4">
      <c r="A1" s="68" t="s">
        <v>39</v>
      </c>
      <c r="B1" s="1080"/>
      <c r="C1" s="2562" t="s">
        <v>149</v>
      </c>
      <c r="D1" s="2562"/>
    </row>
    <row r="3" spans="1:15" ht="16.899999999999999" customHeight="1" x14ac:dyDescent="0.4">
      <c r="A3" s="3271" t="s">
        <v>41</v>
      </c>
      <c r="B3" s="3274"/>
      <c r="C3" s="3271" t="s">
        <v>5871</v>
      </c>
      <c r="D3" s="3294"/>
      <c r="E3" s="3294"/>
      <c r="F3" s="3294"/>
      <c r="G3" s="3294"/>
      <c r="H3" s="3294"/>
      <c r="I3" s="3294"/>
      <c r="J3" s="3294"/>
      <c r="K3" s="3294"/>
      <c r="L3" s="3294"/>
      <c r="M3" s="3294"/>
      <c r="N3" s="3294"/>
      <c r="O3" s="3294"/>
    </row>
    <row r="4" spans="1:15" ht="59.45" customHeight="1" x14ac:dyDescent="0.4">
      <c r="A4" s="3271" t="s">
        <v>42</v>
      </c>
      <c r="B4" s="3272"/>
      <c r="C4" s="3271" t="s">
        <v>5906</v>
      </c>
      <c r="D4" s="3273"/>
      <c r="E4" s="3273"/>
      <c r="F4" s="3273"/>
      <c r="G4" s="3273"/>
      <c r="H4" s="3273"/>
      <c r="I4" s="3273"/>
      <c r="J4" s="3273"/>
      <c r="K4" s="3273"/>
      <c r="L4" s="3273"/>
      <c r="M4" s="3273"/>
      <c r="N4" s="3273"/>
      <c r="O4" s="3273"/>
    </row>
    <row r="5" spans="1:15" ht="21" customHeight="1" x14ac:dyDescent="0.4">
      <c r="A5" s="3271" t="s">
        <v>43</v>
      </c>
      <c r="B5" s="3272"/>
      <c r="C5" s="3271" t="s">
        <v>5908</v>
      </c>
      <c r="D5" s="3273"/>
      <c r="E5" s="3273"/>
      <c r="F5" s="3273"/>
      <c r="G5" s="3273"/>
      <c r="H5" s="3273"/>
      <c r="I5" s="3273"/>
      <c r="J5" s="3273"/>
      <c r="K5" s="3273"/>
      <c r="L5" s="3273"/>
      <c r="M5" s="3273"/>
      <c r="N5" s="3273"/>
      <c r="O5" s="3273"/>
    </row>
    <row r="6" spans="1:15" x14ac:dyDescent="0.4">
      <c r="A6" s="3271" t="s">
        <v>132</v>
      </c>
      <c r="B6" s="3272"/>
      <c r="C6" s="3271" t="s">
        <v>242</v>
      </c>
      <c r="D6" s="3273"/>
      <c r="E6" s="3273"/>
      <c r="F6" s="3273"/>
      <c r="G6" s="3273"/>
      <c r="H6" s="3273"/>
      <c r="I6" s="3273"/>
      <c r="J6" s="3273"/>
      <c r="K6" s="3273"/>
      <c r="L6" s="3273"/>
      <c r="M6" s="3273"/>
      <c r="N6" s="3273"/>
      <c r="O6" s="3273"/>
    </row>
    <row r="7" spans="1:15" x14ac:dyDescent="0.4">
      <c r="A7" s="1084"/>
    </row>
    <row r="8" spans="1:15" x14ac:dyDescent="0.4">
      <c r="A8" s="1084"/>
    </row>
    <row r="9" spans="1:15" ht="11.25" customHeight="1" x14ac:dyDescent="0.4">
      <c r="A9" s="1084"/>
      <c r="C9" s="3306" t="s">
        <v>650</v>
      </c>
      <c r="D9" s="3306"/>
      <c r="E9" s="3306"/>
      <c r="F9" s="3306"/>
      <c r="G9" s="3306"/>
      <c r="H9" s="3306"/>
      <c r="I9" s="3306"/>
      <c r="J9" s="3306"/>
      <c r="K9" s="3306"/>
      <c r="L9" s="3306"/>
      <c r="M9" s="3306"/>
      <c r="N9" s="3306"/>
      <c r="O9" s="3306"/>
    </row>
    <row r="10" spans="1:15" ht="11.25" customHeight="1" x14ac:dyDescent="0.4">
      <c r="A10" s="1084"/>
      <c r="C10" s="3306"/>
      <c r="D10" s="3306"/>
      <c r="E10" s="3306"/>
      <c r="F10" s="3306"/>
      <c r="G10" s="3306"/>
      <c r="H10" s="3306"/>
      <c r="I10" s="3306"/>
      <c r="J10" s="3306"/>
      <c r="K10" s="3306"/>
      <c r="L10" s="3306"/>
      <c r="M10" s="3306"/>
      <c r="N10" s="3306"/>
      <c r="O10" s="3306"/>
    </row>
    <row r="13" spans="1:15" x14ac:dyDescent="0.4">
      <c r="C13" s="3070" t="s">
        <v>6136</v>
      </c>
      <c r="D13" s="3070"/>
      <c r="E13" s="3070"/>
      <c r="F13" s="3070"/>
      <c r="G13" s="3070"/>
      <c r="H13" s="3070"/>
      <c r="I13" s="3070"/>
      <c r="J13" s="3070"/>
      <c r="K13" s="3070"/>
      <c r="L13" s="3070"/>
      <c r="M13" s="3070"/>
    </row>
    <row r="14" spans="1:15" x14ac:dyDescent="0.4">
      <c r="C14" s="3070"/>
      <c r="D14" s="3070"/>
      <c r="E14" s="3070"/>
      <c r="F14" s="3070"/>
      <c r="G14" s="3070"/>
      <c r="H14" s="3070"/>
      <c r="I14" s="3070"/>
      <c r="J14" s="3070"/>
      <c r="K14" s="3070"/>
      <c r="L14" s="3070"/>
      <c r="M14" s="3070"/>
    </row>
    <row r="15" spans="1:15" x14ac:dyDescent="0.4">
      <c r="C15" s="3070"/>
      <c r="D15" s="3070"/>
      <c r="E15" s="3070"/>
      <c r="F15" s="3070"/>
      <c r="G15" s="3070"/>
      <c r="H15" s="3070"/>
      <c r="I15" s="3070"/>
      <c r="J15" s="3070"/>
      <c r="K15" s="3070"/>
      <c r="L15" s="3070"/>
      <c r="M15" s="3070"/>
    </row>
    <row r="16" spans="1:15" x14ac:dyDescent="0.4">
      <c r="C16" s="3070"/>
      <c r="D16" s="3070"/>
      <c r="E16" s="3070"/>
      <c r="F16" s="3070"/>
      <c r="G16" s="3070"/>
      <c r="H16" s="3070"/>
      <c r="I16" s="3070"/>
      <c r="J16" s="3070"/>
      <c r="K16" s="3070"/>
      <c r="L16" s="3070"/>
      <c r="M16" s="3070"/>
    </row>
    <row r="17" spans="1:15" x14ac:dyDescent="0.4">
      <c r="C17" s="3070"/>
      <c r="D17" s="3070"/>
      <c r="E17" s="3070"/>
      <c r="F17" s="3070"/>
      <c r="G17" s="3070"/>
      <c r="H17" s="3070"/>
      <c r="I17" s="3070"/>
      <c r="J17" s="3070"/>
      <c r="K17" s="3070"/>
      <c r="L17" s="3070"/>
      <c r="M17" s="3070"/>
    </row>
    <row r="20" spans="1:15" x14ac:dyDescent="0.4">
      <c r="A20" s="221"/>
      <c r="B20" s="220"/>
      <c r="C20" s="220"/>
      <c r="D20" s="220"/>
      <c r="E20" s="220"/>
      <c r="F20" s="220"/>
      <c r="G20" s="220"/>
      <c r="H20" s="220"/>
      <c r="I20" s="220"/>
      <c r="J20" s="220"/>
      <c r="K20" s="220"/>
      <c r="L20" s="220"/>
      <c r="M20" s="220"/>
      <c r="N20" s="220"/>
      <c r="O20" s="22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494" t="s">
        <v>652</v>
      </c>
      <c r="B25" s="2494"/>
      <c r="C25" s="2494"/>
      <c r="D25" s="2494"/>
      <c r="E25" s="2494"/>
      <c r="F25" s="2494"/>
      <c r="G25" s="2494"/>
      <c r="H25" s="2494"/>
      <c r="I25" s="2494"/>
      <c r="J25" s="2494"/>
      <c r="K25" s="2494"/>
      <c r="L25" s="2494"/>
      <c r="M25" s="2494"/>
      <c r="N25" s="2494"/>
      <c r="O25" s="2494"/>
    </row>
  </sheetData>
  <mergeCells count="12">
    <mergeCell ref="A5:B5"/>
    <mergeCell ref="C5:O5"/>
    <mergeCell ref="C1:D1"/>
    <mergeCell ref="A3:B3"/>
    <mergeCell ref="C3:O3"/>
    <mergeCell ref="A4:B4"/>
    <mergeCell ref="C4:O4"/>
    <mergeCell ref="A6:B6"/>
    <mergeCell ref="C6:O6"/>
    <mergeCell ref="C9:O10"/>
    <mergeCell ref="C13:M17"/>
    <mergeCell ref="A25:O25"/>
  </mergeCells>
  <hyperlinks>
    <hyperlink ref="A1" location="'ODS 11.'!A1" display="REGRESAR" xr:uid="{33BE6603-1FAE-4209-A8D4-B06FD6A8ACE5}"/>
    <hyperlink ref="C1:D1" location="'Metadato 11.b.1'!A1" display="VER METADATO" xr:uid="{FCD246A4-9496-4814-AE9A-36AA59F3D6F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23BD-60A9-4B36-8F5D-55E78E3882C5}">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8.28515625" style="222" customWidth="1"/>
    <col min="2" max="2" width="26.42578125" style="222" customWidth="1"/>
    <col min="3" max="3" width="24" style="222" customWidth="1"/>
    <col min="4" max="4" width="88.7109375" style="222" customWidth="1"/>
    <col min="5" max="5" width="7.7109375" style="222" customWidth="1"/>
    <col min="6" max="8" width="7.28515625" style="222" customWidth="1"/>
    <col min="9" max="9" width="1.28515625" style="222" customWidth="1"/>
    <col min="10" max="11" width="7.28515625" style="222" customWidth="1"/>
    <col min="12" max="12" width="9.28515625" style="222" customWidth="1"/>
    <col min="13" max="13" width="0.7109375" style="222" customWidth="1"/>
    <col min="14" max="15" width="7.28515625" style="222" customWidth="1"/>
    <col min="16" max="16384" width="11.42578125" style="222"/>
  </cols>
  <sheetData>
    <row r="1" spans="1:6" x14ac:dyDescent="0.25">
      <c r="B1" s="223" t="s">
        <v>39</v>
      </c>
    </row>
    <row r="2" spans="1:6" ht="19.5" thickBot="1" x14ac:dyDescent="0.3"/>
    <row r="3" spans="1:6" ht="23.25" customHeight="1" thickBot="1" x14ac:dyDescent="0.3">
      <c r="B3" s="2538" t="s">
        <v>75</v>
      </c>
      <c r="C3" s="2538"/>
      <c r="D3" s="2538"/>
      <c r="F3" s="91" t="s">
        <v>265</v>
      </c>
    </row>
    <row r="4" spans="1:6" ht="31.5" customHeight="1" x14ac:dyDescent="0.25">
      <c r="A4" s="224"/>
      <c r="B4" s="2445" t="s">
        <v>234</v>
      </c>
      <c r="C4" s="2445"/>
      <c r="D4" s="49" t="s">
        <v>396</v>
      </c>
    </row>
    <row r="5" spans="1:6" ht="63" customHeight="1" x14ac:dyDescent="0.25">
      <c r="B5" s="2445" t="s">
        <v>79</v>
      </c>
      <c r="C5" s="2445"/>
      <c r="D5" s="49" t="s">
        <v>402</v>
      </c>
    </row>
    <row r="6" spans="1:6" x14ac:dyDescent="0.25">
      <c r="B6" s="2445" t="s">
        <v>80</v>
      </c>
      <c r="C6" s="2445"/>
      <c r="D6" s="50" t="s">
        <v>403</v>
      </c>
    </row>
    <row r="7" spans="1:6" ht="37.5" x14ac:dyDescent="0.25">
      <c r="B7" s="2446" t="s">
        <v>81</v>
      </c>
      <c r="C7" s="2446"/>
      <c r="D7" s="49" t="s">
        <v>404</v>
      </c>
    </row>
    <row r="8" spans="1:6" x14ac:dyDescent="0.25">
      <c r="B8" s="2446" t="s">
        <v>82</v>
      </c>
      <c r="C8" s="2446"/>
      <c r="D8" s="94" t="s">
        <v>565</v>
      </c>
    </row>
    <row r="9" spans="1:6" x14ac:dyDescent="0.4">
      <c r="B9" s="5"/>
      <c r="C9" s="5"/>
      <c r="D9" s="5"/>
    </row>
    <row r="10" spans="1:6" ht="23.25" customHeight="1" x14ac:dyDescent="0.25">
      <c r="B10" s="2538" t="s">
        <v>85</v>
      </c>
      <c r="C10" s="2538"/>
      <c r="D10" s="2538"/>
    </row>
    <row r="11" spans="1:6" ht="18" customHeight="1" x14ac:dyDescent="0.25">
      <c r="B11" s="2453" t="s">
        <v>86</v>
      </c>
      <c r="C11" s="2454"/>
      <c r="D11" s="49" t="s">
        <v>167</v>
      </c>
    </row>
    <row r="12" spans="1:6" ht="31.5" customHeight="1" x14ac:dyDescent="0.25">
      <c r="B12" s="2455" t="s">
        <v>88</v>
      </c>
      <c r="C12" s="2455"/>
      <c r="D12" s="184" t="s">
        <v>566</v>
      </c>
    </row>
    <row r="13" spans="1:6" x14ac:dyDescent="0.25">
      <c r="B13" s="2445" t="s">
        <v>90</v>
      </c>
      <c r="C13" s="2445"/>
      <c r="D13" s="54" t="s">
        <v>403</v>
      </c>
    </row>
    <row r="14" spans="1:6" x14ac:dyDescent="0.25">
      <c r="B14" s="2445" t="s">
        <v>91</v>
      </c>
      <c r="C14" s="2456"/>
      <c r="D14" s="54" t="s">
        <v>567</v>
      </c>
    </row>
    <row r="15" spans="1:6" ht="168.75" x14ac:dyDescent="0.25">
      <c r="B15" s="2445" t="s">
        <v>93</v>
      </c>
      <c r="C15" s="2445"/>
      <c r="D15" s="49" t="s">
        <v>568</v>
      </c>
    </row>
    <row r="16" spans="1:6" ht="56.25" x14ac:dyDescent="0.4">
      <c r="B16" s="2445" t="s">
        <v>95</v>
      </c>
      <c r="C16" s="2445"/>
      <c r="D16" s="203" t="s">
        <v>569</v>
      </c>
    </row>
    <row r="17" spans="2:4" x14ac:dyDescent="0.25">
      <c r="B17" s="2445" t="s">
        <v>97</v>
      </c>
      <c r="C17" s="2445"/>
      <c r="D17" s="55" t="s">
        <v>387</v>
      </c>
    </row>
    <row r="18" spans="2:4" ht="93.75" x14ac:dyDescent="0.25">
      <c r="B18" s="2446" t="s">
        <v>99</v>
      </c>
      <c r="C18" s="2446"/>
      <c r="D18" s="49" t="s">
        <v>570</v>
      </c>
    </row>
    <row r="19" spans="2:4" ht="33" customHeight="1" x14ac:dyDescent="0.25">
      <c r="B19" s="2457" t="s">
        <v>100</v>
      </c>
      <c r="C19" s="2458"/>
      <c r="D19" s="56" t="s">
        <v>571</v>
      </c>
    </row>
    <row r="20" spans="2:4" x14ac:dyDescent="0.25">
      <c r="B20" s="2445" t="s">
        <v>102</v>
      </c>
      <c r="C20" s="2445"/>
      <c r="D20" s="49" t="s">
        <v>140</v>
      </c>
    </row>
    <row r="21" spans="2:4" x14ac:dyDescent="0.25">
      <c r="B21" s="2451" t="s">
        <v>104</v>
      </c>
      <c r="C21" s="95" t="s">
        <v>105</v>
      </c>
      <c r="D21" s="49" t="s">
        <v>572</v>
      </c>
    </row>
    <row r="22" spans="2:4" ht="37.5" x14ac:dyDescent="0.25">
      <c r="B22" s="2452"/>
      <c r="C22" s="96" t="s">
        <v>107</v>
      </c>
      <c r="D22" s="55" t="s">
        <v>573</v>
      </c>
    </row>
    <row r="23" spans="2:4" x14ac:dyDescent="0.25">
      <c r="B23" s="2444" t="s">
        <v>109</v>
      </c>
      <c r="C23" s="2444"/>
      <c r="D23" s="56" t="s">
        <v>574</v>
      </c>
    </row>
    <row r="24" spans="2:4" x14ac:dyDescent="0.25">
      <c r="B24" s="2444" t="s">
        <v>111</v>
      </c>
      <c r="C24" s="2444"/>
      <c r="D24" s="55" t="s">
        <v>127</v>
      </c>
    </row>
    <row r="25" spans="2:4" x14ac:dyDescent="0.25">
      <c r="B25" s="2445" t="s">
        <v>113</v>
      </c>
      <c r="C25" s="2445"/>
      <c r="D25" s="56" t="s">
        <v>114</v>
      </c>
    </row>
    <row r="26" spans="2:4" ht="15" customHeight="1" x14ac:dyDescent="0.25">
      <c r="B26" s="2446" t="s">
        <v>115</v>
      </c>
      <c r="C26" s="2446"/>
      <c r="D26" s="59" t="s">
        <v>575</v>
      </c>
    </row>
    <row r="27" spans="2:4" x14ac:dyDescent="0.25">
      <c r="B27" s="2447" t="s">
        <v>117</v>
      </c>
      <c r="C27" s="2448"/>
      <c r="D27" s="49" t="s">
        <v>576</v>
      </c>
    </row>
    <row r="28" spans="2:4" ht="262.5" x14ac:dyDescent="0.25">
      <c r="B28" s="97" t="s">
        <v>118</v>
      </c>
      <c r="C28" s="98"/>
      <c r="D28" s="49" t="s">
        <v>577</v>
      </c>
    </row>
    <row r="29" spans="2:4" ht="56.25" x14ac:dyDescent="0.25">
      <c r="B29" s="2449" t="s">
        <v>120</v>
      </c>
      <c r="C29" s="2450"/>
      <c r="D29" s="62" t="s">
        <v>578</v>
      </c>
    </row>
    <row r="30" spans="2:4" x14ac:dyDescent="0.25">
      <c r="B30" s="63"/>
      <c r="C30" s="63"/>
      <c r="D30" s="64"/>
    </row>
    <row r="31" spans="2:4" ht="23.25" customHeight="1" x14ac:dyDescent="0.25">
      <c r="B31" s="2538" t="s">
        <v>121</v>
      </c>
      <c r="C31" s="2538"/>
      <c r="D31" s="2538"/>
    </row>
    <row r="32" spans="2:4" x14ac:dyDescent="0.25">
      <c r="B32" s="2442" t="s">
        <v>122</v>
      </c>
      <c r="C32" s="2443"/>
      <c r="D32" s="59" t="s">
        <v>520</v>
      </c>
    </row>
    <row r="33" spans="2:4" x14ac:dyDescent="0.25">
      <c r="B33" s="2442" t="s">
        <v>124</v>
      </c>
      <c r="C33" s="2443"/>
      <c r="D33" s="59" t="s">
        <v>521</v>
      </c>
    </row>
    <row r="34" spans="2:4" x14ac:dyDescent="0.25">
      <c r="B34" s="2442" t="s">
        <v>126</v>
      </c>
      <c r="C34" s="2443"/>
      <c r="D34" s="59" t="s">
        <v>522</v>
      </c>
    </row>
    <row r="35" spans="2:4" x14ac:dyDescent="0.25">
      <c r="B35" s="2442" t="s">
        <v>128</v>
      </c>
      <c r="C35" s="2443"/>
      <c r="D35" s="59">
        <v>22560255</v>
      </c>
    </row>
    <row r="36" spans="2:4" x14ac:dyDescent="0.25">
      <c r="B36" s="2442" t="s">
        <v>130</v>
      </c>
      <c r="C36" s="2443"/>
      <c r="D36" s="65" t="s">
        <v>523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B37B2EF-A38E-4F9B-A0A4-742A4416E4A9}">
      <formula1>Tipo_operación</formula1>
    </dataValidation>
    <dataValidation type="list" allowBlank="1" showInputMessage="1" showErrorMessage="1" sqref="D14" xr:uid="{E62A4F30-E4BC-4FF2-9CEC-97F4613DAB1E}">
      <formula1>Tipo_indicador</formula1>
    </dataValidation>
    <dataValidation type="list" allowBlank="1" showInputMessage="1" showErrorMessage="1" sqref="D7" xr:uid="{0479DE75-EED1-4D6E-AF17-B98DC49A17CA}">
      <formula1>Nombre_indicador_ODS</formula1>
    </dataValidation>
    <dataValidation type="list" allowBlank="1" showInputMessage="1" showErrorMessage="1" sqref="D6" xr:uid="{E4436F25-F88E-4436-8DD2-AFE6C6666BEA}">
      <formula1>Numero_indicador</formula1>
    </dataValidation>
    <dataValidation type="list" allowBlank="1" showInputMessage="1" showErrorMessage="1" sqref="D5" xr:uid="{9D05CF1A-551B-4DD8-B0D1-C534E76C8A0C}">
      <formula1>Metas_ODS</formula1>
    </dataValidation>
    <dataValidation type="list" allowBlank="1" showInputMessage="1" showErrorMessage="1" sqref="D4" xr:uid="{4F7B0D7F-B4FA-42EF-8A5E-B34D3180206B}">
      <formula1>ODS</formula1>
    </dataValidation>
    <dataValidation allowBlank="1" showDropDown="1" showInputMessage="1" showErrorMessage="1" sqref="D13" xr:uid="{11AC45DB-F337-4687-A904-E4809D91A213}"/>
  </dataValidations>
  <hyperlinks>
    <hyperlink ref="D8" r:id="rId1" xr:uid="{5DBEC49C-FB2D-4996-9380-DCC95B1F31B6}"/>
    <hyperlink ref="D36" r:id="rId2" xr:uid="{E8CFE7F9-2B82-46C0-8EB5-024C258B9292}"/>
    <hyperlink ref="B1" location="'2.2.1'!A1" display="REGRESAR" xr:uid="{B8086A73-0C53-46B1-8EC8-6780C790DFA7}"/>
  </hyperlinks>
  <pageMargins left="0.7" right="0.7" top="0.75" bottom="0.75" header="0.3" footer="0.3"/>
  <pageSetup orientation="portrait" r:id="rId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5BFD-6519-454A-AB4C-D9627EF5467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158" t="s">
        <v>39</v>
      </c>
    </row>
    <row r="2" spans="2:6" ht="19.5" thickBot="1" x14ac:dyDescent="0.45"/>
    <row r="3" spans="2:6" ht="23.25" customHeight="1" thickBot="1" x14ac:dyDescent="0.45">
      <c r="B3" s="3270" t="s">
        <v>75</v>
      </c>
      <c r="C3" s="3270"/>
      <c r="D3" s="3270"/>
      <c r="F3" s="1046" t="s">
        <v>317</v>
      </c>
    </row>
    <row r="4" spans="2:6" ht="37.5" x14ac:dyDescent="0.4">
      <c r="B4" s="2445" t="s">
        <v>234</v>
      </c>
      <c r="C4" s="2445"/>
      <c r="D4" s="49" t="s">
        <v>5921</v>
      </c>
    </row>
    <row r="5" spans="2:6" ht="93.75" x14ac:dyDescent="0.4">
      <c r="B5" s="2445" t="s">
        <v>79</v>
      </c>
      <c r="C5" s="2445"/>
      <c r="D5" s="49" t="s">
        <v>5906</v>
      </c>
    </row>
    <row r="6" spans="2:6" x14ac:dyDescent="0.4">
      <c r="B6" s="2445" t="s">
        <v>80</v>
      </c>
      <c r="C6" s="2445"/>
      <c r="D6" s="50" t="s">
        <v>5907</v>
      </c>
    </row>
    <row r="7" spans="2:6" ht="56.25" x14ac:dyDescent="0.4">
      <c r="B7" s="2446" t="s">
        <v>81</v>
      </c>
      <c r="C7" s="2446"/>
      <c r="D7" s="93" t="s">
        <v>5908</v>
      </c>
    </row>
    <row r="8" spans="2:6" x14ac:dyDescent="0.4">
      <c r="B8" s="2446" t="s">
        <v>82</v>
      </c>
      <c r="C8" s="2446"/>
      <c r="D8" s="1047" t="s">
        <v>6137</v>
      </c>
    </row>
    <row r="10" spans="2:6" ht="23.25" customHeight="1" x14ac:dyDescent="0.4">
      <c r="B10" s="3270" t="s">
        <v>85</v>
      </c>
      <c r="C10" s="3270"/>
      <c r="D10" s="3270"/>
    </row>
    <row r="11" spans="2:6" x14ac:dyDescent="0.4">
      <c r="B11" s="2487" t="s">
        <v>86</v>
      </c>
      <c r="C11" s="2456"/>
      <c r="D11" s="49"/>
    </row>
    <row r="12" spans="2:6" x14ac:dyDescent="0.4">
      <c r="B12" s="2446" t="s">
        <v>88</v>
      </c>
      <c r="C12" s="2446"/>
      <c r="D12" s="184"/>
    </row>
    <row r="13" spans="2:6" x14ac:dyDescent="0.4">
      <c r="B13" s="2445" t="s">
        <v>90</v>
      </c>
      <c r="C13" s="2445"/>
      <c r="D13" s="55"/>
    </row>
    <row r="14" spans="2:6" x14ac:dyDescent="0.4">
      <c r="B14" s="2445" t="s">
        <v>91</v>
      </c>
      <c r="C14" s="2456"/>
      <c r="D14" s="54"/>
    </row>
    <row r="15" spans="2:6" x14ac:dyDescent="0.4">
      <c r="B15" s="2445" t="s">
        <v>93</v>
      </c>
      <c r="C15" s="2445"/>
      <c r="D15" s="49"/>
    </row>
    <row r="16" spans="2:6" x14ac:dyDescent="0.4">
      <c r="B16" s="2445" t="s">
        <v>95</v>
      </c>
      <c r="C16" s="2445"/>
      <c r="D16" s="49"/>
    </row>
    <row r="17" spans="2:4" x14ac:dyDescent="0.4">
      <c r="B17" s="2445" t="s">
        <v>97</v>
      </c>
      <c r="C17" s="2445"/>
      <c r="D17" s="55"/>
    </row>
    <row r="18" spans="2:4" x14ac:dyDescent="0.4">
      <c r="B18" s="2446" t="s">
        <v>99</v>
      </c>
      <c r="C18" s="2446"/>
      <c r="D18" s="49"/>
    </row>
    <row r="19" spans="2:4" x14ac:dyDescent="0.4">
      <c r="B19" s="2457" t="s">
        <v>100</v>
      </c>
      <c r="C19" s="2458"/>
      <c r="D19" s="55"/>
    </row>
    <row r="20" spans="2:4" x14ac:dyDescent="0.4">
      <c r="B20" s="2445" t="s">
        <v>102</v>
      </c>
      <c r="C20" s="2445"/>
      <c r="D20" s="49"/>
    </row>
    <row r="21" spans="2:4" x14ac:dyDescent="0.4">
      <c r="B21" s="2451" t="s">
        <v>104</v>
      </c>
      <c r="C21" s="95" t="s">
        <v>105</v>
      </c>
      <c r="D21" s="49"/>
    </row>
    <row r="22" spans="2:4" x14ac:dyDescent="0.4">
      <c r="B22" s="2452"/>
      <c r="C22" s="96" t="s">
        <v>107</v>
      </c>
      <c r="D22" s="55"/>
    </row>
    <row r="23" spans="2:4" x14ac:dyDescent="0.4">
      <c r="B23" s="2445" t="s">
        <v>109</v>
      </c>
      <c r="C23" s="2445"/>
      <c r="D23" s="49"/>
    </row>
    <row r="24" spans="2:4" x14ac:dyDescent="0.4">
      <c r="B24" s="2445" t="s">
        <v>111</v>
      </c>
      <c r="C24" s="2445"/>
      <c r="D24" s="49"/>
    </row>
    <row r="25" spans="2:4" x14ac:dyDescent="0.4">
      <c r="B25" s="2445" t="s">
        <v>113</v>
      </c>
      <c r="C25" s="2445"/>
      <c r="D25" s="55"/>
    </row>
    <row r="26" spans="2:4" x14ac:dyDescent="0.4">
      <c r="B26" s="2446" t="s">
        <v>115</v>
      </c>
      <c r="C26" s="2446"/>
      <c r="D26" s="49"/>
    </row>
    <row r="27" spans="2:4" x14ac:dyDescent="0.4">
      <c r="B27" s="2447" t="s">
        <v>117</v>
      </c>
      <c r="C27" s="2448"/>
      <c r="D27" s="49"/>
    </row>
    <row r="28" spans="2:4" x14ac:dyDescent="0.4">
      <c r="B28" s="97" t="s">
        <v>118</v>
      </c>
      <c r="C28" s="98"/>
      <c r="D28" s="49"/>
    </row>
    <row r="29" spans="2:4" x14ac:dyDescent="0.4">
      <c r="B29" s="2449" t="s">
        <v>120</v>
      </c>
      <c r="C29" s="2450"/>
      <c r="D29" s="62"/>
    </row>
    <row r="30" spans="2:4" x14ac:dyDescent="0.4">
      <c r="B30" s="63"/>
      <c r="C30" s="63"/>
      <c r="D30" s="64"/>
    </row>
    <row r="31" spans="2:4" ht="23.25" customHeight="1" x14ac:dyDescent="0.4">
      <c r="B31" s="3270" t="s">
        <v>121</v>
      </c>
      <c r="C31" s="3270"/>
      <c r="D31" s="3270"/>
    </row>
    <row r="32" spans="2:4" x14ac:dyDescent="0.4">
      <c r="B32" s="2447" t="s">
        <v>122</v>
      </c>
      <c r="C32" s="2448"/>
      <c r="D32" s="55"/>
    </row>
    <row r="33" spans="2:4" x14ac:dyDescent="0.4">
      <c r="B33" s="2447" t="s">
        <v>124</v>
      </c>
      <c r="C33" s="2448"/>
      <c r="D33" s="55"/>
    </row>
    <row r="34" spans="2:4" x14ac:dyDescent="0.4">
      <c r="B34" s="2447" t="s">
        <v>126</v>
      </c>
      <c r="C34" s="2448"/>
      <c r="D34" s="55"/>
    </row>
    <row r="35" spans="2:4" x14ac:dyDescent="0.4">
      <c r="B35" s="2447" t="s">
        <v>128</v>
      </c>
      <c r="C35" s="2448"/>
      <c r="D35" s="246"/>
    </row>
    <row r="36" spans="2:4" x14ac:dyDescent="0.4">
      <c r="B36" s="2447" t="s">
        <v>130</v>
      </c>
      <c r="C36" s="244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63F6403E-0BC6-496E-AE90-F8B54F3F0444}">
      <formula1>Tipo_operación</formula1>
    </dataValidation>
    <dataValidation type="list" allowBlank="1" showInputMessage="1" showErrorMessage="1" sqref="D14" xr:uid="{0397F245-79E6-40E4-B2B1-A4A6B5B0E5BF}">
      <formula1>Tipo_indicador</formula1>
    </dataValidation>
    <dataValidation type="list" allowBlank="1" showInputMessage="1" showErrorMessage="1" sqref="D7" xr:uid="{37690494-3D2B-4AE8-B95B-8B8428AC81E5}">
      <formula1>Nombre_indicador_ODS</formula1>
    </dataValidation>
    <dataValidation type="list" allowBlank="1" showInputMessage="1" showErrorMessage="1" sqref="D6" xr:uid="{647AC5BB-B2FD-474B-BEC9-297B02F3690C}">
      <formula1>Numero_indicador</formula1>
    </dataValidation>
    <dataValidation type="list" allowBlank="1" showInputMessage="1" showErrorMessage="1" sqref="D5" xr:uid="{52F4F013-5432-49D0-BD00-0562C789A862}">
      <formula1>Metas_ODS</formula1>
    </dataValidation>
    <dataValidation type="list" allowBlank="1" showInputMessage="1" showErrorMessage="1" sqref="D4" xr:uid="{54CB8C2B-6195-4F91-AF5A-F058EEC0BCBE}">
      <formula1>ODS</formula1>
    </dataValidation>
  </dataValidations>
  <hyperlinks>
    <hyperlink ref="B1" location="'11.b.1'!A1" display="REGRESAR" xr:uid="{CC75959B-42A2-4500-B0D4-D8EAFBBBD73A}"/>
    <hyperlink ref="D8" r:id="rId1" xr:uid="{CF2CE25C-83E8-425A-B3B7-6B85A2ACC4BE}"/>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CF519-DA0E-43FA-BADE-2F968C477080}">
  <dimension ref="A1:AC45"/>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7109375" style="115" customWidth="1"/>
    <col min="2" max="2" width="17.42578125" style="115" customWidth="1"/>
    <col min="3" max="3" width="11.42578125" style="115"/>
    <col min="4" max="4" width="17" style="115" customWidth="1"/>
    <col min="5" max="11" width="11.42578125" style="115"/>
    <col min="12" max="12" width="2.5703125" style="115" customWidth="1"/>
    <col min="13" max="20" width="11.42578125" style="115"/>
    <col min="21" max="21" width="1.7109375" style="115" customWidth="1"/>
    <col min="22" max="16384" width="11.42578125" style="115"/>
  </cols>
  <sheetData>
    <row r="1" spans="1:29" s="1032" customFormat="1" ht="19.5" x14ac:dyDescent="0.4">
      <c r="A1" s="68" t="s">
        <v>39</v>
      </c>
      <c r="C1" s="2421" t="s">
        <v>149</v>
      </c>
      <c r="D1" s="2421"/>
    </row>
    <row r="2" spans="1:29" s="1032" customFormat="1" ht="13.5" customHeight="1" x14ac:dyDescent="0.4"/>
    <row r="3" spans="1:29" s="1032" customFormat="1" ht="19.5" x14ac:dyDescent="0.4">
      <c r="A3" s="3271" t="s">
        <v>41</v>
      </c>
      <c r="B3" s="3274"/>
      <c r="C3" s="3271" t="s">
        <v>5871</v>
      </c>
      <c r="D3" s="3294"/>
      <c r="E3" s="3294"/>
      <c r="F3" s="3294"/>
      <c r="G3" s="3294"/>
      <c r="H3" s="3294"/>
      <c r="I3" s="3294"/>
      <c r="J3" s="3294"/>
      <c r="K3" s="3294"/>
      <c r="L3" s="3294"/>
      <c r="M3" s="3294"/>
      <c r="N3" s="3294"/>
      <c r="O3" s="3294"/>
      <c r="P3" s="3294"/>
      <c r="Q3" s="3294"/>
      <c r="R3" s="3294"/>
      <c r="S3" s="1783"/>
    </row>
    <row r="4" spans="1:29" s="1032" customFormat="1" ht="39" customHeight="1" x14ac:dyDescent="0.4">
      <c r="A4" s="3271" t="s">
        <v>42</v>
      </c>
      <c r="B4" s="3272"/>
      <c r="C4" s="3271" t="s">
        <v>5906</v>
      </c>
      <c r="D4" s="3294"/>
      <c r="E4" s="3294"/>
      <c r="F4" s="3294"/>
      <c r="G4" s="3294"/>
      <c r="H4" s="3294"/>
      <c r="I4" s="3294"/>
      <c r="J4" s="3294"/>
      <c r="K4" s="3294"/>
      <c r="L4" s="3294"/>
      <c r="M4" s="3294"/>
      <c r="N4" s="3294"/>
      <c r="O4" s="3294"/>
      <c r="P4" s="3294"/>
      <c r="Q4" s="3294"/>
      <c r="R4" s="3294"/>
      <c r="S4" s="1783"/>
    </row>
    <row r="5" spans="1:29" s="1032" customFormat="1" ht="19.5" x14ac:dyDescent="0.4">
      <c r="A5" s="3271" t="s">
        <v>43</v>
      </c>
      <c r="B5" s="3272"/>
      <c r="C5" s="3271" t="s">
        <v>5910</v>
      </c>
      <c r="D5" s="3294"/>
      <c r="E5" s="3294"/>
      <c r="F5" s="3294"/>
      <c r="G5" s="3294"/>
      <c r="H5" s="3294"/>
      <c r="I5" s="3294"/>
      <c r="J5" s="3294"/>
      <c r="K5" s="3294"/>
      <c r="L5" s="3294"/>
      <c r="M5" s="3294"/>
      <c r="N5" s="3294"/>
      <c r="O5" s="3294"/>
      <c r="P5" s="3294"/>
      <c r="Q5" s="3294"/>
      <c r="R5" s="3294"/>
      <c r="S5" s="1784"/>
    </row>
    <row r="6" spans="1:29" s="1032" customFormat="1" ht="19.5" x14ac:dyDescent="0.4">
      <c r="A6" s="3271" t="s">
        <v>132</v>
      </c>
      <c r="B6" s="3272"/>
      <c r="C6" s="3271" t="s">
        <v>6138</v>
      </c>
      <c r="D6" s="3294"/>
      <c r="E6" s="3294"/>
      <c r="F6" s="3294"/>
      <c r="G6" s="3294"/>
      <c r="H6" s="3294"/>
      <c r="I6" s="3294"/>
      <c r="J6" s="3294"/>
      <c r="K6" s="3294"/>
      <c r="L6" s="3294"/>
      <c r="M6" s="3294"/>
      <c r="N6" s="3294"/>
      <c r="O6" s="3294"/>
      <c r="P6" s="3294"/>
      <c r="Q6" s="3294"/>
      <c r="R6" s="3294"/>
      <c r="S6" s="1784"/>
    </row>
    <row r="7" spans="1:29" s="1032" customFormat="1" ht="19.5" x14ac:dyDescent="0.4"/>
    <row r="8" spans="1:29" s="1032" customFormat="1" ht="19.5" x14ac:dyDescent="0.4"/>
    <row r="9" spans="1:29" s="1032" customFormat="1" ht="19.5" x14ac:dyDescent="0.4">
      <c r="C9" s="2628" t="s">
        <v>323</v>
      </c>
      <c r="D9" s="2628"/>
      <c r="E9" s="2628"/>
      <c r="F9" s="2628"/>
      <c r="G9" s="2628"/>
      <c r="H9" s="2628"/>
      <c r="I9" s="2628"/>
      <c r="J9" s="2628"/>
      <c r="K9" s="2628"/>
      <c r="L9" s="2628"/>
      <c r="M9" s="2628"/>
      <c r="N9" s="2628"/>
      <c r="O9" s="2628"/>
      <c r="P9" s="2628"/>
      <c r="Q9" s="2628"/>
      <c r="R9" s="2628"/>
      <c r="S9" s="2628"/>
      <c r="T9" s="2628"/>
      <c r="U9" s="2628"/>
      <c r="V9" s="2628"/>
      <c r="W9" s="2628"/>
      <c r="X9" s="2628"/>
      <c r="Y9" s="2628"/>
      <c r="Z9" s="2628"/>
      <c r="AA9" s="2628"/>
      <c r="AB9" s="2628"/>
      <c r="AC9" s="2628"/>
    </row>
    <row r="10" spans="1:29" ht="12.75" customHeight="1" x14ac:dyDescent="0.4">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row>
    <row r="11" spans="1:29" ht="19.899999999999999" customHeight="1" x14ac:dyDescent="0.4">
      <c r="C11" s="3284" t="s">
        <v>247</v>
      </c>
      <c r="D11" s="3268" t="s">
        <v>324</v>
      </c>
      <c r="E11" s="3268"/>
      <c r="F11" s="3268"/>
      <c r="G11" s="3268"/>
      <c r="H11" s="3268"/>
      <c r="I11" s="3268"/>
      <c r="J11" s="3268"/>
      <c r="K11" s="3268"/>
      <c r="L11" s="1734"/>
      <c r="M11" s="3268" t="s">
        <v>325</v>
      </c>
      <c r="N11" s="3268"/>
      <c r="O11" s="3268"/>
      <c r="P11" s="3268"/>
      <c r="Q11" s="3268"/>
      <c r="R11" s="3268"/>
      <c r="S11" s="3268"/>
      <c r="T11" s="3268"/>
      <c r="U11" s="1671"/>
      <c r="V11" s="3268" t="s">
        <v>326</v>
      </c>
      <c r="W11" s="3268"/>
      <c r="X11" s="3268"/>
      <c r="Y11" s="3268"/>
      <c r="Z11" s="3268"/>
      <c r="AA11" s="3268"/>
      <c r="AB11" s="3268"/>
      <c r="AC11" s="3268"/>
    </row>
    <row r="12" spans="1:29" ht="15" customHeight="1" x14ac:dyDescent="0.4">
      <c r="C12" s="3302"/>
      <c r="D12" s="3284" t="s">
        <v>47</v>
      </c>
      <c r="E12" s="3268" t="s">
        <v>327</v>
      </c>
      <c r="F12" s="3268"/>
      <c r="G12" s="3268"/>
      <c r="H12" s="3268"/>
      <c r="I12" s="3268"/>
      <c r="J12" s="3268"/>
      <c r="K12" s="3268"/>
      <c r="L12" s="1733"/>
      <c r="M12" s="3284" t="s">
        <v>47</v>
      </c>
      <c r="N12" s="3268" t="s">
        <v>327</v>
      </c>
      <c r="O12" s="3268"/>
      <c r="P12" s="3268"/>
      <c r="Q12" s="3268"/>
      <c r="R12" s="3268"/>
      <c r="S12" s="3268"/>
      <c r="T12" s="3268"/>
      <c r="U12" s="3300"/>
      <c r="V12" s="3284" t="s">
        <v>47</v>
      </c>
      <c r="W12" s="3268" t="s">
        <v>327</v>
      </c>
      <c r="X12" s="3268"/>
      <c r="Y12" s="3268"/>
      <c r="Z12" s="3268"/>
      <c r="AA12" s="3268"/>
      <c r="AB12" s="3268"/>
      <c r="AC12" s="3268"/>
    </row>
    <row r="13" spans="1:29" x14ac:dyDescent="0.4">
      <c r="C13" s="3275"/>
      <c r="D13" s="3275"/>
      <c r="E13" s="1713" t="s">
        <v>328</v>
      </c>
      <c r="F13" s="1713" t="s">
        <v>329</v>
      </c>
      <c r="G13" s="1713" t="s">
        <v>330</v>
      </c>
      <c r="H13" s="1713" t="s">
        <v>331</v>
      </c>
      <c r="I13" s="1713" t="s">
        <v>332</v>
      </c>
      <c r="J13" s="1713" t="s">
        <v>333</v>
      </c>
      <c r="K13" s="1713" t="s">
        <v>334</v>
      </c>
      <c r="L13" s="1713"/>
      <c r="M13" s="3275"/>
      <c r="N13" s="1713" t="s">
        <v>328</v>
      </c>
      <c r="O13" s="1713" t="s">
        <v>329</v>
      </c>
      <c r="P13" s="1713" t="s">
        <v>330</v>
      </c>
      <c r="Q13" s="1713" t="s">
        <v>331</v>
      </c>
      <c r="R13" s="1713" t="s">
        <v>332</v>
      </c>
      <c r="S13" s="1713" t="s">
        <v>333</v>
      </c>
      <c r="T13" s="1713" t="s">
        <v>334</v>
      </c>
      <c r="U13" s="3267"/>
      <c r="V13" s="3275"/>
      <c r="W13" s="1713" t="s">
        <v>328</v>
      </c>
      <c r="X13" s="1713" t="s">
        <v>329</v>
      </c>
      <c r="Y13" s="1713" t="s">
        <v>330</v>
      </c>
      <c r="Z13" s="1713" t="s">
        <v>331</v>
      </c>
      <c r="AA13" s="1713" t="s">
        <v>332</v>
      </c>
      <c r="AB13" s="1713" t="s">
        <v>333</v>
      </c>
      <c r="AC13" s="1713" t="s">
        <v>334</v>
      </c>
    </row>
    <row r="14" spans="1:29" x14ac:dyDescent="0.4">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x14ac:dyDescent="0.4">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x14ac:dyDescent="0.4">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3:29" x14ac:dyDescent="0.4">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3:29" x14ac:dyDescent="0.4">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3:29" x14ac:dyDescent="0.4">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3:29" x14ac:dyDescent="0.4">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3:29" x14ac:dyDescent="0.4">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3:29" x14ac:dyDescent="0.4">
      <c r="C22" s="5" t="s">
        <v>335</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3:29" x14ac:dyDescent="0.4">
      <c r="C23" s="5" t="s">
        <v>336</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3:29" x14ac:dyDescent="0.4">
      <c r="C24" s="5" t="s">
        <v>337</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3:29" x14ac:dyDescent="0.4">
      <c r="C25" s="36" t="s">
        <v>338</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3:29" x14ac:dyDescent="0.4">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3:29" x14ac:dyDescent="0.4">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45" spans="3:3" x14ac:dyDescent="0.4">
      <c r="C45" s="339"/>
    </row>
  </sheetData>
  <mergeCells count="21">
    <mergeCell ref="A5:B5"/>
    <mergeCell ref="C5:R5"/>
    <mergeCell ref="C1:D1"/>
    <mergeCell ref="A3:B3"/>
    <mergeCell ref="C3:R3"/>
    <mergeCell ref="A4:B4"/>
    <mergeCell ref="C4:R4"/>
    <mergeCell ref="N12:T12"/>
    <mergeCell ref="U12:U13"/>
    <mergeCell ref="V12:V13"/>
    <mergeCell ref="W12:AC12"/>
    <mergeCell ref="A6:B6"/>
    <mergeCell ref="C6:R6"/>
    <mergeCell ref="C9:AC9"/>
    <mergeCell ref="C11:C13"/>
    <mergeCell ref="D11:K11"/>
    <mergeCell ref="M11:T11"/>
    <mergeCell ref="V11:AC11"/>
    <mergeCell ref="D12:D13"/>
    <mergeCell ref="E12:K12"/>
    <mergeCell ref="M12:M13"/>
  </mergeCells>
  <hyperlinks>
    <hyperlink ref="A1" location="'ODS 11.'!A1" display="REGRESAR" xr:uid="{1A33954D-ED2B-4B94-978C-7203A4FADAC9}"/>
    <hyperlink ref="C1:D1" location="'Metadato 11.b.2'!A1" display="VER METADATO" xr:uid="{A8642DD8-D945-44B0-AA1A-704BD19812ED}"/>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50183-1FAC-41AA-965D-06FD5957EDD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9" width="11.42578125" style="115"/>
    <col min="10" max="10" width="2.5703125" style="115" customWidth="1"/>
    <col min="11" max="18" width="11.42578125" style="115"/>
    <col min="19" max="19" width="1.7109375" style="115" customWidth="1"/>
    <col min="20" max="16384" width="11.42578125" style="115"/>
  </cols>
  <sheetData>
    <row r="1" spans="1:6" x14ac:dyDescent="0.4">
      <c r="B1" s="158" t="s">
        <v>39</v>
      </c>
    </row>
    <row r="2" spans="1:6" ht="19.5" thickBot="1" x14ac:dyDescent="0.45"/>
    <row r="3" spans="1:6" ht="23.25" customHeight="1" thickBot="1" x14ac:dyDescent="0.45">
      <c r="B3" s="3270" t="s">
        <v>75</v>
      </c>
      <c r="C3" s="3270"/>
      <c r="D3" s="3270"/>
      <c r="F3" s="1046" t="s">
        <v>265</v>
      </c>
    </row>
    <row r="4" spans="1:6" ht="37.5" x14ac:dyDescent="0.4">
      <c r="A4" s="283"/>
      <c r="B4" s="2487" t="s">
        <v>234</v>
      </c>
      <c r="C4" s="2456"/>
      <c r="D4" s="49" t="s">
        <v>5921</v>
      </c>
    </row>
    <row r="5" spans="1:6" ht="76.900000000000006" customHeight="1" x14ac:dyDescent="0.4">
      <c r="B5" s="2487" t="s">
        <v>79</v>
      </c>
      <c r="C5" s="2456"/>
      <c r="D5" s="49" t="s">
        <v>5906</v>
      </c>
    </row>
    <row r="6" spans="1:6" x14ac:dyDescent="0.4">
      <c r="B6" s="2487" t="s">
        <v>80</v>
      </c>
      <c r="C6" s="2456"/>
      <c r="D6" s="50" t="s">
        <v>5909</v>
      </c>
    </row>
    <row r="7" spans="1:6" ht="33.6" customHeight="1" x14ac:dyDescent="0.4">
      <c r="B7" s="2457" t="s">
        <v>81</v>
      </c>
      <c r="C7" s="2458"/>
      <c r="D7" s="93" t="s">
        <v>5910</v>
      </c>
    </row>
    <row r="8" spans="1:6" x14ac:dyDescent="0.4">
      <c r="B8" s="2457" t="s">
        <v>82</v>
      </c>
      <c r="C8" s="2458"/>
      <c r="D8" s="1047" t="s">
        <v>6139</v>
      </c>
    </row>
    <row r="10" spans="1:6" ht="23.25" customHeight="1" x14ac:dyDescent="0.4">
      <c r="B10" s="3270" t="s">
        <v>85</v>
      </c>
      <c r="C10" s="3270"/>
      <c r="D10" s="3270"/>
    </row>
    <row r="11" spans="1:6" x14ac:dyDescent="0.4">
      <c r="B11" s="2453" t="s">
        <v>86</v>
      </c>
      <c r="C11" s="2454"/>
      <c r="D11" s="49" t="s">
        <v>167</v>
      </c>
    </row>
    <row r="12" spans="1:6" ht="30.75" customHeight="1" x14ac:dyDescent="0.4">
      <c r="B12" s="2455" t="s">
        <v>88</v>
      </c>
      <c r="C12" s="2455"/>
      <c r="D12" s="169" t="s">
        <v>340</v>
      </c>
    </row>
    <row r="13" spans="1:6" x14ac:dyDescent="0.4">
      <c r="B13" s="2445" t="s">
        <v>90</v>
      </c>
      <c r="C13" s="2445"/>
      <c r="D13" s="54" t="s">
        <v>29</v>
      </c>
    </row>
    <row r="14" spans="1:6" x14ac:dyDescent="0.4">
      <c r="B14" s="2445" t="s">
        <v>91</v>
      </c>
      <c r="C14" s="2456"/>
      <c r="D14" s="54" t="s">
        <v>92</v>
      </c>
    </row>
    <row r="15" spans="1:6" ht="302.25" customHeight="1" x14ac:dyDescent="0.4">
      <c r="B15" s="2445" t="s">
        <v>93</v>
      </c>
      <c r="C15" s="2445"/>
      <c r="D15" s="56" t="s">
        <v>341</v>
      </c>
    </row>
    <row r="16" spans="1:6" ht="67.5" customHeight="1" x14ac:dyDescent="0.4">
      <c r="B16" s="2445" t="s">
        <v>95</v>
      </c>
      <c r="C16" s="2445"/>
      <c r="D16" s="49"/>
    </row>
    <row r="17" spans="2:4" x14ac:dyDescent="0.4">
      <c r="B17" s="2445" t="s">
        <v>97</v>
      </c>
      <c r="C17" s="2445"/>
      <c r="D17" s="56" t="s">
        <v>98</v>
      </c>
    </row>
    <row r="18" spans="2:4" x14ac:dyDescent="0.4">
      <c r="B18" s="2446" t="s">
        <v>99</v>
      </c>
      <c r="C18" s="2446"/>
      <c r="D18" s="49"/>
    </row>
    <row r="19" spans="2:4" ht="30" customHeight="1" x14ac:dyDescent="0.4">
      <c r="B19" s="2457" t="s">
        <v>100</v>
      </c>
      <c r="C19" s="2458"/>
      <c r="D19" s="56" t="s">
        <v>342</v>
      </c>
    </row>
    <row r="20" spans="2:4" x14ac:dyDescent="0.4">
      <c r="B20" s="2445" t="s">
        <v>102</v>
      </c>
      <c r="C20" s="2445"/>
      <c r="D20" s="56" t="s">
        <v>140</v>
      </c>
    </row>
    <row r="21" spans="2:4" x14ac:dyDescent="0.4">
      <c r="B21" s="2451" t="s">
        <v>104</v>
      </c>
      <c r="C21" s="95" t="s">
        <v>105</v>
      </c>
      <c r="D21" s="49" t="s">
        <v>327</v>
      </c>
    </row>
    <row r="22" spans="2:4" x14ac:dyDescent="0.4">
      <c r="B22" s="2452"/>
      <c r="C22" s="96" t="s">
        <v>107</v>
      </c>
      <c r="D22" s="55"/>
    </row>
    <row r="23" spans="2:4" x14ac:dyDescent="0.4">
      <c r="B23" s="2444" t="s">
        <v>109</v>
      </c>
      <c r="C23" s="2444"/>
      <c r="D23" s="49" t="s">
        <v>143</v>
      </c>
    </row>
    <row r="24" spans="2:4" x14ac:dyDescent="0.4">
      <c r="B24" s="2444" t="s">
        <v>111</v>
      </c>
      <c r="C24" s="2444"/>
      <c r="D24" s="59" t="s">
        <v>273</v>
      </c>
    </row>
    <row r="25" spans="2:4" x14ac:dyDescent="0.4">
      <c r="B25" s="2445" t="s">
        <v>113</v>
      </c>
      <c r="C25" s="2445"/>
      <c r="D25" s="56" t="s">
        <v>220</v>
      </c>
    </row>
    <row r="26" spans="2:4" ht="15" customHeight="1" x14ac:dyDescent="0.4">
      <c r="B26" s="2446" t="s">
        <v>115</v>
      </c>
      <c r="C26" s="2446"/>
      <c r="D26" s="49"/>
    </row>
    <row r="27" spans="2:4" x14ac:dyDescent="0.4">
      <c r="B27" s="2447" t="s">
        <v>117</v>
      </c>
      <c r="C27" s="2448"/>
      <c r="D27" s="49"/>
    </row>
    <row r="28" spans="2:4" x14ac:dyDescent="0.4">
      <c r="B28" s="97" t="s">
        <v>118</v>
      </c>
      <c r="C28" s="98"/>
      <c r="D28" s="56" t="s">
        <v>343</v>
      </c>
    </row>
    <row r="29" spans="2:4" x14ac:dyDescent="0.4">
      <c r="B29" s="2449" t="s">
        <v>120</v>
      </c>
      <c r="C29" s="2450"/>
      <c r="D29" s="62"/>
    </row>
    <row r="30" spans="2:4" x14ac:dyDescent="0.4">
      <c r="B30" s="63"/>
      <c r="C30" s="63"/>
      <c r="D30" s="64"/>
    </row>
    <row r="31" spans="2:4" ht="23.25" customHeight="1" x14ac:dyDescent="0.4">
      <c r="B31" s="2431" t="s">
        <v>121</v>
      </c>
      <c r="C31" s="2431"/>
      <c r="D31" s="2431"/>
    </row>
    <row r="32" spans="2:4" x14ac:dyDescent="0.4">
      <c r="B32" s="2442" t="s">
        <v>122</v>
      </c>
      <c r="C32" s="2443"/>
      <c r="D32" s="59" t="s">
        <v>276</v>
      </c>
    </row>
    <row r="33" spans="2:4" x14ac:dyDescent="0.4">
      <c r="B33" s="2442" t="s">
        <v>124</v>
      </c>
      <c r="C33" s="2443"/>
      <c r="D33" s="59" t="s">
        <v>277</v>
      </c>
    </row>
    <row r="34" spans="2:4" ht="13.5" customHeight="1" x14ac:dyDescent="0.4">
      <c r="B34" s="2442" t="s">
        <v>126</v>
      </c>
      <c r="C34" s="2443"/>
      <c r="D34" s="59" t="s">
        <v>273</v>
      </c>
    </row>
    <row r="35" spans="2:4" x14ac:dyDescent="0.4">
      <c r="B35" s="2442" t="s">
        <v>128</v>
      </c>
      <c r="C35" s="2443"/>
      <c r="D35" s="59" t="s">
        <v>344</v>
      </c>
    </row>
    <row r="36" spans="2:4" x14ac:dyDescent="0.4">
      <c r="B36" s="2442" t="s">
        <v>130</v>
      </c>
      <c r="C36" s="2443"/>
      <c r="D36" s="59" t="s">
        <v>279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88C0B0F-A9BF-496F-BB77-832C55643954}"/>
    <dataValidation type="list" allowBlank="1" showInputMessage="1" showErrorMessage="1" sqref="D4" xr:uid="{A288EE2E-36B4-46A9-A863-2CC7A30D8BF1}">
      <formula1>ODS</formula1>
    </dataValidation>
    <dataValidation type="list" allowBlank="1" showInputMessage="1" showErrorMessage="1" sqref="D5" xr:uid="{69AFD16C-5427-4848-9737-A4FE7EA2B544}">
      <formula1>Metas_ODS</formula1>
    </dataValidation>
    <dataValidation type="list" allowBlank="1" showInputMessage="1" showErrorMessage="1" sqref="D6" xr:uid="{844C5D74-8B58-4739-85DF-F6C7C0B08EBA}">
      <formula1>Numero_indicador</formula1>
    </dataValidation>
    <dataValidation type="list" allowBlank="1" showInputMessage="1" showErrorMessage="1" sqref="D7" xr:uid="{CE7BF903-B755-44E1-B379-9073DE1EBFEA}">
      <formula1>Nombre_indicador_ODS</formula1>
    </dataValidation>
    <dataValidation type="list" allowBlank="1" showInputMessage="1" showErrorMessage="1" sqref="D14" xr:uid="{8FDB9BDC-D10B-4A3F-B845-94BF3BDB9450}">
      <formula1>Tipo_indicador</formula1>
    </dataValidation>
    <dataValidation type="list" allowBlank="1" showInputMessage="1" showErrorMessage="1" sqref="D25" xr:uid="{442FF5BE-6F0E-43F9-A7FF-E523E440A531}">
      <formula1>Tipo_operación</formula1>
    </dataValidation>
  </dataValidations>
  <hyperlinks>
    <hyperlink ref="B1" location="'11.b.2'!A1" display="REGRESAR" xr:uid="{CE044283-DBD3-43DD-8533-8521DA405552}"/>
    <hyperlink ref="D8" r:id="rId1" xr:uid="{6CDEF7BC-E1AF-480E-A737-05E65E38156C}"/>
  </hyperlinks>
  <pageMargins left="0.7" right="0.7" top="0.75" bottom="0.75" header="0.3" footer="0.3"/>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7508-866A-43E6-B707-0DC6B53DB196}">
  <sheetPr>
    <tabColor rgb="FFBF8B2E"/>
  </sheetPr>
  <dimension ref="A1:E17"/>
  <sheetViews>
    <sheetView showGridLines="0" workbookViewId="0">
      <pane ySplit="4" topLeftCell="A5" activePane="bottomLeft" state="frozen"/>
      <selection sqref="A1:B1"/>
      <selection pane="bottomLeft" sqref="A1:B1"/>
    </sheetView>
  </sheetViews>
  <sheetFormatPr baseColWidth="10" defaultColWidth="11.5703125" defaultRowHeight="18.75" x14ac:dyDescent="0.4"/>
  <cols>
    <col min="1" max="2" width="11.5703125" style="5"/>
    <col min="3" max="3" width="65.7109375" style="5" customWidth="1"/>
    <col min="4" max="4" width="13.42578125" style="5" customWidth="1"/>
    <col min="5" max="5" width="84.28515625" style="5" customWidth="1"/>
    <col min="6" max="16384" width="11.5703125" style="5"/>
  </cols>
  <sheetData>
    <row r="1" spans="1:5" ht="19.5" x14ac:dyDescent="0.4">
      <c r="A1" s="2410" t="s">
        <v>1</v>
      </c>
      <c r="B1" s="2410"/>
    </row>
    <row r="3" spans="1:5" ht="55.9" customHeight="1" x14ac:dyDescent="0.4">
      <c r="A3" s="3261"/>
      <c r="B3" s="3261"/>
      <c r="C3" s="3307" t="s">
        <v>6140</v>
      </c>
      <c r="D3" s="3307"/>
      <c r="E3" s="3307"/>
    </row>
    <row r="4" spans="1:5" s="3" customFormat="1" ht="43.15" customHeight="1" x14ac:dyDescent="0.25">
      <c r="A4" s="3261"/>
      <c r="B4" s="3261"/>
      <c r="C4" s="8" t="s">
        <v>3</v>
      </c>
      <c r="D4" s="8" t="s">
        <v>4</v>
      </c>
      <c r="E4" s="8" t="s">
        <v>5</v>
      </c>
    </row>
    <row r="5" spans="1:5" s="3" customFormat="1" ht="97.5" x14ac:dyDescent="0.25">
      <c r="C5" s="10" t="s">
        <v>6141</v>
      </c>
      <c r="D5" s="13" t="s">
        <v>6142</v>
      </c>
      <c r="E5" s="14" t="s">
        <v>6143</v>
      </c>
    </row>
    <row r="6" spans="1:5" s="3" customFormat="1" ht="40.9" customHeight="1" x14ac:dyDescent="0.25">
      <c r="C6" s="2408" t="s">
        <v>6144</v>
      </c>
      <c r="D6" s="13" t="s">
        <v>6145</v>
      </c>
      <c r="E6" s="14" t="s">
        <v>6146</v>
      </c>
    </row>
    <row r="7" spans="1:5" s="3" customFormat="1" ht="42.6" customHeight="1" x14ac:dyDescent="0.25">
      <c r="C7" s="2409"/>
      <c r="D7" s="11" t="s">
        <v>6147</v>
      </c>
      <c r="E7" s="12" t="s">
        <v>6148</v>
      </c>
    </row>
    <row r="8" spans="1:5" s="3" customFormat="1" ht="97.5" x14ac:dyDescent="0.25">
      <c r="C8" s="10" t="s">
        <v>6149</v>
      </c>
      <c r="D8" s="13" t="s">
        <v>6150</v>
      </c>
      <c r="E8" s="14" t="s">
        <v>6151</v>
      </c>
    </row>
    <row r="9" spans="1:5" s="3" customFormat="1" ht="59.45" customHeight="1" x14ac:dyDescent="0.25">
      <c r="C9" s="2408" t="s">
        <v>6152</v>
      </c>
      <c r="D9" s="13" t="s">
        <v>6153</v>
      </c>
      <c r="E9" s="14" t="s">
        <v>6154</v>
      </c>
    </row>
    <row r="10" spans="1:5" s="3" customFormat="1" ht="53.45" customHeight="1" x14ac:dyDescent="0.25">
      <c r="C10" s="2409"/>
      <c r="D10" s="11" t="s">
        <v>6155</v>
      </c>
      <c r="E10" s="12" t="s">
        <v>6156</v>
      </c>
    </row>
    <row r="11" spans="1:5" s="3" customFormat="1" ht="58.5" x14ac:dyDescent="0.25">
      <c r="C11" s="10" t="s">
        <v>6157</v>
      </c>
      <c r="D11" s="11" t="s">
        <v>6158</v>
      </c>
      <c r="E11" s="12" t="s">
        <v>6159</v>
      </c>
    </row>
    <row r="12" spans="1:5" s="3" customFormat="1" ht="78" x14ac:dyDescent="0.25">
      <c r="C12" s="10" t="s">
        <v>6160</v>
      </c>
      <c r="D12" s="11" t="s">
        <v>6161</v>
      </c>
      <c r="E12" s="12" t="s">
        <v>6162</v>
      </c>
    </row>
    <row r="13" spans="1:5" s="3" customFormat="1" ht="58.5" x14ac:dyDescent="0.25">
      <c r="C13" s="10" t="s">
        <v>6163</v>
      </c>
      <c r="D13" s="11" t="s">
        <v>6164</v>
      </c>
      <c r="E13" s="12" t="s">
        <v>6165</v>
      </c>
    </row>
    <row r="14" spans="1:5" s="3" customFormat="1" ht="58.15" customHeight="1" x14ac:dyDescent="0.25">
      <c r="C14" s="10" t="s">
        <v>6166</v>
      </c>
      <c r="D14" s="11" t="s">
        <v>6167</v>
      </c>
      <c r="E14" s="12" t="s">
        <v>6168</v>
      </c>
    </row>
    <row r="15" spans="1:5" s="3" customFormat="1" ht="58.5" x14ac:dyDescent="0.25">
      <c r="C15" s="10" t="s">
        <v>6169</v>
      </c>
      <c r="D15" s="11" t="s">
        <v>6170</v>
      </c>
      <c r="E15" s="12" t="s">
        <v>6171</v>
      </c>
    </row>
    <row r="16" spans="1:5" s="3" customFormat="1" ht="78" x14ac:dyDescent="0.25">
      <c r="C16" s="10" t="s">
        <v>6172</v>
      </c>
      <c r="D16" s="11" t="s">
        <v>6173</v>
      </c>
      <c r="E16" s="12" t="s">
        <v>6174</v>
      </c>
    </row>
    <row r="17" spans="3:5" s="3" customFormat="1" ht="195" x14ac:dyDescent="0.25">
      <c r="C17" s="10" t="s">
        <v>6175</v>
      </c>
      <c r="D17" s="11" t="s">
        <v>6176</v>
      </c>
      <c r="E17" s="12" t="s">
        <v>6177</v>
      </c>
    </row>
  </sheetData>
  <mergeCells count="6">
    <mergeCell ref="C9:C10"/>
    <mergeCell ref="A1:B1"/>
    <mergeCell ref="A3:B3"/>
    <mergeCell ref="C3:E3"/>
    <mergeCell ref="A4:B4"/>
    <mergeCell ref="C6:C7"/>
  </mergeCells>
  <hyperlinks>
    <hyperlink ref="A1" location="Objetivos!A1" display="REGRESAR A INICIO" xr:uid="{A5D5AF09-07A0-4FB1-96F1-D2A9916D7141}"/>
    <hyperlink ref="A1:B1" location="'Lista de Objetivos'!A1" display="REGRESAR A INICIO" xr:uid="{45BBA0CC-9F78-4D48-A08F-C942C07D0D26}"/>
    <hyperlink ref="D5" location="'12.1.1'!A1" display="12.1.1" xr:uid="{075A162E-F87D-44A3-A1DF-FF3D7BB1EC0C}"/>
    <hyperlink ref="E5" location="'12.1.1'!A1" display="12.1.1 Número de países que elaboran, adoptan o aplican instrumentos de política destinados a apoyar la transición hacia modalidades de consumo y producción sostenibles" xr:uid="{BF2603E6-31AF-46BA-98B8-2917FCCF18CE}"/>
    <hyperlink ref="D6" location="'12.2.1'!A1" display="12.2.1" xr:uid="{F46B19A0-FFB2-4DC6-8E3E-9506764F2B95}"/>
    <hyperlink ref="E6" location="'11.2.1'!A1" display="12.2.1 Huella material en términos absolutos, huella material per cápita y huella material por PIB" xr:uid="{13D00797-E112-4092-B55A-344868E5C17A}"/>
    <hyperlink ref="D7" location="'12.2.2'!A1" display="12.2.2" xr:uid="{B5FA1D7D-F943-4F51-9F9F-3C7E3E2DB512}"/>
    <hyperlink ref="E7" location="'12.2.2'!A1" display="12.2.2 Consumo material interno en términos absolutos, consumo material interno per cápita y consumo material interno por PIB" xr:uid="{D856F17C-8A76-4E66-9BE3-94572F58037F}"/>
    <hyperlink ref="D8" location="'12.3.1'!A1" display="12.3.1" xr:uid="{B30D1C7D-3E32-454B-8B78-C9808475C22D}"/>
    <hyperlink ref="E8" location="'12.3.1'!A1" display="12.3.1 a) Índice de pérdidas de alimentos y b) índice de desperdicio de alimentos" xr:uid="{E8282027-9C52-460D-8174-467E49473210}"/>
    <hyperlink ref="D9" location="'12.4.1'!A1" display="12.4.1" xr:uid="{15146C54-98F3-4513-9C4F-AFBE4A56DD5A}"/>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5BD5733B-AF3F-4A25-A4EF-5F25F35CA974}"/>
    <hyperlink ref="D10" location="'12.4.2'!A1" display="12.4.2" xr:uid="{33B91B58-4B25-4FD4-8A4E-AC9635E9B73B}"/>
    <hyperlink ref="E10" location="'12.4.2'!A1" display="12.4.2 a) Desechos peligrosos generados per cápita y b) proporción de desechos peligrosos tratados, desglosados por tipo de tratamiento" xr:uid="{8C245A77-81CE-4635-ABBC-E7E0BFD16CF6}"/>
    <hyperlink ref="D11" location="'12.5.1'!A1" display="12.5.1" xr:uid="{29FCD43E-E98E-4332-B46B-F02E9EEBA848}"/>
    <hyperlink ref="E11" location="'12.5.1'!A1" display="12.5.1 Tasa nacional de reciclado, en toneladas de material reciclado" xr:uid="{F964C35A-8D73-4662-BC89-EAA0BE5E8A42}"/>
    <hyperlink ref="D12" location="'12.6.1'!A1" display="12.6.1" xr:uid="{EF452CE1-2606-4019-91F1-7A7A4025F2C6}"/>
    <hyperlink ref="E12" location="'12.6.1'!A1" display="12.6.1 Número de empresas que publican informes sobre sostenibilidad" xr:uid="{961DB473-EC1E-4DE3-9224-8622212163A9}"/>
    <hyperlink ref="D13" location="'12.7.1'!A1" display="12.7.1" xr:uid="{046CA636-B08E-435E-8D94-21FF2C3D0C20}"/>
    <hyperlink ref="E13" location="'12.7.1'!A1" display="12.7.1 Grado de aplicación de políticas y planes de acción sostenibles en materia de adquisiciones públicas" xr:uid="{5E935EC5-175E-48C6-9484-490D8607F17A}"/>
    <hyperlink ref="D14" location="'12.8.1'!A1" display="12.8.1" xr:uid="{D4D0E4B7-4B86-4B04-BC6A-8523B799E779}"/>
    <hyperlink ref="E14" location="'12.8.1'!A1" display="'12.8.1'!A1" xr:uid="{621D0727-D09A-47B3-AC67-030BE8FD5B5B}"/>
    <hyperlink ref="D15" location="'12.a.1'!A1" display="12.a.1" xr:uid="{A69D1780-CACC-4353-80C9-9A94B6CB3CA2}"/>
    <hyperlink ref="E15" location="'12.a.1'!A1" display="12.a.1 Capacidad instalada de generación de energía renovable en los países en desarrollo (expresada en vatios per cápita)" xr:uid="{4C3F22D5-FBE9-4E8E-8CFF-D413A323BA4F}"/>
    <hyperlink ref="D16" location="'12.b.1'!A1" display="12.b.1" xr:uid="{10CDFEE9-F779-4286-8DB6-F2C3D961E59B}"/>
    <hyperlink ref="E16" location="'12.b.1'!A1" display="12.b.1 Aplicación de instrumentos normalizados de contabilidad para hacer un seguimiento de los aspectos económicos y ambientales de la sostenibilidad del turismo" xr:uid="{AB284632-CC77-4081-AB3A-1C0E3F63E429}"/>
    <hyperlink ref="D17" location="'12.c.1'!A1" display="12.c.1" xr:uid="{FE26B621-A54E-4139-93A4-F95CD834695D}"/>
    <hyperlink ref="E17" location="'12.c.1'!A1" display="12.c.1 Cantidad de subsidios a los combustibles fósiles por unidad de PIB (producción y consumo)i" xr:uid="{2A1AE3BC-ACDF-4F36-AB38-84C3FBF8B54C}"/>
  </hyperlinks>
  <pageMargins left="0.7" right="0.7" top="0.75" bottom="0.75" header="0.3" footer="0.3"/>
  <pageSetup orientation="portrait"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1E679-A18E-4727-9113-E8EF2909F0CB}">
  <sheetPr>
    <tabColor rgb="FF7030A0"/>
  </sheetPr>
  <dimension ref="A1:O24"/>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8" style="115" customWidth="1"/>
    <col min="3" max="3" width="11.7109375" style="1048" customWidth="1"/>
    <col min="4" max="7" width="11.7109375" style="115" customWidth="1"/>
    <col min="8" max="16384" width="11.42578125" style="115"/>
  </cols>
  <sheetData>
    <row r="1" spans="1:15" x14ac:dyDescent="0.4">
      <c r="A1" s="90" t="s">
        <v>39</v>
      </c>
      <c r="B1" s="1311"/>
      <c r="C1" s="2541" t="s">
        <v>149</v>
      </c>
      <c r="D1" s="2541"/>
    </row>
    <row r="3" spans="1:15" s="1032" customFormat="1" ht="19.5" x14ac:dyDescent="0.4">
      <c r="A3" s="3308" t="s">
        <v>41</v>
      </c>
      <c r="B3" s="3311"/>
      <c r="C3" s="3308" t="s">
        <v>6140</v>
      </c>
      <c r="D3" s="3310"/>
      <c r="E3" s="3310"/>
      <c r="F3" s="3310"/>
      <c r="G3" s="3310"/>
      <c r="H3" s="3310"/>
      <c r="I3" s="3310"/>
      <c r="J3" s="3310"/>
      <c r="K3" s="3310"/>
      <c r="L3" s="3310"/>
      <c r="M3" s="3310"/>
      <c r="N3" s="3310"/>
      <c r="O3" s="3310"/>
    </row>
    <row r="4" spans="1:15" s="1032" customFormat="1" ht="33" customHeight="1" x14ac:dyDescent="0.4">
      <c r="A4" s="3308" t="s">
        <v>42</v>
      </c>
      <c r="B4" s="3309"/>
      <c r="C4" s="3312" t="s">
        <v>6141</v>
      </c>
      <c r="D4" s="3313"/>
      <c r="E4" s="3313"/>
      <c r="F4" s="3313"/>
      <c r="G4" s="3313"/>
      <c r="H4" s="3313"/>
      <c r="I4" s="3313"/>
      <c r="J4" s="3313"/>
      <c r="K4" s="3313"/>
      <c r="L4" s="3313"/>
      <c r="M4" s="3313"/>
      <c r="N4" s="3313"/>
      <c r="O4" s="3313"/>
    </row>
    <row r="5" spans="1:15" s="1032" customFormat="1" ht="19.5" x14ac:dyDescent="0.4">
      <c r="A5" s="3308" t="s">
        <v>43</v>
      </c>
      <c r="B5" s="3309"/>
      <c r="C5" s="3308" t="s">
        <v>6143</v>
      </c>
      <c r="D5" s="3310"/>
      <c r="E5" s="3310"/>
      <c r="F5" s="3310"/>
      <c r="G5" s="3310"/>
      <c r="H5" s="3310"/>
      <c r="I5" s="3310"/>
      <c r="J5" s="3310"/>
      <c r="K5" s="3310"/>
      <c r="L5" s="3310"/>
      <c r="M5" s="3310"/>
      <c r="N5" s="3310"/>
      <c r="O5" s="3310"/>
    </row>
    <row r="6" spans="1:15" s="1032" customFormat="1" ht="19.5" x14ac:dyDescent="0.4">
      <c r="A6" s="3308" t="s">
        <v>132</v>
      </c>
      <c r="B6" s="3309"/>
      <c r="C6" s="3308" t="s">
        <v>242</v>
      </c>
      <c r="D6" s="3310"/>
      <c r="E6" s="3310"/>
      <c r="F6" s="3310"/>
      <c r="G6" s="3310"/>
      <c r="H6" s="3310"/>
      <c r="I6" s="3310"/>
      <c r="J6" s="3310"/>
      <c r="K6" s="3310"/>
      <c r="L6" s="3310"/>
      <c r="M6" s="3310"/>
      <c r="N6" s="3310"/>
      <c r="O6" s="3310"/>
    </row>
    <row r="7" spans="1:15" s="1032" customFormat="1" ht="19.5" x14ac:dyDescent="0.4">
      <c r="A7" s="1084"/>
      <c r="C7" s="1061"/>
    </row>
    <row r="8" spans="1:15" s="1032" customFormat="1" ht="19.5" x14ac:dyDescent="0.4">
      <c r="A8" s="1084"/>
      <c r="C8" s="1061"/>
    </row>
    <row r="9" spans="1:15" s="1032" customFormat="1" ht="11.25" customHeight="1" x14ac:dyDescent="0.4">
      <c r="A9" s="1084"/>
      <c r="C9" s="2506" t="s">
        <v>650</v>
      </c>
      <c r="D9" s="2506"/>
      <c r="E9" s="2506"/>
      <c r="F9" s="2506"/>
      <c r="G9" s="2506"/>
      <c r="H9" s="2506"/>
      <c r="I9" s="2506"/>
      <c r="J9" s="2506"/>
      <c r="K9" s="2506"/>
      <c r="L9" s="2506"/>
      <c r="M9" s="2506"/>
      <c r="N9" s="2506"/>
      <c r="O9" s="2506"/>
    </row>
    <row r="10" spans="1:15" s="1032" customFormat="1" ht="11.25" customHeight="1" x14ac:dyDescent="0.4">
      <c r="A10" s="1084"/>
      <c r="C10" s="2506"/>
      <c r="D10" s="2506"/>
      <c r="E10" s="2506"/>
      <c r="F10" s="2506"/>
      <c r="G10" s="2506"/>
      <c r="H10" s="2506"/>
      <c r="I10" s="2506"/>
      <c r="J10" s="2506"/>
      <c r="K10" s="2506"/>
      <c r="L10" s="2506"/>
      <c r="M10" s="2506"/>
      <c r="N10" s="2506"/>
      <c r="O10" s="2506"/>
    </row>
    <row r="12" spans="1:15" x14ac:dyDescent="0.4">
      <c r="C12" s="3070" t="s">
        <v>6178</v>
      </c>
      <c r="D12" s="3070"/>
      <c r="E12" s="3070"/>
      <c r="F12" s="3070"/>
      <c r="G12" s="3070"/>
      <c r="H12" s="3070"/>
      <c r="I12" s="3070"/>
      <c r="J12" s="3070"/>
      <c r="K12" s="3070"/>
      <c r="L12" s="3070"/>
      <c r="M12" s="3070"/>
    </row>
    <row r="13" spans="1:15" x14ac:dyDescent="0.4">
      <c r="C13" s="3070"/>
      <c r="D13" s="3070"/>
      <c r="E13" s="3070"/>
      <c r="F13" s="3070"/>
      <c r="G13" s="3070"/>
      <c r="H13" s="3070"/>
      <c r="I13" s="3070"/>
      <c r="J13" s="3070"/>
      <c r="K13" s="3070"/>
      <c r="L13" s="3070"/>
      <c r="M13" s="3070"/>
    </row>
    <row r="14" spans="1:15" x14ac:dyDescent="0.4">
      <c r="C14" s="3070"/>
      <c r="D14" s="3070"/>
      <c r="E14" s="3070"/>
      <c r="F14" s="3070"/>
      <c r="G14" s="3070"/>
      <c r="H14" s="3070"/>
      <c r="I14" s="3070"/>
      <c r="J14" s="3070"/>
      <c r="K14" s="3070"/>
      <c r="L14" s="3070"/>
      <c r="M14" s="3070"/>
    </row>
    <row r="15" spans="1:15" x14ac:dyDescent="0.4">
      <c r="C15" s="3070"/>
      <c r="D15" s="3070"/>
      <c r="E15" s="3070"/>
      <c r="F15" s="3070"/>
      <c r="G15" s="3070"/>
      <c r="H15" s="3070"/>
      <c r="I15" s="3070"/>
      <c r="J15" s="3070"/>
      <c r="K15" s="3070"/>
      <c r="L15" s="3070"/>
      <c r="M15" s="3070"/>
    </row>
    <row r="16" spans="1:15" x14ac:dyDescent="0.4">
      <c r="C16" s="3070"/>
      <c r="D16" s="3070"/>
      <c r="E16" s="3070"/>
      <c r="F16" s="3070"/>
      <c r="G16" s="3070"/>
      <c r="H16" s="3070"/>
      <c r="I16" s="3070"/>
      <c r="J16" s="3070"/>
      <c r="K16" s="3070"/>
      <c r="L16" s="3070"/>
      <c r="M16" s="3070"/>
    </row>
    <row r="19" spans="1:15" x14ac:dyDescent="0.4">
      <c r="A19" s="221"/>
      <c r="B19" s="220"/>
      <c r="C19" s="220"/>
      <c r="D19" s="220"/>
      <c r="E19" s="220"/>
      <c r="F19" s="220"/>
      <c r="G19" s="220"/>
      <c r="H19" s="220"/>
      <c r="I19" s="220"/>
      <c r="J19" s="220"/>
      <c r="K19" s="220"/>
      <c r="L19" s="220"/>
      <c r="M19" s="220"/>
      <c r="N19" s="220"/>
      <c r="O19" s="220"/>
    </row>
    <row r="20" spans="1:15" x14ac:dyDescent="0.4">
      <c r="A20" s="221"/>
      <c r="B20" s="220"/>
      <c r="C20" s="220"/>
      <c r="D20" s="220"/>
      <c r="E20" s="220"/>
      <c r="F20" s="220"/>
      <c r="G20" s="220"/>
      <c r="H20" s="220"/>
      <c r="I20" s="220"/>
      <c r="J20" s="220"/>
      <c r="K20" s="220"/>
      <c r="L20" s="220"/>
      <c r="M20" s="220"/>
      <c r="N20" s="220"/>
      <c r="O20" s="22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494" t="s">
        <v>652</v>
      </c>
      <c r="B24" s="2494"/>
      <c r="C24" s="2494"/>
      <c r="D24" s="2494"/>
      <c r="E24" s="2494"/>
      <c r="F24" s="2494"/>
      <c r="G24" s="2494"/>
      <c r="H24" s="2494"/>
      <c r="I24" s="2494"/>
      <c r="J24" s="2494"/>
      <c r="K24" s="2494"/>
      <c r="L24" s="2494"/>
      <c r="M24" s="2494"/>
      <c r="N24" s="2494"/>
      <c r="O24" s="2494"/>
    </row>
  </sheetData>
  <mergeCells count="12">
    <mergeCell ref="A5:B5"/>
    <mergeCell ref="C5:O5"/>
    <mergeCell ref="C1:D1"/>
    <mergeCell ref="A3:B3"/>
    <mergeCell ref="C3:O3"/>
    <mergeCell ref="A4:B4"/>
    <mergeCell ref="C4:O4"/>
    <mergeCell ref="A6:B6"/>
    <mergeCell ref="C6:O6"/>
    <mergeCell ref="C9:O10"/>
    <mergeCell ref="C12:M16"/>
    <mergeCell ref="A24:O24"/>
  </mergeCells>
  <hyperlinks>
    <hyperlink ref="A1" location="'ODS 12.'!A1" display="REGRESAR" xr:uid="{54ECA0AE-AAC2-4ED9-BCCD-29B59C500154}"/>
    <hyperlink ref="C1:D1" location="'Metadato 12.1.1'!A1" display="VER METADATO" xr:uid="{DD0CE90A-BE5C-41DE-973D-930AC8627BC2}"/>
  </hyperlinks>
  <pageMargins left="0.7" right="0.7" top="0.75" bottom="0.75" header="0.3" footer="0.3"/>
  <pageSetup orientation="portrait" r:id="rId1"/>
  <drawing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856B-283A-4E55-B34F-71008CB2BF67}">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286" t="s">
        <v>317</v>
      </c>
    </row>
    <row r="4" spans="1:6" x14ac:dyDescent="0.4">
      <c r="A4" s="283"/>
      <c r="B4" s="2425" t="s">
        <v>234</v>
      </c>
      <c r="C4" s="2425"/>
      <c r="D4" s="49" t="s">
        <v>6179</v>
      </c>
    </row>
    <row r="5" spans="1:6" ht="56.25" x14ac:dyDescent="0.4">
      <c r="B5" s="2425" t="s">
        <v>79</v>
      </c>
      <c r="C5" s="2425"/>
      <c r="D5" s="49" t="s">
        <v>6141</v>
      </c>
    </row>
    <row r="6" spans="1:6" x14ac:dyDescent="0.4">
      <c r="B6" s="2425" t="s">
        <v>80</v>
      </c>
      <c r="C6" s="2425"/>
      <c r="D6" s="50" t="s">
        <v>6142</v>
      </c>
    </row>
    <row r="7" spans="1:6" ht="37.5" x14ac:dyDescent="0.4">
      <c r="B7" s="2426" t="s">
        <v>81</v>
      </c>
      <c r="C7" s="2426"/>
      <c r="D7" s="93" t="s">
        <v>6143</v>
      </c>
    </row>
    <row r="8" spans="1:6" x14ac:dyDescent="0.4">
      <c r="B8" s="2426" t="s">
        <v>82</v>
      </c>
      <c r="C8" s="2426"/>
      <c r="D8" s="1047" t="s">
        <v>6180</v>
      </c>
    </row>
    <row r="10" spans="1:6" ht="23.25" customHeight="1" x14ac:dyDescent="0.4">
      <c r="B10" s="3314" t="s">
        <v>85</v>
      </c>
      <c r="C10" s="3314"/>
      <c r="D10" s="331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14" t="s">
        <v>121</v>
      </c>
      <c r="C31" s="3314"/>
      <c r="D31" s="3314"/>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64DD752-5645-476F-9097-25FDAE4BA86C}">
      <formula1>Tipo_operación</formula1>
    </dataValidation>
    <dataValidation type="list" allowBlank="1" showInputMessage="1" showErrorMessage="1" sqref="D14" xr:uid="{3EC5674C-398E-43DB-9ADE-B837A732CD0D}">
      <formula1>Tipo_indicador</formula1>
    </dataValidation>
    <dataValidation type="list" allowBlank="1" showInputMessage="1" showErrorMessage="1" sqref="D7" xr:uid="{47E2D6E2-BAEF-492E-B29E-46D21DA69AD6}">
      <formula1>Nombre_indicador_ODS</formula1>
    </dataValidation>
    <dataValidation type="list" allowBlank="1" showInputMessage="1" showErrorMessage="1" sqref="D6" xr:uid="{2606F2A3-F9F7-49B8-A02C-5AC8930A9F21}">
      <formula1>Numero_indicador</formula1>
    </dataValidation>
    <dataValidation type="list" allowBlank="1" showInputMessage="1" showErrorMessage="1" sqref="D5" xr:uid="{07D36565-22DD-4970-A25D-7C150A03EE13}">
      <formula1>Metas_ODS</formula1>
    </dataValidation>
    <dataValidation type="list" allowBlank="1" showInputMessage="1" showErrorMessage="1" sqref="D4" xr:uid="{343E704F-6A38-4034-A1B3-6867B824D80D}">
      <formula1>ODS</formula1>
    </dataValidation>
    <dataValidation allowBlank="1" showDropDown="1" showInputMessage="1" showErrorMessage="1" sqref="D13" xr:uid="{0733D78A-F321-47D4-84AB-9DFD3CF65276}"/>
  </dataValidations>
  <hyperlinks>
    <hyperlink ref="B1" location="'12.1.1'!A1" display="REGRESAR" xr:uid="{54E5143D-C521-4FFA-8CA4-D3C8CB2E834A}"/>
    <hyperlink ref="D8" r:id="rId1" xr:uid="{9BA82B98-18F2-46EE-9844-DFA9D2E6AAC2}"/>
  </hyperlinks>
  <pageMargins left="0.7" right="0.7" top="0.75" bottom="0.75" header="0.3" footer="0.3"/>
  <pageSetup orientation="portrait" r:id="rId2"/>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D7AA-1558-44E8-AC9E-3E1528195FCA}">
  <sheetPr>
    <tabColor theme="5"/>
  </sheetPr>
  <dimension ref="A1:O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8" style="115" customWidth="1"/>
    <col min="3" max="3" width="12.42578125" style="1048" customWidth="1"/>
    <col min="4" max="5" width="12.42578125" style="115" customWidth="1"/>
    <col min="6" max="16384" width="11.42578125" style="115"/>
  </cols>
  <sheetData>
    <row r="1" spans="1:15" x14ac:dyDescent="0.4">
      <c r="A1" s="90" t="s">
        <v>39</v>
      </c>
      <c r="B1" s="1311"/>
      <c r="C1" s="2541" t="s">
        <v>149</v>
      </c>
      <c r="D1" s="2541"/>
    </row>
    <row r="3" spans="1:15" s="1032" customFormat="1" ht="19.5" x14ac:dyDescent="0.4">
      <c r="A3" s="3315" t="s">
        <v>41</v>
      </c>
      <c r="B3" s="3315"/>
      <c r="C3" s="3315" t="s">
        <v>6140</v>
      </c>
      <c r="D3" s="3315"/>
      <c r="E3" s="3315"/>
      <c r="F3" s="3315"/>
      <c r="G3" s="3315"/>
      <c r="H3" s="3315"/>
      <c r="I3" s="3315"/>
      <c r="J3" s="3315"/>
      <c r="K3" s="3315"/>
      <c r="L3" s="3315"/>
      <c r="M3" s="3315"/>
      <c r="N3" s="3315"/>
      <c r="O3" s="3315"/>
    </row>
    <row r="4" spans="1:15" s="1032" customFormat="1" ht="19.5" x14ac:dyDescent="0.4">
      <c r="A4" s="3315" t="s">
        <v>42</v>
      </c>
      <c r="B4" s="3316"/>
      <c r="C4" s="3315" t="s">
        <v>6144</v>
      </c>
      <c r="D4" s="3316"/>
      <c r="E4" s="3316"/>
      <c r="F4" s="3316"/>
      <c r="G4" s="3316"/>
      <c r="H4" s="3316"/>
      <c r="I4" s="3316"/>
      <c r="J4" s="3316"/>
      <c r="K4" s="3316"/>
      <c r="L4" s="3316"/>
      <c r="M4" s="3316"/>
      <c r="N4" s="3316"/>
      <c r="O4" s="3316"/>
    </row>
    <row r="5" spans="1:15" s="1032" customFormat="1" ht="19.5" x14ac:dyDescent="0.4">
      <c r="A5" s="3315" t="s">
        <v>43</v>
      </c>
      <c r="B5" s="3316"/>
      <c r="C5" s="3315" t="s">
        <v>6146</v>
      </c>
      <c r="D5" s="3316"/>
      <c r="E5" s="3316"/>
      <c r="F5" s="3316"/>
      <c r="G5" s="3316"/>
      <c r="H5" s="3316"/>
      <c r="I5" s="3316"/>
      <c r="J5" s="3316"/>
      <c r="K5" s="3316"/>
      <c r="L5" s="3316"/>
      <c r="M5" s="3316"/>
      <c r="N5" s="3316"/>
      <c r="O5" s="3316"/>
    </row>
    <row r="6" spans="1:15" s="1032" customFormat="1" ht="19.5" x14ac:dyDescent="0.4">
      <c r="A6" s="3315" t="s">
        <v>132</v>
      </c>
      <c r="B6" s="3316"/>
      <c r="C6" s="3315" t="s">
        <v>242</v>
      </c>
      <c r="D6" s="3316"/>
      <c r="E6" s="3316"/>
      <c r="F6" s="3316"/>
      <c r="G6" s="3316"/>
      <c r="H6" s="3316"/>
      <c r="I6" s="3316"/>
      <c r="J6" s="3316"/>
      <c r="K6" s="3316"/>
      <c r="L6" s="3316"/>
      <c r="M6" s="3316"/>
      <c r="N6" s="3316"/>
      <c r="O6" s="3316"/>
    </row>
    <row r="7" spans="1:15" s="1032" customFormat="1" ht="19.5" x14ac:dyDescent="0.4">
      <c r="A7" s="1084"/>
      <c r="C7" s="1061"/>
    </row>
    <row r="8" spans="1:15" s="1032" customFormat="1" ht="19.5" x14ac:dyDescent="0.4">
      <c r="A8" s="1084"/>
      <c r="C8" s="1061"/>
    </row>
    <row r="9" spans="1:15" s="1032" customFormat="1" ht="11.25" customHeight="1" x14ac:dyDescent="0.4">
      <c r="A9" s="1084"/>
      <c r="C9" s="2506" t="s">
        <v>243</v>
      </c>
      <c r="D9" s="2506"/>
      <c r="E9" s="2506"/>
      <c r="F9" s="2506"/>
      <c r="G9" s="2506"/>
      <c r="H9" s="2506"/>
      <c r="I9" s="2506"/>
      <c r="J9" s="2506"/>
      <c r="K9" s="2506"/>
      <c r="L9" s="2506"/>
      <c r="M9" s="2506"/>
      <c r="N9" s="2506"/>
      <c r="O9" s="2506"/>
    </row>
    <row r="10" spans="1:15" s="1032" customFormat="1" ht="11.25" customHeight="1" x14ac:dyDescent="0.4">
      <c r="A10" s="1084"/>
      <c r="C10" s="2506"/>
      <c r="D10" s="2506"/>
      <c r="E10" s="2506"/>
      <c r="F10" s="2506"/>
      <c r="G10" s="2506"/>
      <c r="H10" s="2506"/>
      <c r="I10" s="2506"/>
      <c r="J10" s="2506"/>
      <c r="K10" s="2506"/>
      <c r="L10" s="2506"/>
      <c r="M10" s="2506"/>
      <c r="N10" s="2506"/>
      <c r="O10" s="2506"/>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91BB411D-D66F-4F1A-AAF1-108F151A19D5}"/>
    <hyperlink ref="C1:D1" location="'Metadato 12.2.1'!A1" display="VER METADATO" xr:uid="{F39F48EE-6D41-4643-A0B4-DF0F6537DE85}"/>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00AC-0AF4-42B7-A9C9-4AAC7149BD9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244</v>
      </c>
    </row>
    <row r="4" spans="1:6" x14ac:dyDescent="0.4">
      <c r="A4" s="283"/>
      <c r="B4" s="2425" t="s">
        <v>234</v>
      </c>
      <c r="C4" s="2425"/>
      <c r="D4" s="49" t="s">
        <v>6179</v>
      </c>
    </row>
    <row r="5" spans="1:6" ht="21" customHeight="1" x14ac:dyDescent="0.4">
      <c r="B5" s="2425" t="s">
        <v>79</v>
      </c>
      <c r="C5" s="2425"/>
      <c r="D5" s="49" t="s">
        <v>6144</v>
      </c>
    </row>
    <row r="6" spans="1:6" x14ac:dyDescent="0.4">
      <c r="B6" s="2425" t="s">
        <v>80</v>
      </c>
      <c r="C6" s="2425"/>
      <c r="D6" s="50" t="s">
        <v>6145</v>
      </c>
    </row>
    <row r="7" spans="1:6" x14ac:dyDescent="0.4">
      <c r="B7" s="2426" t="s">
        <v>81</v>
      </c>
      <c r="C7" s="2426"/>
      <c r="D7" s="93" t="s">
        <v>6146</v>
      </c>
    </row>
    <row r="8" spans="1:6" x14ac:dyDescent="0.4">
      <c r="B8" s="2426" t="s">
        <v>82</v>
      </c>
      <c r="C8" s="2426"/>
      <c r="D8" s="1047" t="s">
        <v>6181</v>
      </c>
    </row>
    <row r="10" spans="1:6" ht="23.25" customHeight="1" x14ac:dyDescent="0.4">
      <c r="B10" s="3314" t="s">
        <v>85</v>
      </c>
      <c r="C10" s="3314"/>
      <c r="D10" s="331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14" t="s">
        <v>121</v>
      </c>
      <c r="C31" s="3314"/>
      <c r="D31" s="3314"/>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FBCC5EF-573D-4A61-9B34-F0CAE7FBF397}"/>
    <dataValidation type="list" allowBlank="1" showInputMessage="1" showErrorMessage="1" sqref="D4" xr:uid="{3091CC54-2C37-4A99-926A-49BE03B2A2D7}">
      <formula1>ODS</formula1>
    </dataValidation>
    <dataValidation type="list" allowBlank="1" showInputMessage="1" showErrorMessage="1" sqref="D5" xr:uid="{25AFFB39-6956-4ACB-8AC8-7A369FC1FA85}">
      <formula1>Metas_ODS</formula1>
    </dataValidation>
    <dataValidation type="list" allowBlank="1" showInputMessage="1" showErrorMessage="1" sqref="D6" xr:uid="{C32A803C-99C5-430B-8979-77CB1B9EC593}">
      <formula1>Numero_indicador</formula1>
    </dataValidation>
    <dataValidation type="list" allowBlank="1" showInputMessage="1" showErrorMessage="1" sqref="D7" xr:uid="{A4B5E25A-B601-4C3F-8D03-0860E513CD6C}">
      <formula1>Nombre_indicador_ODS</formula1>
    </dataValidation>
    <dataValidation type="list" allowBlank="1" showInputMessage="1" showErrorMessage="1" sqref="D14" xr:uid="{83758644-8ADF-4508-BCAF-75939DB8C8BE}">
      <formula1>Tipo_indicador</formula1>
    </dataValidation>
    <dataValidation type="list" allowBlank="1" showInputMessage="1" showErrorMessage="1" sqref="D25" xr:uid="{0F142CA0-02F0-4B58-A031-2DB7D6A3CD8A}">
      <formula1>Tipo_operación</formula1>
    </dataValidation>
  </dataValidations>
  <hyperlinks>
    <hyperlink ref="B1" location="'12.2.1'!A1" display="REGRESAR" xr:uid="{9F392693-373E-4AFC-91E5-7AAB838ED037}"/>
    <hyperlink ref="D8" r:id="rId1" xr:uid="{E46B0C00-91DA-4E01-88A9-864B845640A0}"/>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06F4-A931-468B-A413-9556A61D282F}">
  <dimension ref="A1:O49"/>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2" width="15.5703125" style="155" customWidth="1"/>
    <col min="3" max="3" width="12" style="1048" customWidth="1"/>
    <col min="4" max="4" width="11.7109375" style="115" customWidth="1"/>
    <col min="5" max="6" width="12" style="115" customWidth="1"/>
    <col min="7" max="16384" width="11.42578125" style="115"/>
  </cols>
  <sheetData>
    <row r="1" spans="1:15" x14ac:dyDescent="0.4">
      <c r="A1" s="90" t="s">
        <v>39</v>
      </c>
      <c r="B1" s="1527"/>
      <c r="C1" s="2541" t="s">
        <v>149</v>
      </c>
      <c r="D1" s="2541"/>
    </row>
    <row r="3" spans="1:15" s="1032" customFormat="1" ht="19.5" x14ac:dyDescent="0.4">
      <c r="A3" s="3315" t="s">
        <v>41</v>
      </c>
      <c r="B3" s="3315"/>
      <c r="C3" s="3315" t="s">
        <v>6140</v>
      </c>
      <c r="D3" s="3315"/>
      <c r="E3" s="3315"/>
      <c r="F3" s="3315"/>
      <c r="G3" s="3315"/>
      <c r="H3" s="3315"/>
      <c r="I3" s="3315"/>
      <c r="J3" s="3315"/>
      <c r="K3" s="3315"/>
      <c r="L3" s="3315"/>
      <c r="M3" s="3315"/>
      <c r="N3" s="3315"/>
      <c r="O3" s="3315"/>
    </row>
    <row r="4" spans="1:15" s="1032" customFormat="1" ht="19.5" x14ac:dyDescent="0.4">
      <c r="A4" s="3315" t="s">
        <v>42</v>
      </c>
      <c r="B4" s="3316"/>
      <c r="C4" s="3315" t="s">
        <v>6144</v>
      </c>
      <c r="D4" s="3316"/>
      <c r="E4" s="3316"/>
      <c r="F4" s="3316"/>
      <c r="G4" s="3316"/>
      <c r="H4" s="3316"/>
      <c r="I4" s="3316"/>
      <c r="J4" s="3316"/>
      <c r="K4" s="3316"/>
      <c r="L4" s="3316"/>
      <c r="M4" s="3316"/>
      <c r="N4" s="3316"/>
      <c r="O4" s="3316"/>
    </row>
    <row r="5" spans="1:15" s="1032" customFormat="1" ht="19.5" x14ac:dyDescent="0.4">
      <c r="A5" s="3315" t="s">
        <v>43</v>
      </c>
      <c r="B5" s="3316"/>
      <c r="C5" s="3315" t="s">
        <v>6148</v>
      </c>
      <c r="D5" s="3316"/>
      <c r="E5" s="3316"/>
      <c r="F5" s="3316"/>
      <c r="G5" s="3316"/>
      <c r="H5" s="3316"/>
      <c r="I5" s="3316"/>
      <c r="J5" s="3316"/>
      <c r="K5" s="3316"/>
      <c r="L5" s="3316"/>
      <c r="M5" s="3316"/>
      <c r="N5" s="3316"/>
      <c r="O5" s="3316"/>
    </row>
    <row r="6" spans="1:15" s="1032" customFormat="1" ht="19.5" x14ac:dyDescent="0.4">
      <c r="A6" s="3315" t="s">
        <v>132</v>
      </c>
      <c r="B6" s="3316"/>
      <c r="C6" s="3315" t="s">
        <v>5029</v>
      </c>
      <c r="D6" s="3316"/>
      <c r="E6" s="3316"/>
      <c r="F6" s="3316"/>
      <c r="G6" s="3316"/>
      <c r="H6" s="3316"/>
      <c r="I6" s="3316"/>
      <c r="J6" s="3316"/>
      <c r="K6" s="3316"/>
      <c r="L6" s="3316"/>
      <c r="M6" s="3316"/>
      <c r="N6" s="3316"/>
      <c r="O6" s="3316"/>
    </row>
    <row r="7" spans="1:15" s="1032" customFormat="1" ht="19.5" x14ac:dyDescent="0.4">
      <c r="A7" s="1459"/>
      <c r="B7" s="1432"/>
      <c r="C7" s="1061"/>
    </row>
    <row r="8" spans="1:15" s="1432" customFormat="1" ht="19.5" x14ac:dyDescent="0.4">
      <c r="A8" s="1460"/>
      <c r="C8" s="1061"/>
      <c r="D8" s="1032"/>
      <c r="E8" s="1032"/>
    </row>
    <row r="9" spans="1:15" s="1432" customFormat="1" ht="19.5" x14ac:dyDescent="0.4">
      <c r="A9" s="1459"/>
      <c r="C9" s="2627" t="s">
        <v>5030</v>
      </c>
      <c r="D9" s="2627"/>
      <c r="E9" s="2627"/>
      <c r="F9" s="2627"/>
      <c r="I9" s="1461" t="s">
        <v>5031</v>
      </c>
    </row>
    <row r="10" spans="1:15" s="1432" customFormat="1" ht="16.149999999999999" customHeight="1" x14ac:dyDescent="0.25">
      <c r="A10" s="1459"/>
      <c r="C10" s="533"/>
      <c r="D10" s="533"/>
      <c r="E10" s="533"/>
      <c r="F10" s="533"/>
      <c r="I10" s="1785" t="s">
        <v>5032</v>
      </c>
    </row>
    <row r="11" spans="1:15" s="155" customFormat="1" ht="75" x14ac:dyDescent="0.25">
      <c r="A11" s="232"/>
      <c r="C11" s="1786" t="s">
        <v>247</v>
      </c>
      <c r="D11" s="1786" t="s">
        <v>5033</v>
      </c>
      <c r="E11" s="1786" t="s">
        <v>5034</v>
      </c>
      <c r="F11" s="1786" t="s">
        <v>5035</v>
      </c>
    </row>
    <row r="12" spans="1:15" s="155" customFormat="1" x14ac:dyDescent="0.4">
      <c r="A12" s="232"/>
      <c r="C12" s="835">
        <v>2014</v>
      </c>
      <c r="D12" s="1433">
        <v>46306.819999999992</v>
      </c>
      <c r="E12" s="729">
        <v>9.7015850641896826</v>
      </c>
      <c r="F12" s="1463">
        <v>1.5168882113827824</v>
      </c>
    </row>
    <row r="13" spans="1:15" s="155" customFormat="1" x14ac:dyDescent="0.4">
      <c r="A13" s="232"/>
      <c r="C13" s="835">
        <v>2015</v>
      </c>
      <c r="D13" s="1433">
        <v>46710.9</v>
      </c>
      <c r="E13" s="729">
        <v>9.6665367748659161</v>
      </c>
      <c r="F13" s="1463">
        <v>1.4762123751413958</v>
      </c>
    </row>
    <row r="14" spans="1:15" s="155" customFormat="1" x14ac:dyDescent="0.4">
      <c r="A14" s="232"/>
      <c r="C14" s="835">
        <v>2016</v>
      </c>
      <c r="D14" s="1433">
        <v>46189.009999999995</v>
      </c>
      <c r="E14" s="729">
        <v>9.4448868102467447</v>
      </c>
      <c r="F14" s="1463">
        <v>1.400823887385878</v>
      </c>
    </row>
    <row r="15" spans="1:15" s="155" customFormat="1" ht="16.149999999999999" customHeight="1" x14ac:dyDescent="0.4">
      <c r="A15" s="232"/>
      <c r="C15" s="835">
        <v>2017</v>
      </c>
      <c r="D15" s="1433">
        <v>48126.97</v>
      </c>
      <c r="E15" s="729">
        <v>9.7275704545404018</v>
      </c>
      <c r="F15" s="1463">
        <v>1.4013358065521702</v>
      </c>
    </row>
    <row r="16" spans="1:15" s="155" customFormat="1" ht="15.6" customHeight="1" x14ac:dyDescent="0.4">
      <c r="A16" s="232"/>
      <c r="C16" s="835">
        <v>2018</v>
      </c>
      <c r="D16" s="1433">
        <v>48671.73</v>
      </c>
      <c r="E16" s="729">
        <v>9.7277447524110148</v>
      </c>
      <c r="F16" s="1463">
        <v>1.3810695546202925</v>
      </c>
    </row>
    <row r="17" spans="1:14" s="155" customFormat="1" x14ac:dyDescent="0.4">
      <c r="A17" s="232"/>
      <c r="C17" s="835">
        <v>2019</v>
      </c>
      <c r="D17" s="1433">
        <v>48153.05</v>
      </c>
      <c r="E17" s="729">
        <v>9.5201778410790521</v>
      </c>
      <c r="F17" s="1463">
        <v>1.3340998772951194</v>
      </c>
    </row>
    <row r="18" spans="1:14" s="155" customFormat="1" x14ac:dyDescent="0.4">
      <c r="A18" s="232"/>
      <c r="C18" s="835">
        <v>2020</v>
      </c>
      <c r="D18" s="1433">
        <v>46822.855848227002</v>
      </c>
      <c r="E18" s="729">
        <v>9.1607965783962388</v>
      </c>
      <c r="F18" s="1463">
        <v>1.3551574032099682</v>
      </c>
    </row>
    <row r="19" spans="1:14" s="155" customFormat="1" x14ac:dyDescent="0.4">
      <c r="A19" s="232"/>
      <c r="C19" s="835">
        <v>2021</v>
      </c>
      <c r="D19" s="1433">
        <v>47711.408668375007</v>
      </c>
      <c r="E19" s="729">
        <v>9.2409563261736611</v>
      </c>
      <c r="F19" s="1463">
        <v>1.2793480731649494</v>
      </c>
    </row>
    <row r="20" spans="1:14" s="155" customFormat="1" ht="17.45" customHeight="1" x14ac:dyDescent="0.4">
      <c r="A20" s="232"/>
      <c r="C20" s="835" t="s">
        <v>5036</v>
      </c>
      <c r="D20" s="1433">
        <v>47758.535003682795</v>
      </c>
      <c r="E20" s="729">
        <v>9.1607728514552758</v>
      </c>
      <c r="F20" s="1463">
        <v>1.2248622292298053</v>
      </c>
    </row>
    <row r="21" spans="1:14" s="155" customFormat="1" x14ac:dyDescent="0.4">
      <c r="A21" s="232"/>
      <c r="C21" s="1464" t="s">
        <v>956</v>
      </c>
      <c r="D21" s="1465">
        <v>48604.38922165351</v>
      </c>
      <c r="E21" s="736">
        <v>9.2364500537800769</v>
      </c>
      <c r="F21" s="1466">
        <v>1.1859319232005228</v>
      </c>
    </row>
    <row r="22" spans="1:14" s="155" customFormat="1" ht="17.45" customHeight="1" x14ac:dyDescent="0.25">
      <c r="A22" s="232"/>
      <c r="C22" s="3137" t="s">
        <v>5037</v>
      </c>
      <c r="D22" s="3137"/>
      <c r="E22" s="3137"/>
      <c r="F22" s="3137"/>
    </row>
    <row r="23" spans="1:14" s="155" customFormat="1" ht="17.45" customHeight="1" x14ac:dyDescent="0.25">
      <c r="A23" s="232"/>
      <c r="C23" s="3137"/>
      <c r="D23" s="3137"/>
      <c r="E23" s="3137"/>
      <c r="F23" s="3137"/>
      <c r="I23" s="2526" t="s">
        <v>5038</v>
      </c>
      <c r="J23" s="2526"/>
      <c r="K23" s="2526"/>
      <c r="L23" s="2526"/>
      <c r="M23" s="2526"/>
      <c r="N23" s="2526"/>
    </row>
    <row r="24" spans="1:14" s="155" customFormat="1" x14ac:dyDescent="0.4">
      <c r="A24" s="232"/>
      <c r="C24" s="3137" t="s">
        <v>5039</v>
      </c>
      <c r="D24" s="3137"/>
      <c r="E24" s="3137"/>
      <c r="F24" s="3137"/>
      <c r="I24" s="541"/>
      <c r="J24" s="541"/>
      <c r="K24" s="541"/>
      <c r="L24" s="541"/>
    </row>
    <row r="25" spans="1:14" s="155" customFormat="1" x14ac:dyDescent="0.4">
      <c r="A25" s="232"/>
      <c r="C25" s="1467" t="s">
        <v>5040</v>
      </c>
      <c r="D25" s="1467"/>
      <c r="E25" s="1467"/>
      <c r="F25" s="1467"/>
      <c r="I25" s="541"/>
      <c r="J25" s="541"/>
      <c r="K25" s="541"/>
      <c r="L25" s="541"/>
    </row>
    <row r="26" spans="1:14" s="155" customFormat="1" x14ac:dyDescent="0.4">
      <c r="A26" s="232"/>
      <c r="C26" s="1467"/>
      <c r="D26" s="1467"/>
      <c r="E26" s="1467"/>
      <c r="F26" s="1467"/>
      <c r="I26" s="541"/>
      <c r="J26" s="541"/>
      <c r="K26" s="541"/>
      <c r="L26" s="541"/>
    </row>
    <row r="27" spans="1:14" s="155" customFormat="1" x14ac:dyDescent="0.4">
      <c r="A27" s="232"/>
      <c r="C27" s="1467"/>
      <c r="D27" s="1467"/>
      <c r="E27" s="1467"/>
      <c r="F27" s="1467"/>
      <c r="I27" s="541"/>
      <c r="J27" s="541"/>
      <c r="K27" s="541"/>
      <c r="L27" s="541"/>
    </row>
    <row r="28" spans="1:14" s="155" customFormat="1" ht="19.5" x14ac:dyDescent="0.4">
      <c r="A28" s="232"/>
      <c r="C28" s="800" t="s">
        <v>5041</v>
      </c>
      <c r="D28" s="115"/>
      <c r="E28" s="115"/>
      <c r="I28" s="800" t="s">
        <v>5042</v>
      </c>
    </row>
    <row r="29" spans="1:14" s="155" customFormat="1" x14ac:dyDescent="0.4">
      <c r="A29" s="232"/>
      <c r="C29" s="470" t="s">
        <v>5043</v>
      </c>
      <c r="D29" s="115"/>
      <c r="E29" s="115"/>
      <c r="I29" s="470" t="s">
        <v>5044</v>
      </c>
    </row>
    <row r="30" spans="1:14" s="155" customFormat="1" x14ac:dyDescent="0.4">
      <c r="A30" s="232"/>
      <c r="C30" s="1048"/>
      <c r="D30" s="115"/>
      <c r="E30" s="115"/>
    </row>
    <row r="31" spans="1:14" s="155" customFormat="1" x14ac:dyDescent="0.4">
      <c r="A31" s="232"/>
      <c r="C31" s="1048"/>
      <c r="D31" s="115"/>
      <c r="E31" s="115"/>
    </row>
    <row r="32" spans="1:14" s="155" customFormat="1" x14ac:dyDescent="0.4">
      <c r="A32" s="232"/>
      <c r="C32" s="1048"/>
      <c r="D32" s="115"/>
      <c r="E32" s="115"/>
    </row>
    <row r="33" spans="1:14" s="155" customFormat="1" x14ac:dyDescent="0.4">
      <c r="A33" s="232"/>
      <c r="C33" s="1048"/>
      <c r="D33" s="115"/>
      <c r="E33" s="115"/>
    </row>
    <row r="34" spans="1:14" s="155" customFormat="1" x14ac:dyDescent="0.4">
      <c r="A34" s="232"/>
      <c r="C34" s="1048"/>
      <c r="D34" s="115"/>
      <c r="E34" s="115"/>
    </row>
    <row r="35" spans="1:14" s="155" customFormat="1" x14ac:dyDescent="0.4">
      <c r="A35" s="232"/>
      <c r="C35" s="1048"/>
      <c r="D35" s="115"/>
      <c r="E35" s="115"/>
    </row>
    <row r="36" spans="1:14" s="155" customFormat="1" x14ac:dyDescent="0.4">
      <c r="A36" s="232"/>
      <c r="C36" s="1048"/>
      <c r="D36" s="115"/>
      <c r="E36" s="115"/>
    </row>
    <row r="37" spans="1:14" s="155" customFormat="1" x14ac:dyDescent="0.4">
      <c r="A37" s="232"/>
      <c r="C37" s="1048"/>
      <c r="D37" s="115"/>
      <c r="E37" s="115"/>
    </row>
    <row r="38" spans="1:14" s="155" customFormat="1" x14ac:dyDescent="0.4">
      <c r="A38" s="232"/>
      <c r="C38" s="1048"/>
      <c r="D38" s="115"/>
      <c r="E38" s="115"/>
    </row>
    <row r="45" spans="1:14" ht="32.450000000000003" customHeight="1" x14ac:dyDescent="0.4">
      <c r="C45" s="3068" t="s">
        <v>6182</v>
      </c>
      <c r="D45" s="3068"/>
      <c r="E45" s="3068"/>
      <c r="F45" s="3068"/>
      <c r="G45" s="3068"/>
      <c r="I45" s="115" t="s">
        <v>5046</v>
      </c>
    </row>
    <row r="46" spans="1:14" ht="18" customHeight="1" x14ac:dyDescent="0.4">
      <c r="D46" s="1291"/>
      <c r="E46" s="1291"/>
      <c r="F46" s="1291"/>
      <c r="G46" s="1291"/>
      <c r="H46" s="1291"/>
      <c r="I46" s="2815" t="s">
        <v>5038</v>
      </c>
      <c r="J46" s="2815"/>
      <c r="K46" s="2815"/>
      <c r="L46" s="2815"/>
      <c r="M46" s="2815"/>
      <c r="N46" s="2815"/>
    </row>
    <row r="47" spans="1:14" ht="13.15" customHeight="1" x14ac:dyDescent="0.4">
      <c r="A47" s="115"/>
      <c r="B47" s="115"/>
      <c r="C47" s="115"/>
    </row>
    <row r="48" spans="1:14" ht="10.5" customHeight="1" x14ac:dyDescent="0.4"/>
    <row r="49" ht="13.15" customHeight="1" x14ac:dyDescent="0.4"/>
  </sheetData>
  <mergeCells count="15">
    <mergeCell ref="A5:B5"/>
    <mergeCell ref="C5:O5"/>
    <mergeCell ref="C1:D1"/>
    <mergeCell ref="A3:B3"/>
    <mergeCell ref="C3:O3"/>
    <mergeCell ref="A4:B4"/>
    <mergeCell ref="C4:O4"/>
    <mergeCell ref="C45:G45"/>
    <mergeCell ref="I46:N46"/>
    <mergeCell ref="A6:B6"/>
    <mergeCell ref="C6:O6"/>
    <mergeCell ref="C9:F9"/>
    <mergeCell ref="C22:F23"/>
    <mergeCell ref="I23:N23"/>
    <mergeCell ref="C24:F24"/>
  </mergeCells>
  <hyperlinks>
    <hyperlink ref="A1" location="'ODS 12.'!A1" display="REGRESAR" xr:uid="{64B59BD9-01C4-4B50-B755-D215A65A1B21}"/>
    <hyperlink ref="C1:D1" location="'Metadato 12.2.2'!A1" display="VER METADATO" xr:uid="{6BA5FD70-D796-4EA8-9E94-3D36703DFCA2}"/>
  </hyperlinks>
  <pageMargins left="0.7" right="0.7" top="0.75" bottom="0.75" header="0.3" footer="0.3"/>
  <pageSetup orientation="portrait" horizontalDpi="90" verticalDpi="90" r:id="rId1"/>
  <drawing r:id="rId2"/>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5E44-59E5-48C0-A93F-511091040E65}">
  <sheetPr>
    <tabColor theme="0" tint="-0.499984740745262"/>
  </sheetPr>
  <dimension ref="A1:F46"/>
  <sheetViews>
    <sheetView showGridLines="0" zoomScaleNormal="100" zoomScaleSheetLayoutView="9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3" style="243" customWidth="1"/>
    <col min="5" max="5" width="11.42578125" style="243"/>
    <col min="6" max="6" width="7.28515625" style="243" customWidth="1"/>
    <col min="7" max="16384" width="11.42578125" style="243"/>
  </cols>
  <sheetData>
    <row r="1" spans="1:6" x14ac:dyDescent="0.25">
      <c r="B1" s="223" t="s">
        <v>39</v>
      </c>
    </row>
    <row r="2" spans="1:6" ht="19.5" thickBot="1" x14ac:dyDescent="0.3"/>
    <row r="3" spans="1:6" ht="23.25" customHeight="1" thickBot="1" x14ac:dyDescent="0.3">
      <c r="B3" s="3314" t="s">
        <v>75</v>
      </c>
      <c r="C3" s="3314"/>
      <c r="D3" s="3314"/>
      <c r="F3" s="1046" t="s">
        <v>265</v>
      </c>
    </row>
    <row r="4" spans="1:6" x14ac:dyDescent="0.25">
      <c r="A4" s="1079"/>
      <c r="B4" s="2425" t="s">
        <v>234</v>
      </c>
      <c r="C4" s="2425"/>
      <c r="D4" s="49" t="s">
        <v>6179</v>
      </c>
    </row>
    <row r="5" spans="1:6" x14ac:dyDescent="0.25">
      <c r="B5" s="2425" t="s">
        <v>79</v>
      </c>
      <c r="C5" s="2425"/>
      <c r="D5" s="49" t="s">
        <v>6144</v>
      </c>
    </row>
    <row r="6" spans="1:6" x14ac:dyDescent="0.25">
      <c r="B6" s="2425" t="s">
        <v>80</v>
      </c>
      <c r="C6" s="2425"/>
      <c r="D6" s="50" t="s">
        <v>6147</v>
      </c>
    </row>
    <row r="7" spans="1:6" ht="37.5" x14ac:dyDescent="0.25">
      <c r="B7" s="2426" t="s">
        <v>81</v>
      </c>
      <c r="C7" s="2426"/>
      <c r="D7" s="93" t="s">
        <v>6148</v>
      </c>
    </row>
    <row r="8" spans="1:6" x14ac:dyDescent="0.25">
      <c r="B8" s="2426" t="s">
        <v>82</v>
      </c>
      <c r="C8" s="2426"/>
      <c r="D8" s="1047" t="s">
        <v>6183</v>
      </c>
    </row>
    <row r="9" spans="1:6" x14ac:dyDescent="0.4">
      <c r="B9" s="115"/>
      <c r="C9" s="115"/>
      <c r="D9" s="115"/>
    </row>
    <row r="10" spans="1:6" ht="23.25" customHeight="1" x14ac:dyDescent="0.25">
      <c r="B10" s="3314" t="s">
        <v>85</v>
      </c>
      <c r="C10" s="3314"/>
      <c r="D10" s="3314"/>
    </row>
    <row r="11" spans="1:6" x14ac:dyDescent="0.25">
      <c r="B11" s="2427" t="s">
        <v>86</v>
      </c>
      <c r="C11" s="2428"/>
      <c r="D11" s="49" t="s">
        <v>5048</v>
      </c>
    </row>
    <row r="12" spans="1:6" ht="14.65" customHeight="1" x14ac:dyDescent="0.25">
      <c r="B12" s="2426" t="s">
        <v>88</v>
      </c>
      <c r="C12" s="2426"/>
      <c r="D12" s="184" t="s">
        <v>5049</v>
      </c>
    </row>
    <row r="13" spans="1:6" x14ac:dyDescent="0.25">
      <c r="B13" s="2425" t="s">
        <v>90</v>
      </c>
      <c r="C13" s="2425"/>
      <c r="D13" s="50" t="s">
        <v>6147</v>
      </c>
    </row>
    <row r="14" spans="1:6" x14ac:dyDescent="0.25">
      <c r="B14" s="2425" t="s">
        <v>91</v>
      </c>
      <c r="C14" s="2428"/>
      <c r="D14" s="54" t="s">
        <v>92</v>
      </c>
    </row>
    <row r="15" spans="1:6" ht="172.15" customHeight="1" x14ac:dyDescent="0.25">
      <c r="B15" s="2425" t="s">
        <v>93</v>
      </c>
      <c r="C15" s="2425"/>
      <c r="D15" s="49" t="s">
        <v>5050</v>
      </c>
    </row>
    <row r="16" spans="1:6" ht="93.75" x14ac:dyDescent="0.25">
      <c r="B16" s="2425" t="s">
        <v>95</v>
      </c>
      <c r="C16" s="2425"/>
      <c r="D16" s="49" t="s">
        <v>5051</v>
      </c>
    </row>
    <row r="17" spans="2:4" ht="56.25" x14ac:dyDescent="0.25">
      <c r="B17" s="2425" t="s">
        <v>97</v>
      </c>
      <c r="C17" s="2425"/>
      <c r="D17" s="55" t="s">
        <v>5052</v>
      </c>
    </row>
    <row r="18" spans="2:4" ht="37.5" x14ac:dyDescent="0.25">
      <c r="B18" s="2426" t="s">
        <v>99</v>
      </c>
      <c r="C18" s="2426"/>
      <c r="D18" s="49" t="s">
        <v>5053</v>
      </c>
    </row>
    <row r="19" spans="2:4" x14ac:dyDescent="0.25">
      <c r="B19" s="2435" t="s">
        <v>100</v>
      </c>
      <c r="C19" s="2436"/>
      <c r="D19" s="55" t="s">
        <v>5054</v>
      </c>
    </row>
    <row r="20" spans="2:4" x14ac:dyDescent="0.25">
      <c r="B20" s="2425" t="s">
        <v>102</v>
      </c>
      <c r="C20" s="2425"/>
      <c r="D20" s="49" t="s">
        <v>140</v>
      </c>
    </row>
    <row r="21" spans="2:4" x14ac:dyDescent="0.25">
      <c r="B21" s="2432" t="s">
        <v>104</v>
      </c>
      <c r="C21" s="57" t="s">
        <v>105</v>
      </c>
      <c r="D21" s="49" t="s">
        <v>1186</v>
      </c>
    </row>
    <row r="22" spans="2:4" x14ac:dyDescent="0.25">
      <c r="B22" s="2433"/>
      <c r="C22" s="58" t="s">
        <v>107</v>
      </c>
      <c r="D22" s="55" t="s">
        <v>1186</v>
      </c>
    </row>
    <row r="23" spans="2:4" x14ac:dyDescent="0.25">
      <c r="B23" s="2425" t="s">
        <v>109</v>
      </c>
      <c r="C23" s="2425"/>
      <c r="D23" s="49" t="s">
        <v>143</v>
      </c>
    </row>
    <row r="24" spans="2:4" ht="37.5" x14ac:dyDescent="0.25">
      <c r="B24" s="2425" t="s">
        <v>111</v>
      </c>
      <c r="C24" s="2425"/>
      <c r="D24" s="50" t="s">
        <v>6184</v>
      </c>
    </row>
    <row r="25" spans="2:4" x14ac:dyDescent="0.25">
      <c r="B25" s="2425" t="s">
        <v>113</v>
      </c>
      <c r="C25" s="2425"/>
      <c r="D25" s="55" t="s">
        <v>1701</v>
      </c>
    </row>
    <row r="26" spans="2:4" ht="14.65" customHeight="1" x14ac:dyDescent="0.25">
      <c r="B26" s="2426" t="s">
        <v>115</v>
      </c>
      <c r="C26" s="2426"/>
      <c r="D26" s="49" t="s">
        <v>5056</v>
      </c>
    </row>
    <row r="27" spans="2:4" x14ac:dyDescent="0.25">
      <c r="B27" s="2427" t="s">
        <v>117</v>
      </c>
      <c r="C27" s="2428"/>
      <c r="D27" s="49"/>
    </row>
    <row r="28" spans="2:4" ht="131.25" x14ac:dyDescent="0.25">
      <c r="B28" s="60" t="s">
        <v>118</v>
      </c>
      <c r="C28" s="61"/>
      <c r="D28" s="55" t="s">
        <v>5057</v>
      </c>
    </row>
    <row r="29" spans="2:4" ht="75" x14ac:dyDescent="0.25">
      <c r="B29" s="2429" t="s">
        <v>120</v>
      </c>
      <c r="C29" s="2430"/>
      <c r="D29" s="62" t="s">
        <v>5058</v>
      </c>
    </row>
    <row r="30" spans="2:4" x14ac:dyDescent="0.25">
      <c r="B30" s="628"/>
      <c r="C30" s="628"/>
      <c r="D30" s="629"/>
    </row>
    <row r="31" spans="2:4" ht="23.25" customHeight="1" x14ac:dyDescent="0.25">
      <c r="B31" s="3317" t="s">
        <v>121</v>
      </c>
      <c r="C31" s="3317"/>
      <c r="D31" s="3317"/>
    </row>
    <row r="32" spans="2:4" x14ac:dyDescent="0.25">
      <c r="B32" s="2447" t="s">
        <v>122</v>
      </c>
      <c r="C32" s="2448"/>
      <c r="D32" s="50" t="s">
        <v>4814</v>
      </c>
    </row>
    <row r="33" spans="2:4" x14ac:dyDescent="0.25">
      <c r="B33" s="2447" t="s">
        <v>124</v>
      </c>
      <c r="C33" s="2448"/>
      <c r="D33" s="50" t="s">
        <v>5027</v>
      </c>
    </row>
    <row r="34" spans="2:4" x14ac:dyDescent="0.25">
      <c r="B34" s="2447" t="s">
        <v>126</v>
      </c>
      <c r="C34" s="2448"/>
      <c r="D34" s="50" t="s">
        <v>3388</v>
      </c>
    </row>
    <row r="35" spans="2:4" x14ac:dyDescent="0.25">
      <c r="B35" s="2447" t="s">
        <v>128</v>
      </c>
      <c r="C35" s="2448"/>
      <c r="D35" s="50" t="s">
        <v>4985</v>
      </c>
    </row>
    <row r="36" spans="2:4" ht="19.5" thickBot="1" x14ac:dyDescent="0.3">
      <c r="B36" s="2447" t="s">
        <v>130</v>
      </c>
      <c r="C36" s="2448"/>
      <c r="D36" s="1312" t="s">
        <v>4986</v>
      </c>
    </row>
    <row r="37" spans="2:4" x14ac:dyDescent="0.25">
      <c r="B37" s="2885" t="s">
        <v>122</v>
      </c>
      <c r="C37" s="2886"/>
      <c r="D37" s="1287" t="s">
        <v>5060</v>
      </c>
    </row>
    <row r="38" spans="2:4" x14ac:dyDescent="0.25">
      <c r="B38" s="2882" t="s">
        <v>124</v>
      </c>
      <c r="C38" s="2448"/>
      <c r="D38" s="1288" t="s">
        <v>3387</v>
      </c>
    </row>
    <row r="39" spans="2:4" x14ac:dyDescent="0.25">
      <c r="B39" s="2882" t="s">
        <v>126</v>
      </c>
      <c r="C39" s="2448"/>
      <c r="D39" s="1288" t="s">
        <v>3388</v>
      </c>
    </row>
    <row r="40" spans="2:4" x14ac:dyDescent="0.25">
      <c r="B40" s="2882" t="s">
        <v>128</v>
      </c>
      <c r="C40" s="2448"/>
      <c r="D40" s="1288" t="s">
        <v>3392</v>
      </c>
    </row>
    <row r="41" spans="2:4" ht="19.5" thickBot="1" x14ac:dyDescent="0.3">
      <c r="B41" s="2883" t="s">
        <v>130</v>
      </c>
      <c r="C41" s="2884"/>
      <c r="D41" s="1290" t="s">
        <v>3393</v>
      </c>
    </row>
    <row r="42" spans="2:4" x14ac:dyDescent="0.25">
      <c r="B42" s="2885" t="s">
        <v>122</v>
      </c>
      <c r="C42" s="2886"/>
      <c r="D42" s="1287" t="s">
        <v>5061</v>
      </c>
    </row>
    <row r="43" spans="2:4" x14ac:dyDescent="0.25">
      <c r="B43" s="2882" t="s">
        <v>124</v>
      </c>
      <c r="C43" s="2448"/>
      <c r="D43" s="1288" t="s">
        <v>3387</v>
      </c>
    </row>
    <row r="44" spans="2:4" x14ac:dyDescent="0.25">
      <c r="B44" s="2882" t="s">
        <v>126</v>
      </c>
      <c r="C44" s="2448"/>
      <c r="D44" s="1288" t="s">
        <v>3388</v>
      </c>
    </row>
    <row r="45" spans="2:4" x14ac:dyDescent="0.25">
      <c r="B45" s="2882" t="s">
        <v>128</v>
      </c>
      <c r="C45" s="2448"/>
      <c r="D45" s="1288" t="s">
        <v>5062</v>
      </c>
    </row>
    <row r="46" spans="2:4" ht="19.5" thickBot="1" x14ac:dyDescent="0.3">
      <c r="B46" s="2883" t="s">
        <v>130</v>
      </c>
      <c r="C46" s="2884"/>
      <c r="D46" s="1290" t="s">
        <v>5063</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D5B3200B-A8A2-4A69-80C6-8E3C76D706B3}">
      <formula1>ODS</formula1>
    </dataValidation>
    <dataValidation type="list" allowBlank="1" showInputMessage="1" showErrorMessage="1" sqref="D5" xr:uid="{F8F2921D-8066-4C0B-A409-52645FBF28E5}">
      <formula1>Metas_ODS</formula1>
    </dataValidation>
    <dataValidation type="list" allowBlank="1" showInputMessage="1" showErrorMessage="1" sqref="D6 D13" xr:uid="{1A5C04AC-11A9-497A-810F-4ECAD84B18CA}">
      <formula1>Numero_indicador</formula1>
    </dataValidation>
    <dataValidation type="list" allowBlank="1" showInputMessage="1" showErrorMessage="1" sqref="D7" xr:uid="{3CACB621-A52E-49EF-8CB3-956EAD80136B}">
      <formula1>Nombre_indicador_ODS</formula1>
    </dataValidation>
    <dataValidation type="list" allowBlank="1" showInputMessage="1" showErrorMessage="1" sqref="D14" xr:uid="{863A22F0-16A8-4A95-8A6B-96732F5EC7D6}">
      <formula1>Tipo_indicador</formula1>
    </dataValidation>
    <dataValidation type="list" allowBlank="1" showInputMessage="1" showErrorMessage="1" sqref="D25" xr:uid="{8C20E92A-3ECF-489B-975C-BD4389B9FC99}">
      <formula1>Tipo_operación</formula1>
    </dataValidation>
  </dataValidations>
  <hyperlinks>
    <hyperlink ref="B1" location="'12.2.2'!A1" display="REGRESAR" xr:uid="{BC1BD6F7-03DC-4760-B40D-96CFF7373B91}"/>
    <hyperlink ref="D8" r:id="rId1" xr:uid="{204BF1C4-C1D4-427D-B0FB-4AC62E80E010}"/>
    <hyperlink ref="D46" r:id="rId2" xr:uid="{831F61B3-B1C8-42EC-8514-91EF722E4D4C}"/>
    <hyperlink ref="D36" r:id="rId3" xr:uid="{FE3194A1-2ACA-426E-B175-F2C2DF96EF58}"/>
    <hyperlink ref="D41" r:id="rId4" xr:uid="{90393CA5-99B8-491F-B194-DC637D6517DB}"/>
  </hyperlinks>
  <pageMargins left="0.7" right="0.7" top="0.75" bottom="0.75" header="0.3" footer="0.3"/>
  <pageSetup orientation="portrait" horizontalDpi="90" verticalDpi="90"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3C0E8-BB05-4ACA-94AA-CBAFE70AADE7}">
  <dimension ref="A1:T60"/>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7109375" style="22" customWidth="1"/>
    <col min="3" max="3" width="7.28515625" style="22" customWidth="1"/>
    <col min="4" max="4" width="5.5703125" style="22" customWidth="1"/>
    <col min="5" max="5" width="7.42578125" style="22" customWidth="1"/>
    <col min="6" max="6" width="8" style="22" customWidth="1"/>
    <col min="7" max="7" width="7.7109375" style="22" customWidth="1"/>
    <col min="8" max="8" width="7" style="22" customWidth="1"/>
    <col min="9" max="9" width="9.28515625" style="22" customWidth="1"/>
    <col min="10" max="10" width="6.7109375" style="22" customWidth="1"/>
    <col min="11" max="11" width="14.42578125" style="22" customWidth="1"/>
    <col min="12" max="12" width="6.42578125" style="22" customWidth="1"/>
    <col min="13" max="16384" width="11.42578125" style="22"/>
  </cols>
  <sheetData>
    <row r="1" spans="1:20" ht="19.5" x14ac:dyDescent="0.4">
      <c r="A1" s="15" t="s">
        <v>39</v>
      </c>
      <c r="B1" s="16"/>
      <c r="C1" s="2421" t="s">
        <v>149</v>
      </c>
      <c r="D1" s="2421"/>
      <c r="E1" s="2421"/>
      <c r="F1" s="16"/>
      <c r="G1" s="16"/>
      <c r="H1" s="16"/>
      <c r="I1" s="16"/>
      <c r="J1" s="16"/>
      <c r="K1" s="16"/>
      <c r="L1" s="16"/>
      <c r="M1" s="16"/>
      <c r="N1" s="16"/>
      <c r="O1" s="16"/>
      <c r="P1" s="16"/>
      <c r="Q1" s="16"/>
      <c r="R1" s="16"/>
      <c r="S1" s="16"/>
      <c r="T1" s="16"/>
    </row>
    <row r="2" spans="1:20" ht="19.5" x14ac:dyDescent="0.4">
      <c r="A2" s="16"/>
      <c r="B2" s="16"/>
      <c r="C2" s="16"/>
      <c r="D2" s="16"/>
      <c r="E2" s="16"/>
      <c r="F2" s="16"/>
      <c r="G2" s="16"/>
      <c r="H2" s="16"/>
      <c r="I2" s="16"/>
      <c r="J2" s="16"/>
      <c r="K2" s="16"/>
      <c r="L2" s="16"/>
      <c r="M2" s="16"/>
      <c r="N2" s="16"/>
      <c r="O2" s="16"/>
      <c r="P2" s="16"/>
      <c r="Q2" s="16"/>
      <c r="R2" s="16"/>
      <c r="S2" s="16"/>
      <c r="T2" s="16"/>
    </row>
    <row r="3" spans="1:20" ht="19.5" x14ac:dyDescent="0.25">
      <c r="A3" s="2508" t="s">
        <v>41</v>
      </c>
      <c r="B3" s="2508"/>
      <c r="C3" s="2509" t="s">
        <v>396</v>
      </c>
      <c r="D3" s="2509"/>
      <c r="E3" s="2509"/>
      <c r="F3" s="2509"/>
      <c r="G3" s="2509"/>
      <c r="H3" s="2509"/>
      <c r="I3" s="2509"/>
      <c r="J3" s="2509"/>
      <c r="K3" s="2509"/>
      <c r="L3" s="2509"/>
      <c r="M3" s="2509"/>
      <c r="N3" s="2509"/>
      <c r="O3" s="2509"/>
      <c r="P3" s="2509"/>
      <c r="Q3" s="2509"/>
      <c r="R3" s="2509"/>
      <c r="S3" s="2509"/>
      <c r="T3" s="2509"/>
    </row>
    <row r="4" spans="1:20" ht="38.450000000000003" customHeight="1" x14ac:dyDescent="0.25">
      <c r="A4" s="2508" t="s">
        <v>42</v>
      </c>
      <c r="B4" s="2508"/>
      <c r="C4" s="2509" t="s">
        <v>402</v>
      </c>
      <c r="D4" s="2509"/>
      <c r="E4" s="2509"/>
      <c r="F4" s="2509"/>
      <c r="G4" s="2509"/>
      <c r="H4" s="2509"/>
      <c r="I4" s="2509"/>
      <c r="J4" s="2509"/>
      <c r="K4" s="2509"/>
      <c r="L4" s="2509"/>
      <c r="M4" s="2546"/>
      <c r="N4" s="2546"/>
      <c r="O4" s="2546"/>
      <c r="P4" s="2546"/>
      <c r="Q4" s="2546"/>
      <c r="R4" s="2546"/>
      <c r="S4" s="2546"/>
      <c r="T4" s="2546"/>
    </row>
    <row r="5" spans="1:20" ht="18.75" customHeight="1" x14ac:dyDescent="0.25">
      <c r="A5" s="2508" t="s">
        <v>43</v>
      </c>
      <c r="B5" s="2508"/>
      <c r="C5" s="2509" t="s">
        <v>406</v>
      </c>
      <c r="D5" s="2509"/>
      <c r="E5" s="2509"/>
      <c r="F5" s="2509"/>
      <c r="G5" s="2509"/>
      <c r="H5" s="2509"/>
      <c r="I5" s="2509"/>
      <c r="J5" s="2509"/>
      <c r="K5" s="2509"/>
      <c r="L5" s="2509"/>
      <c r="M5" s="2546"/>
      <c r="N5" s="2546"/>
      <c r="O5" s="2546"/>
      <c r="P5" s="2546"/>
      <c r="Q5" s="2546"/>
      <c r="R5" s="2546"/>
      <c r="S5" s="2546"/>
      <c r="T5" s="2546"/>
    </row>
    <row r="6" spans="1:20" ht="34.9" customHeight="1" x14ac:dyDescent="0.25">
      <c r="A6" s="2508" t="s">
        <v>132</v>
      </c>
      <c r="B6" s="2508"/>
      <c r="C6" s="2509" t="s">
        <v>579</v>
      </c>
      <c r="D6" s="2509"/>
      <c r="E6" s="2509"/>
      <c r="F6" s="2509"/>
      <c r="G6" s="2509"/>
      <c r="H6" s="2509"/>
      <c r="I6" s="2509"/>
      <c r="J6" s="2509"/>
      <c r="K6" s="2509"/>
      <c r="L6" s="2509"/>
      <c r="M6" s="2546"/>
      <c r="N6" s="2546"/>
      <c r="O6" s="2546"/>
      <c r="P6" s="2546"/>
      <c r="Q6" s="2546"/>
      <c r="R6" s="2546"/>
      <c r="S6" s="2546"/>
      <c r="T6" s="2546"/>
    </row>
    <row r="7" spans="1:20" ht="19.5" x14ac:dyDescent="0.4">
      <c r="A7" s="16"/>
      <c r="B7" s="16"/>
      <c r="C7" s="16"/>
      <c r="D7" s="16"/>
      <c r="E7" s="16"/>
      <c r="F7" s="16"/>
      <c r="G7" s="16"/>
      <c r="H7" s="16"/>
      <c r="I7" s="16"/>
      <c r="J7" s="16"/>
      <c r="K7" s="16"/>
      <c r="L7" s="16"/>
      <c r="M7" s="16"/>
      <c r="N7" s="16"/>
      <c r="O7" s="16"/>
      <c r="P7" s="16"/>
      <c r="Q7" s="16"/>
      <c r="R7" s="16"/>
      <c r="S7" s="16"/>
      <c r="T7" s="16"/>
    </row>
    <row r="8" spans="1:20" ht="19.5" x14ac:dyDescent="0.4">
      <c r="A8" s="16"/>
      <c r="B8" s="16"/>
      <c r="C8" s="16"/>
      <c r="D8" s="16"/>
      <c r="E8" s="16"/>
      <c r="F8" s="16"/>
      <c r="G8" s="16"/>
      <c r="H8" s="16"/>
      <c r="I8" s="16"/>
      <c r="J8" s="16"/>
      <c r="K8" s="16"/>
      <c r="L8" s="16"/>
      <c r="M8" s="16"/>
      <c r="N8" s="16"/>
      <c r="O8" s="16"/>
      <c r="P8" s="16"/>
      <c r="Q8" s="16"/>
      <c r="R8" s="16"/>
      <c r="S8" s="16"/>
      <c r="T8" s="16"/>
    </row>
    <row r="9" spans="1:20" ht="19.5" x14ac:dyDescent="0.4">
      <c r="A9" s="217"/>
      <c r="B9" s="16"/>
      <c r="C9" s="332" t="s">
        <v>580</v>
      </c>
      <c r="D9" s="333"/>
      <c r="E9" s="333"/>
      <c r="F9" s="333"/>
      <c r="G9" s="333"/>
      <c r="H9" s="333"/>
      <c r="I9" s="333"/>
      <c r="J9" s="333"/>
      <c r="K9" s="333"/>
      <c r="L9" s="16"/>
      <c r="M9" s="16"/>
      <c r="N9" s="16"/>
      <c r="O9" s="16"/>
      <c r="P9" s="16"/>
      <c r="Q9" s="16"/>
      <c r="R9" s="16"/>
      <c r="S9" s="16"/>
      <c r="T9" s="16"/>
    </row>
    <row r="10" spans="1:20" ht="19.5" x14ac:dyDescent="0.4">
      <c r="A10" s="217"/>
      <c r="B10" s="16"/>
      <c r="C10" s="334" t="s">
        <v>581</v>
      </c>
      <c r="D10" s="334"/>
      <c r="E10" s="334"/>
      <c r="F10" s="334"/>
      <c r="G10" s="334"/>
      <c r="H10" s="334"/>
      <c r="I10" s="334"/>
      <c r="J10" s="334"/>
      <c r="K10" s="334"/>
      <c r="L10" s="16"/>
      <c r="M10" s="16"/>
      <c r="N10" s="16"/>
      <c r="O10" s="16"/>
      <c r="P10" s="16"/>
      <c r="Q10" s="16"/>
      <c r="R10" s="16"/>
      <c r="S10" s="16"/>
      <c r="T10" s="16"/>
    </row>
    <row r="11" spans="1:20" ht="19.5" x14ac:dyDescent="0.4">
      <c r="A11" s="217"/>
      <c r="B11" s="16"/>
      <c r="C11" s="334" t="s">
        <v>582</v>
      </c>
      <c r="D11" s="334"/>
      <c r="E11" s="334"/>
      <c r="F11" s="334"/>
      <c r="G11" s="334"/>
      <c r="H11" s="334"/>
      <c r="I11" s="334"/>
      <c r="J11" s="334"/>
      <c r="K11" s="334"/>
      <c r="L11" s="16"/>
      <c r="M11" s="16"/>
      <c r="N11" s="16"/>
      <c r="O11" s="16"/>
      <c r="P11" s="16"/>
      <c r="Q11" s="16"/>
      <c r="R11" s="16"/>
      <c r="S11" s="16"/>
      <c r="T11" s="16"/>
    </row>
    <row r="12" spans="1:20" ht="9.6" customHeight="1" x14ac:dyDescent="0.25">
      <c r="A12" s="23"/>
      <c r="C12" s="335"/>
      <c r="D12" s="335"/>
      <c r="E12" s="335"/>
      <c r="F12" s="335"/>
      <c r="G12" s="335"/>
      <c r="H12" s="335"/>
      <c r="I12" s="335"/>
      <c r="J12" s="335"/>
      <c r="K12" s="335"/>
    </row>
    <row r="13" spans="1:20" ht="28.9" customHeight="1" x14ac:dyDescent="0.4">
      <c r="A13" s="23"/>
      <c r="C13" s="2517" t="s">
        <v>583</v>
      </c>
      <c r="D13" s="2517"/>
      <c r="E13" s="2517"/>
      <c r="F13" s="336"/>
      <c r="G13" s="336"/>
      <c r="H13" s="336"/>
      <c r="I13" s="2539" t="s">
        <v>584</v>
      </c>
      <c r="J13" s="2539"/>
      <c r="K13" s="297" t="s">
        <v>585</v>
      </c>
    </row>
    <row r="14" spans="1:20" ht="31.9" customHeight="1" x14ac:dyDescent="0.4">
      <c r="A14" s="23"/>
      <c r="C14" s="2518"/>
      <c r="D14" s="2518"/>
      <c r="E14" s="2518"/>
      <c r="F14" s="337"/>
      <c r="G14" s="337"/>
      <c r="H14" s="337"/>
      <c r="I14" s="2518" t="s">
        <v>586</v>
      </c>
      <c r="J14" s="2518"/>
      <c r="K14" s="338" t="s">
        <v>586</v>
      </c>
    </row>
    <row r="15" spans="1:20" ht="18.75" x14ac:dyDescent="0.4">
      <c r="A15" s="23"/>
      <c r="C15" s="339" t="s">
        <v>47</v>
      </c>
      <c r="D15" s="5"/>
      <c r="E15" s="5"/>
      <c r="F15" s="5"/>
      <c r="G15" s="5"/>
      <c r="H15" s="5"/>
      <c r="I15" s="340">
        <v>1.7967106945586699</v>
      </c>
      <c r="J15" s="5"/>
      <c r="K15" s="340">
        <v>7.3986189963285653</v>
      </c>
    </row>
    <row r="16" spans="1:20" ht="18.75" x14ac:dyDescent="0.4">
      <c r="C16" s="2545" t="s">
        <v>48</v>
      </c>
      <c r="D16" s="2545"/>
      <c r="E16" s="2545"/>
      <c r="F16" s="2545"/>
      <c r="G16" s="2545"/>
      <c r="H16" s="2545"/>
      <c r="I16" s="340"/>
      <c r="J16" s="5"/>
      <c r="K16" s="340"/>
    </row>
    <row r="17" spans="3:11" ht="18.75" x14ac:dyDescent="0.4">
      <c r="C17" s="341" t="s">
        <v>53</v>
      </c>
      <c r="D17" s="5"/>
      <c r="E17" s="5"/>
      <c r="F17" s="5"/>
      <c r="G17" s="5"/>
      <c r="H17" s="5"/>
      <c r="I17" s="340">
        <v>1.7674057594567687</v>
      </c>
      <c r="J17" s="5"/>
      <c r="K17" s="340">
        <v>8.0270081156319986</v>
      </c>
    </row>
    <row r="18" spans="3:11" ht="18.75" x14ac:dyDescent="0.4">
      <c r="C18" s="341" t="s">
        <v>54</v>
      </c>
      <c r="D18" s="5"/>
      <c r="E18" s="5"/>
      <c r="F18" s="5"/>
      <c r="G18" s="5"/>
      <c r="H18" s="5"/>
      <c r="I18" s="340">
        <v>1.8290076324362172</v>
      </c>
      <c r="J18" s="5"/>
      <c r="K18" s="340">
        <v>6.7060720147879165</v>
      </c>
    </row>
    <row r="19" spans="3:11" ht="18.75" x14ac:dyDescent="0.4">
      <c r="C19" s="2545" t="s">
        <v>49</v>
      </c>
      <c r="D19" s="2545"/>
      <c r="E19" s="2545"/>
      <c r="F19" s="2545"/>
      <c r="G19" s="2545"/>
      <c r="H19" s="2545"/>
      <c r="I19" s="340"/>
      <c r="J19" s="5"/>
      <c r="K19" s="340"/>
    </row>
    <row r="20" spans="3:11" ht="18.75" x14ac:dyDescent="0.4">
      <c r="C20" s="341" t="s">
        <v>532</v>
      </c>
      <c r="D20" s="5"/>
      <c r="E20" s="5"/>
      <c r="F20" s="5"/>
      <c r="G20" s="5"/>
      <c r="H20" s="5"/>
      <c r="I20" s="340">
        <v>1.9408537934171108</v>
      </c>
      <c r="J20" s="5"/>
      <c r="K20" s="340">
        <v>7.5900342355457235</v>
      </c>
    </row>
    <row r="21" spans="3:11" ht="18.75" x14ac:dyDescent="0.4">
      <c r="C21" s="341" t="s">
        <v>56</v>
      </c>
      <c r="D21" s="5"/>
      <c r="E21" s="5"/>
      <c r="F21" s="5"/>
      <c r="G21" s="5"/>
      <c r="H21" s="5"/>
      <c r="I21" s="340">
        <v>1.4864440901569433</v>
      </c>
      <c r="J21" s="5"/>
      <c r="K21" s="340">
        <v>6.9865995741502225</v>
      </c>
    </row>
    <row r="22" spans="3:11" ht="18.75" x14ac:dyDescent="0.4">
      <c r="C22" s="2545" t="s">
        <v>327</v>
      </c>
      <c r="D22" s="2545"/>
      <c r="E22" s="2545"/>
      <c r="F22" s="2545"/>
      <c r="G22" s="2545"/>
      <c r="H22" s="2545"/>
      <c r="I22" s="340"/>
      <c r="J22" s="5"/>
      <c r="K22" s="340"/>
    </row>
    <row r="23" spans="3:11" ht="18.75" x14ac:dyDescent="0.4">
      <c r="C23" s="341" t="s">
        <v>328</v>
      </c>
      <c r="D23" s="5"/>
      <c r="E23" s="5"/>
      <c r="F23" s="5"/>
      <c r="G23" s="5"/>
      <c r="H23" s="5"/>
      <c r="I23" s="340">
        <v>0.8345183288883079</v>
      </c>
      <c r="J23" s="5"/>
      <c r="K23" s="340">
        <v>7.6491852757729841</v>
      </c>
    </row>
    <row r="24" spans="3:11" ht="18.75" x14ac:dyDescent="0.4">
      <c r="C24" s="341" t="s">
        <v>329</v>
      </c>
      <c r="D24" s="5"/>
      <c r="E24" s="5"/>
      <c r="F24" s="5"/>
      <c r="G24" s="5"/>
      <c r="H24" s="5"/>
      <c r="I24" s="340">
        <v>1.2674839726675031</v>
      </c>
      <c r="J24" s="5"/>
      <c r="K24" s="340">
        <v>6.4190600475366519</v>
      </c>
    </row>
    <row r="25" spans="3:11" ht="18.75" x14ac:dyDescent="0.4">
      <c r="C25" s="341" t="s">
        <v>330</v>
      </c>
      <c r="D25" s="5"/>
      <c r="E25" s="5"/>
      <c r="F25" s="5"/>
      <c r="G25" s="5"/>
      <c r="H25" s="5"/>
      <c r="I25" s="340">
        <v>2.8229765948666641</v>
      </c>
      <c r="J25" s="5"/>
      <c r="K25" s="340">
        <v>11.302019886452278</v>
      </c>
    </row>
    <row r="26" spans="3:11" ht="18.75" x14ac:dyDescent="0.4">
      <c r="C26" s="341" t="s">
        <v>331</v>
      </c>
      <c r="D26" s="5"/>
      <c r="E26" s="5"/>
      <c r="F26" s="5"/>
      <c r="G26" s="5"/>
      <c r="H26" s="5"/>
      <c r="I26" s="340">
        <v>2.3963681613599772</v>
      </c>
      <c r="J26" s="5"/>
      <c r="K26" s="340">
        <v>10.254226731298846</v>
      </c>
    </row>
    <row r="27" spans="3:11" ht="18.75" x14ac:dyDescent="0.4">
      <c r="C27" s="341" t="s">
        <v>332</v>
      </c>
      <c r="D27" s="5"/>
      <c r="E27" s="5"/>
      <c r="F27" s="5"/>
      <c r="G27" s="5"/>
      <c r="H27" s="5"/>
      <c r="I27" s="340">
        <v>0.84402368500325609</v>
      </c>
      <c r="J27" s="5"/>
      <c r="K27" s="340">
        <v>6.2995524331939254</v>
      </c>
    </row>
    <row r="28" spans="3:11" ht="18.75" x14ac:dyDescent="0.4">
      <c r="C28" s="341" t="s">
        <v>533</v>
      </c>
      <c r="D28" s="5"/>
      <c r="E28" s="5"/>
      <c r="F28" s="5"/>
      <c r="G28" s="5"/>
      <c r="H28" s="5"/>
      <c r="I28" s="340">
        <v>3.5709703939991435</v>
      </c>
      <c r="J28" s="5"/>
      <c r="K28" s="340">
        <v>6.0294053277056197</v>
      </c>
    </row>
    <row r="29" spans="3:11" ht="18.75" x14ac:dyDescent="0.4">
      <c r="C29" s="341" t="s">
        <v>334</v>
      </c>
      <c r="D29" s="5"/>
      <c r="E29" s="5"/>
      <c r="F29" s="5"/>
      <c r="G29" s="5"/>
      <c r="H29" s="5"/>
      <c r="I29" s="340">
        <v>2.6331775600550089</v>
      </c>
      <c r="J29" s="5"/>
      <c r="K29" s="340">
        <v>4.6238809791428546</v>
      </c>
    </row>
    <row r="30" spans="3:11" ht="18.75" x14ac:dyDescent="0.4">
      <c r="C30" s="2545" t="s">
        <v>534</v>
      </c>
      <c r="D30" s="2545"/>
      <c r="E30" s="2545"/>
      <c r="F30" s="2545"/>
      <c r="G30" s="2545"/>
      <c r="H30" s="2545"/>
      <c r="I30" s="340"/>
      <c r="J30" s="5"/>
      <c r="K30" s="340"/>
    </row>
    <row r="31" spans="3:11" ht="18.75" x14ac:dyDescent="0.4">
      <c r="C31" s="342" t="s">
        <v>535</v>
      </c>
      <c r="D31" s="5"/>
      <c r="E31" s="5"/>
      <c r="F31" s="5"/>
      <c r="G31" s="5"/>
      <c r="H31" s="5"/>
      <c r="I31" s="340">
        <v>1.704198297569729</v>
      </c>
      <c r="J31" s="5"/>
      <c r="K31" s="340">
        <v>6.9684052560254059</v>
      </c>
    </row>
    <row r="32" spans="3:11" ht="18.75" x14ac:dyDescent="0.4">
      <c r="C32" s="342" t="s">
        <v>536</v>
      </c>
      <c r="D32" s="5"/>
      <c r="E32" s="5"/>
      <c r="F32" s="5"/>
      <c r="G32" s="5"/>
      <c r="H32" s="5"/>
      <c r="I32" s="340">
        <v>0.42579399401924262</v>
      </c>
      <c r="J32" s="5"/>
      <c r="K32" s="340">
        <v>9.399810629945927</v>
      </c>
    </row>
    <row r="33" spans="3:11" ht="18.75" x14ac:dyDescent="0.4">
      <c r="C33" s="343" t="s">
        <v>537</v>
      </c>
      <c r="D33" s="5"/>
      <c r="E33" s="5"/>
      <c r="F33" s="5"/>
      <c r="G33" s="5"/>
      <c r="H33" s="5"/>
      <c r="I33" s="340">
        <v>2.3360990555812116</v>
      </c>
      <c r="J33" s="5"/>
      <c r="K33" s="340">
        <v>9.1203597373421701</v>
      </c>
    </row>
    <row r="34" spans="3:11" ht="18.75" x14ac:dyDescent="0.4">
      <c r="C34" s="341" t="s">
        <v>538</v>
      </c>
      <c r="D34" s="5"/>
      <c r="E34" s="5"/>
      <c r="F34" s="5"/>
      <c r="G34" s="5"/>
      <c r="H34" s="5"/>
      <c r="I34" s="340">
        <v>2.3467226095580664</v>
      </c>
      <c r="J34" s="5"/>
      <c r="K34" s="340">
        <v>6.2616903266681554</v>
      </c>
    </row>
    <row r="35" spans="3:11" ht="18.75" x14ac:dyDescent="0.4">
      <c r="C35" s="341" t="s">
        <v>539</v>
      </c>
      <c r="D35" s="5"/>
      <c r="E35" s="5"/>
      <c r="F35" s="5"/>
      <c r="G35" s="5"/>
      <c r="H35" s="5"/>
      <c r="I35" s="340">
        <v>2.4369377037999231</v>
      </c>
      <c r="J35" s="5"/>
      <c r="K35" s="340">
        <v>8.172802410997738</v>
      </c>
    </row>
    <row r="36" spans="3:11" ht="18.75" x14ac:dyDescent="0.4">
      <c r="C36" s="341" t="s">
        <v>540</v>
      </c>
      <c r="D36" s="5"/>
      <c r="E36" s="5"/>
      <c r="F36" s="5"/>
      <c r="G36" s="5"/>
      <c r="H36" s="5"/>
      <c r="I36" s="340">
        <v>1.9238024454534799</v>
      </c>
      <c r="J36" s="5"/>
      <c r="K36" s="340">
        <v>5.4252503650852626</v>
      </c>
    </row>
    <row r="37" spans="3:11" ht="18.75" x14ac:dyDescent="0.4">
      <c r="C37" s="341" t="s">
        <v>541</v>
      </c>
      <c r="D37" s="5"/>
      <c r="E37" s="5"/>
      <c r="F37" s="5"/>
      <c r="G37" s="5"/>
      <c r="H37" s="5"/>
      <c r="I37" s="340">
        <v>1.1519304474694978</v>
      </c>
      <c r="J37" s="5"/>
      <c r="K37" s="340">
        <v>7.6325208585758988</v>
      </c>
    </row>
    <row r="38" spans="3:11" ht="18.75" x14ac:dyDescent="0.4">
      <c r="C38" s="2545" t="s">
        <v>542</v>
      </c>
      <c r="D38" s="2545"/>
      <c r="E38" s="2545"/>
      <c r="F38" s="2545"/>
      <c r="G38" s="2545"/>
      <c r="H38" s="2545"/>
      <c r="I38" s="340"/>
      <c r="J38" s="5"/>
      <c r="K38" s="340"/>
    </row>
    <row r="39" spans="3:11" ht="18.75" x14ac:dyDescent="0.4">
      <c r="C39" s="341" t="s">
        <v>543</v>
      </c>
      <c r="D39" s="5"/>
      <c r="E39" s="5"/>
      <c r="F39" s="5"/>
      <c r="G39" s="5"/>
      <c r="H39" s="5"/>
      <c r="I39" s="340">
        <v>0</v>
      </c>
      <c r="J39" s="5"/>
      <c r="K39" s="340">
        <v>9.12582943471884</v>
      </c>
    </row>
    <row r="40" spans="3:11" ht="18.75" x14ac:dyDescent="0.4">
      <c r="C40" s="341" t="s">
        <v>544</v>
      </c>
      <c r="D40" s="5"/>
      <c r="E40" s="5"/>
      <c r="F40" s="5"/>
      <c r="G40" s="5"/>
      <c r="H40" s="5"/>
      <c r="I40" s="340">
        <v>1.9868626989257954</v>
      </c>
      <c r="J40" s="5"/>
      <c r="K40" s="340">
        <v>6.9163291890760998</v>
      </c>
    </row>
    <row r="41" spans="3:11" ht="18.75" x14ac:dyDescent="0.4">
      <c r="C41" s="341" t="s">
        <v>545</v>
      </c>
      <c r="D41" s="5"/>
      <c r="E41" s="5"/>
      <c r="F41" s="5"/>
      <c r="G41" s="5"/>
      <c r="H41" s="5"/>
      <c r="I41" s="340">
        <v>1.5376828686011232</v>
      </c>
      <c r="J41" s="5"/>
      <c r="K41" s="340">
        <v>7.292899830864414</v>
      </c>
    </row>
    <row r="42" spans="3:11" ht="18.75" x14ac:dyDescent="0.4">
      <c r="C42" s="341" t="s">
        <v>546</v>
      </c>
      <c r="D42" s="5"/>
      <c r="E42" s="5"/>
      <c r="F42" s="5"/>
      <c r="G42" s="5"/>
      <c r="H42" s="5"/>
      <c r="I42" s="340">
        <v>2.2810265954266424</v>
      </c>
      <c r="J42" s="5"/>
      <c r="K42" s="340">
        <v>7.9159311296129706</v>
      </c>
    </row>
    <row r="43" spans="3:11" ht="18.75" x14ac:dyDescent="0.4">
      <c r="C43" s="341" t="s">
        <v>547</v>
      </c>
      <c r="D43" s="5"/>
      <c r="E43" s="5"/>
      <c r="F43" s="5"/>
      <c r="G43" s="5"/>
      <c r="H43" s="5"/>
      <c r="I43" s="340" t="s">
        <v>548</v>
      </c>
      <c r="J43" s="5"/>
      <c r="K43" s="340" t="s">
        <v>548</v>
      </c>
    </row>
    <row r="44" spans="3:11" ht="18.75" x14ac:dyDescent="0.4">
      <c r="C44" s="2545" t="s">
        <v>549</v>
      </c>
      <c r="D44" s="2545"/>
      <c r="E44" s="2545"/>
      <c r="F44" s="2545"/>
      <c r="G44" s="2545"/>
      <c r="H44" s="2545"/>
      <c r="I44" s="340"/>
      <c r="J44" s="5"/>
      <c r="K44" s="340"/>
    </row>
    <row r="45" spans="3:11" ht="18.75" x14ac:dyDescent="0.4">
      <c r="C45" s="341" t="s">
        <v>550</v>
      </c>
      <c r="D45" s="5"/>
      <c r="E45" s="5"/>
      <c r="F45" s="5"/>
      <c r="G45" s="5"/>
      <c r="H45" s="5"/>
      <c r="I45" s="340">
        <v>2.8215373511543453</v>
      </c>
      <c r="J45" s="5"/>
      <c r="K45" s="340">
        <v>9.3166499662334932</v>
      </c>
    </row>
    <row r="46" spans="3:11" ht="18.75" x14ac:dyDescent="0.4">
      <c r="C46" s="341" t="s">
        <v>551</v>
      </c>
      <c r="D46" s="5"/>
      <c r="E46" s="5"/>
      <c r="F46" s="5"/>
      <c r="G46" s="5"/>
      <c r="H46" s="5"/>
      <c r="I46" s="340">
        <v>1.581362575075387</v>
      </c>
      <c r="J46" s="5"/>
      <c r="K46" s="340">
        <v>6.8218389374760235</v>
      </c>
    </row>
    <row r="47" spans="3:11" ht="18.75" x14ac:dyDescent="0.4">
      <c r="C47" s="341" t="s">
        <v>552</v>
      </c>
      <c r="D47" s="5"/>
      <c r="E47" s="5"/>
      <c r="F47" s="5"/>
      <c r="G47" s="5"/>
      <c r="H47" s="5"/>
      <c r="I47" s="340">
        <v>2.045698997348965</v>
      </c>
      <c r="J47" s="5"/>
      <c r="K47" s="340">
        <v>9.1056165013967512</v>
      </c>
    </row>
    <row r="48" spans="3:11" ht="18.75" x14ac:dyDescent="0.4">
      <c r="C48" s="341" t="s">
        <v>553</v>
      </c>
      <c r="D48" s="5"/>
      <c r="E48" s="5"/>
      <c r="F48" s="5"/>
      <c r="G48" s="5"/>
      <c r="H48" s="5"/>
      <c r="I48" s="340">
        <v>0</v>
      </c>
      <c r="J48" s="5"/>
      <c r="K48" s="340">
        <v>2.8935057295111601</v>
      </c>
    </row>
    <row r="49" spans="3:11" ht="18.75" x14ac:dyDescent="0.4">
      <c r="C49" s="2545" t="s">
        <v>554</v>
      </c>
      <c r="D49" s="2545"/>
      <c r="E49" s="2545"/>
      <c r="F49" s="2545"/>
      <c r="G49" s="2545"/>
      <c r="H49" s="2545"/>
      <c r="I49" s="340"/>
      <c r="J49" s="5"/>
      <c r="K49" s="340"/>
    </row>
    <row r="50" spans="3:11" ht="18.75" x14ac:dyDescent="0.4">
      <c r="C50" s="341" t="s">
        <v>555</v>
      </c>
      <c r="D50" s="5"/>
      <c r="E50" s="5"/>
      <c r="F50" s="5"/>
      <c r="G50" s="5"/>
      <c r="H50" s="5"/>
      <c r="I50" s="340">
        <v>1.7455889415352381</v>
      </c>
      <c r="J50" s="5"/>
      <c r="K50" s="340">
        <v>5.5398220631742676</v>
      </c>
    </row>
    <row r="51" spans="3:11" ht="18.75" x14ac:dyDescent="0.4">
      <c r="C51" s="341" t="s">
        <v>556</v>
      </c>
      <c r="D51" s="5"/>
      <c r="E51" s="5"/>
      <c r="F51" s="5"/>
      <c r="G51" s="5"/>
      <c r="H51" s="5"/>
      <c r="I51" s="340">
        <v>1.811206659458749</v>
      </c>
      <c r="J51" s="5"/>
      <c r="K51" s="340">
        <v>7.5613195098430834</v>
      </c>
    </row>
    <row r="52" spans="3:11" ht="18.75" x14ac:dyDescent="0.4">
      <c r="C52" s="341" t="s">
        <v>557</v>
      </c>
      <c r="D52" s="5"/>
      <c r="E52" s="5"/>
      <c r="F52" s="5"/>
      <c r="G52" s="5"/>
      <c r="H52" s="5"/>
      <c r="I52" s="340">
        <v>1.5427828155813639</v>
      </c>
      <c r="J52" s="5"/>
      <c r="K52" s="340">
        <v>8.0505015860524765</v>
      </c>
    </row>
    <row r="53" spans="3:11" ht="18.75" x14ac:dyDescent="0.4">
      <c r="C53" s="2545" t="s">
        <v>558</v>
      </c>
      <c r="D53" s="2545"/>
      <c r="E53" s="2545"/>
      <c r="F53" s="2545"/>
      <c r="G53" s="2545"/>
      <c r="H53" s="2545"/>
      <c r="I53" s="340"/>
      <c r="J53" s="5"/>
      <c r="K53" s="340"/>
    </row>
    <row r="54" spans="3:11" ht="18.75" x14ac:dyDescent="0.4">
      <c r="C54" s="341" t="s">
        <v>559</v>
      </c>
      <c r="D54" s="5"/>
      <c r="E54" s="5"/>
      <c r="F54" s="5"/>
      <c r="G54" s="5"/>
      <c r="H54" s="5"/>
      <c r="I54" s="340">
        <v>2.0994522135022469</v>
      </c>
      <c r="J54" s="5"/>
      <c r="K54" s="340">
        <v>6.3832956491391428</v>
      </c>
    </row>
    <row r="55" spans="3:11" ht="18.75" x14ac:dyDescent="0.4">
      <c r="C55" s="341" t="s">
        <v>560</v>
      </c>
      <c r="D55" s="5"/>
      <c r="E55" s="5"/>
      <c r="F55" s="5"/>
      <c r="G55" s="5"/>
      <c r="H55" s="5"/>
      <c r="I55" s="340">
        <v>1.4922233928842623</v>
      </c>
      <c r="J55" s="5"/>
      <c r="K55" s="340">
        <v>7.4279881690289074</v>
      </c>
    </row>
    <row r="56" spans="3:11" ht="18.75" x14ac:dyDescent="0.4">
      <c r="C56" s="341" t="s">
        <v>561</v>
      </c>
      <c r="D56" s="5"/>
      <c r="E56" s="5"/>
      <c r="F56" s="5"/>
      <c r="G56" s="5"/>
      <c r="H56" s="5"/>
      <c r="I56" s="340">
        <v>2.296676025261926</v>
      </c>
      <c r="J56" s="5"/>
      <c r="K56" s="340">
        <v>7.9958235868243221</v>
      </c>
    </row>
    <row r="57" spans="3:11" ht="18.75" x14ac:dyDescent="0.4">
      <c r="C57" s="341" t="s">
        <v>562</v>
      </c>
      <c r="D57" s="5"/>
      <c r="E57" s="5"/>
      <c r="F57" s="5"/>
      <c r="G57" s="5"/>
      <c r="H57" s="5"/>
      <c r="I57" s="340">
        <v>1.2563205944271516</v>
      </c>
      <c r="J57" s="5"/>
      <c r="K57" s="340">
        <v>7.5638295382030281</v>
      </c>
    </row>
    <row r="58" spans="3:11" ht="18.75" x14ac:dyDescent="0.4">
      <c r="C58" s="341" t="s">
        <v>563</v>
      </c>
      <c r="D58" s="5"/>
      <c r="E58" s="5"/>
      <c r="F58" s="5"/>
      <c r="G58" s="5"/>
      <c r="H58" s="5"/>
      <c r="I58" s="340">
        <v>1.6672659446541898</v>
      </c>
      <c r="J58" s="5"/>
      <c r="K58" s="340">
        <v>8.4609929580249439</v>
      </c>
    </row>
    <row r="59" spans="3:11" ht="18.75" x14ac:dyDescent="0.4">
      <c r="C59" s="153"/>
      <c r="D59" s="153"/>
      <c r="E59" s="153"/>
      <c r="F59" s="153"/>
      <c r="G59" s="153"/>
      <c r="H59" s="153"/>
      <c r="I59" s="153"/>
      <c r="J59" s="153"/>
      <c r="K59" s="153"/>
    </row>
    <row r="60" spans="3:11" ht="18.75" x14ac:dyDescent="0.4">
      <c r="C60" s="5" t="s">
        <v>564</v>
      </c>
      <c r="D60" s="5"/>
      <c r="E60" s="5"/>
      <c r="F60" s="5"/>
      <c r="G60" s="5"/>
      <c r="H60" s="5"/>
      <c r="I60" s="5"/>
      <c r="J60" s="5"/>
      <c r="K60" s="5"/>
    </row>
  </sheetData>
  <mergeCells count="20">
    <mergeCell ref="C16:H16"/>
    <mergeCell ref="C1:E1"/>
    <mergeCell ref="A3:B3"/>
    <mergeCell ref="C3:T3"/>
    <mergeCell ref="A4:B4"/>
    <mergeCell ref="C4:T4"/>
    <mergeCell ref="A5:B5"/>
    <mergeCell ref="C5:T5"/>
    <mergeCell ref="A6:B6"/>
    <mergeCell ref="C6:T6"/>
    <mergeCell ref="C13:E14"/>
    <mergeCell ref="I13:J13"/>
    <mergeCell ref="I14:J14"/>
    <mergeCell ref="C53:H53"/>
    <mergeCell ref="C19:H19"/>
    <mergeCell ref="C22:H22"/>
    <mergeCell ref="C30:H30"/>
    <mergeCell ref="C38:H38"/>
    <mergeCell ref="C44:H44"/>
    <mergeCell ref="C49:H49"/>
  </mergeCells>
  <hyperlinks>
    <hyperlink ref="A1" location="'ODS 2.'!A1" display="REGRESAR" xr:uid="{4C156675-F461-4D37-82F2-E83D2A95E2BA}"/>
    <hyperlink ref="C1" location="'Metadato 2.2.2'!A1" display="VER METADATO" xr:uid="{472BFDA7-E194-4498-8A06-490C37543E49}"/>
  </hyperlinks>
  <pageMargins left="0.7" right="0.7" top="0.75" bottom="0.75" header="0.3" footer="0.3"/>
  <pageSetup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F549-3F2A-4E42-8B15-F30C206DFB9C}">
  <sheetPr>
    <tabColor theme="5"/>
  </sheetPr>
  <dimension ref="A1:O32"/>
  <sheetViews>
    <sheetView showGridLines="0" workbookViewId="0">
      <pane ySplit="1" topLeftCell="A2" activePane="bottomLeft" state="frozen"/>
      <selection sqref="A1:B1"/>
      <selection pane="bottomLeft" sqref="A1:B1"/>
    </sheetView>
  </sheetViews>
  <sheetFormatPr baseColWidth="10" defaultColWidth="11.42578125" defaultRowHeight="12.75" x14ac:dyDescent="0.25"/>
  <cols>
    <col min="1" max="2" width="15.28515625" style="270" customWidth="1"/>
    <col min="3" max="3" width="12.7109375" style="1052" customWidth="1"/>
    <col min="4" max="6" width="12.7109375" style="270" customWidth="1"/>
    <col min="7" max="16384" width="11.42578125" style="270"/>
  </cols>
  <sheetData>
    <row r="1" spans="1:15" ht="18.75" x14ac:dyDescent="0.4">
      <c r="A1" s="90" t="s">
        <v>39</v>
      </c>
      <c r="B1" s="1787"/>
      <c r="C1" s="2541" t="s">
        <v>149</v>
      </c>
      <c r="D1" s="2541"/>
    </row>
    <row r="3" spans="1:15" ht="16.5" customHeight="1" x14ac:dyDescent="0.25">
      <c r="A3" s="3315" t="s">
        <v>41</v>
      </c>
      <c r="B3" s="3315"/>
      <c r="C3" s="3315" t="s">
        <v>6140</v>
      </c>
      <c r="D3" s="3315"/>
      <c r="E3" s="3315"/>
      <c r="F3" s="3315"/>
      <c r="G3" s="3315"/>
      <c r="H3" s="3315"/>
      <c r="I3" s="3315"/>
      <c r="J3" s="3315"/>
      <c r="K3" s="3315"/>
      <c r="L3" s="3315"/>
      <c r="M3" s="3315"/>
      <c r="N3" s="3315"/>
      <c r="O3" s="3315"/>
    </row>
    <row r="4" spans="1:15" ht="36.6" customHeight="1" x14ac:dyDescent="0.25">
      <c r="A4" s="3315" t="s">
        <v>42</v>
      </c>
      <c r="B4" s="3316"/>
      <c r="C4" s="3312" t="s">
        <v>6149</v>
      </c>
      <c r="D4" s="3313"/>
      <c r="E4" s="3313"/>
      <c r="F4" s="3313"/>
      <c r="G4" s="3313"/>
      <c r="H4" s="3313"/>
      <c r="I4" s="3313"/>
      <c r="J4" s="3313"/>
      <c r="K4" s="3313"/>
      <c r="L4" s="3313"/>
      <c r="M4" s="3313"/>
      <c r="N4" s="3313"/>
      <c r="O4" s="3318"/>
    </row>
    <row r="5" spans="1:15" ht="16.899999999999999" customHeight="1" x14ac:dyDescent="0.25">
      <c r="A5" s="3315" t="s">
        <v>43</v>
      </c>
      <c r="B5" s="3316"/>
      <c r="C5" s="3315" t="s">
        <v>6151</v>
      </c>
      <c r="D5" s="3316"/>
      <c r="E5" s="3316"/>
      <c r="F5" s="3316"/>
      <c r="G5" s="3316"/>
      <c r="H5" s="3316"/>
      <c r="I5" s="3316"/>
      <c r="J5" s="3316"/>
      <c r="K5" s="3316"/>
      <c r="L5" s="3316"/>
      <c r="M5" s="3316"/>
      <c r="N5" s="3316"/>
      <c r="O5" s="3316"/>
    </row>
    <row r="6" spans="1:15" ht="15" customHeight="1" x14ac:dyDescent="0.25">
      <c r="A6" s="3315" t="s">
        <v>132</v>
      </c>
      <c r="B6" s="3316"/>
      <c r="C6" s="3315" t="s">
        <v>242</v>
      </c>
      <c r="D6" s="3316"/>
      <c r="E6" s="3316"/>
      <c r="F6" s="3316"/>
      <c r="G6" s="3316"/>
      <c r="H6" s="3316"/>
      <c r="I6" s="3316"/>
      <c r="J6" s="3316"/>
      <c r="K6" s="3316"/>
      <c r="L6" s="3316"/>
      <c r="M6" s="3316"/>
      <c r="N6" s="3316"/>
      <c r="O6" s="3316"/>
    </row>
    <row r="7" spans="1:15" x14ac:dyDescent="0.25">
      <c r="A7" s="1781"/>
    </row>
    <row r="8" spans="1:15" x14ac:dyDescent="0.25">
      <c r="A8" s="1781"/>
    </row>
    <row r="9" spans="1:15" ht="11.25" customHeight="1" x14ac:dyDescent="0.25">
      <c r="A9" s="1781"/>
      <c r="C9" s="2506" t="s">
        <v>243</v>
      </c>
      <c r="D9" s="2506"/>
      <c r="E9" s="2506"/>
      <c r="F9" s="2506"/>
      <c r="G9" s="2506"/>
      <c r="H9" s="2506"/>
      <c r="I9" s="2506"/>
      <c r="J9" s="2506"/>
      <c r="K9" s="2506"/>
      <c r="L9" s="2506"/>
      <c r="M9" s="2506"/>
      <c r="N9" s="2506"/>
      <c r="O9" s="2506"/>
    </row>
    <row r="10" spans="1:15" ht="11.25" customHeight="1" x14ac:dyDescent="0.25">
      <c r="A10" s="1781"/>
      <c r="C10" s="2506"/>
      <c r="D10" s="2506"/>
      <c r="E10" s="2506"/>
      <c r="F10" s="2506"/>
      <c r="G10" s="2506"/>
      <c r="H10" s="2506"/>
      <c r="I10" s="2506"/>
      <c r="J10" s="2506"/>
      <c r="K10" s="2506"/>
      <c r="L10" s="2506"/>
      <c r="M10" s="2506"/>
      <c r="N10" s="2506"/>
      <c r="O10" s="2506"/>
    </row>
    <row r="11" spans="1:15" x14ac:dyDescent="0.25">
      <c r="A11" s="1782"/>
    </row>
    <row r="12" spans="1:15" x14ac:dyDescent="0.25">
      <c r="A12" s="1781"/>
    </row>
    <row r="13" spans="1:15" x14ac:dyDescent="0.25">
      <c r="A13" s="1781"/>
    </row>
    <row r="14" spans="1:15" x14ac:dyDescent="0.25">
      <c r="A14" s="1781"/>
    </row>
    <row r="15" spans="1:15" x14ac:dyDescent="0.25">
      <c r="A15" s="1782"/>
    </row>
    <row r="16" spans="1:15" x14ac:dyDescent="0.25">
      <c r="A16" s="1781"/>
    </row>
    <row r="17" spans="1:1" x14ac:dyDescent="0.25">
      <c r="A17" s="1781"/>
    </row>
    <row r="18" spans="1:1" x14ac:dyDescent="0.25">
      <c r="A18" s="1781"/>
    </row>
    <row r="19" spans="1:1" x14ac:dyDescent="0.25">
      <c r="A19" s="1782"/>
    </row>
    <row r="20" spans="1:1" x14ac:dyDescent="0.25">
      <c r="A20" s="1781"/>
    </row>
    <row r="21" spans="1:1" x14ac:dyDescent="0.25">
      <c r="A21" s="1781"/>
    </row>
    <row r="22" spans="1:1" x14ac:dyDescent="0.25">
      <c r="A22" s="1781"/>
    </row>
    <row r="23" spans="1:1" x14ac:dyDescent="0.25">
      <c r="A23" s="1782"/>
    </row>
    <row r="24" spans="1:1" x14ac:dyDescent="0.25">
      <c r="A24" s="1781"/>
    </row>
    <row r="25" spans="1:1" x14ac:dyDescent="0.25">
      <c r="A25" s="1781"/>
    </row>
    <row r="26" spans="1:1" x14ac:dyDescent="0.25">
      <c r="A26" s="1781"/>
    </row>
    <row r="27" spans="1:1" x14ac:dyDescent="0.25">
      <c r="A27" s="1782"/>
    </row>
    <row r="28" spans="1:1" x14ac:dyDescent="0.25">
      <c r="A28" s="1781"/>
    </row>
    <row r="29" spans="1:1" x14ac:dyDescent="0.25">
      <c r="A29" s="1781"/>
    </row>
    <row r="30" spans="1:1" x14ac:dyDescent="0.25">
      <c r="A30" s="1781"/>
    </row>
    <row r="31" spans="1:1" x14ac:dyDescent="0.25">
      <c r="A31" s="1782"/>
    </row>
    <row r="32" spans="1:1" x14ac:dyDescent="0.25">
      <c r="A32" s="1781"/>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4FDC7806-B0BA-45A5-8F8E-0B6F1268D69F}"/>
    <hyperlink ref="C1:D1" location="'Metadato 12.3.1'!A1" display="VER METADATO" xr:uid="{FA75888B-F279-45A2-AA85-8AA27FB76AC2}"/>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78FE-CE0A-41F4-A9E7-19209FDE9E7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5"/>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1788" t="s">
        <v>39</v>
      </c>
    </row>
    <row r="2" spans="1:6" ht="19.5" thickBot="1" x14ac:dyDescent="0.45"/>
    <row r="3" spans="1:6" ht="23.25" customHeight="1" thickBot="1" x14ac:dyDescent="0.45">
      <c r="B3" s="3321" t="s">
        <v>75</v>
      </c>
      <c r="C3" s="3321"/>
      <c r="D3" s="3321"/>
      <c r="F3" s="91" t="s">
        <v>76</v>
      </c>
    </row>
    <row r="4" spans="1:6" x14ac:dyDescent="0.4">
      <c r="A4" s="92"/>
      <c r="B4" s="2424" t="s">
        <v>234</v>
      </c>
      <c r="C4" s="2424"/>
      <c r="D4" s="402" t="s">
        <v>6179</v>
      </c>
    </row>
    <row r="5" spans="1:6" ht="56.25" x14ac:dyDescent="0.4">
      <c r="B5" s="2424" t="s">
        <v>79</v>
      </c>
      <c r="C5" s="2424"/>
      <c r="D5" s="402" t="s">
        <v>6149</v>
      </c>
    </row>
    <row r="6" spans="1:6" ht="15.75" customHeight="1" x14ac:dyDescent="0.4">
      <c r="B6" s="2424" t="s">
        <v>80</v>
      </c>
      <c r="C6" s="2424"/>
      <c r="D6" s="59" t="s">
        <v>6150</v>
      </c>
    </row>
    <row r="7" spans="1:6" ht="15" customHeight="1" x14ac:dyDescent="0.4">
      <c r="B7" s="2434" t="s">
        <v>81</v>
      </c>
      <c r="C7" s="2434"/>
      <c r="D7" s="1789" t="s">
        <v>6151</v>
      </c>
    </row>
    <row r="8" spans="1:6" ht="15" customHeight="1" x14ac:dyDescent="0.4">
      <c r="B8" s="2434" t="s">
        <v>82</v>
      </c>
      <c r="C8" s="2434"/>
      <c r="D8" s="1790" t="s">
        <v>353</v>
      </c>
    </row>
    <row r="10" spans="1:6" ht="23.25" customHeight="1" x14ac:dyDescent="0.4">
      <c r="B10" s="3321" t="s">
        <v>85</v>
      </c>
      <c r="C10" s="3321"/>
      <c r="D10" s="3321"/>
    </row>
    <row r="11" spans="1:6" x14ac:dyDescent="0.4">
      <c r="B11" s="2422" t="s">
        <v>86</v>
      </c>
      <c r="C11" s="2423"/>
      <c r="D11" s="402"/>
    </row>
    <row r="12" spans="1:6" ht="15" customHeight="1" x14ac:dyDescent="0.4">
      <c r="B12" s="2434" t="s">
        <v>88</v>
      </c>
      <c r="C12" s="2434"/>
      <c r="D12" s="169"/>
    </row>
    <row r="13" spans="1:6" x14ac:dyDescent="0.4">
      <c r="B13" s="2424" t="s">
        <v>90</v>
      </c>
      <c r="C13" s="2424"/>
      <c r="D13" s="698"/>
    </row>
    <row r="14" spans="1:6" x14ac:dyDescent="0.4">
      <c r="B14" s="2424" t="s">
        <v>91</v>
      </c>
      <c r="C14" s="2423"/>
      <c r="D14" s="698"/>
    </row>
    <row r="15" spans="1:6" x14ac:dyDescent="0.4">
      <c r="B15" s="2424" t="s">
        <v>93</v>
      </c>
      <c r="C15" s="2424"/>
      <c r="D15" s="402"/>
    </row>
    <row r="16" spans="1:6" x14ac:dyDescent="0.4">
      <c r="B16" s="2424" t="s">
        <v>95</v>
      </c>
      <c r="C16" s="2424"/>
      <c r="D16" s="402"/>
    </row>
    <row r="17" spans="2:4" x14ac:dyDescent="0.4">
      <c r="B17" s="2424" t="s">
        <v>97</v>
      </c>
      <c r="C17" s="2424"/>
      <c r="D17" s="56"/>
    </row>
    <row r="18" spans="2:4" x14ac:dyDescent="0.4">
      <c r="B18" s="2434" t="s">
        <v>99</v>
      </c>
      <c r="C18" s="2434"/>
      <c r="D18" s="402"/>
    </row>
    <row r="19" spans="2:4" ht="15" customHeight="1" x14ac:dyDescent="0.4">
      <c r="B19" s="3324" t="s">
        <v>100</v>
      </c>
      <c r="C19" s="3325"/>
      <c r="D19" s="56"/>
    </row>
    <row r="20" spans="2:4" x14ac:dyDescent="0.4">
      <c r="B20" s="2424" t="s">
        <v>102</v>
      </c>
      <c r="C20" s="2424"/>
      <c r="D20" s="402"/>
    </row>
    <row r="21" spans="2:4" x14ac:dyDescent="0.4">
      <c r="B21" s="3322" t="s">
        <v>104</v>
      </c>
      <c r="C21" s="1791" t="s">
        <v>105</v>
      </c>
      <c r="D21" s="402"/>
    </row>
    <row r="22" spans="2:4" x14ac:dyDescent="0.4">
      <c r="B22" s="3323"/>
      <c r="C22" s="1792" t="s">
        <v>107</v>
      </c>
      <c r="D22" s="56"/>
    </row>
    <row r="23" spans="2:4" x14ac:dyDescent="0.4">
      <c r="B23" s="2424" t="s">
        <v>109</v>
      </c>
      <c r="C23" s="2424"/>
      <c r="D23" s="402"/>
    </row>
    <row r="24" spans="2:4" x14ac:dyDescent="0.4">
      <c r="B24" s="2424" t="s">
        <v>111</v>
      </c>
      <c r="C24" s="2424"/>
      <c r="D24" s="205" t="s">
        <v>127</v>
      </c>
    </row>
    <row r="25" spans="2:4" x14ac:dyDescent="0.4">
      <c r="B25" s="2424" t="s">
        <v>113</v>
      </c>
      <c r="C25" s="2424"/>
      <c r="D25" s="56"/>
    </row>
    <row r="26" spans="2:4" ht="15" customHeight="1" x14ac:dyDescent="0.4">
      <c r="B26" s="2434" t="s">
        <v>115</v>
      </c>
      <c r="C26" s="2434"/>
      <c r="D26" s="205" t="s">
        <v>6185</v>
      </c>
    </row>
    <row r="27" spans="2:4" x14ac:dyDescent="0.4">
      <c r="B27" s="2422" t="s">
        <v>117</v>
      </c>
      <c r="C27" s="2423"/>
      <c r="D27" s="402"/>
    </row>
    <row r="28" spans="2:4" x14ac:dyDescent="0.4">
      <c r="B28" s="1793" t="s">
        <v>118</v>
      </c>
      <c r="C28" s="1794"/>
      <c r="D28" s="402"/>
    </row>
    <row r="29" spans="2:4" x14ac:dyDescent="0.4">
      <c r="B29" s="3319" t="s">
        <v>120</v>
      </c>
      <c r="C29" s="3320"/>
      <c r="D29" s="1795"/>
    </row>
    <row r="30" spans="2:4" x14ac:dyDescent="0.4">
      <c r="B30" s="1796"/>
      <c r="C30" s="1796"/>
      <c r="D30" s="1797"/>
    </row>
    <row r="31" spans="2:4" ht="23.25" customHeight="1" x14ac:dyDescent="0.4">
      <c r="B31" s="3321" t="s">
        <v>121</v>
      </c>
      <c r="C31" s="3321"/>
      <c r="D31" s="3321"/>
    </row>
    <row r="32" spans="2:4" x14ac:dyDescent="0.4">
      <c r="B32" s="2422" t="s">
        <v>122</v>
      </c>
      <c r="C32" s="2423"/>
      <c r="D32" s="205" t="s">
        <v>6186</v>
      </c>
    </row>
    <row r="33" spans="2:4" x14ac:dyDescent="0.4">
      <c r="B33" s="2422" t="s">
        <v>124</v>
      </c>
      <c r="C33" s="2423"/>
      <c r="D33" s="205" t="s">
        <v>6185</v>
      </c>
    </row>
    <row r="34" spans="2:4" x14ac:dyDescent="0.4">
      <c r="B34" s="2422" t="s">
        <v>126</v>
      </c>
      <c r="C34" s="2423"/>
      <c r="D34" s="205" t="s">
        <v>127</v>
      </c>
    </row>
    <row r="35" spans="2:4" x14ac:dyDescent="0.4">
      <c r="B35" s="2422" t="s">
        <v>128</v>
      </c>
      <c r="C35" s="2423"/>
      <c r="D35" s="205" t="s">
        <v>6187</v>
      </c>
    </row>
    <row r="36" spans="2:4" x14ac:dyDescent="0.4">
      <c r="B36" s="2422" t="s">
        <v>130</v>
      </c>
      <c r="C36" s="2423"/>
      <c r="D36" s="1798" t="s">
        <v>6188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F1FF5A3-9DC3-40A8-9120-EB48D9C6DA19}"/>
    <dataValidation type="list" allowBlank="1" showInputMessage="1" showErrorMessage="1" sqref="D4" xr:uid="{AB3338DE-A41F-4494-9E85-719335DE1AF9}">
      <formula1>ODS</formula1>
    </dataValidation>
    <dataValidation type="list" allowBlank="1" showInputMessage="1" showErrorMessage="1" sqref="D5" xr:uid="{F6ED8908-CB30-4159-813B-7E560A525A57}">
      <formula1>Metas_ODS</formula1>
    </dataValidation>
    <dataValidation type="list" allowBlank="1" showInputMessage="1" showErrorMessage="1" sqref="D6" xr:uid="{B6F5A19B-0296-4BC7-8FF5-A03A552BB708}">
      <formula1>Numero_indicador</formula1>
    </dataValidation>
    <dataValidation type="list" allowBlank="1" showInputMessage="1" showErrorMessage="1" sqref="D7" xr:uid="{96C87E81-0F5F-4F23-AA60-7B9E7CA63699}">
      <formula1>Nombre_indicador_ODS</formula1>
    </dataValidation>
    <dataValidation type="list" allowBlank="1" showInputMessage="1" showErrorMessage="1" sqref="D14" xr:uid="{B0F8DF50-F323-4C32-BC12-2B0D9B43011A}">
      <formula1>Tipo_indicador</formula1>
    </dataValidation>
    <dataValidation type="list" allowBlank="1" showInputMessage="1" showErrorMessage="1" sqref="D25" xr:uid="{D5CE0F92-BF9E-4D8D-97C0-764F74BD18B8}">
      <formula1>Tipo_operación</formula1>
    </dataValidation>
  </dataValidations>
  <hyperlinks>
    <hyperlink ref="B1" location="'12.3.1'!A1" display="REGRESAR" xr:uid="{0CE0B0B5-BA9D-434C-9588-5268C07CA1AF}"/>
    <hyperlink ref="D36" r:id="rId1" xr:uid="{5AB85E76-92B4-4DC4-B12C-3D53E09E60CD}"/>
    <hyperlink ref="D8" r:id="rId2" xr:uid="{3834B65A-7C1C-4401-A2EB-AB32D9DA099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A924-D0E0-4799-A00F-C47E3761A94C}">
  <sheetPr>
    <tabColor rgb="FF7030A0"/>
  </sheetPr>
  <dimension ref="A1:O23"/>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2" width="15" style="16" customWidth="1"/>
    <col min="3" max="3" width="12" style="218" customWidth="1"/>
    <col min="4" max="5" width="12" style="16" customWidth="1"/>
    <col min="6" max="16384" width="11.42578125" style="16"/>
  </cols>
  <sheetData>
    <row r="1" spans="1:15" x14ac:dyDescent="0.4">
      <c r="A1" s="1788" t="s">
        <v>39</v>
      </c>
      <c r="B1" s="1799"/>
      <c r="C1" s="3331" t="s">
        <v>149</v>
      </c>
      <c r="D1" s="3331"/>
    </row>
    <row r="3" spans="1:15" x14ac:dyDescent="0.4">
      <c r="A3" s="3326" t="s">
        <v>41</v>
      </c>
      <c r="B3" s="3326"/>
      <c r="C3" s="3326" t="s">
        <v>6140</v>
      </c>
      <c r="D3" s="3326"/>
      <c r="E3" s="3326"/>
      <c r="F3" s="3326"/>
      <c r="G3" s="3326"/>
      <c r="H3" s="3326"/>
      <c r="I3" s="3326"/>
      <c r="J3" s="3326"/>
      <c r="K3" s="3326"/>
      <c r="L3" s="3326"/>
      <c r="M3" s="3326"/>
      <c r="N3" s="3326"/>
      <c r="O3" s="3326"/>
    </row>
    <row r="4" spans="1:15" ht="38.450000000000003" customHeight="1" x14ac:dyDescent="0.4">
      <c r="A4" s="3326" t="s">
        <v>42</v>
      </c>
      <c r="B4" s="3327"/>
      <c r="C4" s="3329" t="s">
        <v>6152</v>
      </c>
      <c r="D4" s="3330"/>
      <c r="E4" s="3330"/>
      <c r="F4" s="3330"/>
      <c r="G4" s="3330"/>
      <c r="H4" s="3330"/>
      <c r="I4" s="3330"/>
      <c r="J4" s="3330"/>
      <c r="K4" s="3330"/>
      <c r="L4" s="3330"/>
      <c r="M4" s="3330"/>
      <c r="N4" s="3330"/>
      <c r="O4" s="3330"/>
    </row>
    <row r="5" spans="1:15" ht="36" customHeight="1" x14ac:dyDescent="0.4">
      <c r="A5" s="3326" t="s">
        <v>43</v>
      </c>
      <c r="B5" s="3327"/>
      <c r="C5" s="3329" t="s">
        <v>6154</v>
      </c>
      <c r="D5" s="3330"/>
      <c r="E5" s="3330"/>
      <c r="F5" s="3330"/>
      <c r="G5" s="3330"/>
      <c r="H5" s="3330"/>
      <c r="I5" s="3330"/>
      <c r="J5" s="3330"/>
      <c r="K5" s="3330"/>
      <c r="L5" s="3330"/>
      <c r="M5" s="3330"/>
      <c r="N5" s="3330"/>
      <c r="O5" s="3330"/>
    </row>
    <row r="6" spans="1:15" ht="15" customHeight="1" x14ac:dyDescent="0.4">
      <c r="A6" s="3326" t="s">
        <v>132</v>
      </c>
      <c r="B6" s="3327"/>
      <c r="C6" s="3326" t="s">
        <v>242</v>
      </c>
      <c r="D6" s="3327"/>
      <c r="E6" s="3327"/>
      <c r="F6" s="3327"/>
      <c r="G6" s="3327"/>
      <c r="H6" s="3327"/>
      <c r="I6" s="3327"/>
      <c r="J6" s="3327"/>
      <c r="K6" s="3327"/>
      <c r="L6" s="3327"/>
      <c r="M6" s="3327"/>
      <c r="N6" s="3327"/>
      <c r="O6" s="3327"/>
    </row>
    <row r="7" spans="1:15" x14ac:dyDescent="0.4">
      <c r="A7" s="217"/>
    </row>
    <row r="8" spans="1:15" x14ac:dyDescent="0.4">
      <c r="A8" s="217"/>
    </row>
    <row r="9" spans="1:15" ht="11.25" customHeight="1" x14ac:dyDescent="0.4">
      <c r="A9" s="217"/>
      <c r="C9" s="3328" t="s">
        <v>650</v>
      </c>
      <c r="D9" s="3328"/>
      <c r="E9" s="3328"/>
      <c r="F9" s="3328"/>
      <c r="G9" s="3328"/>
      <c r="H9" s="3328"/>
      <c r="I9" s="3328"/>
      <c r="J9" s="3328"/>
      <c r="K9" s="3328"/>
      <c r="L9" s="3328"/>
      <c r="M9" s="3328"/>
      <c r="N9" s="3328"/>
      <c r="O9" s="3328"/>
    </row>
    <row r="10" spans="1:15" ht="11.25" customHeight="1" x14ac:dyDescent="0.4">
      <c r="A10" s="217"/>
      <c r="C10" s="3328"/>
      <c r="D10" s="3328"/>
      <c r="E10" s="3328"/>
      <c r="F10" s="3328"/>
      <c r="G10" s="3328"/>
      <c r="H10" s="3328"/>
      <c r="I10" s="3328"/>
      <c r="J10" s="3328"/>
      <c r="K10" s="3328"/>
      <c r="L10" s="3328"/>
      <c r="M10" s="3328"/>
      <c r="N10" s="3328"/>
      <c r="O10" s="3328"/>
    </row>
    <row r="11" spans="1:15" x14ac:dyDescent="0.4">
      <c r="A11" s="217"/>
    </row>
    <row r="12" spans="1:15" x14ac:dyDescent="0.4">
      <c r="A12" s="217"/>
      <c r="C12" s="3070" t="s">
        <v>6189</v>
      </c>
      <c r="D12" s="3070"/>
      <c r="E12" s="3070"/>
      <c r="F12" s="3070"/>
      <c r="G12" s="3070"/>
      <c r="H12" s="3070"/>
      <c r="I12" s="3070"/>
      <c r="J12" s="3070"/>
      <c r="K12" s="3070"/>
      <c r="L12" s="3070"/>
      <c r="M12" s="3070"/>
    </row>
    <row r="13" spans="1:15" x14ac:dyDescent="0.4">
      <c r="A13" s="217"/>
      <c r="C13" s="3070"/>
      <c r="D13" s="3070"/>
      <c r="E13" s="3070"/>
      <c r="F13" s="3070"/>
      <c r="G13" s="3070"/>
      <c r="H13" s="3070"/>
      <c r="I13" s="3070"/>
      <c r="J13" s="3070"/>
      <c r="K13" s="3070"/>
      <c r="L13" s="3070"/>
      <c r="M13" s="3070"/>
    </row>
    <row r="14" spans="1:15" x14ac:dyDescent="0.4">
      <c r="A14" s="217"/>
      <c r="C14" s="3070"/>
      <c r="D14" s="3070"/>
      <c r="E14" s="3070"/>
      <c r="F14" s="3070"/>
      <c r="G14" s="3070"/>
      <c r="H14" s="3070"/>
      <c r="I14" s="3070"/>
      <c r="J14" s="3070"/>
      <c r="K14" s="3070"/>
      <c r="L14" s="3070"/>
      <c r="M14" s="3070"/>
    </row>
    <row r="15" spans="1:15" x14ac:dyDescent="0.4">
      <c r="A15" s="217"/>
      <c r="C15" s="3070"/>
      <c r="D15" s="3070"/>
      <c r="E15" s="3070"/>
      <c r="F15" s="3070"/>
      <c r="G15" s="3070"/>
      <c r="H15" s="3070"/>
      <c r="I15" s="3070"/>
      <c r="J15" s="3070"/>
      <c r="K15" s="3070"/>
      <c r="L15" s="3070"/>
      <c r="M15" s="3070"/>
    </row>
    <row r="16" spans="1:15" x14ac:dyDescent="0.4">
      <c r="A16" s="217"/>
      <c r="C16" s="3070"/>
      <c r="D16" s="3070"/>
      <c r="E16" s="3070"/>
      <c r="F16" s="3070"/>
      <c r="G16" s="3070"/>
      <c r="H16" s="3070"/>
      <c r="I16" s="3070"/>
      <c r="J16" s="3070"/>
      <c r="K16" s="3070"/>
      <c r="L16" s="3070"/>
      <c r="M16" s="3070"/>
    </row>
    <row r="17" spans="1:15" x14ac:dyDescent="0.4">
      <c r="A17" s="217"/>
    </row>
    <row r="18" spans="1:15" x14ac:dyDescent="0.4">
      <c r="A18" s="221"/>
      <c r="B18" s="220"/>
      <c r="C18" s="220"/>
      <c r="D18" s="220"/>
      <c r="E18" s="220"/>
      <c r="F18" s="220"/>
      <c r="G18" s="220"/>
      <c r="H18" s="220"/>
      <c r="I18" s="220"/>
      <c r="J18" s="220"/>
      <c r="K18" s="220"/>
      <c r="L18" s="220"/>
      <c r="M18" s="220"/>
      <c r="N18" s="220"/>
      <c r="O18" s="220"/>
    </row>
    <row r="19" spans="1:15" x14ac:dyDescent="0.4">
      <c r="A19" s="221"/>
      <c r="B19" s="220"/>
      <c r="C19" s="220"/>
      <c r="D19" s="220"/>
      <c r="E19" s="220"/>
      <c r="F19" s="220"/>
      <c r="G19" s="220"/>
      <c r="H19" s="220"/>
      <c r="I19" s="220"/>
      <c r="J19" s="220"/>
      <c r="K19" s="220"/>
      <c r="L19" s="220"/>
      <c r="M19" s="220"/>
      <c r="N19" s="220"/>
      <c r="O19" s="220"/>
    </row>
    <row r="20" spans="1:15" x14ac:dyDescent="0.4">
      <c r="A20" s="221"/>
      <c r="B20" s="220"/>
      <c r="C20" s="220"/>
      <c r="D20" s="220"/>
      <c r="E20" s="220"/>
      <c r="F20" s="220"/>
      <c r="G20" s="220"/>
      <c r="H20" s="220"/>
      <c r="I20" s="220"/>
      <c r="J20" s="220"/>
      <c r="K20" s="220"/>
      <c r="L20" s="220"/>
      <c r="M20" s="220"/>
      <c r="N20" s="220"/>
      <c r="O20" s="22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494" t="s">
        <v>652</v>
      </c>
      <c r="B23" s="2494"/>
      <c r="C23" s="2494"/>
      <c r="D23" s="2494"/>
      <c r="E23" s="2494"/>
      <c r="F23" s="2494"/>
      <c r="G23" s="2494"/>
      <c r="H23" s="2494"/>
      <c r="I23" s="2494"/>
      <c r="J23" s="2494"/>
      <c r="K23" s="2494"/>
      <c r="L23" s="2494"/>
      <c r="M23" s="2494"/>
      <c r="N23" s="2494"/>
      <c r="O23" s="2494"/>
    </row>
  </sheetData>
  <mergeCells count="12">
    <mergeCell ref="A5:B5"/>
    <mergeCell ref="C5:O5"/>
    <mergeCell ref="C1:D1"/>
    <mergeCell ref="A3:B3"/>
    <mergeCell ref="C3:O3"/>
    <mergeCell ref="A4:B4"/>
    <mergeCell ref="C4:O4"/>
    <mergeCell ref="A6:B6"/>
    <mergeCell ref="C6:O6"/>
    <mergeCell ref="C9:O10"/>
    <mergeCell ref="C12:M16"/>
    <mergeCell ref="A23:O23"/>
  </mergeCells>
  <hyperlinks>
    <hyperlink ref="A1" location="'ODS 12.'!A1" display="REGRESAR" xr:uid="{1B8BDC2B-71C0-4801-935F-AA5A45DE2DA2}"/>
    <hyperlink ref="C1:D1" location="'Metadato 12.4.1'!A1" display="VER METADATO" xr:uid="{138B0F8D-E187-4F4B-8807-D44F7C19E0F8}"/>
  </hyperlinks>
  <pageMargins left="0.7" right="0.7" top="0.75" bottom="0.75" header="0.3" footer="0.3"/>
  <pageSetup orientation="portrait" r:id="rId1"/>
  <drawing r:id="rId2"/>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35C1-7815-44AD-99A9-D99D206A2D66}">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5"/>
    <col min="2" max="2" width="26.42578125" style="5" customWidth="1"/>
    <col min="3" max="3" width="24" style="5" customWidth="1"/>
    <col min="4" max="4" width="68.42578125" style="5" customWidth="1"/>
    <col min="5" max="5" width="11.42578125" style="5"/>
    <col min="6" max="6" width="7.28515625" style="5" customWidth="1"/>
    <col min="7" max="16384" width="11.42578125" style="5"/>
  </cols>
  <sheetData>
    <row r="1" spans="1:6" x14ac:dyDescent="0.4">
      <c r="B1" s="1788" t="s">
        <v>39</v>
      </c>
    </row>
    <row r="2" spans="1:6" ht="19.5" thickBot="1" x14ac:dyDescent="0.45"/>
    <row r="3" spans="1:6" ht="23.25" customHeight="1" thickBot="1" x14ac:dyDescent="0.45">
      <c r="B3" s="3321" t="s">
        <v>75</v>
      </c>
      <c r="C3" s="3321"/>
      <c r="D3" s="3321"/>
      <c r="F3" s="91" t="s">
        <v>317</v>
      </c>
    </row>
    <row r="4" spans="1:6" x14ac:dyDescent="0.4">
      <c r="A4" s="92"/>
      <c r="B4" s="2424" t="s">
        <v>234</v>
      </c>
      <c r="C4" s="2424"/>
      <c r="D4" s="402" t="s">
        <v>6179</v>
      </c>
    </row>
    <row r="5" spans="1:6" ht="93.75" x14ac:dyDescent="0.4">
      <c r="B5" s="2424" t="s">
        <v>79</v>
      </c>
      <c r="C5" s="2424"/>
      <c r="D5" s="402" t="s">
        <v>6152</v>
      </c>
    </row>
    <row r="6" spans="1:6" x14ac:dyDescent="0.4">
      <c r="B6" s="2424" t="s">
        <v>80</v>
      </c>
      <c r="C6" s="2424"/>
      <c r="D6" s="59" t="s">
        <v>6153</v>
      </c>
    </row>
    <row r="7" spans="1:6" ht="75" x14ac:dyDescent="0.4">
      <c r="B7" s="2434" t="s">
        <v>81</v>
      </c>
      <c r="C7" s="2434"/>
      <c r="D7" s="1789" t="s">
        <v>6154</v>
      </c>
    </row>
    <row r="8" spans="1:6" x14ac:dyDescent="0.4">
      <c r="B8" s="2434" t="s">
        <v>82</v>
      </c>
      <c r="C8" s="2434"/>
      <c r="D8" s="1790" t="s">
        <v>6190</v>
      </c>
    </row>
    <row r="10" spans="1:6" ht="23.25" customHeight="1" x14ac:dyDescent="0.4">
      <c r="B10" s="3321" t="s">
        <v>85</v>
      </c>
      <c r="C10" s="3321"/>
      <c r="D10" s="3321"/>
    </row>
    <row r="11" spans="1:6" x14ac:dyDescent="0.4">
      <c r="B11" s="2422" t="s">
        <v>86</v>
      </c>
      <c r="C11" s="2423"/>
      <c r="D11" s="402"/>
    </row>
    <row r="12" spans="1:6" x14ac:dyDescent="0.4">
      <c r="B12" s="2434" t="s">
        <v>88</v>
      </c>
      <c r="C12" s="2434"/>
      <c r="D12" s="169"/>
    </row>
    <row r="13" spans="1:6" x14ac:dyDescent="0.4">
      <c r="B13" s="2424" t="s">
        <v>90</v>
      </c>
      <c r="C13" s="2424"/>
      <c r="D13" s="698"/>
    </row>
    <row r="14" spans="1:6" x14ac:dyDescent="0.4">
      <c r="B14" s="2424" t="s">
        <v>91</v>
      </c>
      <c r="C14" s="2423"/>
      <c r="D14" s="698"/>
    </row>
    <row r="15" spans="1:6" x14ac:dyDescent="0.4">
      <c r="B15" s="2424" t="s">
        <v>93</v>
      </c>
      <c r="C15" s="2424"/>
      <c r="D15" s="402"/>
    </row>
    <row r="16" spans="1:6" x14ac:dyDescent="0.4">
      <c r="B16" s="2424" t="s">
        <v>95</v>
      </c>
      <c r="C16" s="2424"/>
      <c r="D16" s="402"/>
    </row>
    <row r="17" spans="2:4" x14ac:dyDescent="0.4">
      <c r="B17" s="2424" t="s">
        <v>97</v>
      </c>
      <c r="C17" s="2424"/>
      <c r="D17" s="56"/>
    </row>
    <row r="18" spans="2:4" x14ac:dyDescent="0.4">
      <c r="B18" s="2434" t="s">
        <v>99</v>
      </c>
      <c r="C18" s="2434"/>
      <c r="D18" s="402"/>
    </row>
    <row r="19" spans="2:4" x14ac:dyDescent="0.4">
      <c r="B19" s="3324" t="s">
        <v>100</v>
      </c>
      <c r="C19" s="3325"/>
      <c r="D19" s="56"/>
    </row>
    <row r="20" spans="2:4" x14ac:dyDescent="0.4">
      <c r="B20" s="2424" t="s">
        <v>102</v>
      </c>
      <c r="C20" s="2424"/>
      <c r="D20" s="402"/>
    </row>
    <row r="21" spans="2:4" x14ac:dyDescent="0.4">
      <c r="B21" s="3322" t="s">
        <v>104</v>
      </c>
      <c r="C21" s="1791" t="s">
        <v>105</v>
      </c>
      <c r="D21" s="402"/>
    </row>
    <row r="22" spans="2:4" x14ac:dyDescent="0.4">
      <c r="B22" s="3323"/>
      <c r="C22" s="1792" t="s">
        <v>107</v>
      </c>
      <c r="D22" s="56"/>
    </row>
    <row r="23" spans="2:4" x14ac:dyDescent="0.4">
      <c r="B23" s="2424" t="s">
        <v>109</v>
      </c>
      <c r="C23" s="2424"/>
      <c r="D23" s="402"/>
    </row>
    <row r="24" spans="2:4" x14ac:dyDescent="0.4">
      <c r="B24" s="2424" t="s">
        <v>111</v>
      </c>
      <c r="C24" s="2424"/>
      <c r="D24" s="205" t="s">
        <v>321</v>
      </c>
    </row>
    <row r="25" spans="2:4" x14ac:dyDescent="0.4">
      <c r="B25" s="2424" t="s">
        <v>113</v>
      </c>
      <c r="C25" s="2424"/>
      <c r="D25" s="56"/>
    </row>
    <row r="26" spans="2:4" x14ac:dyDescent="0.4">
      <c r="B26" s="2434" t="s">
        <v>115</v>
      </c>
      <c r="C26" s="2434"/>
      <c r="D26" s="402"/>
    </row>
    <row r="27" spans="2:4" x14ac:dyDescent="0.4">
      <c r="B27" s="2422" t="s">
        <v>117</v>
      </c>
      <c r="C27" s="2423"/>
      <c r="D27" s="402"/>
    </row>
    <row r="28" spans="2:4" x14ac:dyDescent="0.4">
      <c r="B28" s="1793" t="s">
        <v>118</v>
      </c>
      <c r="C28" s="1794"/>
      <c r="D28" s="402"/>
    </row>
    <row r="29" spans="2:4" x14ac:dyDescent="0.4">
      <c r="B29" s="3319" t="s">
        <v>120</v>
      </c>
      <c r="C29" s="3320"/>
      <c r="D29" s="1795"/>
    </row>
    <row r="30" spans="2:4" x14ac:dyDescent="0.4">
      <c r="B30" s="1796"/>
      <c r="C30" s="1796"/>
      <c r="D30" s="1797"/>
    </row>
    <row r="31" spans="2:4" ht="23.25" customHeight="1" x14ac:dyDescent="0.4">
      <c r="B31" s="3321" t="s">
        <v>121</v>
      </c>
      <c r="C31" s="3321"/>
      <c r="D31" s="3321"/>
    </row>
    <row r="32" spans="2:4" x14ac:dyDescent="0.4">
      <c r="B32" s="2422" t="s">
        <v>122</v>
      </c>
      <c r="C32" s="2423"/>
      <c r="D32" s="56"/>
    </row>
    <row r="33" spans="2:4" x14ac:dyDescent="0.4">
      <c r="B33" s="2422" t="s">
        <v>124</v>
      </c>
      <c r="C33" s="2423"/>
      <c r="D33" s="56"/>
    </row>
    <row r="34" spans="2:4" x14ac:dyDescent="0.4">
      <c r="B34" s="2422" t="s">
        <v>126</v>
      </c>
      <c r="C34" s="2423"/>
      <c r="D34" s="56"/>
    </row>
    <row r="35" spans="2:4" x14ac:dyDescent="0.4">
      <c r="B35" s="2422" t="s">
        <v>128</v>
      </c>
      <c r="C35" s="2423"/>
      <c r="D35" s="1800"/>
    </row>
    <row r="36" spans="2:4" x14ac:dyDescent="0.4">
      <c r="B36" s="2422" t="s">
        <v>130</v>
      </c>
      <c r="C36" s="2423"/>
      <c r="D36" s="5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11919EA-9C9C-467B-AB05-2E3489E2FC03}">
      <formula1>Tipo_operación</formula1>
    </dataValidation>
    <dataValidation type="list" allowBlank="1" showInputMessage="1" showErrorMessage="1" sqref="D14" xr:uid="{5754C2CB-BA01-4245-BD97-E6B1AA1AEEBE}">
      <formula1>Tipo_indicador</formula1>
    </dataValidation>
    <dataValidation type="list" allowBlank="1" showInputMessage="1" showErrorMessage="1" sqref="D7" xr:uid="{60B8ED40-2B66-4B85-A161-768491565EA9}">
      <formula1>Nombre_indicador_ODS</formula1>
    </dataValidation>
    <dataValidation type="list" allowBlank="1" showInputMessage="1" showErrorMessage="1" sqref="D6" xr:uid="{406B3457-B406-4A45-B38D-29A8731EC2ED}">
      <formula1>Numero_indicador</formula1>
    </dataValidation>
    <dataValidation type="list" allowBlank="1" showInputMessage="1" showErrorMessage="1" sqref="D5" xr:uid="{555A9A91-8670-4265-B668-A5E4DE2AACE9}">
      <formula1>Metas_ODS</formula1>
    </dataValidation>
    <dataValidation type="list" allowBlank="1" showInputMessage="1" showErrorMessage="1" sqref="D4" xr:uid="{85CDDC1B-A9C1-4369-A12A-C2F5243F4405}">
      <formula1>ODS</formula1>
    </dataValidation>
    <dataValidation allowBlank="1" showDropDown="1" showInputMessage="1" showErrorMessage="1" sqref="D13" xr:uid="{4B6FF40B-310B-47E2-8785-A2434002192B}"/>
  </dataValidations>
  <hyperlinks>
    <hyperlink ref="B1" location="'12.4.1'!A1" display="REGRESAR" xr:uid="{70D9D78A-8833-4C01-9AF6-B5BEF80EDCC6}"/>
    <hyperlink ref="D8" r:id="rId1" xr:uid="{8256DEBD-422C-433E-AE4A-7E8A5D95302C}"/>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3D31A-6010-4CDD-9866-49A5B0690610}">
  <dimension ref="A1:O201"/>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9.5" x14ac:dyDescent="0.4"/>
  <cols>
    <col min="1" max="2" width="15.5703125" style="16" customWidth="1"/>
    <col min="3" max="3" width="38.7109375" style="218" customWidth="1"/>
    <col min="4" max="4" width="17.5703125" style="16" customWidth="1"/>
    <col min="5" max="7" width="11.7109375" style="16" customWidth="1"/>
    <col min="8" max="16384" width="11.42578125" style="16"/>
  </cols>
  <sheetData>
    <row r="1" spans="1:15" x14ac:dyDescent="0.4">
      <c r="A1" s="1801" t="s">
        <v>39</v>
      </c>
      <c r="B1" s="1802"/>
      <c r="C1" s="1803" t="s">
        <v>149</v>
      </c>
    </row>
    <row r="3" spans="1:15" ht="17.25" customHeight="1" x14ac:dyDescent="0.4">
      <c r="A3" s="3326" t="s">
        <v>41</v>
      </c>
      <c r="B3" s="3326"/>
      <c r="C3" s="3326" t="s">
        <v>6140</v>
      </c>
      <c r="D3" s="3326"/>
      <c r="E3" s="3326"/>
      <c r="F3" s="3326"/>
      <c r="G3" s="3326"/>
      <c r="H3" s="3326"/>
      <c r="I3" s="3326"/>
      <c r="J3" s="3326"/>
      <c r="K3" s="3326"/>
      <c r="L3" s="3326"/>
      <c r="M3" s="3326"/>
      <c r="N3" s="3326"/>
      <c r="O3" s="3326"/>
    </row>
    <row r="4" spans="1:15" ht="36" customHeight="1" x14ac:dyDescent="0.4">
      <c r="A4" s="3326" t="s">
        <v>42</v>
      </c>
      <c r="B4" s="3327"/>
      <c r="C4" s="3329" t="s">
        <v>6152</v>
      </c>
      <c r="D4" s="3330"/>
      <c r="E4" s="3330"/>
      <c r="F4" s="3330"/>
      <c r="G4" s="3330"/>
      <c r="H4" s="3330"/>
      <c r="I4" s="3330"/>
      <c r="J4" s="3330"/>
      <c r="K4" s="3330"/>
      <c r="L4" s="3330"/>
      <c r="M4" s="3330"/>
      <c r="N4" s="3330"/>
      <c r="O4" s="3330"/>
    </row>
    <row r="5" spans="1:15" ht="18" customHeight="1" x14ac:dyDescent="0.4">
      <c r="A5" s="3326" t="s">
        <v>43</v>
      </c>
      <c r="B5" s="3327"/>
      <c r="C5" s="3329" t="s">
        <v>6156</v>
      </c>
      <c r="D5" s="3330"/>
      <c r="E5" s="3330"/>
      <c r="F5" s="3330"/>
      <c r="G5" s="3330"/>
      <c r="H5" s="3330"/>
      <c r="I5" s="3330"/>
      <c r="J5" s="3330"/>
      <c r="K5" s="3330"/>
      <c r="L5" s="3330"/>
      <c r="M5" s="3330"/>
      <c r="N5" s="3330"/>
      <c r="O5" s="3330"/>
    </row>
    <row r="6" spans="1:15" ht="225.6" customHeight="1" x14ac:dyDescent="0.4">
      <c r="A6" s="3326" t="s">
        <v>132</v>
      </c>
      <c r="B6" s="3327"/>
      <c r="C6" s="3332" t="s">
        <v>6191</v>
      </c>
      <c r="D6" s="3333"/>
      <c r="E6" s="3333"/>
      <c r="F6" s="3333"/>
      <c r="G6" s="3333"/>
      <c r="H6" s="3333"/>
      <c r="I6" s="3333"/>
      <c r="J6" s="3333"/>
      <c r="K6" s="3333"/>
      <c r="L6" s="3333"/>
      <c r="M6" s="3333"/>
      <c r="N6" s="3333"/>
      <c r="O6" s="3334"/>
    </row>
    <row r="7" spans="1:15" x14ac:dyDescent="0.4">
      <c r="A7" s="217"/>
    </row>
    <row r="8" spans="1:15" x14ac:dyDescent="0.4">
      <c r="A8" s="217"/>
    </row>
    <row r="9" spans="1:15" x14ac:dyDescent="0.4">
      <c r="C9" s="1804" t="s">
        <v>6192</v>
      </c>
      <c r="D9" s="1804"/>
      <c r="E9" s="218"/>
      <c r="H9" s="236" t="s">
        <v>6193</v>
      </c>
    </row>
    <row r="10" spans="1:15" ht="9" customHeight="1" x14ac:dyDescent="0.4">
      <c r="C10" s="105"/>
      <c r="D10" s="105"/>
    </row>
    <row r="11" spans="1:15" x14ac:dyDescent="0.4">
      <c r="C11" s="1805" t="s">
        <v>247</v>
      </c>
      <c r="D11" s="1806" t="s">
        <v>6194</v>
      </c>
      <c r="E11" s="218"/>
    </row>
    <row r="12" spans="1:15" x14ac:dyDescent="0.4">
      <c r="C12" s="6">
        <v>2016</v>
      </c>
      <c r="D12" s="1807">
        <v>28928955</v>
      </c>
      <c r="E12" s="263"/>
      <c r="F12" s="5"/>
    </row>
    <row r="13" spans="1:15" x14ac:dyDescent="0.4">
      <c r="C13" s="6">
        <v>2017</v>
      </c>
      <c r="D13" s="1807">
        <v>31971645</v>
      </c>
      <c r="E13" s="263"/>
      <c r="F13" s="5"/>
    </row>
    <row r="14" spans="1:15" x14ac:dyDescent="0.4">
      <c r="C14" s="6">
        <v>2018</v>
      </c>
      <c r="D14" s="1807">
        <v>31342355.66</v>
      </c>
      <c r="E14" s="5"/>
      <c r="F14" s="5"/>
    </row>
    <row r="15" spans="1:15" x14ac:dyDescent="0.4">
      <c r="C15" s="6">
        <v>2019</v>
      </c>
      <c r="D15" s="1807">
        <v>31267741.890000001</v>
      </c>
      <c r="E15" s="5"/>
      <c r="F15" s="5"/>
    </row>
    <row r="16" spans="1:15" x14ac:dyDescent="0.4">
      <c r="C16" s="6">
        <v>2020</v>
      </c>
      <c r="D16" s="1807">
        <v>29825114.300000001</v>
      </c>
      <c r="E16" s="5"/>
      <c r="F16" s="5"/>
    </row>
    <row r="17" spans="3:9" x14ac:dyDescent="0.4">
      <c r="C17" s="6">
        <v>2021</v>
      </c>
      <c r="D17" s="1807">
        <v>57281577.960000001</v>
      </c>
      <c r="E17" s="5"/>
      <c r="F17" s="5"/>
    </row>
    <row r="18" spans="3:9" x14ac:dyDescent="0.4">
      <c r="C18" s="6">
        <v>2022</v>
      </c>
      <c r="D18" s="1807">
        <v>33291766.969999999</v>
      </c>
      <c r="E18" s="5"/>
      <c r="F18" s="5"/>
    </row>
    <row r="19" spans="3:9" ht="18.600000000000001" customHeight="1" x14ac:dyDescent="0.4">
      <c r="C19" s="233">
        <v>2023</v>
      </c>
      <c r="D19" s="1808">
        <v>33866423.390000001</v>
      </c>
      <c r="E19" s="5"/>
      <c r="F19" s="5"/>
    </row>
    <row r="20" spans="3:9" x14ac:dyDescent="0.4">
      <c r="C20" s="1809" t="s">
        <v>6195</v>
      </c>
      <c r="D20" s="1807"/>
    </row>
    <row r="21" spans="3:9" x14ac:dyDescent="0.4">
      <c r="H21" s="5" t="s">
        <v>6195</v>
      </c>
    </row>
    <row r="22" spans="3:9" x14ac:dyDescent="0.4">
      <c r="H22" s="5"/>
    </row>
    <row r="23" spans="3:9" x14ac:dyDescent="0.4">
      <c r="C23" s="1810" t="s">
        <v>6196</v>
      </c>
      <c r="D23" s="1811"/>
      <c r="E23" s="1811"/>
      <c r="F23" s="1811"/>
      <c r="G23" s="1811"/>
    </row>
    <row r="24" spans="3:9" ht="7.9" customHeight="1" x14ac:dyDescent="0.4">
      <c r="C24" s="868"/>
      <c r="D24" s="868"/>
      <c r="E24" s="868"/>
      <c r="F24" s="868"/>
      <c r="G24" s="868"/>
      <c r="H24" s="868"/>
    </row>
    <row r="25" spans="3:9" x14ac:dyDescent="0.4">
      <c r="C25" s="1812" t="s">
        <v>327</v>
      </c>
      <c r="D25" s="1812">
        <v>2018</v>
      </c>
      <c r="E25" s="1812">
        <v>2019</v>
      </c>
      <c r="F25" s="1812">
        <v>2020</v>
      </c>
      <c r="G25" s="1812">
        <v>2021</v>
      </c>
      <c r="H25" s="1812">
        <v>2022</v>
      </c>
      <c r="I25" s="1812">
        <v>2023</v>
      </c>
    </row>
    <row r="26" spans="3:9" x14ac:dyDescent="0.4">
      <c r="C26" s="263" t="s">
        <v>329</v>
      </c>
      <c r="D26" s="5">
        <v>149</v>
      </c>
      <c r="E26" s="1813">
        <v>158</v>
      </c>
      <c r="F26" s="1813"/>
      <c r="G26" s="1813">
        <v>153</v>
      </c>
      <c r="H26" s="1813">
        <v>169</v>
      </c>
      <c r="I26" s="1813">
        <v>168</v>
      </c>
    </row>
    <row r="27" spans="3:9" ht="15" customHeight="1" x14ac:dyDescent="0.4">
      <c r="C27" s="263" t="s">
        <v>330</v>
      </c>
      <c r="D27" s="5">
        <v>89</v>
      </c>
      <c r="E27" s="1813">
        <v>76</v>
      </c>
      <c r="F27" s="1813"/>
      <c r="G27" s="1813">
        <v>77</v>
      </c>
      <c r="H27" s="1813">
        <v>85</v>
      </c>
      <c r="I27" s="1813">
        <v>92</v>
      </c>
    </row>
    <row r="28" spans="3:9" ht="18.600000000000001" customHeight="1" x14ac:dyDescent="0.4">
      <c r="C28" s="263" t="s">
        <v>332</v>
      </c>
      <c r="D28" s="5">
        <v>50</v>
      </c>
      <c r="E28" s="1813">
        <v>59</v>
      </c>
      <c r="F28" s="1813"/>
      <c r="G28" s="1813">
        <v>60</v>
      </c>
      <c r="H28" s="1813">
        <v>58</v>
      </c>
      <c r="I28" s="1813">
        <v>59</v>
      </c>
    </row>
    <row r="29" spans="3:9" x14ac:dyDescent="0.4">
      <c r="C29" s="263" t="s">
        <v>331</v>
      </c>
      <c r="D29" s="5">
        <v>101</v>
      </c>
      <c r="E29" s="1813">
        <v>107</v>
      </c>
      <c r="F29" s="1813"/>
      <c r="G29" s="1813">
        <v>106</v>
      </c>
      <c r="H29" s="1813">
        <v>105</v>
      </c>
      <c r="I29" s="1813">
        <v>98</v>
      </c>
    </row>
    <row r="30" spans="3:9" x14ac:dyDescent="0.4">
      <c r="C30" s="263" t="s">
        <v>334</v>
      </c>
      <c r="D30" s="5">
        <v>49</v>
      </c>
      <c r="E30" s="1813">
        <v>48</v>
      </c>
      <c r="F30" s="1813"/>
      <c r="G30" s="1813">
        <v>44</v>
      </c>
      <c r="H30" s="1813">
        <v>42</v>
      </c>
      <c r="I30" s="1813">
        <v>42</v>
      </c>
    </row>
    <row r="31" spans="3:9" x14ac:dyDescent="0.4">
      <c r="C31" s="263" t="s">
        <v>533</v>
      </c>
      <c r="D31" s="5">
        <v>37</v>
      </c>
      <c r="E31" s="1813">
        <v>39</v>
      </c>
      <c r="F31" s="1813"/>
      <c r="G31" s="1813">
        <v>41</v>
      </c>
      <c r="H31" s="1813">
        <v>47</v>
      </c>
      <c r="I31" s="1813">
        <v>49</v>
      </c>
    </row>
    <row r="32" spans="3:9" x14ac:dyDescent="0.4">
      <c r="C32" s="263" t="s">
        <v>328</v>
      </c>
      <c r="D32" s="5">
        <v>215</v>
      </c>
      <c r="E32" s="1813">
        <v>225</v>
      </c>
      <c r="F32" s="1813"/>
      <c r="G32" s="1813">
        <v>194</v>
      </c>
      <c r="H32" s="1813">
        <v>216</v>
      </c>
      <c r="I32" s="1813">
        <v>213</v>
      </c>
    </row>
    <row r="33" spans="3:9" x14ac:dyDescent="0.4">
      <c r="C33" s="1814" t="s">
        <v>6033</v>
      </c>
      <c r="D33" s="153">
        <v>690</v>
      </c>
      <c r="E33" s="153">
        <v>712</v>
      </c>
      <c r="F33" s="153"/>
      <c r="G33" s="153">
        <f>SUM(G26:G32)</f>
        <v>675</v>
      </c>
      <c r="H33" s="1815">
        <f>SUM(H26:H32)</f>
        <v>722</v>
      </c>
      <c r="I33" s="1815">
        <f>SUM(I26:I32)</f>
        <v>721</v>
      </c>
    </row>
    <row r="34" spans="3:9" x14ac:dyDescent="0.4">
      <c r="C34" s="5" t="s">
        <v>6197</v>
      </c>
      <c r="D34" s="5"/>
      <c r="E34" s="5"/>
      <c r="F34" s="5"/>
      <c r="G34" s="5"/>
      <c r="H34" s="5"/>
    </row>
    <row r="36" spans="3:9" x14ac:dyDescent="0.4">
      <c r="C36" s="1810" t="s">
        <v>6198</v>
      </c>
      <c r="D36" s="1811"/>
      <c r="E36" s="1811"/>
      <c r="F36" s="1811"/>
      <c r="G36" s="1811"/>
    </row>
    <row r="37" spans="3:9" ht="7.9" customHeight="1" x14ac:dyDescent="0.4">
      <c r="C37" s="868"/>
      <c r="D37" s="868"/>
      <c r="E37" s="868"/>
      <c r="F37" s="868"/>
      <c r="G37" s="868"/>
    </row>
    <row r="38" spans="3:9" x14ac:dyDescent="0.4">
      <c r="C38" s="1816" t="s">
        <v>750</v>
      </c>
      <c r="D38" s="1816">
        <v>2018</v>
      </c>
      <c r="E38" s="1816">
        <v>2019</v>
      </c>
      <c r="F38" s="1816">
        <v>2020</v>
      </c>
      <c r="G38" s="1816">
        <v>2021</v>
      </c>
      <c r="H38" s="1816">
        <v>2022</v>
      </c>
      <c r="I38" s="1816">
        <v>2023</v>
      </c>
    </row>
    <row r="39" spans="3:9" x14ac:dyDescent="0.4">
      <c r="C39" s="263" t="s">
        <v>6199</v>
      </c>
      <c r="D39" s="5">
        <v>83428</v>
      </c>
      <c r="E39" s="1813">
        <v>285.2029</v>
      </c>
      <c r="F39" s="1817">
        <f>1962440/1000</f>
        <v>1962.44</v>
      </c>
      <c r="G39" s="1818">
        <v>1286.3420000000001</v>
      </c>
      <c r="H39" s="1819">
        <v>1282.3589999999999</v>
      </c>
      <c r="I39" s="1819">
        <v>828.84799999999996</v>
      </c>
    </row>
    <row r="40" spans="3:9" x14ac:dyDescent="0.4">
      <c r="C40" s="263" t="s">
        <v>775</v>
      </c>
      <c r="D40" s="5">
        <v>2964</v>
      </c>
      <c r="E40" s="1813">
        <v>4753.9697999999999</v>
      </c>
      <c r="F40" s="1817">
        <f>1454022.01/1000</f>
        <v>1454.0220099999999</v>
      </c>
      <c r="G40" s="1818">
        <v>2609.0100000000002</v>
      </c>
      <c r="H40" s="1819">
        <v>3126.5602799999997</v>
      </c>
      <c r="I40" s="1819">
        <v>4052.1623</v>
      </c>
    </row>
    <row r="41" spans="3:9" x14ac:dyDescent="0.4">
      <c r="C41" s="263" t="s">
        <v>330</v>
      </c>
      <c r="D41" s="5">
        <v>571</v>
      </c>
      <c r="E41" s="1813">
        <v>13406.505499999999</v>
      </c>
      <c r="F41" s="1818">
        <f>10639915.08/1000</f>
        <v>10639.915080000001</v>
      </c>
      <c r="G41" s="1818">
        <v>37140.392</v>
      </c>
      <c r="H41" s="1819">
        <v>9832.48</v>
      </c>
      <c r="I41" s="1819">
        <v>11821.854949999999</v>
      </c>
    </row>
    <row r="42" spans="3:9" x14ac:dyDescent="0.4">
      <c r="C42" s="263" t="s">
        <v>329</v>
      </c>
      <c r="D42" s="5">
        <v>420</v>
      </c>
      <c r="E42" s="1813">
        <v>2.5507</v>
      </c>
      <c r="F42" s="1818">
        <f>42407.36/1000</f>
        <v>42.407359999999997</v>
      </c>
      <c r="G42" s="1818">
        <v>82.764340000000004</v>
      </c>
      <c r="H42" s="1819">
        <v>518.57578999999998</v>
      </c>
      <c r="I42" s="1819">
        <v>612.68719999999996</v>
      </c>
    </row>
    <row r="43" spans="3:9" x14ac:dyDescent="0.4">
      <c r="C43" s="263" t="s">
        <v>816</v>
      </c>
      <c r="D43" s="5">
        <v>315</v>
      </c>
      <c r="E43" s="5"/>
      <c r="F43" s="1817"/>
      <c r="G43" s="1818"/>
      <c r="H43" s="1819">
        <v>0</v>
      </c>
      <c r="I43" s="1819">
        <v>0</v>
      </c>
    </row>
    <row r="44" spans="3:9" x14ac:dyDescent="0.4">
      <c r="C44" s="263" t="s">
        <v>331</v>
      </c>
      <c r="D44" s="5">
        <v>169</v>
      </c>
      <c r="E44" s="1813">
        <v>2.9</v>
      </c>
      <c r="F44" s="1817"/>
      <c r="G44" s="1818">
        <v>0.26</v>
      </c>
      <c r="H44" s="1819">
        <v>0</v>
      </c>
      <c r="I44" s="1819">
        <v>1E-3</v>
      </c>
    </row>
    <row r="45" spans="3:9" ht="14.65" customHeight="1" x14ac:dyDescent="0.4">
      <c r="C45" s="263" t="s">
        <v>809</v>
      </c>
      <c r="D45" s="5"/>
      <c r="E45" s="1813">
        <v>10134.34</v>
      </c>
      <c r="F45" s="1818">
        <f>11405342/1000</f>
        <v>11405.342000000001</v>
      </c>
      <c r="G45" s="1818">
        <v>11510.471600000001</v>
      </c>
      <c r="H45" s="1819">
        <v>14274.366</v>
      </c>
      <c r="I45" s="1819">
        <v>14448.184289999999</v>
      </c>
    </row>
    <row r="46" spans="3:9" x14ac:dyDescent="0.4">
      <c r="C46" s="263" t="s">
        <v>793</v>
      </c>
      <c r="D46" s="5"/>
      <c r="E46" s="1813">
        <v>1392.5934</v>
      </c>
      <c r="F46" s="1818">
        <f>2027744.94/1000</f>
        <v>2027.74494</v>
      </c>
      <c r="G46" s="1818">
        <v>2196.7399999999998</v>
      </c>
      <c r="H46" s="1819">
        <v>1965.8191000000002</v>
      </c>
      <c r="I46" s="1819">
        <v>0</v>
      </c>
    </row>
    <row r="47" spans="3:9" x14ac:dyDescent="0.4">
      <c r="C47" s="263" t="s">
        <v>328</v>
      </c>
      <c r="D47" s="5"/>
      <c r="E47" s="1813">
        <v>1191.7786000000001</v>
      </c>
      <c r="F47" s="1817">
        <f>2363930.68/1000</f>
        <v>2363.9306800000004</v>
      </c>
      <c r="G47" s="1818">
        <v>2382.1545999999998</v>
      </c>
      <c r="H47" s="1819">
        <v>2332.4557400000003</v>
      </c>
      <c r="I47" s="1819">
        <v>1952.2401499999999</v>
      </c>
    </row>
    <row r="48" spans="3:9" ht="18.600000000000001" customHeight="1" x14ac:dyDescent="0.4">
      <c r="C48" s="263" t="s">
        <v>802</v>
      </c>
      <c r="D48" s="5"/>
      <c r="E48" s="1813">
        <v>93.782699999999991</v>
      </c>
      <c r="F48" s="1817">
        <f>62558/1000</f>
        <v>62.558</v>
      </c>
      <c r="G48" s="1818">
        <v>62.672499999999999</v>
      </c>
      <c r="H48" s="1819">
        <v>54.406999999999996</v>
      </c>
      <c r="I48" s="1819">
        <v>93.8155</v>
      </c>
    </row>
    <row r="49" spans="3:9" x14ac:dyDescent="0.4">
      <c r="C49" s="263" t="s">
        <v>761</v>
      </c>
      <c r="D49" s="5"/>
      <c r="E49" s="1813">
        <v>4.1183000000000005</v>
      </c>
      <c r="F49" s="1820"/>
      <c r="G49" s="1821">
        <v>9.75</v>
      </c>
      <c r="H49" s="1819">
        <v>0</v>
      </c>
      <c r="I49" s="1819">
        <v>15.401</v>
      </c>
    </row>
    <row r="50" spans="3:9" x14ac:dyDescent="0.4">
      <c r="C50" s="263" t="s">
        <v>753</v>
      </c>
      <c r="D50" s="5"/>
      <c r="E50" s="1813"/>
      <c r="F50" s="1820"/>
      <c r="G50" s="1821"/>
      <c r="H50" s="1819">
        <v>1.9910000000000001</v>
      </c>
      <c r="I50" s="1819">
        <v>2.0543</v>
      </c>
    </row>
    <row r="51" spans="3:9" x14ac:dyDescent="0.4">
      <c r="C51" s="263" t="s">
        <v>794</v>
      </c>
      <c r="D51" s="1820"/>
      <c r="E51" s="1820"/>
      <c r="F51" s="1821">
        <f>2526/1000</f>
        <v>2.5259999999999998</v>
      </c>
      <c r="G51" s="1821">
        <v>2.6490999999999998</v>
      </c>
      <c r="H51" s="1819">
        <v>1.75</v>
      </c>
      <c r="I51" s="1819">
        <v>1.5137</v>
      </c>
    </row>
    <row r="52" spans="3:9" x14ac:dyDescent="0.4">
      <c r="C52" s="263" t="s">
        <v>800</v>
      </c>
      <c r="D52" s="1820"/>
      <c r="E52" s="1820"/>
      <c r="F52" s="1821"/>
      <c r="G52" s="1821"/>
      <c r="H52" s="1819"/>
      <c r="I52" s="1819">
        <v>1.218</v>
      </c>
    </row>
    <row r="53" spans="3:9" x14ac:dyDescent="0.4">
      <c r="C53" s="263" t="s">
        <v>778</v>
      </c>
      <c r="D53" s="1820"/>
      <c r="E53" s="1820"/>
      <c r="F53" s="1821"/>
      <c r="G53" s="1821"/>
      <c r="H53" s="1819"/>
      <c r="I53" s="1819">
        <v>36.442999999999998</v>
      </c>
    </row>
    <row r="54" spans="3:9" x14ac:dyDescent="0.4">
      <c r="C54" s="1814" t="s">
        <v>820</v>
      </c>
      <c r="D54" s="1822"/>
      <c r="E54" s="1822"/>
      <c r="F54" s="1822"/>
      <c r="G54" s="1823">
        <f>180/1000</f>
        <v>0.18</v>
      </c>
      <c r="H54" s="1822"/>
      <c r="I54" s="1822">
        <v>0</v>
      </c>
    </row>
    <row r="55" spans="3:9" s="173" customFormat="1" ht="24" customHeight="1" x14ac:dyDescent="0.4">
      <c r="C55" s="1809" t="s">
        <v>6200</v>
      </c>
      <c r="D55" s="5"/>
      <c r="E55" s="5"/>
      <c r="F55" s="5"/>
      <c r="G55" s="1813"/>
      <c r="H55" s="16"/>
      <c r="I55" s="16"/>
    </row>
    <row r="56" spans="3:9" s="173" customFormat="1" ht="24" customHeight="1" x14ac:dyDescent="0.4">
      <c r="C56" s="1809"/>
      <c r="D56" s="5"/>
      <c r="E56" s="5"/>
      <c r="F56" s="5"/>
      <c r="G56" s="1813"/>
      <c r="H56" s="16"/>
      <c r="I56" s="16"/>
    </row>
    <row r="57" spans="3:9" x14ac:dyDescent="0.4">
      <c r="C57" s="1810" t="s">
        <v>6201</v>
      </c>
      <c r="D57" s="1811"/>
      <c r="E57" s="1811"/>
      <c r="F57" s="1811"/>
    </row>
    <row r="58" spans="3:9" ht="9.6" customHeight="1" x14ac:dyDescent="0.4">
      <c r="C58" s="868"/>
      <c r="D58" s="868"/>
      <c r="E58" s="868"/>
      <c r="F58" s="868"/>
      <c r="G58" s="1824"/>
    </row>
    <row r="59" spans="3:9" x14ac:dyDescent="0.4">
      <c r="C59" s="1816" t="s">
        <v>750</v>
      </c>
      <c r="D59" s="1805">
        <v>2018</v>
      </c>
      <c r="E59" s="1805">
        <v>2019</v>
      </c>
      <c r="F59" s="1805">
        <v>2021</v>
      </c>
      <c r="G59" s="1805">
        <v>2022</v>
      </c>
      <c r="H59" s="1805">
        <v>2023</v>
      </c>
    </row>
    <row r="60" spans="3:9" x14ac:dyDescent="0.4">
      <c r="C60" s="5" t="s">
        <v>809</v>
      </c>
      <c r="D60" s="5">
        <v>1</v>
      </c>
      <c r="E60" s="5">
        <v>1</v>
      </c>
      <c r="F60" s="5">
        <v>1</v>
      </c>
      <c r="G60" s="5">
        <v>1</v>
      </c>
      <c r="H60" s="5">
        <v>2</v>
      </c>
    </row>
    <row r="61" spans="3:9" x14ac:dyDescent="0.4">
      <c r="C61" s="5" t="s">
        <v>329</v>
      </c>
      <c r="D61" s="5">
        <v>4</v>
      </c>
      <c r="E61" s="5">
        <v>4</v>
      </c>
      <c r="F61" s="5">
        <v>2</v>
      </c>
      <c r="G61" s="5">
        <v>2</v>
      </c>
      <c r="H61" s="5">
        <v>7</v>
      </c>
    </row>
    <row r="62" spans="3:9" x14ac:dyDescent="0.4">
      <c r="C62" s="5" t="s">
        <v>756</v>
      </c>
      <c r="D62" s="5">
        <v>1</v>
      </c>
      <c r="E62" s="5">
        <v>1</v>
      </c>
      <c r="F62" s="5">
        <v>1</v>
      </c>
      <c r="G62" s="5"/>
      <c r="H62" s="5">
        <v>1</v>
      </c>
    </row>
    <row r="63" spans="3:9" x14ac:dyDescent="0.4">
      <c r="C63" s="5" t="s">
        <v>774</v>
      </c>
      <c r="D63" s="5"/>
      <c r="E63" s="5"/>
      <c r="F63" s="5"/>
      <c r="G63" s="5"/>
      <c r="H63" s="5">
        <v>1</v>
      </c>
    </row>
    <row r="64" spans="3:9" x14ac:dyDescent="0.4">
      <c r="C64" s="5" t="s">
        <v>794</v>
      </c>
      <c r="D64" s="5"/>
      <c r="E64" s="5">
        <v>1</v>
      </c>
      <c r="F64" s="5">
        <v>1</v>
      </c>
      <c r="G64" s="5">
        <v>1</v>
      </c>
      <c r="H64" s="5">
        <v>1</v>
      </c>
    </row>
    <row r="65" spans="3:8" x14ac:dyDescent="0.4">
      <c r="C65" s="5" t="s">
        <v>808</v>
      </c>
      <c r="D65" s="5"/>
      <c r="E65" s="5"/>
      <c r="F65" s="5"/>
      <c r="G65" s="5"/>
      <c r="H65" s="5">
        <v>1</v>
      </c>
    </row>
    <row r="66" spans="3:8" x14ac:dyDescent="0.4">
      <c r="C66" s="5" t="s">
        <v>330</v>
      </c>
      <c r="D66" s="5">
        <v>8</v>
      </c>
      <c r="E66" s="5">
        <v>9</v>
      </c>
      <c r="F66" s="1825">
        <v>11</v>
      </c>
      <c r="G66" s="1825">
        <v>12</v>
      </c>
      <c r="H66" s="1825">
        <v>17</v>
      </c>
    </row>
    <row r="67" spans="3:8" x14ac:dyDescent="0.4">
      <c r="C67" s="5" t="s">
        <v>820</v>
      </c>
      <c r="D67" s="5"/>
      <c r="E67" s="5"/>
      <c r="F67" s="5"/>
      <c r="G67" s="5"/>
      <c r="H67" s="5">
        <v>1</v>
      </c>
    </row>
    <row r="68" spans="3:8" x14ac:dyDescent="0.4">
      <c r="C68" s="5" t="s">
        <v>768</v>
      </c>
      <c r="D68" s="5"/>
      <c r="E68" s="5"/>
      <c r="F68" s="5"/>
      <c r="G68" s="5"/>
      <c r="H68" s="5">
        <v>2</v>
      </c>
    </row>
    <row r="69" spans="3:8" x14ac:dyDescent="0.4">
      <c r="C69" s="5" t="s">
        <v>6202</v>
      </c>
      <c r="D69" s="5"/>
      <c r="E69" s="5">
        <v>1</v>
      </c>
      <c r="F69" s="5">
        <v>1</v>
      </c>
      <c r="G69" s="5">
        <v>1</v>
      </c>
      <c r="H69" s="5">
        <v>2</v>
      </c>
    </row>
    <row r="70" spans="3:8" x14ac:dyDescent="0.4">
      <c r="C70" s="5" t="s">
        <v>793</v>
      </c>
      <c r="D70" s="5">
        <v>1</v>
      </c>
      <c r="E70" s="5">
        <v>1</v>
      </c>
      <c r="F70" s="5">
        <v>1</v>
      </c>
      <c r="G70" s="5">
        <v>1</v>
      </c>
      <c r="H70" s="5">
        <v>3</v>
      </c>
    </row>
    <row r="71" spans="3:8" x14ac:dyDescent="0.4">
      <c r="C71" s="5" t="s">
        <v>752</v>
      </c>
      <c r="D71" s="5"/>
      <c r="E71" s="5"/>
      <c r="F71" s="5"/>
      <c r="G71" s="5"/>
      <c r="H71" s="5">
        <v>1</v>
      </c>
    </row>
    <row r="72" spans="3:8" x14ac:dyDescent="0.4">
      <c r="C72" s="5" t="s">
        <v>814</v>
      </c>
      <c r="D72" s="5">
        <v>2</v>
      </c>
      <c r="E72" s="5">
        <v>1</v>
      </c>
      <c r="F72" s="5"/>
      <c r="G72" s="5"/>
      <c r="H72" s="5">
        <v>1</v>
      </c>
    </row>
    <row r="73" spans="3:8" x14ac:dyDescent="0.4">
      <c r="C73" s="5" t="s">
        <v>800</v>
      </c>
      <c r="D73" s="5"/>
      <c r="E73" s="5"/>
      <c r="F73" s="5"/>
      <c r="G73" s="5">
        <v>1</v>
      </c>
      <c r="H73" s="5"/>
    </row>
    <row r="74" spans="3:8" x14ac:dyDescent="0.4">
      <c r="C74" s="5" t="s">
        <v>6203</v>
      </c>
      <c r="D74" s="5">
        <v>1</v>
      </c>
      <c r="E74" s="5">
        <v>1</v>
      </c>
      <c r="F74" s="5"/>
      <c r="G74" s="5"/>
      <c r="H74" s="5">
        <v>3</v>
      </c>
    </row>
    <row r="75" spans="3:8" x14ac:dyDescent="0.4">
      <c r="C75" s="5" t="s">
        <v>819</v>
      </c>
      <c r="D75" s="5"/>
      <c r="E75" s="5"/>
      <c r="F75" s="5"/>
      <c r="G75" s="5"/>
      <c r="H75" s="5">
        <v>2</v>
      </c>
    </row>
    <row r="76" spans="3:8" x14ac:dyDescent="0.4">
      <c r="C76" s="5" t="s">
        <v>772</v>
      </c>
      <c r="D76" s="5"/>
      <c r="E76" s="5"/>
      <c r="F76" s="5"/>
      <c r="G76" s="5"/>
      <c r="H76" s="5">
        <v>1</v>
      </c>
    </row>
    <row r="77" spans="3:8" ht="18.600000000000001" customHeight="1" x14ac:dyDescent="0.4">
      <c r="C77" s="5" t="s">
        <v>331</v>
      </c>
      <c r="D77" s="5">
        <v>1</v>
      </c>
      <c r="E77" s="5"/>
      <c r="F77" s="5"/>
      <c r="G77" s="5">
        <v>1</v>
      </c>
      <c r="H77" s="5"/>
    </row>
    <row r="78" spans="3:8" x14ac:dyDescent="0.4">
      <c r="C78" s="5" t="s">
        <v>788</v>
      </c>
      <c r="D78" s="5">
        <v>1</v>
      </c>
      <c r="E78" s="5"/>
      <c r="F78" s="5"/>
      <c r="G78" s="5"/>
      <c r="H78" s="5">
        <v>1</v>
      </c>
    </row>
    <row r="79" spans="3:8" x14ac:dyDescent="0.4">
      <c r="C79" s="5" t="s">
        <v>803</v>
      </c>
      <c r="D79" s="5"/>
      <c r="E79" s="5">
        <v>1</v>
      </c>
      <c r="F79" s="5">
        <v>2</v>
      </c>
      <c r="G79" s="5"/>
      <c r="H79" s="5">
        <v>2</v>
      </c>
    </row>
    <row r="80" spans="3:8" x14ac:dyDescent="0.4">
      <c r="C80" s="5" t="s">
        <v>334</v>
      </c>
      <c r="D80" s="5">
        <v>2</v>
      </c>
      <c r="E80" s="5">
        <v>2</v>
      </c>
      <c r="F80" s="5">
        <v>1</v>
      </c>
      <c r="G80" s="5">
        <v>1</v>
      </c>
      <c r="H80" s="5">
        <v>5</v>
      </c>
    </row>
    <row r="81" spans="3:8" x14ac:dyDescent="0.4">
      <c r="C81" s="5" t="s">
        <v>757</v>
      </c>
      <c r="D81" s="5"/>
      <c r="E81" s="5">
        <v>1</v>
      </c>
      <c r="F81" s="5">
        <v>1</v>
      </c>
      <c r="G81" s="5"/>
      <c r="H81" s="5"/>
    </row>
    <row r="82" spans="3:8" x14ac:dyDescent="0.4">
      <c r="C82" s="5" t="s">
        <v>775</v>
      </c>
      <c r="D82" s="5">
        <v>2</v>
      </c>
      <c r="E82" s="5">
        <v>2</v>
      </c>
      <c r="F82" s="5">
        <v>1</v>
      </c>
      <c r="G82" s="5">
        <v>1</v>
      </c>
      <c r="H82" s="5">
        <v>3</v>
      </c>
    </row>
    <row r="83" spans="3:8" x14ac:dyDescent="0.4">
      <c r="C83" s="5" t="s">
        <v>778</v>
      </c>
      <c r="D83" s="5">
        <v>1</v>
      </c>
      <c r="E83" s="5"/>
      <c r="F83" s="5"/>
      <c r="G83" s="5"/>
      <c r="H83" s="5"/>
    </row>
    <row r="84" spans="3:8" x14ac:dyDescent="0.4">
      <c r="C84" s="5" t="s">
        <v>2993</v>
      </c>
      <c r="D84" s="5">
        <v>1</v>
      </c>
      <c r="E84" s="5">
        <v>1</v>
      </c>
      <c r="F84" s="5"/>
      <c r="G84" s="5"/>
      <c r="H84" s="5">
        <v>1</v>
      </c>
    </row>
    <row r="85" spans="3:8" x14ac:dyDescent="0.4">
      <c r="C85" s="5" t="s">
        <v>533</v>
      </c>
      <c r="D85" s="5">
        <v>1</v>
      </c>
      <c r="E85" s="5">
        <v>1</v>
      </c>
      <c r="F85" s="5"/>
      <c r="G85" s="5"/>
      <c r="H85" s="5">
        <v>1</v>
      </c>
    </row>
    <row r="86" spans="3:8" x14ac:dyDescent="0.4">
      <c r="C86" s="5" t="s">
        <v>779</v>
      </c>
      <c r="D86" s="5"/>
      <c r="E86" s="5"/>
      <c r="F86" s="5"/>
      <c r="G86" s="5"/>
      <c r="H86" s="5">
        <v>4</v>
      </c>
    </row>
    <row r="87" spans="3:8" ht="10.9" customHeight="1" x14ac:dyDescent="0.4">
      <c r="C87" s="5" t="s">
        <v>798</v>
      </c>
      <c r="D87" s="5"/>
      <c r="E87" s="5"/>
      <c r="F87" s="5"/>
      <c r="G87" s="5"/>
      <c r="H87" s="5">
        <v>1</v>
      </c>
    </row>
    <row r="88" spans="3:8" x14ac:dyDescent="0.4">
      <c r="C88" s="5" t="s">
        <v>328</v>
      </c>
      <c r="D88" s="5">
        <v>6</v>
      </c>
      <c r="E88" s="5">
        <v>9</v>
      </c>
      <c r="F88" s="5">
        <v>6</v>
      </c>
      <c r="G88" s="5">
        <v>6</v>
      </c>
      <c r="H88" s="5">
        <v>10</v>
      </c>
    </row>
    <row r="89" spans="3:8" x14ac:dyDescent="0.4">
      <c r="C89" s="5" t="s">
        <v>6204</v>
      </c>
      <c r="D89" s="5"/>
      <c r="E89" s="5"/>
      <c r="F89" s="5"/>
      <c r="G89" s="5"/>
      <c r="H89" s="5">
        <v>1</v>
      </c>
    </row>
    <row r="90" spans="3:8" x14ac:dyDescent="0.4">
      <c r="C90" s="5" t="s">
        <v>6205</v>
      </c>
      <c r="D90" s="5"/>
      <c r="E90" s="5"/>
      <c r="F90" s="5"/>
      <c r="G90" s="5"/>
      <c r="H90" s="5">
        <v>1</v>
      </c>
    </row>
    <row r="91" spans="3:8" x14ac:dyDescent="0.4">
      <c r="C91" s="5" t="s">
        <v>759</v>
      </c>
      <c r="D91" s="5"/>
      <c r="E91" s="5"/>
      <c r="F91" s="5"/>
      <c r="G91" s="5"/>
      <c r="H91" s="5">
        <v>1</v>
      </c>
    </row>
    <row r="92" spans="3:8" x14ac:dyDescent="0.4">
      <c r="C92" s="5" t="s">
        <v>796</v>
      </c>
      <c r="D92" s="5"/>
      <c r="E92" s="5"/>
      <c r="F92" s="5"/>
      <c r="G92" s="5"/>
      <c r="H92" s="5">
        <v>1</v>
      </c>
    </row>
    <row r="93" spans="3:8" x14ac:dyDescent="0.4">
      <c r="C93" s="5" t="s">
        <v>805</v>
      </c>
      <c r="D93" s="5"/>
      <c r="E93" s="5"/>
      <c r="F93" s="5"/>
      <c r="G93" s="5"/>
      <c r="H93" s="5">
        <v>2</v>
      </c>
    </row>
    <row r="94" spans="3:8" x14ac:dyDescent="0.4">
      <c r="C94" s="5" t="s">
        <v>795</v>
      </c>
      <c r="D94" s="5"/>
      <c r="E94" s="5"/>
      <c r="F94" s="5"/>
      <c r="G94" s="5"/>
      <c r="H94" s="5">
        <v>2</v>
      </c>
    </row>
    <row r="95" spans="3:8" x14ac:dyDescent="0.4">
      <c r="C95" s="5" t="s">
        <v>802</v>
      </c>
      <c r="D95" s="5">
        <v>1</v>
      </c>
      <c r="E95" s="5">
        <v>1</v>
      </c>
      <c r="F95" s="5">
        <v>1</v>
      </c>
      <c r="G95" s="5">
        <v>1</v>
      </c>
      <c r="H95" s="5">
        <v>1</v>
      </c>
    </row>
    <row r="96" spans="3:8" x14ac:dyDescent="0.4">
      <c r="C96" s="5" t="s">
        <v>790</v>
      </c>
      <c r="D96" s="5"/>
      <c r="E96" s="5"/>
      <c r="F96" s="5"/>
      <c r="G96" s="5"/>
      <c r="H96" s="5">
        <v>1</v>
      </c>
    </row>
    <row r="97" spans="3:8" x14ac:dyDescent="0.4">
      <c r="C97" s="5" t="s">
        <v>6206</v>
      </c>
      <c r="D97" s="5">
        <v>1</v>
      </c>
      <c r="E97" s="5">
        <v>1</v>
      </c>
      <c r="F97" s="5">
        <v>1</v>
      </c>
      <c r="G97" s="5">
        <v>1</v>
      </c>
      <c r="H97" s="5">
        <v>1</v>
      </c>
    </row>
    <row r="98" spans="3:8" x14ac:dyDescent="0.4">
      <c r="C98" s="1814" t="s">
        <v>6033</v>
      </c>
      <c r="D98" s="153">
        <v>35</v>
      </c>
      <c r="E98" s="153">
        <f>SUM(E60:E97)</f>
        <v>39</v>
      </c>
      <c r="F98" s="153">
        <f>SUM(F60:F97)</f>
        <v>31</v>
      </c>
      <c r="G98" s="153">
        <f>SUM(G60:G97)</f>
        <v>30</v>
      </c>
      <c r="H98" s="153">
        <f>SUM(H60:H97)</f>
        <v>85</v>
      </c>
    </row>
    <row r="99" spans="3:8" x14ac:dyDescent="0.4">
      <c r="C99" s="164" t="s">
        <v>6207</v>
      </c>
      <c r="D99" s="5"/>
      <c r="E99" s="5"/>
      <c r="F99" s="852"/>
    </row>
    <row r="102" spans="3:8" x14ac:dyDescent="0.4">
      <c r="C102" s="1810" t="s">
        <v>6208</v>
      </c>
      <c r="D102" s="1811"/>
      <c r="E102" s="1811"/>
      <c r="F102" s="1811"/>
    </row>
    <row r="103" spans="3:8" x14ac:dyDescent="0.4">
      <c r="C103" s="868"/>
      <c r="D103" s="868"/>
      <c r="E103" s="868"/>
      <c r="F103" s="868"/>
    </row>
    <row r="104" spans="3:8" x14ac:dyDescent="0.4">
      <c r="C104" s="1826" t="s">
        <v>6209</v>
      </c>
      <c r="D104" s="1805">
        <v>2018</v>
      </c>
      <c r="E104" s="1805">
        <v>2019</v>
      </c>
      <c r="F104" s="1805">
        <v>2021</v>
      </c>
      <c r="G104" s="1805">
        <v>2022</v>
      </c>
      <c r="H104" s="1805">
        <v>2023</v>
      </c>
    </row>
    <row r="105" spans="3:8" x14ac:dyDescent="0.4">
      <c r="C105" s="263" t="s">
        <v>6210</v>
      </c>
      <c r="D105" s="5">
        <v>20</v>
      </c>
      <c r="E105" s="5">
        <v>7</v>
      </c>
      <c r="F105" s="5">
        <v>40</v>
      </c>
      <c r="G105" s="5">
        <v>21</v>
      </c>
      <c r="H105" s="5">
        <v>46</v>
      </c>
    </row>
    <row r="106" spans="3:8" x14ac:dyDescent="0.4">
      <c r="C106" s="263" t="s">
        <v>6211</v>
      </c>
      <c r="D106" s="5">
        <v>2</v>
      </c>
      <c r="E106" s="5"/>
      <c r="F106" s="5"/>
      <c r="G106" s="5"/>
      <c r="H106" s="5"/>
    </row>
    <row r="107" spans="3:8" x14ac:dyDescent="0.4">
      <c r="C107" s="263" t="s">
        <v>6212</v>
      </c>
      <c r="D107" s="5">
        <v>7</v>
      </c>
      <c r="E107" s="5">
        <v>8</v>
      </c>
      <c r="F107" s="5">
        <v>10</v>
      </c>
      <c r="G107" s="5">
        <v>26</v>
      </c>
      <c r="H107" s="5">
        <v>12</v>
      </c>
    </row>
    <row r="108" spans="3:8" x14ac:dyDescent="0.4">
      <c r="C108" s="263" t="s">
        <v>6213</v>
      </c>
      <c r="D108" s="5">
        <v>10</v>
      </c>
      <c r="E108" s="5">
        <v>3</v>
      </c>
      <c r="F108" s="5"/>
      <c r="G108" s="5"/>
      <c r="H108" s="5"/>
    </row>
    <row r="109" spans="3:8" x14ac:dyDescent="0.4">
      <c r="C109" s="263" t="s">
        <v>6214</v>
      </c>
      <c r="D109" s="5">
        <v>24</v>
      </c>
      <c r="E109" s="5"/>
      <c r="F109" s="5">
        <v>68</v>
      </c>
      <c r="G109" s="5">
        <v>1</v>
      </c>
      <c r="H109" s="5">
        <v>73</v>
      </c>
    </row>
    <row r="110" spans="3:8" x14ac:dyDescent="0.4">
      <c r="C110" s="263" t="s">
        <v>6215</v>
      </c>
      <c r="D110" s="5">
        <v>25</v>
      </c>
      <c r="E110" s="5">
        <v>1</v>
      </c>
      <c r="F110" s="5">
        <v>68</v>
      </c>
      <c r="G110" s="5">
        <v>48</v>
      </c>
      <c r="H110" s="5">
        <v>72</v>
      </c>
    </row>
    <row r="111" spans="3:8" x14ac:dyDescent="0.4">
      <c r="C111" s="263" t="s">
        <v>6216</v>
      </c>
      <c r="D111" s="5"/>
      <c r="E111" s="5"/>
      <c r="F111" s="5">
        <v>1</v>
      </c>
      <c r="G111" s="5">
        <v>1</v>
      </c>
      <c r="H111" s="5">
        <v>3</v>
      </c>
    </row>
    <row r="112" spans="3:8" x14ac:dyDescent="0.4">
      <c r="C112" s="263" t="s">
        <v>6217</v>
      </c>
      <c r="D112" s="5">
        <v>17</v>
      </c>
      <c r="E112" s="5">
        <v>13</v>
      </c>
      <c r="F112" s="5">
        <v>29</v>
      </c>
      <c r="G112" s="5">
        <v>46</v>
      </c>
      <c r="H112" s="5">
        <v>28</v>
      </c>
    </row>
    <row r="113" spans="3:8" x14ac:dyDescent="0.4">
      <c r="C113" s="263" t="s">
        <v>6218</v>
      </c>
      <c r="D113" s="5">
        <v>12</v>
      </c>
      <c r="E113" s="5">
        <v>4</v>
      </c>
      <c r="F113" s="5">
        <v>19</v>
      </c>
      <c r="G113" s="5">
        <v>35</v>
      </c>
      <c r="H113" s="5">
        <v>22</v>
      </c>
    </row>
    <row r="114" spans="3:8" x14ac:dyDescent="0.4">
      <c r="C114" s="263" t="s">
        <v>6219</v>
      </c>
      <c r="D114" s="5">
        <v>7</v>
      </c>
      <c r="E114" s="5">
        <v>3</v>
      </c>
      <c r="F114" s="5">
        <v>8</v>
      </c>
      <c r="G114" s="5"/>
      <c r="H114" s="5">
        <v>5</v>
      </c>
    </row>
    <row r="115" spans="3:8" x14ac:dyDescent="0.4">
      <c r="C115" s="263" t="s">
        <v>6220</v>
      </c>
      <c r="D115" s="5"/>
      <c r="E115" s="5"/>
      <c r="F115" s="5">
        <v>21</v>
      </c>
      <c r="G115" s="5">
        <v>31</v>
      </c>
      <c r="H115" s="5">
        <v>29</v>
      </c>
    </row>
    <row r="116" spans="3:8" x14ac:dyDescent="0.4">
      <c r="C116" s="1827" t="s">
        <v>6221</v>
      </c>
      <c r="D116" s="153"/>
      <c r="E116" s="1828"/>
      <c r="F116" s="1828">
        <f>SUM(F105:F115)</f>
        <v>264</v>
      </c>
      <c r="G116" s="1829">
        <f>SUM(G105:G115)</f>
        <v>209</v>
      </c>
      <c r="H116" s="1829">
        <f>SUM(H105:H115)</f>
        <v>290</v>
      </c>
    </row>
    <row r="117" spans="3:8" x14ac:dyDescent="0.4">
      <c r="C117" s="5" t="s">
        <v>6222</v>
      </c>
      <c r="D117" s="5"/>
      <c r="E117" s="5"/>
      <c r="F117" s="5"/>
    </row>
    <row r="120" spans="3:8" x14ac:dyDescent="0.4">
      <c r="C120" s="1830" t="s">
        <v>6223</v>
      </c>
      <c r="D120" s="1830"/>
      <c r="E120" s="1830"/>
      <c r="F120" s="1830"/>
      <c r="G120" s="1830"/>
      <c r="H120" s="1830"/>
    </row>
    <row r="121" spans="3:8" x14ac:dyDescent="0.4">
      <c r="C121" s="709"/>
      <c r="D121" s="709"/>
      <c r="E121" s="709"/>
      <c r="F121" s="709"/>
      <c r="G121" s="709"/>
      <c r="H121" s="709"/>
    </row>
    <row r="122" spans="3:8" x14ac:dyDescent="0.4">
      <c r="C122" s="1831" t="s">
        <v>526</v>
      </c>
      <c r="D122" s="1831">
        <v>2016</v>
      </c>
      <c r="E122" s="1831">
        <v>2017</v>
      </c>
      <c r="F122" s="1831">
        <v>2018</v>
      </c>
      <c r="G122" s="1831">
        <v>2018</v>
      </c>
      <c r="H122" s="1831">
        <v>2019</v>
      </c>
    </row>
    <row r="123" spans="3:8" x14ac:dyDescent="0.4">
      <c r="C123" s="5" t="s">
        <v>6224</v>
      </c>
      <c r="D123" s="803" t="s">
        <v>751</v>
      </c>
      <c r="E123" s="803" t="s">
        <v>751</v>
      </c>
      <c r="F123" s="803" t="s">
        <v>751</v>
      </c>
      <c r="G123" s="5"/>
      <c r="H123" s="5"/>
    </row>
    <row r="124" spans="3:8" x14ac:dyDescent="0.4">
      <c r="C124" s="5" t="s">
        <v>6225</v>
      </c>
      <c r="D124" s="1807">
        <v>8864470</v>
      </c>
      <c r="E124" s="1807">
        <v>27873563</v>
      </c>
      <c r="F124" s="1807">
        <v>10614550</v>
      </c>
      <c r="G124" s="5"/>
      <c r="H124" s="5"/>
    </row>
    <row r="125" spans="3:8" x14ac:dyDescent="0.4">
      <c r="C125" s="5" t="s">
        <v>6226</v>
      </c>
      <c r="D125" s="1807">
        <v>24217740</v>
      </c>
      <c r="E125" s="1807">
        <v>29132218</v>
      </c>
      <c r="F125" s="1807">
        <v>31333516</v>
      </c>
      <c r="G125" s="5"/>
      <c r="H125" s="1807">
        <v>31267741.890000001</v>
      </c>
    </row>
    <row r="126" spans="3:8" x14ac:dyDescent="0.4">
      <c r="C126" s="36" t="s">
        <v>6227</v>
      </c>
      <c r="D126" s="1807">
        <v>21174248</v>
      </c>
      <c r="E126" s="1807">
        <v>21421522</v>
      </c>
      <c r="F126" s="1807">
        <v>21663610</v>
      </c>
      <c r="G126" s="5"/>
      <c r="H126" s="5"/>
    </row>
    <row r="127" spans="3:8" x14ac:dyDescent="0.4">
      <c r="C127" s="5" t="s">
        <v>6228</v>
      </c>
      <c r="D127" s="1807">
        <v>10241550</v>
      </c>
      <c r="E127" s="1807">
        <v>10361151</v>
      </c>
      <c r="F127" s="1807">
        <v>10478244</v>
      </c>
      <c r="G127" s="5"/>
      <c r="H127" s="5"/>
    </row>
    <row r="128" spans="3:8" x14ac:dyDescent="0.4">
      <c r="C128" s="5" t="s">
        <v>6229</v>
      </c>
      <c r="D128" s="1807">
        <v>54757</v>
      </c>
      <c r="E128" s="1807">
        <v>107888</v>
      </c>
      <c r="F128" s="1832" t="s">
        <v>751</v>
      </c>
      <c r="G128" s="1832">
        <v>106751000</v>
      </c>
      <c r="H128" s="1807">
        <v>92867000</v>
      </c>
    </row>
    <row r="129" spans="3:8" x14ac:dyDescent="0.4">
      <c r="C129" s="5" t="s">
        <v>6230</v>
      </c>
      <c r="D129" s="1807">
        <v>15510405</v>
      </c>
      <c r="E129" s="1807">
        <v>19732659</v>
      </c>
      <c r="F129" s="1807">
        <v>18887788</v>
      </c>
      <c r="G129" s="1807">
        <v>7595000</v>
      </c>
      <c r="H129" s="1807">
        <v>5251000</v>
      </c>
    </row>
    <row r="130" spans="3:8" x14ac:dyDescent="0.4">
      <c r="C130" s="5" t="s">
        <v>6231</v>
      </c>
      <c r="D130" s="1807">
        <v>49042359</v>
      </c>
      <c r="E130" s="1807">
        <v>69163683</v>
      </c>
      <c r="F130" s="1807">
        <v>124365815</v>
      </c>
      <c r="G130" s="5"/>
      <c r="H130" s="5"/>
    </row>
    <row r="131" spans="3:8" x14ac:dyDescent="0.4">
      <c r="C131" s="5" t="s">
        <v>1595</v>
      </c>
      <c r="D131" s="1807">
        <v>4890379</v>
      </c>
      <c r="E131" s="1807">
        <v>4947490</v>
      </c>
      <c r="F131" s="1807">
        <v>5003402</v>
      </c>
      <c r="G131" s="5"/>
      <c r="H131" s="5"/>
    </row>
    <row r="132" spans="3:8" x14ac:dyDescent="0.4">
      <c r="C132" s="294" t="s">
        <v>6232</v>
      </c>
      <c r="D132" s="294">
        <v>10.029999999999999</v>
      </c>
      <c r="E132" s="294">
        <v>13.98</v>
      </c>
      <c r="F132" s="294">
        <v>24.86</v>
      </c>
      <c r="G132" s="294"/>
      <c r="H132" s="294"/>
    </row>
    <row r="133" spans="3:8" x14ac:dyDescent="0.4">
      <c r="C133" s="465" t="s">
        <v>6233</v>
      </c>
      <c r="D133" s="465"/>
      <c r="E133" s="465"/>
      <c r="F133" s="465"/>
      <c r="G133" s="465"/>
      <c r="H133" s="465"/>
    </row>
    <row r="134" spans="3:8" x14ac:dyDescent="0.4">
      <c r="C134" s="36" t="s">
        <v>6234</v>
      </c>
      <c r="D134" s="36"/>
      <c r="E134" s="36"/>
      <c r="F134" s="36"/>
    </row>
    <row r="135" spans="3:8" x14ac:dyDescent="0.4">
      <c r="C135" s="16" t="s">
        <v>626</v>
      </c>
    </row>
    <row r="136" spans="3:8" x14ac:dyDescent="0.4">
      <c r="C136" s="16"/>
    </row>
    <row r="137" spans="3:8" x14ac:dyDescent="0.4">
      <c r="C137" s="1830" t="s">
        <v>6235</v>
      </c>
      <c r="D137" s="1830"/>
      <c r="E137" s="1830"/>
      <c r="F137" s="1830"/>
    </row>
    <row r="138" spans="3:8" x14ac:dyDescent="0.4">
      <c r="C138" s="709"/>
      <c r="D138" s="709"/>
      <c r="E138" s="709"/>
      <c r="F138" s="709"/>
    </row>
    <row r="139" spans="3:8" x14ac:dyDescent="0.4">
      <c r="C139" s="1812" t="s">
        <v>526</v>
      </c>
      <c r="D139" s="1812">
        <v>2016</v>
      </c>
      <c r="E139" s="1812">
        <v>2017</v>
      </c>
      <c r="F139" s="1812">
        <v>2018</v>
      </c>
    </row>
    <row r="140" spans="3:8" x14ac:dyDescent="0.4">
      <c r="C140" s="36" t="s">
        <v>6236</v>
      </c>
      <c r="D140" s="1807">
        <v>28082809</v>
      </c>
      <c r="E140" s="1807">
        <v>28020839</v>
      </c>
      <c r="F140" s="1807">
        <v>3118601</v>
      </c>
    </row>
    <row r="141" spans="3:8" x14ac:dyDescent="0.4">
      <c r="C141" s="36" t="s">
        <v>6229</v>
      </c>
      <c r="D141" s="1807">
        <v>54757</v>
      </c>
      <c r="E141" s="1807">
        <v>10788</v>
      </c>
      <c r="F141" s="1807" t="s">
        <v>751</v>
      </c>
    </row>
    <row r="142" spans="3:8" x14ac:dyDescent="0.4">
      <c r="C142" s="36" t="s">
        <v>6230</v>
      </c>
      <c r="D142" s="1807">
        <v>13510405</v>
      </c>
      <c r="E142" s="1807">
        <v>19732569</v>
      </c>
      <c r="F142" s="1807">
        <v>18887788</v>
      </c>
    </row>
    <row r="143" spans="3:8" x14ac:dyDescent="0.4">
      <c r="C143" s="36" t="s">
        <v>6237</v>
      </c>
      <c r="D143" s="1807">
        <v>43538457</v>
      </c>
      <c r="E143" s="1807">
        <v>48645610</v>
      </c>
      <c r="F143" s="1807">
        <v>50006389</v>
      </c>
    </row>
    <row r="144" spans="3:8" x14ac:dyDescent="0.4">
      <c r="C144" s="36" t="s">
        <v>6238</v>
      </c>
      <c r="D144" s="1807">
        <v>49042359</v>
      </c>
      <c r="E144" s="1807">
        <v>69163683</v>
      </c>
      <c r="F144" s="1807">
        <v>124365815</v>
      </c>
    </row>
    <row r="145" spans="3:7" x14ac:dyDescent="0.4">
      <c r="C145" s="294" t="s">
        <v>6239</v>
      </c>
      <c r="D145" s="294">
        <v>89</v>
      </c>
      <c r="E145" s="294">
        <v>70</v>
      </c>
      <c r="F145" s="294">
        <v>40</v>
      </c>
    </row>
    <row r="146" spans="3:7" x14ac:dyDescent="0.4">
      <c r="C146" s="465" t="s">
        <v>6240</v>
      </c>
      <c r="D146" s="465"/>
      <c r="E146" s="465"/>
      <c r="F146" s="465"/>
    </row>
    <row r="147" spans="3:7" x14ac:dyDescent="0.4">
      <c r="C147" s="16"/>
    </row>
    <row r="148" spans="3:7" x14ac:dyDescent="0.4">
      <c r="C148" s="1830" t="s">
        <v>6241</v>
      </c>
      <c r="D148" s="1830"/>
      <c r="E148" s="1830"/>
      <c r="F148" s="1830"/>
    </row>
    <row r="149" spans="3:7" x14ac:dyDescent="0.4">
      <c r="C149" s="709"/>
      <c r="D149" s="709"/>
      <c r="E149" s="709"/>
      <c r="F149" s="709"/>
    </row>
    <row r="150" spans="3:7" x14ac:dyDescent="0.4">
      <c r="C150" s="1812" t="s">
        <v>526</v>
      </c>
      <c r="D150" s="1812">
        <v>2016</v>
      </c>
      <c r="E150" s="1812">
        <v>2017</v>
      </c>
      <c r="F150" s="1812">
        <v>2018</v>
      </c>
    </row>
    <row r="151" spans="3:7" x14ac:dyDescent="0.4">
      <c r="C151" s="5" t="s">
        <v>6236</v>
      </c>
      <c r="D151" s="1807">
        <v>28082809</v>
      </c>
      <c r="E151" s="1807">
        <v>28020839</v>
      </c>
      <c r="F151" s="1807">
        <v>3118601</v>
      </c>
    </row>
    <row r="152" spans="3:7" x14ac:dyDescent="0.4">
      <c r="C152" s="5" t="s">
        <v>6229</v>
      </c>
      <c r="D152" s="1807">
        <v>54757</v>
      </c>
      <c r="E152" s="1807">
        <v>10788</v>
      </c>
      <c r="F152" s="1807" t="s">
        <v>751</v>
      </c>
    </row>
    <row r="153" spans="3:7" x14ac:dyDescent="0.4">
      <c r="C153" s="5" t="s">
        <v>6230</v>
      </c>
      <c r="D153" s="1807">
        <v>13510405</v>
      </c>
      <c r="E153" s="1807">
        <v>19732569</v>
      </c>
      <c r="F153" s="1807">
        <v>18887788</v>
      </c>
    </row>
    <row r="154" spans="3:7" x14ac:dyDescent="0.4">
      <c r="C154" s="5" t="s">
        <v>6242</v>
      </c>
      <c r="D154" s="1807">
        <v>12517647</v>
      </c>
      <c r="E154" s="1807">
        <v>9180292</v>
      </c>
      <c r="F154" s="1807">
        <v>12230813</v>
      </c>
    </row>
    <row r="155" spans="3:7" x14ac:dyDescent="0.4">
      <c r="C155" s="36" t="s">
        <v>6243</v>
      </c>
      <c r="D155" s="1807">
        <v>49042359</v>
      </c>
      <c r="E155" s="1807">
        <v>69163683</v>
      </c>
      <c r="F155" s="1807">
        <v>124365815</v>
      </c>
    </row>
    <row r="156" spans="3:7" x14ac:dyDescent="0.4">
      <c r="C156" s="294" t="s">
        <v>6244</v>
      </c>
      <c r="D156" s="294">
        <v>26</v>
      </c>
      <c r="E156" s="294">
        <v>26</v>
      </c>
      <c r="F156" s="294">
        <v>13</v>
      </c>
    </row>
    <row r="157" spans="3:7" x14ac:dyDescent="0.4">
      <c r="C157" s="465" t="s">
        <v>6240</v>
      </c>
      <c r="D157" s="465"/>
      <c r="E157" s="465"/>
      <c r="F157" s="465"/>
    </row>
    <row r="159" spans="3:7" x14ac:dyDescent="0.4">
      <c r="C159" s="1810" t="s">
        <v>6245</v>
      </c>
      <c r="D159" s="1811"/>
      <c r="E159" s="1811"/>
      <c r="F159" s="1811"/>
      <c r="G159" s="1811"/>
    </row>
    <row r="160" spans="3:7" x14ac:dyDescent="0.4">
      <c r="C160" s="868"/>
      <c r="D160" s="868"/>
      <c r="E160" s="868"/>
      <c r="F160" s="868"/>
      <c r="G160" s="868"/>
    </row>
    <row r="161" spans="3:7" x14ac:dyDescent="0.4">
      <c r="C161" s="1826" t="s">
        <v>6246</v>
      </c>
      <c r="D161" s="1812" t="s">
        <v>6247</v>
      </c>
      <c r="E161" s="1812">
        <v>2016</v>
      </c>
      <c r="F161" s="1812">
        <v>2017</v>
      </c>
      <c r="G161" s="1812">
        <v>2018</v>
      </c>
    </row>
    <row r="162" spans="3:7" x14ac:dyDescent="0.4">
      <c r="C162" s="263" t="s">
        <v>6248</v>
      </c>
      <c r="D162" s="5" t="s">
        <v>6249</v>
      </c>
      <c r="E162" s="211">
        <v>9684</v>
      </c>
      <c r="F162" s="211"/>
      <c r="G162" s="211"/>
    </row>
    <row r="163" spans="3:7" x14ac:dyDescent="0.4">
      <c r="C163" s="263" t="s">
        <v>6250</v>
      </c>
      <c r="D163" s="5" t="s">
        <v>6251</v>
      </c>
      <c r="E163" s="211">
        <v>20765192</v>
      </c>
      <c r="F163" s="211">
        <v>29123218</v>
      </c>
      <c r="G163" s="211">
        <v>31332623</v>
      </c>
    </row>
    <row r="164" spans="3:7" x14ac:dyDescent="0.4">
      <c r="C164" s="263" t="s">
        <v>6252</v>
      </c>
      <c r="D164" s="5" t="s">
        <v>6253</v>
      </c>
      <c r="E164" s="211">
        <v>37587</v>
      </c>
      <c r="F164" s="211"/>
      <c r="G164" s="211"/>
    </row>
    <row r="165" spans="3:7" x14ac:dyDescent="0.4">
      <c r="C165" s="263" t="s">
        <v>6254</v>
      </c>
      <c r="D165" s="5" t="s">
        <v>6255</v>
      </c>
      <c r="E165" s="211">
        <v>151510</v>
      </c>
      <c r="F165" s="211"/>
      <c r="G165" s="211"/>
    </row>
    <row r="166" spans="3:7" x14ac:dyDescent="0.4">
      <c r="C166" s="263" t="s">
        <v>6256</v>
      </c>
      <c r="D166" s="5"/>
      <c r="E166" s="211">
        <v>83137</v>
      </c>
      <c r="F166" s="211"/>
      <c r="G166" s="211"/>
    </row>
    <row r="167" spans="3:7" x14ac:dyDescent="0.4">
      <c r="C167" s="263" t="s">
        <v>6257</v>
      </c>
      <c r="D167" s="5" t="s">
        <v>6258</v>
      </c>
      <c r="E167" s="211">
        <v>7130587</v>
      </c>
      <c r="F167" s="211"/>
      <c r="G167" s="211"/>
    </row>
    <row r="168" spans="3:7" x14ac:dyDescent="0.4">
      <c r="C168" s="1814" t="s">
        <v>6033</v>
      </c>
      <c r="D168" s="153"/>
      <c r="E168" s="1833">
        <v>28177689</v>
      </c>
      <c r="F168" s="1833">
        <v>29123218</v>
      </c>
      <c r="G168" s="1833">
        <v>31332623</v>
      </c>
    </row>
    <row r="169" spans="3:7" x14ac:dyDescent="0.4">
      <c r="C169" s="1834" t="s">
        <v>6259</v>
      </c>
      <c r="D169" s="1835"/>
      <c r="E169" s="1835"/>
      <c r="F169" s="1835"/>
      <c r="G169" s="1835"/>
    </row>
    <row r="170" spans="3:7" x14ac:dyDescent="0.4">
      <c r="C170" s="9" t="s">
        <v>6260</v>
      </c>
      <c r="D170" s="580"/>
      <c r="E170" s="580"/>
      <c r="F170" s="580"/>
      <c r="G170" s="580"/>
    </row>
    <row r="172" spans="3:7" x14ac:dyDescent="0.4">
      <c r="C172" s="1836" t="s">
        <v>6261</v>
      </c>
      <c r="D172" s="1836"/>
      <c r="E172" s="1836"/>
      <c r="F172" s="1836"/>
    </row>
    <row r="173" spans="3:7" x14ac:dyDescent="0.4">
      <c r="C173" s="709"/>
      <c r="D173" s="709"/>
      <c r="E173" s="709"/>
      <c r="F173" s="709"/>
    </row>
    <row r="174" spans="3:7" x14ac:dyDescent="0.4">
      <c r="C174" s="1826" t="s">
        <v>6262</v>
      </c>
      <c r="D174" s="1831">
        <v>2016</v>
      </c>
      <c r="E174" s="1831">
        <v>2017</v>
      </c>
      <c r="F174" s="1831">
        <v>2018</v>
      </c>
    </row>
    <row r="175" spans="3:7" x14ac:dyDescent="0.4">
      <c r="C175" s="5" t="s">
        <v>6263</v>
      </c>
      <c r="D175" s="211">
        <v>2607141</v>
      </c>
      <c r="E175" s="211">
        <v>3376235</v>
      </c>
      <c r="F175" s="211">
        <v>5684497</v>
      </c>
    </row>
    <row r="176" spans="3:7" x14ac:dyDescent="0.4">
      <c r="C176" s="5" t="s">
        <v>6264</v>
      </c>
      <c r="D176" s="211">
        <v>25143674</v>
      </c>
      <c r="E176" s="211">
        <v>25384355</v>
      </c>
      <c r="F176" s="211">
        <v>25152898</v>
      </c>
    </row>
    <row r="177" spans="3:6" x14ac:dyDescent="0.4">
      <c r="C177" s="5" t="s">
        <v>6265</v>
      </c>
      <c r="D177" s="211">
        <v>0</v>
      </c>
      <c r="E177" s="211">
        <v>0</v>
      </c>
      <c r="F177" s="211">
        <v>0</v>
      </c>
    </row>
    <row r="178" spans="3:6" x14ac:dyDescent="0.4">
      <c r="C178" s="5" t="s">
        <v>6266</v>
      </c>
      <c r="D178" s="211">
        <v>0</v>
      </c>
      <c r="E178" s="211">
        <v>0</v>
      </c>
      <c r="F178" s="211">
        <v>0</v>
      </c>
    </row>
    <row r="179" spans="3:6" x14ac:dyDescent="0.4">
      <c r="C179" s="5" t="s">
        <v>6267</v>
      </c>
      <c r="D179" s="211">
        <v>331994</v>
      </c>
      <c r="E179" s="211">
        <v>260249</v>
      </c>
      <c r="F179" s="211">
        <v>281206</v>
      </c>
    </row>
    <row r="180" spans="3:6" x14ac:dyDescent="0.4">
      <c r="C180" s="153" t="s">
        <v>47</v>
      </c>
      <c r="D180" s="1833">
        <v>28082809</v>
      </c>
      <c r="E180" s="1833">
        <v>29020839</v>
      </c>
      <c r="F180" s="1833">
        <v>3118601</v>
      </c>
    </row>
    <row r="181" spans="3:6" x14ac:dyDescent="0.4">
      <c r="C181" s="1837" t="s">
        <v>6268</v>
      </c>
      <c r="D181" s="1838"/>
      <c r="E181" s="1838"/>
      <c r="F181" s="1838"/>
    </row>
    <row r="183" spans="3:6" x14ac:dyDescent="0.4">
      <c r="C183" s="3335" t="s">
        <v>6269</v>
      </c>
      <c r="D183" s="3335"/>
      <c r="E183" s="172"/>
      <c r="F183" s="172"/>
    </row>
    <row r="184" spans="3:6" x14ac:dyDescent="0.4">
      <c r="C184" s="868"/>
      <c r="D184" s="868"/>
    </row>
    <row r="185" spans="3:6" x14ac:dyDescent="0.4">
      <c r="C185" s="1826" t="s">
        <v>46</v>
      </c>
      <c r="D185" s="1812" t="s">
        <v>6270</v>
      </c>
    </row>
    <row r="186" spans="3:6" x14ac:dyDescent="0.4">
      <c r="C186" s="382">
        <v>2016</v>
      </c>
      <c r="D186" s="211">
        <v>21623302</v>
      </c>
    </row>
    <row r="187" spans="3:6" x14ac:dyDescent="0.4">
      <c r="C187" s="382">
        <v>2017</v>
      </c>
      <c r="D187" s="211">
        <v>21179525</v>
      </c>
    </row>
    <row r="188" spans="3:6" x14ac:dyDescent="0.4">
      <c r="C188" s="383">
        <v>2018</v>
      </c>
      <c r="D188" s="1833">
        <v>18651572</v>
      </c>
    </row>
    <row r="189" spans="3:6" x14ac:dyDescent="0.4">
      <c r="C189" s="548" t="s">
        <v>6271</v>
      </c>
      <c r="D189" s="548"/>
    </row>
    <row r="191" spans="3:6" x14ac:dyDescent="0.4">
      <c r="C191" s="1810" t="s">
        <v>6272</v>
      </c>
      <c r="D191" s="1811"/>
      <c r="E191" s="1811"/>
      <c r="F191" s="1811"/>
    </row>
    <row r="192" spans="3:6" x14ac:dyDescent="0.4">
      <c r="C192" s="868"/>
      <c r="D192" s="868"/>
      <c r="E192" s="868"/>
      <c r="F192" s="868"/>
    </row>
    <row r="193" spans="3:6" x14ac:dyDescent="0.4">
      <c r="C193" s="1826" t="s">
        <v>6273</v>
      </c>
      <c r="D193" s="1812">
        <v>2016</v>
      </c>
      <c r="E193" s="1812">
        <v>2017</v>
      </c>
      <c r="F193" s="1812">
        <v>2018</v>
      </c>
    </row>
    <row r="194" spans="3:6" x14ac:dyDescent="0.4">
      <c r="C194" s="263" t="s">
        <v>6274</v>
      </c>
      <c r="D194" s="211">
        <v>8634230</v>
      </c>
      <c r="E194" s="211">
        <v>13897860</v>
      </c>
      <c r="F194" s="211">
        <v>7044860</v>
      </c>
    </row>
    <row r="195" spans="3:6" x14ac:dyDescent="0.4">
      <c r="C195" s="263" t="s">
        <v>6275</v>
      </c>
      <c r="D195" s="211">
        <v>60830</v>
      </c>
      <c r="E195" s="211">
        <v>70910</v>
      </c>
      <c r="F195" s="211">
        <v>924240</v>
      </c>
    </row>
    <row r="196" spans="3:6" x14ac:dyDescent="0.4">
      <c r="C196" s="263" t="s">
        <v>6276</v>
      </c>
      <c r="D196" s="211">
        <v>50790</v>
      </c>
      <c r="E196" s="211"/>
      <c r="F196" s="211"/>
    </row>
    <row r="197" spans="3:6" x14ac:dyDescent="0.4">
      <c r="C197" s="263" t="s">
        <v>6277</v>
      </c>
      <c r="D197" s="211">
        <v>65030</v>
      </c>
      <c r="E197" s="211">
        <v>12031713</v>
      </c>
      <c r="F197" s="211">
        <v>2527160</v>
      </c>
    </row>
    <row r="198" spans="3:6" x14ac:dyDescent="0.4">
      <c r="C198" s="263" t="s">
        <v>6278</v>
      </c>
      <c r="D198" s="211">
        <v>7890</v>
      </c>
      <c r="E198" s="211">
        <v>14330</v>
      </c>
      <c r="F198" s="211">
        <v>7900</v>
      </c>
    </row>
    <row r="199" spans="3:6" x14ac:dyDescent="0.4">
      <c r="C199" s="263" t="s">
        <v>6279</v>
      </c>
      <c r="D199" s="211">
        <v>45700</v>
      </c>
      <c r="E199" s="211">
        <v>1858750</v>
      </c>
      <c r="F199" s="211">
        <v>110390</v>
      </c>
    </row>
    <row r="200" spans="3:6" x14ac:dyDescent="0.4">
      <c r="C200" s="1814" t="s">
        <v>47</v>
      </c>
      <c r="D200" s="1833">
        <v>8864470</v>
      </c>
      <c r="E200" s="1833">
        <v>27873563</v>
      </c>
      <c r="F200" s="1833">
        <v>10617550</v>
      </c>
    </row>
    <row r="201" spans="3:6" x14ac:dyDescent="0.4">
      <c r="C201" s="1837" t="s">
        <v>6271</v>
      </c>
      <c r="D201" s="1838"/>
      <c r="E201" s="1838"/>
      <c r="F201" s="1838"/>
    </row>
  </sheetData>
  <mergeCells count="9">
    <mergeCell ref="A6:B6"/>
    <mergeCell ref="C6:O6"/>
    <mergeCell ref="C183:D183"/>
    <mergeCell ref="A3:B3"/>
    <mergeCell ref="C3:O3"/>
    <mergeCell ref="A4:B4"/>
    <mergeCell ref="C4:O4"/>
    <mergeCell ref="A5:B5"/>
    <mergeCell ref="C5:O5"/>
  </mergeCells>
  <hyperlinks>
    <hyperlink ref="A1" location="'ODS 12.'!A1" display="REGRESAR" xr:uid="{DD118CDD-863D-4A58-9657-3FD05B13E29A}"/>
    <hyperlink ref="C1:D1" location="'Metadato 12.4.2'!A1" display="VER METADATO" xr:uid="{37771D93-00BC-4BBD-8877-564D91456947}"/>
  </hyperlinks>
  <pageMargins left="0.7" right="0.7" top="0.75" bottom="0.75" header="0.3" footer="0.3"/>
  <pageSetup orientation="portrait"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25AB-DB7B-4AF1-9C5C-861399D7009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244</v>
      </c>
    </row>
    <row r="4" spans="1:6" x14ac:dyDescent="0.4">
      <c r="A4" s="283"/>
      <c r="B4" s="2425" t="s">
        <v>234</v>
      </c>
      <c r="C4" s="2425"/>
      <c r="D4" s="49" t="s">
        <v>6179</v>
      </c>
    </row>
    <row r="5" spans="1:6" ht="75" x14ac:dyDescent="0.4">
      <c r="B5" s="2425" t="s">
        <v>79</v>
      </c>
      <c r="C5" s="2425"/>
      <c r="D5" s="49" t="s">
        <v>6152</v>
      </c>
    </row>
    <row r="6" spans="1:6" ht="16.5" customHeight="1" x14ac:dyDescent="0.4">
      <c r="B6" s="2425" t="s">
        <v>80</v>
      </c>
      <c r="C6" s="2425"/>
      <c r="D6" s="50" t="s">
        <v>6155</v>
      </c>
    </row>
    <row r="7" spans="1:6" ht="37.5" x14ac:dyDescent="0.4">
      <c r="B7" s="2426" t="s">
        <v>81</v>
      </c>
      <c r="C7" s="2426"/>
      <c r="D7" s="93" t="s">
        <v>6156</v>
      </c>
    </row>
    <row r="8" spans="1:6" x14ac:dyDescent="0.4">
      <c r="B8" s="2426" t="s">
        <v>82</v>
      </c>
      <c r="C8" s="2426"/>
      <c r="D8" s="1047" t="s">
        <v>353</v>
      </c>
    </row>
    <row r="10" spans="1:6" ht="23.25" customHeight="1" x14ac:dyDescent="0.4">
      <c r="B10" s="3314" t="s">
        <v>85</v>
      </c>
      <c r="C10" s="3314"/>
      <c r="D10" s="3314"/>
    </row>
    <row r="11" spans="1:6" x14ac:dyDescent="0.4">
      <c r="B11" s="2427" t="s">
        <v>86</v>
      </c>
      <c r="C11" s="2428"/>
      <c r="D11" s="49"/>
    </row>
    <row r="12" spans="1:6" ht="37.5" x14ac:dyDescent="0.4">
      <c r="B12" s="2426" t="s">
        <v>88</v>
      </c>
      <c r="C12" s="2426"/>
      <c r="D12" s="184" t="s">
        <v>6280</v>
      </c>
    </row>
    <row r="13" spans="1:6" x14ac:dyDescent="0.4">
      <c r="B13" s="2425" t="s">
        <v>90</v>
      </c>
      <c r="C13" s="2425"/>
      <c r="D13" s="54" t="s">
        <v>6155</v>
      </c>
    </row>
    <row r="14" spans="1:6" x14ac:dyDescent="0.4">
      <c r="B14" s="2425" t="s">
        <v>91</v>
      </c>
      <c r="C14" s="2428"/>
      <c r="D14" s="54" t="s">
        <v>214</v>
      </c>
    </row>
    <row r="15" spans="1:6" ht="409.5" x14ac:dyDescent="0.4">
      <c r="B15" s="2425" t="s">
        <v>93</v>
      </c>
      <c r="C15" s="2425"/>
      <c r="D15" s="49" t="s">
        <v>6281</v>
      </c>
    </row>
    <row r="16" spans="1:6" ht="37.5" x14ac:dyDescent="0.4">
      <c r="B16" s="2425" t="s">
        <v>95</v>
      </c>
      <c r="C16" s="2425"/>
      <c r="D16" s="49" t="s">
        <v>6282</v>
      </c>
    </row>
    <row r="17" spans="2:4" x14ac:dyDescent="0.4">
      <c r="B17" s="2425" t="s">
        <v>97</v>
      </c>
      <c r="C17" s="2425"/>
      <c r="D17" s="55"/>
    </row>
    <row r="18" spans="2:4" ht="15" customHeight="1" x14ac:dyDescent="0.4">
      <c r="B18" s="2426" t="s">
        <v>99</v>
      </c>
      <c r="C18" s="2426"/>
      <c r="D18" s="49"/>
    </row>
    <row r="19" spans="2:4" ht="15" customHeight="1" x14ac:dyDescent="0.4">
      <c r="B19" s="2435" t="s">
        <v>100</v>
      </c>
      <c r="C19" s="2436"/>
      <c r="D19" s="55"/>
    </row>
    <row r="20" spans="2:4" x14ac:dyDescent="0.4">
      <c r="B20" s="2425" t="s">
        <v>102</v>
      </c>
      <c r="C20" s="2425"/>
      <c r="D20" s="49" t="s">
        <v>6283</v>
      </c>
    </row>
    <row r="21" spans="2:4" x14ac:dyDescent="0.4">
      <c r="B21" s="2432" t="s">
        <v>104</v>
      </c>
      <c r="C21" s="57" t="s">
        <v>105</v>
      </c>
      <c r="D21" s="49" t="s">
        <v>4620</v>
      </c>
    </row>
    <row r="22" spans="2:4" x14ac:dyDescent="0.4">
      <c r="B22" s="2433"/>
      <c r="C22" s="58" t="s">
        <v>107</v>
      </c>
      <c r="D22" s="55" t="s">
        <v>4620</v>
      </c>
    </row>
    <row r="23" spans="2:4" x14ac:dyDescent="0.4">
      <c r="B23" s="2425" t="s">
        <v>109</v>
      </c>
      <c r="C23" s="2425"/>
      <c r="D23" s="49" t="s">
        <v>143</v>
      </c>
    </row>
    <row r="24" spans="2:4" x14ac:dyDescent="0.4">
      <c r="B24" s="2425" t="s">
        <v>111</v>
      </c>
      <c r="C24" s="2425"/>
      <c r="D24" s="49" t="s">
        <v>6284</v>
      </c>
    </row>
    <row r="25" spans="2:4" ht="15" customHeight="1" x14ac:dyDescent="0.4">
      <c r="B25" s="2425" t="s">
        <v>113</v>
      </c>
      <c r="C25" s="2425"/>
      <c r="D25" s="55" t="s">
        <v>220</v>
      </c>
    </row>
    <row r="26" spans="2:4" ht="15" customHeight="1" x14ac:dyDescent="0.4">
      <c r="B26" s="2426" t="s">
        <v>115</v>
      </c>
      <c r="C26" s="2426"/>
      <c r="D26" s="49" t="s">
        <v>6285</v>
      </c>
    </row>
    <row r="27" spans="2:4" ht="16.149999999999999" customHeight="1" x14ac:dyDescent="0.4">
      <c r="B27" s="2427" t="s">
        <v>117</v>
      </c>
      <c r="C27" s="2428"/>
      <c r="D27" s="49"/>
    </row>
    <row r="28" spans="2:4" ht="409.6" customHeight="1" x14ac:dyDescent="0.4">
      <c r="B28" s="60" t="s">
        <v>118</v>
      </c>
      <c r="C28" s="61"/>
      <c r="D28" s="594" t="s">
        <v>6286</v>
      </c>
    </row>
    <row r="29" spans="2:4" x14ac:dyDescent="0.4">
      <c r="B29" s="2449" t="s">
        <v>120</v>
      </c>
      <c r="C29" s="2450"/>
      <c r="D29" s="62"/>
    </row>
    <row r="30" spans="2:4" x14ac:dyDescent="0.4">
      <c r="B30" s="63"/>
      <c r="C30" s="63"/>
      <c r="D30" s="64"/>
    </row>
    <row r="31" spans="2:4" ht="23.25" customHeight="1" x14ac:dyDescent="0.4">
      <c r="B31" s="3314" t="s">
        <v>121</v>
      </c>
      <c r="C31" s="3314"/>
      <c r="D31" s="3314"/>
    </row>
    <row r="32" spans="2:4" x14ac:dyDescent="0.4">
      <c r="B32" s="2427" t="s">
        <v>122</v>
      </c>
      <c r="C32" s="2428"/>
      <c r="D32" s="55" t="s">
        <v>6287</v>
      </c>
    </row>
    <row r="33" spans="2:4" x14ac:dyDescent="0.4">
      <c r="B33" s="2427" t="s">
        <v>124</v>
      </c>
      <c r="C33" s="2428"/>
      <c r="D33" s="55"/>
    </row>
    <row r="34" spans="2:4" x14ac:dyDescent="0.4">
      <c r="B34" s="2427" t="s">
        <v>126</v>
      </c>
      <c r="C34" s="2428"/>
      <c r="D34" s="55" t="s">
        <v>522</v>
      </c>
    </row>
    <row r="35" spans="2:4" x14ac:dyDescent="0.4">
      <c r="B35" s="2427" t="s">
        <v>128</v>
      </c>
      <c r="C35" s="2428"/>
      <c r="D35" s="246"/>
    </row>
    <row r="36" spans="2:4" x14ac:dyDescent="0.4">
      <c r="B36" s="2427" t="s">
        <v>130</v>
      </c>
      <c r="C36" s="2428"/>
      <c r="D36" s="55"/>
    </row>
    <row r="37" spans="2:4" x14ac:dyDescent="0.4">
      <c r="B37" s="2427" t="s">
        <v>122</v>
      </c>
      <c r="C37" s="2428"/>
      <c r="D37" s="55" t="s">
        <v>6288</v>
      </c>
    </row>
    <row r="38" spans="2:4" x14ac:dyDescent="0.4">
      <c r="B38" s="2427" t="s">
        <v>124</v>
      </c>
      <c r="C38" s="2428"/>
      <c r="D38" s="55" t="s">
        <v>6289</v>
      </c>
    </row>
    <row r="39" spans="2:4" x14ac:dyDescent="0.4">
      <c r="B39" s="2427" t="s">
        <v>126</v>
      </c>
      <c r="C39" s="2428"/>
      <c r="D39" s="55" t="s">
        <v>522</v>
      </c>
    </row>
    <row r="40" spans="2:4" x14ac:dyDescent="0.4">
      <c r="B40" s="2427" t="s">
        <v>128</v>
      </c>
      <c r="C40" s="2428"/>
      <c r="D40" s="246"/>
    </row>
    <row r="41" spans="2:4" x14ac:dyDescent="0.4">
      <c r="B41" s="2427" t="s">
        <v>130</v>
      </c>
      <c r="C41" s="2428"/>
      <c r="D41" s="1640" t="s">
        <v>6290</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7994400F-A294-4618-8DC6-B5D7B3BA6AC6}"/>
    <dataValidation type="list" allowBlank="1" showInputMessage="1" showErrorMessage="1" sqref="D4" xr:uid="{D345E111-B252-47E2-BCF1-7761D881AD7C}">
      <formula1>ODS</formula1>
    </dataValidation>
    <dataValidation type="list" allowBlank="1" showInputMessage="1" showErrorMessage="1" sqref="D5" xr:uid="{37108DB7-F561-453B-898D-D96E3507B13B}">
      <formula1>Metas_ODS</formula1>
    </dataValidation>
    <dataValidation type="list" allowBlank="1" showInputMessage="1" showErrorMessage="1" sqref="D6" xr:uid="{3D4BAF92-B195-4829-825A-40563DA8EC31}">
      <formula1>Numero_indicador</formula1>
    </dataValidation>
    <dataValidation type="list" allowBlank="1" showInputMessage="1" showErrorMessage="1" sqref="D7" xr:uid="{B12E1F95-218E-45E0-8697-1576354A5C92}">
      <formula1>Nombre_indicador_ODS</formula1>
    </dataValidation>
    <dataValidation type="list" allowBlank="1" showInputMessage="1" showErrorMessage="1" sqref="D14" xr:uid="{16C3231F-1C3E-43E3-86E3-621C995D7E5B}">
      <formula1>Tipo_indicador</formula1>
    </dataValidation>
    <dataValidation type="list" allowBlank="1" showInputMessage="1" showErrorMessage="1" sqref="D25" xr:uid="{BE061A1E-03F1-468C-AE1A-DD90E1736395}">
      <formula1>Tipo_operación</formula1>
    </dataValidation>
  </dataValidations>
  <hyperlinks>
    <hyperlink ref="B1" location="'12.4.2'!A1" display="REGRESAR" xr:uid="{1CE6856C-D5AD-4B91-BB81-E5A1AD85DF15}"/>
    <hyperlink ref="D8" r:id="rId1" xr:uid="{F830D896-7475-4DD2-9BE4-2BB37220C4C6}"/>
    <hyperlink ref="D41" r:id="rId2" xr:uid="{507FD7F7-3FA1-4278-B318-48AD6A3B361B}"/>
  </hyperlinks>
  <pageMargins left="0.7" right="0.7" top="0.75" bottom="0.75" header="0.3" footer="0.3"/>
  <pageSetup orientation="portrait" r:id="rId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2699-852B-4848-B85D-33D575F68062}">
  <dimension ref="A1:W57"/>
  <sheetViews>
    <sheetView showGridLines="0" zoomScale="90" zoomScaleNormal="90" workbookViewId="0">
      <pane ySplit="1" topLeftCell="A2" activePane="bottomLeft" state="frozen"/>
      <selection activeCell="B1" sqref="B1"/>
      <selection pane="bottomLeft"/>
    </sheetView>
  </sheetViews>
  <sheetFormatPr baseColWidth="10" defaultColWidth="11.42578125" defaultRowHeight="18.75" x14ac:dyDescent="0.4"/>
  <cols>
    <col min="1" max="2" width="15.7109375" style="115" customWidth="1"/>
    <col min="3" max="3" width="37" style="1048" customWidth="1"/>
    <col min="4" max="5" width="12.42578125" style="115" customWidth="1"/>
    <col min="6" max="16384" width="11.42578125" style="115"/>
  </cols>
  <sheetData>
    <row r="1" spans="1:23" x14ac:dyDescent="0.4">
      <c r="A1" s="90" t="s">
        <v>39</v>
      </c>
      <c r="B1" s="1311"/>
      <c r="C1" s="90" t="s">
        <v>149</v>
      </c>
    </row>
    <row r="3" spans="1:23" ht="18" customHeight="1" x14ac:dyDescent="0.4">
      <c r="A3" s="3315" t="s">
        <v>41</v>
      </c>
      <c r="B3" s="3315"/>
      <c r="C3" s="3315" t="s">
        <v>6140</v>
      </c>
      <c r="D3" s="3315"/>
      <c r="E3" s="3315"/>
      <c r="F3" s="3315"/>
      <c r="G3" s="3315"/>
      <c r="H3" s="3315"/>
      <c r="I3" s="3315"/>
      <c r="J3" s="3315"/>
      <c r="K3" s="3315"/>
      <c r="L3" s="3315"/>
      <c r="M3" s="3315"/>
      <c r="N3" s="3315"/>
      <c r="O3" s="3315"/>
      <c r="P3" s="3315"/>
      <c r="Q3" s="3315"/>
      <c r="R3" s="3315"/>
      <c r="S3" s="3315"/>
      <c r="T3" s="3315"/>
      <c r="U3" s="3315"/>
      <c r="V3" s="3315"/>
      <c r="W3" s="3315"/>
    </row>
    <row r="4" spans="1:23" ht="21" customHeight="1" x14ac:dyDescent="0.4">
      <c r="A4" s="3315" t="s">
        <v>42</v>
      </c>
      <c r="B4" s="3316"/>
      <c r="C4" s="3340" t="s">
        <v>6291</v>
      </c>
      <c r="D4" s="3341"/>
      <c r="E4" s="3341"/>
      <c r="F4" s="3341"/>
      <c r="G4" s="3341"/>
      <c r="H4" s="3341"/>
      <c r="I4" s="3341"/>
      <c r="J4" s="3341"/>
      <c r="K4" s="3341"/>
      <c r="L4" s="3341"/>
      <c r="M4" s="3341"/>
      <c r="N4" s="3341"/>
      <c r="O4" s="3341"/>
      <c r="P4" s="3341"/>
      <c r="Q4" s="3341"/>
      <c r="R4" s="3341"/>
      <c r="S4" s="3341"/>
      <c r="T4" s="3341"/>
      <c r="U4" s="3341"/>
      <c r="V4" s="3341"/>
      <c r="W4" s="3341"/>
    </row>
    <row r="5" spans="1:23" ht="16.899999999999999" customHeight="1" x14ac:dyDescent="0.4">
      <c r="A5" s="3315" t="s">
        <v>43</v>
      </c>
      <c r="B5" s="3316"/>
      <c r="C5" s="3340" t="s">
        <v>6159</v>
      </c>
      <c r="D5" s="3341"/>
      <c r="E5" s="3341"/>
      <c r="F5" s="3341"/>
      <c r="G5" s="3341"/>
      <c r="H5" s="3341"/>
      <c r="I5" s="3341"/>
      <c r="J5" s="3341"/>
      <c r="K5" s="3341"/>
      <c r="L5" s="3341"/>
      <c r="M5" s="3341"/>
      <c r="N5" s="3341"/>
      <c r="O5" s="3341"/>
      <c r="P5" s="3341"/>
      <c r="Q5" s="3341"/>
      <c r="R5" s="3341"/>
      <c r="S5" s="3341"/>
      <c r="T5" s="3341"/>
      <c r="U5" s="3341"/>
      <c r="V5" s="3341"/>
      <c r="W5" s="3341"/>
    </row>
    <row r="6" spans="1:23" ht="61.9" customHeight="1" x14ac:dyDescent="0.4">
      <c r="A6" s="3315" t="s">
        <v>132</v>
      </c>
      <c r="B6" s="3316"/>
      <c r="C6" s="3340" t="s">
        <v>6292</v>
      </c>
      <c r="D6" s="3316"/>
      <c r="E6" s="3316"/>
      <c r="F6" s="3316"/>
      <c r="G6" s="3316"/>
      <c r="H6" s="3316"/>
      <c r="I6" s="3316"/>
      <c r="J6" s="3316"/>
      <c r="K6" s="3316"/>
      <c r="L6" s="3316"/>
      <c r="M6" s="3316"/>
      <c r="N6" s="3316"/>
      <c r="O6" s="3316"/>
      <c r="P6" s="3316"/>
      <c r="Q6" s="3316"/>
      <c r="R6" s="3316"/>
      <c r="S6" s="3316"/>
      <c r="T6" s="3316"/>
      <c r="U6" s="3316"/>
      <c r="V6" s="3316"/>
      <c r="W6" s="3316"/>
    </row>
    <row r="7" spans="1:23" x14ac:dyDescent="0.4">
      <c r="A7" s="536"/>
    </row>
    <row r="8" spans="1:23" x14ac:dyDescent="0.4">
      <c r="A8" s="536"/>
    </row>
    <row r="9" spans="1:23" ht="12.75" customHeight="1" x14ac:dyDescent="0.4"/>
    <row r="10" spans="1:23" ht="19.5" x14ac:dyDescent="0.4">
      <c r="C10" s="138" t="s">
        <v>6293</v>
      </c>
      <c r="D10" s="138"/>
      <c r="E10" s="138"/>
      <c r="F10" s="138"/>
      <c r="G10" s="138"/>
      <c r="H10" s="138"/>
      <c r="I10" s="138"/>
      <c r="J10" s="533"/>
      <c r="K10" s="533"/>
      <c r="L10" s="533"/>
      <c r="M10" s="533"/>
      <c r="N10" s="533"/>
      <c r="T10" s="800" t="s">
        <v>6294</v>
      </c>
    </row>
    <row r="11" spans="1:23" ht="19.5" x14ac:dyDescent="0.4">
      <c r="C11" s="533"/>
      <c r="D11" s="533"/>
      <c r="E11" s="533"/>
      <c r="F11" s="533"/>
      <c r="G11" s="533"/>
      <c r="H11" s="533"/>
      <c r="I11" s="533"/>
      <c r="J11" s="533"/>
      <c r="K11" s="533"/>
      <c r="L11" s="533"/>
      <c r="M11" s="533"/>
      <c r="N11" s="533"/>
    </row>
    <row r="12" spans="1:23" x14ac:dyDescent="0.4">
      <c r="C12" s="1839" t="s">
        <v>6295</v>
      </c>
      <c r="D12" s="3339">
        <v>2017</v>
      </c>
      <c r="E12" s="3339"/>
      <c r="F12" s="3339">
        <v>2018</v>
      </c>
      <c r="G12" s="3339"/>
      <c r="H12" s="3339">
        <v>2019</v>
      </c>
      <c r="I12" s="3339"/>
      <c r="J12" s="3339">
        <v>2020</v>
      </c>
      <c r="K12" s="3339"/>
      <c r="L12" s="3339">
        <v>2021</v>
      </c>
      <c r="M12" s="3339"/>
      <c r="N12" s="3339">
        <v>2022</v>
      </c>
      <c r="O12" s="3339"/>
    </row>
    <row r="13" spans="1:23" x14ac:dyDescent="0.4">
      <c r="C13" s="1840"/>
      <c r="D13" s="1786" t="s">
        <v>6023</v>
      </c>
      <c r="E13" s="1786" t="s">
        <v>6022</v>
      </c>
      <c r="F13" s="1786" t="s">
        <v>6023</v>
      </c>
      <c r="G13" s="1786" t="s">
        <v>6022</v>
      </c>
      <c r="H13" s="1786" t="s">
        <v>6023</v>
      </c>
      <c r="I13" s="1786" t="s">
        <v>6022</v>
      </c>
      <c r="J13" s="1786" t="s">
        <v>6023</v>
      </c>
      <c r="K13" s="1786" t="s">
        <v>6022</v>
      </c>
      <c r="L13" s="1786" t="s">
        <v>6023</v>
      </c>
      <c r="M13" s="1786" t="s">
        <v>6022</v>
      </c>
      <c r="N13" s="1786" t="s">
        <v>6023</v>
      </c>
      <c r="O13" s="1786" t="s">
        <v>6025</v>
      </c>
    </row>
    <row r="14" spans="1:23" ht="37.5" x14ac:dyDescent="0.4">
      <c r="C14" s="1063" t="s">
        <v>6296</v>
      </c>
      <c r="D14" s="232">
        <v>36.82</v>
      </c>
      <c r="E14" s="1587">
        <v>36900000</v>
      </c>
      <c r="F14" s="232">
        <v>32.51</v>
      </c>
      <c r="G14" s="1587">
        <v>17385159</v>
      </c>
      <c r="H14" s="232">
        <v>8.4</v>
      </c>
      <c r="I14" s="1587">
        <v>3345199.9018332171</v>
      </c>
      <c r="J14" s="1841">
        <v>12.49</v>
      </c>
      <c r="K14" s="1587">
        <v>5683324</v>
      </c>
      <c r="L14" s="1842">
        <v>12.2</v>
      </c>
      <c r="M14" s="1843">
        <v>7799506</v>
      </c>
      <c r="N14" s="1844">
        <v>0.16500000000000001</v>
      </c>
      <c r="O14" s="1843">
        <v>12534137</v>
      </c>
    </row>
    <row r="15" spans="1:23" ht="37.5" x14ac:dyDescent="0.4">
      <c r="C15" s="1063" t="s">
        <v>6297</v>
      </c>
      <c r="D15" s="232"/>
      <c r="E15" s="1587"/>
      <c r="F15" s="232">
        <v>0.65</v>
      </c>
      <c r="G15" s="1587">
        <v>344950</v>
      </c>
      <c r="H15" s="232">
        <v>0.2</v>
      </c>
      <c r="I15" s="1587">
        <v>81552.248952220994</v>
      </c>
      <c r="J15" s="1841">
        <v>0.45</v>
      </c>
      <c r="K15" s="1587">
        <v>202538</v>
      </c>
      <c r="L15" s="1842">
        <v>4.4800000000000004</v>
      </c>
      <c r="M15" s="1843">
        <v>2860323</v>
      </c>
      <c r="N15" s="1844">
        <v>1E-3</v>
      </c>
      <c r="O15" s="1843">
        <v>82284</v>
      </c>
    </row>
    <row r="16" spans="1:23" ht="37.5" x14ac:dyDescent="0.4">
      <c r="C16" s="1063" t="s">
        <v>6298</v>
      </c>
      <c r="D16" s="232">
        <v>2.14</v>
      </c>
      <c r="E16" s="1587">
        <v>2140000</v>
      </c>
      <c r="F16" s="232">
        <v>13.34</v>
      </c>
      <c r="G16" s="1587">
        <v>7131113</v>
      </c>
      <c r="H16" s="232">
        <v>3.56</v>
      </c>
      <c r="I16" s="1587">
        <v>1417305.0567020231</v>
      </c>
      <c r="J16" s="1841">
        <v>10.62</v>
      </c>
      <c r="K16" s="1587">
        <v>4833093</v>
      </c>
      <c r="L16" s="1842">
        <v>32.76</v>
      </c>
      <c r="M16" s="1843">
        <v>20941815</v>
      </c>
      <c r="N16" s="1844">
        <v>5.2999999999999999E-2</v>
      </c>
      <c r="O16" s="1843">
        <v>4024902</v>
      </c>
    </row>
    <row r="17" spans="3:19" x14ac:dyDescent="0.4">
      <c r="C17" s="1063" t="s">
        <v>6299</v>
      </c>
      <c r="D17" s="232">
        <v>55.3</v>
      </c>
      <c r="E17" s="1587">
        <v>55415000</v>
      </c>
      <c r="F17" s="232">
        <v>52.38</v>
      </c>
      <c r="G17" s="1587">
        <v>28009341</v>
      </c>
      <c r="H17" s="232">
        <v>55.27</v>
      </c>
      <c r="I17" s="1587">
        <v>22012070.243636534</v>
      </c>
      <c r="J17" s="1841">
        <v>59.19</v>
      </c>
      <c r="K17" s="1587">
        <v>26937255</v>
      </c>
      <c r="L17" s="1842">
        <v>32.630000000000003</v>
      </c>
      <c r="M17" s="1843">
        <v>20855296</v>
      </c>
      <c r="N17" s="1844">
        <v>0.58199999999999996</v>
      </c>
      <c r="O17" s="1843">
        <v>44226657</v>
      </c>
    </row>
    <row r="18" spans="3:19" x14ac:dyDescent="0.4">
      <c r="C18" s="1063" t="s">
        <v>6300</v>
      </c>
      <c r="D18" s="232">
        <v>5.74</v>
      </c>
      <c r="E18" s="1587">
        <v>5752000</v>
      </c>
      <c r="F18" s="232">
        <v>0.84</v>
      </c>
      <c r="G18" s="1587">
        <v>446934</v>
      </c>
      <c r="H18" s="232">
        <v>1.93</v>
      </c>
      <c r="I18" s="1587">
        <v>770408.69219786115</v>
      </c>
      <c r="J18" s="1841">
        <v>6.97</v>
      </c>
      <c r="K18" s="1587">
        <v>3170452</v>
      </c>
      <c r="L18" s="1842">
        <v>12.19</v>
      </c>
      <c r="M18" s="1843">
        <v>7790036</v>
      </c>
      <c r="N18" s="1844">
        <v>0.13800000000000001</v>
      </c>
      <c r="O18" s="1843">
        <v>10480132</v>
      </c>
    </row>
    <row r="19" spans="3:19" ht="37.5" x14ac:dyDescent="0.4">
      <c r="C19" s="1063" t="s">
        <v>6301</v>
      </c>
      <c r="D19" s="232"/>
      <c r="E19" s="1587"/>
      <c r="F19" s="232">
        <v>0.27</v>
      </c>
      <c r="G19" s="1587">
        <v>145560</v>
      </c>
      <c r="H19" s="232">
        <v>0.21</v>
      </c>
      <c r="I19" s="1587">
        <v>85347.244553334094</v>
      </c>
      <c r="J19" s="1841">
        <v>0.1</v>
      </c>
      <c r="K19" s="1587">
        <v>45028</v>
      </c>
      <c r="L19" s="1842">
        <v>2.56</v>
      </c>
      <c r="M19" s="1843">
        <v>1639019</v>
      </c>
      <c r="N19" s="1844">
        <v>5.0000000000000001E-3</v>
      </c>
      <c r="O19" s="1843">
        <v>390523</v>
      </c>
    </row>
    <row r="20" spans="3:19" x14ac:dyDescent="0.4">
      <c r="C20" s="1063" t="s">
        <v>6302</v>
      </c>
      <c r="D20" s="232"/>
      <c r="E20" s="1587"/>
      <c r="F20" s="232"/>
      <c r="G20" s="1587"/>
      <c r="H20" s="232">
        <v>30.15</v>
      </c>
      <c r="I20" s="1587">
        <v>12006919</v>
      </c>
      <c r="J20" s="1841">
        <v>0.1</v>
      </c>
      <c r="K20" s="1587">
        <v>45717</v>
      </c>
      <c r="L20" s="1842">
        <v>0.09</v>
      </c>
      <c r="M20" s="1843">
        <v>55756</v>
      </c>
      <c r="N20" s="1844">
        <v>1.7999999999999999E-2</v>
      </c>
      <c r="O20" s="1843">
        <v>1399266</v>
      </c>
    </row>
    <row r="21" spans="3:19" x14ac:dyDescent="0.4">
      <c r="C21" s="1845" t="s">
        <v>6303</v>
      </c>
      <c r="D21" s="232"/>
      <c r="E21" s="1587"/>
      <c r="F21" s="232">
        <v>0.02</v>
      </c>
      <c r="G21" s="1587">
        <v>9900</v>
      </c>
      <c r="H21" s="232">
        <v>0.27</v>
      </c>
      <c r="I21" s="1587">
        <v>107710.33212481055</v>
      </c>
      <c r="J21" s="1841">
        <v>10.9</v>
      </c>
      <c r="K21" s="1587">
        <v>4593258</v>
      </c>
      <c r="L21" s="1842">
        <v>3.09</v>
      </c>
      <c r="M21" s="1843">
        <v>1975706</v>
      </c>
      <c r="N21" s="1844">
        <v>3.6999999999999998E-2</v>
      </c>
      <c r="O21" s="1843">
        <v>2845163</v>
      </c>
    </row>
    <row r="22" spans="3:19" ht="27.6" customHeight="1" x14ac:dyDescent="0.4">
      <c r="C22" s="1846" t="s">
        <v>6304</v>
      </c>
      <c r="D22" s="824">
        <v>100</v>
      </c>
      <c r="E22" s="1595">
        <v>100207000</v>
      </c>
      <c r="F22" s="824">
        <v>100</v>
      </c>
      <c r="G22" s="1595">
        <v>53472957</v>
      </c>
      <c r="H22" s="795">
        <v>100</v>
      </c>
      <c r="I22" s="1595">
        <v>39826512.719999999</v>
      </c>
      <c r="J22" s="1847">
        <v>100</v>
      </c>
      <c r="K22" s="1595">
        <v>45510666</v>
      </c>
      <c r="L22" s="298">
        <v>100</v>
      </c>
      <c r="M22" s="1595">
        <f>SUM(M14:M21)</f>
        <v>63917457</v>
      </c>
      <c r="N22" s="1848">
        <v>1</v>
      </c>
      <c r="O22" s="1849">
        <v>75983063</v>
      </c>
    </row>
    <row r="23" spans="3:19" ht="17.45" customHeight="1" x14ac:dyDescent="0.4">
      <c r="C23" s="1534" t="s">
        <v>6305</v>
      </c>
      <c r="D23" s="1534"/>
      <c r="E23" s="1534"/>
      <c r="F23" s="1534"/>
      <c r="G23" s="1534"/>
      <c r="H23" s="1534"/>
      <c r="I23" s="1534"/>
      <c r="J23" s="545"/>
      <c r="K23" s="545"/>
      <c r="L23" s="545"/>
      <c r="M23" s="545"/>
      <c r="N23" s="545"/>
    </row>
    <row r="24" spans="3:19" x14ac:dyDescent="0.4">
      <c r="C24" s="1048" t="s">
        <v>6306</v>
      </c>
      <c r="D24" s="1048"/>
      <c r="E24" s="1048"/>
      <c r="F24" s="1048"/>
      <c r="G24" s="1048"/>
    </row>
    <row r="25" spans="3:19" ht="26.25" customHeight="1" x14ac:dyDescent="0.4"/>
    <row r="26" spans="3:19" ht="12.75" customHeight="1" x14ac:dyDescent="0.4"/>
    <row r="27" spans="3:19" ht="15" customHeight="1" x14ac:dyDescent="0.4">
      <c r="C27" s="2271" t="s">
        <v>8103</v>
      </c>
      <c r="D27" s="533"/>
      <c r="E27" s="533"/>
      <c r="F27" s="533"/>
      <c r="G27" s="533"/>
      <c r="H27" s="533"/>
      <c r="I27" s="533"/>
      <c r="J27" s="533"/>
      <c r="K27" s="533"/>
      <c r="L27" s="533"/>
      <c r="M27" s="533"/>
      <c r="N27" s="533"/>
      <c r="O27" s="533"/>
      <c r="P27" s="533"/>
      <c r="Q27" s="533"/>
      <c r="R27" s="533"/>
    </row>
    <row r="28" spans="3:19" ht="19.5" x14ac:dyDescent="0.4">
      <c r="C28" s="533"/>
      <c r="D28" s="533"/>
      <c r="E28" s="533"/>
      <c r="F28" s="533"/>
      <c r="G28" s="533"/>
      <c r="H28" s="533"/>
      <c r="I28" s="533"/>
      <c r="J28" s="533"/>
      <c r="K28" s="533"/>
      <c r="L28" s="533"/>
      <c r="M28" s="533"/>
      <c r="N28" s="533"/>
      <c r="O28" s="533"/>
      <c r="P28" s="533"/>
      <c r="Q28" s="533"/>
      <c r="R28" s="533"/>
    </row>
    <row r="29" spans="3:19" x14ac:dyDescent="0.4">
      <c r="C29" s="1850" t="s">
        <v>6307</v>
      </c>
      <c r="D29" s="3336">
        <v>2016</v>
      </c>
      <c r="E29" s="3336"/>
      <c r="F29" s="3336">
        <v>2017</v>
      </c>
      <c r="G29" s="3336"/>
      <c r="H29" s="3336">
        <v>2018</v>
      </c>
      <c r="I29" s="3336"/>
      <c r="J29" s="3336">
        <v>2019</v>
      </c>
      <c r="K29" s="3336"/>
      <c r="L29" s="1851">
        <v>2020</v>
      </c>
      <c r="M29" s="1851"/>
      <c r="N29" s="1851">
        <v>2021</v>
      </c>
      <c r="O29" s="1851"/>
      <c r="P29" s="3336">
        <v>2022</v>
      </c>
      <c r="Q29" s="3336"/>
      <c r="R29" s="3336">
        <v>2023</v>
      </c>
      <c r="S29" s="3336"/>
    </row>
    <row r="30" spans="3:19" s="2270" customFormat="1" x14ac:dyDescent="0.4">
      <c r="C30" s="2352"/>
      <c r="D30" s="2352" t="s">
        <v>8095</v>
      </c>
      <c r="E30" s="2352" t="s">
        <v>98</v>
      </c>
      <c r="F30" s="2352" t="s">
        <v>8095</v>
      </c>
      <c r="G30" s="2352" t="s">
        <v>98</v>
      </c>
      <c r="H30" s="2352" t="s">
        <v>8095</v>
      </c>
      <c r="I30" s="2352" t="s">
        <v>98</v>
      </c>
      <c r="J30" s="2352" t="s">
        <v>8095</v>
      </c>
      <c r="K30" s="2352" t="s">
        <v>98</v>
      </c>
      <c r="L30" s="2352" t="s">
        <v>8095</v>
      </c>
      <c r="M30" s="2352" t="s">
        <v>98</v>
      </c>
      <c r="N30" s="2352" t="s">
        <v>8095</v>
      </c>
      <c r="O30" s="2352" t="s">
        <v>98</v>
      </c>
      <c r="P30" s="2352" t="s">
        <v>8095</v>
      </c>
      <c r="Q30" s="2352" t="s">
        <v>98</v>
      </c>
      <c r="R30" s="2352" t="s">
        <v>8095</v>
      </c>
      <c r="S30" s="2352" t="s">
        <v>98</v>
      </c>
    </row>
    <row r="31" spans="3:19" x14ac:dyDescent="0.4">
      <c r="C31" s="1063" t="s">
        <v>6308</v>
      </c>
      <c r="D31" s="1720">
        <v>1218000</v>
      </c>
      <c r="E31" s="1723">
        <v>1</v>
      </c>
      <c r="F31" s="1720">
        <v>1266917</v>
      </c>
      <c r="G31" s="1723">
        <v>1</v>
      </c>
      <c r="H31" s="1720">
        <v>1462397</v>
      </c>
      <c r="I31" s="1723">
        <v>1</v>
      </c>
      <c r="J31" s="1720">
        <v>1343607.6488463683</v>
      </c>
      <c r="K31" s="1722">
        <v>1</v>
      </c>
      <c r="L31" s="1720">
        <v>1459288</v>
      </c>
      <c r="M31" s="1722">
        <v>1</v>
      </c>
      <c r="N31" s="1720">
        <v>1618533</v>
      </c>
      <c r="O31" s="1722">
        <v>1</v>
      </c>
      <c r="P31" s="1720">
        <v>1615777</v>
      </c>
      <c r="Q31" s="1722">
        <v>1</v>
      </c>
      <c r="R31" s="1720">
        <v>1710351</v>
      </c>
      <c r="S31" s="1722">
        <v>1</v>
      </c>
    </row>
    <row r="32" spans="3:19" x14ac:dyDescent="0.4">
      <c r="C32" s="1063" t="s">
        <v>6309</v>
      </c>
      <c r="D32" s="1720">
        <v>73400</v>
      </c>
      <c r="E32" s="1722">
        <v>0.06</v>
      </c>
      <c r="F32" s="1720">
        <v>103895</v>
      </c>
      <c r="G32" s="1722">
        <v>8.2000000000000003E-2</v>
      </c>
      <c r="H32" s="1720">
        <v>61370</v>
      </c>
      <c r="I32" s="1722">
        <v>4.2000000000000003E-2</v>
      </c>
      <c r="J32" s="1717">
        <v>90706.765039999998</v>
      </c>
      <c r="K32" s="1852">
        <v>6.7509860574165026E-2</v>
      </c>
      <c r="L32" s="1717">
        <v>91057</v>
      </c>
      <c r="M32" s="1852">
        <f>L32/$L$31</f>
        <v>6.2398238044854754E-2</v>
      </c>
      <c r="N32" s="1717">
        <v>155932</v>
      </c>
      <c r="O32" s="1852">
        <f>N32/N$31</f>
        <v>9.6341563625826604E-2</v>
      </c>
      <c r="P32" s="1720" t="s">
        <v>6310</v>
      </c>
      <c r="Q32" s="1722">
        <v>0.107</v>
      </c>
      <c r="R32" s="1720">
        <v>250314</v>
      </c>
      <c r="S32" s="1722">
        <v>0.1464</v>
      </c>
    </row>
    <row r="33" spans="3:19" x14ac:dyDescent="0.4">
      <c r="C33" s="1063" t="s">
        <v>6311</v>
      </c>
      <c r="D33" s="1720">
        <v>40000</v>
      </c>
      <c r="E33" s="1722">
        <v>3.3000000000000002E-2</v>
      </c>
      <c r="F33" s="1720">
        <v>100207</v>
      </c>
      <c r="G33" s="1722">
        <v>7.9000000000000001E-2</v>
      </c>
      <c r="H33" s="1720">
        <v>53473</v>
      </c>
      <c r="I33" s="1722">
        <v>3.6999999999999998E-2</v>
      </c>
      <c r="J33" s="1853">
        <v>39826.512719999999</v>
      </c>
      <c r="K33" s="1852">
        <v>2.9641475139111736E-2</v>
      </c>
      <c r="L33" s="1853">
        <v>45511</v>
      </c>
      <c r="M33" s="1852">
        <f>L33/$L$31</f>
        <v>3.1187126872831133E-2</v>
      </c>
      <c r="N33" s="1853">
        <v>63917</v>
      </c>
      <c r="O33" s="1852">
        <f>N33/N$31</f>
        <v>3.9490699293743159E-2</v>
      </c>
      <c r="P33" s="1720" t="s">
        <v>6312</v>
      </c>
      <c r="Q33" s="1722">
        <v>4.7E-2</v>
      </c>
      <c r="R33" s="1720">
        <v>142201</v>
      </c>
      <c r="S33" s="1722">
        <v>8.3099999999999993E-2</v>
      </c>
    </row>
    <row r="34" spans="3:19" x14ac:dyDescent="0.4">
      <c r="C34" s="1063" t="s">
        <v>6313</v>
      </c>
      <c r="D34" s="1854">
        <v>400</v>
      </c>
      <c r="E34" s="1722">
        <v>0</v>
      </c>
      <c r="F34" s="1720">
        <v>1774</v>
      </c>
      <c r="G34" s="1722">
        <v>1E-3</v>
      </c>
      <c r="H34" s="1720">
        <v>4857</v>
      </c>
      <c r="I34" s="1722">
        <v>3.0000000000000001E-3</v>
      </c>
      <c r="J34" s="1853">
        <v>50677.25232</v>
      </c>
      <c r="K34" s="1852">
        <v>3.7717299662227935E-2</v>
      </c>
      <c r="L34" s="1853">
        <v>43736</v>
      </c>
      <c r="M34" s="1852">
        <f>L34/$L$31</f>
        <v>2.9970780270926645E-2</v>
      </c>
      <c r="N34" s="1853">
        <v>43755</v>
      </c>
      <c r="O34" s="1852">
        <f>N34/N$31</f>
        <v>2.7033739812533944E-2</v>
      </c>
      <c r="P34" s="1720" t="s">
        <v>6314</v>
      </c>
      <c r="Q34" s="1722">
        <v>2.8000000000000001E-2</v>
      </c>
      <c r="R34" s="1720">
        <v>53470</v>
      </c>
      <c r="S34" s="1722">
        <v>3.1300000000000001E-2</v>
      </c>
    </row>
    <row r="35" spans="3:19" x14ac:dyDescent="0.4">
      <c r="C35" s="1726" t="s">
        <v>6315</v>
      </c>
      <c r="D35" s="1727">
        <v>33000</v>
      </c>
      <c r="E35" s="1855">
        <v>2.7E-2</v>
      </c>
      <c r="F35" s="1727">
        <v>1914</v>
      </c>
      <c r="G35" s="1855">
        <v>2E-3</v>
      </c>
      <c r="H35" s="1727">
        <v>3040</v>
      </c>
      <c r="I35" s="1855">
        <v>2E-3</v>
      </c>
      <c r="J35" s="1856">
        <v>203</v>
      </c>
      <c r="K35" s="1857">
        <v>1.5108577282534625E-4</v>
      </c>
      <c r="L35" s="1856">
        <v>1810</v>
      </c>
      <c r="M35" s="1857">
        <f>L35/$L$31</f>
        <v>1.2403309010969733E-3</v>
      </c>
      <c r="N35" s="1856">
        <v>48259</v>
      </c>
      <c r="O35" s="1857">
        <f>N35/N$31</f>
        <v>2.9816506676107316E-2</v>
      </c>
      <c r="P35" s="1727" t="s">
        <v>6316</v>
      </c>
      <c r="Q35" s="1855">
        <v>3.2000000000000001E-2</v>
      </c>
      <c r="R35" s="1727">
        <v>54643</v>
      </c>
      <c r="S35" s="1855">
        <v>3.1899999999999998E-2</v>
      </c>
    </row>
    <row r="36" spans="3:19" x14ac:dyDescent="0.4">
      <c r="C36" s="1048" t="s">
        <v>8104</v>
      </c>
      <c r="D36" s="1048"/>
      <c r="E36" s="1048"/>
      <c r="F36" s="1048"/>
      <c r="G36" s="1048"/>
      <c r="H36" s="1858"/>
      <c r="I36" s="1433"/>
      <c r="J36" s="1433"/>
      <c r="K36" s="1433"/>
      <c r="L36" s="1433"/>
      <c r="M36" s="1433"/>
      <c r="N36" s="1433"/>
    </row>
    <row r="37" spans="3:19" ht="15" customHeight="1" x14ac:dyDescent="0.4">
      <c r="C37" s="1845"/>
      <c r="D37" s="1859"/>
      <c r="E37" s="1717"/>
      <c r="F37" s="1859"/>
      <c r="G37" s="1717"/>
      <c r="H37" s="1858"/>
      <c r="I37" s="1433"/>
      <c r="J37" s="1433"/>
      <c r="K37" s="1433"/>
      <c r="L37" s="1433"/>
      <c r="M37" s="1433"/>
      <c r="N37" s="1433"/>
    </row>
    <row r="38" spans="3:19" ht="19.5" x14ac:dyDescent="0.4">
      <c r="C38" s="163" t="s">
        <v>6317</v>
      </c>
      <c r="D38" s="1860"/>
      <c r="E38" s="1860"/>
      <c r="F38" s="1860"/>
      <c r="G38" s="1860"/>
      <c r="H38" s="1860"/>
      <c r="I38" s="1861"/>
      <c r="J38" s="1861"/>
      <c r="K38" s="1861"/>
      <c r="L38" s="1861"/>
      <c r="M38" s="1861"/>
      <c r="N38" s="1861"/>
      <c r="O38" s="1861"/>
      <c r="P38" s="1861"/>
    </row>
    <row r="39" spans="3:19" ht="9" customHeight="1" x14ac:dyDescent="0.4">
      <c r="C39" s="575"/>
      <c r="D39" s="575"/>
      <c r="E39" s="575"/>
      <c r="F39" s="575"/>
      <c r="G39" s="575"/>
      <c r="H39" s="575"/>
      <c r="I39" s="575"/>
      <c r="J39" s="575"/>
      <c r="K39" s="575"/>
      <c r="L39" s="575"/>
      <c r="M39" s="575"/>
      <c r="N39" s="575"/>
      <c r="O39" s="575"/>
      <c r="P39" s="575"/>
    </row>
    <row r="40" spans="3:19" x14ac:dyDescent="0.4">
      <c r="C40" s="1850" t="s">
        <v>6307</v>
      </c>
      <c r="D40" s="3336">
        <v>2016</v>
      </c>
      <c r="E40" s="3336"/>
      <c r="F40" s="3336">
        <v>2017</v>
      </c>
      <c r="G40" s="3336"/>
      <c r="H40" s="3336">
        <v>2018</v>
      </c>
      <c r="I40" s="3336"/>
      <c r="J40" s="3336">
        <v>2019</v>
      </c>
      <c r="K40" s="3336"/>
      <c r="L40" s="3336">
        <v>2020</v>
      </c>
      <c r="M40" s="3336"/>
      <c r="N40" s="3336">
        <v>2021</v>
      </c>
      <c r="O40" s="3336"/>
      <c r="P40" s="3336">
        <v>2022</v>
      </c>
      <c r="Q40" s="3336"/>
      <c r="R40" s="3336">
        <v>2023</v>
      </c>
      <c r="S40" s="3336"/>
    </row>
    <row r="41" spans="3:19" ht="12.75" customHeight="1" x14ac:dyDescent="0.4">
      <c r="C41" s="1063" t="s">
        <v>6318</v>
      </c>
      <c r="D41" s="1862">
        <v>4890372</v>
      </c>
      <c r="E41" s="1862"/>
      <c r="F41" s="3337">
        <v>4947481</v>
      </c>
      <c r="G41" s="3337"/>
      <c r="H41" s="3337">
        <v>5003393</v>
      </c>
      <c r="I41" s="3337"/>
      <c r="J41" s="3337">
        <v>5057999</v>
      </c>
      <c r="K41" s="3337"/>
      <c r="L41" s="3337">
        <v>5111221</v>
      </c>
      <c r="M41" s="3337"/>
      <c r="N41" s="3338">
        <v>5163021</v>
      </c>
      <c r="O41" s="3338"/>
      <c r="P41" s="3338">
        <v>5044197</v>
      </c>
      <c r="Q41" s="3338"/>
      <c r="R41" s="3338">
        <v>5135912</v>
      </c>
      <c r="S41" s="3338"/>
    </row>
    <row r="42" spans="3:19" x14ac:dyDescent="0.4">
      <c r="C42" s="1063" t="s">
        <v>6319</v>
      </c>
      <c r="D42" s="1720">
        <v>1218000</v>
      </c>
      <c r="E42" s="1723">
        <v>1</v>
      </c>
      <c r="F42" s="1720">
        <v>1266917</v>
      </c>
      <c r="G42" s="1723">
        <v>1</v>
      </c>
      <c r="H42" s="1720">
        <v>1462397</v>
      </c>
      <c r="I42" s="1723">
        <v>1</v>
      </c>
      <c r="J42" s="1720">
        <v>1343607.6488463683</v>
      </c>
      <c r="K42" s="1722">
        <v>1</v>
      </c>
      <c r="L42" s="1720">
        <v>1459288</v>
      </c>
      <c r="M42" s="1722">
        <v>1</v>
      </c>
      <c r="N42" s="1863">
        <v>1618533</v>
      </c>
      <c r="O42" s="1723">
        <v>1</v>
      </c>
      <c r="P42" s="1863">
        <v>1615777</v>
      </c>
      <c r="Q42" s="1723">
        <v>1</v>
      </c>
      <c r="R42" s="1863"/>
      <c r="S42" s="2354"/>
    </row>
    <row r="43" spans="3:19" x14ac:dyDescent="0.4">
      <c r="C43" s="1063" t="s">
        <v>6320</v>
      </c>
      <c r="D43" s="1720">
        <v>1147000</v>
      </c>
      <c r="E43" s="1722">
        <v>0.94199999999999995</v>
      </c>
      <c r="F43" s="1720">
        <v>898370</v>
      </c>
      <c r="G43" s="1722">
        <v>0.70899999999999996</v>
      </c>
      <c r="H43" s="1720">
        <v>1063012</v>
      </c>
      <c r="I43" s="1722">
        <v>0.72699999999999998</v>
      </c>
      <c r="J43" s="1717">
        <v>1071031.72135116</v>
      </c>
      <c r="K43" s="1722">
        <v>0.79713130709754143</v>
      </c>
      <c r="L43" s="1717">
        <v>1181662</v>
      </c>
      <c r="M43" s="1722">
        <v>0.81</v>
      </c>
      <c r="N43" s="1864">
        <v>1327197</v>
      </c>
      <c r="O43" s="1865">
        <v>0.82</v>
      </c>
      <c r="R43" s="2270"/>
      <c r="S43" s="2353"/>
    </row>
    <row r="44" spans="3:19" ht="37.5" x14ac:dyDescent="0.4">
      <c r="C44" s="1063" t="s">
        <v>6321</v>
      </c>
      <c r="D44" s="1720">
        <v>71000</v>
      </c>
      <c r="E44" s="1722">
        <v>5.8000000000000003E-2</v>
      </c>
      <c r="F44" s="1720">
        <v>368547</v>
      </c>
      <c r="G44" s="1722">
        <v>0.29099999999999998</v>
      </c>
      <c r="H44" s="1720">
        <v>399385</v>
      </c>
      <c r="I44" s="1722">
        <v>0.27300000000000002</v>
      </c>
      <c r="J44" s="1720">
        <v>272575.92749520828</v>
      </c>
      <c r="K44" s="1722">
        <v>0.20286869290245857</v>
      </c>
      <c r="L44" s="1720">
        <v>277626</v>
      </c>
      <c r="M44" s="1722">
        <v>0.19</v>
      </c>
      <c r="N44" s="1720">
        <v>291336</v>
      </c>
      <c r="O44" s="1865">
        <v>0.18</v>
      </c>
      <c r="R44" s="2270"/>
      <c r="S44" s="2353"/>
    </row>
    <row r="45" spans="3:19" x14ac:dyDescent="0.4">
      <c r="C45" s="1063" t="s">
        <v>6322</v>
      </c>
      <c r="D45" s="1720">
        <v>1218000</v>
      </c>
      <c r="E45" s="1723">
        <v>1</v>
      </c>
      <c r="F45" s="1720">
        <v>1266917</v>
      </c>
      <c r="G45" s="1723">
        <v>1</v>
      </c>
      <c r="H45" s="1720">
        <v>1462397</v>
      </c>
      <c r="I45" s="1723">
        <v>1</v>
      </c>
      <c r="J45" s="1717">
        <v>1343607.6488463683</v>
      </c>
      <c r="K45" s="1722">
        <v>1</v>
      </c>
      <c r="L45" s="1717">
        <v>1459288</v>
      </c>
      <c r="M45" s="1722">
        <v>1</v>
      </c>
      <c r="N45" s="1864">
        <v>1618533</v>
      </c>
      <c r="O45" s="1723">
        <v>1</v>
      </c>
      <c r="R45" s="1864">
        <v>1710351</v>
      </c>
      <c r="S45" s="2355">
        <v>1</v>
      </c>
    </row>
    <row r="46" spans="3:19" x14ac:dyDescent="0.4">
      <c r="C46" s="1063" t="s">
        <v>6323</v>
      </c>
      <c r="D46" s="1720">
        <v>1061800</v>
      </c>
      <c r="E46" s="1722">
        <v>0.872</v>
      </c>
      <c r="F46" s="1720">
        <v>1147345</v>
      </c>
      <c r="G46" s="1722">
        <v>0.90600000000000003</v>
      </c>
      <c r="H46" s="1720">
        <v>1357572</v>
      </c>
      <c r="I46" s="1722">
        <v>0.92800000000000005</v>
      </c>
      <c r="J46" s="1717">
        <v>1253156.3221168949</v>
      </c>
      <c r="K46" s="1852">
        <v>0.93268025319211634</v>
      </c>
      <c r="L46" s="1717">
        <v>1314269</v>
      </c>
      <c r="M46" s="1852">
        <v>0.90100000000000002</v>
      </c>
      <c r="N46" s="1864">
        <v>1437988</v>
      </c>
      <c r="O46" s="1865">
        <v>0.88800000000000001</v>
      </c>
      <c r="P46" s="1863" t="s">
        <v>6324</v>
      </c>
      <c r="Q46" s="1865">
        <v>0.92700000000000005</v>
      </c>
      <c r="R46" s="1863">
        <v>1592328</v>
      </c>
      <c r="S46" s="2356">
        <v>0.93100000000000005</v>
      </c>
    </row>
    <row r="47" spans="3:19" x14ac:dyDescent="0.4">
      <c r="C47" s="1063" t="s">
        <v>6325</v>
      </c>
      <c r="D47" s="1720">
        <v>73400</v>
      </c>
      <c r="E47" s="1722">
        <v>0.06</v>
      </c>
      <c r="F47" s="1720">
        <v>103895</v>
      </c>
      <c r="G47" s="1722">
        <v>8.2000000000000003E-2</v>
      </c>
      <c r="H47" s="1720">
        <v>61370</v>
      </c>
      <c r="I47" s="1722">
        <v>4.2000000000000003E-2</v>
      </c>
      <c r="J47" s="1717">
        <v>90706.765039999998</v>
      </c>
      <c r="K47" s="1852">
        <v>6.7509860574165026E-2</v>
      </c>
      <c r="L47" s="1717">
        <v>91057</v>
      </c>
      <c r="M47" s="1852">
        <v>6.2E-2</v>
      </c>
      <c r="N47" s="1864">
        <v>155932</v>
      </c>
      <c r="O47" s="1865">
        <v>9.6000000000000002E-2</v>
      </c>
      <c r="P47" s="1863" t="s">
        <v>6310</v>
      </c>
      <c r="Q47" s="1865">
        <v>0.107</v>
      </c>
      <c r="R47" s="1863">
        <v>250314</v>
      </c>
      <c r="S47" s="2356">
        <v>0.14599999999999999</v>
      </c>
    </row>
    <row r="48" spans="3:19" x14ac:dyDescent="0.4">
      <c r="C48" s="1063" t="s">
        <v>6326</v>
      </c>
      <c r="D48" s="1720">
        <v>40000</v>
      </c>
      <c r="E48" s="1722">
        <v>3.3000000000000002E-2</v>
      </c>
      <c r="F48" s="1720">
        <v>100207</v>
      </c>
      <c r="G48" s="1722">
        <v>7.9000000000000001E-2</v>
      </c>
      <c r="H48" s="1720">
        <v>53473</v>
      </c>
      <c r="I48" s="1722">
        <v>3.6999999999999998E-2</v>
      </c>
      <c r="J48" s="1853">
        <v>39826.512719999999</v>
      </c>
      <c r="K48" s="1852">
        <v>2.9641475139111736E-2</v>
      </c>
      <c r="L48" s="1853">
        <v>45511</v>
      </c>
      <c r="M48" s="1852">
        <v>3.1E-2</v>
      </c>
      <c r="N48" s="1866">
        <v>63917</v>
      </c>
      <c r="O48" s="1865">
        <v>3.9E-2</v>
      </c>
      <c r="P48" s="1863" t="s">
        <v>6312</v>
      </c>
      <c r="Q48" s="1865">
        <v>4.7E-2</v>
      </c>
      <c r="R48" s="1863">
        <v>142201</v>
      </c>
      <c r="S48" s="2356">
        <v>8.3000000000000004E-2</v>
      </c>
    </row>
    <row r="49" spans="3:19" x14ac:dyDescent="0.4">
      <c r="C49" s="1063" t="s">
        <v>6327</v>
      </c>
      <c r="D49" s="1854">
        <v>400</v>
      </c>
      <c r="E49" s="1722">
        <v>0</v>
      </c>
      <c r="F49" s="1720">
        <v>1774</v>
      </c>
      <c r="G49" s="1722">
        <v>1E-3</v>
      </c>
      <c r="H49" s="1720">
        <v>4857</v>
      </c>
      <c r="I49" s="1722">
        <v>3.0000000000000001E-3</v>
      </c>
      <c r="J49" s="1853">
        <v>50677.25232</v>
      </c>
      <c r="K49" s="1852">
        <v>3.7717299662227935E-2</v>
      </c>
      <c r="L49" s="1853">
        <v>43736</v>
      </c>
      <c r="M49" s="1852">
        <v>0.03</v>
      </c>
      <c r="N49" s="1866">
        <v>43755</v>
      </c>
      <c r="O49" s="1865">
        <v>2.7E-2</v>
      </c>
      <c r="P49" s="1863" t="s">
        <v>6314</v>
      </c>
      <c r="Q49" s="1865">
        <v>2.8000000000000001E-2</v>
      </c>
      <c r="R49" s="1863">
        <v>53470</v>
      </c>
      <c r="S49" s="2356">
        <v>3.1E-2</v>
      </c>
    </row>
    <row r="50" spans="3:19" x14ac:dyDescent="0.4">
      <c r="C50" s="1063" t="s">
        <v>6328</v>
      </c>
      <c r="D50" s="1720">
        <v>33000</v>
      </c>
      <c r="E50" s="1722">
        <v>2.7E-2</v>
      </c>
      <c r="F50" s="1720">
        <v>1914</v>
      </c>
      <c r="G50" s="1722">
        <v>2E-3</v>
      </c>
      <c r="H50" s="1720">
        <v>3040</v>
      </c>
      <c r="I50" s="1722">
        <v>2E-3</v>
      </c>
      <c r="J50" s="1867">
        <v>203</v>
      </c>
      <c r="K50" s="1852">
        <v>1.5108577282534625E-4</v>
      </c>
      <c r="L50" s="1867">
        <v>1810</v>
      </c>
      <c r="M50" s="1852">
        <v>1E-3</v>
      </c>
      <c r="N50" s="1867">
        <v>48259</v>
      </c>
      <c r="O50" s="1865">
        <v>3.4000000000000002E-2</v>
      </c>
      <c r="P50" s="1863" t="s">
        <v>6316</v>
      </c>
      <c r="Q50" s="1865">
        <v>3.2000000000000001E-2</v>
      </c>
      <c r="R50" s="1863">
        <v>54643</v>
      </c>
      <c r="S50" s="2356">
        <v>3.2000000000000001E-2</v>
      </c>
    </row>
    <row r="51" spans="3:19" x14ac:dyDescent="0.4">
      <c r="C51" s="1063" t="s">
        <v>6329</v>
      </c>
      <c r="D51" s="1720">
        <v>1144600</v>
      </c>
      <c r="E51" s="1722">
        <v>0.94</v>
      </c>
      <c r="F51" s="1720">
        <v>1163022</v>
      </c>
      <c r="G51" s="1722">
        <v>0.91800000000000004</v>
      </c>
      <c r="H51" s="1720">
        <v>1401027</v>
      </c>
      <c r="I51" s="1722">
        <v>0.95799999999999996</v>
      </c>
      <c r="J51" s="1717">
        <v>1252900.8838063683</v>
      </c>
      <c r="K51" s="1852">
        <v>0.93249013942583503</v>
      </c>
      <c r="L51" s="1717">
        <v>1368230</v>
      </c>
      <c r="M51" s="1852">
        <v>0.93799999999999994</v>
      </c>
      <c r="N51" s="1864">
        <v>1462601</v>
      </c>
      <c r="O51" s="1865">
        <v>0.90400000000000003</v>
      </c>
      <c r="P51" s="1863" t="s">
        <v>6330</v>
      </c>
      <c r="Q51" s="1865">
        <v>0.89300000000000002</v>
      </c>
      <c r="R51" s="1863">
        <v>1460038</v>
      </c>
      <c r="S51" s="2356">
        <v>0.85399999999999998</v>
      </c>
    </row>
    <row r="52" spans="3:19" x14ac:dyDescent="0.4">
      <c r="C52" s="1063" t="s">
        <v>6331</v>
      </c>
      <c r="D52" s="1720">
        <v>988400</v>
      </c>
      <c r="E52" s="1722">
        <v>0.81100000000000005</v>
      </c>
      <c r="F52" s="1720">
        <v>1043450</v>
      </c>
      <c r="G52" s="1722">
        <v>0.82399999999999995</v>
      </c>
      <c r="H52" s="1720">
        <v>1296202</v>
      </c>
      <c r="I52" s="1722">
        <v>0.88600000000000001</v>
      </c>
      <c r="J52" s="1867">
        <v>1162449.5570768949</v>
      </c>
      <c r="K52" s="1852">
        <v>0.86517039261795126</v>
      </c>
      <c r="L52" s="1867">
        <v>1223212</v>
      </c>
      <c r="M52" s="1852">
        <v>0.83799999999999997</v>
      </c>
      <c r="N52" s="1868">
        <v>1282057</v>
      </c>
      <c r="O52" s="1865">
        <v>0.79200000000000004</v>
      </c>
      <c r="P52" s="1863" t="s">
        <v>6332</v>
      </c>
      <c r="Q52" s="1865">
        <v>0.81899999999999995</v>
      </c>
      <c r="R52" s="1863">
        <v>1342015</v>
      </c>
      <c r="S52" s="2356">
        <v>0.78500000000000003</v>
      </c>
    </row>
    <row r="53" spans="3:19" ht="56.25" x14ac:dyDescent="0.4">
      <c r="C53" s="1063" t="s">
        <v>6333</v>
      </c>
      <c r="D53" s="1720">
        <v>156200</v>
      </c>
      <c r="E53" s="1722">
        <v>0.128</v>
      </c>
      <c r="F53" s="1720">
        <v>119572</v>
      </c>
      <c r="G53" s="1722">
        <v>9.4E-2</v>
      </c>
      <c r="H53" s="1720">
        <v>104825</v>
      </c>
      <c r="I53" s="1722">
        <v>7.1999999999999995E-2</v>
      </c>
      <c r="J53" s="1867">
        <v>90451.326729473527</v>
      </c>
      <c r="K53" s="1852">
        <v>6.7319746807883774E-2</v>
      </c>
      <c r="L53" s="1867">
        <v>145019</v>
      </c>
      <c r="M53" s="1852">
        <v>9.9000000000000005E-2</v>
      </c>
      <c r="N53" s="1868">
        <v>180544</v>
      </c>
      <c r="O53" s="1865">
        <v>0.112</v>
      </c>
      <c r="P53" s="1863" t="s">
        <v>6334</v>
      </c>
      <c r="Q53" s="1865">
        <v>7.2999999999999995E-2</v>
      </c>
      <c r="R53" s="1863">
        <v>118023</v>
      </c>
      <c r="S53" s="2356">
        <v>6.9000000000000006E-2</v>
      </c>
    </row>
    <row r="54" spans="3:19" ht="37.5" x14ac:dyDescent="0.4">
      <c r="C54" s="1063" t="s">
        <v>6335</v>
      </c>
      <c r="D54" s="1720">
        <v>1061800</v>
      </c>
      <c r="E54" s="1722">
        <v>0.87175697865353041</v>
      </c>
      <c r="F54" s="1720">
        <v>1147345</v>
      </c>
      <c r="G54" s="1722">
        <v>0.90561970515827006</v>
      </c>
      <c r="H54" s="1720">
        <v>1357572</v>
      </c>
      <c r="I54" s="1722">
        <v>0.92831973807386092</v>
      </c>
      <c r="J54" s="1867">
        <v>1253156.3221168949</v>
      </c>
      <c r="K54" s="1852">
        <v>0.93268025319211634</v>
      </c>
      <c r="L54" s="1867">
        <f>L46</f>
        <v>1314269</v>
      </c>
      <c r="M54" s="1852">
        <f>M46</f>
        <v>0.90100000000000002</v>
      </c>
      <c r="N54" s="1868">
        <f>N46</f>
        <v>1437988</v>
      </c>
      <c r="O54" s="1865">
        <f>O46</f>
        <v>0.88800000000000001</v>
      </c>
      <c r="P54" s="1863" t="s">
        <v>6324</v>
      </c>
      <c r="Q54" s="1865">
        <v>0.92700000000000005</v>
      </c>
      <c r="R54" s="1863">
        <v>1592328</v>
      </c>
      <c r="S54" s="2356">
        <v>0.93100000000000005</v>
      </c>
    </row>
    <row r="55" spans="3:19" ht="37.5" x14ac:dyDescent="0.4">
      <c r="C55" s="1063" t="s">
        <v>6336</v>
      </c>
      <c r="D55" s="1720">
        <v>156200</v>
      </c>
      <c r="E55" s="1722">
        <v>0.12824302134646962</v>
      </c>
      <c r="F55" s="1720">
        <v>119572</v>
      </c>
      <c r="G55" s="1722">
        <v>9.4380294841729967E-2</v>
      </c>
      <c r="H55" s="1720">
        <v>104825</v>
      </c>
      <c r="I55" s="1722">
        <v>7.1680261926139077E-2</v>
      </c>
      <c r="J55" s="1867">
        <v>90451.326729473527</v>
      </c>
      <c r="K55" s="1852">
        <v>6.7319746807883774E-2</v>
      </c>
      <c r="L55" s="1867">
        <f>L53</f>
        <v>145019</v>
      </c>
      <c r="M55" s="1852">
        <f>M53</f>
        <v>9.9000000000000005E-2</v>
      </c>
      <c r="N55" s="1868">
        <f>N53</f>
        <v>180544</v>
      </c>
      <c r="O55" s="1865">
        <f>O53</f>
        <v>0.112</v>
      </c>
      <c r="P55" s="1863" t="s">
        <v>6334</v>
      </c>
      <c r="Q55" s="1865">
        <v>7.2999999999999995E-2</v>
      </c>
      <c r="R55" s="1863">
        <v>118023</v>
      </c>
      <c r="S55" s="2356">
        <v>6.9000000000000006E-2</v>
      </c>
    </row>
    <row r="56" spans="3:19" x14ac:dyDescent="0.4">
      <c r="C56" s="1726" t="s">
        <v>6319</v>
      </c>
      <c r="D56" s="1727">
        <v>1218000</v>
      </c>
      <c r="E56" s="1855">
        <v>1</v>
      </c>
      <c r="F56" s="1727">
        <v>1266917</v>
      </c>
      <c r="G56" s="1855">
        <v>1</v>
      </c>
      <c r="H56" s="1727">
        <v>1462397</v>
      </c>
      <c r="I56" s="1855">
        <v>1</v>
      </c>
      <c r="J56" s="1856">
        <v>1343607.6488463683</v>
      </c>
      <c r="K56" s="1857">
        <v>1</v>
      </c>
      <c r="L56" s="1856">
        <f>L42</f>
        <v>1459288</v>
      </c>
      <c r="M56" s="1857">
        <f>M42</f>
        <v>1</v>
      </c>
      <c r="N56" s="1869">
        <f>N42</f>
        <v>1618533</v>
      </c>
      <c r="O56" s="1728">
        <f>O42</f>
        <v>1</v>
      </c>
      <c r="P56" s="1870">
        <v>1615777</v>
      </c>
      <c r="Q56" s="1728">
        <v>1</v>
      </c>
      <c r="R56" s="1870">
        <v>1710351</v>
      </c>
      <c r="S56" s="2357">
        <v>1</v>
      </c>
    </row>
    <row r="57" spans="3:19" x14ac:dyDescent="0.4">
      <c r="C57" s="1871" t="s">
        <v>1621</v>
      </c>
    </row>
  </sheetData>
  <mergeCells count="35">
    <mergeCell ref="R29:S29"/>
    <mergeCell ref="R40:S40"/>
    <mergeCell ref="R41:S41"/>
    <mergeCell ref="A3:B3"/>
    <mergeCell ref="C3:W3"/>
    <mergeCell ref="A4:B4"/>
    <mergeCell ref="C4:W4"/>
    <mergeCell ref="A5:B5"/>
    <mergeCell ref="C5:W5"/>
    <mergeCell ref="A6:B6"/>
    <mergeCell ref="C6:W6"/>
    <mergeCell ref="D12:E12"/>
    <mergeCell ref="F12:G12"/>
    <mergeCell ref="H12:I12"/>
    <mergeCell ref="J12:K12"/>
    <mergeCell ref="L12:M12"/>
    <mergeCell ref="N12:O12"/>
    <mergeCell ref="D40:E40"/>
    <mergeCell ref="F40:G40"/>
    <mergeCell ref="H40:I40"/>
    <mergeCell ref="J40:K40"/>
    <mergeCell ref="L40:M40"/>
    <mergeCell ref="D29:E29"/>
    <mergeCell ref="F29:G29"/>
    <mergeCell ref="H29:I29"/>
    <mergeCell ref="J29:K29"/>
    <mergeCell ref="P29:Q29"/>
    <mergeCell ref="N40:O40"/>
    <mergeCell ref="P40:Q40"/>
    <mergeCell ref="F41:G41"/>
    <mergeCell ref="H41:I41"/>
    <mergeCell ref="J41:K41"/>
    <mergeCell ref="L41:M41"/>
    <mergeCell ref="N41:O41"/>
    <mergeCell ref="P41:Q41"/>
  </mergeCells>
  <hyperlinks>
    <hyperlink ref="A1" location="'ODS 12.'!A1" display="REGRESAR" xr:uid="{5B4B6BA6-EE53-4156-BB47-AEE7407B174F}"/>
    <hyperlink ref="C1" location="'Metadato 12.5.1'!A1" display="VER METADATO" xr:uid="{7AC22CC1-3004-4848-A874-392B7F98AAA5}"/>
  </hyperlinks>
  <pageMargins left="0.7" right="0.7" top="0.75" bottom="0.75" header="0.3" footer="0.3"/>
  <pageSetup paperSize="9" orientation="portrait"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E89F-6D73-4BF7-BD59-D19AD862DB0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244</v>
      </c>
    </row>
    <row r="4" spans="1:6" x14ac:dyDescent="0.4">
      <c r="A4" s="283"/>
      <c r="B4" s="2425" t="s">
        <v>77</v>
      </c>
      <c r="C4" s="2425"/>
      <c r="D4" s="49" t="s">
        <v>6179</v>
      </c>
    </row>
    <row r="5" spans="1:6" ht="37.5" x14ac:dyDescent="0.4">
      <c r="B5" s="2425" t="s">
        <v>79</v>
      </c>
      <c r="C5" s="2425"/>
      <c r="D5" s="49" t="s">
        <v>6157</v>
      </c>
    </row>
    <row r="6" spans="1:6" x14ac:dyDescent="0.4">
      <c r="B6" s="2425" t="s">
        <v>80</v>
      </c>
      <c r="C6" s="2425"/>
      <c r="D6" s="50" t="s">
        <v>6158</v>
      </c>
    </row>
    <row r="7" spans="1:6" ht="15" customHeight="1" x14ac:dyDescent="0.4">
      <c r="B7" s="2426" t="s">
        <v>81</v>
      </c>
      <c r="C7" s="2426"/>
      <c r="D7" s="93" t="s">
        <v>6159</v>
      </c>
    </row>
    <row r="8" spans="1:6" x14ac:dyDescent="0.4">
      <c r="B8" s="2426" t="s">
        <v>82</v>
      </c>
      <c r="C8" s="2426"/>
      <c r="D8" s="1047" t="s">
        <v>353</v>
      </c>
    </row>
    <row r="10" spans="1:6" ht="23.25" customHeight="1" x14ac:dyDescent="0.4">
      <c r="B10" s="3314" t="s">
        <v>85</v>
      </c>
      <c r="C10" s="3314"/>
      <c r="D10" s="3314"/>
    </row>
    <row r="11" spans="1:6" x14ac:dyDescent="0.4">
      <c r="B11" s="2427" t="s">
        <v>86</v>
      </c>
      <c r="C11" s="2428"/>
      <c r="D11" s="115" t="s">
        <v>6337</v>
      </c>
    </row>
    <row r="12" spans="1:6" ht="54.75" customHeight="1" x14ac:dyDescent="0.4">
      <c r="B12" s="2426" t="s">
        <v>88</v>
      </c>
      <c r="C12" s="2426"/>
      <c r="D12" s="184" t="s">
        <v>6338</v>
      </c>
    </row>
    <row r="13" spans="1:6" x14ac:dyDescent="0.4">
      <c r="B13" s="2425" t="s">
        <v>90</v>
      </c>
      <c r="C13" s="2425"/>
      <c r="D13" s="54" t="s">
        <v>6158</v>
      </c>
    </row>
    <row r="14" spans="1:6" x14ac:dyDescent="0.4">
      <c r="B14" s="2425" t="s">
        <v>91</v>
      </c>
      <c r="C14" s="2428"/>
      <c r="D14" s="54" t="s">
        <v>92</v>
      </c>
    </row>
    <row r="15" spans="1:6" ht="409.5" x14ac:dyDescent="0.4">
      <c r="B15" s="2425" t="s">
        <v>93</v>
      </c>
      <c r="C15" s="2425"/>
      <c r="D15" s="1872" t="s">
        <v>6339</v>
      </c>
    </row>
    <row r="16" spans="1:6" ht="148.5" x14ac:dyDescent="0.4">
      <c r="B16" s="2425" t="s">
        <v>95</v>
      </c>
      <c r="C16" s="2425"/>
      <c r="D16" s="1873" t="s">
        <v>6340</v>
      </c>
    </row>
    <row r="17" spans="2:4" x14ac:dyDescent="0.4">
      <c r="B17" s="2425" t="s">
        <v>97</v>
      </c>
      <c r="C17" s="2425"/>
      <c r="D17" s="55" t="s">
        <v>6341</v>
      </c>
    </row>
    <row r="18" spans="2:4" ht="132" x14ac:dyDescent="0.4">
      <c r="B18" s="2426" t="s">
        <v>99</v>
      </c>
      <c r="C18" s="2426"/>
      <c r="D18" s="1872" t="s">
        <v>6342</v>
      </c>
    </row>
    <row r="19" spans="2:4" ht="106.15" customHeight="1" x14ac:dyDescent="0.4">
      <c r="B19" s="2435" t="s">
        <v>100</v>
      </c>
      <c r="C19" s="2436"/>
      <c r="D19" s="1872" t="s">
        <v>6343</v>
      </c>
    </row>
    <row r="20" spans="2:4" x14ac:dyDescent="0.4">
      <c r="B20" s="2425" t="s">
        <v>102</v>
      </c>
      <c r="C20" s="2425"/>
      <c r="D20" s="49"/>
    </row>
    <row r="21" spans="2:4" x14ac:dyDescent="0.4">
      <c r="B21" s="2432" t="s">
        <v>104</v>
      </c>
      <c r="C21" s="57" t="s">
        <v>105</v>
      </c>
      <c r="D21" s="49" t="s">
        <v>6344</v>
      </c>
    </row>
    <row r="22" spans="2:4" ht="49.5" x14ac:dyDescent="0.4">
      <c r="B22" s="2433"/>
      <c r="C22" s="58" t="s">
        <v>107</v>
      </c>
      <c r="D22" s="1874" t="s">
        <v>6345</v>
      </c>
    </row>
    <row r="23" spans="2:4" x14ac:dyDescent="0.4">
      <c r="B23" s="2425" t="s">
        <v>109</v>
      </c>
      <c r="C23" s="2425"/>
      <c r="D23" s="49" t="s">
        <v>143</v>
      </c>
    </row>
    <row r="24" spans="2:4" ht="50.25" x14ac:dyDescent="0.4">
      <c r="B24" s="2425" t="s">
        <v>111</v>
      </c>
      <c r="C24" s="2425"/>
      <c r="D24" s="1875" t="s">
        <v>6346</v>
      </c>
    </row>
    <row r="25" spans="2:4" ht="82.5" x14ac:dyDescent="0.4">
      <c r="B25" s="2425" t="s">
        <v>113</v>
      </c>
      <c r="C25" s="2425"/>
      <c r="D25" s="993" t="s">
        <v>6347</v>
      </c>
    </row>
    <row r="26" spans="2:4" ht="15" customHeight="1" x14ac:dyDescent="0.4">
      <c r="B26" s="2426" t="s">
        <v>115</v>
      </c>
      <c r="C26" s="2426"/>
      <c r="D26" s="1872" t="s">
        <v>6348</v>
      </c>
    </row>
    <row r="27" spans="2:4" ht="66" x14ac:dyDescent="0.4">
      <c r="B27" s="2427" t="s">
        <v>117</v>
      </c>
      <c r="C27" s="2428"/>
      <c r="D27" s="1872" t="s">
        <v>6349</v>
      </c>
    </row>
    <row r="28" spans="2:4" ht="115.5" x14ac:dyDescent="0.4">
      <c r="B28" s="60" t="s">
        <v>118</v>
      </c>
      <c r="C28" s="61"/>
      <c r="D28" s="1872" t="s">
        <v>6350</v>
      </c>
    </row>
    <row r="29" spans="2:4" x14ac:dyDescent="0.4">
      <c r="B29" s="2429" t="s">
        <v>120</v>
      </c>
      <c r="C29" s="2430"/>
      <c r="D29" s="62"/>
    </row>
    <row r="30" spans="2:4" x14ac:dyDescent="0.4">
      <c r="B30" s="63"/>
      <c r="C30" s="63"/>
      <c r="D30" s="64"/>
    </row>
    <row r="31" spans="2:4" ht="23.25" customHeight="1" x14ac:dyDescent="0.4">
      <c r="B31" s="3314" t="s">
        <v>121</v>
      </c>
      <c r="C31" s="3314"/>
      <c r="D31" s="3314"/>
    </row>
    <row r="32" spans="2:4" x14ac:dyDescent="0.4">
      <c r="B32" s="2427" t="s">
        <v>122</v>
      </c>
      <c r="C32" s="2428"/>
      <c r="D32" s="55" t="s">
        <v>6056</v>
      </c>
    </row>
    <row r="33" spans="2:4" x14ac:dyDescent="0.4">
      <c r="B33" s="2427" t="s">
        <v>124</v>
      </c>
      <c r="C33" s="2428"/>
      <c r="D33" s="55" t="s">
        <v>6351</v>
      </c>
    </row>
    <row r="34" spans="2:4" x14ac:dyDescent="0.4">
      <c r="B34" s="2427" t="s">
        <v>126</v>
      </c>
      <c r="C34" s="2428"/>
      <c r="D34" s="55" t="s">
        <v>522</v>
      </c>
    </row>
    <row r="35" spans="2:4" x14ac:dyDescent="0.4">
      <c r="B35" s="2427" t="s">
        <v>128</v>
      </c>
      <c r="C35" s="2428"/>
      <c r="D35" s="55" t="s">
        <v>6352</v>
      </c>
    </row>
    <row r="36" spans="2:4" x14ac:dyDescent="0.4">
      <c r="B36" s="2427" t="s">
        <v>130</v>
      </c>
      <c r="C36" s="2428"/>
      <c r="D36" s="247" t="s">
        <v>6060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BA912BC-50A0-492D-A3B1-664AE92063A8}">
      <formula1>Tipo_operación</formula1>
    </dataValidation>
    <dataValidation type="list" allowBlank="1" showInputMessage="1" showErrorMessage="1" sqref="D14" xr:uid="{5E4FC4D4-D1DE-4913-8282-FE53D57FFDE9}">
      <formula1>Tipo_indicador</formula1>
    </dataValidation>
    <dataValidation type="list" allowBlank="1" showInputMessage="1" showErrorMessage="1" sqref="D7" xr:uid="{894C7596-CAF1-4327-87D0-34FD577B4F79}">
      <formula1>Nombre_indicador_ODS</formula1>
    </dataValidation>
    <dataValidation type="list" allowBlank="1" showInputMessage="1" showErrorMessage="1" sqref="D6" xr:uid="{020C9D42-C101-46DC-AB0C-08E6F5265D54}">
      <formula1>Numero_indicador</formula1>
    </dataValidation>
    <dataValidation type="list" allowBlank="1" showInputMessage="1" showErrorMessage="1" sqref="D5" xr:uid="{216638CF-30AA-45F9-8BA1-8EFFBB295B25}">
      <formula1>Metas_ODS</formula1>
    </dataValidation>
    <dataValidation type="list" allowBlank="1" showInputMessage="1" showErrorMessage="1" sqref="D4" xr:uid="{87F46F05-CA82-45BA-9399-48346BAD5E0C}">
      <formula1>ODS</formula1>
    </dataValidation>
    <dataValidation allowBlank="1" showDropDown="1" showInputMessage="1" showErrorMessage="1" sqref="D13" xr:uid="{74BBA2E4-9F55-41FB-8105-37A0DFFFBB9B}"/>
  </dataValidations>
  <hyperlinks>
    <hyperlink ref="B1" location="'12.5.1'!A1" display="REGRESAR" xr:uid="{9B57DD1A-3403-4DAA-83AF-86F30C13A436}"/>
    <hyperlink ref="D8" r:id="rId1" xr:uid="{0D799450-C6FE-42F3-82B0-854162AEEA1C}"/>
    <hyperlink ref="D36" r:id="rId2" xr:uid="{77CBEEC4-81A3-467B-B6E9-375DE5C2BA8D}"/>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BC63-0D7E-413A-94E8-F8E2FD3B5C50}">
  <dimension ref="A1:AG26"/>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2.28515625" style="1048" customWidth="1"/>
    <col min="4" max="4" width="32.7109375" style="115" customWidth="1"/>
    <col min="5" max="9" width="5.42578125" style="115" customWidth="1"/>
    <col min="10" max="10" width="1.7109375" style="115" customWidth="1"/>
    <col min="11" max="15" width="5.28515625" style="115" customWidth="1"/>
    <col min="16" max="16" width="2" style="115" customWidth="1"/>
    <col min="17" max="21" width="5.7109375" style="115" customWidth="1"/>
    <col min="22" max="22" width="1.28515625" style="115" customWidth="1"/>
    <col min="23" max="27" width="5.28515625" style="115" customWidth="1"/>
    <col min="28" max="28" width="1.7109375" style="115" customWidth="1"/>
    <col min="29" max="33" width="4.5703125" style="115" customWidth="1"/>
    <col min="34" max="16384" width="11.42578125" style="115"/>
  </cols>
  <sheetData>
    <row r="1" spans="1:33" x14ac:dyDescent="0.4">
      <c r="A1" s="90" t="s">
        <v>39</v>
      </c>
      <c r="B1" s="1311"/>
      <c r="C1" s="2541" t="s">
        <v>149</v>
      </c>
      <c r="D1" s="2541"/>
    </row>
    <row r="3" spans="1:33" ht="18" customHeight="1" x14ac:dyDescent="0.4">
      <c r="A3" s="3315" t="s">
        <v>41</v>
      </c>
      <c r="B3" s="3315"/>
      <c r="C3" s="3315" t="s">
        <v>6140</v>
      </c>
      <c r="D3" s="3315"/>
      <c r="E3" s="3315"/>
      <c r="F3" s="3315"/>
      <c r="G3" s="3315"/>
      <c r="H3" s="3315"/>
      <c r="I3" s="3315"/>
      <c r="J3" s="3315"/>
      <c r="K3" s="3315"/>
      <c r="L3" s="3315"/>
      <c r="M3" s="3315"/>
      <c r="N3" s="3315"/>
      <c r="O3" s="3315"/>
      <c r="P3" s="3315"/>
      <c r="Q3" s="3315"/>
      <c r="R3" s="3315"/>
      <c r="S3" s="3315"/>
      <c r="T3" s="3315"/>
      <c r="U3" s="3315"/>
      <c r="V3" s="3315"/>
      <c r="W3" s="3315"/>
      <c r="X3" s="3315"/>
      <c r="Y3" s="3315"/>
      <c r="Z3" s="3315"/>
      <c r="AA3" s="3315"/>
      <c r="AB3" s="3315"/>
      <c r="AC3" s="3315"/>
      <c r="AD3" s="3315"/>
      <c r="AE3" s="3315"/>
    </row>
    <row r="4" spans="1:33" ht="22.9" customHeight="1" x14ac:dyDescent="0.4">
      <c r="A4" s="3315" t="s">
        <v>42</v>
      </c>
      <c r="B4" s="3316"/>
      <c r="C4" s="3340" t="s">
        <v>6160</v>
      </c>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row>
    <row r="5" spans="1:33" ht="16.149999999999999" customHeight="1" x14ac:dyDescent="0.4">
      <c r="A5" s="3315" t="s">
        <v>43</v>
      </c>
      <c r="B5" s="3316"/>
      <c r="C5" s="3340" t="s">
        <v>6162</v>
      </c>
      <c r="D5" s="3341"/>
      <c r="E5" s="3341"/>
      <c r="F5" s="3341"/>
      <c r="G5" s="3341"/>
      <c r="H5" s="3341"/>
      <c r="I5" s="3341"/>
      <c r="J5" s="3341"/>
      <c r="K5" s="3341"/>
      <c r="L5" s="3341"/>
      <c r="M5" s="3341"/>
      <c r="N5" s="3341"/>
      <c r="O5" s="3341"/>
      <c r="P5" s="3341"/>
      <c r="Q5" s="3341"/>
      <c r="R5" s="3341"/>
      <c r="S5" s="3341"/>
      <c r="T5" s="3341"/>
      <c r="U5" s="3341"/>
      <c r="V5" s="3341"/>
      <c r="W5" s="3341"/>
      <c r="X5" s="3341"/>
      <c r="Y5" s="3341"/>
      <c r="Z5" s="3341"/>
      <c r="AA5" s="3341"/>
      <c r="AB5" s="3341"/>
      <c r="AC5" s="3341"/>
      <c r="AD5" s="3341"/>
      <c r="AE5" s="3341"/>
    </row>
    <row r="6" spans="1:33" ht="19.5" x14ac:dyDescent="0.4">
      <c r="A6" s="3315" t="s">
        <v>132</v>
      </c>
      <c r="B6" s="3316"/>
      <c r="C6" s="3340" t="s">
        <v>6353</v>
      </c>
      <c r="D6" s="3341"/>
      <c r="E6" s="3341"/>
      <c r="F6" s="3341"/>
      <c r="G6" s="3341"/>
      <c r="H6" s="3341"/>
      <c r="I6" s="3341"/>
      <c r="J6" s="3341"/>
      <c r="K6" s="3341"/>
      <c r="L6" s="3341"/>
      <c r="M6" s="3341"/>
      <c r="N6" s="3341"/>
      <c r="O6" s="3341"/>
      <c r="P6" s="3341"/>
      <c r="Q6" s="3341"/>
      <c r="R6" s="3341"/>
      <c r="S6" s="3341"/>
      <c r="T6" s="3341"/>
      <c r="U6" s="3341"/>
      <c r="V6" s="3341"/>
      <c r="W6" s="3341"/>
      <c r="X6" s="3341"/>
      <c r="Y6" s="3341"/>
      <c r="Z6" s="3341"/>
      <c r="AA6" s="3341"/>
      <c r="AB6" s="3341"/>
      <c r="AC6" s="3341"/>
      <c r="AD6" s="3341"/>
      <c r="AE6" s="3341"/>
    </row>
    <row r="7" spans="1:33" x14ac:dyDescent="0.4">
      <c r="A7" s="835"/>
    </row>
    <row r="8" spans="1:33" x14ac:dyDescent="0.4">
      <c r="A8" s="536"/>
    </row>
    <row r="9" spans="1:33" ht="15.6" customHeight="1" x14ac:dyDescent="0.4">
      <c r="A9" s="536"/>
      <c r="C9" s="163" t="s">
        <v>6353</v>
      </c>
      <c r="D9" s="163"/>
      <c r="E9" s="163"/>
      <c r="F9" s="163"/>
      <c r="G9" s="163"/>
      <c r="H9" s="163"/>
      <c r="I9" s="163"/>
      <c r="J9" s="163"/>
      <c r="K9" s="163"/>
      <c r="L9" s="163"/>
      <c r="M9" s="163"/>
      <c r="N9" s="163"/>
      <c r="O9" s="163"/>
      <c r="P9" s="163"/>
      <c r="Q9" s="163"/>
      <c r="R9" s="163"/>
      <c r="S9" s="163"/>
      <c r="T9" s="163"/>
      <c r="U9" s="163"/>
      <c r="V9" s="163"/>
      <c r="W9" s="138"/>
      <c r="X9" s="1063"/>
      <c r="Y9" s="1063"/>
      <c r="Z9" s="1063"/>
      <c r="AA9" s="1063"/>
    </row>
    <row r="10" spans="1:33" ht="12" customHeight="1" x14ac:dyDescent="0.4">
      <c r="A10" s="536"/>
      <c r="C10" s="533"/>
      <c r="D10" s="533"/>
      <c r="E10" s="533"/>
      <c r="F10" s="533"/>
      <c r="G10" s="533"/>
      <c r="H10" s="533"/>
      <c r="I10" s="533"/>
      <c r="J10" s="533"/>
      <c r="K10" s="533"/>
      <c r="L10" s="533"/>
      <c r="M10" s="533"/>
      <c r="N10" s="533"/>
      <c r="O10" s="533"/>
      <c r="P10" s="533"/>
      <c r="Q10" s="533"/>
      <c r="R10" s="533"/>
      <c r="S10" s="533"/>
      <c r="T10" s="533"/>
      <c r="U10" s="533"/>
      <c r="V10" s="533"/>
      <c r="W10" s="533"/>
      <c r="X10" s="1063"/>
      <c r="Y10" s="1063"/>
      <c r="Z10" s="1063"/>
      <c r="AA10" s="1063"/>
    </row>
    <row r="11" spans="1:33" ht="46.9" customHeight="1" x14ac:dyDescent="0.4">
      <c r="A11" s="536"/>
      <c r="C11" s="3339" t="s">
        <v>104</v>
      </c>
      <c r="D11" s="3339"/>
      <c r="E11" s="3339" t="s">
        <v>6354</v>
      </c>
      <c r="F11" s="3339"/>
      <c r="G11" s="3339"/>
      <c r="H11" s="3339"/>
      <c r="I11" s="3339"/>
      <c r="J11" s="1876"/>
      <c r="K11" s="3339" t="s">
        <v>6355</v>
      </c>
      <c r="L11" s="3339"/>
      <c r="M11" s="3339"/>
      <c r="N11" s="3339"/>
      <c r="O11" s="3339"/>
      <c r="P11" s="1876"/>
      <c r="Q11" s="3339" t="s">
        <v>6356</v>
      </c>
      <c r="R11" s="3339"/>
      <c r="S11" s="3339"/>
      <c r="T11" s="3339"/>
      <c r="U11" s="3339"/>
      <c r="V11" s="1839"/>
      <c r="W11" s="3346" t="s">
        <v>6357</v>
      </c>
      <c r="X11" s="3346"/>
      <c r="Y11" s="3346"/>
      <c r="Z11" s="3346"/>
      <c r="AA11" s="3346"/>
      <c r="AB11" s="3346"/>
      <c r="AC11" s="3346"/>
      <c r="AD11" s="3346"/>
      <c r="AE11" s="3346"/>
      <c r="AF11" s="3346"/>
      <c r="AG11" s="3346"/>
    </row>
    <row r="12" spans="1:33" ht="22.5" customHeight="1" x14ac:dyDescent="0.4">
      <c r="A12" s="536"/>
      <c r="C12" s="3345"/>
      <c r="D12" s="3345"/>
      <c r="E12" s="3346"/>
      <c r="F12" s="3346"/>
      <c r="G12" s="3346"/>
      <c r="H12" s="3346"/>
      <c r="I12" s="3346"/>
      <c r="J12" s="1877"/>
      <c r="K12" s="3346"/>
      <c r="L12" s="3346"/>
      <c r="M12" s="3346"/>
      <c r="N12" s="3346"/>
      <c r="O12" s="3346"/>
      <c r="P12" s="1877"/>
      <c r="Q12" s="3346"/>
      <c r="R12" s="3346"/>
      <c r="S12" s="3346"/>
      <c r="T12" s="3346"/>
      <c r="U12" s="3346"/>
      <c r="V12" s="1877"/>
      <c r="W12" s="3346" t="s">
        <v>259</v>
      </c>
      <c r="X12" s="3346"/>
      <c r="Y12" s="3346"/>
      <c r="Z12" s="3346"/>
      <c r="AA12" s="3346"/>
      <c r="AB12" s="1877"/>
      <c r="AC12" s="3346" t="s">
        <v>98</v>
      </c>
      <c r="AD12" s="3346"/>
      <c r="AE12" s="3346"/>
      <c r="AF12" s="3346"/>
      <c r="AG12" s="3346"/>
    </row>
    <row r="13" spans="1:33" x14ac:dyDescent="0.4">
      <c r="A13" s="536"/>
      <c r="C13" s="3346"/>
      <c r="D13" s="3346"/>
      <c r="E13" s="1878">
        <v>2019</v>
      </c>
      <c r="F13" s="1878">
        <v>2021</v>
      </c>
      <c r="G13" s="1878">
        <v>2022</v>
      </c>
      <c r="H13" s="1878">
        <v>2023</v>
      </c>
      <c r="I13" s="1878">
        <v>2024</v>
      </c>
      <c r="J13" s="1878"/>
      <c r="K13" s="1878">
        <v>2019</v>
      </c>
      <c r="L13" s="1878">
        <v>2021</v>
      </c>
      <c r="M13" s="1878">
        <v>2022</v>
      </c>
      <c r="N13" s="1878">
        <v>2023</v>
      </c>
      <c r="O13" s="1878">
        <v>2024</v>
      </c>
      <c r="P13" s="1878"/>
      <c r="Q13" s="1878">
        <v>2019</v>
      </c>
      <c r="R13" s="1878">
        <v>2021</v>
      </c>
      <c r="S13" s="1878">
        <v>2022</v>
      </c>
      <c r="T13" s="1878">
        <v>2023</v>
      </c>
      <c r="U13" s="1878">
        <v>2024</v>
      </c>
      <c r="V13" s="1878"/>
      <c r="W13" s="1878">
        <v>2019</v>
      </c>
      <c r="X13" s="1878">
        <v>2021</v>
      </c>
      <c r="Y13" s="1878">
        <v>2022</v>
      </c>
      <c r="Z13" s="1878">
        <v>2023</v>
      </c>
      <c r="AA13" s="1878">
        <v>2024</v>
      </c>
      <c r="AB13" s="1878"/>
      <c r="AC13" s="1878">
        <v>2019</v>
      </c>
      <c r="AD13" s="1878">
        <v>2021</v>
      </c>
      <c r="AE13" s="1786">
        <v>2022</v>
      </c>
      <c r="AF13" s="1878">
        <v>2023</v>
      </c>
      <c r="AG13" s="1878">
        <v>2024</v>
      </c>
    </row>
    <row r="14" spans="1:33" ht="15" customHeight="1" x14ac:dyDescent="0.4">
      <c r="A14" s="536"/>
      <c r="C14" s="3342" t="s">
        <v>47</v>
      </c>
      <c r="D14" s="3342"/>
      <c r="E14" s="232">
        <v>2</v>
      </c>
      <c r="F14" s="232">
        <v>10</v>
      </c>
      <c r="G14" s="232">
        <v>15</v>
      </c>
      <c r="H14" s="232">
        <v>15</v>
      </c>
      <c r="I14" s="232">
        <v>13</v>
      </c>
      <c r="J14" s="232"/>
      <c r="K14" s="232">
        <v>6</v>
      </c>
      <c r="L14" s="232">
        <v>6</v>
      </c>
      <c r="M14" s="232">
        <v>8</v>
      </c>
      <c r="N14" s="232">
        <v>8</v>
      </c>
      <c r="O14" s="232">
        <v>9</v>
      </c>
      <c r="P14" s="232"/>
      <c r="Q14" s="232">
        <v>26</v>
      </c>
      <c r="R14" s="232">
        <v>27</v>
      </c>
      <c r="S14" s="232">
        <v>1</v>
      </c>
      <c r="T14" s="232">
        <v>1</v>
      </c>
      <c r="U14" s="232">
        <v>7</v>
      </c>
      <c r="V14" s="232"/>
      <c r="W14" s="1538">
        <v>1</v>
      </c>
      <c r="X14" s="1538">
        <v>0</v>
      </c>
      <c r="Y14" s="1538">
        <v>0</v>
      </c>
      <c r="Z14" s="1538">
        <v>3</v>
      </c>
      <c r="AA14" s="1538">
        <v>10</v>
      </c>
      <c r="AB14" s="1538"/>
      <c r="AC14" s="1879">
        <v>3.125E-2</v>
      </c>
      <c r="AD14" s="1879">
        <v>0</v>
      </c>
      <c r="AE14" s="1879">
        <v>0</v>
      </c>
      <c r="AF14" s="1858">
        <v>0.13</v>
      </c>
      <c r="AG14" s="1858">
        <v>0.34</v>
      </c>
    </row>
    <row r="15" spans="1:33" ht="12.75" customHeight="1" x14ac:dyDescent="0.4">
      <c r="A15" s="536"/>
      <c r="C15" s="2527" t="s">
        <v>6358</v>
      </c>
      <c r="D15" s="1085" t="s">
        <v>6359</v>
      </c>
      <c r="E15" s="141">
        <v>2</v>
      </c>
      <c r="F15" s="141">
        <v>9</v>
      </c>
      <c r="G15" s="141">
        <v>9</v>
      </c>
      <c r="H15" s="141">
        <v>9</v>
      </c>
      <c r="I15" s="141">
        <v>10</v>
      </c>
      <c r="J15" s="141"/>
      <c r="K15" s="141">
        <v>5</v>
      </c>
      <c r="L15" s="141">
        <v>5</v>
      </c>
      <c r="M15" s="141">
        <v>6</v>
      </c>
      <c r="N15" s="141">
        <v>6</v>
      </c>
      <c r="O15" s="141">
        <v>9</v>
      </c>
      <c r="P15" s="141"/>
      <c r="Q15" s="141">
        <v>11</v>
      </c>
      <c r="R15" s="141">
        <v>18</v>
      </c>
      <c r="S15" s="141">
        <v>0</v>
      </c>
      <c r="T15" s="141">
        <v>0</v>
      </c>
      <c r="U15" s="141">
        <v>4</v>
      </c>
      <c r="V15" s="141"/>
      <c r="W15" s="232"/>
      <c r="X15" s="232"/>
      <c r="Y15" s="232"/>
      <c r="Z15" s="232"/>
      <c r="AA15" s="232"/>
      <c r="AB15" s="232"/>
      <c r="AC15" s="232"/>
      <c r="AD15" s="232"/>
      <c r="AE15" s="232"/>
    </row>
    <row r="16" spans="1:33" ht="37.5" x14ac:dyDescent="0.4">
      <c r="A16" s="536"/>
      <c r="C16" s="3343"/>
      <c r="D16" s="555" t="s">
        <v>6360</v>
      </c>
      <c r="E16" s="141">
        <v>0</v>
      </c>
      <c r="F16" s="141">
        <v>1</v>
      </c>
      <c r="G16" s="141">
        <v>6</v>
      </c>
      <c r="H16" s="141">
        <v>6</v>
      </c>
      <c r="I16" s="141">
        <v>3</v>
      </c>
      <c r="J16" s="141"/>
      <c r="K16" s="141">
        <v>1</v>
      </c>
      <c r="L16" s="141">
        <v>1</v>
      </c>
      <c r="M16" s="141">
        <v>2</v>
      </c>
      <c r="N16" s="141">
        <v>2</v>
      </c>
      <c r="O16" s="141">
        <v>0</v>
      </c>
      <c r="P16" s="141"/>
      <c r="Q16" s="141">
        <v>8</v>
      </c>
      <c r="R16" s="141">
        <v>9</v>
      </c>
      <c r="S16" s="141">
        <v>1</v>
      </c>
      <c r="T16" s="141">
        <v>1</v>
      </c>
      <c r="U16" s="141">
        <v>3</v>
      </c>
      <c r="V16" s="141"/>
      <c r="W16" s="141"/>
      <c r="X16" s="141"/>
      <c r="Y16" s="141"/>
      <c r="Z16" s="141"/>
      <c r="AA16" s="141"/>
      <c r="AB16" s="141"/>
      <c r="AC16" s="232"/>
      <c r="AD16" s="232"/>
      <c r="AE16" s="232"/>
    </row>
    <row r="17" spans="1:33" x14ac:dyDescent="0.4">
      <c r="A17" s="536"/>
      <c r="C17" s="2691" t="s">
        <v>6361</v>
      </c>
      <c r="D17" s="1085" t="s">
        <v>6362</v>
      </c>
      <c r="E17" s="232">
        <v>2</v>
      </c>
      <c r="F17" s="232">
        <v>7</v>
      </c>
      <c r="G17" s="232">
        <v>13</v>
      </c>
      <c r="H17" s="232">
        <v>13</v>
      </c>
      <c r="I17" s="232">
        <v>12</v>
      </c>
      <c r="J17" s="232"/>
      <c r="K17" s="232">
        <v>5</v>
      </c>
      <c r="L17" s="232">
        <v>2</v>
      </c>
      <c r="M17" s="232">
        <v>8</v>
      </c>
      <c r="N17" s="232">
        <v>8</v>
      </c>
      <c r="O17" s="232">
        <v>6</v>
      </c>
      <c r="P17" s="232"/>
      <c r="Q17" s="232">
        <v>14</v>
      </c>
      <c r="R17" s="232">
        <v>20</v>
      </c>
      <c r="S17" s="232"/>
      <c r="T17" s="232">
        <v>1</v>
      </c>
      <c r="U17" s="141">
        <v>6</v>
      </c>
      <c r="V17" s="232"/>
      <c r="W17" s="232"/>
      <c r="X17" s="232"/>
      <c r="Y17" s="232"/>
      <c r="Z17" s="232"/>
      <c r="AA17" s="232"/>
      <c r="AB17" s="232"/>
      <c r="AC17" s="232"/>
      <c r="AD17" s="232"/>
      <c r="AE17" s="232"/>
    </row>
    <row r="18" spans="1:33" x14ac:dyDescent="0.4">
      <c r="A18" s="536"/>
      <c r="C18" s="3344"/>
      <c r="D18" s="555" t="s">
        <v>6363</v>
      </c>
      <c r="E18" s="232">
        <v>0</v>
      </c>
      <c r="F18" s="232">
        <v>3</v>
      </c>
      <c r="G18" s="232">
        <v>2</v>
      </c>
      <c r="H18" s="232">
        <v>2</v>
      </c>
      <c r="I18" s="232">
        <v>1</v>
      </c>
      <c r="J18" s="232"/>
      <c r="K18" s="232">
        <v>1</v>
      </c>
      <c r="L18" s="232">
        <v>4</v>
      </c>
      <c r="M18" s="232">
        <v>0</v>
      </c>
      <c r="N18" s="232">
        <v>0</v>
      </c>
      <c r="O18" s="232">
        <v>3</v>
      </c>
      <c r="P18" s="232"/>
      <c r="Q18" s="232">
        <v>5</v>
      </c>
      <c r="R18" s="232">
        <v>7</v>
      </c>
      <c r="S18" s="232"/>
      <c r="T18" s="232">
        <v>0</v>
      </c>
      <c r="U18" s="141">
        <v>1</v>
      </c>
      <c r="V18" s="232"/>
      <c r="W18" s="232"/>
      <c r="X18" s="232"/>
      <c r="Y18" s="232"/>
      <c r="Z18" s="232"/>
      <c r="AA18" s="232"/>
      <c r="AB18" s="232"/>
      <c r="AC18" s="232"/>
      <c r="AD18" s="232"/>
      <c r="AE18" s="232"/>
    </row>
    <row r="19" spans="1:33" ht="37.5" x14ac:dyDescent="0.4">
      <c r="C19" s="2691" t="s">
        <v>6364</v>
      </c>
      <c r="D19" s="1085" t="s">
        <v>6365</v>
      </c>
      <c r="E19" s="232"/>
      <c r="F19" s="232">
        <v>2</v>
      </c>
      <c r="G19" s="232">
        <v>0</v>
      </c>
      <c r="H19" s="232">
        <v>0</v>
      </c>
      <c r="I19" s="232">
        <v>0</v>
      </c>
      <c r="J19" s="232"/>
      <c r="K19" s="232"/>
      <c r="L19" s="232">
        <v>0</v>
      </c>
      <c r="M19" s="232">
        <v>0</v>
      </c>
      <c r="N19" s="232">
        <v>0</v>
      </c>
      <c r="O19" s="232">
        <v>2</v>
      </c>
      <c r="P19" s="232"/>
      <c r="Q19" s="232">
        <v>1</v>
      </c>
      <c r="R19" s="232">
        <v>4</v>
      </c>
      <c r="S19" s="232"/>
      <c r="T19" s="232">
        <v>0</v>
      </c>
      <c r="U19" s="141">
        <v>0</v>
      </c>
      <c r="V19" s="232"/>
      <c r="W19" s="232"/>
      <c r="X19" s="232"/>
      <c r="Y19" s="232"/>
      <c r="Z19" s="232"/>
      <c r="AA19" s="232"/>
      <c r="AB19" s="232"/>
      <c r="AC19" s="232"/>
      <c r="AD19" s="232"/>
      <c r="AE19" s="232"/>
    </row>
    <row r="20" spans="1:33" x14ac:dyDescent="0.4">
      <c r="C20" s="2683"/>
      <c r="D20" s="545" t="s">
        <v>6366</v>
      </c>
      <c r="E20" s="232">
        <v>0</v>
      </c>
      <c r="F20" s="232">
        <v>1</v>
      </c>
      <c r="G20" s="232">
        <v>2</v>
      </c>
      <c r="H20" s="232">
        <v>2</v>
      </c>
      <c r="I20" s="232">
        <v>1</v>
      </c>
      <c r="J20" s="232"/>
      <c r="K20" s="232">
        <v>2</v>
      </c>
      <c r="L20" s="232">
        <v>3</v>
      </c>
      <c r="M20" s="232">
        <v>1</v>
      </c>
      <c r="N20" s="232">
        <v>1</v>
      </c>
      <c r="O20" s="232">
        <v>0</v>
      </c>
      <c r="P20" s="232"/>
      <c r="Q20" s="232">
        <v>3</v>
      </c>
      <c r="R20" s="232">
        <v>1</v>
      </c>
      <c r="S20" s="232"/>
      <c r="T20" s="232">
        <v>0</v>
      </c>
      <c r="U20" s="141">
        <v>2</v>
      </c>
      <c r="V20" s="232"/>
      <c r="W20" s="232"/>
      <c r="X20" s="232"/>
      <c r="Y20" s="232"/>
      <c r="Z20" s="232"/>
      <c r="AA20" s="232"/>
      <c r="AB20" s="232"/>
      <c r="AC20" s="232"/>
      <c r="AD20" s="232"/>
      <c r="AE20" s="232"/>
    </row>
    <row r="21" spans="1:33" ht="37.5" x14ac:dyDescent="0.4">
      <c r="C21" s="2683"/>
      <c r="D21" s="545" t="s">
        <v>6367</v>
      </c>
      <c r="E21" s="232"/>
      <c r="F21" s="232">
        <v>3</v>
      </c>
      <c r="G21" s="232">
        <v>0</v>
      </c>
      <c r="H21" s="232">
        <v>0</v>
      </c>
      <c r="I21" s="232">
        <v>1</v>
      </c>
      <c r="J21" s="232"/>
      <c r="K21" s="232"/>
      <c r="L21" s="232">
        <v>0</v>
      </c>
      <c r="M21" s="232">
        <v>0</v>
      </c>
      <c r="N21" s="232">
        <v>0</v>
      </c>
      <c r="O21" s="232">
        <v>0</v>
      </c>
      <c r="P21" s="232"/>
      <c r="Q21" s="232">
        <v>1</v>
      </c>
      <c r="R21" s="232">
        <v>0</v>
      </c>
      <c r="S21" s="232"/>
      <c r="T21" s="232">
        <v>0</v>
      </c>
      <c r="U21" s="141">
        <v>0</v>
      </c>
      <c r="V21" s="232"/>
      <c r="W21" s="232"/>
      <c r="X21" s="232"/>
      <c r="Y21" s="232"/>
      <c r="Z21" s="232"/>
      <c r="AA21" s="232"/>
      <c r="AB21" s="232"/>
      <c r="AC21" s="232"/>
      <c r="AD21" s="232"/>
      <c r="AE21" s="232"/>
    </row>
    <row r="22" spans="1:33" x14ac:dyDescent="0.4">
      <c r="C22" s="2683"/>
      <c r="D22" s="545" t="s">
        <v>6368</v>
      </c>
      <c r="E22" s="232">
        <v>1</v>
      </c>
      <c r="F22" s="232">
        <v>3</v>
      </c>
      <c r="G22" s="232">
        <v>4</v>
      </c>
      <c r="H22" s="232">
        <v>4</v>
      </c>
      <c r="I22" s="232">
        <v>4</v>
      </c>
      <c r="J22" s="232"/>
      <c r="K22" s="232">
        <v>3</v>
      </c>
      <c r="L22" s="232">
        <v>1</v>
      </c>
      <c r="M22" s="232">
        <v>3</v>
      </c>
      <c r="N22" s="232">
        <v>3</v>
      </c>
      <c r="O22" s="232">
        <v>4</v>
      </c>
      <c r="P22" s="232"/>
      <c r="Q22" s="232">
        <v>2</v>
      </c>
      <c r="R22" s="232">
        <v>7</v>
      </c>
      <c r="S22" s="232"/>
      <c r="T22" s="232">
        <v>1</v>
      </c>
      <c r="U22" s="141">
        <v>1</v>
      </c>
      <c r="V22" s="232"/>
      <c r="W22" s="232"/>
      <c r="X22" s="232"/>
      <c r="Y22" s="232"/>
      <c r="Z22" s="232"/>
      <c r="AA22" s="232"/>
      <c r="AB22" s="232"/>
      <c r="AC22" s="232"/>
      <c r="AD22" s="232"/>
      <c r="AE22" s="232"/>
    </row>
    <row r="23" spans="1:33" x14ac:dyDescent="0.4">
      <c r="C23" s="2683"/>
      <c r="D23" s="545" t="s">
        <v>6369</v>
      </c>
      <c r="E23" s="232">
        <v>1</v>
      </c>
      <c r="F23" s="232">
        <v>1</v>
      </c>
      <c r="G23" s="232">
        <v>2</v>
      </c>
      <c r="H23" s="232">
        <v>2</v>
      </c>
      <c r="I23" s="232">
        <v>1</v>
      </c>
      <c r="J23" s="232"/>
      <c r="K23" s="232"/>
      <c r="L23" s="232">
        <v>0</v>
      </c>
      <c r="M23" s="232">
        <v>0</v>
      </c>
      <c r="N23" s="232">
        <v>0</v>
      </c>
      <c r="O23" s="232">
        <v>1</v>
      </c>
      <c r="P23" s="232"/>
      <c r="Q23" s="232">
        <v>1</v>
      </c>
      <c r="R23" s="232">
        <v>2</v>
      </c>
      <c r="S23" s="232"/>
      <c r="T23" s="232">
        <v>0</v>
      </c>
      <c r="U23" s="141">
        <v>1</v>
      </c>
      <c r="V23" s="232"/>
      <c r="W23" s="232"/>
      <c r="X23" s="232"/>
      <c r="Y23" s="232"/>
      <c r="Z23" s="232"/>
      <c r="AA23" s="232"/>
      <c r="AB23" s="232"/>
      <c r="AC23" s="232"/>
      <c r="AD23" s="232"/>
      <c r="AE23" s="232"/>
    </row>
    <row r="24" spans="1:33" x14ac:dyDescent="0.4">
      <c r="C24" s="3344"/>
      <c r="D24" s="555" t="s">
        <v>6370</v>
      </c>
      <c r="E24" s="795"/>
      <c r="F24" s="795">
        <v>0</v>
      </c>
      <c r="G24" s="795">
        <v>7</v>
      </c>
      <c r="H24" s="795">
        <v>7</v>
      </c>
      <c r="I24" s="795">
        <v>6</v>
      </c>
      <c r="J24" s="795"/>
      <c r="K24" s="795">
        <v>1</v>
      </c>
      <c r="L24" s="795">
        <v>2</v>
      </c>
      <c r="M24" s="795">
        <v>4</v>
      </c>
      <c r="N24" s="795">
        <v>4</v>
      </c>
      <c r="O24" s="795">
        <v>2</v>
      </c>
      <c r="P24" s="795"/>
      <c r="Q24" s="795">
        <v>11</v>
      </c>
      <c r="R24" s="795">
        <v>13</v>
      </c>
      <c r="S24" s="795"/>
      <c r="T24" s="795">
        <v>0</v>
      </c>
      <c r="U24" s="795">
        <v>3</v>
      </c>
      <c r="V24" s="795"/>
      <c r="W24" s="795"/>
      <c r="X24" s="795"/>
      <c r="Y24" s="795"/>
      <c r="Z24" s="795"/>
      <c r="AA24" s="795"/>
      <c r="AB24" s="795"/>
      <c r="AC24" s="795"/>
      <c r="AD24" s="795"/>
      <c r="AE24" s="795"/>
      <c r="AF24" s="795"/>
      <c r="AG24" s="795"/>
    </row>
    <row r="25" spans="1:33" x14ac:dyDescent="0.4">
      <c r="C25" s="155" t="s">
        <v>6371</v>
      </c>
    </row>
    <row r="26" spans="1:33" x14ac:dyDescent="0.4">
      <c r="C26" s="155" t="s">
        <v>6372</v>
      </c>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545"/>
      <c r="AE26" s="545"/>
    </row>
  </sheetData>
  <mergeCells count="20">
    <mergeCell ref="A5:B5"/>
    <mergeCell ref="C5:AE5"/>
    <mergeCell ref="C1:D1"/>
    <mergeCell ref="A3:B3"/>
    <mergeCell ref="C3:AE3"/>
    <mergeCell ref="A4:B4"/>
    <mergeCell ref="C4:AE4"/>
    <mergeCell ref="C14:D14"/>
    <mergeCell ref="C15:C16"/>
    <mergeCell ref="C17:C18"/>
    <mergeCell ref="C19:C24"/>
    <mergeCell ref="A6:B6"/>
    <mergeCell ref="C6:AE6"/>
    <mergeCell ref="C11:D13"/>
    <mergeCell ref="E11:I12"/>
    <mergeCell ref="K11:O12"/>
    <mergeCell ref="Q11:U12"/>
    <mergeCell ref="W11:AG11"/>
    <mergeCell ref="W12:AA12"/>
    <mergeCell ref="AC12:AG12"/>
  </mergeCells>
  <hyperlinks>
    <hyperlink ref="A1" location="'ODS 12.'!A1" display="REGRESAR" xr:uid="{229AD157-E25E-4E17-80F7-4869F18B9F04}"/>
    <hyperlink ref="C1:D1" location="'Metadato 12.6.1'!A1" display="VER METADATO" xr:uid="{3869283C-A860-4BD6-A1F5-6F8E1FBC0B45}"/>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62D44-C041-4770-BA1D-1ED7C5340B5B}">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76</v>
      </c>
    </row>
    <row r="4" spans="1:6" ht="37.5" x14ac:dyDescent="0.4">
      <c r="A4" s="283"/>
      <c r="B4" s="2426" t="s">
        <v>77</v>
      </c>
      <c r="C4" s="2426"/>
      <c r="D4" s="49" t="s">
        <v>5921</v>
      </c>
    </row>
    <row r="5" spans="1:6" ht="37.5" x14ac:dyDescent="0.4">
      <c r="B5" s="2426" t="s">
        <v>79</v>
      </c>
      <c r="C5" s="2426"/>
      <c r="D5" s="49" t="s">
        <v>5893</v>
      </c>
    </row>
    <row r="6" spans="1:6" x14ac:dyDescent="0.4">
      <c r="B6" s="2425" t="s">
        <v>80</v>
      </c>
      <c r="C6" s="2425"/>
      <c r="D6" s="50" t="s">
        <v>5894</v>
      </c>
    </row>
    <row r="7" spans="1:6" ht="15" customHeight="1" x14ac:dyDescent="0.4">
      <c r="B7" s="2426" t="s">
        <v>81</v>
      </c>
      <c r="C7" s="2426"/>
      <c r="D7" s="49" t="s">
        <v>5895</v>
      </c>
    </row>
    <row r="8" spans="1:6" x14ac:dyDescent="0.4">
      <c r="B8" s="2426" t="s">
        <v>82</v>
      </c>
      <c r="C8" s="2426"/>
      <c r="D8" s="1047" t="s">
        <v>6042</v>
      </c>
    </row>
    <row r="10" spans="1:6" ht="23.25" customHeight="1" x14ac:dyDescent="0.4">
      <c r="B10" s="3314" t="s">
        <v>85</v>
      </c>
      <c r="C10" s="3314"/>
      <c r="D10" s="3314"/>
    </row>
    <row r="11" spans="1:6" ht="37.5" x14ac:dyDescent="0.4">
      <c r="B11" s="2427" t="s">
        <v>86</v>
      </c>
      <c r="C11" s="2428"/>
      <c r="D11" s="49" t="s">
        <v>6373</v>
      </c>
    </row>
    <row r="12" spans="1:6" ht="32.25" customHeight="1" x14ac:dyDescent="0.4">
      <c r="B12" s="2426" t="s">
        <v>88</v>
      </c>
      <c r="C12" s="2426"/>
      <c r="D12" s="184" t="s">
        <v>6374</v>
      </c>
    </row>
    <row r="13" spans="1:6" x14ac:dyDescent="0.4">
      <c r="B13" s="2425" t="s">
        <v>90</v>
      </c>
      <c r="C13" s="2425"/>
      <c r="D13" s="54" t="s">
        <v>6161</v>
      </c>
    </row>
    <row r="14" spans="1:6" x14ac:dyDescent="0.4">
      <c r="B14" s="2425" t="s">
        <v>91</v>
      </c>
      <c r="C14" s="2428"/>
      <c r="D14" s="54" t="s">
        <v>6375</v>
      </c>
    </row>
    <row r="15" spans="1:6" ht="93.75" x14ac:dyDescent="0.4">
      <c r="B15" s="2425" t="s">
        <v>93</v>
      </c>
      <c r="C15" s="2425"/>
      <c r="D15" s="49" t="s">
        <v>6376</v>
      </c>
    </row>
    <row r="16" spans="1:6" ht="225" x14ac:dyDescent="0.4">
      <c r="B16" s="2425" t="s">
        <v>95</v>
      </c>
      <c r="C16" s="2425"/>
      <c r="D16" s="49" t="s">
        <v>6377</v>
      </c>
    </row>
    <row r="17" spans="2:4" x14ac:dyDescent="0.4">
      <c r="B17" s="2425" t="s">
        <v>97</v>
      </c>
      <c r="C17" s="2425"/>
      <c r="D17" s="55" t="s">
        <v>270</v>
      </c>
    </row>
    <row r="18" spans="2:4" ht="56.25" x14ac:dyDescent="0.4">
      <c r="B18" s="2426" t="s">
        <v>99</v>
      </c>
      <c r="C18" s="2426"/>
      <c r="D18" s="49" t="s">
        <v>6378</v>
      </c>
    </row>
    <row r="19" spans="2:4" ht="63.75" customHeight="1" x14ac:dyDescent="0.4">
      <c r="B19" s="2435" t="s">
        <v>100</v>
      </c>
      <c r="C19" s="2436"/>
      <c r="D19" s="55" t="s">
        <v>6379</v>
      </c>
    </row>
    <row r="20" spans="2:4" x14ac:dyDescent="0.4">
      <c r="B20" s="2425" t="s">
        <v>102</v>
      </c>
      <c r="C20" s="2425"/>
      <c r="D20" s="49" t="s">
        <v>140</v>
      </c>
    </row>
    <row r="21" spans="2:4" ht="37.5" x14ac:dyDescent="0.4">
      <c r="B21" s="2432" t="s">
        <v>104</v>
      </c>
      <c r="C21" s="57" t="s">
        <v>105</v>
      </c>
      <c r="D21" s="49" t="s">
        <v>6380</v>
      </c>
    </row>
    <row r="22" spans="2:4" ht="75" x14ac:dyDescent="0.4">
      <c r="B22" s="2433"/>
      <c r="C22" s="58" t="s">
        <v>107</v>
      </c>
      <c r="D22" s="55" t="s">
        <v>6381</v>
      </c>
    </row>
    <row r="23" spans="2:4" x14ac:dyDescent="0.4">
      <c r="B23" s="2425" t="s">
        <v>109</v>
      </c>
      <c r="C23" s="2425"/>
      <c r="D23" s="49" t="s">
        <v>6382</v>
      </c>
    </row>
    <row r="24" spans="2:4" ht="52.15" customHeight="1" x14ac:dyDescent="0.4">
      <c r="B24" s="2425" t="s">
        <v>111</v>
      </c>
      <c r="C24" s="2425"/>
      <c r="D24" s="826" t="s">
        <v>6383</v>
      </c>
    </row>
    <row r="25" spans="2:4" x14ac:dyDescent="0.4">
      <c r="B25" s="2425" t="s">
        <v>113</v>
      </c>
      <c r="C25" s="2425"/>
      <c r="D25" s="55" t="s">
        <v>220</v>
      </c>
    </row>
    <row r="26" spans="2:4" ht="48.75" customHeight="1" x14ac:dyDescent="0.4">
      <c r="B26" s="2426" t="s">
        <v>115</v>
      </c>
      <c r="C26" s="2426"/>
      <c r="D26" s="49" t="s">
        <v>6384</v>
      </c>
    </row>
    <row r="27" spans="2:4" x14ac:dyDescent="0.4">
      <c r="B27" s="2427" t="s">
        <v>117</v>
      </c>
      <c r="C27" s="2428"/>
      <c r="D27" s="49" t="s">
        <v>6385</v>
      </c>
    </row>
    <row r="28" spans="2:4" ht="281.25" x14ac:dyDescent="0.4">
      <c r="B28" s="60" t="s">
        <v>118</v>
      </c>
      <c r="C28" s="61"/>
      <c r="D28" s="49" t="s">
        <v>6386</v>
      </c>
    </row>
    <row r="29" spans="2:4" x14ac:dyDescent="0.4">
      <c r="B29" s="2429" t="s">
        <v>120</v>
      </c>
      <c r="C29" s="2430"/>
      <c r="D29" s="1525" t="s">
        <v>6387</v>
      </c>
    </row>
    <row r="30" spans="2:4" x14ac:dyDescent="0.4">
      <c r="B30" s="63"/>
      <c r="C30" s="63"/>
      <c r="D30" s="64"/>
    </row>
    <row r="31" spans="2:4" ht="23.25" customHeight="1" x14ac:dyDescent="0.4">
      <c r="B31" s="3314" t="s">
        <v>121</v>
      </c>
      <c r="C31" s="3314"/>
      <c r="D31" s="3314"/>
    </row>
    <row r="32" spans="2:4" x14ac:dyDescent="0.4">
      <c r="B32" s="2427" t="s">
        <v>122</v>
      </c>
      <c r="C32" s="2428"/>
      <c r="D32" s="55" t="s">
        <v>6388</v>
      </c>
    </row>
    <row r="33" spans="2:4" x14ac:dyDescent="0.4">
      <c r="B33" s="2427" t="s">
        <v>124</v>
      </c>
      <c r="C33" s="2428"/>
      <c r="D33" s="55" t="s">
        <v>6389</v>
      </c>
    </row>
    <row r="34" spans="2:4" x14ac:dyDescent="0.4">
      <c r="B34" s="2427" t="s">
        <v>126</v>
      </c>
      <c r="C34" s="2428"/>
      <c r="D34" s="55" t="s">
        <v>6390</v>
      </c>
    </row>
    <row r="35" spans="2:4" x14ac:dyDescent="0.4">
      <c r="B35" s="2427" t="s">
        <v>128</v>
      </c>
      <c r="C35" s="2428"/>
      <c r="D35" s="246" t="s">
        <v>6391</v>
      </c>
    </row>
    <row r="36" spans="2:4" x14ac:dyDescent="0.4">
      <c r="B36" s="2427" t="s">
        <v>130</v>
      </c>
      <c r="C36" s="2428"/>
      <c r="D36" s="1640" t="s">
        <v>6392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A271AE6-8E58-4F7D-A8A5-2E88FD412640}"/>
    <dataValidation type="list" allowBlank="1" showInputMessage="1" showErrorMessage="1" sqref="D4" xr:uid="{E255F39B-B0D6-4CD4-9D14-F029CB9F8DD5}">
      <formula1>ODS</formula1>
    </dataValidation>
    <dataValidation type="list" allowBlank="1" showInputMessage="1" showErrorMessage="1" sqref="D5" xr:uid="{13C067AF-6C17-4982-A1CF-CEEFCA77D65C}">
      <formula1>Metas_ODS</formula1>
    </dataValidation>
    <dataValidation type="list" allowBlank="1" showInputMessage="1" showErrorMessage="1" sqref="D6" xr:uid="{675723F1-51AB-4179-A09F-7413A8F70D07}">
      <formula1>Numero_indicador</formula1>
    </dataValidation>
    <dataValidation type="list" allowBlank="1" showInputMessage="1" showErrorMessage="1" sqref="D7" xr:uid="{99B79AAC-8F2E-44F4-8CD8-6AACB0DE4ABF}">
      <formula1>Nombre_indicador_ODS</formula1>
    </dataValidation>
    <dataValidation type="list" allowBlank="1" showInputMessage="1" showErrorMessage="1" sqref="D14" xr:uid="{B42125B1-30FC-4A70-B1D1-FCA774360AA7}">
      <formula1>Tipo_indicador</formula1>
    </dataValidation>
    <dataValidation type="list" allowBlank="1" showInputMessage="1" showErrorMessage="1" sqref="D25" xr:uid="{8AAEBF25-E21E-47CE-BB17-6592F9EFE653}">
      <formula1>Tipo_operación</formula1>
    </dataValidation>
  </dataValidations>
  <hyperlinks>
    <hyperlink ref="B1" location="'12.6.1'!A1" display="REGRESAR" xr:uid="{FB6A2B72-7C21-4507-A867-B4EC5C889BEC}"/>
    <hyperlink ref="D8" r:id="rId1" xr:uid="{1EC8FCD5-1D15-456A-9A55-854CE8B1C707}"/>
    <hyperlink ref="D36" r:id="rId2" xr:uid="{7B05AE54-3C03-4D0B-9316-18769B17EDFF}"/>
    <hyperlink ref="D29" r:id="rId3" xr:uid="{0BC4A958-A481-4850-9D64-BCD478195712}"/>
  </hyperlinks>
  <pageMargins left="0.7" right="0.7" top="0.75" bottom="0.75" header="0.3" footer="0.3"/>
  <pageSetup paperSize="9"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EB9A-75D8-4A4E-98A9-BA43DF598499}">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7.28515625" style="222" customWidth="1"/>
    <col min="2" max="2" width="26.42578125" style="222" customWidth="1"/>
    <col min="3" max="3" width="24" style="222" customWidth="1"/>
    <col min="4" max="4" width="85.7109375" style="222" customWidth="1"/>
    <col min="5" max="5" width="7.7109375" style="222" customWidth="1"/>
    <col min="6" max="6" width="7.28515625" style="222" customWidth="1"/>
    <col min="7" max="7" width="6.28515625" style="222" customWidth="1"/>
    <col min="8" max="8" width="6.7109375" style="222" customWidth="1"/>
    <col min="9" max="9" width="2" style="222" customWidth="1"/>
    <col min="10" max="10" width="10.28515625" style="222" customWidth="1"/>
    <col min="11" max="11" width="7.7109375" style="222" customWidth="1"/>
    <col min="12" max="12" width="10.28515625" style="222" customWidth="1"/>
    <col min="13" max="13" width="0.7109375" style="222" customWidth="1"/>
    <col min="14" max="14" width="6.7109375" style="222" customWidth="1"/>
    <col min="15" max="15" width="6.42578125" style="222" customWidth="1"/>
    <col min="16"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265</v>
      </c>
    </row>
    <row r="4" spans="1:6" ht="30" customHeight="1" x14ac:dyDescent="0.25">
      <c r="A4" s="224"/>
      <c r="B4" s="2445" t="s">
        <v>234</v>
      </c>
      <c r="C4" s="2445"/>
      <c r="D4" s="49" t="s">
        <v>396</v>
      </c>
    </row>
    <row r="5" spans="1:6" ht="29.25" customHeight="1" x14ac:dyDescent="0.25">
      <c r="B5" s="2445" t="s">
        <v>79</v>
      </c>
      <c r="C5" s="2445"/>
      <c r="D5" s="49" t="s">
        <v>402</v>
      </c>
    </row>
    <row r="6" spans="1:6" x14ac:dyDescent="0.25">
      <c r="B6" s="2445" t="s">
        <v>80</v>
      </c>
      <c r="C6" s="2445"/>
      <c r="D6" s="50" t="s">
        <v>405</v>
      </c>
    </row>
    <row r="7" spans="1:6" ht="56.25" x14ac:dyDescent="0.25">
      <c r="B7" s="2446" t="s">
        <v>81</v>
      </c>
      <c r="C7" s="2446"/>
      <c r="D7" s="93" t="s">
        <v>406</v>
      </c>
    </row>
    <row r="8" spans="1:6" x14ac:dyDescent="0.25">
      <c r="B8" s="2474" t="s">
        <v>82</v>
      </c>
      <c r="C8" s="2474"/>
      <c r="D8" s="310" t="s">
        <v>587</v>
      </c>
    </row>
    <row r="9" spans="1:6" x14ac:dyDescent="0.25">
      <c r="B9" s="2474"/>
      <c r="C9" s="2474"/>
      <c r="D9" s="94" t="s">
        <v>588</v>
      </c>
    </row>
    <row r="10" spans="1:6" x14ac:dyDescent="0.4">
      <c r="B10" s="5"/>
      <c r="C10" s="5"/>
      <c r="D10" s="5"/>
    </row>
    <row r="11" spans="1:6" ht="23.25" customHeight="1" x14ac:dyDescent="0.25">
      <c r="B11" s="2514" t="s">
        <v>85</v>
      </c>
      <c r="C11" s="2514"/>
      <c r="D11" s="2514"/>
    </row>
    <row r="12" spans="1:6" ht="16.5" customHeight="1" x14ac:dyDescent="0.25">
      <c r="B12" s="2453" t="s">
        <v>86</v>
      </c>
      <c r="C12" s="2454"/>
      <c r="D12" s="49"/>
    </row>
    <row r="13" spans="1:6" x14ac:dyDescent="0.25">
      <c r="B13" s="2455" t="s">
        <v>88</v>
      </c>
      <c r="C13" s="2455"/>
      <c r="D13" s="184"/>
    </row>
    <row r="14" spans="1:6" x14ac:dyDescent="0.25">
      <c r="B14" s="2445" t="s">
        <v>90</v>
      </c>
      <c r="C14" s="2445"/>
      <c r="D14" s="54" t="s">
        <v>405</v>
      </c>
    </row>
    <row r="15" spans="1:6" x14ac:dyDescent="0.25">
      <c r="B15" s="2445" t="s">
        <v>91</v>
      </c>
      <c r="C15" s="2456"/>
      <c r="D15" s="54"/>
    </row>
    <row r="16" spans="1:6" x14ac:dyDescent="0.25">
      <c r="B16" s="2445" t="s">
        <v>93</v>
      </c>
      <c r="C16" s="2445"/>
      <c r="D16" s="56"/>
    </row>
    <row r="17" spans="2:4" x14ac:dyDescent="0.4">
      <c r="B17" s="2445" t="s">
        <v>95</v>
      </c>
      <c r="C17" s="2445"/>
      <c r="D17" s="203"/>
    </row>
    <row r="18" spans="2:4" x14ac:dyDescent="0.25">
      <c r="B18" s="2445" t="s">
        <v>97</v>
      </c>
      <c r="C18" s="2445"/>
      <c r="D18" s="56"/>
    </row>
    <row r="19" spans="2:4" x14ac:dyDescent="0.25">
      <c r="B19" s="2446" t="s">
        <v>99</v>
      </c>
      <c r="C19" s="2446"/>
      <c r="D19" s="49"/>
    </row>
    <row r="20" spans="2:4" ht="14.65" customHeight="1" x14ac:dyDescent="0.25">
      <c r="B20" s="2457" t="s">
        <v>100</v>
      </c>
      <c r="C20" s="2458"/>
      <c r="D20" s="56"/>
    </row>
    <row r="21" spans="2:4" x14ac:dyDescent="0.25">
      <c r="B21" s="2445" t="s">
        <v>102</v>
      </c>
      <c r="C21" s="2445"/>
      <c r="D21" s="56"/>
    </row>
    <row r="22" spans="2:4" x14ac:dyDescent="0.25">
      <c r="B22" s="2451" t="s">
        <v>104</v>
      </c>
      <c r="C22" s="95" t="s">
        <v>105</v>
      </c>
      <c r="D22" s="55"/>
    </row>
    <row r="23" spans="2:4" x14ac:dyDescent="0.25">
      <c r="B23" s="2452"/>
      <c r="C23" s="96" t="s">
        <v>107</v>
      </c>
      <c r="D23" s="56"/>
    </row>
    <row r="24" spans="2:4" x14ac:dyDescent="0.25">
      <c r="B24" s="2444" t="s">
        <v>109</v>
      </c>
      <c r="C24" s="2444"/>
      <c r="D24" s="56"/>
    </row>
    <row r="25" spans="2:4" x14ac:dyDescent="0.25">
      <c r="B25" s="2444" t="s">
        <v>111</v>
      </c>
      <c r="C25" s="2444"/>
      <c r="D25" s="59" t="s">
        <v>127</v>
      </c>
    </row>
    <row r="26" spans="2:4" x14ac:dyDescent="0.25">
      <c r="B26" s="2445" t="s">
        <v>113</v>
      </c>
      <c r="C26" s="2445"/>
      <c r="D26" s="56"/>
    </row>
    <row r="27" spans="2:4" ht="14.65" customHeight="1" x14ac:dyDescent="0.25">
      <c r="B27" s="2446" t="s">
        <v>115</v>
      </c>
      <c r="C27" s="2446"/>
      <c r="D27" s="160"/>
    </row>
    <row r="28" spans="2:4" x14ac:dyDescent="0.25">
      <c r="B28" s="2447" t="s">
        <v>117</v>
      </c>
      <c r="C28" s="2448"/>
      <c r="D28" s="49"/>
    </row>
    <row r="29" spans="2:4" x14ac:dyDescent="0.25">
      <c r="B29" s="97" t="s">
        <v>118</v>
      </c>
      <c r="C29" s="98"/>
      <c r="D29" s="49"/>
    </row>
    <row r="30" spans="2:4" x14ac:dyDescent="0.25">
      <c r="B30" s="2449" t="s">
        <v>120</v>
      </c>
      <c r="C30" s="2450"/>
      <c r="D30" s="62"/>
    </row>
    <row r="31" spans="2:4" x14ac:dyDescent="0.25">
      <c r="B31" s="63"/>
      <c r="C31" s="63"/>
      <c r="D31" s="64"/>
    </row>
    <row r="32" spans="2:4" ht="23.25" customHeight="1" x14ac:dyDescent="0.25">
      <c r="B32" s="2514" t="s">
        <v>121</v>
      </c>
      <c r="C32" s="2514"/>
      <c r="D32" s="2514"/>
    </row>
    <row r="33" spans="2:4" x14ac:dyDescent="0.25">
      <c r="B33" s="2442" t="s">
        <v>122</v>
      </c>
      <c r="C33" s="2443"/>
      <c r="D33" s="59" t="s">
        <v>520</v>
      </c>
    </row>
    <row r="34" spans="2:4" x14ac:dyDescent="0.25">
      <c r="B34" s="2442" t="s">
        <v>124</v>
      </c>
      <c r="C34" s="2443"/>
      <c r="D34" s="59" t="s">
        <v>521</v>
      </c>
    </row>
    <row r="35" spans="2:4" x14ac:dyDescent="0.25">
      <c r="B35" s="2442" t="s">
        <v>126</v>
      </c>
      <c r="C35" s="2443"/>
      <c r="D35" s="59" t="s">
        <v>522</v>
      </c>
    </row>
    <row r="36" spans="2:4" x14ac:dyDescent="0.25">
      <c r="B36" s="2442" t="s">
        <v>128</v>
      </c>
      <c r="C36" s="2443"/>
      <c r="D36" s="59">
        <v>22560255</v>
      </c>
    </row>
    <row r="37" spans="2:4" x14ac:dyDescent="0.25">
      <c r="B37" s="2442" t="s">
        <v>130</v>
      </c>
      <c r="C37" s="2443"/>
      <c r="D37" s="65" t="s">
        <v>523</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5F3B0FAC-2B4D-4B2A-8A99-A63721B97CAB}">
      <formula1>Tipo_operación</formula1>
    </dataValidation>
    <dataValidation type="list" allowBlank="1" showInputMessage="1" showErrorMessage="1" sqref="D15" xr:uid="{E55F5289-7636-463D-8E70-8BAC8AE8425C}">
      <formula1>Tipo_indicador</formula1>
    </dataValidation>
    <dataValidation type="list" allowBlank="1" showInputMessage="1" showErrorMessage="1" sqref="D7" xr:uid="{C74E9E02-87C1-4F3B-8466-C6C811E1B998}">
      <formula1>Nombre_indicador_ODS</formula1>
    </dataValidation>
    <dataValidation type="list" allowBlank="1" showInputMessage="1" showErrorMessage="1" sqref="D6" xr:uid="{B736B670-35BB-42C0-AFA8-39CBE8545B80}">
      <formula1>Numero_indicador</formula1>
    </dataValidation>
    <dataValidation type="list" allowBlank="1" showInputMessage="1" showErrorMessage="1" sqref="D5" xr:uid="{A9825255-3F66-43DF-8FD3-F8C7DD807E7D}">
      <formula1>Metas_ODS</formula1>
    </dataValidation>
    <dataValidation type="list" allowBlank="1" showInputMessage="1" showErrorMessage="1" sqref="D4" xr:uid="{990834D9-DF57-4DFC-8D0A-B2D867327E4C}">
      <formula1>ODS</formula1>
    </dataValidation>
    <dataValidation allowBlank="1" showDropDown="1" showInputMessage="1" showErrorMessage="1" sqref="D14" xr:uid="{DD52D581-A53F-4CC6-A811-4AFFA4A6A21B}"/>
  </dataValidations>
  <hyperlinks>
    <hyperlink ref="B1" location="'2.2.2'!A1" display="REGRESAR" xr:uid="{D1C4F279-A17D-445A-9A1D-7C4958567AD3}"/>
    <hyperlink ref="D8" r:id="rId1" xr:uid="{7EF245A7-7AA3-46AB-AE30-99637C0C30B1}"/>
    <hyperlink ref="D9" r:id="rId2" xr:uid="{E1786C4B-DE9C-497C-A24F-00464EA5408C}"/>
    <hyperlink ref="D37" r:id="rId3" xr:uid="{2D052F17-79E2-4A01-B15A-9D663A5CB803}"/>
  </hyperlinks>
  <pageMargins left="0.7" right="0.7" top="0.75" bottom="0.75" header="0.3" footer="0.3"/>
  <pageSetup orientation="portrait" r:id="rId4"/>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DBBA-DCE9-4A66-8BD8-45A22E092698}">
  <dimension ref="A1:R120"/>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 style="115" customWidth="1"/>
    <col min="3" max="3" width="55.140625" style="1048" customWidth="1"/>
    <col min="4" max="4" width="15.7109375" style="115" customWidth="1"/>
    <col min="5" max="5" width="26.28515625" style="115" customWidth="1"/>
    <col min="6" max="6" width="37.28515625" style="115" customWidth="1"/>
    <col min="7" max="9" width="17" style="115" customWidth="1"/>
    <col min="10" max="10" width="35.7109375" style="115" customWidth="1"/>
    <col min="11" max="11" width="63.7109375" style="115" customWidth="1"/>
    <col min="12" max="16384" width="11.42578125" style="115"/>
  </cols>
  <sheetData>
    <row r="1" spans="1:18" x14ac:dyDescent="0.4">
      <c r="A1" s="90" t="s">
        <v>39</v>
      </c>
      <c r="B1" s="1311"/>
      <c r="C1" s="90" t="s">
        <v>149</v>
      </c>
    </row>
    <row r="3" spans="1:18" ht="19.5" x14ac:dyDescent="0.4">
      <c r="A3" s="3315" t="s">
        <v>41</v>
      </c>
      <c r="B3" s="3315"/>
      <c r="C3" s="3315" t="s">
        <v>6140</v>
      </c>
      <c r="D3" s="3315"/>
      <c r="E3" s="3315"/>
      <c r="F3" s="3315"/>
      <c r="G3" s="3315"/>
      <c r="H3" s="3315"/>
      <c r="I3" s="3315"/>
      <c r="J3" s="3315"/>
      <c r="K3" s="3315"/>
      <c r="L3" s="3315"/>
      <c r="M3" s="3315"/>
      <c r="N3" s="3315"/>
      <c r="O3" s="3315"/>
      <c r="P3" s="3315"/>
      <c r="Q3" s="3315"/>
      <c r="R3" s="3315"/>
    </row>
    <row r="4" spans="1:18" ht="19.5" x14ac:dyDescent="0.4">
      <c r="A4" s="3315" t="s">
        <v>42</v>
      </c>
      <c r="B4" s="3316"/>
      <c r="C4" s="3340" t="s">
        <v>6163</v>
      </c>
      <c r="D4" s="3341"/>
      <c r="E4" s="3341"/>
      <c r="F4" s="3341"/>
      <c r="G4" s="3341"/>
      <c r="H4" s="3341"/>
      <c r="I4" s="3341"/>
      <c r="J4" s="3341"/>
      <c r="K4" s="3341"/>
      <c r="L4" s="3341"/>
      <c r="M4" s="3341"/>
      <c r="N4" s="3341"/>
      <c r="O4" s="3341"/>
      <c r="P4" s="3341"/>
      <c r="Q4" s="3341"/>
      <c r="R4" s="3341"/>
    </row>
    <row r="5" spans="1:18" ht="15" customHeight="1" x14ac:dyDescent="0.4">
      <c r="A5" s="3315" t="s">
        <v>43</v>
      </c>
      <c r="B5" s="3316"/>
      <c r="C5" s="3340" t="s">
        <v>6165</v>
      </c>
      <c r="D5" s="3341"/>
      <c r="E5" s="3341"/>
      <c r="F5" s="3341"/>
      <c r="G5" s="3341"/>
      <c r="H5" s="3341"/>
      <c r="I5" s="3341"/>
      <c r="J5" s="3341"/>
      <c r="K5" s="3341"/>
      <c r="L5" s="3341"/>
      <c r="M5" s="3341"/>
      <c r="N5" s="3341"/>
      <c r="O5" s="3341"/>
      <c r="P5" s="3341"/>
      <c r="Q5" s="3341"/>
      <c r="R5" s="3341"/>
    </row>
    <row r="6" spans="1:18" ht="54" customHeight="1" x14ac:dyDescent="0.4">
      <c r="A6" s="3315" t="s">
        <v>132</v>
      </c>
      <c r="B6" s="3316"/>
      <c r="C6" s="3312" t="s">
        <v>6393</v>
      </c>
      <c r="D6" s="3310"/>
      <c r="E6" s="3310"/>
      <c r="F6" s="3310"/>
      <c r="G6" s="3310"/>
      <c r="H6" s="3310"/>
      <c r="I6" s="3310"/>
      <c r="J6" s="3310"/>
      <c r="K6" s="3310"/>
      <c r="L6" s="3310"/>
      <c r="M6" s="3310"/>
      <c r="N6" s="3310"/>
      <c r="O6" s="3310"/>
      <c r="P6" s="3310"/>
      <c r="Q6" s="3310"/>
      <c r="R6" s="3309"/>
    </row>
    <row r="7" spans="1:18" x14ac:dyDescent="0.4">
      <c r="A7" s="536"/>
    </row>
    <row r="8" spans="1:18" x14ac:dyDescent="0.4">
      <c r="A8" s="536"/>
    </row>
    <row r="9" spans="1:18" s="155" customFormat="1" x14ac:dyDescent="0.25">
      <c r="C9" s="225" t="s">
        <v>6394</v>
      </c>
      <c r="D9" s="225"/>
      <c r="E9" s="1880"/>
      <c r="F9" s="1880"/>
      <c r="G9" s="1880"/>
      <c r="H9" s="1880"/>
      <c r="I9" s="1880"/>
      <c r="J9" s="1880"/>
      <c r="K9" s="1880"/>
      <c r="L9" s="797"/>
      <c r="M9" s="797"/>
      <c r="N9" s="797"/>
    </row>
    <row r="10" spans="1:18" s="155" customFormat="1" ht="9" customHeight="1" x14ac:dyDescent="0.25">
      <c r="C10" s="276"/>
      <c r="D10" s="276"/>
      <c r="E10" s="1880"/>
      <c r="F10" s="1880"/>
      <c r="G10" s="1880"/>
      <c r="H10" s="1880"/>
      <c r="I10" s="1880"/>
      <c r="J10" s="1880"/>
      <c r="K10" s="1880"/>
      <c r="L10" s="797"/>
      <c r="M10" s="797"/>
      <c r="N10" s="797"/>
    </row>
    <row r="11" spans="1:18" x14ac:dyDescent="0.4">
      <c r="C11" s="1881" t="s">
        <v>6395</v>
      </c>
      <c r="D11" s="1881" t="s">
        <v>6396</v>
      </c>
      <c r="E11" s="538"/>
      <c r="F11" s="538"/>
      <c r="G11" s="538"/>
      <c r="H11" s="538"/>
      <c r="I11" s="538"/>
      <c r="J11" s="538"/>
      <c r="K11" s="538"/>
      <c r="L11" s="840"/>
      <c r="M11" s="840"/>
      <c r="N11" s="840"/>
    </row>
    <row r="12" spans="1:18" x14ac:dyDescent="0.4">
      <c r="C12" s="1880" t="s">
        <v>6397</v>
      </c>
      <c r="D12" s="1882">
        <v>2.8107003782717026</v>
      </c>
      <c r="E12" s="1883"/>
      <c r="F12" s="538"/>
      <c r="G12" s="538"/>
      <c r="H12" s="538"/>
      <c r="I12" s="538"/>
      <c r="J12" s="538"/>
      <c r="K12" s="538"/>
      <c r="L12" s="840"/>
      <c r="M12" s="840"/>
      <c r="N12" s="840"/>
    </row>
    <row r="13" spans="1:18" x14ac:dyDescent="0.4">
      <c r="C13" s="1880" t="s">
        <v>6398</v>
      </c>
      <c r="D13" s="1884">
        <v>1</v>
      </c>
      <c r="E13" s="538"/>
      <c r="F13" s="538"/>
      <c r="G13" s="538"/>
      <c r="H13" s="538"/>
      <c r="I13" s="538"/>
      <c r="J13" s="538"/>
      <c r="K13" s="538"/>
      <c r="L13" s="840"/>
      <c r="M13" s="840"/>
      <c r="N13" s="840"/>
    </row>
    <row r="14" spans="1:18" x14ac:dyDescent="0.4">
      <c r="C14" s="1880" t="s">
        <v>6399</v>
      </c>
      <c r="D14" s="1884">
        <v>0.7</v>
      </c>
      <c r="E14" s="538"/>
      <c r="F14" s="538"/>
      <c r="G14" s="538"/>
      <c r="H14" s="538"/>
      <c r="I14" s="538"/>
      <c r="J14" s="538"/>
      <c r="K14" s="538"/>
      <c r="L14" s="840"/>
      <c r="M14" s="840"/>
      <c r="N14" s="840"/>
    </row>
    <row r="15" spans="1:18" x14ac:dyDescent="0.4">
      <c r="C15" s="1880" t="s">
        <v>6400</v>
      </c>
      <c r="D15" s="1884">
        <v>0.3</v>
      </c>
      <c r="E15" s="1883"/>
      <c r="F15" s="538"/>
      <c r="G15" s="538"/>
      <c r="H15" s="538"/>
      <c r="I15" s="538"/>
      <c r="J15" s="538"/>
      <c r="K15" s="538"/>
      <c r="L15" s="840"/>
      <c r="M15" s="840"/>
      <c r="N15" s="840"/>
    </row>
    <row r="16" spans="1:18" x14ac:dyDescent="0.4">
      <c r="C16" s="1880" t="s">
        <v>6401</v>
      </c>
      <c r="D16" s="1884">
        <v>1</v>
      </c>
      <c r="E16" s="538"/>
      <c r="F16" s="538"/>
      <c r="G16" s="538"/>
      <c r="H16" s="538"/>
      <c r="I16" s="538"/>
      <c r="J16" s="538"/>
      <c r="K16" s="538"/>
      <c r="L16" s="840"/>
      <c r="M16" s="840"/>
      <c r="N16" s="840"/>
    </row>
    <row r="17" spans="3:14" x14ac:dyDescent="0.4">
      <c r="C17" s="1880" t="s">
        <v>6402</v>
      </c>
      <c r="D17" s="1884">
        <v>1</v>
      </c>
      <c r="E17" s="538"/>
      <c r="F17" s="538"/>
      <c r="G17" s="538"/>
      <c r="H17" s="538"/>
      <c r="I17" s="538"/>
      <c r="J17" s="538"/>
      <c r="K17" s="538"/>
      <c r="L17" s="840"/>
      <c r="M17" s="840"/>
      <c r="N17" s="840"/>
    </row>
    <row r="18" spans="3:14" x14ac:dyDescent="0.4">
      <c r="C18" s="1880" t="s">
        <v>6403</v>
      </c>
      <c r="D18" s="1884">
        <v>0.08</v>
      </c>
      <c r="E18" s="538"/>
      <c r="F18" s="538"/>
      <c r="G18" s="538"/>
      <c r="H18" s="538"/>
      <c r="I18" s="538"/>
      <c r="J18" s="538"/>
      <c r="K18" s="538"/>
      <c r="L18" s="840"/>
      <c r="M18" s="840"/>
      <c r="N18" s="840"/>
    </row>
    <row r="19" spans="3:14" x14ac:dyDescent="0.4">
      <c r="C19" s="1880" t="s">
        <v>6404</v>
      </c>
      <c r="D19" s="1884">
        <v>0.24</v>
      </c>
      <c r="E19" s="1883"/>
      <c r="F19" s="538"/>
      <c r="G19" s="538"/>
      <c r="H19" s="538"/>
      <c r="I19" s="538"/>
      <c r="J19" s="538"/>
      <c r="K19" s="538"/>
      <c r="L19" s="840"/>
      <c r="M19" s="840"/>
      <c r="N19" s="840"/>
    </row>
    <row r="20" spans="3:14" x14ac:dyDescent="0.4">
      <c r="C20" s="1880" t="s">
        <v>6405</v>
      </c>
      <c r="D20" s="1884">
        <v>0</v>
      </c>
      <c r="E20" s="1883"/>
      <c r="F20" s="538"/>
      <c r="G20" s="538"/>
      <c r="H20" s="538"/>
      <c r="I20" s="538"/>
      <c r="J20" s="538"/>
      <c r="K20" s="538"/>
      <c r="L20" s="840"/>
      <c r="M20" s="840"/>
      <c r="N20" s="840"/>
    </row>
    <row r="21" spans="3:14" x14ac:dyDescent="0.4">
      <c r="C21" s="1880" t="s">
        <v>6406</v>
      </c>
      <c r="D21" s="1884">
        <v>0.32</v>
      </c>
      <c r="E21" s="538"/>
      <c r="F21" s="538"/>
      <c r="G21" s="538"/>
      <c r="H21" s="538"/>
      <c r="I21" s="538"/>
      <c r="J21" s="538"/>
      <c r="K21" s="538"/>
      <c r="L21" s="840"/>
      <c r="M21" s="840"/>
      <c r="N21" s="840"/>
    </row>
    <row r="22" spans="3:14" x14ac:dyDescent="0.4">
      <c r="C22" s="1880" t="s">
        <v>6407</v>
      </c>
      <c r="D22" s="1884">
        <v>0.2</v>
      </c>
      <c r="E22" s="538"/>
      <c r="F22" s="538"/>
      <c r="G22" s="538"/>
      <c r="H22" s="538"/>
      <c r="I22" s="538"/>
      <c r="J22" s="538"/>
      <c r="K22" s="538"/>
      <c r="L22" s="840"/>
      <c r="M22" s="840"/>
      <c r="N22" s="840"/>
    </row>
    <row r="23" spans="3:14" x14ac:dyDescent="0.4">
      <c r="C23" s="1885" t="s">
        <v>6408</v>
      </c>
      <c r="D23" s="1886">
        <v>0.29070000000000001</v>
      </c>
      <c r="E23" s="538"/>
      <c r="F23" s="538"/>
      <c r="G23" s="538"/>
      <c r="H23" s="538"/>
      <c r="I23" s="538"/>
      <c r="J23" s="538"/>
      <c r="K23" s="538"/>
      <c r="L23" s="840"/>
      <c r="M23" s="840"/>
      <c r="N23" s="840"/>
    </row>
    <row r="24" spans="3:14" x14ac:dyDescent="0.4">
      <c r="C24" s="538" t="s">
        <v>6409</v>
      </c>
      <c r="D24" s="538"/>
      <c r="E24" s="538"/>
      <c r="F24" s="538"/>
      <c r="G24" s="538"/>
      <c r="H24" s="538"/>
      <c r="I24" s="538"/>
      <c r="J24" s="538"/>
      <c r="K24" s="538"/>
      <c r="L24" s="840"/>
      <c r="M24" s="840"/>
      <c r="N24" s="840"/>
    </row>
    <row r="25" spans="3:14" x14ac:dyDescent="0.4">
      <c r="C25" s="538"/>
      <c r="D25" s="538"/>
      <c r="E25" s="538"/>
      <c r="F25" s="538"/>
      <c r="G25" s="538"/>
      <c r="H25" s="538"/>
      <c r="I25" s="538"/>
      <c r="J25" s="538"/>
      <c r="K25" s="538"/>
      <c r="L25" s="840"/>
      <c r="M25" s="840"/>
      <c r="N25" s="840"/>
    </row>
    <row r="26" spans="3:14" x14ac:dyDescent="0.4">
      <c r="C26" s="538"/>
      <c r="D26" s="538"/>
      <c r="E26" s="538"/>
      <c r="F26" s="538"/>
      <c r="G26" s="538"/>
      <c r="H26" s="538"/>
      <c r="I26" s="538"/>
      <c r="J26" s="538"/>
      <c r="K26" s="538"/>
      <c r="L26" s="840"/>
      <c r="M26" s="840"/>
      <c r="N26" s="840"/>
    </row>
    <row r="27" spans="3:14" x14ac:dyDescent="0.4">
      <c r="C27" s="538"/>
      <c r="D27" s="538"/>
      <c r="E27" s="538"/>
      <c r="F27" s="538"/>
      <c r="G27" s="538"/>
      <c r="H27" s="538"/>
      <c r="I27" s="538"/>
      <c r="J27" s="538"/>
      <c r="K27" s="538"/>
      <c r="L27" s="840"/>
      <c r="M27" s="840"/>
      <c r="N27" s="840"/>
    </row>
    <row r="28" spans="3:14" x14ac:dyDescent="0.4">
      <c r="C28" s="225" t="s">
        <v>6410</v>
      </c>
      <c r="D28" s="225"/>
      <c r="E28" s="225"/>
      <c r="F28" s="538"/>
      <c r="G28" s="538"/>
      <c r="H28" s="538"/>
      <c r="I28" s="538"/>
      <c r="J28" s="538"/>
      <c r="K28" s="538"/>
      <c r="L28" s="840"/>
      <c r="M28" s="840"/>
      <c r="N28" s="840"/>
    </row>
    <row r="29" spans="3:14" ht="9.6" customHeight="1" x14ac:dyDescent="0.4">
      <c r="C29" s="602"/>
      <c r="D29" s="602"/>
      <c r="E29" s="602"/>
      <c r="F29" s="538"/>
      <c r="G29" s="538"/>
      <c r="H29" s="538"/>
      <c r="I29" s="538"/>
      <c r="J29" s="538"/>
      <c r="K29" s="538"/>
      <c r="L29" s="840"/>
      <c r="M29" s="840"/>
      <c r="N29" s="840"/>
    </row>
    <row r="30" spans="3:14" ht="49.5" x14ac:dyDescent="0.4">
      <c r="C30" s="1887"/>
      <c r="D30" s="1888" t="s">
        <v>6411</v>
      </c>
      <c r="E30" s="1888" t="s">
        <v>6412</v>
      </c>
      <c r="F30" s="538"/>
      <c r="G30" s="538"/>
      <c r="H30" s="538"/>
      <c r="I30" s="538"/>
      <c r="J30" s="538"/>
      <c r="K30" s="538"/>
      <c r="L30" s="840"/>
      <c r="M30" s="840"/>
      <c r="N30" s="840"/>
    </row>
    <row r="31" spans="3:14" x14ac:dyDescent="0.4">
      <c r="C31" s="1880" t="s">
        <v>6413</v>
      </c>
      <c r="D31" s="1889">
        <v>3002296012065</v>
      </c>
      <c r="E31" s="1890">
        <v>1</v>
      </c>
      <c r="F31" s="538"/>
      <c r="G31" s="538"/>
      <c r="H31" s="538"/>
      <c r="I31" s="538"/>
      <c r="J31" s="538"/>
      <c r="K31" s="538"/>
      <c r="L31" s="840"/>
      <c r="M31" s="840"/>
      <c r="N31" s="840"/>
    </row>
    <row r="32" spans="3:14" x14ac:dyDescent="0.4">
      <c r="C32" s="1885" t="s">
        <v>6414</v>
      </c>
      <c r="D32" s="1891">
        <v>284483861330.59998</v>
      </c>
      <c r="E32" s="1892">
        <f>D32/D31</f>
        <v>9.4755433903710912E-2</v>
      </c>
      <c r="F32" s="538" t="s">
        <v>6415</v>
      </c>
      <c r="G32" s="538"/>
      <c r="H32" s="538"/>
      <c r="I32" s="538"/>
      <c r="J32" s="538"/>
      <c r="K32" s="538"/>
      <c r="L32" s="840"/>
      <c r="M32" s="840"/>
      <c r="N32" s="840"/>
    </row>
    <row r="33" spans="3:14" x14ac:dyDescent="0.4">
      <c r="C33" s="538" t="s">
        <v>6409</v>
      </c>
      <c r="D33" s="1893"/>
      <c r="E33" s="1894"/>
      <c r="F33" s="538"/>
      <c r="G33" s="538"/>
      <c r="H33" s="538"/>
      <c r="I33" s="538"/>
      <c r="J33" s="538"/>
      <c r="K33" s="538"/>
      <c r="L33" s="840"/>
      <c r="M33" s="840"/>
      <c r="N33" s="840"/>
    </row>
    <row r="34" spans="3:14" x14ac:dyDescent="0.4">
      <c r="C34" s="1880"/>
      <c r="D34" s="1893"/>
      <c r="E34" s="1895"/>
      <c r="F34" s="538"/>
      <c r="G34" s="538"/>
      <c r="H34" s="538"/>
      <c r="I34" s="538"/>
      <c r="J34" s="538"/>
      <c r="K34" s="538"/>
      <c r="L34" s="840"/>
      <c r="M34" s="840"/>
      <c r="N34" s="840"/>
    </row>
    <row r="35" spans="3:14" x14ac:dyDescent="0.4">
      <c r="C35" s="538"/>
      <c r="D35" s="538"/>
      <c r="E35" s="538"/>
      <c r="F35" s="538"/>
      <c r="G35" s="538"/>
      <c r="H35" s="538"/>
      <c r="I35" s="538"/>
      <c r="J35" s="538"/>
      <c r="K35" s="538"/>
      <c r="L35" s="840"/>
      <c r="M35" s="840"/>
      <c r="N35" s="840"/>
    </row>
    <row r="36" spans="3:14" x14ac:dyDescent="0.4">
      <c r="C36" s="188" t="s">
        <v>6416</v>
      </c>
      <c r="D36" s="188"/>
      <c r="E36" s="188"/>
      <c r="F36" s="188"/>
      <c r="G36" s="188"/>
      <c r="H36" s="188"/>
      <c r="I36" s="188"/>
      <c r="J36" s="188"/>
      <c r="K36" s="188"/>
      <c r="L36" s="840"/>
      <c r="M36" s="840"/>
      <c r="N36" s="840"/>
    </row>
    <row r="37" spans="3:14" ht="10.9" customHeight="1" x14ac:dyDescent="0.4">
      <c r="C37" s="1896"/>
      <c r="D37" s="1896"/>
      <c r="E37" s="1896"/>
      <c r="F37" s="1896"/>
      <c r="G37" s="1896"/>
      <c r="H37" s="1896"/>
      <c r="I37" s="1896"/>
      <c r="J37" s="1896"/>
      <c r="K37" s="1896"/>
      <c r="L37" s="840"/>
      <c r="M37" s="840"/>
      <c r="N37" s="840"/>
    </row>
    <row r="38" spans="3:14" x14ac:dyDescent="0.4">
      <c r="C38" s="1897" t="s">
        <v>6417</v>
      </c>
      <c r="D38" s="1888" t="s">
        <v>6418</v>
      </c>
      <c r="E38" s="1898" t="s">
        <v>6419</v>
      </c>
      <c r="F38" s="3365" t="s">
        <v>6420</v>
      </c>
      <c r="G38" s="3365"/>
      <c r="H38" s="3365"/>
      <c r="I38" s="3365"/>
      <c r="J38" s="1899" t="s">
        <v>6421</v>
      </c>
      <c r="K38" s="1899" t="s">
        <v>6422</v>
      </c>
      <c r="L38" s="840"/>
      <c r="M38" s="840"/>
      <c r="N38" s="840"/>
    </row>
    <row r="39" spans="3:14" ht="50.25" x14ac:dyDescent="0.4">
      <c r="C39" s="1900" t="s">
        <v>6423</v>
      </c>
      <c r="D39" s="1901" t="s">
        <v>6424</v>
      </c>
      <c r="E39" s="1902" t="s">
        <v>6425</v>
      </c>
      <c r="F39" s="3366" t="s">
        <v>6426</v>
      </c>
      <c r="G39" s="3366"/>
      <c r="H39" s="3366"/>
      <c r="I39" s="3366"/>
      <c r="J39" s="1901"/>
      <c r="K39" s="1901"/>
      <c r="L39" s="840"/>
      <c r="M39" s="840"/>
      <c r="N39" s="840"/>
    </row>
    <row r="40" spans="3:14" ht="87" customHeight="1" x14ac:dyDescent="0.4">
      <c r="C40" s="1903" t="s">
        <v>6427</v>
      </c>
      <c r="D40" s="1903"/>
      <c r="E40" s="1903" t="s">
        <v>6428</v>
      </c>
      <c r="F40" s="3367" t="s">
        <v>6429</v>
      </c>
      <c r="G40" s="3368"/>
      <c r="H40" s="3368"/>
      <c r="I40" s="3369"/>
      <c r="J40" s="1904" t="s">
        <v>6430</v>
      </c>
      <c r="K40" s="1903" t="s">
        <v>6431</v>
      </c>
      <c r="L40" s="840"/>
      <c r="M40" s="840"/>
      <c r="N40" s="840"/>
    </row>
    <row r="41" spans="3:14" x14ac:dyDescent="0.4">
      <c r="C41" s="1905" t="s">
        <v>76</v>
      </c>
      <c r="D41" s="1906">
        <v>1</v>
      </c>
      <c r="E41" s="3362"/>
      <c r="F41" s="3363"/>
      <c r="G41" s="3363"/>
      <c r="H41" s="3363"/>
      <c r="I41" s="3363"/>
      <c r="J41" s="3363"/>
      <c r="K41" s="3364"/>
      <c r="L41" s="840"/>
      <c r="M41" s="840"/>
      <c r="N41" s="840"/>
    </row>
    <row r="42" spans="3:14" ht="33" x14ac:dyDescent="0.4">
      <c r="C42" s="1903" t="s">
        <v>6432</v>
      </c>
      <c r="D42" s="1907"/>
      <c r="E42" s="1908"/>
      <c r="F42" s="3348"/>
      <c r="G42" s="3348"/>
      <c r="H42" s="3348"/>
      <c r="I42" s="3348"/>
      <c r="J42" s="1908"/>
      <c r="K42" s="1907"/>
      <c r="L42" s="840"/>
      <c r="M42" s="840"/>
      <c r="N42" s="840"/>
    </row>
    <row r="43" spans="3:14" ht="49.5" x14ac:dyDescent="0.4">
      <c r="C43" s="1903" t="s">
        <v>6433</v>
      </c>
      <c r="D43" s="1907" t="s">
        <v>6434</v>
      </c>
      <c r="E43" s="1903" t="s">
        <v>6425</v>
      </c>
      <c r="F43" s="3018" t="s">
        <v>6426</v>
      </c>
      <c r="G43" s="3018"/>
      <c r="H43" s="3018"/>
      <c r="I43" s="3018"/>
      <c r="J43" s="1907"/>
      <c r="K43" s="1907"/>
      <c r="L43" s="840"/>
      <c r="M43" s="840"/>
      <c r="N43" s="840"/>
    </row>
    <row r="44" spans="3:14" ht="49.5" x14ac:dyDescent="0.4">
      <c r="C44" s="1903" t="s">
        <v>6435</v>
      </c>
      <c r="D44" s="1907"/>
      <c r="E44" s="1909" t="s">
        <v>6436</v>
      </c>
      <c r="F44" s="3361"/>
      <c r="G44" s="3361"/>
      <c r="H44" s="3361"/>
      <c r="I44" s="3361"/>
      <c r="J44" s="1907"/>
      <c r="K44" s="1907"/>
      <c r="L44" s="840"/>
      <c r="M44" s="840"/>
      <c r="N44" s="840"/>
    </row>
    <row r="45" spans="3:14" ht="191.45" customHeight="1" x14ac:dyDescent="0.4">
      <c r="C45" s="1903" t="s">
        <v>6437</v>
      </c>
      <c r="D45" s="1907"/>
      <c r="E45" s="1903" t="s">
        <v>6438</v>
      </c>
      <c r="F45" s="3350" t="s">
        <v>6439</v>
      </c>
      <c r="G45" s="3350"/>
      <c r="H45" s="3350"/>
      <c r="I45" s="3350"/>
      <c r="J45" s="1910" t="s">
        <v>6440</v>
      </c>
      <c r="K45" s="1909" t="s">
        <v>6441</v>
      </c>
      <c r="L45" s="840"/>
      <c r="M45" s="840"/>
      <c r="N45" s="840"/>
    </row>
    <row r="46" spans="3:14" ht="379.5" x14ac:dyDescent="0.4">
      <c r="C46" s="1911" t="s">
        <v>6442</v>
      </c>
      <c r="D46" s="1903"/>
      <c r="E46" s="1903" t="s">
        <v>6443</v>
      </c>
      <c r="F46" s="3350" t="s">
        <v>6444</v>
      </c>
      <c r="G46" s="3350"/>
      <c r="H46" s="3350"/>
      <c r="I46" s="3350"/>
      <c r="J46" s="1910" t="s">
        <v>6445</v>
      </c>
      <c r="K46" s="1909" t="s">
        <v>6446</v>
      </c>
      <c r="L46" s="840"/>
      <c r="M46" s="840"/>
      <c r="N46" s="840"/>
    </row>
    <row r="47" spans="3:14" ht="49.5" x14ac:dyDescent="0.4">
      <c r="C47" s="1903" t="s">
        <v>6447</v>
      </c>
      <c r="D47" s="1903"/>
      <c r="E47" s="1909" t="s">
        <v>6448</v>
      </c>
      <c r="F47" s="3018"/>
      <c r="G47" s="3018"/>
      <c r="H47" s="3018"/>
      <c r="I47" s="3018"/>
      <c r="J47" s="1903"/>
      <c r="K47" s="1903"/>
      <c r="L47" s="840"/>
      <c r="M47" s="840"/>
      <c r="N47" s="840"/>
    </row>
    <row r="48" spans="3:14" ht="409.5" x14ac:dyDescent="0.4">
      <c r="C48" s="1903" t="s">
        <v>6449</v>
      </c>
      <c r="D48" s="1903"/>
      <c r="E48" s="1912" t="s">
        <v>6450</v>
      </c>
      <c r="F48" s="3350" t="s">
        <v>6451</v>
      </c>
      <c r="G48" s="3350"/>
      <c r="H48" s="3350"/>
      <c r="I48" s="3350"/>
      <c r="J48" s="1910" t="s">
        <v>6452</v>
      </c>
      <c r="K48" s="1909" t="s">
        <v>6453</v>
      </c>
      <c r="L48" s="840"/>
      <c r="M48" s="840"/>
      <c r="N48" s="840"/>
    </row>
    <row r="49" spans="3:14" ht="104.45" customHeight="1" x14ac:dyDescent="0.4">
      <c r="C49" s="1911" t="s">
        <v>6454</v>
      </c>
      <c r="D49" s="1903"/>
      <c r="E49" s="1903" t="s">
        <v>6455</v>
      </c>
      <c r="F49" s="3350" t="s">
        <v>6456</v>
      </c>
      <c r="G49" s="3350"/>
      <c r="H49" s="3350"/>
      <c r="I49" s="3350"/>
      <c r="J49" s="1910" t="s">
        <v>6457</v>
      </c>
      <c r="K49" s="1909" t="s">
        <v>6458</v>
      </c>
      <c r="L49" s="840"/>
      <c r="M49" s="840"/>
      <c r="N49" s="840"/>
    </row>
    <row r="50" spans="3:14" x14ac:dyDescent="0.4">
      <c r="C50" s="1903" t="s">
        <v>6459</v>
      </c>
      <c r="D50" s="1903"/>
      <c r="E50" s="1913"/>
      <c r="F50" s="3018"/>
      <c r="G50" s="3018"/>
      <c r="H50" s="3018"/>
      <c r="I50" s="3018"/>
      <c r="J50" s="1903"/>
      <c r="K50" s="1903"/>
      <c r="L50" s="840"/>
      <c r="M50" s="840"/>
      <c r="N50" s="840"/>
    </row>
    <row r="51" spans="3:14" ht="69.599999999999994" customHeight="1" x14ac:dyDescent="0.4">
      <c r="C51" s="1903" t="s">
        <v>6460</v>
      </c>
      <c r="D51" s="1903"/>
      <c r="E51" s="1903" t="s">
        <v>6461</v>
      </c>
      <c r="F51" s="3350" t="s">
        <v>6462</v>
      </c>
      <c r="G51" s="3350"/>
      <c r="H51" s="3350"/>
      <c r="I51" s="3350"/>
      <c r="J51" s="1910" t="s">
        <v>6463</v>
      </c>
      <c r="K51" s="1909" t="s">
        <v>6464</v>
      </c>
      <c r="L51" s="840"/>
      <c r="M51" s="840"/>
      <c r="N51" s="840"/>
    </row>
    <row r="52" spans="3:14" ht="409.5" x14ac:dyDescent="0.4">
      <c r="C52" s="1903" t="s">
        <v>6465</v>
      </c>
      <c r="D52" s="1903"/>
      <c r="E52" s="1912" t="s">
        <v>6466</v>
      </c>
      <c r="F52" s="3350" t="s">
        <v>6467</v>
      </c>
      <c r="G52" s="3350"/>
      <c r="H52" s="3350"/>
      <c r="I52" s="3350"/>
      <c r="J52" s="1910" t="s">
        <v>6468</v>
      </c>
      <c r="K52" s="1903"/>
      <c r="L52" s="840"/>
      <c r="M52" s="840"/>
      <c r="N52" s="840"/>
    </row>
    <row r="53" spans="3:14" ht="132" x14ac:dyDescent="0.4">
      <c r="C53" s="1903" t="s">
        <v>6469</v>
      </c>
      <c r="D53" s="1903"/>
      <c r="E53" s="1903" t="s">
        <v>6470</v>
      </c>
      <c r="F53" s="3350" t="s">
        <v>6471</v>
      </c>
      <c r="G53" s="3350"/>
      <c r="H53" s="3350"/>
      <c r="I53" s="3350"/>
      <c r="J53" s="1910" t="s">
        <v>6472</v>
      </c>
      <c r="K53" s="1903" t="s">
        <v>6473</v>
      </c>
      <c r="L53" s="840"/>
      <c r="M53" s="840"/>
      <c r="N53" s="840"/>
    </row>
    <row r="54" spans="3:14" x14ac:dyDescent="0.4">
      <c r="C54" s="1903"/>
      <c r="D54" s="1903" t="s">
        <v>6474</v>
      </c>
      <c r="E54" s="1903">
        <v>0.7</v>
      </c>
      <c r="F54" s="3018"/>
      <c r="G54" s="3018"/>
      <c r="H54" s="3018"/>
      <c r="I54" s="3018"/>
      <c r="J54" s="1903"/>
      <c r="K54" s="1903"/>
      <c r="L54" s="840"/>
      <c r="M54" s="840"/>
      <c r="N54" s="840"/>
    </row>
    <row r="55" spans="3:14" ht="34.9" customHeight="1" x14ac:dyDescent="0.4">
      <c r="C55" s="1903" t="s">
        <v>6475</v>
      </c>
      <c r="D55" s="1903" t="s">
        <v>6476</v>
      </c>
      <c r="E55" s="1903" t="s">
        <v>6477</v>
      </c>
      <c r="F55" s="3018" t="s">
        <v>6426</v>
      </c>
      <c r="G55" s="3018"/>
      <c r="H55" s="3018"/>
      <c r="I55" s="3018"/>
      <c r="J55" s="1903"/>
      <c r="K55" s="1903"/>
      <c r="L55" s="840"/>
      <c r="M55" s="840"/>
      <c r="N55" s="840"/>
    </row>
    <row r="56" spans="3:14" ht="396" x14ac:dyDescent="0.4">
      <c r="C56" s="1903" t="s">
        <v>6478</v>
      </c>
      <c r="D56" s="1903"/>
      <c r="E56" s="1903" t="s">
        <v>6479</v>
      </c>
      <c r="F56" s="3350" t="s">
        <v>6480</v>
      </c>
      <c r="G56" s="3350"/>
      <c r="H56" s="3350"/>
      <c r="I56" s="3350"/>
      <c r="J56" s="1910" t="s">
        <v>6481</v>
      </c>
      <c r="K56" s="1903" t="s">
        <v>6482</v>
      </c>
      <c r="L56" s="840"/>
      <c r="M56" s="840"/>
      <c r="N56" s="840"/>
    </row>
    <row r="57" spans="3:14" x14ac:dyDescent="0.4">
      <c r="C57" s="1903"/>
      <c r="D57" s="1903" t="s">
        <v>6483</v>
      </c>
      <c r="E57" s="1903">
        <v>0.3</v>
      </c>
      <c r="F57" s="3018"/>
      <c r="G57" s="3018"/>
      <c r="H57" s="3018"/>
      <c r="I57" s="3018"/>
      <c r="J57" s="1903"/>
      <c r="K57" s="1903"/>
      <c r="L57" s="840"/>
      <c r="M57" s="840"/>
      <c r="N57" s="840"/>
    </row>
    <row r="58" spans="3:14" x14ac:dyDescent="0.4">
      <c r="C58" s="1914" t="s">
        <v>265</v>
      </c>
      <c r="D58" s="1914">
        <f>E54+E57</f>
        <v>1</v>
      </c>
      <c r="E58" s="3351"/>
      <c r="F58" s="3352"/>
      <c r="G58" s="3352"/>
      <c r="H58" s="3352"/>
      <c r="I58" s="3352"/>
      <c r="J58" s="3352"/>
      <c r="K58" s="3353"/>
      <c r="L58" s="840"/>
      <c r="M58" s="840"/>
      <c r="N58" s="840"/>
    </row>
    <row r="59" spans="3:14" ht="49.5" x14ac:dyDescent="0.4">
      <c r="C59" s="1903" t="s">
        <v>6484</v>
      </c>
      <c r="D59" s="1903"/>
      <c r="E59" s="1903" t="s">
        <v>6425</v>
      </c>
      <c r="F59" s="3018" t="s">
        <v>6426</v>
      </c>
      <c r="G59" s="3018"/>
      <c r="H59" s="3018"/>
      <c r="I59" s="3018"/>
      <c r="J59" s="1903"/>
      <c r="K59" s="1903"/>
      <c r="L59" s="840"/>
      <c r="M59" s="840"/>
      <c r="N59" s="840"/>
    </row>
    <row r="60" spans="3:14" ht="132" x14ac:dyDescent="0.4">
      <c r="C60" s="1911" t="s">
        <v>6485</v>
      </c>
      <c r="D60" s="1911" t="s">
        <v>6486</v>
      </c>
      <c r="E60" s="1911" t="s">
        <v>6428</v>
      </c>
      <c r="F60" s="3350" t="s">
        <v>6487</v>
      </c>
      <c r="G60" s="3350"/>
      <c r="H60" s="3350"/>
      <c r="I60" s="3350"/>
      <c r="J60" s="17" t="s">
        <v>6488</v>
      </c>
      <c r="K60" s="1903" t="s">
        <v>6489</v>
      </c>
      <c r="L60" s="840"/>
      <c r="M60" s="840"/>
      <c r="N60" s="840"/>
    </row>
    <row r="61" spans="3:14" ht="66" x14ac:dyDescent="0.4">
      <c r="C61" s="1903" t="s">
        <v>6490</v>
      </c>
      <c r="D61" s="1911" t="s">
        <v>6486</v>
      </c>
      <c r="E61" s="1911" t="s">
        <v>6428</v>
      </c>
      <c r="F61" s="3350" t="s">
        <v>6491</v>
      </c>
      <c r="G61" s="3350"/>
      <c r="H61" s="3350"/>
      <c r="I61" s="3350"/>
      <c r="J61" s="1910" t="s">
        <v>6492</v>
      </c>
      <c r="K61" s="1903" t="s">
        <v>6493</v>
      </c>
      <c r="L61" s="840"/>
      <c r="M61" s="840"/>
      <c r="N61" s="840"/>
    </row>
    <row r="62" spans="3:14" ht="49.5" x14ac:dyDescent="0.4">
      <c r="C62" s="1903" t="s">
        <v>6494</v>
      </c>
      <c r="D62" s="1911" t="s">
        <v>6486</v>
      </c>
      <c r="E62" s="1911" t="s">
        <v>6428</v>
      </c>
      <c r="F62" s="3350" t="s">
        <v>6495</v>
      </c>
      <c r="G62" s="3350"/>
      <c r="H62" s="3350"/>
      <c r="I62" s="3350"/>
      <c r="J62" s="17" t="s">
        <v>6496</v>
      </c>
      <c r="K62" s="1903" t="s">
        <v>6497</v>
      </c>
      <c r="L62" s="840"/>
      <c r="M62" s="840"/>
      <c r="N62" s="840"/>
    </row>
    <row r="63" spans="3:14" ht="66" x14ac:dyDescent="0.4">
      <c r="C63" s="1903" t="s">
        <v>6498</v>
      </c>
      <c r="D63" s="1911" t="s">
        <v>6486</v>
      </c>
      <c r="E63" s="1912" t="s">
        <v>6499</v>
      </c>
      <c r="F63" s="3350"/>
      <c r="G63" s="3350"/>
      <c r="H63" s="3350"/>
      <c r="I63" s="3350"/>
      <c r="J63" s="1910"/>
      <c r="K63" s="1903" t="s">
        <v>642</v>
      </c>
      <c r="L63" s="840"/>
      <c r="M63" s="840"/>
      <c r="N63" s="840"/>
    </row>
    <row r="64" spans="3:14" ht="247.5" x14ac:dyDescent="0.4">
      <c r="C64" s="1903" t="s">
        <v>6500</v>
      </c>
      <c r="D64" s="1911" t="s">
        <v>6486</v>
      </c>
      <c r="E64" s="1903" t="s">
        <v>6428</v>
      </c>
      <c r="F64" s="3350" t="s">
        <v>6501</v>
      </c>
      <c r="G64" s="3350"/>
      <c r="H64" s="3350"/>
      <c r="I64" s="3350"/>
      <c r="J64" s="1910" t="s">
        <v>6502</v>
      </c>
      <c r="K64" s="1909" t="s">
        <v>6503</v>
      </c>
      <c r="L64" s="840"/>
      <c r="M64" s="840"/>
      <c r="N64" s="840"/>
    </row>
    <row r="65" spans="3:14" x14ac:dyDescent="0.4">
      <c r="C65" s="1914" t="s">
        <v>244</v>
      </c>
      <c r="D65" s="1914">
        <v>0.8</v>
      </c>
      <c r="E65" s="3351"/>
      <c r="F65" s="3352"/>
      <c r="G65" s="3352"/>
      <c r="H65" s="3352"/>
      <c r="I65" s="3352"/>
      <c r="J65" s="3352"/>
      <c r="K65" s="3353"/>
      <c r="L65" s="840"/>
      <c r="M65" s="840"/>
      <c r="N65" s="840"/>
    </row>
    <row r="66" spans="3:14" ht="49.5" x14ac:dyDescent="0.4">
      <c r="C66" s="1903" t="s">
        <v>6504</v>
      </c>
      <c r="D66" s="1903"/>
      <c r="E66" s="1903" t="s">
        <v>6425</v>
      </c>
      <c r="F66" s="1903"/>
      <c r="G66" s="1903"/>
      <c r="H66" s="1903"/>
      <c r="I66" s="1903"/>
      <c r="J66" s="1903"/>
      <c r="K66" s="1903"/>
      <c r="L66" s="840"/>
      <c r="M66" s="840"/>
      <c r="N66" s="840"/>
    </row>
    <row r="67" spans="3:14" ht="17.45" customHeight="1" x14ac:dyDescent="0.4">
      <c r="C67" s="1903" t="s">
        <v>6505</v>
      </c>
      <c r="D67" s="1903" t="s">
        <v>6506</v>
      </c>
      <c r="E67" s="1909"/>
      <c r="F67" s="1903"/>
      <c r="G67" s="3018" t="s">
        <v>6507</v>
      </c>
      <c r="H67" s="3018"/>
      <c r="I67" s="1903"/>
      <c r="J67" s="1903"/>
      <c r="K67" s="1903"/>
      <c r="L67" s="840"/>
      <c r="M67" s="840"/>
      <c r="N67" s="840"/>
    </row>
    <row r="68" spans="3:14" ht="181.5" x14ac:dyDescent="0.4">
      <c r="C68" s="1903" t="s">
        <v>6508</v>
      </c>
      <c r="D68" s="1903"/>
      <c r="E68" s="1903" t="s">
        <v>6509</v>
      </c>
      <c r="F68" s="1903" t="s">
        <v>6510</v>
      </c>
      <c r="G68" s="1903" t="s">
        <v>6511</v>
      </c>
      <c r="H68" s="1903" t="s">
        <v>6512</v>
      </c>
      <c r="I68" s="1903" t="s">
        <v>6513</v>
      </c>
      <c r="J68" s="1903"/>
      <c r="K68" s="1903"/>
      <c r="L68" s="840"/>
      <c r="M68" s="840"/>
      <c r="N68" s="840"/>
    </row>
    <row r="69" spans="3:14" ht="49.5" x14ac:dyDescent="0.4">
      <c r="C69" s="1903" t="s">
        <v>6514</v>
      </c>
      <c r="D69" s="1903"/>
      <c r="E69" s="1915" t="s">
        <v>6515</v>
      </c>
      <c r="F69" s="1915" t="s">
        <v>6516</v>
      </c>
      <c r="G69" s="1915" t="s">
        <v>6517</v>
      </c>
      <c r="H69" s="1903"/>
      <c r="I69" s="1903"/>
      <c r="J69" s="1903"/>
      <c r="K69" s="1909"/>
      <c r="L69" s="840"/>
      <c r="M69" s="840"/>
      <c r="N69" s="840"/>
    </row>
    <row r="70" spans="3:14" ht="181.5" x14ac:dyDescent="0.4">
      <c r="C70" s="3359"/>
      <c r="D70" s="1903" t="s">
        <v>6518</v>
      </c>
      <c r="E70" s="1912" t="s">
        <v>6519</v>
      </c>
      <c r="F70" s="1904" t="s">
        <v>6520</v>
      </c>
      <c r="G70" s="1912" t="s">
        <v>6521</v>
      </c>
      <c r="H70" s="1912"/>
      <c r="I70" s="1912"/>
      <c r="J70" s="1912" t="s">
        <v>6522</v>
      </c>
      <c r="K70" s="1909" t="s">
        <v>6523</v>
      </c>
      <c r="L70" s="840"/>
      <c r="M70" s="840"/>
      <c r="N70" s="840"/>
    </row>
    <row r="71" spans="3:14" ht="214.5" x14ac:dyDescent="0.4">
      <c r="C71" s="3359"/>
      <c r="D71" s="1903" t="s">
        <v>6524</v>
      </c>
      <c r="E71" s="1912" t="s">
        <v>6525</v>
      </c>
      <c r="F71" s="1910" t="s">
        <v>6526</v>
      </c>
      <c r="G71" s="1912" t="s">
        <v>6521</v>
      </c>
      <c r="H71" s="1912"/>
      <c r="I71" s="1912"/>
      <c r="J71" s="1912" t="s">
        <v>6522</v>
      </c>
      <c r="K71" s="1909" t="s">
        <v>6527</v>
      </c>
      <c r="L71" s="840"/>
      <c r="M71" s="840"/>
      <c r="N71" s="840"/>
    </row>
    <row r="72" spans="3:14" ht="66" x14ac:dyDescent="0.4">
      <c r="C72" s="3359"/>
      <c r="D72" s="1903" t="s">
        <v>6528</v>
      </c>
      <c r="E72" s="1912" t="s">
        <v>6529</v>
      </c>
      <c r="F72" s="1910" t="s">
        <v>1913</v>
      </c>
      <c r="G72" s="1912" t="s">
        <v>6521</v>
      </c>
      <c r="H72" s="1912"/>
      <c r="I72" s="1912"/>
      <c r="J72" s="1912" t="s">
        <v>6530</v>
      </c>
      <c r="K72" s="1909" t="s">
        <v>6531</v>
      </c>
      <c r="L72" s="840"/>
      <c r="M72" s="840"/>
      <c r="N72" s="840"/>
    </row>
    <row r="73" spans="3:14" ht="346.5" x14ac:dyDescent="0.4">
      <c r="C73" s="3359"/>
      <c r="D73" s="1903" t="s">
        <v>6532</v>
      </c>
      <c r="E73" s="1912" t="s">
        <v>6533</v>
      </c>
      <c r="F73" s="1910" t="s">
        <v>1913</v>
      </c>
      <c r="G73" s="1912" t="s">
        <v>6521</v>
      </c>
      <c r="H73" s="1912"/>
      <c r="I73" s="1912"/>
      <c r="J73" s="1912" t="s">
        <v>6534</v>
      </c>
      <c r="K73" s="1909" t="s">
        <v>6535</v>
      </c>
      <c r="L73" s="840"/>
      <c r="M73" s="840"/>
      <c r="N73" s="840"/>
    </row>
    <row r="74" spans="3:14" ht="132" x14ac:dyDescent="0.4">
      <c r="C74" s="1913"/>
      <c r="D74" s="1903"/>
      <c r="E74" s="1912"/>
      <c r="F74" s="1910"/>
      <c r="G74" s="1912"/>
      <c r="H74" s="1912"/>
      <c r="I74" s="1912"/>
      <c r="J74" s="1912" t="s">
        <v>6536</v>
      </c>
      <c r="K74" s="17" t="s">
        <v>6537</v>
      </c>
      <c r="L74" s="840"/>
      <c r="M74" s="840"/>
      <c r="N74" s="840"/>
    </row>
    <row r="75" spans="3:14" x14ac:dyDescent="0.4">
      <c r="C75" s="1903" t="s">
        <v>6538</v>
      </c>
      <c r="D75" s="1903"/>
      <c r="E75" s="1913">
        <f>0.02*COUNTA(E70:E73)</f>
        <v>0.08</v>
      </c>
      <c r="F75" s="1903"/>
      <c r="G75" s="1903"/>
      <c r="H75" s="1903"/>
      <c r="I75" s="1903"/>
      <c r="J75" s="1903"/>
      <c r="K75" s="1903"/>
      <c r="L75" s="840"/>
      <c r="M75" s="840"/>
      <c r="N75" s="840"/>
    </row>
    <row r="76" spans="3:14" ht="87" customHeight="1" x14ac:dyDescent="0.4">
      <c r="C76" s="1903" t="s">
        <v>6539</v>
      </c>
      <c r="D76" s="1903" t="s">
        <v>6506</v>
      </c>
      <c r="E76" s="1903"/>
      <c r="F76" s="1903"/>
      <c r="G76" s="1903"/>
      <c r="H76" s="1903"/>
      <c r="I76" s="1903"/>
      <c r="J76" s="1903"/>
      <c r="K76" s="1903"/>
      <c r="L76" s="840"/>
      <c r="M76" s="840"/>
      <c r="N76" s="840"/>
    </row>
    <row r="77" spans="3:14" ht="52.15" customHeight="1" x14ac:dyDescent="0.4">
      <c r="C77" s="1903" t="s">
        <v>6540</v>
      </c>
      <c r="D77" s="1903"/>
      <c r="E77" s="1903" t="s">
        <v>6541</v>
      </c>
      <c r="F77" s="3018" t="s">
        <v>6542</v>
      </c>
      <c r="G77" s="3018"/>
      <c r="H77" s="3018" t="s">
        <v>6543</v>
      </c>
      <c r="I77" s="3018"/>
      <c r="J77" s="1903"/>
      <c r="K77" s="1903"/>
      <c r="L77" s="840"/>
      <c r="M77" s="840"/>
      <c r="N77" s="840"/>
    </row>
    <row r="78" spans="3:14" ht="243.6" customHeight="1" x14ac:dyDescent="0.4">
      <c r="C78" s="1903" t="s">
        <v>6544</v>
      </c>
      <c r="D78" s="1909"/>
      <c r="E78" s="1913" t="s">
        <v>6545</v>
      </c>
      <c r="F78" s="3359" t="s">
        <v>6546</v>
      </c>
      <c r="G78" s="3359"/>
      <c r="H78" s="3360"/>
      <c r="I78" s="3360"/>
      <c r="J78" s="1915"/>
      <c r="K78" s="1903"/>
      <c r="L78" s="840"/>
      <c r="M78" s="840"/>
      <c r="N78" s="840"/>
    </row>
    <row r="79" spans="3:14" ht="278.45" customHeight="1" x14ac:dyDescent="0.4">
      <c r="C79" s="3358"/>
      <c r="D79" s="1903" t="s">
        <v>6518</v>
      </c>
      <c r="E79" s="1912" t="s">
        <v>6547</v>
      </c>
      <c r="F79" s="3350" t="s">
        <v>6548</v>
      </c>
      <c r="G79" s="3350"/>
      <c r="H79" s="3350" t="s">
        <v>6549</v>
      </c>
      <c r="I79" s="3350"/>
      <c r="J79" s="1910" t="s">
        <v>6550</v>
      </c>
      <c r="K79" s="1903" t="s">
        <v>6551</v>
      </c>
      <c r="L79" s="840"/>
      <c r="M79" s="840"/>
      <c r="N79" s="840"/>
    </row>
    <row r="80" spans="3:14" ht="174" customHeight="1" x14ac:dyDescent="0.4">
      <c r="C80" s="3358"/>
      <c r="D80" s="1903" t="s">
        <v>6524</v>
      </c>
      <c r="E80" s="1912" t="s">
        <v>6552</v>
      </c>
      <c r="F80" s="3350" t="s">
        <v>6553</v>
      </c>
      <c r="G80" s="3350"/>
      <c r="H80" s="3350" t="s">
        <v>6554</v>
      </c>
      <c r="I80" s="3350"/>
      <c r="J80" s="1910" t="s">
        <v>6555</v>
      </c>
      <c r="K80" s="1903" t="s">
        <v>6556</v>
      </c>
      <c r="L80" s="840"/>
      <c r="M80" s="840"/>
      <c r="N80" s="840"/>
    </row>
    <row r="81" spans="3:14" ht="104.45" customHeight="1" x14ac:dyDescent="0.4">
      <c r="C81" s="3358"/>
      <c r="D81" s="1903" t="s">
        <v>6528</v>
      </c>
      <c r="E81" s="1912" t="s">
        <v>6557</v>
      </c>
      <c r="F81" s="3350" t="s">
        <v>6558</v>
      </c>
      <c r="G81" s="3350"/>
      <c r="H81" s="3350" t="s">
        <v>6559</v>
      </c>
      <c r="I81" s="3350"/>
      <c r="J81" s="1910" t="s">
        <v>6560</v>
      </c>
      <c r="K81" s="1903" t="s">
        <v>6561</v>
      </c>
      <c r="L81" s="840"/>
      <c r="M81" s="840"/>
      <c r="N81" s="840"/>
    </row>
    <row r="82" spans="3:14" ht="87" customHeight="1" x14ac:dyDescent="0.4">
      <c r="C82" s="3358"/>
      <c r="D82" s="1903" t="s">
        <v>6532</v>
      </c>
      <c r="E82" s="1912" t="s">
        <v>6562</v>
      </c>
      <c r="F82" s="3350" t="s">
        <v>6563</v>
      </c>
      <c r="G82" s="3350"/>
      <c r="H82" s="3350" t="s">
        <v>6564</v>
      </c>
      <c r="I82" s="3350"/>
      <c r="J82" s="1910" t="s">
        <v>6565</v>
      </c>
      <c r="K82" s="1903" t="s">
        <v>6556</v>
      </c>
      <c r="L82" s="840"/>
      <c r="M82" s="840"/>
      <c r="N82" s="840"/>
    </row>
    <row r="83" spans="3:14" ht="295.89999999999998" customHeight="1" x14ac:dyDescent="0.4">
      <c r="C83" s="3358"/>
      <c r="D83" s="1903" t="s">
        <v>6566</v>
      </c>
      <c r="E83" s="1912" t="s">
        <v>6567</v>
      </c>
      <c r="F83" s="3350" t="s">
        <v>6568</v>
      </c>
      <c r="G83" s="3350"/>
      <c r="H83" s="3350" t="s">
        <v>6569</v>
      </c>
      <c r="I83" s="3350"/>
      <c r="J83" s="1910" t="s">
        <v>6570</v>
      </c>
      <c r="K83" s="17" t="s">
        <v>6571</v>
      </c>
      <c r="L83" s="840"/>
      <c r="M83" s="840"/>
      <c r="N83" s="840"/>
    </row>
    <row r="84" spans="3:14" ht="280.5" x14ac:dyDescent="0.4">
      <c r="C84" s="3358"/>
      <c r="D84" s="1903" t="s">
        <v>6572</v>
      </c>
      <c r="E84" s="1912" t="s">
        <v>6573</v>
      </c>
      <c r="F84" s="3350" t="s">
        <v>6574</v>
      </c>
      <c r="G84" s="3350"/>
      <c r="H84" s="3350" t="s">
        <v>6575</v>
      </c>
      <c r="I84" s="3350"/>
      <c r="J84" s="1910" t="s">
        <v>6576</v>
      </c>
      <c r="K84" s="1903" t="s">
        <v>6577</v>
      </c>
      <c r="L84" s="840"/>
      <c r="M84" s="840"/>
      <c r="N84" s="840"/>
    </row>
    <row r="85" spans="3:14" x14ac:dyDescent="0.4">
      <c r="C85" s="3358"/>
      <c r="D85" s="1903" t="s">
        <v>6578</v>
      </c>
      <c r="E85" s="1912"/>
      <c r="F85" s="3350" t="s">
        <v>1913</v>
      </c>
      <c r="G85" s="3350"/>
      <c r="H85" s="3350" t="s">
        <v>1913</v>
      </c>
      <c r="I85" s="3350"/>
      <c r="J85" s="1910"/>
      <c r="K85" s="1903"/>
      <c r="L85" s="840"/>
      <c r="M85" s="840"/>
      <c r="N85" s="840"/>
    </row>
    <row r="86" spans="3:14" x14ac:dyDescent="0.4">
      <c r="C86" s="3358"/>
      <c r="D86" s="1903" t="s">
        <v>6579</v>
      </c>
      <c r="E86" s="1912"/>
      <c r="F86" s="3350" t="s">
        <v>1913</v>
      </c>
      <c r="G86" s="3350"/>
      <c r="H86" s="3350" t="s">
        <v>1913</v>
      </c>
      <c r="I86" s="3350"/>
      <c r="J86" s="1910"/>
      <c r="K86" s="1903"/>
      <c r="L86" s="840"/>
      <c r="M86" s="840"/>
      <c r="N86" s="840"/>
    </row>
    <row r="87" spans="3:14" x14ac:dyDescent="0.4">
      <c r="C87" s="3358"/>
      <c r="D87" s="1903" t="s">
        <v>6580</v>
      </c>
      <c r="E87" s="1912"/>
      <c r="F87" s="3350" t="s">
        <v>1913</v>
      </c>
      <c r="G87" s="3350"/>
      <c r="H87" s="3350" t="s">
        <v>1913</v>
      </c>
      <c r="I87" s="3350"/>
      <c r="J87" s="1910"/>
      <c r="K87" s="1903"/>
      <c r="L87" s="840"/>
      <c r="M87" s="840"/>
      <c r="N87" s="840"/>
    </row>
    <row r="88" spans="3:14" ht="66" x14ac:dyDescent="0.4">
      <c r="C88" s="1903" t="s">
        <v>6581</v>
      </c>
      <c r="D88" s="1903" t="s">
        <v>6582</v>
      </c>
      <c r="E88" s="1910"/>
      <c r="F88" s="3350" t="s">
        <v>1913</v>
      </c>
      <c r="G88" s="3350"/>
      <c r="H88" s="3350" t="s">
        <v>1913</v>
      </c>
      <c r="I88" s="3350"/>
      <c r="J88" s="1910"/>
      <c r="K88" s="1903"/>
      <c r="L88" s="840"/>
      <c r="M88" s="840"/>
      <c r="N88" s="840"/>
    </row>
    <row r="89" spans="3:14" x14ac:dyDescent="0.4">
      <c r="C89" s="1903" t="s">
        <v>6583</v>
      </c>
      <c r="D89" s="1903"/>
      <c r="E89" s="1903">
        <f>0.04*COUNTA(E79:E88)</f>
        <v>0.24</v>
      </c>
      <c r="F89" s="3018"/>
      <c r="G89" s="3018"/>
      <c r="H89" s="3018"/>
      <c r="I89" s="3018"/>
      <c r="J89" s="1903"/>
      <c r="K89" s="1903"/>
      <c r="L89" s="840"/>
      <c r="M89" s="840"/>
      <c r="N89" s="840"/>
    </row>
    <row r="90" spans="3:14" ht="49.5" x14ac:dyDescent="0.4">
      <c r="C90" s="1903" t="s">
        <v>6584</v>
      </c>
      <c r="D90" s="1903" t="s">
        <v>6486</v>
      </c>
      <c r="E90" s="1903" t="s">
        <v>6425</v>
      </c>
      <c r="F90" s="3018" t="s">
        <v>6585</v>
      </c>
      <c r="G90" s="3018"/>
      <c r="H90" s="3018"/>
      <c r="I90" s="3018"/>
      <c r="J90" s="1903"/>
      <c r="K90" s="1903"/>
      <c r="L90" s="840"/>
      <c r="M90" s="840"/>
      <c r="N90" s="840"/>
    </row>
    <row r="91" spans="3:14" ht="49.5" x14ac:dyDescent="0.4">
      <c r="C91" s="1903" t="s">
        <v>6586</v>
      </c>
      <c r="D91" s="1903"/>
      <c r="E91" s="1912" t="s">
        <v>6587</v>
      </c>
      <c r="F91" s="3350" t="s">
        <v>6588</v>
      </c>
      <c r="G91" s="3350"/>
      <c r="H91" s="3350"/>
      <c r="I91" s="3350"/>
      <c r="J91" s="1910"/>
      <c r="K91" s="1903"/>
      <c r="L91" s="840"/>
      <c r="M91" s="840"/>
      <c r="N91" s="840"/>
    </row>
    <row r="92" spans="3:14" x14ac:dyDescent="0.4">
      <c r="C92" s="1903"/>
      <c r="D92" s="1903" t="s">
        <v>6589</v>
      </c>
      <c r="E92" s="1916">
        <v>0</v>
      </c>
      <c r="F92" s="3357"/>
      <c r="G92" s="3357"/>
      <c r="H92" s="3357"/>
      <c r="I92" s="3357"/>
      <c r="J92" s="1916"/>
      <c r="K92" s="1903"/>
      <c r="L92" s="840"/>
      <c r="M92" s="840"/>
      <c r="N92" s="840"/>
    </row>
    <row r="93" spans="3:14" x14ac:dyDescent="0.4">
      <c r="C93" s="1914" t="s">
        <v>6590</v>
      </c>
      <c r="D93" s="1917">
        <f>E75+E89+E92</f>
        <v>0.32</v>
      </c>
      <c r="E93" s="3351"/>
      <c r="F93" s="3352"/>
      <c r="G93" s="3352"/>
      <c r="H93" s="3352"/>
      <c r="I93" s="3352"/>
      <c r="J93" s="3352"/>
      <c r="K93" s="3353"/>
      <c r="L93" s="840"/>
      <c r="M93" s="840"/>
      <c r="N93" s="840"/>
    </row>
    <row r="94" spans="3:14" ht="17.45" customHeight="1" x14ac:dyDescent="0.4">
      <c r="C94" s="1903" t="s">
        <v>6591</v>
      </c>
      <c r="D94" s="1903"/>
      <c r="E94" s="1903" t="s">
        <v>6425</v>
      </c>
      <c r="F94" s="3018" t="s">
        <v>6592</v>
      </c>
      <c r="G94" s="3018"/>
      <c r="H94" s="3018" t="s">
        <v>6593</v>
      </c>
      <c r="I94" s="3018"/>
      <c r="J94" s="1903"/>
      <c r="K94" s="1903"/>
      <c r="L94" s="840"/>
      <c r="M94" s="840"/>
      <c r="N94" s="840"/>
    </row>
    <row r="95" spans="3:14" x14ac:dyDescent="0.4">
      <c r="C95" s="1903" t="s">
        <v>6594</v>
      </c>
      <c r="D95" s="1903" t="s">
        <v>6506</v>
      </c>
      <c r="E95" s="1903"/>
      <c r="F95" s="3018" t="s">
        <v>6595</v>
      </c>
      <c r="G95" s="3018"/>
      <c r="H95" s="3018"/>
      <c r="I95" s="3018"/>
      <c r="J95" s="1903"/>
      <c r="K95" s="1903"/>
      <c r="L95" s="840"/>
      <c r="M95" s="840"/>
      <c r="N95" s="840"/>
    </row>
    <row r="96" spans="3:14" ht="49.5" x14ac:dyDescent="0.4">
      <c r="C96" s="1903" t="s">
        <v>6596</v>
      </c>
      <c r="D96" s="1903"/>
      <c r="E96" s="1903" t="s">
        <v>6597</v>
      </c>
      <c r="F96" s="3350" t="s">
        <v>6598</v>
      </c>
      <c r="G96" s="3350"/>
      <c r="H96" s="3350" t="s">
        <v>1913</v>
      </c>
      <c r="I96" s="3350"/>
      <c r="J96" s="1903" t="s">
        <v>6599</v>
      </c>
      <c r="K96" s="17" t="s">
        <v>6600</v>
      </c>
      <c r="L96" s="840"/>
      <c r="M96" s="840"/>
      <c r="N96" s="840"/>
    </row>
    <row r="97" spans="3:14" ht="49.5" x14ac:dyDescent="0.4">
      <c r="C97" s="1903" t="s">
        <v>6601</v>
      </c>
      <c r="D97" s="1903"/>
      <c r="E97" s="1912" t="s">
        <v>6499</v>
      </c>
      <c r="F97" s="3350" t="s">
        <v>6602</v>
      </c>
      <c r="G97" s="3350"/>
      <c r="H97" s="3350" t="s">
        <v>1913</v>
      </c>
      <c r="I97" s="3350"/>
      <c r="J97" s="1910"/>
      <c r="K97" s="1903"/>
      <c r="L97" s="840"/>
      <c r="M97" s="840"/>
      <c r="N97" s="840"/>
    </row>
    <row r="98" spans="3:14" ht="17.45" customHeight="1" x14ac:dyDescent="0.4">
      <c r="C98" s="1903" t="s">
        <v>6603</v>
      </c>
      <c r="D98" s="1903"/>
      <c r="E98" s="1912" t="s">
        <v>6499</v>
      </c>
      <c r="F98" s="3350" t="s">
        <v>6602</v>
      </c>
      <c r="G98" s="3350"/>
      <c r="H98" s="3350" t="s">
        <v>1913</v>
      </c>
      <c r="I98" s="3350"/>
      <c r="J98" s="1910"/>
      <c r="K98" s="17" t="s">
        <v>6600</v>
      </c>
      <c r="L98" s="840"/>
      <c r="M98" s="840"/>
      <c r="N98" s="840"/>
    </row>
    <row r="99" spans="3:14" x14ac:dyDescent="0.4">
      <c r="C99" s="1903" t="s">
        <v>6604</v>
      </c>
      <c r="D99" s="1903" t="s">
        <v>6605</v>
      </c>
      <c r="E99" s="1903"/>
      <c r="F99" s="3018" t="s">
        <v>6606</v>
      </c>
      <c r="G99" s="3018"/>
      <c r="H99" s="3018"/>
      <c r="I99" s="3018"/>
      <c r="J99" s="1903"/>
      <c r="K99" s="1903"/>
      <c r="L99" s="840"/>
      <c r="M99" s="840"/>
      <c r="N99" s="840"/>
    </row>
    <row r="100" spans="3:14" ht="66" x14ac:dyDescent="0.4">
      <c r="C100" s="1903" t="s">
        <v>6607</v>
      </c>
      <c r="D100" s="1903"/>
      <c r="E100" s="1912" t="s">
        <v>6499</v>
      </c>
      <c r="F100" s="3350" t="s">
        <v>6602</v>
      </c>
      <c r="G100" s="3350"/>
      <c r="H100" s="3350" t="s">
        <v>1913</v>
      </c>
      <c r="I100" s="3350"/>
      <c r="J100" s="1910"/>
      <c r="K100" s="1903"/>
      <c r="L100" s="840"/>
      <c r="M100" s="840"/>
      <c r="N100" s="840"/>
    </row>
    <row r="101" spans="3:14" ht="49.5" x14ac:dyDescent="0.4">
      <c r="C101" s="1903" t="s">
        <v>6608</v>
      </c>
      <c r="D101" s="1903"/>
      <c r="E101" s="1912" t="s">
        <v>6499</v>
      </c>
      <c r="F101" s="3350" t="s">
        <v>6602</v>
      </c>
      <c r="G101" s="3350"/>
      <c r="H101" s="3350" t="s">
        <v>1913</v>
      </c>
      <c r="I101" s="3350"/>
      <c r="J101" s="1910"/>
      <c r="K101" s="1903"/>
      <c r="L101" s="840"/>
      <c r="M101" s="840"/>
      <c r="N101" s="840"/>
    </row>
    <row r="102" spans="3:14" ht="99" x14ac:dyDescent="0.4">
      <c r="C102" s="1903" t="s">
        <v>6609</v>
      </c>
      <c r="D102" s="1903"/>
      <c r="E102" s="1912" t="s">
        <v>6610</v>
      </c>
      <c r="F102" s="3350" t="s">
        <v>6602</v>
      </c>
      <c r="G102" s="3350"/>
      <c r="H102" s="3350" t="s">
        <v>1913</v>
      </c>
      <c r="I102" s="3350"/>
      <c r="J102" s="1910"/>
      <c r="K102" s="1903"/>
      <c r="L102" s="840"/>
      <c r="M102" s="840"/>
      <c r="N102" s="840"/>
    </row>
    <row r="103" spans="3:14" x14ac:dyDescent="0.4">
      <c r="C103" s="1914" t="s">
        <v>6611</v>
      </c>
      <c r="D103" s="1914">
        <v>0.2</v>
      </c>
      <c r="E103" s="3351"/>
      <c r="F103" s="3352"/>
      <c r="G103" s="3352"/>
      <c r="H103" s="3352"/>
      <c r="I103" s="3352"/>
      <c r="J103" s="3352"/>
      <c r="K103" s="3353"/>
      <c r="L103" s="840"/>
      <c r="M103" s="840"/>
      <c r="N103" s="840"/>
    </row>
    <row r="104" spans="3:14" ht="49.5" x14ac:dyDescent="0.4">
      <c r="C104" s="1903" t="s">
        <v>6612</v>
      </c>
      <c r="D104" s="1903" t="s">
        <v>6613</v>
      </c>
      <c r="E104" s="1903" t="s">
        <v>6614</v>
      </c>
      <c r="F104" s="1903"/>
      <c r="G104" s="3018"/>
      <c r="H104" s="3018"/>
      <c r="I104" s="3018"/>
      <c r="J104" s="1903"/>
      <c r="K104" s="1903"/>
      <c r="L104" s="840"/>
      <c r="M104" s="840"/>
      <c r="N104" s="840"/>
    </row>
    <row r="105" spans="3:14" ht="17.45" customHeight="1" x14ac:dyDescent="0.4">
      <c r="C105" s="1903" t="s">
        <v>6615</v>
      </c>
      <c r="D105" s="1918">
        <v>2023</v>
      </c>
      <c r="E105" s="1903" t="s">
        <v>6616</v>
      </c>
      <c r="F105" s="1903" t="s">
        <v>6617</v>
      </c>
      <c r="G105" s="3018" t="s">
        <v>6618</v>
      </c>
      <c r="H105" s="3018"/>
      <c r="I105" s="1903" t="s">
        <v>6619</v>
      </c>
      <c r="J105" s="1903" t="s">
        <v>6620</v>
      </c>
      <c r="K105" s="1903"/>
      <c r="L105" s="840"/>
      <c r="M105" s="840"/>
      <c r="N105" s="840"/>
    </row>
    <row r="106" spans="3:14" x14ac:dyDescent="0.4">
      <c r="C106" s="1919" t="s">
        <v>6621</v>
      </c>
      <c r="D106" s="1920">
        <v>2023</v>
      </c>
      <c r="E106" s="1921">
        <v>41963307389</v>
      </c>
      <c r="F106" s="1922" t="s">
        <v>1913</v>
      </c>
      <c r="G106" s="1923"/>
      <c r="H106" s="1923"/>
      <c r="I106" s="1924">
        <f>IF(ISERROR(E106/F106),0,E106/F106)</f>
        <v>0</v>
      </c>
      <c r="J106" s="3354" t="s">
        <v>6622</v>
      </c>
      <c r="K106" s="1907"/>
      <c r="L106" s="840"/>
      <c r="M106" s="840"/>
      <c r="N106" s="840"/>
    </row>
    <row r="107" spans="3:14" x14ac:dyDescent="0.4">
      <c r="C107" s="1919" t="s">
        <v>6623</v>
      </c>
      <c r="D107" s="1920">
        <v>2023</v>
      </c>
      <c r="E107" s="1921">
        <v>20843278362</v>
      </c>
      <c r="F107" s="1922" t="s">
        <v>1913</v>
      </c>
      <c r="G107" s="1923"/>
      <c r="H107" s="1923"/>
      <c r="I107" s="1924">
        <f>IF(ISERROR(E107/F107),0,E107/F107)</f>
        <v>0</v>
      </c>
      <c r="J107" s="3355"/>
      <c r="K107" s="1907"/>
      <c r="L107" s="840"/>
      <c r="M107" s="840"/>
      <c r="N107" s="840"/>
    </row>
    <row r="108" spans="3:14" x14ac:dyDescent="0.4">
      <c r="C108" s="1919" t="s">
        <v>6624</v>
      </c>
      <c r="D108" s="1920">
        <v>2023</v>
      </c>
      <c r="E108" s="1921">
        <v>14312079572</v>
      </c>
      <c r="F108" s="1922" t="s">
        <v>1913</v>
      </c>
      <c r="G108" s="1923"/>
      <c r="H108" s="1923"/>
      <c r="I108" s="1924">
        <f>IF(ISERROR(E108/F108),0,E108/F108)</f>
        <v>0</v>
      </c>
      <c r="J108" s="3355"/>
      <c r="K108" s="1907"/>
      <c r="L108" s="840"/>
      <c r="M108" s="840"/>
      <c r="N108" s="840"/>
    </row>
    <row r="109" spans="3:14" x14ac:dyDescent="0.4">
      <c r="C109" s="1925" t="s">
        <v>6625</v>
      </c>
      <c r="D109" s="1920">
        <v>2023</v>
      </c>
      <c r="E109" s="1921">
        <v>2538325438</v>
      </c>
      <c r="F109" s="1926" t="s">
        <v>1913</v>
      </c>
      <c r="G109" s="1923"/>
      <c r="H109" s="1923"/>
      <c r="I109" s="1924">
        <f>IF(ISERROR(E109/F109),0,E109/F109)</f>
        <v>0</v>
      </c>
      <c r="J109" s="3355"/>
      <c r="K109" s="1907"/>
      <c r="L109" s="840"/>
      <c r="M109" s="840"/>
      <c r="N109" s="840"/>
    </row>
    <row r="110" spans="3:14" x14ac:dyDescent="0.4">
      <c r="C110" s="1925" t="s">
        <v>6626</v>
      </c>
      <c r="D110" s="1920">
        <v>2023</v>
      </c>
      <c r="E110" s="1921">
        <v>1491919154</v>
      </c>
      <c r="F110" s="1926"/>
      <c r="G110" s="1927"/>
      <c r="H110" s="1927"/>
      <c r="I110" s="1924">
        <f t="shared" ref="I110:I115" si="0">IF(ISERROR(E110/F110),0,E110/F110)</f>
        <v>0</v>
      </c>
      <c r="J110" s="3355"/>
      <c r="K110" s="1907"/>
      <c r="L110" s="840"/>
      <c r="M110" s="840"/>
      <c r="N110" s="840"/>
    </row>
    <row r="111" spans="3:14" x14ac:dyDescent="0.4">
      <c r="C111" s="1925" t="s">
        <v>6627</v>
      </c>
      <c r="D111" s="1920">
        <v>2023</v>
      </c>
      <c r="E111" s="1921">
        <v>776436681</v>
      </c>
      <c r="F111" s="1926"/>
      <c r="G111" s="1927"/>
      <c r="H111" s="1927"/>
      <c r="I111" s="1924">
        <f t="shared" si="0"/>
        <v>0</v>
      </c>
      <c r="J111" s="3355"/>
      <c r="K111" s="1907"/>
      <c r="L111" s="840"/>
      <c r="M111" s="840"/>
      <c r="N111" s="840"/>
    </row>
    <row r="112" spans="3:14" x14ac:dyDescent="0.4">
      <c r="C112" s="1925" t="s">
        <v>6628</v>
      </c>
      <c r="D112" s="1920">
        <v>2023</v>
      </c>
      <c r="E112" s="1921">
        <v>344711789</v>
      </c>
      <c r="F112" s="1926"/>
      <c r="G112" s="1927"/>
      <c r="H112" s="1927"/>
      <c r="I112" s="1924">
        <f t="shared" si="0"/>
        <v>0</v>
      </c>
      <c r="J112" s="3355"/>
      <c r="K112" s="1907"/>
      <c r="L112" s="840"/>
      <c r="M112" s="840"/>
      <c r="N112" s="840"/>
    </row>
    <row r="113" spans="3:14" x14ac:dyDescent="0.4">
      <c r="C113" s="1925" t="s">
        <v>6629</v>
      </c>
      <c r="D113" s="1920">
        <v>2023</v>
      </c>
      <c r="E113" s="1921">
        <v>261422219</v>
      </c>
      <c r="F113" s="1926"/>
      <c r="G113" s="1927"/>
      <c r="H113" s="1927"/>
      <c r="I113" s="1924">
        <f t="shared" si="0"/>
        <v>0</v>
      </c>
      <c r="J113" s="3355"/>
      <c r="K113" s="1907"/>
      <c r="L113" s="840"/>
      <c r="M113" s="840"/>
      <c r="N113" s="840"/>
    </row>
    <row r="114" spans="3:14" x14ac:dyDescent="0.4">
      <c r="C114" s="1925" t="s">
        <v>6630</v>
      </c>
      <c r="D114" s="1920">
        <v>2023</v>
      </c>
      <c r="E114" s="1921">
        <v>168085497</v>
      </c>
      <c r="F114" s="1926"/>
      <c r="G114" s="1927"/>
      <c r="H114" s="1927"/>
      <c r="I114" s="1924">
        <f t="shared" si="0"/>
        <v>0</v>
      </c>
      <c r="J114" s="3355"/>
      <c r="K114" s="1907"/>
      <c r="L114" s="840"/>
      <c r="M114" s="840"/>
      <c r="N114" s="840"/>
    </row>
    <row r="115" spans="3:14" x14ac:dyDescent="0.4">
      <c r="C115" s="1925" t="s">
        <v>6631</v>
      </c>
      <c r="D115" s="1920"/>
      <c r="E115" s="1928"/>
      <c r="F115" s="1926"/>
      <c r="G115" s="1927"/>
      <c r="H115" s="1927"/>
      <c r="I115" s="1924">
        <f t="shared" si="0"/>
        <v>0</v>
      </c>
      <c r="J115" s="3356"/>
      <c r="K115" s="1907"/>
      <c r="L115" s="840"/>
      <c r="M115" s="840"/>
      <c r="N115" s="840"/>
    </row>
    <row r="116" spans="3:14" ht="49.5" x14ac:dyDescent="0.4">
      <c r="C116" s="1903" t="s">
        <v>6632</v>
      </c>
      <c r="D116" s="1907"/>
      <c r="E116" s="1929">
        <f>SUM(E106:E114)</f>
        <v>82699566101</v>
      </c>
      <c r="F116" s="1930"/>
      <c r="G116" s="3347"/>
      <c r="H116" s="3347"/>
      <c r="I116" s="1924">
        <f>IF(ISERROR(E116/F116),0,E116/F116)</f>
        <v>0</v>
      </c>
      <c r="J116" s="1931"/>
      <c r="K116" s="1907"/>
      <c r="L116" s="840"/>
      <c r="M116" s="840"/>
      <c r="N116" s="840"/>
    </row>
    <row r="117" spans="3:14" ht="49.5" x14ac:dyDescent="0.4">
      <c r="C117" s="1909" t="s">
        <v>6633</v>
      </c>
      <c r="D117" s="1907"/>
      <c r="E117" s="1932">
        <v>284483861331</v>
      </c>
      <c r="F117" s="1908"/>
      <c r="G117" s="3348"/>
      <c r="H117" s="3348"/>
      <c r="I117" s="1908"/>
      <c r="J117" s="1908"/>
      <c r="K117" s="1907"/>
      <c r="L117" s="840"/>
      <c r="M117" s="840"/>
      <c r="N117" s="840"/>
    </row>
    <row r="118" spans="3:14" x14ac:dyDescent="0.4">
      <c r="C118" s="1933" t="s">
        <v>1105</v>
      </c>
      <c r="D118" s="1934">
        <f>IF(ISERROR(E116/E117),0,E116/E117)</f>
        <v>0.29070037827129386</v>
      </c>
      <c r="E118" s="3349"/>
      <c r="F118" s="3349"/>
      <c r="G118" s="3349"/>
      <c r="H118" s="3349"/>
      <c r="I118" s="3349"/>
      <c r="J118" s="3349"/>
      <c r="K118" s="3349"/>
      <c r="L118" s="840"/>
      <c r="M118" s="840"/>
      <c r="N118" s="840"/>
    </row>
    <row r="119" spans="3:14" x14ac:dyDescent="0.4">
      <c r="C119" s="538" t="s">
        <v>6634</v>
      </c>
      <c r="D119" s="538"/>
      <c r="E119" s="538"/>
      <c r="F119" s="538"/>
      <c r="G119" s="538"/>
      <c r="H119" s="538"/>
      <c r="I119" s="538"/>
      <c r="J119" s="538"/>
      <c r="K119" s="538"/>
      <c r="L119" s="840"/>
      <c r="M119" s="840"/>
      <c r="N119" s="840"/>
    </row>
    <row r="120" spans="3:14" x14ac:dyDescent="0.4">
      <c r="C120" s="538"/>
      <c r="D120" s="538"/>
      <c r="E120" s="538"/>
      <c r="F120" s="538"/>
      <c r="G120" s="538"/>
      <c r="H120" s="538"/>
      <c r="I120" s="538"/>
      <c r="J120" s="538"/>
      <c r="K120" s="538"/>
      <c r="L120" s="840"/>
      <c r="M120" s="840"/>
      <c r="N120" s="840"/>
    </row>
  </sheetData>
  <mergeCells count="93">
    <mergeCell ref="E41:K41"/>
    <mergeCell ref="A3:B3"/>
    <mergeCell ref="C3:R3"/>
    <mergeCell ref="A4:B4"/>
    <mergeCell ref="C4:R4"/>
    <mergeCell ref="A5:B5"/>
    <mergeCell ref="C5:R5"/>
    <mergeCell ref="A6:B6"/>
    <mergeCell ref="C6:R6"/>
    <mergeCell ref="F38:I38"/>
    <mergeCell ref="F39:I39"/>
    <mergeCell ref="F40:I40"/>
    <mergeCell ref="F53:I53"/>
    <mergeCell ref="F42:I42"/>
    <mergeCell ref="F43:I43"/>
    <mergeCell ref="F44:I44"/>
    <mergeCell ref="F45:I45"/>
    <mergeCell ref="F46:I46"/>
    <mergeCell ref="F47:I47"/>
    <mergeCell ref="F48:I48"/>
    <mergeCell ref="F49:I49"/>
    <mergeCell ref="F50:I50"/>
    <mergeCell ref="F51:I51"/>
    <mergeCell ref="F52:I52"/>
    <mergeCell ref="H86:I86"/>
    <mergeCell ref="E65:K65"/>
    <mergeCell ref="F54:I54"/>
    <mergeCell ref="F55:I55"/>
    <mergeCell ref="F56:I56"/>
    <mergeCell ref="F57:I57"/>
    <mergeCell ref="E58:K58"/>
    <mergeCell ref="F59:I59"/>
    <mergeCell ref="F60:I60"/>
    <mergeCell ref="F61:I61"/>
    <mergeCell ref="F62:I62"/>
    <mergeCell ref="F63:I63"/>
    <mergeCell ref="F64:I64"/>
    <mergeCell ref="G67:H67"/>
    <mergeCell ref="C70:C73"/>
    <mergeCell ref="F77:G77"/>
    <mergeCell ref="H77:I77"/>
    <mergeCell ref="F78:G78"/>
    <mergeCell ref="H78:I78"/>
    <mergeCell ref="C79:C87"/>
    <mergeCell ref="F79:G79"/>
    <mergeCell ref="H79:I79"/>
    <mergeCell ref="F80:G80"/>
    <mergeCell ref="H80:I80"/>
    <mergeCell ref="F81:G81"/>
    <mergeCell ref="H81:I81"/>
    <mergeCell ref="F82:G82"/>
    <mergeCell ref="H82:I82"/>
    <mergeCell ref="F83:G83"/>
    <mergeCell ref="H83:I83"/>
    <mergeCell ref="F84:G84"/>
    <mergeCell ref="H84:I84"/>
    <mergeCell ref="F85:G85"/>
    <mergeCell ref="H85:I85"/>
    <mergeCell ref="F86:G86"/>
    <mergeCell ref="F87:G87"/>
    <mergeCell ref="H87:I87"/>
    <mergeCell ref="F88:G88"/>
    <mergeCell ref="H88:I88"/>
    <mergeCell ref="F89:I89"/>
    <mergeCell ref="F90:I90"/>
    <mergeCell ref="F91:I91"/>
    <mergeCell ref="F92:I92"/>
    <mergeCell ref="E93:K93"/>
    <mergeCell ref="F98:G98"/>
    <mergeCell ref="H98:I98"/>
    <mergeCell ref="F96:G96"/>
    <mergeCell ref="H96:I96"/>
    <mergeCell ref="F97:G97"/>
    <mergeCell ref="H97:I97"/>
    <mergeCell ref="F95:G95"/>
    <mergeCell ref="H95:I95"/>
    <mergeCell ref="F94:G94"/>
    <mergeCell ref="H94:I94"/>
    <mergeCell ref="F99:G99"/>
    <mergeCell ref="H99:I99"/>
    <mergeCell ref="F100:G100"/>
    <mergeCell ref="H100:I100"/>
    <mergeCell ref="F101:G101"/>
    <mergeCell ref="H101:I101"/>
    <mergeCell ref="G116:H116"/>
    <mergeCell ref="G117:H117"/>
    <mergeCell ref="E118:K118"/>
    <mergeCell ref="F102:G102"/>
    <mergeCell ref="H102:I102"/>
    <mergeCell ref="E103:K103"/>
    <mergeCell ref="G104:I104"/>
    <mergeCell ref="G105:H105"/>
    <mergeCell ref="J106:J115"/>
  </mergeCells>
  <conditionalFormatting sqref="E102">
    <cfRule type="containsText" dxfId="1" priority="1" operator="containsText" text="Monitoreo mediante">
      <formula>NOT(ISERROR(SEARCH("Monitoreo mediante",E102)))</formula>
    </cfRule>
    <cfRule type="containsText" dxfId="0" priority="2" operator="containsText" text="Monitoreo a través">
      <formula>NOT(ISERROR(SEARCH("Monitoreo a través",E102)))</formula>
    </cfRule>
  </conditionalFormatting>
  <dataValidations count="1">
    <dataValidation allowBlank="1" showInputMessage="1" showErrorMessage="1" promptTitle="Please enter other consideration" sqref="E88" xr:uid="{821767A2-DCB7-4EB1-9512-406C6C1C82E6}"/>
  </dataValidations>
  <hyperlinks>
    <hyperlink ref="A1" location="'ODS 12.'!A1" display="REGRESAR" xr:uid="{D54DB4DA-4791-4E09-821C-2BCAC8E0E9D4}"/>
    <hyperlink ref="C1" location="'Metadato 12.7.1'!A1" display="VER METADATO" xr:uid="{1EDF317D-3360-45D1-96B8-6E948F73BDC9}"/>
  </hyperlinks>
  <pageMargins left="0.7" right="0.7" top="0.75" bottom="0.75" header="0.3" footer="0.3"/>
  <pageSetup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54AA-4394-491E-A831-E6CAE7F37590}">
  <sheetPr>
    <tabColor theme="0" tint="-0.499984740745262"/>
  </sheetPr>
  <dimension ref="A1:F37"/>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68.42578125" style="115" customWidth="1"/>
    <col min="5" max="5" width="7.28515625" style="115" customWidth="1"/>
    <col min="6"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317</v>
      </c>
    </row>
    <row r="4" spans="1:6" x14ac:dyDescent="0.4">
      <c r="A4" s="283"/>
      <c r="B4" s="2425" t="s">
        <v>234</v>
      </c>
      <c r="C4" s="2425"/>
      <c r="D4" s="49" t="s">
        <v>6179</v>
      </c>
    </row>
    <row r="5" spans="1:6" ht="37.5" x14ac:dyDescent="0.4">
      <c r="B5" s="2425" t="s">
        <v>79</v>
      </c>
      <c r="C5" s="2425"/>
      <c r="D5" s="49" t="s">
        <v>6163</v>
      </c>
    </row>
    <row r="6" spans="1:6" x14ac:dyDescent="0.4">
      <c r="B6" s="2425" t="s">
        <v>80</v>
      </c>
      <c r="C6" s="2425"/>
      <c r="D6" s="50" t="s">
        <v>6164</v>
      </c>
    </row>
    <row r="7" spans="1:6" ht="37.5" x14ac:dyDescent="0.4">
      <c r="B7" s="2426" t="s">
        <v>81</v>
      </c>
      <c r="C7" s="2426"/>
      <c r="D7" s="93" t="s">
        <v>6635</v>
      </c>
    </row>
    <row r="8" spans="1:6" x14ac:dyDescent="0.4">
      <c r="B8" s="2426" t="s">
        <v>82</v>
      </c>
      <c r="C8" s="2426"/>
      <c r="D8" s="1047" t="s">
        <v>353</v>
      </c>
    </row>
    <row r="10" spans="1:6" ht="23.25" customHeight="1" x14ac:dyDescent="0.4">
      <c r="B10" s="3314" t="s">
        <v>85</v>
      </c>
      <c r="C10" s="3314"/>
      <c r="D10" s="3314"/>
    </row>
    <row r="11" spans="1:6" x14ac:dyDescent="0.4">
      <c r="B11" s="2427" t="s">
        <v>86</v>
      </c>
      <c r="C11" s="2428"/>
      <c r="D11" s="49"/>
    </row>
    <row r="12" spans="1:6" ht="93.75" x14ac:dyDescent="0.4">
      <c r="B12" s="2426" t="s">
        <v>88</v>
      </c>
      <c r="C12" s="2426"/>
      <c r="D12" s="184" t="s">
        <v>6636</v>
      </c>
    </row>
    <row r="13" spans="1:6" x14ac:dyDescent="0.4">
      <c r="B13" s="2425" t="s">
        <v>90</v>
      </c>
      <c r="C13" s="2425"/>
      <c r="D13" s="54" t="s">
        <v>6164</v>
      </c>
    </row>
    <row r="14" spans="1:6" x14ac:dyDescent="0.4">
      <c r="B14" s="2425" t="s">
        <v>91</v>
      </c>
      <c r="C14" s="2428"/>
      <c r="D14" s="54" t="s">
        <v>214</v>
      </c>
    </row>
    <row r="15" spans="1:6" ht="131.25" x14ac:dyDescent="0.4">
      <c r="B15" s="2425" t="s">
        <v>93</v>
      </c>
      <c r="C15" s="2425"/>
      <c r="D15" s="49" t="s">
        <v>6637</v>
      </c>
    </row>
    <row r="16" spans="1:6" ht="409.5" x14ac:dyDescent="0.4">
      <c r="B16" s="2425" t="s">
        <v>95</v>
      </c>
      <c r="C16" s="2425"/>
      <c r="D16" s="49" t="s">
        <v>6638</v>
      </c>
    </row>
    <row r="17" spans="2:4" x14ac:dyDescent="0.4">
      <c r="B17" s="2425" t="s">
        <v>97</v>
      </c>
      <c r="C17" s="2425"/>
      <c r="D17" s="55"/>
    </row>
    <row r="18" spans="2:4" ht="150" x14ac:dyDescent="0.4">
      <c r="B18" s="2426" t="s">
        <v>99</v>
      </c>
      <c r="C18" s="2426"/>
      <c r="D18" s="49" t="s">
        <v>6639</v>
      </c>
    </row>
    <row r="19" spans="2:4" ht="17.45" customHeight="1" x14ac:dyDescent="0.4">
      <c r="B19" s="2435" t="s">
        <v>100</v>
      </c>
      <c r="C19" s="2436"/>
      <c r="D19" s="55"/>
    </row>
    <row r="20" spans="2:4" x14ac:dyDescent="0.4">
      <c r="B20" s="2425" t="s">
        <v>102</v>
      </c>
      <c r="C20" s="2425"/>
      <c r="D20" s="49"/>
    </row>
    <row r="21" spans="2:4" x14ac:dyDescent="0.4">
      <c r="B21" s="2432" t="s">
        <v>104</v>
      </c>
      <c r="C21" s="57" t="s">
        <v>105</v>
      </c>
      <c r="D21" s="49" t="s">
        <v>6640</v>
      </c>
    </row>
    <row r="22" spans="2:4" x14ac:dyDescent="0.4">
      <c r="B22" s="2433"/>
      <c r="C22" s="58" t="s">
        <v>107</v>
      </c>
      <c r="D22" s="55"/>
    </row>
    <row r="23" spans="2:4" x14ac:dyDescent="0.4">
      <c r="B23" s="2425" t="s">
        <v>109</v>
      </c>
      <c r="C23" s="2425"/>
      <c r="D23" s="49" t="s">
        <v>515</v>
      </c>
    </row>
    <row r="24" spans="2:4" x14ac:dyDescent="0.4">
      <c r="B24" s="2425" t="s">
        <v>111</v>
      </c>
      <c r="C24" s="2425"/>
      <c r="D24" s="826" t="s">
        <v>6641</v>
      </c>
    </row>
    <row r="25" spans="2:4" x14ac:dyDescent="0.4">
      <c r="B25" s="2425" t="s">
        <v>113</v>
      </c>
      <c r="C25" s="2425"/>
      <c r="D25" s="55" t="s">
        <v>220</v>
      </c>
    </row>
    <row r="26" spans="2:4" ht="17.45" customHeight="1" x14ac:dyDescent="0.4">
      <c r="B26" s="2426" t="s">
        <v>115</v>
      </c>
      <c r="C26" s="2426"/>
      <c r="D26" s="49" t="s">
        <v>8087</v>
      </c>
    </row>
    <row r="27" spans="2:4" ht="56.25" x14ac:dyDescent="0.4">
      <c r="B27" s="2427" t="s">
        <v>117</v>
      </c>
      <c r="C27" s="2428"/>
      <c r="D27" s="55" t="s">
        <v>6642</v>
      </c>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14" t="s">
        <v>121</v>
      </c>
      <c r="C31" s="3314"/>
      <c r="D31" s="3314"/>
    </row>
    <row r="32" spans="2:4" x14ac:dyDescent="0.4">
      <c r="B32" s="2427" t="s">
        <v>122</v>
      </c>
      <c r="C32" s="2428"/>
      <c r="D32" s="55" t="s">
        <v>6643</v>
      </c>
    </row>
    <row r="33" spans="2:4" x14ac:dyDescent="0.4">
      <c r="B33" s="2427" t="s">
        <v>124</v>
      </c>
      <c r="C33" s="2428"/>
      <c r="D33" s="55" t="s">
        <v>6644</v>
      </c>
    </row>
    <row r="34" spans="2:4" x14ac:dyDescent="0.4">
      <c r="B34" s="2427" t="s">
        <v>126</v>
      </c>
      <c r="C34" s="2428"/>
      <c r="D34" s="55" t="s">
        <v>6645</v>
      </c>
    </row>
    <row r="35" spans="2:4" x14ac:dyDescent="0.4">
      <c r="B35" s="2427" t="s">
        <v>128</v>
      </c>
      <c r="C35" s="2428"/>
      <c r="D35" s="246" t="s">
        <v>6646</v>
      </c>
    </row>
    <row r="36" spans="2:4" x14ac:dyDescent="0.4">
      <c r="B36" s="2427" t="s">
        <v>130</v>
      </c>
      <c r="C36" s="2428"/>
      <c r="D36" s="1640" t="s">
        <v>6647</v>
      </c>
    </row>
    <row r="37" spans="2:4" x14ac:dyDescent="0.4">
      <c r="D37" s="1311"/>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68C40F5-D545-4FE8-91F3-B41C3CB0102B}">
      <formula1>Tipo_operación</formula1>
    </dataValidation>
    <dataValidation type="list" allowBlank="1" showInputMessage="1" showErrorMessage="1" sqref="D14" xr:uid="{F61D08A5-3494-48DC-B18E-1290E60E7180}">
      <formula1>Tipo_indicador</formula1>
    </dataValidation>
    <dataValidation type="list" allowBlank="1" showInputMessage="1" showErrorMessage="1" sqref="D7" xr:uid="{102DD1CA-3D64-48AD-B98C-62F09155411E}">
      <formula1>Nombre_indicador_ODS</formula1>
    </dataValidation>
    <dataValidation type="list" allowBlank="1" showInputMessage="1" showErrorMessage="1" sqref="D6" xr:uid="{912D0760-C24E-4EE7-9CF9-15608C9E0D8A}">
      <formula1>Numero_indicador</formula1>
    </dataValidation>
    <dataValidation type="list" allowBlank="1" showInputMessage="1" showErrorMessage="1" sqref="D5" xr:uid="{3717423C-F3EE-4C12-8A02-152530FBA7A5}">
      <formula1>Metas_ODS</formula1>
    </dataValidation>
    <dataValidation type="list" allowBlank="1" showInputMessage="1" showErrorMessage="1" sqref="D4" xr:uid="{18CC993F-D7CE-46A7-8A2D-D151948DEF29}">
      <formula1>ODS</formula1>
    </dataValidation>
    <dataValidation allowBlank="1" showDropDown="1" showInputMessage="1" showErrorMessage="1" sqref="D13" xr:uid="{DE945894-8FE6-4A96-92A0-0A41C65B665A}"/>
  </dataValidations>
  <hyperlinks>
    <hyperlink ref="B1" location="'12.7.1'!A1" display="REGRESAR" xr:uid="{589C279B-F26C-4E90-B399-3D61042F9A84}"/>
    <hyperlink ref="D8" r:id="rId1" xr:uid="{C1FEF67F-46E9-49E1-995B-13D369801D6F}"/>
    <hyperlink ref="D36" r:id="rId2" xr:uid="{B5BDC18B-2194-4BF3-AA7F-4E60B3A9D9AE}"/>
  </hyperlinks>
  <pageMargins left="0.7" right="0.7" top="0.75" bottom="0.75" header="0.3" footer="0.3"/>
  <pageSetup orientation="portrait" r:id="rId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69A6-430D-4D66-A7B7-1973C5654F66}">
  <dimension ref="A1:P2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42578125" style="115" customWidth="1"/>
    <col min="3" max="3" width="34.7109375" style="115" customWidth="1"/>
    <col min="4" max="16384" width="11.42578125" style="115"/>
  </cols>
  <sheetData>
    <row r="1" spans="1:16" x14ac:dyDescent="0.4">
      <c r="A1" s="90" t="s">
        <v>39</v>
      </c>
      <c r="C1" s="90" t="s">
        <v>149</v>
      </c>
      <c r="D1" s="1935"/>
    </row>
    <row r="3" spans="1:16" ht="18" customHeight="1" x14ac:dyDescent="0.4">
      <c r="A3" s="3315" t="s">
        <v>41</v>
      </c>
      <c r="B3" s="3315"/>
      <c r="C3" s="3315" t="s">
        <v>6140</v>
      </c>
      <c r="D3" s="3315"/>
      <c r="E3" s="3315"/>
      <c r="F3" s="3315"/>
      <c r="G3" s="3315"/>
      <c r="H3" s="3315"/>
      <c r="I3" s="3315"/>
      <c r="J3" s="3315"/>
      <c r="K3" s="3315"/>
      <c r="L3" s="3315"/>
      <c r="M3" s="3315"/>
      <c r="N3" s="3315"/>
      <c r="O3" s="3315"/>
      <c r="P3" s="3315"/>
    </row>
    <row r="4" spans="1:16" ht="17.45" customHeight="1" x14ac:dyDescent="0.4">
      <c r="A4" s="3315" t="s">
        <v>42</v>
      </c>
      <c r="B4" s="3316"/>
      <c r="C4" s="3340" t="s">
        <v>6166</v>
      </c>
      <c r="D4" s="3341"/>
      <c r="E4" s="3341"/>
      <c r="F4" s="3341"/>
      <c r="G4" s="3341"/>
      <c r="H4" s="3341"/>
      <c r="I4" s="3341"/>
      <c r="J4" s="3341"/>
      <c r="K4" s="3341"/>
      <c r="L4" s="3341"/>
      <c r="M4" s="3341"/>
      <c r="N4" s="3341"/>
      <c r="O4" s="3341"/>
      <c r="P4" s="3341"/>
    </row>
    <row r="5" spans="1:16" ht="36" customHeight="1" x14ac:dyDescent="0.4">
      <c r="A5" s="3315" t="s">
        <v>43</v>
      </c>
      <c r="B5" s="3316"/>
      <c r="C5" s="3340" t="s">
        <v>6168</v>
      </c>
      <c r="D5" s="3341"/>
      <c r="E5" s="3341"/>
      <c r="F5" s="3341"/>
      <c r="G5" s="3341"/>
      <c r="H5" s="3341"/>
      <c r="I5" s="3341"/>
      <c r="J5" s="3341"/>
      <c r="K5" s="3341"/>
      <c r="L5" s="3341"/>
      <c r="M5" s="3341"/>
      <c r="N5" s="3341"/>
      <c r="O5" s="3341"/>
      <c r="P5" s="3341"/>
    </row>
    <row r="6" spans="1:16" ht="19.899999999999999" customHeight="1" x14ac:dyDescent="0.4">
      <c r="A6" s="3315" t="s">
        <v>132</v>
      </c>
      <c r="B6" s="3316"/>
      <c r="C6" s="3315" t="s">
        <v>6648</v>
      </c>
      <c r="D6" s="3316"/>
      <c r="E6" s="3316"/>
      <c r="F6" s="3316"/>
      <c r="G6" s="3316"/>
      <c r="H6" s="3316"/>
      <c r="I6" s="3316"/>
      <c r="J6" s="3316"/>
      <c r="K6" s="3316"/>
      <c r="L6" s="3316"/>
      <c r="M6" s="3316"/>
      <c r="N6" s="3316"/>
      <c r="O6" s="3316"/>
      <c r="P6" s="3316"/>
    </row>
    <row r="9" spans="1:16" x14ac:dyDescent="0.4">
      <c r="A9" s="536"/>
    </row>
    <row r="10" spans="1:16" ht="19.5" x14ac:dyDescent="0.4">
      <c r="C10" s="24" t="s">
        <v>6649</v>
      </c>
      <c r="D10" s="24"/>
      <c r="E10" s="24"/>
      <c r="F10" s="24"/>
      <c r="G10" s="24"/>
      <c r="H10" s="24"/>
    </row>
    <row r="11" spans="1:16" ht="19.5" x14ac:dyDescent="0.4">
      <c r="C11" s="264" t="s">
        <v>6650</v>
      </c>
      <c r="D11" s="264"/>
      <c r="E11" s="264"/>
      <c r="F11" s="264"/>
      <c r="G11" s="264"/>
      <c r="H11" s="264"/>
    </row>
    <row r="12" spans="1:16" ht="10.15" customHeight="1" x14ac:dyDescent="0.4">
      <c r="C12" s="1936"/>
      <c r="D12" s="1936"/>
      <c r="E12" s="1936"/>
      <c r="F12" s="1936"/>
      <c r="G12" s="1936"/>
      <c r="H12" s="1936"/>
    </row>
    <row r="13" spans="1:16" ht="56.25" x14ac:dyDescent="0.4">
      <c r="A13" s="536"/>
      <c r="C13" s="1937"/>
      <c r="D13" s="1786" t="s">
        <v>1881</v>
      </c>
      <c r="E13" s="1786" t="s">
        <v>1882</v>
      </c>
      <c r="F13" s="1786" t="s">
        <v>1883</v>
      </c>
      <c r="G13" s="1786" t="s">
        <v>1884</v>
      </c>
      <c r="H13" s="1786" t="s">
        <v>1885</v>
      </c>
    </row>
    <row r="14" spans="1:16" x14ac:dyDescent="0.4">
      <c r="A14" s="536"/>
      <c r="C14" s="115" t="s">
        <v>1886</v>
      </c>
      <c r="D14" s="536">
        <v>1</v>
      </c>
      <c r="E14" s="536">
        <v>1</v>
      </c>
      <c r="F14" s="536">
        <v>1</v>
      </c>
      <c r="G14" s="536">
        <v>1</v>
      </c>
      <c r="H14" s="536">
        <v>1</v>
      </c>
    </row>
    <row r="15" spans="1:16" x14ac:dyDescent="0.4">
      <c r="A15" s="536"/>
      <c r="C15" s="115" t="s">
        <v>1887</v>
      </c>
      <c r="D15" s="536">
        <v>1</v>
      </c>
      <c r="E15" s="536">
        <v>1</v>
      </c>
      <c r="F15" s="536">
        <v>1</v>
      </c>
      <c r="G15" s="536">
        <v>1</v>
      </c>
      <c r="H15" s="536">
        <v>1</v>
      </c>
    </row>
    <row r="16" spans="1:16" x14ac:dyDescent="0.4">
      <c r="A16" s="536"/>
      <c r="C16" s="115" t="s">
        <v>1888</v>
      </c>
      <c r="D16" s="536">
        <v>1</v>
      </c>
      <c r="E16" s="536">
        <v>1</v>
      </c>
      <c r="F16" s="536">
        <v>1</v>
      </c>
      <c r="G16" s="536">
        <v>1</v>
      </c>
      <c r="H16" s="536">
        <v>1</v>
      </c>
    </row>
    <row r="17" spans="1:8" x14ac:dyDescent="0.4">
      <c r="A17" s="536"/>
      <c r="C17" s="115" t="s">
        <v>1889</v>
      </c>
      <c r="D17" s="536">
        <v>1</v>
      </c>
      <c r="E17" s="536">
        <v>1</v>
      </c>
      <c r="F17" s="536">
        <v>1</v>
      </c>
      <c r="G17" s="536">
        <v>1</v>
      </c>
      <c r="H17" s="536">
        <v>1</v>
      </c>
    </row>
    <row r="18" spans="1:8" x14ac:dyDescent="0.4">
      <c r="A18" s="536"/>
      <c r="C18" s="120" t="s">
        <v>1885</v>
      </c>
      <c r="D18" s="824">
        <v>1</v>
      </c>
      <c r="E18" s="824">
        <v>1</v>
      </c>
      <c r="F18" s="824">
        <v>1</v>
      </c>
      <c r="G18" s="824">
        <v>1</v>
      </c>
      <c r="H18" s="824">
        <v>1</v>
      </c>
    </row>
    <row r="19" spans="1:8" ht="17.45" customHeight="1" x14ac:dyDescent="0.4">
      <c r="A19" s="835"/>
      <c r="C19" s="155" t="s">
        <v>1890</v>
      </c>
      <c r="D19" s="155"/>
      <c r="E19" s="155"/>
      <c r="F19" s="155"/>
      <c r="G19" s="155"/>
      <c r="H19" s="155"/>
    </row>
    <row r="20" spans="1:8" x14ac:dyDescent="0.4">
      <c r="A20" s="536"/>
      <c r="C20" s="155" t="s">
        <v>1891</v>
      </c>
      <c r="D20" s="155"/>
      <c r="E20" s="155"/>
      <c r="F20" s="155"/>
      <c r="G20" s="155"/>
      <c r="H20" s="155"/>
    </row>
  </sheetData>
  <mergeCells count="8">
    <mergeCell ref="A6:B6"/>
    <mergeCell ref="C6:P6"/>
    <mergeCell ref="A3:B3"/>
    <mergeCell ref="C3:P3"/>
    <mergeCell ref="A4:B4"/>
    <mergeCell ref="C4:P4"/>
    <mergeCell ref="A5:B5"/>
    <mergeCell ref="C5:P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2.'!A1" display="REGRESAR" xr:uid="{8ED788A1-275D-4411-AAAD-402E05F6282F}"/>
    <hyperlink ref="C1" location="'Metadato 12.8.1'!A1" display="VER METADATO" xr:uid="{7DD6F4A6-5D12-4E44-A984-ECCB19641BBD}"/>
  </hyperlinks>
  <pageMargins left="0.7" right="0.7" top="0.75" bottom="0.75" header="0.3" footer="0.3"/>
  <pageSetup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9A8E-4285-4E4E-ACF4-4D46B4EB473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0.42578125" style="115" customWidth="1"/>
    <col min="2" max="2" width="26.42578125" style="115" customWidth="1"/>
    <col min="3" max="3" width="24" style="115" customWidth="1"/>
    <col min="4" max="4" width="85.7109375" style="115" customWidth="1"/>
    <col min="5" max="5" width="63.7109375" style="115" customWidth="1"/>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265</v>
      </c>
    </row>
    <row r="4" spans="1:6" x14ac:dyDescent="0.4">
      <c r="A4" s="283"/>
      <c r="B4" s="2425" t="s">
        <v>234</v>
      </c>
      <c r="C4" s="2425"/>
      <c r="D4" s="49" t="s">
        <v>6179</v>
      </c>
    </row>
    <row r="5" spans="1:6" ht="37.5" x14ac:dyDescent="0.4">
      <c r="B5" s="2425" t="s">
        <v>1689</v>
      </c>
      <c r="C5" s="2425"/>
      <c r="D5" s="49" t="s">
        <v>6166</v>
      </c>
    </row>
    <row r="6" spans="1:6" x14ac:dyDescent="0.4">
      <c r="B6" s="2425" t="s">
        <v>80</v>
      </c>
      <c r="C6" s="2425"/>
      <c r="D6" s="50" t="s">
        <v>6167</v>
      </c>
    </row>
    <row r="7" spans="1:6" ht="75" x14ac:dyDescent="0.4">
      <c r="B7" s="2426" t="s">
        <v>81</v>
      </c>
      <c r="C7" s="2426"/>
      <c r="D7" s="93" t="s">
        <v>6651</v>
      </c>
    </row>
    <row r="8" spans="1:6" x14ac:dyDescent="0.4">
      <c r="B8" s="2426" t="s">
        <v>82</v>
      </c>
      <c r="C8" s="2426"/>
      <c r="D8" s="1047" t="s">
        <v>353</v>
      </c>
    </row>
    <row r="10" spans="1:6" ht="23.25" customHeight="1" x14ac:dyDescent="0.4">
      <c r="B10" s="3314" t="s">
        <v>85</v>
      </c>
      <c r="C10" s="3314"/>
      <c r="D10" s="3314"/>
    </row>
    <row r="11" spans="1:6" ht="17.25" customHeight="1" x14ac:dyDescent="0.4">
      <c r="B11" s="2427" t="s">
        <v>86</v>
      </c>
      <c r="C11" s="2428"/>
      <c r="D11" s="49" t="s">
        <v>167</v>
      </c>
    </row>
    <row r="12" spans="1:6" ht="93.75" x14ac:dyDescent="0.4">
      <c r="B12" s="2426" t="s">
        <v>88</v>
      </c>
      <c r="C12" s="2426"/>
      <c r="D12" s="825" t="s">
        <v>6652</v>
      </c>
    </row>
    <row r="13" spans="1:6" x14ac:dyDescent="0.4">
      <c r="B13" s="2425" t="s">
        <v>90</v>
      </c>
      <c r="C13" s="2425"/>
      <c r="D13" s="54" t="s">
        <v>6653</v>
      </c>
    </row>
    <row r="14" spans="1:6" x14ac:dyDescent="0.4">
      <c r="B14" s="2425" t="s">
        <v>91</v>
      </c>
      <c r="C14" s="2428"/>
      <c r="D14" s="54" t="s">
        <v>92</v>
      </c>
    </row>
    <row r="15" spans="1:6" ht="206.25" x14ac:dyDescent="0.4">
      <c r="B15" s="2425" t="s">
        <v>93</v>
      </c>
      <c r="C15" s="2425"/>
      <c r="D15" s="55" t="s">
        <v>6654</v>
      </c>
    </row>
    <row r="16" spans="1:6" ht="243" customHeight="1" x14ac:dyDescent="0.4">
      <c r="B16" s="2425" t="s">
        <v>95</v>
      </c>
      <c r="C16" s="2425"/>
      <c r="D16" s="55" t="s">
        <v>6655</v>
      </c>
    </row>
    <row r="17" spans="2:4" x14ac:dyDescent="0.4">
      <c r="B17" s="2425" t="s">
        <v>97</v>
      </c>
      <c r="C17" s="2425"/>
      <c r="D17" s="594" t="s">
        <v>1895</v>
      </c>
    </row>
    <row r="18" spans="2:4" x14ac:dyDescent="0.4">
      <c r="B18" s="2426" t="s">
        <v>99</v>
      </c>
      <c r="C18" s="2426"/>
      <c r="D18" s="49"/>
    </row>
    <row r="19" spans="2:4" ht="37.5" x14ac:dyDescent="0.4">
      <c r="B19" s="2435" t="s">
        <v>100</v>
      </c>
      <c r="C19" s="2436"/>
      <c r="D19" s="55" t="s">
        <v>1896</v>
      </c>
    </row>
    <row r="20" spans="2:4" x14ac:dyDescent="0.4">
      <c r="B20" s="2425" t="s">
        <v>102</v>
      </c>
      <c r="C20" s="2425"/>
      <c r="D20" s="594" t="s">
        <v>140</v>
      </c>
    </row>
    <row r="21" spans="2:4" x14ac:dyDescent="0.4">
      <c r="B21" s="2432" t="s">
        <v>104</v>
      </c>
      <c r="C21" s="57" t="s">
        <v>105</v>
      </c>
      <c r="D21" s="594" t="s">
        <v>140</v>
      </c>
    </row>
    <row r="22" spans="2:4" ht="18" customHeight="1" x14ac:dyDescent="0.4">
      <c r="B22" s="2433"/>
      <c r="C22" s="58" t="s">
        <v>107</v>
      </c>
      <c r="D22" s="55"/>
    </row>
    <row r="23" spans="2:4" x14ac:dyDescent="0.4">
      <c r="B23" s="2425" t="s">
        <v>109</v>
      </c>
      <c r="C23" s="2425"/>
      <c r="D23" s="594" t="s">
        <v>143</v>
      </c>
    </row>
    <row r="24" spans="2:4" x14ac:dyDescent="0.4">
      <c r="B24" s="2425" t="s">
        <v>111</v>
      </c>
      <c r="C24" s="2425"/>
      <c r="D24" s="826" t="s">
        <v>1706</v>
      </c>
    </row>
    <row r="25" spans="2:4" x14ac:dyDescent="0.4">
      <c r="B25" s="2425" t="s">
        <v>113</v>
      </c>
      <c r="C25" s="2425"/>
      <c r="D25" s="55" t="s">
        <v>1701</v>
      </c>
    </row>
    <row r="26" spans="2:4" ht="15" customHeight="1" x14ac:dyDescent="0.4">
      <c r="B26" s="2426" t="s">
        <v>115</v>
      </c>
      <c r="C26" s="2426"/>
      <c r="D26" s="826"/>
    </row>
    <row r="27" spans="2:4" x14ac:dyDescent="0.4">
      <c r="B27" s="2427" t="s">
        <v>117</v>
      </c>
      <c r="C27" s="2428"/>
      <c r="D27" s="49" t="s">
        <v>1897</v>
      </c>
    </row>
    <row r="28" spans="2:4" ht="131.25" x14ac:dyDescent="0.4">
      <c r="B28" s="60" t="s">
        <v>118</v>
      </c>
      <c r="C28" s="61"/>
      <c r="D28" s="594" t="s">
        <v>6656</v>
      </c>
    </row>
    <row r="29" spans="2:4" x14ac:dyDescent="0.4">
      <c r="B29" s="2429" t="s">
        <v>120</v>
      </c>
      <c r="C29" s="2430"/>
      <c r="D29" s="62"/>
    </row>
    <row r="30" spans="2:4" x14ac:dyDescent="0.4">
      <c r="B30" s="63"/>
      <c r="C30" s="63"/>
      <c r="D30" s="64"/>
    </row>
    <row r="31" spans="2:4" ht="23.25" customHeight="1" x14ac:dyDescent="0.4">
      <c r="B31" s="3314" t="s">
        <v>121</v>
      </c>
      <c r="C31" s="3314"/>
      <c r="D31" s="3314"/>
    </row>
    <row r="32" spans="2:4" x14ac:dyDescent="0.4">
      <c r="B32" s="2427" t="s">
        <v>122</v>
      </c>
      <c r="C32" s="2428"/>
      <c r="D32" s="826" t="s">
        <v>1899</v>
      </c>
    </row>
    <row r="33" spans="2:4" x14ac:dyDescent="0.4">
      <c r="B33" s="2427" t="s">
        <v>124</v>
      </c>
      <c r="C33" s="2428"/>
      <c r="D33" s="826" t="s">
        <v>1900</v>
      </c>
    </row>
    <row r="34" spans="2:4" x14ac:dyDescent="0.4">
      <c r="B34" s="2427" t="s">
        <v>126</v>
      </c>
      <c r="C34" s="2428"/>
      <c r="D34" s="826" t="s">
        <v>1706</v>
      </c>
    </row>
    <row r="35" spans="2:4" x14ac:dyDescent="0.4">
      <c r="B35" s="2427" t="s">
        <v>128</v>
      </c>
      <c r="C35" s="2428"/>
      <c r="D35" s="826" t="s">
        <v>1901</v>
      </c>
    </row>
    <row r="36" spans="2:4" x14ac:dyDescent="0.4">
      <c r="B36" s="2427" t="s">
        <v>130</v>
      </c>
      <c r="C36" s="2428"/>
      <c r="D36" s="1667" t="s">
        <v>1902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3E4BF35-2F04-4B52-9EE3-1958BC28D938}"/>
    <dataValidation type="list" allowBlank="1" showInputMessage="1" showErrorMessage="1" sqref="D4" xr:uid="{3C1CEE16-9899-411E-8AF8-171C6F8564EC}">
      <formula1>ODS</formula1>
    </dataValidation>
    <dataValidation type="list" allowBlank="1" showInputMessage="1" showErrorMessage="1" sqref="D5" xr:uid="{3F0182DA-388C-46C4-AF71-4B15A502B942}">
      <formula1>Metas_ODS</formula1>
    </dataValidation>
    <dataValidation type="list" allowBlank="1" showInputMessage="1" showErrorMessage="1" sqref="D6" xr:uid="{3905CB72-68C3-40D1-BC03-F610434F9AE4}">
      <formula1>Numero_indicador</formula1>
    </dataValidation>
    <dataValidation type="list" allowBlank="1" showInputMessage="1" showErrorMessage="1" sqref="D7" xr:uid="{758299A0-3953-4B05-AA58-27CCD01B45C7}">
      <formula1>Nombre_indicador_ODS</formula1>
    </dataValidation>
    <dataValidation type="list" allowBlank="1" showInputMessage="1" showErrorMessage="1" sqref="D14" xr:uid="{F6F34D82-8C67-4112-B831-9C80B303B4E1}">
      <formula1>Tipo_indicador</formula1>
    </dataValidation>
    <dataValidation type="list" allowBlank="1" showInputMessage="1" showErrorMessage="1" sqref="D25" xr:uid="{404F254B-21DB-4706-8793-4C1AC4D90C73}">
      <formula1>Tipo_operación</formula1>
    </dataValidation>
  </dataValidations>
  <hyperlinks>
    <hyperlink ref="B1" location="'12.8.1'!A1" display="REGRESAR" xr:uid="{C4735CC7-820F-4B70-B36D-4CB215261E82}"/>
    <hyperlink ref="D8" r:id="rId1" xr:uid="{EE3C5FBF-669E-4F28-BCBF-314A689913F0}"/>
    <hyperlink ref="D36" r:id="rId2" xr:uid="{3FA7AF27-A52C-4225-B843-D6797D8B2F8D}"/>
  </hyperlinks>
  <pageMargins left="0.7" right="0.7" top="0.75" bottom="0.75" header="0.3" footer="0.3"/>
  <pageSetup orientation="portrait" r:id="rId3"/>
  <drawing r:id="rId4"/>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0A71-5431-4671-A781-F1649654601F}">
  <dimension ref="A1:R29"/>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2" width="16" style="115" customWidth="1"/>
    <col min="3" max="3" width="11.7109375" style="1048" customWidth="1"/>
    <col min="4" max="4" width="11.7109375" style="115" customWidth="1"/>
    <col min="5" max="5" width="15.28515625" style="115" customWidth="1"/>
    <col min="6" max="7" width="11.7109375" style="115" customWidth="1"/>
    <col min="8" max="16384" width="11.42578125" style="115"/>
  </cols>
  <sheetData>
    <row r="1" spans="1:18" x14ac:dyDescent="0.4">
      <c r="A1" s="90" t="s">
        <v>39</v>
      </c>
      <c r="B1" s="1311"/>
      <c r="C1" s="2541" t="s">
        <v>149</v>
      </c>
      <c r="D1" s="2541"/>
    </row>
    <row r="2" spans="1:18" ht="15" customHeight="1" x14ac:dyDescent="0.4"/>
    <row r="3" spans="1:18" ht="19.5" x14ac:dyDescent="0.4">
      <c r="A3" s="3315" t="s">
        <v>41</v>
      </c>
      <c r="B3" s="3315"/>
      <c r="C3" s="3315" t="s">
        <v>6140</v>
      </c>
      <c r="D3" s="3315"/>
      <c r="E3" s="3315"/>
      <c r="F3" s="3315"/>
      <c r="G3" s="3315"/>
      <c r="H3" s="3315"/>
      <c r="I3" s="3315"/>
      <c r="J3" s="3315"/>
      <c r="K3" s="3315"/>
      <c r="L3" s="3315"/>
      <c r="M3" s="3315"/>
      <c r="N3" s="3315"/>
      <c r="O3" s="3315"/>
      <c r="P3" s="3315"/>
      <c r="Q3" s="3315"/>
      <c r="R3" s="3315"/>
    </row>
    <row r="4" spans="1:18" ht="17.45" customHeight="1" x14ac:dyDescent="0.4">
      <c r="A4" s="3315" t="s">
        <v>42</v>
      </c>
      <c r="B4" s="3316"/>
      <c r="C4" s="3340" t="s">
        <v>6169</v>
      </c>
      <c r="D4" s="3341"/>
      <c r="E4" s="3341"/>
      <c r="F4" s="3341"/>
      <c r="G4" s="3341"/>
      <c r="H4" s="3341"/>
      <c r="I4" s="3341"/>
      <c r="J4" s="3341"/>
      <c r="K4" s="3341"/>
      <c r="L4" s="3341"/>
      <c r="M4" s="3341"/>
      <c r="N4" s="3341"/>
      <c r="O4" s="3341"/>
      <c r="P4" s="3341"/>
      <c r="Q4" s="3341"/>
      <c r="R4" s="3341"/>
    </row>
    <row r="5" spans="1:18" ht="18" customHeight="1" x14ac:dyDescent="0.4">
      <c r="A5" s="3315" t="s">
        <v>43</v>
      </c>
      <c r="B5" s="3316"/>
      <c r="C5" s="3340" t="s">
        <v>6171</v>
      </c>
      <c r="D5" s="3341"/>
      <c r="E5" s="3341"/>
      <c r="F5" s="3341"/>
      <c r="G5" s="3341"/>
      <c r="H5" s="3341"/>
      <c r="I5" s="3341"/>
      <c r="J5" s="3341"/>
      <c r="K5" s="3341"/>
      <c r="L5" s="3341"/>
      <c r="M5" s="3341"/>
      <c r="N5" s="3341"/>
      <c r="O5" s="3341"/>
      <c r="P5" s="3341"/>
      <c r="Q5" s="3341"/>
      <c r="R5" s="3341"/>
    </row>
    <row r="6" spans="1:18" ht="19.149999999999999" customHeight="1" x14ac:dyDescent="0.4">
      <c r="A6" s="3315" t="s">
        <v>132</v>
      </c>
      <c r="B6" s="3316"/>
      <c r="C6" s="3315" t="s">
        <v>4898</v>
      </c>
      <c r="D6" s="3316"/>
      <c r="E6" s="3316"/>
      <c r="F6" s="3316"/>
      <c r="G6" s="3316"/>
      <c r="H6" s="3316"/>
      <c r="I6" s="3316"/>
      <c r="J6" s="3316"/>
      <c r="K6" s="3316"/>
      <c r="L6" s="3316"/>
      <c r="M6" s="3316"/>
      <c r="N6" s="3316"/>
      <c r="O6" s="3316"/>
      <c r="P6" s="3316"/>
      <c r="Q6" s="3316"/>
      <c r="R6" s="3316"/>
    </row>
    <row r="7" spans="1:18" x14ac:dyDescent="0.4">
      <c r="A7" s="536"/>
    </row>
    <row r="9" spans="1:18" ht="19.5" x14ac:dyDescent="0.4">
      <c r="C9" s="138" t="s">
        <v>6657</v>
      </c>
      <c r="D9" s="138"/>
      <c r="E9" s="138"/>
      <c r="F9" s="138"/>
      <c r="H9" s="266" t="s">
        <v>6658</v>
      </c>
      <c r="I9" s="1032"/>
      <c r="J9" s="1032"/>
      <c r="K9" s="1032"/>
      <c r="L9" s="1032"/>
      <c r="M9" s="1032"/>
    </row>
    <row r="10" spans="1:18" ht="19.5" x14ac:dyDescent="0.4">
      <c r="C10" s="532" t="s">
        <v>6659</v>
      </c>
      <c r="D10" s="533"/>
      <c r="E10" s="533"/>
      <c r="F10" s="533"/>
      <c r="H10" s="266"/>
      <c r="I10" s="1032"/>
      <c r="J10" s="1032"/>
      <c r="K10" s="1032"/>
      <c r="L10" s="1032"/>
      <c r="M10" s="1032"/>
    </row>
    <row r="11" spans="1:18" ht="7.9" customHeight="1" x14ac:dyDescent="0.4">
      <c r="C11" s="575"/>
      <c r="D11" s="575"/>
      <c r="E11" s="575"/>
      <c r="F11" s="575"/>
    </row>
    <row r="12" spans="1:18" ht="56.25" x14ac:dyDescent="0.4">
      <c r="C12" s="1786" t="s">
        <v>247</v>
      </c>
      <c r="D12" s="1786" t="s">
        <v>4900</v>
      </c>
      <c r="E12" s="1786" t="s">
        <v>4901</v>
      </c>
      <c r="F12" s="1786" t="s">
        <v>4902</v>
      </c>
    </row>
    <row r="13" spans="1:18" x14ac:dyDescent="0.4">
      <c r="C13" s="232">
        <v>2012</v>
      </c>
      <c r="D13" s="1433">
        <v>4654485</v>
      </c>
      <c r="E13" s="1434">
        <v>2107430000</v>
      </c>
      <c r="F13" s="1435">
        <f>+(E13/D13)</f>
        <v>452.7740448191368</v>
      </c>
    </row>
    <row r="14" spans="1:18" x14ac:dyDescent="0.4">
      <c r="C14" s="232">
        <v>2013</v>
      </c>
      <c r="D14" s="1433">
        <v>4713092</v>
      </c>
      <c r="E14" s="1434">
        <v>2132632000</v>
      </c>
      <c r="F14" s="1435">
        <f t="shared" ref="F14:F20" si="0">+(E14/D14)</f>
        <v>452.49106106988791</v>
      </c>
    </row>
    <row r="15" spans="1:18" x14ac:dyDescent="0.4">
      <c r="C15" s="232">
        <v>2014</v>
      </c>
      <c r="D15" s="1433">
        <v>4771778</v>
      </c>
      <c r="E15" s="1434">
        <v>2291305000</v>
      </c>
      <c r="F15" s="1435">
        <f t="shared" si="0"/>
        <v>480.17845758960289</v>
      </c>
    </row>
    <row r="16" spans="1:18" x14ac:dyDescent="0.4">
      <c r="C16" s="232">
        <v>2015</v>
      </c>
      <c r="D16" s="1433">
        <v>4828520</v>
      </c>
      <c r="E16" s="1434">
        <v>2474189000</v>
      </c>
      <c r="F16" s="1435">
        <f t="shared" si="0"/>
        <v>512.41146355404965</v>
      </c>
    </row>
    <row r="17" spans="3:14" x14ac:dyDescent="0.4">
      <c r="C17" s="232">
        <v>2016</v>
      </c>
      <c r="D17" s="1433">
        <v>4882723</v>
      </c>
      <c r="E17" s="1434">
        <v>2898753000</v>
      </c>
      <c r="F17" s="1435">
        <f t="shared" si="0"/>
        <v>593.67549623437583</v>
      </c>
    </row>
    <row r="18" spans="3:14" x14ac:dyDescent="0.4">
      <c r="C18" s="232">
        <v>2017</v>
      </c>
      <c r="D18" s="1433">
        <v>4933519</v>
      </c>
      <c r="E18" s="1434">
        <v>2962084000</v>
      </c>
      <c r="F18" s="1435">
        <f t="shared" si="0"/>
        <v>600.39983630345807</v>
      </c>
    </row>
    <row r="19" spans="3:14" x14ac:dyDescent="0.4">
      <c r="C19" s="232">
        <v>2018</v>
      </c>
      <c r="D19" s="1433">
        <v>4981349</v>
      </c>
      <c r="E19" s="1434">
        <v>3049042000</v>
      </c>
      <c r="F19" s="1435">
        <f t="shared" si="0"/>
        <v>612.09162417650316</v>
      </c>
    </row>
    <row r="20" spans="3:14" x14ac:dyDescent="0.4">
      <c r="C20" s="232">
        <v>2019</v>
      </c>
      <c r="D20" s="1433">
        <v>5020970</v>
      </c>
      <c r="E20" s="1434">
        <v>3096242000</v>
      </c>
      <c r="F20" s="1435">
        <f t="shared" si="0"/>
        <v>616.66211907260947</v>
      </c>
    </row>
    <row r="21" spans="3:14" x14ac:dyDescent="0.4">
      <c r="C21" s="232">
        <v>2020</v>
      </c>
      <c r="D21" s="1433">
        <v>5051379</v>
      </c>
      <c r="E21" s="1434">
        <v>3066966000</v>
      </c>
      <c r="F21" s="1435">
        <f>+(E21/D21)</f>
        <v>607.15420482208913</v>
      </c>
    </row>
    <row r="22" spans="3:14" x14ac:dyDescent="0.4">
      <c r="C22" s="232">
        <v>2021</v>
      </c>
      <c r="D22" s="1433">
        <v>5077667</v>
      </c>
      <c r="E22" s="1434">
        <v>3115300000</v>
      </c>
      <c r="F22" s="1435">
        <f>+(E22/D22)</f>
        <v>613.52979626273248</v>
      </c>
    </row>
    <row r="23" spans="3:14" x14ac:dyDescent="0.4">
      <c r="C23" s="232">
        <v>2022</v>
      </c>
      <c r="D23" s="1433">
        <v>5104907</v>
      </c>
      <c r="E23" s="1434">
        <v>3064300000</v>
      </c>
      <c r="F23" s="1435">
        <v>587.77809789536968</v>
      </c>
    </row>
    <row r="24" spans="3:14" x14ac:dyDescent="0.4">
      <c r="C24" s="795">
        <v>2023</v>
      </c>
      <c r="D24" s="1436">
        <v>5135912</v>
      </c>
      <c r="E24" s="1437">
        <v>3122900000</v>
      </c>
      <c r="F24" s="1438">
        <f t="shared" ref="F24" si="1">+(E24/D24)</f>
        <v>608.05169558979981</v>
      </c>
    </row>
    <row r="25" spans="3:14" x14ac:dyDescent="0.4">
      <c r="C25" s="3068" t="s">
        <v>4903</v>
      </c>
      <c r="D25" s="3068"/>
      <c r="E25" s="3068"/>
      <c r="F25" s="3068"/>
    </row>
    <row r="26" spans="3:14" ht="17.45" customHeight="1" x14ac:dyDescent="0.4">
      <c r="C26" s="3068"/>
      <c r="D26" s="3068"/>
      <c r="E26" s="3068"/>
      <c r="F26" s="3068"/>
      <c r="H26" s="243" t="s">
        <v>6660</v>
      </c>
      <c r="I26" s="243"/>
      <c r="J26" s="243"/>
      <c r="K26" s="243"/>
      <c r="L26" s="243"/>
      <c r="M26" s="243"/>
      <c r="N26" s="243"/>
    </row>
    <row r="27" spans="3:14" x14ac:dyDescent="0.4">
      <c r="H27" s="243"/>
      <c r="I27" s="243"/>
      <c r="J27" s="243"/>
      <c r="K27" s="243"/>
      <c r="L27" s="243"/>
      <c r="M27" s="243"/>
      <c r="N27" s="243"/>
    </row>
    <row r="28" spans="3:14" x14ac:dyDescent="0.4">
      <c r="H28" s="243"/>
      <c r="I28" s="243"/>
      <c r="J28" s="243"/>
      <c r="K28" s="243"/>
      <c r="L28" s="243"/>
      <c r="M28" s="243"/>
      <c r="N28" s="243"/>
    </row>
    <row r="29" spans="3:14" x14ac:dyDescent="0.4">
      <c r="H29" s="243"/>
      <c r="I29" s="243"/>
      <c r="J29" s="243"/>
      <c r="K29" s="243"/>
      <c r="L29" s="243"/>
      <c r="M29" s="243"/>
      <c r="N29" s="243"/>
    </row>
  </sheetData>
  <mergeCells count="10">
    <mergeCell ref="A6:B6"/>
    <mergeCell ref="C6:R6"/>
    <mergeCell ref="C25:F26"/>
    <mergeCell ref="C1:D1"/>
    <mergeCell ref="A3:B3"/>
    <mergeCell ref="C3:R3"/>
    <mergeCell ref="A4:B4"/>
    <mergeCell ref="C4:R4"/>
    <mergeCell ref="A5:B5"/>
    <mergeCell ref="C5:R5"/>
  </mergeCells>
  <hyperlinks>
    <hyperlink ref="A1" location="'ODS 12.'!A1" display="REGRESAR" xr:uid="{3093B526-F233-4CCA-A0ED-1BC92F710395}"/>
    <hyperlink ref="C1:D1" location="'Metadato 12.a.1'!A1" display="VER METADATO" xr:uid="{BD60F3A2-1FDB-4861-8D1E-B0E4507222FA}"/>
  </hyperlinks>
  <pageMargins left="0.7" right="0.7" top="0.75" bottom="0.75" header="0.3" footer="0.3"/>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495A-3C9C-466A-B715-3458DC6BABC5}">
  <sheetPr>
    <tabColor theme="0" tint="-0.499984740745262"/>
  </sheetPr>
  <dimension ref="A1:F4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94.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265</v>
      </c>
    </row>
    <row r="4" spans="1:6" x14ac:dyDescent="0.4">
      <c r="A4" s="283"/>
      <c r="B4" s="2425" t="s">
        <v>234</v>
      </c>
      <c r="C4" s="2425"/>
      <c r="D4" s="49" t="s">
        <v>6179</v>
      </c>
    </row>
    <row r="5" spans="1:6" ht="37.5" x14ac:dyDescent="0.4">
      <c r="B5" s="2425" t="s">
        <v>79</v>
      </c>
      <c r="C5" s="2425"/>
      <c r="D5" s="49" t="s">
        <v>6169</v>
      </c>
    </row>
    <row r="6" spans="1:6" x14ac:dyDescent="0.4">
      <c r="B6" s="2425" t="s">
        <v>80</v>
      </c>
      <c r="C6" s="2425"/>
      <c r="D6" s="50" t="s">
        <v>6170</v>
      </c>
    </row>
    <row r="7" spans="1:6" ht="30" customHeight="1" x14ac:dyDescent="0.4">
      <c r="B7" s="2426" t="s">
        <v>81</v>
      </c>
      <c r="C7" s="2426"/>
      <c r="D7" s="93" t="s">
        <v>6171</v>
      </c>
    </row>
    <row r="8" spans="1:6" x14ac:dyDescent="0.4">
      <c r="B8" s="2426" t="s">
        <v>82</v>
      </c>
      <c r="C8" s="2426"/>
      <c r="D8" s="1047" t="s">
        <v>353</v>
      </c>
    </row>
    <row r="10" spans="1:6" ht="23.25" customHeight="1" x14ac:dyDescent="0.4">
      <c r="B10" s="3314" t="s">
        <v>85</v>
      </c>
      <c r="C10" s="3314"/>
      <c r="D10" s="3314"/>
    </row>
    <row r="11" spans="1:6" x14ac:dyDescent="0.4">
      <c r="B11" s="2427" t="s">
        <v>86</v>
      </c>
      <c r="C11" s="2428"/>
      <c r="D11" s="49" t="s">
        <v>4906</v>
      </c>
    </row>
    <row r="12" spans="1:6" ht="15" customHeight="1" x14ac:dyDescent="0.4">
      <c r="B12" s="2426" t="s">
        <v>88</v>
      </c>
      <c r="C12" s="2426"/>
      <c r="D12" s="184" t="s">
        <v>4907</v>
      </c>
    </row>
    <row r="13" spans="1:6" x14ac:dyDescent="0.4">
      <c r="B13" s="2425" t="s">
        <v>90</v>
      </c>
      <c r="C13" s="2425"/>
      <c r="D13" s="54" t="s">
        <v>4695</v>
      </c>
    </row>
    <row r="14" spans="1:6" x14ac:dyDescent="0.4">
      <c r="B14" s="2425" t="s">
        <v>91</v>
      </c>
      <c r="C14" s="2428"/>
      <c r="D14" s="54" t="s">
        <v>92</v>
      </c>
    </row>
    <row r="15" spans="1:6" ht="112.5" x14ac:dyDescent="0.4">
      <c r="B15" s="2425" t="s">
        <v>93</v>
      </c>
      <c r="C15" s="2425"/>
      <c r="D15" s="49" t="s">
        <v>4908</v>
      </c>
    </row>
    <row r="16" spans="1:6" ht="131.25" x14ac:dyDescent="0.4">
      <c r="B16" s="2425" t="s">
        <v>95</v>
      </c>
      <c r="C16" s="2425"/>
      <c r="D16" s="55" t="s">
        <v>4909</v>
      </c>
    </row>
    <row r="17" spans="2:4" x14ac:dyDescent="0.4">
      <c r="B17" s="2425" t="s">
        <v>97</v>
      </c>
      <c r="C17" s="2425"/>
      <c r="D17" s="55" t="s">
        <v>4902</v>
      </c>
    </row>
    <row r="18" spans="2:4" x14ac:dyDescent="0.4">
      <c r="B18" s="2426" t="s">
        <v>99</v>
      </c>
      <c r="C18" s="2426"/>
      <c r="D18" s="49"/>
    </row>
    <row r="19" spans="2:4" ht="15" customHeight="1" x14ac:dyDescent="0.4">
      <c r="B19" s="2435" t="s">
        <v>100</v>
      </c>
      <c r="C19" s="2436"/>
      <c r="D19" s="55" t="s">
        <v>4910</v>
      </c>
    </row>
    <row r="20" spans="2:4" x14ac:dyDescent="0.4">
      <c r="B20" s="2425" t="s">
        <v>102</v>
      </c>
      <c r="C20" s="2425"/>
      <c r="D20" s="49" t="s">
        <v>103</v>
      </c>
    </row>
    <row r="21" spans="2:4" x14ac:dyDescent="0.4">
      <c r="B21" s="2432" t="s">
        <v>104</v>
      </c>
      <c r="C21" s="57" t="s">
        <v>105</v>
      </c>
      <c r="D21" s="49" t="s">
        <v>4810</v>
      </c>
    </row>
    <row r="22" spans="2:4" x14ac:dyDescent="0.4">
      <c r="B22" s="2433"/>
      <c r="C22" s="58" t="s">
        <v>107</v>
      </c>
      <c r="D22" s="55" t="s">
        <v>4810</v>
      </c>
    </row>
    <row r="23" spans="2:4" x14ac:dyDescent="0.4">
      <c r="B23" s="2425" t="s">
        <v>109</v>
      </c>
      <c r="C23" s="2425"/>
      <c r="D23" s="49" t="s">
        <v>143</v>
      </c>
    </row>
    <row r="24" spans="2:4" ht="56.25" x14ac:dyDescent="0.4">
      <c r="B24" s="2425" t="s">
        <v>111</v>
      </c>
      <c r="C24" s="2425"/>
      <c r="D24" s="49" t="s">
        <v>4911</v>
      </c>
    </row>
    <row r="25" spans="2:4" x14ac:dyDescent="0.4">
      <c r="B25" s="2425" t="s">
        <v>113</v>
      </c>
      <c r="C25" s="2425"/>
      <c r="D25" s="55" t="s">
        <v>1701</v>
      </c>
    </row>
    <row r="26" spans="2:4" ht="15" customHeight="1"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thickBot="1" x14ac:dyDescent="0.45">
      <c r="B31" s="3375" t="s">
        <v>121</v>
      </c>
      <c r="C31" s="3375"/>
      <c r="D31" s="3375"/>
    </row>
    <row r="32" spans="2:4" x14ac:dyDescent="0.4">
      <c r="B32" s="3373" t="s">
        <v>122</v>
      </c>
      <c r="C32" s="3374"/>
      <c r="D32" s="1287" t="s">
        <v>4814</v>
      </c>
    </row>
    <row r="33" spans="2:4" x14ac:dyDescent="0.4">
      <c r="B33" s="3370" t="s">
        <v>124</v>
      </c>
      <c r="C33" s="2428"/>
      <c r="D33" s="1288" t="s">
        <v>4815</v>
      </c>
    </row>
    <row r="34" spans="2:4" x14ac:dyDescent="0.4">
      <c r="B34" s="3370" t="s">
        <v>126</v>
      </c>
      <c r="C34" s="2428"/>
      <c r="D34" s="1288" t="s">
        <v>3388</v>
      </c>
    </row>
    <row r="35" spans="2:4" x14ac:dyDescent="0.4">
      <c r="B35" s="3370" t="s">
        <v>128</v>
      </c>
      <c r="C35" s="2428"/>
      <c r="D35" s="50" t="s">
        <v>4816</v>
      </c>
    </row>
    <row r="36" spans="2:4" ht="19.5" thickBot="1" x14ac:dyDescent="0.45">
      <c r="B36" s="3371" t="s">
        <v>130</v>
      </c>
      <c r="C36" s="3372"/>
      <c r="D36" s="1289" t="s">
        <v>3397</v>
      </c>
    </row>
    <row r="37" spans="2:4" x14ac:dyDescent="0.4">
      <c r="B37" s="3373" t="s">
        <v>122</v>
      </c>
      <c r="C37" s="3374"/>
      <c r="D37" s="1287" t="s">
        <v>4817</v>
      </c>
    </row>
    <row r="38" spans="2:4" x14ac:dyDescent="0.4">
      <c r="B38" s="3370" t="s">
        <v>124</v>
      </c>
      <c r="C38" s="2428"/>
      <c r="D38" s="1288" t="s">
        <v>3387</v>
      </c>
    </row>
    <row r="39" spans="2:4" x14ac:dyDescent="0.4">
      <c r="B39" s="3370" t="s">
        <v>126</v>
      </c>
      <c r="C39" s="2428"/>
      <c r="D39" s="1288" t="s">
        <v>3388</v>
      </c>
    </row>
    <row r="40" spans="2:4" x14ac:dyDescent="0.4">
      <c r="B40" s="3370" t="s">
        <v>128</v>
      </c>
      <c r="C40" s="2428"/>
      <c r="D40" s="1288" t="s">
        <v>4818</v>
      </c>
    </row>
    <row r="41" spans="2:4" ht="19.5" thickBot="1" x14ac:dyDescent="0.45">
      <c r="B41" s="3371" t="s">
        <v>130</v>
      </c>
      <c r="C41" s="3372"/>
      <c r="D41" s="1289" t="s">
        <v>3393</v>
      </c>
    </row>
    <row r="42" spans="2:4" x14ac:dyDescent="0.4">
      <c r="B42" s="3373" t="s">
        <v>122</v>
      </c>
      <c r="C42" s="3374"/>
      <c r="D42" s="1287" t="s">
        <v>4819</v>
      </c>
    </row>
    <row r="43" spans="2:4" x14ac:dyDescent="0.4">
      <c r="B43" s="3370" t="s">
        <v>124</v>
      </c>
      <c r="C43" s="2428"/>
      <c r="D43" s="1288" t="s">
        <v>3387</v>
      </c>
    </row>
    <row r="44" spans="2:4" x14ac:dyDescent="0.4">
      <c r="B44" s="3370" t="s">
        <v>126</v>
      </c>
      <c r="C44" s="2428"/>
      <c r="D44" s="1288" t="s">
        <v>3388</v>
      </c>
    </row>
    <row r="45" spans="2:4" x14ac:dyDescent="0.4">
      <c r="B45" s="3370" t="s">
        <v>128</v>
      </c>
      <c r="C45" s="2428"/>
      <c r="D45" s="1288" t="s">
        <v>4820</v>
      </c>
    </row>
    <row r="46" spans="2:4" ht="19.5" thickBot="1" x14ac:dyDescent="0.45">
      <c r="B46" s="3371" t="s">
        <v>130</v>
      </c>
      <c r="C46" s="3372"/>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D85DB06C-CB9E-40ED-A3AB-24044A6B45B9}">
      <formula1>Tipo_operación</formula1>
    </dataValidation>
    <dataValidation type="list" allowBlank="1" showInputMessage="1" showErrorMessage="1" sqref="D14" xr:uid="{84948023-A378-427C-8681-63005124C4D9}">
      <formula1>Tipo_indicador</formula1>
    </dataValidation>
    <dataValidation type="list" allowBlank="1" showInputMessage="1" showErrorMessage="1" sqref="D7" xr:uid="{51477C60-19BC-4701-AC67-30BA0E8B7331}">
      <formula1>Nombre_indicador_ODS</formula1>
    </dataValidation>
    <dataValidation type="list" allowBlank="1" showInputMessage="1" showErrorMessage="1" sqref="D6" xr:uid="{216EC1F8-8392-49BE-949D-7991E2E66328}">
      <formula1>Numero_indicador</formula1>
    </dataValidation>
    <dataValidation type="list" allowBlank="1" showInputMessage="1" showErrorMessage="1" sqref="D5" xr:uid="{E793C24D-2EAB-4D0F-BE69-669EC432A92F}">
      <formula1>Metas_ODS</formula1>
    </dataValidation>
    <dataValidation type="list" allowBlank="1" showInputMessage="1" showErrorMessage="1" sqref="D4" xr:uid="{1B139744-119A-4F29-A4FE-5DE33DB440A4}">
      <formula1>ODS</formula1>
    </dataValidation>
    <dataValidation allowBlank="1" showDropDown="1" showInputMessage="1" showErrorMessage="1" sqref="D13" xr:uid="{8480C3BC-6A2B-4C8B-8D3F-31DE3ED880FF}"/>
  </dataValidations>
  <hyperlinks>
    <hyperlink ref="B1" location="'12.a.1'!A1" display="REGRESAR" xr:uid="{61385E17-BAFE-4223-895E-A42C793AD57B}"/>
    <hyperlink ref="D8" r:id="rId1" xr:uid="{7CB20AA9-9CAD-46A1-B1A7-CC5CE0A9D532}"/>
    <hyperlink ref="D41" r:id="rId2" display="alvaradoqi@bccr.fi.cr" xr:uid="{8F538038-0A04-427E-87C1-B6330732E13A}"/>
    <hyperlink ref="D36" r:id="rId3" xr:uid="{331AD4CB-2866-424F-BFC8-052D8A7EE51B}"/>
    <hyperlink ref="D46" r:id="rId4" display="rodriguezzm@bccr.fi.cr" xr:uid="{F15075A2-1813-45ED-81AF-55BDE93AEED6}"/>
  </hyperlinks>
  <pageMargins left="0.7" right="0.7" top="0.75" bottom="0.75" header="0.3" footer="0.3"/>
  <pageSetup orientation="portrait" r:id="rId5"/>
  <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A7E6-322F-414E-B885-47195E8C1530}">
  <dimension ref="A1:R20"/>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2.28515625" style="1048" customWidth="1"/>
    <col min="4" max="4" width="16.42578125" style="115" customWidth="1"/>
    <col min="5" max="5" width="12.28515625" style="115" customWidth="1"/>
    <col min="6" max="16384" width="11.42578125" style="115"/>
  </cols>
  <sheetData>
    <row r="1" spans="1:18" x14ac:dyDescent="0.4">
      <c r="A1" s="90" t="s">
        <v>39</v>
      </c>
      <c r="B1" s="1311"/>
      <c r="C1" s="2541" t="s">
        <v>149</v>
      </c>
      <c r="D1" s="2541"/>
    </row>
    <row r="3" spans="1:18" ht="16.149999999999999" customHeight="1" x14ac:dyDescent="0.4">
      <c r="A3" s="3315" t="s">
        <v>41</v>
      </c>
      <c r="B3" s="3315"/>
      <c r="C3" s="3315" t="s">
        <v>6140</v>
      </c>
      <c r="D3" s="3315"/>
      <c r="E3" s="3315"/>
      <c r="F3" s="3315"/>
      <c r="G3" s="3315"/>
      <c r="H3" s="3315"/>
      <c r="I3" s="3315"/>
      <c r="J3" s="3315"/>
      <c r="K3" s="3315"/>
      <c r="L3" s="3315"/>
      <c r="M3" s="3315"/>
      <c r="N3" s="3315"/>
      <c r="O3" s="3315"/>
      <c r="P3" s="3315"/>
      <c r="Q3" s="3315"/>
      <c r="R3" s="3315"/>
    </row>
    <row r="4" spans="1:18" ht="20.45" customHeight="1" x14ac:dyDescent="0.4">
      <c r="A4" s="3315" t="s">
        <v>42</v>
      </c>
      <c r="B4" s="3316"/>
      <c r="C4" s="3340" t="s">
        <v>6172</v>
      </c>
      <c r="D4" s="3341"/>
      <c r="E4" s="3341"/>
      <c r="F4" s="3341"/>
      <c r="G4" s="3341"/>
      <c r="H4" s="3341"/>
      <c r="I4" s="3341"/>
      <c r="J4" s="3341"/>
      <c r="K4" s="3341"/>
      <c r="L4" s="3341"/>
      <c r="M4" s="3341"/>
      <c r="N4" s="3341"/>
      <c r="O4" s="3341"/>
      <c r="P4" s="3341"/>
      <c r="Q4" s="3341"/>
      <c r="R4" s="3341"/>
    </row>
    <row r="5" spans="1:18" ht="19.899999999999999" customHeight="1" x14ac:dyDescent="0.4">
      <c r="A5" s="3315" t="s">
        <v>43</v>
      </c>
      <c r="B5" s="3316"/>
      <c r="C5" s="3340" t="s">
        <v>6174</v>
      </c>
      <c r="D5" s="3341"/>
      <c r="E5" s="3341"/>
      <c r="F5" s="3341"/>
      <c r="G5" s="3341"/>
      <c r="H5" s="3341"/>
      <c r="I5" s="3341"/>
      <c r="J5" s="3341"/>
      <c r="K5" s="3341"/>
      <c r="L5" s="3341"/>
      <c r="M5" s="3341"/>
      <c r="N5" s="3341"/>
      <c r="O5" s="3341"/>
      <c r="P5" s="3341"/>
      <c r="Q5" s="3341"/>
      <c r="R5" s="3341"/>
    </row>
    <row r="6" spans="1:18" ht="15" customHeight="1" x14ac:dyDescent="0.4">
      <c r="A6" s="3315" t="s">
        <v>132</v>
      </c>
      <c r="B6" s="3316"/>
      <c r="C6" s="3315" t="s">
        <v>6661</v>
      </c>
      <c r="D6" s="3316"/>
      <c r="E6" s="3316"/>
      <c r="F6" s="3316"/>
      <c r="G6" s="3316"/>
      <c r="H6" s="3316"/>
      <c r="I6" s="3316"/>
      <c r="J6" s="3316"/>
      <c r="K6" s="3316"/>
      <c r="L6" s="3316"/>
      <c r="M6" s="3316"/>
      <c r="N6" s="3316"/>
      <c r="O6" s="3316"/>
      <c r="P6" s="3316"/>
      <c r="Q6" s="3316"/>
      <c r="R6" s="3316"/>
    </row>
    <row r="7" spans="1:18" x14ac:dyDescent="0.4">
      <c r="A7" s="536"/>
    </row>
    <row r="8" spans="1:18" x14ac:dyDescent="0.4">
      <c r="A8" s="536"/>
    </row>
    <row r="9" spans="1:18" ht="19.5" x14ac:dyDescent="0.4">
      <c r="C9" s="24" t="s">
        <v>6662</v>
      </c>
      <c r="D9" s="24"/>
      <c r="H9" s="1311"/>
    </row>
    <row r="10" spans="1:18" ht="19.5" x14ac:dyDescent="0.4">
      <c r="C10" s="264" t="s">
        <v>6663</v>
      </c>
      <c r="D10" s="264"/>
      <c r="H10" s="1311"/>
    </row>
    <row r="11" spans="1:18" ht="19.5" x14ac:dyDescent="0.4">
      <c r="C11" s="264" t="s">
        <v>6664</v>
      </c>
      <c r="D11" s="264"/>
      <c r="H11" s="1311"/>
    </row>
    <row r="12" spans="1:18" ht="7.9" customHeight="1" x14ac:dyDescent="0.4">
      <c r="C12" s="1936"/>
      <c r="D12" s="1936"/>
    </row>
    <row r="13" spans="1:18" ht="16.899999999999999" customHeight="1" x14ac:dyDescent="0.4">
      <c r="A13" s="155"/>
      <c r="B13" s="155"/>
      <c r="C13" s="1786" t="s">
        <v>247</v>
      </c>
      <c r="D13" s="1786" t="s">
        <v>47</v>
      </c>
      <c r="E13" s="155"/>
      <c r="F13" s="155"/>
      <c r="G13" s="155"/>
      <c r="H13" s="155"/>
      <c r="I13" s="155"/>
      <c r="J13" s="155"/>
    </row>
    <row r="14" spans="1:18" ht="12.75" customHeight="1" x14ac:dyDescent="0.4">
      <c r="A14" s="155"/>
      <c r="B14" s="155"/>
      <c r="C14" s="545" t="s">
        <v>6665</v>
      </c>
      <c r="D14" s="232">
        <v>1</v>
      </c>
      <c r="E14" s="155"/>
      <c r="F14" s="155"/>
      <c r="G14" s="155"/>
      <c r="H14" s="155"/>
      <c r="I14" s="155"/>
      <c r="J14" s="155"/>
    </row>
    <row r="15" spans="1:18" x14ac:dyDescent="0.4">
      <c r="A15" s="155"/>
      <c r="B15" s="155"/>
      <c r="C15" s="545" t="s">
        <v>6666</v>
      </c>
      <c r="D15" s="232">
        <v>1</v>
      </c>
      <c r="E15" s="155"/>
      <c r="F15" s="155"/>
      <c r="G15" s="155"/>
      <c r="H15" s="155"/>
      <c r="I15" s="155"/>
      <c r="J15" s="155"/>
    </row>
    <row r="16" spans="1:18" x14ac:dyDescent="0.4">
      <c r="A16" s="155"/>
      <c r="B16" s="155"/>
      <c r="C16" s="629" t="s">
        <v>6667</v>
      </c>
      <c r="D16" s="629"/>
      <c r="E16" s="155"/>
      <c r="F16" s="155"/>
      <c r="G16" s="155"/>
      <c r="H16" s="155"/>
      <c r="I16" s="155"/>
      <c r="J16" s="155"/>
    </row>
    <row r="17" spans="1:10" x14ac:dyDescent="0.4">
      <c r="A17" s="155"/>
      <c r="B17" s="155"/>
      <c r="C17" s="1938" t="s">
        <v>6668</v>
      </c>
      <c r="D17" s="155"/>
      <c r="E17" s="155"/>
      <c r="F17" s="155"/>
      <c r="G17" s="155"/>
      <c r="H17" s="155"/>
      <c r="I17" s="155"/>
      <c r="J17" s="155"/>
    </row>
    <row r="18" spans="1:10" x14ac:dyDescent="0.4">
      <c r="C18" s="1939" t="s">
        <v>6669</v>
      </c>
      <c r="D18" s="1939"/>
    </row>
    <row r="19" spans="1:10" x14ac:dyDescent="0.4">
      <c r="A19" s="155"/>
      <c r="B19" s="155"/>
      <c r="C19" s="155" t="s">
        <v>6670</v>
      </c>
      <c r="D19" s="155"/>
      <c r="E19" s="155"/>
      <c r="F19" s="155"/>
      <c r="G19" s="155"/>
      <c r="H19" s="155"/>
      <c r="I19" s="155"/>
      <c r="J19" s="155"/>
    </row>
    <row r="20" spans="1:10" ht="19.5" customHeight="1" x14ac:dyDescent="0.4">
      <c r="C20" s="115"/>
    </row>
  </sheetData>
  <mergeCells count="9">
    <mergeCell ref="A6:B6"/>
    <mergeCell ref="C6:R6"/>
    <mergeCell ref="C1:D1"/>
    <mergeCell ref="A3:B3"/>
    <mergeCell ref="C3:R3"/>
    <mergeCell ref="A4:B4"/>
    <mergeCell ref="C4:R4"/>
    <mergeCell ref="A5:B5"/>
    <mergeCell ref="C5:R5"/>
  </mergeCells>
  <hyperlinks>
    <hyperlink ref="A1" location="'ODS 12.'!A1" display="REGRESAR" xr:uid="{57F6608B-A611-4089-993E-E8F4DA782904}"/>
    <hyperlink ref="C1:D1" location="'Metadato 12.b.1'!A1" display="VER METADATO" xr:uid="{F4CC7AC6-5D62-4916-B745-2E49F2EE1C58}"/>
    <hyperlink ref="C17" r:id="rId1" xr:uid="{53D96772-56E0-4F08-ACBD-571CDCC54B7E}"/>
    <hyperlink ref="C18" r:id="rId2" display="https://www.ict.go.cr/pdf/Plan nacional de turismo 2022-2027.pdf" xr:uid="{1A4E0B6E-E0C2-4EDA-8937-0AAB5D5DE939}"/>
  </hyperlinks>
  <pageMargins left="0.7" right="0.7" top="0.75" bottom="0.75" header="0.3" footer="0.3"/>
  <drawing r:id="rId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5180D-8549-4AC4-AF2E-113314590681}">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265</v>
      </c>
    </row>
    <row r="4" spans="1:6" x14ac:dyDescent="0.4">
      <c r="A4" s="283"/>
      <c r="B4" s="2425" t="s">
        <v>234</v>
      </c>
      <c r="C4" s="2425"/>
      <c r="D4" s="49" t="s">
        <v>6179</v>
      </c>
    </row>
    <row r="5" spans="1:6" ht="37.5" x14ac:dyDescent="0.4">
      <c r="B5" s="2425" t="s">
        <v>79</v>
      </c>
      <c r="C5" s="2425"/>
      <c r="D5" s="49" t="s">
        <v>6172</v>
      </c>
    </row>
    <row r="6" spans="1:6" x14ac:dyDescent="0.4">
      <c r="B6" s="2425" t="s">
        <v>80</v>
      </c>
      <c r="C6" s="2425"/>
      <c r="D6" s="50" t="s">
        <v>6173</v>
      </c>
    </row>
    <row r="7" spans="1:6" ht="37.5" x14ac:dyDescent="0.4">
      <c r="B7" s="2426" t="s">
        <v>81</v>
      </c>
      <c r="C7" s="2426"/>
      <c r="D7" s="93" t="s">
        <v>6174</v>
      </c>
    </row>
    <row r="8" spans="1:6" x14ac:dyDescent="0.4">
      <c r="B8" s="2426" t="s">
        <v>82</v>
      </c>
      <c r="C8" s="2426"/>
      <c r="D8" s="1047" t="s">
        <v>353</v>
      </c>
    </row>
    <row r="10" spans="1:6" ht="23.25" customHeight="1" x14ac:dyDescent="0.4">
      <c r="B10" s="3314" t="s">
        <v>85</v>
      </c>
      <c r="C10" s="3314"/>
      <c r="D10" s="3314"/>
    </row>
    <row r="11" spans="1:6" x14ac:dyDescent="0.4">
      <c r="B11" s="2427" t="s">
        <v>86</v>
      </c>
      <c r="C11" s="2428"/>
      <c r="D11" s="49"/>
    </row>
    <row r="12" spans="1:6" ht="32.25" customHeight="1" x14ac:dyDescent="0.4">
      <c r="B12" s="2426" t="s">
        <v>88</v>
      </c>
      <c r="C12" s="2426"/>
      <c r="D12" s="184" t="s">
        <v>6671</v>
      </c>
    </row>
    <row r="13" spans="1:6" x14ac:dyDescent="0.4">
      <c r="B13" s="2425" t="s">
        <v>90</v>
      </c>
      <c r="C13" s="2425"/>
      <c r="D13" s="54" t="s">
        <v>6173</v>
      </c>
    </row>
    <row r="14" spans="1:6" x14ac:dyDescent="0.4">
      <c r="B14" s="2425" t="s">
        <v>91</v>
      </c>
      <c r="C14" s="2428"/>
      <c r="D14" s="54" t="s">
        <v>92</v>
      </c>
    </row>
    <row r="15" spans="1:6" ht="37.5" x14ac:dyDescent="0.4">
      <c r="B15" s="2425" t="s">
        <v>93</v>
      </c>
      <c r="C15" s="2425"/>
      <c r="D15" s="49" t="s">
        <v>6672</v>
      </c>
    </row>
    <row r="16" spans="1:6" x14ac:dyDescent="0.4">
      <c r="B16" s="2425" t="s">
        <v>95</v>
      </c>
      <c r="C16" s="2425"/>
      <c r="D16" s="49" t="s">
        <v>6270</v>
      </c>
    </row>
    <row r="17" spans="2:4" x14ac:dyDescent="0.4">
      <c r="B17" s="2425" t="s">
        <v>97</v>
      </c>
      <c r="C17" s="2425"/>
      <c r="D17" s="55" t="s">
        <v>259</v>
      </c>
    </row>
    <row r="18" spans="2:4" ht="56.25" x14ac:dyDescent="0.4">
      <c r="B18" s="2426" t="s">
        <v>99</v>
      </c>
      <c r="C18" s="2426"/>
      <c r="D18" s="49" t="s">
        <v>6673</v>
      </c>
    </row>
    <row r="19" spans="2:4" ht="15" customHeight="1" x14ac:dyDescent="0.4">
      <c r="B19" s="2435" t="s">
        <v>100</v>
      </c>
      <c r="C19" s="2436"/>
      <c r="D19" s="55" t="s">
        <v>1581</v>
      </c>
    </row>
    <row r="20" spans="2:4" x14ac:dyDescent="0.4">
      <c r="B20" s="2425" t="s">
        <v>102</v>
      </c>
      <c r="C20" s="2425"/>
      <c r="D20" s="49" t="s">
        <v>140</v>
      </c>
    </row>
    <row r="21" spans="2:4" x14ac:dyDescent="0.4">
      <c r="B21" s="2432" t="s">
        <v>104</v>
      </c>
      <c r="C21" s="57" t="s">
        <v>105</v>
      </c>
      <c r="D21" s="49"/>
    </row>
    <row r="22" spans="2:4" x14ac:dyDescent="0.4">
      <c r="B22" s="2433"/>
      <c r="C22" s="58" t="s">
        <v>107</v>
      </c>
      <c r="D22" s="55"/>
    </row>
    <row r="23" spans="2:4" x14ac:dyDescent="0.4">
      <c r="B23" s="2425" t="s">
        <v>109</v>
      </c>
      <c r="C23" s="2425"/>
      <c r="D23" s="49" t="s">
        <v>6674</v>
      </c>
    </row>
    <row r="24" spans="2:4" x14ac:dyDescent="0.4">
      <c r="B24" s="2425" t="s">
        <v>111</v>
      </c>
      <c r="C24" s="2425"/>
      <c r="D24" s="49" t="s">
        <v>6675</v>
      </c>
    </row>
    <row r="25" spans="2:4" x14ac:dyDescent="0.4">
      <c r="B25" s="2425" t="s">
        <v>113</v>
      </c>
      <c r="C25" s="2425"/>
      <c r="D25" s="55" t="s">
        <v>1701</v>
      </c>
    </row>
    <row r="26" spans="2:4" ht="15" customHeight="1" x14ac:dyDescent="0.4">
      <c r="B26" s="2426" t="s">
        <v>115</v>
      </c>
      <c r="C26" s="2426"/>
      <c r="D26" s="49" t="s">
        <v>1581</v>
      </c>
    </row>
    <row r="27" spans="2:4" ht="37.5" x14ac:dyDescent="0.4">
      <c r="B27" s="2427" t="s">
        <v>117</v>
      </c>
      <c r="C27" s="2428"/>
      <c r="D27" s="49" t="s">
        <v>6676</v>
      </c>
    </row>
    <row r="28" spans="2:4" x14ac:dyDescent="0.4">
      <c r="B28" s="60" t="s">
        <v>118</v>
      </c>
      <c r="C28" s="61"/>
      <c r="D28" s="49"/>
    </row>
    <row r="29" spans="2:4" x14ac:dyDescent="0.4">
      <c r="B29" s="2429" t="s">
        <v>120</v>
      </c>
      <c r="C29" s="2430"/>
      <c r="D29" s="1525" t="s">
        <v>6677</v>
      </c>
    </row>
    <row r="30" spans="2:4" x14ac:dyDescent="0.4">
      <c r="B30" s="63"/>
      <c r="C30" s="63"/>
      <c r="D30" s="64"/>
    </row>
    <row r="31" spans="2:4" ht="23.25" customHeight="1" x14ac:dyDescent="0.4">
      <c r="B31" s="3314" t="s">
        <v>121</v>
      </c>
      <c r="C31" s="3314"/>
      <c r="D31" s="3314"/>
    </row>
    <row r="32" spans="2:4" x14ac:dyDescent="0.4">
      <c r="B32" s="2427" t="s">
        <v>122</v>
      </c>
      <c r="C32" s="2428"/>
      <c r="D32" s="826" t="s">
        <v>6678</v>
      </c>
    </row>
    <row r="33" spans="2:4" x14ac:dyDescent="0.4">
      <c r="B33" s="2427" t="s">
        <v>124</v>
      </c>
      <c r="C33" s="2428"/>
      <c r="D33" s="826" t="s">
        <v>6679</v>
      </c>
    </row>
    <row r="34" spans="2:4" x14ac:dyDescent="0.4">
      <c r="B34" s="2427" t="s">
        <v>126</v>
      </c>
      <c r="C34" s="2428"/>
      <c r="D34" s="826" t="s">
        <v>6675</v>
      </c>
    </row>
    <row r="35" spans="2:4" x14ac:dyDescent="0.4">
      <c r="B35" s="2427" t="s">
        <v>128</v>
      </c>
      <c r="C35" s="2428"/>
      <c r="D35" s="826" t="s">
        <v>6680</v>
      </c>
    </row>
    <row r="36" spans="2:4" x14ac:dyDescent="0.4">
      <c r="B36" s="2427" t="s">
        <v>130</v>
      </c>
      <c r="C36" s="2428"/>
      <c r="D36" s="1667" t="s">
        <v>6681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27E36591-13FC-4C9E-A8DB-EF6025E3B31F}"/>
    <dataValidation type="list" allowBlank="1" showInputMessage="1" showErrorMessage="1" sqref="D4" xr:uid="{B8AE7341-8678-43A9-B980-E14D561FF141}">
      <formula1>ODS</formula1>
    </dataValidation>
    <dataValidation type="list" allowBlank="1" showInputMessage="1" showErrorMessage="1" sqref="D5" xr:uid="{AA53736D-3DD7-424D-BC51-DE5E6B712451}">
      <formula1>Metas_ODS</formula1>
    </dataValidation>
    <dataValidation type="list" allowBlank="1" showInputMessage="1" showErrorMessage="1" sqref="D6" xr:uid="{787163AC-AF60-48CD-A1A1-7410CD91633E}">
      <formula1>Numero_indicador</formula1>
    </dataValidation>
    <dataValidation type="list" allowBlank="1" showInputMessage="1" showErrorMessage="1" sqref="D7" xr:uid="{068FB0FB-D727-4C5B-A1A1-843A48312395}">
      <formula1>Nombre_indicador_ODS</formula1>
    </dataValidation>
    <dataValidation type="list" allowBlank="1" showInputMessage="1" showErrorMessage="1" sqref="D14" xr:uid="{978A4C46-F089-4951-8F71-912968DEE81D}">
      <formula1>Tipo_indicador</formula1>
    </dataValidation>
    <dataValidation type="list" allowBlank="1" showInputMessage="1" showErrorMessage="1" sqref="D25" xr:uid="{4D79B7F3-E2FE-4309-9E5F-07A7769D9C54}">
      <formula1>Tipo_operación</formula1>
    </dataValidation>
  </dataValidations>
  <hyperlinks>
    <hyperlink ref="B1" location="'12.b.1'!A1" display="REGRESAR" xr:uid="{D3B7AD86-7FED-4DE7-B996-0BC7DB780A49}"/>
    <hyperlink ref="D8" r:id="rId1" xr:uid="{5F7C07AF-B0AB-4D08-B72E-3B54CA21F14F}"/>
    <hyperlink ref="D36" r:id="rId2" xr:uid="{D09033C2-D235-44CD-92CF-0E67E283107B}"/>
    <hyperlink ref="D29" r:id="rId3" xr:uid="{2E113CCC-08FE-4AF5-A2EF-8B49B389CC99}"/>
  </hyperlinks>
  <pageMargins left="0.7" right="0.7" top="0.75" bottom="0.75" header="0.3" footer="0.3"/>
  <pageSetup orientation="portrait" r:id="rId4"/>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A19C-8F55-48F1-A712-27BAF3B28009}">
  <dimension ref="A1:O17"/>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5.5703125" style="115" customWidth="1"/>
    <col min="3" max="3" width="60.42578125" style="1048" customWidth="1"/>
    <col min="4" max="10" width="12.7109375" style="115" customWidth="1"/>
    <col min="11" max="16384" width="11.42578125" style="115"/>
  </cols>
  <sheetData>
    <row r="1" spans="1:15" x14ac:dyDescent="0.4">
      <c r="A1" s="90" t="s">
        <v>39</v>
      </c>
      <c r="B1" s="1311"/>
      <c r="C1" s="2541" t="s">
        <v>149</v>
      </c>
      <c r="D1" s="2541"/>
    </row>
    <row r="3" spans="1:15" ht="18" customHeight="1" x14ac:dyDescent="0.4">
      <c r="A3" s="3315" t="s">
        <v>41</v>
      </c>
      <c r="B3" s="3315"/>
      <c r="C3" s="3315" t="s">
        <v>6140</v>
      </c>
      <c r="D3" s="3315"/>
      <c r="E3" s="3315"/>
      <c r="F3" s="3315"/>
      <c r="G3" s="3315"/>
      <c r="H3" s="3315"/>
      <c r="I3" s="3315"/>
      <c r="J3" s="3315"/>
      <c r="K3" s="3315"/>
      <c r="L3" s="3315"/>
      <c r="M3" s="3315"/>
      <c r="N3" s="3315"/>
      <c r="O3" s="3315"/>
    </row>
    <row r="4" spans="1:15" ht="54.6" customHeight="1" x14ac:dyDescent="0.4">
      <c r="A4" s="3315" t="s">
        <v>42</v>
      </c>
      <c r="B4" s="3316"/>
      <c r="C4" s="3340" t="s">
        <v>6175</v>
      </c>
      <c r="D4" s="3341"/>
      <c r="E4" s="3341"/>
      <c r="F4" s="3341"/>
      <c r="G4" s="3341"/>
      <c r="H4" s="3341"/>
      <c r="I4" s="3341"/>
      <c r="J4" s="3341"/>
      <c r="K4" s="3341"/>
      <c r="L4" s="3341"/>
      <c r="M4" s="3341"/>
      <c r="N4" s="3341"/>
      <c r="O4" s="3341"/>
    </row>
    <row r="5" spans="1:15" ht="16.899999999999999" customHeight="1" x14ac:dyDescent="0.4">
      <c r="A5" s="3315" t="s">
        <v>43</v>
      </c>
      <c r="B5" s="3316"/>
      <c r="C5" s="3340" t="s">
        <v>6682</v>
      </c>
      <c r="D5" s="3341"/>
      <c r="E5" s="3341"/>
      <c r="F5" s="3341"/>
      <c r="G5" s="3341"/>
      <c r="H5" s="3341"/>
      <c r="I5" s="3341"/>
      <c r="J5" s="3341"/>
      <c r="K5" s="3341"/>
      <c r="L5" s="3341"/>
      <c r="M5" s="3341"/>
      <c r="N5" s="3341"/>
      <c r="O5" s="3341"/>
    </row>
    <row r="6" spans="1:15" ht="18" customHeight="1" x14ac:dyDescent="0.4">
      <c r="A6" s="3315" t="s">
        <v>132</v>
      </c>
      <c r="B6" s="3316"/>
      <c r="C6" s="3315" t="s">
        <v>6683</v>
      </c>
      <c r="D6" s="3316"/>
      <c r="E6" s="3316"/>
      <c r="F6" s="3316"/>
      <c r="G6" s="3316"/>
      <c r="H6" s="3316"/>
      <c r="I6" s="3316"/>
      <c r="J6" s="3316"/>
      <c r="K6" s="3316"/>
      <c r="L6" s="3316"/>
      <c r="M6" s="3316"/>
      <c r="N6" s="3316"/>
      <c r="O6" s="3316"/>
    </row>
    <row r="7" spans="1:15" x14ac:dyDescent="0.4">
      <c r="A7" s="536"/>
    </row>
    <row r="8" spans="1:15" x14ac:dyDescent="0.4">
      <c r="A8" s="536"/>
    </row>
    <row r="9" spans="1:15" ht="19.5" x14ac:dyDescent="0.4">
      <c r="A9" s="536"/>
      <c r="C9" s="800" t="s">
        <v>6683</v>
      </c>
      <c r="D9" s="800"/>
      <c r="E9" s="1032"/>
      <c r="F9" s="1032"/>
      <c r="G9" s="1032"/>
      <c r="H9" s="1032"/>
      <c r="I9" s="1032"/>
      <c r="J9" s="1032"/>
    </row>
    <row r="10" spans="1:15" ht="19.5" x14ac:dyDescent="0.4">
      <c r="A10" s="536"/>
      <c r="C10" s="1057" t="s">
        <v>6684</v>
      </c>
      <c r="D10" s="187"/>
      <c r="E10" s="1940"/>
      <c r="F10" s="1940"/>
      <c r="G10" s="1940"/>
      <c r="H10" s="1940"/>
      <c r="I10" s="1940"/>
      <c r="J10" s="1940"/>
    </row>
    <row r="11" spans="1:15" ht="10.9" customHeight="1" x14ac:dyDescent="0.4">
      <c r="A11" s="536"/>
      <c r="C11" s="1941"/>
      <c r="D11" s="1941"/>
      <c r="E11" s="1942"/>
      <c r="F11" s="1942"/>
      <c r="G11" s="1942"/>
      <c r="H11" s="1942"/>
      <c r="I11" s="1942"/>
      <c r="J11" s="1942"/>
    </row>
    <row r="12" spans="1:15" x14ac:dyDescent="0.4">
      <c r="A12" s="536"/>
      <c r="C12" s="3345" t="s">
        <v>6685</v>
      </c>
      <c r="D12" s="3346" t="s">
        <v>46</v>
      </c>
      <c r="E12" s="3346"/>
      <c r="F12" s="3346"/>
      <c r="G12" s="3346"/>
      <c r="H12" s="3346"/>
      <c r="I12" s="3346"/>
      <c r="J12" s="3346"/>
    </row>
    <row r="13" spans="1:15" x14ac:dyDescent="0.4">
      <c r="A13" s="536"/>
      <c r="C13" s="3346"/>
      <c r="D13" s="1878">
        <v>2015</v>
      </c>
      <c r="E13" s="1878" t="s">
        <v>6686</v>
      </c>
      <c r="F13" s="1878" t="s">
        <v>6687</v>
      </c>
      <c r="G13" s="1878" t="s">
        <v>6688</v>
      </c>
      <c r="H13" s="1878" t="s">
        <v>6689</v>
      </c>
      <c r="I13" s="1878" t="s">
        <v>6690</v>
      </c>
      <c r="J13" s="1878" t="s">
        <v>6691</v>
      </c>
    </row>
    <row r="14" spans="1:15" x14ac:dyDescent="0.4">
      <c r="A14" s="536"/>
      <c r="C14" s="1048" t="s">
        <v>6692</v>
      </c>
      <c r="D14" s="1943">
        <v>0</v>
      </c>
      <c r="E14" s="1943">
        <v>58473.948986968797</v>
      </c>
      <c r="F14" s="1943">
        <v>58518.66624696384</v>
      </c>
      <c r="G14" s="1943">
        <v>58772.379874935781</v>
      </c>
      <c r="H14" s="1943">
        <v>60366.388544223868</v>
      </c>
      <c r="I14" s="1943">
        <v>44579.799836817096</v>
      </c>
      <c r="J14" s="1943">
        <v>53076.068246687559</v>
      </c>
    </row>
    <row r="15" spans="1:15" x14ac:dyDescent="0.4">
      <c r="A15" s="536"/>
      <c r="C15" s="1048" t="s">
        <v>6693</v>
      </c>
      <c r="D15" s="1943">
        <v>30171919</v>
      </c>
      <c r="E15" s="1943">
        <v>32056288</v>
      </c>
      <c r="F15" s="1943">
        <v>34343647</v>
      </c>
      <c r="G15" s="1943">
        <v>36014719</v>
      </c>
      <c r="H15" s="1943">
        <v>37832149.784087896</v>
      </c>
      <c r="I15" s="1943">
        <v>36356271.448320404</v>
      </c>
      <c r="J15" s="1943">
        <v>39993109.700000003</v>
      </c>
    </row>
    <row r="16" spans="1:15" ht="16.899999999999999" customHeight="1" x14ac:dyDescent="0.4">
      <c r="C16" s="1944" t="s">
        <v>6694</v>
      </c>
      <c r="D16" s="1945"/>
      <c r="E16" s="1945">
        <f t="shared" ref="E16:J16" si="0">+(E14/E15)*100</f>
        <v>0.18241023098796966</v>
      </c>
      <c r="F16" s="1945">
        <f t="shared" si="0"/>
        <v>0.17039153193882944</v>
      </c>
      <c r="G16" s="1945">
        <f t="shared" si="0"/>
        <v>0.16318988876446816</v>
      </c>
      <c r="H16" s="1945">
        <f t="shared" si="0"/>
        <v>0.15956372791062962</v>
      </c>
      <c r="I16" s="1945">
        <f t="shared" si="0"/>
        <v>0.12261928426897747</v>
      </c>
      <c r="J16" s="1945">
        <f t="shared" si="0"/>
        <v>0.13271303143173074</v>
      </c>
    </row>
    <row r="17" spans="3:3" x14ac:dyDescent="0.4">
      <c r="C17" s="115" t="s">
        <v>6695</v>
      </c>
    </row>
  </sheetData>
  <mergeCells count="11">
    <mergeCell ref="A6:B6"/>
    <mergeCell ref="C6:O6"/>
    <mergeCell ref="C12:C13"/>
    <mergeCell ref="D12:J12"/>
    <mergeCell ref="C1:D1"/>
    <mergeCell ref="A3:B3"/>
    <mergeCell ref="C3:O3"/>
    <mergeCell ref="A4:B4"/>
    <mergeCell ref="C4:O4"/>
    <mergeCell ref="A5:B5"/>
    <mergeCell ref="C5:O5"/>
  </mergeCells>
  <hyperlinks>
    <hyperlink ref="A1" location="'ODS 12.'!A1" display="REGRESAR" xr:uid="{5CE479AD-A458-4333-98DC-B1F163D32BEA}"/>
    <hyperlink ref="C1:D1" location="'Metadato 12.c.1'!A1" display="VER METADATO" xr:uid="{7F78BBEB-314F-4DD1-970E-BAA821130136}"/>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AA43-A54B-4BF8-AA25-A234E45876DA}">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314" t="s">
        <v>75</v>
      </c>
      <c r="C3" s="3314"/>
      <c r="D3" s="3314"/>
      <c r="F3" s="1046" t="s">
        <v>244</v>
      </c>
    </row>
    <row r="4" spans="1:6" x14ac:dyDescent="0.4">
      <c r="A4" s="283"/>
      <c r="B4" s="2425" t="s">
        <v>234</v>
      </c>
      <c r="C4" s="2425"/>
      <c r="D4" s="49" t="s">
        <v>6179</v>
      </c>
    </row>
    <row r="5" spans="1:6" ht="91.15" customHeight="1" x14ac:dyDescent="0.4">
      <c r="B5" s="2425" t="s">
        <v>79</v>
      </c>
      <c r="C5" s="2425"/>
      <c r="D5" s="49" t="s">
        <v>6175</v>
      </c>
    </row>
    <row r="6" spans="1:6" x14ac:dyDescent="0.4">
      <c r="B6" s="2425" t="s">
        <v>80</v>
      </c>
      <c r="C6" s="2425"/>
      <c r="D6" s="50" t="s">
        <v>6176</v>
      </c>
    </row>
    <row r="7" spans="1:6" ht="37.5" x14ac:dyDescent="0.4">
      <c r="B7" s="2426" t="s">
        <v>81</v>
      </c>
      <c r="C7" s="2426"/>
      <c r="D7" s="93" t="s">
        <v>6177</v>
      </c>
    </row>
    <row r="8" spans="1:6" x14ac:dyDescent="0.4">
      <c r="B8" s="2426" t="s">
        <v>210</v>
      </c>
      <c r="C8" s="2426"/>
      <c r="D8" s="1047" t="s">
        <v>6696</v>
      </c>
    </row>
    <row r="10" spans="1:6" ht="23.25" customHeight="1" x14ac:dyDescent="0.4">
      <c r="B10" s="3314" t="s">
        <v>85</v>
      </c>
      <c r="C10" s="3314"/>
      <c r="D10" s="3314"/>
    </row>
    <row r="11" spans="1:6" x14ac:dyDescent="0.4">
      <c r="B11" s="2427" t="s">
        <v>86</v>
      </c>
      <c r="C11" s="2428"/>
      <c r="D11" s="49"/>
    </row>
    <row r="12" spans="1:6" x14ac:dyDescent="0.4">
      <c r="B12" s="2426" t="s">
        <v>88</v>
      </c>
      <c r="C12" s="2426"/>
      <c r="D12" s="184" t="s">
        <v>6697</v>
      </c>
    </row>
    <row r="13" spans="1:6" x14ac:dyDescent="0.4">
      <c r="B13" s="2425" t="s">
        <v>90</v>
      </c>
      <c r="C13" s="2425"/>
      <c r="D13" s="54" t="s">
        <v>6176</v>
      </c>
    </row>
    <row r="14" spans="1:6" x14ac:dyDescent="0.4">
      <c r="B14" s="2425" t="s">
        <v>91</v>
      </c>
      <c r="C14" s="2428"/>
      <c r="D14" s="54" t="s">
        <v>92</v>
      </c>
    </row>
    <row r="15" spans="1:6" ht="324" customHeight="1" x14ac:dyDescent="0.4">
      <c r="B15" s="2425" t="s">
        <v>93</v>
      </c>
      <c r="C15" s="2425"/>
      <c r="D15" s="49" t="s">
        <v>6698</v>
      </c>
    </row>
    <row r="16" spans="1:6" x14ac:dyDescent="0.4">
      <c r="B16" s="2425" t="s">
        <v>95</v>
      </c>
      <c r="C16" s="2425"/>
      <c r="D16" s="49" t="s">
        <v>6699</v>
      </c>
    </row>
    <row r="17" spans="2:4" x14ac:dyDescent="0.4">
      <c r="B17" s="2425" t="s">
        <v>97</v>
      </c>
      <c r="C17" s="2425"/>
      <c r="D17" s="55" t="s">
        <v>6684</v>
      </c>
    </row>
    <row r="18" spans="2:4" x14ac:dyDescent="0.4">
      <c r="B18" s="2426" t="s">
        <v>99</v>
      </c>
      <c r="C18" s="2426"/>
      <c r="D18" s="49"/>
    </row>
    <row r="19" spans="2:4" ht="37.5" x14ac:dyDescent="0.4">
      <c r="B19" s="2435" t="s">
        <v>100</v>
      </c>
      <c r="C19" s="2436"/>
      <c r="D19" s="55" t="s">
        <v>6700</v>
      </c>
    </row>
    <row r="20" spans="2:4" x14ac:dyDescent="0.4">
      <c r="B20" s="2425" t="s">
        <v>102</v>
      </c>
      <c r="C20" s="2425"/>
      <c r="D20" s="49" t="s">
        <v>140</v>
      </c>
    </row>
    <row r="21" spans="2:4" x14ac:dyDescent="0.4">
      <c r="B21" s="2432" t="s">
        <v>104</v>
      </c>
      <c r="C21" s="57" t="s">
        <v>105</v>
      </c>
      <c r="D21" s="49"/>
    </row>
    <row r="22" spans="2:4" x14ac:dyDescent="0.4">
      <c r="B22" s="2433"/>
      <c r="C22" s="58" t="s">
        <v>107</v>
      </c>
      <c r="D22" s="55"/>
    </row>
    <row r="23" spans="2:4" x14ac:dyDescent="0.4">
      <c r="B23" s="2425" t="s">
        <v>109</v>
      </c>
      <c r="C23" s="2425"/>
      <c r="D23" s="49" t="s">
        <v>1717</v>
      </c>
    </row>
    <row r="24" spans="2:4" x14ac:dyDescent="0.4">
      <c r="B24" s="2425" t="s">
        <v>111</v>
      </c>
      <c r="C24" s="2425"/>
      <c r="D24" s="49"/>
    </row>
    <row r="25" spans="2:4" x14ac:dyDescent="0.4">
      <c r="B25" s="2425" t="s">
        <v>113</v>
      </c>
      <c r="C25" s="2425"/>
      <c r="D25" s="55" t="s">
        <v>220</v>
      </c>
    </row>
    <row r="26" spans="2:4" x14ac:dyDescent="0.4">
      <c r="B26" s="2426" t="s">
        <v>115</v>
      </c>
      <c r="C26" s="2426"/>
      <c r="D26" s="49" t="s">
        <v>515</v>
      </c>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14" t="s">
        <v>121</v>
      </c>
      <c r="C31" s="3314"/>
      <c r="D31" s="3314"/>
    </row>
    <row r="32" spans="2:4" x14ac:dyDescent="0.4">
      <c r="B32" s="2427" t="s">
        <v>122</v>
      </c>
      <c r="C32" s="2428"/>
      <c r="D32" s="55" t="s">
        <v>6701</v>
      </c>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173223D5-A82D-43B5-AEA4-BBA153907564}"/>
    <dataValidation type="list" allowBlank="1" showInputMessage="1" showErrorMessage="1" sqref="D4" xr:uid="{2D2541A5-1FFE-4FC6-9DCB-4267AA6D6EAC}">
      <formula1>ODS</formula1>
    </dataValidation>
    <dataValidation type="list" allowBlank="1" showInputMessage="1" showErrorMessage="1" sqref="D5" xr:uid="{7B92CD9D-0319-43D0-955E-9BE7C0FC5FAD}">
      <formula1>Metas_ODS</formula1>
    </dataValidation>
    <dataValidation type="list" allowBlank="1" showInputMessage="1" showErrorMessage="1" sqref="D6" xr:uid="{41953823-0636-4453-B27C-2F0CE5F683A1}">
      <formula1>Numero_indicador</formula1>
    </dataValidation>
    <dataValidation type="list" allowBlank="1" showInputMessage="1" showErrorMessage="1" sqref="D7" xr:uid="{AD8A07AF-3DA9-43F5-8D99-D6B7443054FA}">
      <formula1>Nombre_indicador_ODS</formula1>
    </dataValidation>
    <dataValidation type="list" allowBlank="1" showInputMessage="1" showErrorMessage="1" sqref="D14" xr:uid="{6C379250-3456-452A-8397-9670CD18C643}">
      <formula1>Tipo_indicador</formula1>
    </dataValidation>
    <dataValidation type="list" allowBlank="1" showInputMessage="1" showErrorMessage="1" sqref="D25" xr:uid="{01751210-FB0E-4A6B-AC69-186701D6F04E}">
      <formula1>Tipo_operación</formula1>
    </dataValidation>
  </dataValidations>
  <hyperlinks>
    <hyperlink ref="B1" location="'12.c.1'!A1" display="REGRESAR" xr:uid="{B4407086-49F3-4B57-8ED8-0D26E8BBB679}"/>
    <hyperlink ref="D8" r:id="rId1" xr:uid="{5AB7F082-D26E-4BB0-9982-56E305C51C0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0644-C325-4226-8EAF-C6207DB6B52A}">
  <sheetPr>
    <tabColor theme="5"/>
  </sheetPr>
  <dimension ref="A1:W19"/>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5.75" x14ac:dyDescent="0.25"/>
  <cols>
    <col min="1" max="2" width="15.7109375" style="220" customWidth="1"/>
    <col min="3" max="3" width="7.28515625" style="220" customWidth="1"/>
    <col min="4" max="4" width="5.5703125" style="220" customWidth="1"/>
    <col min="5" max="5" width="7.42578125" style="220" customWidth="1"/>
    <col min="6" max="6" width="8" style="220" customWidth="1"/>
    <col min="7" max="7" width="7.7109375" style="220" customWidth="1"/>
    <col min="8" max="8" width="2.42578125" style="220" customWidth="1"/>
    <col min="9" max="9" width="6.28515625" style="220" customWidth="1"/>
    <col min="10" max="10" width="6.7109375" style="220" customWidth="1"/>
    <col min="11" max="11" width="2" style="220" customWidth="1"/>
    <col min="12" max="12" width="10.28515625" style="220" customWidth="1"/>
    <col min="13" max="13" width="7.7109375" style="220" customWidth="1"/>
    <col min="14" max="14" width="10.28515625" style="220" customWidth="1"/>
    <col min="15" max="15" width="0.7109375" style="220" customWidth="1"/>
    <col min="16" max="16" width="6.7109375" style="220" customWidth="1"/>
    <col min="17" max="17" width="6.42578125" style="220" customWidth="1"/>
    <col min="18" max="16384" width="11.42578125" style="220"/>
  </cols>
  <sheetData>
    <row r="1" spans="1:23" s="16" customFormat="1" ht="19.5" x14ac:dyDescent="0.4">
      <c r="A1" s="15" t="s">
        <v>39</v>
      </c>
      <c r="C1" s="2421" t="s">
        <v>149</v>
      </c>
      <c r="D1" s="2421"/>
      <c r="E1" s="2421"/>
    </row>
    <row r="2" spans="1:23" s="16" customFormat="1" ht="19.5" x14ac:dyDescent="0.4"/>
    <row r="3" spans="1:23" s="16" customFormat="1" ht="19.5" x14ac:dyDescent="0.4">
      <c r="A3" s="2508" t="s">
        <v>41</v>
      </c>
      <c r="B3" s="2508"/>
      <c r="C3" s="2509" t="s">
        <v>396</v>
      </c>
      <c r="D3" s="2509"/>
      <c r="E3" s="2509"/>
      <c r="F3" s="2509"/>
      <c r="G3" s="2509"/>
      <c r="H3" s="2509"/>
      <c r="I3" s="2509"/>
      <c r="J3" s="2509"/>
      <c r="K3" s="2509"/>
      <c r="L3" s="2509"/>
      <c r="M3" s="2509"/>
      <c r="N3" s="2509"/>
      <c r="O3" s="2509"/>
      <c r="P3" s="2509"/>
      <c r="Q3" s="2509"/>
      <c r="R3" s="2509"/>
      <c r="S3" s="2509"/>
      <c r="T3" s="2509"/>
      <c r="U3" s="2509"/>
      <c r="V3" s="2509"/>
      <c r="W3" s="2509"/>
    </row>
    <row r="4" spans="1:23" s="16" customFormat="1" ht="37.15" customHeight="1" x14ac:dyDescent="0.4">
      <c r="A4" s="2508" t="s">
        <v>42</v>
      </c>
      <c r="B4" s="2508"/>
      <c r="C4" s="2509" t="s">
        <v>402</v>
      </c>
      <c r="D4" s="2509"/>
      <c r="E4" s="2509"/>
      <c r="F4" s="2509"/>
      <c r="G4" s="2509"/>
      <c r="H4" s="2509"/>
      <c r="I4" s="2509"/>
      <c r="J4" s="2509"/>
      <c r="K4" s="2509"/>
      <c r="L4" s="2509"/>
      <c r="M4" s="2509"/>
      <c r="N4" s="2509"/>
      <c r="O4" s="2509"/>
      <c r="P4" s="2509"/>
      <c r="Q4" s="2509"/>
      <c r="R4" s="2546"/>
      <c r="S4" s="2546"/>
      <c r="T4" s="2546"/>
      <c r="U4" s="2546"/>
      <c r="V4" s="2546"/>
      <c r="W4" s="2546"/>
    </row>
    <row r="5" spans="1:23" s="16" customFormat="1" ht="18.75" customHeight="1" x14ac:dyDescent="0.4">
      <c r="A5" s="2508" t="s">
        <v>43</v>
      </c>
      <c r="B5" s="2508"/>
      <c r="C5" s="2509" t="s">
        <v>589</v>
      </c>
      <c r="D5" s="2509"/>
      <c r="E5" s="2509"/>
      <c r="F5" s="2509"/>
      <c r="G5" s="2509"/>
      <c r="H5" s="2509"/>
      <c r="I5" s="2509"/>
      <c r="J5" s="2509"/>
      <c r="K5" s="2509"/>
      <c r="L5" s="2509"/>
      <c r="M5" s="2509"/>
      <c r="N5" s="2509"/>
      <c r="O5" s="2509"/>
      <c r="P5" s="2509"/>
      <c r="Q5" s="2509"/>
      <c r="R5" s="2546"/>
      <c r="S5" s="2546"/>
      <c r="T5" s="2546"/>
      <c r="U5" s="2546"/>
      <c r="V5" s="2546"/>
      <c r="W5" s="2546"/>
    </row>
    <row r="6" spans="1:23" s="16" customFormat="1" ht="19.5" x14ac:dyDescent="0.4">
      <c r="A6" s="2508" t="s">
        <v>132</v>
      </c>
      <c r="B6" s="2508"/>
      <c r="C6" s="2509"/>
      <c r="D6" s="2509"/>
      <c r="E6" s="2509"/>
      <c r="F6" s="2509"/>
      <c r="G6" s="2509"/>
      <c r="H6" s="2509"/>
      <c r="I6" s="2509"/>
      <c r="J6" s="2509"/>
      <c r="K6" s="2509"/>
      <c r="L6" s="2509"/>
      <c r="M6" s="2509"/>
      <c r="N6" s="2509"/>
      <c r="O6" s="2509"/>
      <c r="P6" s="2509"/>
      <c r="Q6" s="2509"/>
      <c r="R6" s="2546"/>
      <c r="S6" s="2546"/>
      <c r="T6" s="2546"/>
      <c r="U6" s="2546"/>
      <c r="V6" s="2546"/>
      <c r="W6" s="2546"/>
    </row>
    <row r="7" spans="1:23" s="16" customFormat="1" ht="19.5" x14ac:dyDescent="0.4"/>
    <row r="8" spans="1:23" s="16" customFormat="1" ht="19.5" x14ac:dyDescent="0.4"/>
    <row r="9" spans="1:23" s="16" customFormat="1" ht="19.5" x14ac:dyDescent="0.4">
      <c r="A9" s="217"/>
    </row>
    <row r="10" spans="1:23" s="16" customFormat="1" ht="11.25" customHeight="1" x14ac:dyDescent="0.4">
      <c r="A10" s="217"/>
      <c r="C10" s="2506" t="s">
        <v>243</v>
      </c>
      <c r="D10" s="2506"/>
      <c r="E10" s="2506"/>
      <c r="F10" s="2506"/>
      <c r="G10" s="2506"/>
      <c r="H10" s="2506"/>
      <c r="I10" s="2506"/>
      <c r="J10" s="2506"/>
      <c r="K10" s="2506"/>
      <c r="L10" s="2506"/>
      <c r="M10" s="2506"/>
      <c r="N10" s="2506"/>
      <c r="O10" s="2506"/>
      <c r="P10" s="2506"/>
      <c r="Q10" s="2506"/>
      <c r="R10" s="2506"/>
      <c r="S10" s="2506"/>
      <c r="T10" s="2506"/>
      <c r="U10" s="2506"/>
      <c r="V10" s="2506"/>
      <c r="W10" s="2506"/>
    </row>
    <row r="11" spans="1:23" s="16" customFormat="1" ht="11.25" customHeight="1" x14ac:dyDescent="0.4">
      <c r="A11" s="217"/>
      <c r="C11" s="2506"/>
      <c r="D11" s="2506"/>
      <c r="E11" s="2506"/>
      <c r="F11" s="2506"/>
      <c r="G11" s="2506"/>
      <c r="H11" s="2506"/>
      <c r="I11" s="2506"/>
      <c r="J11" s="2506"/>
      <c r="K11" s="2506"/>
      <c r="L11" s="2506"/>
      <c r="M11" s="2506"/>
      <c r="N11" s="2506"/>
      <c r="O11" s="2506"/>
      <c r="P11" s="2506"/>
      <c r="Q11" s="2506"/>
      <c r="R11" s="2506"/>
      <c r="S11" s="2506"/>
      <c r="T11" s="2506"/>
      <c r="U11" s="2506"/>
      <c r="V11" s="2506"/>
      <c r="W11" s="2506"/>
    </row>
    <row r="12" spans="1:23" s="16" customFormat="1" ht="19.5" x14ac:dyDescent="0.4">
      <c r="A12" s="217"/>
    </row>
    <row r="13" spans="1:23" x14ac:dyDescent="0.25">
      <c r="A13" s="219"/>
    </row>
    <row r="14" spans="1:23" x14ac:dyDescent="0.25">
      <c r="A14" s="219"/>
    </row>
    <row r="15" spans="1:23" x14ac:dyDescent="0.25">
      <c r="A15" s="219"/>
    </row>
    <row r="16" spans="1:23" x14ac:dyDescent="0.25">
      <c r="A16" s="219"/>
    </row>
    <row r="17" spans="1:1" x14ac:dyDescent="0.25">
      <c r="A17" s="219"/>
    </row>
    <row r="18" spans="1:1" x14ac:dyDescent="0.25">
      <c r="A18" s="219"/>
    </row>
    <row r="19" spans="1:1" x14ac:dyDescent="0.25">
      <c r="A19" s="219"/>
    </row>
  </sheetData>
  <mergeCells count="10">
    <mergeCell ref="A6:B6"/>
    <mergeCell ref="C6:W6"/>
    <mergeCell ref="C10:W11"/>
    <mergeCell ref="C1:E1"/>
    <mergeCell ref="A3:B3"/>
    <mergeCell ref="C3:W3"/>
    <mergeCell ref="A4:B4"/>
    <mergeCell ref="C4:W4"/>
    <mergeCell ref="A5:B5"/>
    <mergeCell ref="C5:W5"/>
  </mergeCells>
  <hyperlinks>
    <hyperlink ref="A1" location="'ODS 2.'!A1" display="REGRESAR" xr:uid="{DC5D6DE1-F367-44B6-B65B-05AD27B3ABF0}"/>
    <hyperlink ref="C1" location="'Metadato 2.2.2'!A1" display="VER METADATO" xr:uid="{71372624-30B1-4156-B520-495E8FA8B574}"/>
    <hyperlink ref="C1:E1" location="'Metadato 2.2.3'!A1" display="VER METADATO" xr:uid="{60754297-CAE3-45DB-B1A4-DAACB26D553B}"/>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708EA-9853-4E41-9132-86139605FD7F}">
  <sheetPr>
    <tabColor rgb="FF3F7E44"/>
  </sheetPr>
  <dimension ref="A1:E12"/>
  <sheetViews>
    <sheetView showGridLines="0" workbookViewId="0">
      <pane ySplit="4" topLeftCell="A5" activePane="bottomLeft" state="frozen"/>
      <selection sqref="A1:B1"/>
      <selection pane="bottomLeft" sqref="A1:B1"/>
    </sheetView>
  </sheetViews>
  <sheetFormatPr baseColWidth="10" defaultColWidth="11.5703125" defaultRowHeight="18.75" x14ac:dyDescent="0.4"/>
  <cols>
    <col min="1" max="2" width="11.5703125" style="5"/>
    <col min="3" max="3" width="61.28515625" style="5" customWidth="1"/>
    <col min="4" max="4" width="13.5703125" style="5" customWidth="1"/>
    <col min="5" max="5" width="88.5703125" style="5" customWidth="1"/>
    <col min="6" max="16384" width="11.5703125" style="5"/>
  </cols>
  <sheetData>
    <row r="1" spans="1:5" ht="19.5" x14ac:dyDescent="0.4">
      <c r="A1" s="2410" t="s">
        <v>1</v>
      </c>
      <c r="B1" s="2410"/>
    </row>
    <row r="3" spans="1:5" ht="57" customHeight="1" x14ac:dyDescent="0.4">
      <c r="C3" s="3376" t="s">
        <v>6702</v>
      </c>
      <c r="D3" s="3376"/>
      <c r="E3" s="3376"/>
    </row>
    <row r="4" spans="1:5" s="36" customFormat="1" ht="45" x14ac:dyDescent="0.25">
      <c r="C4" s="8" t="s">
        <v>3</v>
      </c>
      <c r="D4" s="8" t="s">
        <v>4</v>
      </c>
      <c r="E4" s="8" t="s">
        <v>5</v>
      </c>
    </row>
    <row r="5" spans="1:5" s="36" customFormat="1" ht="45" customHeight="1" x14ac:dyDescent="0.25">
      <c r="C5" s="2408" t="s">
        <v>6703</v>
      </c>
      <c r="D5" s="11" t="s">
        <v>6704</v>
      </c>
      <c r="E5" s="12" t="s">
        <v>6705</v>
      </c>
    </row>
    <row r="6" spans="1:5" s="36" customFormat="1" ht="58.5" x14ac:dyDescent="0.25">
      <c r="C6" s="2412"/>
      <c r="D6" s="13" t="s">
        <v>6706</v>
      </c>
      <c r="E6" s="14" t="s">
        <v>6707</v>
      </c>
    </row>
    <row r="7" spans="1:5" s="36" customFormat="1" ht="58.5" x14ac:dyDescent="0.25">
      <c r="C7" s="2409"/>
      <c r="D7" s="11" t="s">
        <v>6708</v>
      </c>
      <c r="E7" s="12" t="s">
        <v>6709</v>
      </c>
    </row>
    <row r="8" spans="1:5" s="36" customFormat="1" ht="58.5" x14ac:dyDescent="0.25">
      <c r="C8" s="2408" t="s">
        <v>6710</v>
      </c>
      <c r="D8" s="13" t="s">
        <v>6711</v>
      </c>
      <c r="E8" s="14" t="s">
        <v>6712</v>
      </c>
    </row>
    <row r="9" spans="1:5" s="36" customFormat="1" ht="30" customHeight="1" x14ac:dyDescent="0.25">
      <c r="C9" s="2409"/>
      <c r="D9" s="11" t="s">
        <v>6713</v>
      </c>
      <c r="E9" s="12" t="s">
        <v>6714</v>
      </c>
    </row>
    <row r="10" spans="1:5" s="36" customFormat="1" ht="78" x14ac:dyDescent="0.25">
      <c r="C10" s="10" t="s">
        <v>6715</v>
      </c>
      <c r="D10" s="11" t="s">
        <v>6716</v>
      </c>
      <c r="E10" s="12" t="s">
        <v>6717</v>
      </c>
    </row>
    <row r="11" spans="1:5" s="36" customFormat="1" ht="195" x14ac:dyDescent="0.25">
      <c r="C11" s="10" t="s">
        <v>6718</v>
      </c>
      <c r="D11" s="13" t="s">
        <v>6719</v>
      </c>
      <c r="E11" s="14" t="s">
        <v>6720</v>
      </c>
    </row>
    <row r="12" spans="1:5" s="36" customFormat="1" ht="117" x14ac:dyDescent="0.25">
      <c r="C12" s="10" t="s">
        <v>6721</v>
      </c>
      <c r="D12" s="13" t="s">
        <v>6722</v>
      </c>
      <c r="E12" s="14" t="s">
        <v>6723</v>
      </c>
    </row>
  </sheetData>
  <mergeCells count="4">
    <mergeCell ref="A1:B1"/>
    <mergeCell ref="C3:E3"/>
    <mergeCell ref="C5:C7"/>
    <mergeCell ref="C8:C9"/>
  </mergeCells>
  <hyperlinks>
    <hyperlink ref="A1" location="Objetivos!A1" display="REGRESAR A INICIO" xr:uid="{8B466A2E-7701-46AF-8374-211273B2EE15}"/>
    <hyperlink ref="A1:B1" location="'Lista de Objetivos'!A1" display="REGRESAR A INICIO" xr:uid="{5295730B-ADB2-4A87-B567-593113FB0E2E}"/>
    <hyperlink ref="D5" location="'13.1.1'!A1" display="13.1.1" xr:uid="{170DD30F-921B-453E-A07A-BC6562476147}"/>
    <hyperlink ref="E5" location="'13.1.1'!A1" display="13.1.1 Número de personas muertas, desaparecidas y afectadas directamente atribuido a desastres por cada 100.000 personas" xr:uid="{0663CC72-50B7-4992-9C55-30429FD5D799}"/>
    <hyperlink ref="D6" location="'13.1.2'!A1" display="13.1.2" xr:uid="{41FD27B5-44EC-4B0F-B9E2-3D8E21C47136}"/>
    <hyperlink ref="E6" location="'13.1.2'!A1" display="13.1.2 Número de países que adoptan y aplican estrategias nacionales de reducción del riesgo de desastres en consonancia con el Marco de Sendái para la Reducción del Riesgo de Desastres 2015‑2030" xr:uid="{A9F18ED5-DBCB-4774-8A73-CF8122D4CE58}"/>
    <hyperlink ref="D7" location="'13.1.3'!A1" display="13.1.3" xr:uid="{F456B72F-C1AA-4546-B1DF-5F1B25246031}"/>
    <hyperlink ref="E7" location="'13.1.3'!A1" display="13.1.3 Proporción de gobiernos locales que adoptan y aplican estrategias locales de reducción del riesgo de desastres en consonancia con las estrategias nacionales de reducción del riesgo de desastres" xr:uid="{F44D3FEA-3E78-452F-9BDE-9FA183B16DE5}"/>
    <hyperlink ref="D8" location="'13.2.1'!A1" display="13.2.1" xr:uid="{52DED955-0873-45BF-93E6-748FD74C34A7}"/>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3B832B85-A4BA-4121-8940-C1DF9EC21962}"/>
    <hyperlink ref="D9" location="'13.2.2'!A1" display="13.2.2" xr:uid="{4A1B2A95-7DD3-49BD-9547-AE1FF0810714}"/>
    <hyperlink ref="E9" location="'13.2.2'!A1" display="13.2.2 Emisiones totales de gases de efecto invernadero por año" xr:uid="{72788E6D-6100-4812-9F1A-07F0CB4937A8}"/>
    <hyperlink ref="D10" location="'13.3.1'!A1" display="13.3.1" xr:uid="{CE975A0A-06AA-4A92-A263-B1FB61509CEE}"/>
    <hyperlink ref="E10" location="'13.3.1'!A1" display="'13.3.1'!A1" xr:uid="{F95CAB6E-CB7A-412C-BEBA-D1E3AE5F6F43}"/>
    <hyperlink ref="D11" location="'13.a.1'!A1" display="13.a.1" xr:uid="{8A59D859-06D4-496F-B218-342535DF095E}"/>
    <hyperlink ref="E11" location="'13.a.1'!A1" display="13.a.1 Cantidades proporcionadas y movilizadas en dólares de los Estados Unidos al año en relación con el objetivo actual mantenido de movilización colectiva de 100.000 millones de dólares de aquí a 2025" xr:uid="{1CF40210-1FAC-48AB-AE41-EDBAF9E7D9AE}"/>
    <hyperlink ref="D12" location="'13.b.1'!A1" display="13.b.1" xr:uid="{0418009B-CEDE-480E-8740-2FB93690102C}"/>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8CEAB7C9-E2D4-4190-9AC7-829C0640B73F}"/>
  </hyperlinks>
  <pageMargins left="0.7" right="0.7" top="0.75" bottom="0.75" header="0.3" footer="0.3"/>
  <pageSetup orientation="portrait" r:id="rId1"/>
  <drawing r:id="rId2"/>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ED39-8CF1-4FA7-B504-BF7D0AD60865}">
  <dimension ref="A1:AO51"/>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2" width="15" style="115" customWidth="1"/>
    <col min="3" max="3" width="7.28515625" style="115" customWidth="1"/>
    <col min="4" max="4" width="11.7109375" style="115" customWidth="1"/>
    <col min="5" max="5" width="2.28515625" style="115" customWidth="1"/>
    <col min="6" max="6" width="6.85546875" style="115" customWidth="1"/>
    <col min="7" max="7" width="5.5703125" style="115" customWidth="1"/>
    <col min="8" max="8" width="11.7109375" style="115" customWidth="1"/>
    <col min="9" max="9" width="2.7109375" style="115" customWidth="1"/>
    <col min="10" max="11" width="11.7109375" style="115" customWidth="1"/>
    <col min="12" max="12" width="1.28515625" style="115" customWidth="1"/>
    <col min="13" max="13" width="8.28515625" style="115" customWidth="1"/>
    <col min="14" max="14" width="1.7109375" style="115" customWidth="1"/>
    <col min="15" max="15" width="7.28515625" style="115" customWidth="1"/>
    <col min="16" max="16" width="6" style="115" customWidth="1"/>
    <col min="17" max="17" width="3" style="115" customWidth="1"/>
    <col min="18" max="18" width="7.42578125" style="115" customWidth="1"/>
    <col min="19" max="19" width="3.42578125" style="115" customWidth="1"/>
    <col min="20" max="21" width="5.42578125" style="115" customWidth="1"/>
    <col min="22" max="22" width="1.5703125" style="115" customWidth="1"/>
    <col min="23" max="23" width="9.28515625" style="115" customWidth="1"/>
    <col min="24" max="24" width="7" style="115" customWidth="1"/>
    <col min="25" max="25" width="8.140625" style="115" customWidth="1"/>
    <col min="26" max="26" width="1.5703125" style="115" customWidth="1"/>
    <col min="27" max="30" width="6.42578125" style="115" customWidth="1"/>
    <col min="31" max="31" width="2.5703125" style="115" customWidth="1"/>
    <col min="32" max="32" width="8.28515625" style="115" customWidth="1"/>
    <col min="33" max="33" width="7" style="115" customWidth="1"/>
    <col min="34" max="34" width="8.42578125" style="115" customWidth="1"/>
    <col min="35" max="35" width="7" style="115" customWidth="1"/>
    <col min="36" max="36" width="2.28515625" style="115" customWidth="1"/>
    <col min="37" max="38" width="6.5703125" style="115" customWidth="1"/>
    <col min="39" max="39" width="1.28515625" style="115" customWidth="1"/>
    <col min="40" max="41" width="9" style="115" customWidth="1"/>
    <col min="42" max="16384" width="11.42578125" style="115"/>
  </cols>
  <sheetData>
    <row r="1" spans="1:41" x14ac:dyDescent="0.4">
      <c r="A1" s="90" t="s">
        <v>6724</v>
      </c>
      <c r="C1" s="2541" t="s">
        <v>149</v>
      </c>
      <c r="D1" s="2541"/>
    </row>
    <row r="3" spans="1:41" ht="15" customHeight="1" x14ac:dyDescent="0.4">
      <c r="A3" s="3379" t="s">
        <v>41</v>
      </c>
      <c r="B3" s="3383"/>
      <c r="C3" s="3379" t="s">
        <v>6725</v>
      </c>
      <c r="D3" s="3384"/>
      <c r="E3" s="3384"/>
      <c r="F3" s="3384"/>
      <c r="G3" s="3384"/>
      <c r="H3" s="3384"/>
      <c r="I3" s="3384"/>
      <c r="J3" s="3384"/>
      <c r="K3" s="3384"/>
      <c r="L3" s="3384"/>
      <c r="M3" s="3384"/>
      <c r="N3" s="3384"/>
      <c r="O3" s="3384"/>
      <c r="P3" s="3384"/>
      <c r="Q3" s="3384"/>
      <c r="R3" s="3384"/>
      <c r="S3" s="3384"/>
      <c r="T3" s="3384"/>
      <c r="U3" s="3384"/>
      <c r="V3" s="3384"/>
      <c r="W3" s="3384"/>
      <c r="X3" s="3384"/>
      <c r="Y3" s="3383"/>
    </row>
    <row r="4" spans="1:41" ht="19.5" x14ac:dyDescent="0.4">
      <c r="A4" s="3379" t="s">
        <v>42</v>
      </c>
      <c r="B4" s="3380"/>
      <c r="C4" s="3379" t="s">
        <v>6726</v>
      </c>
      <c r="D4" s="3381"/>
      <c r="E4" s="3381"/>
      <c r="F4" s="3381"/>
      <c r="G4" s="3381"/>
      <c r="H4" s="3381"/>
      <c r="I4" s="3381"/>
      <c r="J4" s="3381"/>
      <c r="K4" s="3381"/>
      <c r="L4" s="3381"/>
      <c r="M4" s="3381"/>
      <c r="N4" s="3381"/>
      <c r="O4" s="3381"/>
      <c r="P4" s="3381"/>
      <c r="Q4" s="3381"/>
      <c r="R4" s="3381"/>
      <c r="S4" s="3381"/>
      <c r="T4" s="3381"/>
      <c r="U4" s="3381"/>
      <c r="V4" s="3381"/>
      <c r="W4" s="3381"/>
      <c r="X4" s="3381"/>
      <c r="Y4" s="3380"/>
    </row>
    <row r="5" spans="1:41" ht="19.5" x14ac:dyDescent="0.4">
      <c r="A5" s="3379" t="s">
        <v>43</v>
      </c>
      <c r="B5" s="3380"/>
      <c r="C5" s="3379" t="s">
        <v>6705</v>
      </c>
      <c r="D5" s="3381"/>
      <c r="E5" s="3381"/>
      <c r="F5" s="3381"/>
      <c r="G5" s="3381"/>
      <c r="H5" s="3381"/>
      <c r="I5" s="3381"/>
      <c r="J5" s="3381"/>
      <c r="K5" s="3381"/>
      <c r="L5" s="3381"/>
      <c r="M5" s="3381"/>
      <c r="N5" s="3381"/>
      <c r="O5" s="3381"/>
      <c r="P5" s="3381"/>
      <c r="Q5" s="3381"/>
      <c r="R5" s="3381"/>
      <c r="S5" s="3381"/>
      <c r="T5" s="3381"/>
      <c r="U5" s="3381"/>
      <c r="V5" s="3381"/>
      <c r="W5" s="3381"/>
      <c r="X5" s="3381"/>
      <c r="Y5" s="3380"/>
    </row>
    <row r="6" spans="1:41" ht="19.5" x14ac:dyDescent="0.4">
      <c r="A6" s="3379" t="s">
        <v>132</v>
      </c>
      <c r="B6" s="3380"/>
      <c r="C6" s="3379" t="s">
        <v>246</v>
      </c>
      <c r="D6" s="3381"/>
      <c r="E6" s="3381"/>
      <c r="F6" s="3381"/>
      <c r="G6" s="3381"/>
      <c r="H6" s="3381"/>
      <c r="I6" s="3381"/>
      <c r="J6" s="3381"/>
      <c r="K6" s="3381"/>
      <c r="L6" s="3381"/>
      <c r="M6" s="3381"/>
      <c r="N6" s="3381"/>
      <c r="O6" s="3381"/>
      <c r="P6" s="3381"/>
      <c r="Q6" s="3381"/>
      <c r="R6" s="3381"/>
      <c r="S6" s="3381"/>
      <c r="T6" s="3381"/>
      <c r="U6" s="3381"/>
      <c r="V6" s="3381"/>
      <c r="W6" s="3381"/>
      <c r="X6" s="3381"/>
      <c r="Y6" s="3380"/>
    </row>
    <row r="9" spans="1:41" ht="19.5" x14ac:dyDescent="0.4">
      <c r="C9" s="187" t="s">
        <v>246</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row>
    <row r="10" spans="1:41" ht="11.45" customHeight="1" x14ac:dyDescent="0.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row>
    <row r="11" spans="1:41" ht="17.45" customHeight="1" x14ac:dyDescent="0.4">
      <c r="C11" s="3382" t="s">
        <v>247</v>
      </c>
      <c r="D11" s="3382" t="s">
        <v>177</v>
      </c>
      <c r="E11" s="1946"/>
      <c r="F11" s="3378" t="s">
        <v>248</v>
      </c>
      <c r="G11" s="3378"/>
      <c r="H11" s="3378"/>
      <c r="I11" s="3378"/>
      <c r="J11" s="3378" t="s">
        <v>249</v>
      </c>
      <c r="K11" s="3378"/>
      <c r="L11" s="3378"/>
      <c r="M11" s="3378" t="s">
        <v>250</v>
      </c>
      <c r="N11" s="3378"/>
      <c r="O11" s="3378"/>
      <c r="P11" s="3378"/>
      <c r="Q11" s="1946"/>
      <c r="R11" s="3378" t="s">
        <v>251</v>
      </c>
      <c r="S11" s="3378"/>
      <c r="T11" s="3378"/>
      <c r="U11" s="3378"/>
      <c r="V11" s="1946"/>
      <c r="W11" s="3378" t="s">
        <v>252</v>
      </c>
      <c r="X11" s="3378"/>
      <c r="Y11" s="3378"/>
      <c r="Z11" s="3378"/>
      <c r="AA11" s="3378" t="s">
        <v>253</v>
      </c>
      <c r="AB11" s="3378"/>
      <c r="AC11" s="3378"/>
      <c r="AD11" s="3378"/>
      <c r="AE11" s="1946"/>
      <c r="AF11" s="3378" t="s">
        <v>254</v>
      </c>
      <c r="AG11" s="3378"/>
      <c r="AH11" s="3378"/>
      <c r="AI11" s="3378"/>
      <c r="AJ11" s="1946"/>
      <c r="AK11" s="3378" t="s">
        <v>255</v>
      </c>
      <c r="AL11" s="3378"/>
      <c r="AM11" s="1946"/>
      <c r="AN11" s="3378" t="s">
        <v>256</v>
      </c>
      <c r="AO11" s="3378"/>
    </row>
    <row r="12" spans="1:41" ht="13.15" customHeight="1" x14ac:dyDescent="0.4">
      <c r="C12" s="3377"/>
      <c r="D12" s="3377"/>
      <c r="E12" s="1947"/>
      <c r="F12" s="3377" t="s">
        <v>257</v>
      </c>
      <c r="G12" s="3377"/>
      <c r="H12" s="1947" t="s">
        <v>258</v>
      </c>
      <c r="I12" s="1947"/>
      <c r="J12" s="1947" t="s">
        <v>257</v>
      </c>
      <c r="K12" s="1947" t="s">
        <v>258</v>
      </c>
      <c r="L12" s="1947"/>
      <c r="M12" s="3377" t="s">
        <v>259</v>
      </c>
      <c r="N12" s="3377"/>
      <c r="O12" s="3377" t="s">
        <v>258</v>
      </c>
      <c r="P12" s="3377"/>
      <c r="Q12" s="1947"/>
      <c r="R12" s="3377" t="s">
        <v>259</v>
      </c>
      <c r="S12" s="3377"/>
      <c r="T12" s="3377" t="s">
        <v>258</v>
      </c>
      <c r="U12" s="3377"/>
      <c r="V12" s="1947"/>
      <c r="W12" s="3377" t="s">
        <v>259</v>
      </c>
      <c r="X12" s="3377"/>
      <c r="Y12" s="1947" t="s">
        <v>258</v>
      </c>
      <c r="Z12" s="1947"/>
      <c r="AA12" s="3377" t="s">
        <v>259</v>
      </c>
      <c r="AB12" s="3377"/>
      <c r="AC12" s="3377" t="s">
        <v>258</v>
      </c>
      <c r="AD12" s="3377"/>
      <c r="AE12" s="1947"/>
      <c r="AF12" s="3377" t="s">
        <v>259</v>
      </c>
      <c r="AG12" s="3377"/>
      <c r="AH12" s="3377" t="s">
        <v>258</v>
      </c>
      <c r="AI12" s="3377"/>
      <c r="AJ12" s="1947"/>
      <c r="AK12" s="3377" t="s">
        <v>259</v>
      </c>
      <c r="AL12" s="3377"/>
      <c r="AM12" s="1947"/>
      <c r="AN12" s="3377" t="s">
        <v>259</v>
      </c>
      <c r="AO12" s="3377"/>
    </row>
    <row r="13" spans="1:41" x14ac:dyDescent="0.4">
      <c r="C13" s="198">
        <v>1990</v>
      </c>
      <c r="D13" s="197">
        <v>3029336</v>
      </c>
      <c r="E13" s="198"/>
      <c r="F13" s="196">
        <v>16</v>
      </c>
      <c r="G13" s="196"/>
      <c r="H13" s="199">
        <f>+F13/D13*100000</f>
        <v>0.52816854914740397</v>
      </c>
      <c r="I13" s="200"/>
      <c r="J13" s="200">
        <v>1</v>
      </c>
      <c r="K13" s="199">
        <f>+J13/D13*100000</f>
        <v>3.3010534321712748E-2</v>
      </c>
      <c r="L13" s="196"/>
      <c r="M13" s="196">
        <v>1241</v>
      </c>
      <c r="N13" s="196"/>
      <c r="O13" s="196">
        <f>+M13/D13*100000</f>
        <v>40.966073093245519</v>
      </c>
      <c r="P13" s="196"/>
      <c r="Q13" s="196"/>
      <c r="R13" s="196">
        <v>746</v>
      </c>
      <c r="S13" s="196"/>
      <c r="T13" s="196">
        <f>+R13/D13*100000</f>
        <v>24.62585860399771</v>
      </c>
      <c r="U13" s="196"/>
      <c r="V13" s="196"/>
      <c r="W13" s="197">
        <v>0</v>
      </c>
      <c r="X13" s="196"/>
      <c r="Y13" s="199">
        <f>+W13/D13*100000</f>
        <v>0</v>
      </c>
      <c r="Z13" s="196"/>
      <c r="AA13" s="196">
        <v>90</v>
      </c>
      <c r="AB13" s="196"/>
      <c r="AC13" s="1703">
        <f>+AA13/D13*100000</f>
        <v>2.9709480889541471</v>
      </c>
      <c r="AD13" s="199"/>
      <c r="AE13" s="196"/>
      <c r="AF13" s="196">
        <v>0</v>
      </c>
      <c r="AG13" s="196"/>
      <c r="AH13" s="201">
        <f>+AF13/D13*100000</f>
        <v>0</v>
      </c>
      <c r="AI13" s="201"/>
      <c r="AJ13" s="196"/>
      <c r="AK13" s="196">
        <v>236</v>
      </c>
      <c r="AL13" s="196"/>
      <c r="AM13" s="196"/>
      <c r="AN13" s="196">
        <v>227</v>
      </c>
    </row>
    <row r="14" spans="1:41" x14ac:dyDescent="0.4">
      <c r="C14" s="198">
        <v>1991</v>
      </c>
      <c r="D14" s="197">
        <v>3101536</v>
      </c>
      <c r="E14" s="198"/>
      <c r="F14" s="196">
        <v>60</v>
      </c>
      <c r="G14" s="196"/>
      <c r="H14" s="199">
        <f t="shared" ref="H14:H41" si="0">+F14/D14*100000</f>
        <v>1.9345253448613846</v>
      </c>
      <c r="I14" s="200"/>
      <c r="J14" s="200">
        <v>1</v>
      </c>
      <c r="K14" s="199">
        <f t="shared" ref="K14:K41" si="1">+J14/D14*100000</f>
        <v>3.2242089081023079E-2</v>
      </c>
      <c r="L14" s="196"/>
      <c r="M14" s="196">
        <v>49527</v>
      </c>
      <c r="N14" s="196"/>
      <c r="O14" s="196">
        <f t="shared" ref="O14:O46" si="2">+M14/D14*100000</f>
        <v>1596.8539459158303</v>
      </c>
      <c r="P14" s="196"/>
      <c r="Q14" s="196"/>
      <c r="R14" s="196">
        <v>1272</v>
      </c>
      <c r="S14" s="196"/>
      <c r="T14" s="196">
        <f t="shared" ref="T14:T46" si="3">+R14/D14*100000</f>
        <v>41.011937311061352</v>
      </c>
      <c r="U14" s="196"/>
      <c r="V14" s="196"/>
      <c r="W14" s="197">
        <v>0</v>
      </c>
      <c r="X14" s="196"/>
      <c r="Y14" s="199">
        <f t="shared" ref="Y14:Y41" si="4">+W14/D14*100000</f>
        <v>0</v>
      </c>
      <c r="Z14" s="196"/>
      <c r="AA14" s="196">
        <v>1670</v>
      </c>
      <c r="AB14" s="196"/>
      <c r="AC14" s="1703">
        <f t="shared" ref="AC14:AC39" si="5">+AA14/D14*100000</f>
        <v>53.844288765308548</v>
      </c>
      <c r="AD14" s="199"/>
      <c r="AE14" s="196"/>
      <c r="AF14" s="196">
        <v>0</v>
      </c>
      <c r="AG14" s="196"/>
      <c r="AH14" s="201">
        <f t="shared" ref="AH14:AH43" si="6">+AF14/D14*100000</f>
        <v>0</v>
      </c>
      <c r="AI14" s="201"/>
      <c r="AJ14" s="196"/>
      <c r="AK14" s="196">
        <v>4451</v>
      </c>
      <c r="AL14" s="196"/>
      <c r="AM14" s="196"/>
      <c r="AN14" s="196">
        <v>7771</v>
      </c>
    </row>
    <row r="15" spans="1:41" x14ac:dyDescent="0.4">
      <c r="C15" s="198">
        <v>1992</v>
      </c>
      <c r="D15" s="197">
        <v>3170537</v>
      </c>
      <c r="E15" s="198"/>
      <c r="F15" s="196">
        <v>19</v>
      </c>
      <c r="G15" s="196"/>
      <c r="H15" s="199">
        <f t="shared" si="0"/>
        <v>0.59926756886924837</v>
      </c>
      <c r="I15" s="200"/>
      <c r="J15" s="200">
        <v>0</v>
      </c>
      <c r="K15" s="199">
        <f t="shared" si="1"/>
        <v>0</v>
      </c>
      <c r="L15" s="196"/>
      <c r="M15" s="196">
        <v>7049</v>
      </c>
      <c r="N15" s="196"/>
      <c r="O15" s="196">
        <f t="shared" si="2"/>
        <v>222.32826805049112</v>
      </c>
      <c r="P15" s="196"/>
      <c r="Q15" s="196"/>
      <c r="R15" s="196">
        <v>1883</v>
      </c>
      <c r="S15" s="196"/>
      <c r="T15" s="196">
        <f t="shared" si="3"/>
        <v>59.390570114778669</v>
      </c>
      <c r="U15" s="196"/>
      <c r="V15" s="196"/>
      <c r="W15" s="197">
        <v>0</v>
      </c>
      <c r="X15" s="196"/>
      <c r="Y15" s="199">
        <f t="shared" si="4"/>
        <v>0</v>
      </c>
      <c r="Z15" s="196"/>
      <c r="AA15" s="196">
        <v>0</v>
      </c>
      <c r="AB15" s="196"/>
      <c r="AC15" s="1703">
        <f t="shared" si="5"/>
        <v>0</v>
      </c>
      <c r="AD15" s="199"/>
      <c r="AE15" s="196"/>
      <c r="AF15" s="196">
        <v>0</v>
      </c>
      <c r="AG15" s="196"/>
      <c r="AH15" s="201">
        <f t="shared" si="6"/>
        <v>0</v>
      </c>
      <c r="AI15" s="201"/>
      <c r="AJ15" s="196"/>
      <c r="AK15" s="196">
        <v>50</v>
      </c>
      <c r="AL15" s="196"/>
      <c r="AM15" s="196"/>
      <c r="AN15" s="196">
        <v>118</v>
      </c>
    </row>
    <row r="16" spans="1:41" x14ac:dyDescent="0.4">
      <c r="C16" s="198">
        <v>1993</v>
      </c>
      <c r="D16" s="197">
        <v>3239868</v>
      </c>
      <c r="E16" s="198"/>
      <c r="F16" s="196">
        <v>15</v>
      </c>
      <c r="G16" s="196"/>
      <c r="H16" s="199">
        <f t="shared" si="0"/>
        <v>0.46298182518547049</v>
      </c>
      <c r="I16" s="200"/>
      <c r="J16" s="200">
        <v>0</v>
      </c>
      <c r="K16" s="199">
        <f t="shared" si="1"/>
        <v>0</v>
      </c>
      <c r="L16" s="196"/>
      <c r="M16" s="196">
        <v>860</v>
      </c>
      <c r="N16" s="196"/>
      <c r="O16" s="196">
        <f t="shared" si="2"/>
        <v>26.544291310633643</v>
      </c>
      <c r="P16" s="196"/>
      <c r="Q16" s="196"/>
      <c r="R16" s="196">
        <v>352</v>
      </c>
      <c r="S16" s="196"/>
      <c r="T16" s="196">
        <f t="shared" si="3"/>
        <v>10.864640164352375</v>
      </c>
      <c r="U16" s="196"/>
      <c r="V16" s="196"/>
      <c r="W16" s="197">
        <v>0</v>
      </c>
      <c r="X16" s="196"/>
      <c r="Y16" s="199">
        <f t="shared" si="4"/>
        <v>0</v>
      </c>
      <c r="Z16" s="196"/>
      <c r="AA16" s="196">
        <v>0</v>
      </c>
      <c r="AB16" s="196"/>
      <c r="AC16" s="1703">
        <f t="shared" si="5"/>
        <v>0</v>
      </c>
      <c r="AD16" s="199"/>
      <c r="AE16" s="196"/>
      <c r="AF16" s="196">
        <v>2000</v>
      </c>
      <c r="AG16" s="196"/>
      <c r="AH16" s="201">
        <f t="shared" si="6"/>
        <v>61.730910024729397</v>
      </c>
      <c r="AI16" s="201"/>
      <c r="AJ16" s="196"/>
      <c r="AK16" s="196">
        <v>76</v>
      </c>
      <c r="AL16" s="196"/>
      <c r="AM16" s="196"/>
      <c r="AN16" s="196">
        <v>668</v>
      </c>
    </row>
    <row r="17" spans="3:40" x14ac:dyDescent="0.4">
      <c r="C17" s="198">
        <v>1994</v>
      </c>
      <c r="D17" s="197">
        <v>3334223</v>
      </c>
      <c r="E17" s="198"/>
      <c r="F17" s="196">
        <v>28</v>
      </c>
      <c r="G17" s="196"/>
      <c r="H17" s="199">
        <f t="shared" si="0"/>
        <v>0.83977586382194591</v>
      </c>
      <c r="I17" s="200"/>
      <c r="J17" s="200">
        <v>4</v>
      </c>
      <c r="K17" s="199">
        <f t="shared" si="1"/>
        <v>0.11996798054599228</v>
      </c>
      <c r="L17" s="196"/>
      <c r="M17" s="196">
        <v>13114</v>
      </c>
      <c r="N17" s="196"/>
      <c r="O17" s="196">
        <f t="shared" si="2"/>
        <v>393.3150242200357</v>
      </c>
      <c r="P17" s="196"/>
      <c r="Q17" s="196"/>
      <c r="R17" s="196">
        <v>190</v>
      </c>
      <c r="S17" s="196"/>
      <c r="T17" s="196">
        <f t="shared" si="3"/>
        <v>5.6984790759346327</v>
      </c>
      <c r="U17" s="196"/>
      <c r="V17" s="196"/>
      <c r="W17" s="197">
        <v>0</v>
      </c>
      <c r="X17" s="196"/>
      <c r="Y17" s="199">
        <f t="shared" si="4"/>
        <v>0</v>
      </c>
      <c r="Z17" s="196"/>
      <c r="AA17" s="196">
        <v>0</v>
      </c>
      <c r="AB17" s="196"/>
      <c r="AC17" s="1703">
        <f t="shared" si="5"/>
        <v>0</v>
      </c>
      <c r="AD17" s="199"/>
      <c r="AE17" s="196"/>
      <c r="AF17" s="196">
        <v>3251</v>
      </c>
      <c r="AG17" s="196"/>
      <c r="AH17" s="201">
        <f t="shared" si="6"/>
        <v>97.503976188755217</v>
      </c>
      <c r="AI17" s="201"/>
      <c r="AJ17" s="196"/>
      <c r="AK17" s="196">
        <v>302</v>
      </c>
      <c r="AL17" s="196"/>
      <c r="AM17" s="196"/>
      <c r="AN17" s="196">
        <v>114</v>
      </c>
    </row>
    <row r="18" spans="3:40" x14ac:dyDescent="0.4">
      <c r="C18" s="198">
        <v>1995</v>
      </c>
      <c r="D18" s="197">
        <v>3428278</v>
      </c>
      <c r="E18" s="198"/>
      <c r="F18" s="196">
        <v>13</v>
      </c>
      <c r="G18" s="196"/>
      <c r="H18" s="199">
        <f t="shared" si="0"/>
        <v>0.37919911979133547</v>
      </c>
      <c r="I18" s="200"/>
      <c r="J18" s="200">
        <v>0</v>
      </c>
      <c r="K18" s="199">
        <f t="shared" si="1"/>
        <v>0</v>
      </c>
      <c r="L18" s="196"/>
      <c r="M18" s="196">
        <v>7497</v>
      </c>
      <c r="N18" s="196"/>
      <c r="O18" s="196">
        <f t="shared" si="2"/>
        <v>218.68121546735705</v>
      </c>
      <c r="P18" s="196"/>
      <c r="Q18" s="196"/>
      <c r="R18" s="196">
        <v>4018</v>
      </c>
      <c r="S18" s="196"/>
      <c r="T18" s="196">
        <f t="shared" si="3"/>
        <v>117.20169717858353</v>
      </c>
      <c r="U18" s="196"/>
      <c r="V18" s="196"/>
      <c r="W18" s="197">
        <v>0</v>
      </c>
      <c r="X18" s="196"/>
      <c r="Y18" s="199">
        <f t="shared" si="4"/>
        <v>0</v>
      </c>
      <c r="Z18" s="196"/>
      <c r="AA18" s="196">
        <v>0</v>
      </c>
      <c r="AB18" s="196"/>
      <c r="AC18" s="1703">
        <f t="shared" si="5"/>
        <v>0</v>
      </c>
      <c r="AD18" s="199"/>
      <c r="AE18" s="196"/>
      <c r="AF18" s="196">
        <v>116</v>
      </c>
      <c r="AG18" s="196"/>
      <c r="AH18" s="201">
        <f t="shared" si="6"/>
        <v>3.3836229150611477</v>
      </c>
      <c r="AI18" s="201"/>
      <c r="AJ18" s="196"/>
      <c r="AK18" s="196">
        <v>130</v>
      </c>
      <c r="AL18" s="196"/>
      <c r="AM18" s="196"/>
      <c r="AN18" s="196">
        <v>878</v>
      </c>
    </row>
    <row r="19" spans="3:40" x14ac:dyDescent="0.4">
      <c r="C19" s="198">
        <v>1996</v>
      </c>
      <c r="D19" s="197">
        <v>3520866</v>
      </c>
      <c r="E19" s="198"/>
      <c r="F19" s="196">
        <v>57</v>
      </c>
      <c r="G19" s="196"/>
      <c r="H19" s="199">
        <f t="shared" si="0"/>
        <v>1.6189198907314282</v>
      </c>
      <c r="I19" s="200"/>
      <c r="J19" s="200">
        <v>0</v>
      </c>
      <c r="K19" s="199">
        <f t="shared" si="1"/>
        <v>0</v>
      </c>
      <c r="L19" s="196"/>
      <c r="M19" s="196">
        <v>12346</v>
      </c>
      <c r="N19" s="196"/>
      <c r="O19" s="196">
        <f t="shared" si="2"/>
        <v>350.65236791175806</v>
      </c>
      <c r="P19" s="196"/>
      <c r="Q19" s="196"/>
      <c r="R19" s="196">
        <v>6551</v>
      </c>
      <c r="S19" s="196"/>
      <c r="T19" s="196">
        <f t="shared" si="3"/>
        <v>186.06217902072956</v>
      </c>
      <c r="U19" s="196"/>
      <c r="V19" s="196"/>
      <c r="W19" s="197">
        <v>0</v>
      </c>
      <c r="X19" s="196"/>
      <c r="Y19" s="199">
        <f t="shared" si="4"/>
        <v>0</v>
      </c>
      <c r="Z19" s="196"/>
      <c r="AA19" s="196">
        <v>139</v>
      </c>
      <c r="AB19" s="196"/>
      <c r="AC19" s="1703">
        <f t="shared" si="5"/>
        <v>3.9478923651169908</v>
      </c>
      <c r="AD19" s="199"/>
      <c r="AE19" s="196"/>
      <c r="AF19" s="196">
        <v>722</v>
      </c>
      <c r="AG19" s="196"/>
      <c r="AH19" s="201">
        <f t="shared" si="6"/>
        <v>20.50631861593142</v>
      </c>
      <c r="AI19" s="201"/>
      <c r="AJ19" s="196"/>
      <c r="AK19" s="196">
        <v>683</v>
      </c>
      <c r="AL19" s="196"/>
      <c r="AM19" s="196"/>
      <c r="AN19" s="196">
        <v>1057</v>
      </c>
    </row>
    <row r="20" spans="3:40" x14ac:dyDescent="0.4">
      <c r="C20" s="198">
        <v>1997</v>
      </c>
      <c r="D20" s="197">
        <v>3611224</v>
      </c>
      <c r="E20" s="198"/>
      <c r="F20" s="196">
        <v>20</v>
      </c>
      <c r="G20" s="196"/>
      <c r="H20" s="199">
        <f t="shared" si="0"/>
        <v>0.55382884030456159</v>
      </c>
      <c r="I20" s="200"/>
      <c r="J20" s="200">
        <v>2</v>
      </c>
      <c r="K20" s="199">
        <f t="shared" si="1"/>
        <v>5.5382884030456159E-2</v>
      </c>
      <c r="L20" s="196"/>
      <c r="M20" s="196">
        <v>1714</v>
      </c>
      <c r="N20" s="196"/>
      <c r="O20" s="196">
        <f t="shared" si="2"/>
        <v>47.463131614100924</v>
      </c>
      <c r="P20" s="196"/>
      <c r="Q20" s="196"/>
      <c r="R20" s="196">
        <v>1235</v>
      </c>
      <c r="S20" s="196"/>
      <c r="T20" s="196">
        <f t="shared" si="3"/>
        <v>34.198930888806679</v>
      </c>
      <c r="U20" s="196"/>
      <c r="V20" s="196"/>
      <c r="W20" s="197">
        <v>0</v>
      </c>
      <c r="X20" s="196"/>
      <c r="Y20" s="199">
        <f t="shared" si="4"/>
        <v>0</v>
      </c>
      <c r="Z20" s="196"/>
      <c r="AA20" s="196">
        <v>14</v>
      </c>
      <c r="AB20" s="196"/>
      <c r="AC20" s="1703">
        <f t="shared" si="5"/>
        <v>0.38768018821319311</v>
      </c>
      <c r="AD20" s="199"/>
      <c r="AE20" s="196"/>
      <c r="AF20" s="196">
        <v>105</v>
      </c>
      <c r="AG20" s="196"/>
      <c r="AH20" s="201">
        <f t="shared" si="6"/>
        <v>2.9076014115989484</v>
      </c>
      <c r="AI20" s="201"/>
      <c r="AJ20" s="196"/>
      <c r="AK20" s="196">
        <v>81</v>
      </c>
      <c r="AL20" s="196"/>
      <c r="AM20" s="196"/>
      <c r="AN20" s="196">
        <v>1059</v>
      </c>
    </row>
    <row r="21" spans="3:40" x14ac:dyDescent="0.4">
      <c r="C21" s="198">
        <v>1998</v>
      </c>
      <c r="D21" s="197">
        <v>3699939</v>
      </c>
      <c r="E21" s="198"/>
      <c r="F21" s="196">
        <v>14</v>
      </c>
      <c r="G21" s="196"/>
      <c r="H21" s="199">
        <f t="shared" si="0"/>
        <v>0.37838461661124684</v>
      </c>
      <c r="I21" s="200"/>
      <c r="J21" s="200">
        <v>2</v>
      </c>
      <c r="K21" s="199">
        <f t="shared" si="1"/>
        <v>5.405494523017812E-2</v>
      </c>
      <c r="L21" s="196"/>
      <c r="M21" s="196">
        <v>7467</v>
      </c>
      <c r="N21" s="196"/>
      <c r="O21" s="196">
        <f t="shared" si="2"/>
        <v>201.81413801687</v>
      </c>
      <c r="P21" s="196"/>
      <c r="Q21" s="196"/>
      <c r="R21" s="196">
        <v>8006</v>
      </c>
      <c r="S21" s="196"/>
      <c r="T21" s="196">
        <f t="shared" si="3"/>
        <v>216.38194575640301</v>
      </c>
      <c r="U21" s="196"/>
      <c r="V21" s="196"/>
      <c r="W21" s="197">
        <v>2</v>
      </c>
      <c r="X21" s="196"/>
      <c r="Y21" s="199">
        <f t="shared" si="4"/>
        <v>5.405494523017812E-2</v>
      </c>
      <c r="Z21" s="196"/>
      <c r="AA21" s="196">
        <v>243</v>
      </c>
      <c r="AB21" s="196"/>
      <c r="AC21" s="1703">
        <f t="shared" si="5"/>
        <v>6.567675845466642</v>
      </c>
      <c r="AD21" s="199"/>
      <c r="AE21" s="196"/>
      <c r="AF21" s="196">
        <v>911</v>
      </c>
      <c r="AG21" s="196"/>
      <c r="AH21" s="201">
        <f t="shared" si="6"/>
        <v>24.622027552346132</v>
      </c>
      <c r="AI21" s="201"/>
      <c r="AJ21" s="196"/>
      <c r="AK21" s="196">
        <v>122</v>
      </c>
      <c r="AL21" s="196"/>
      <c r="AM21" s="196"/>
      <c r="AN21" s="196">
        <v>1815</v>
      </c>
    </row>
    <row r="22" spans="3:40" x14ac:dyDescent="0.4">
      <c r="C22" s="198">
        <v>1999</v>
      </c>
      <c r="D22" s="197">
        <v>3786841</v>
      </c>
      <c r="E22" s="198"/>
      <c r="F22" s="196">
        <v>12</v>
      </c>
      <c r="G22" s="196"/>
      <c r="H22" s="199">
        <f t="shared" si="0"/>
        <v>0.31688681938322733</v>
      </c>
      <c r="I22" s="200"/>
      <c r="J22" s="200">
        <v>0</v>
      </c>
      <c r="K22" s="199">
        <f t="shared" si="1"/>
        <v>0</v>
      </c>
      <c r="L22" s="196"/>
      <c r="M22" s="196">
        <v>14786</v>
      </c>
      <c r="N22" s="196"/>
      <c r="O22" s="196">
        <f t="shared" si="2"/>
        <v>390.45737595003328</v>
      </c>
      <c r="P22" s="196"/>
      <c r="Q22" s="196"/>
      <c r="R22" s="196">
        <v>12829</v>
      </c>
      <c r="S22" s="196"/>
      <c r="T22" s="196">
        <f t="shared" si="3"/>
        <v>338.77841715561863</v>
      </c>
      <c r="U22" s="196"/>
      <c r="V22" s="196"/>
      <c r="W22" s="197">
        <v>0</v>
      </c>
      <c r="X22" s="196"/>
      <c r="Y22" s="199">
        <f t="shared" si="4"/>
        <v>0</v>
      </c>
      <c r="Z22" s="196"/>
      <c r="AA22" s="196">
        <v>18</v>
      </c>
      <c r="AB22" s="196"/>
      <c r="AC22" s="1703">
        <f t="shared" si="5"/>
        <v>0.47533022907484096</v>
      </c>
      <c r="AD22" s="199"/>
      <c r="AE22" s="196"/>
      <c r="AF22" s="196">
        <v>3410</v>
      </c>
      <c r="AG22" s="196"/>
      <c r="AH22" s="201">
        <f t="shared" si="6"/>
        <v>90.048671174733769</v>
      </c>
      <c r="AI22" s="201"/>
      <c r="AJ22" s="196"/>
      <c r="AK22" s="196">
        <v>173</v>
      </c>
      <c r="AL22" s="196"/>
      <c r="AM22" s="196"/>
      <c r="AN22" s="196">
        <v>5085</v>
      </c>
    </row>
    <row r="23" spans="3:40" x14ac:dyDescent="0.4">
      <c r="C23" s="198">
        <v>2000</v>
      </c>
      <c r="D23" s="197">
        <v>3872349</v>
      </c>
      <c r="E23" s="198"/>
      <c r="F23" s="196">
        <v>8</v>
      </c>
      <c r="G23" s="196"/>
      <c r="H23" s="199">
        <f t="shared" si="0"/>
        <v>0.20659294913759063</v>
      </c>
      <c r="I23" s="200"/>
      <c r="J23" s="200">
        <v>8</v>
      </c>
      <c r="K23" s="199">
        <f t="shared" si="1"/>
        <v>0.20659294913759063</v>
      </c>
      <c r="L23" s="196"/>
      <c r="M23" s="196">
        <v>3766</v>
      </c>
      <c r="N23" s="196"/>
      <c r="O23" s="196">
        <f t="shared" si="2"/>
        <v>97.253630806520803</v>
      </c>
      <c r="P23" s="196"/>
      <c r="Q23" s="196"/>
      <c r="R23" s="196">
        <v>2440</v>
      </c>
      <c r="S23" s="196"/>
      <c r="T23" s="196">
        <f t="shared" si="3"/>
        <v>63.010849486965142</v>
      </c>
      <c r="U23" s="196"/>
      <c r="V23" s="196"/>
      <c r="W23" s="197">
        <v>0</v>
      </c>
      <c r="X23" s="196"/>
      <c r="Y23" s="199">
        <f t="shared" si="4"/>
        <v>0</v>
      </c>
      <c r="Z23" s="196"/>
      <c r="AA23" s="196">
        <v>14</v>
      </c>
      <c r="AB23" s="196"/>
      <c r="AC23" s="1703">
        <f t="shared" si="5"/>
        <v>0.3615376609907836</v>
      </c>
      <c r="AD23" s="199"/>
      <c r="AE23" s="196"/>
      <c r="AF23" s="196">
        <v>0</v>
      </c>
      <c r="AG23" s="196"/>
      <c r="AH23" s="201">
        <f t="shared" si="6"/>
        <v>0</v>
      </c>
      <c r="AI23" s="201"/>
      <c r="AJ23" s="196"/>
      <c r="AK23" s="196">
        <v>5</v>
      </c>
      <c r="AL23" s="196"/>
      <c r="AM23" s="196"/>
      <c r="AN23" s="196">
        <v>1577</v>
      </c>
    </row>
    <row r="24" spans="3:40" x14ac:dyDescent="0.4">
      <c r="C24" s="198">
        <v>2001</v>
      </c>
      <c r="D24" s="197">
        <v>3953393</v>
      </c>
      <c r="E24" s="198"/>
      <c r="F24" s="196">
        <v>2</v>
      </c>
      <c r="G24" s="196"/>
      <c r="H24" s="199">
        <f t="shared" si="0"/>
        <v>5.0589455690339923E-2</v>
      </c>
      <c r="I24" s="200"/>
      <c r="J24" s="200">
        <v>0</v>
      </c>
      <c r="K24" s="199">
        <f t="shared" si="1"/>
        <v>0</v>
      </c>
      <c r="L24" s="196"/>
      <c r="M24" s="196">
        <v>3838</v>
      </c>
      <c r="N24" s="196"/>
      <c r="O24" s="196">
        <f t="shared" si="2"/>
        <v>97.081165469762311</v>
      </c>
      <c r="P24" s="196"/>
      <c r="Q24" s="196"/>
      <c r="R24" s="196">
        <v>2285</v>
      </c>
      <c r="S24" s="196"/>
      <c r="T24" s="196">
        <f t="shared" si="3"/>
        <v>57.79845312621336</v>
      </c>
      <c r="U24" s="196"/>
      <c r="V24" s="196"/>
      <c r="W24" s="197">
        <v>1</v>
      </c>
      <c r="X24" s="196"/>
      <c r="Y24" s="199">
        <f t="shared" si="4"/>
        <v>2.5294727845169961E-2</v>
      </c>
      <c r="Z24" s="196"/>
      <c r="AA24" s="196">
        <v>0</v>
      </c>
      <c r="AB24" s="196"/>
      <c r="AC24" s="1703">
        <f t="shared" si="5"/>
        <v>0</v>
      </c>
      <c r="AD24" s="199"/>
      <c r="AE24" s="196"/>
      <c r="AF24" s="196">
        <v>432</v>
      </c>
      <c r="AG24" s="196"/>
      <c r="AH24" s="201">
        <f t="shared" si="6"/>
        <v>10.927322429113422</v>
      </c>
      <c r="AI24" s="201"/>
      <c r="AJ24" s="196"/>
      <c r="AK24" s="196">
        <v>21</v>
      </c>
      <c r="AL24" s="196"/>
      <c r="AM24" s="196"/>
      <c r="AN24" s="196">
        <v>1555</v>
      </c>
    </row>
    <row r="25" spans="3:40" x14ac:dyDescent="0.4">
      <c r="C25" s="198">
        <v>2002</v>
      </c>
      <c r="D25" s="197">
        <v>4022431</v>
      </c>
      <c r="E25" s="198"/>
      <c r="F25" s="196">
        <v>18</v>
      </c>
      <c r="G25" s="196"/>
      <c r="H25" s="199">
        <f t="shared" si="0"/>
        <v>0.44749058467379549</v>
      </c>
      <c r="I25" s="200"/>
      <c r="J25" s="200">
        <v>7</v>
      </c>
      <c r="K25" s="199">
        <f t="shared" si="1"/>
        <v>0.1740241162620316</v>
      </c>
      <c r="L25" s="196"/>
      <c r="M25" s="196">
        <v>14835</v>
      </c>
      <c r="N25" s="196"/>
      <c r="O25" s="196">
        <f t="shared" si="2"/>
        <v>368.80682353531978</v>
      </c>
      <c r="P25" s="196"/>
      <c r="Q25" s="196"/>
      <c r="R25" s="196">
        <v>12638</v>
      </c>
      <c r="S25" s="196"/>
      <c r="T25" s="196">
        <f t="shared" si="3"/>
        <v>314.1881116170793</v>
      </c>
      <c r="U25" s="196"/>
      <c r="V25" s="196"/>
      <c r="W25" s="197">
        <v>0</v>
      </c>
      <c r="X25" s="196"/>
      <c r="Y25" s="199">
        <f t="shared" si="4"/>
        <v>0</v>
      </c>
      <c r="Z25" s="196"/>
      <c r="AA25" s="196">
        <v>1</v>
      </c>
      <c r="AB25" s="196"/>
      <c r="AC25" s="1703">
        <f t="shared" si="5"/>
        <v>2.4860588037433084E-2</v>
      </c>
      <c r="AD25" s="199"/>
      <c r="AE25" s="196"/>
      <c r="AF25" s="196">
        <v>0</v>
      </c>
      <c r="AG25" s="196"/>
      <c r="AH25" s="201">
        <f t="shared" si="6"/>
        <v>0</v>
      </c>
      <c r="AI25" s="201"/>
      <c r="AJ25" s="196"/>
      <c r="AK25" s="196">
        <v>98</v>
      </c>
      <c r="AL25" s="196"/>
      <c r="AM25" s="196"/>
      <c r="AN25" s="196">
        <v>1527</v>
      </c>
    </row>
    <row r="26" spans="3:40" x14ac:dyDescent="0.4">
      <c r="C26" s="198">
        <v>2003</v>
      </c>
      <c r="D26" s="197">
        <v>4086405</v>
      </c>
      <c r="E26" s="198"/>
      <c r="F26" s="196">
        <v>1</v>
      </c>
      <c r="G26" s="196"/>
      <c r="H26" s="199">
        <f t="shared" si="0"/>
        <v>2.4471387442018107E-2</v>
      </c>
      <c r="I26" s="200"/>
      <c r="J26" s="200">
        <v>0</v>
      </c>
      <c r="K26" s="199">
        <f t="shared" si="1"/>
        <v>0</v>
      </c>
      <c r="L26" s="196"/>
      <c r="M26" s="196">
        <v>2455</v>
      </c>
      <c r="N26" s="196"/>
      <c r="O26" s="196">
        <f t="shared" si="2"/>
        <v>60.077256170154449</v>
      </c>
      <c r="P26" s="196"/>
      <c r="Q26" s="196"/>
      <c r="R26" s="196">
        <v>462</v>
      </c>
      <c r="S26" s="196"/>
      <c r="T26" s="196">
        <f t="shared" si="3"/>
        <v>11.305780998212365</v>
      </c>
      <c r="U26" s="196"/>
      <c r="V26" s="196"/>
      <c r="W26" s="197">
        <v>0</v>
      </c>
      <c r="X26" s="196"/>
      <c r="Y26" s="199">
        <f t="shared" si="4"/>
        <v>0</v>
      </c>
      <c r="Z26" s="196"/>
      <c r="AA26" s="196">
        <v>0</v>
      </c>
      <c r="AB26" s="196"/>
      <c r="AC26" s="1703">
        <f t="shared" si="5"/>
        <v>0</v>
      </c>
      <c r="AD26" s="199"/>
      <c r="AE26" s="196"/>
      <c r="AF26" s="196">
        <v>500000</v>
      </c>
      <c r="AG26" s="196"/>
      <c r="AH26" s="201">
        <f t="shared" si="6"/>
        <v>12235.693721009053</v>
      </c>
      <c r="AI26" s="201"/>
      <c r="AJ26" s="196"/>
      <c r="AK26" s="196">
        <v>90</v>
      </c>
      <c r="AL26" s="196"/>
      <c r="AM26" s="196"/>
      <c r="AN26" s="196">
        <v>1525</v>
      </c>
    </row>
    <row r="27" spans="3:40" x14ac:dyDescent="0.4">
      <c r="C27" s="198">
        <v>2004</v>
      </c>
      <c r="D27" s="197">
        <v>4151823</v>
      </c>
      <c r="E27" s="198"/>
      <c r="F27" s="196">
        <v>9</v>
      </c>
      <c r="G27" s="196"/>
      <c r="H27" s="199">
        <f t="shared" si="0"/>
        <v>0.21677224679375781</v>
      </c>
      <c r="I27" s="200"/>
      <c r="J27" s="200">
        <v>0</v>
      </c>
      <c r="K27" s="199">
        <f t="shared" si="1"/>
        <v>0</v>
      </c>
      <c r="L27" s="196"/>
      <c r="M27" s="196">
        <v>1763</v>
      </c>
      <c r="N27" s="196"/>
      <c r="O27" s="196">
        <f t="shared" si="2"/>
        <v>42.46327456637723</v>
      </c>
      <c r="P27" s="196"/>
      <c r="Q27" s="196"/>
      <c r="R27" s="196">
        <v>1411</v>
      </c>
      <c r="S27" s="196"/>
      <c r="T27" s="196">
        <f t="shared" si="3"/>
        <v>33.985071136221364</v>
      </c>
      <c r="U27" s="196"/>
      <c r="V27" s="196"/>
      <c r="W27" s="197">
        <v>0</v>
      </c>
      <c r="X27" s="196"/>
      <c r="Y27" s="199">
        <f t="shared" si="4"/>
        <v>0</v>
      </c>
      <c r="Z27" s="196"/>
      <c r="AA27" s="196">
        <v>0</v>
      </c>
      <c r="AB27" s="196"/>
      <c r="AC27" s="1703">
        <f t="shared" si="5"/>
        <v>0</v>
      </c>
      <c r="AD27" s="199"/>
      <c r="AE27" s="196"/>
      <c r="AF27" s="196">
        <v>18</v>
      </c>
      <c r="AG27" s="196"/>
      <c r="AH27" s="201">
        <f t="shared" si="6"/>
        <v>0.43354449358751562</v>
      </c>
      <c r="AI27" s="201"/>
      <c r="AJ27" s="196"/>
      <c r="AK27" s="196">
        <v>15</v>
      </c>
      <c r="AL27" s="196"/>
      <c r="AM27" s="196"/>
      <c r="AN27" s="196">
        <v>2012</v>
      </c>
    </row>
    <row r="28" spans="3:40" x14ac:dyDescent="0.4">
      <c r="C28" s="198">
        <v>2005</v>
      </c>
      <c r="D28" s="197">
        <v>4215248</v>
      </c>
      <c r="E28" s="198"/>
      <c r="F28" s="196">
        <v>9</v>
      </c>
      <c r="G28" s="196"/>
      <c r="H28" s="199">
        <f t="shared" si="0"/>
        <v>0.21351056924764569</v>
      </c>
      <c r="I28" s="200"/>
      <c r="J28" s="200">
        <v>1</v>
      </c>
      <c r="K28" s="199">
        <f t="shared" si="1"/>
        <v>2.3723396583071741E-2</v>
      </c>
      <c r="L28" s="196"/>
      <c r="M28" s="196">
        <v>20215</v>
      </c>
      <c r="N28" s="196"/>
      <c r="O28" s="196">
        <f t="shared" si="2"/>
        <v>479.56846192679524</v>
      </c>
      <c r="P28" s="196"/>
      <c r="Q28" s="196"/>
      <c r="R28" s="196">
        <v>2866</v>
      </c>
      <c r="S28" s="196"/>
      <c r="T28" s="196">
        <f t="shared" si="3"/>
        <v>67.991254607083619</v>
      </c>
      <c r="U28" s="196"/>
      <c r="V28" s="196"/>
      <c r="W28" s="197">
        <v>50</v>
      </c>
      <c r="X28" s="196"/>
      <c r="Y28" s="199">
        <f t="shared" si="4"/>
        <v>1.1861698291535872</v>
      </c>
      <c r="Z28" s="196"/>
      <c r="AA28" s="196">
        <v>0</v>
      </c>
      <c r="AB28" s="196"/>
      <c r="AC28" s="1703">
        <f t="shared" si="5"/>
        <v>0</v>
      </c>
      <c r="AD28" s="199"/>
      <c r="AE28" s="196"/>
      <c r="AF28" s="196">
        <v>60</v>
      </c>
      <c r="AG28" s="196"/>
      <c r="AH28" s="201">
        <f t="shared" si="6"/>
        <v>1.4234037949843046</v>
      </c>
      <c r="AI28" s="201"/>
      <c r="AJ28" s="196"/>
      <c r="AK28" s="196">
        <v>35</v>
      </c>
      <c r="AL28" s="196"/>
      <c r="AM28" s="196"/>
      <c r="AN28" s="196">
        <v>3286</v>
      </c>
    </row>
    <row r="29" spans="3:40" x14ac:dyDescent="0.4">
      <c r="C29" s="198">
        <v>2006</v>
      </c>
      <c r="D29" s="197">
        <v>4278656</v>
      </c>
      <c r="E29" s="198"/>
      <c r="F29" s="196">
        <v>7</v>
      </c>
      <c r="G29" s="196"/>
      <c r="H29" s="199">
        <f t="shared" si="0"/>
        <v>0.16360277619888117</v>
      </c>
      <c r="I29" s="200"/>
      <c r="J29" s="200">
        <v>0</v>
      </c>
      <c r="K29" s="199">
        <f t="shared" si="1"/>
        <v>0</v>
      </c>
      <c r="L29" s="196"/>
      <c r="M29" s="196">
        <v>2441</v>
      </c>
      <c r="N29" s="196"/>
      <c r="O29" s="196">
        <f t="shared" si="2"/>
        <v>57.050625243066982</v>
      </c>
      <c r="P29" s="196"/>
      <c r="Q29" s="196"/>
      <c r="R29" s="196">
        <v>155</v>
      </c>
      <c r="S29" s="196"/>
      <c r="T29" s="196">
        <f t="shared" si="3"/>
        <v>3.6226329015466541</v>
      </c>
      <c r="U29" s="196"/>
      <c r="V29" s="196"/>
      <c r="W29" s="197">
        <v>58</v>
      </c>
      <c r="X29" s="196"/>
      <c r="Y29" s="199">
        <f t="shared" si="4"/>
        <v>1.3555658599335867</v>
      </c>
      <c r="Z29" s="196"/>
      <c r="AA29" s="196">
        <v>0</v>
      </c>
      <c r="AB29" s="196"/>
      <c r="AC29" s="1703">
        <f t="shared" si="5"/>
        <v>0</v>
      </c>
      <c r="AD29" s="199"/>
      <c r="AE29" s="196"/>
      <c r="AF29" s="196">
        <v>667</v>
      </c>
      <c r="AG29" s="196"/>
      <c r="AH29" s="201">
        <f t="shared" si="6"/>
        <v>15.589007389236247</v>
      </c>
      <c r="AI29" s="201"/>
      <c r="AJ29" s="196"/>
      <c r="AK29" s="196">
        <v>2</v>
      </c>
      <c r="AL29" s="196"/>
      <c r="AM29" s="196"/>
      <c r="AN29" s="196">
        <v>1414</v>
      </c>
    </row>
    <row r="30" spans="3:40" x14ac:dyDescent="0.4">
      <c r="C30" s="198">
        <v>2007</v>
      </c>
      <c r="D30" s="197">
        <v>4340390</v>
      </c>
      <c r="E30" s="198"/>
      <c r="F30" s="196">
        <v>30</v>
      </c>
      <c r="G30" s="196"/>
      <c r="H30" s="199">
        <f t="shared" si="0"/>
        <v>0.69118212879487784</v>
      </c>
      <c r="I30" s="200"/>
      <c r="J30" s="200">
        <v>2</v>
      </c>
      <c r="K30" s="199">
        <f t="shared" si="1"/>
        <v>4.6078808586325189E-2</v>
      </c>
      <c r="L30" s="196"/>
      <c r="M30" s="196">
        <v>24385</v>
      </c>
      <c r="N30" s="196"/>
      <c r="O30" s="196">
        <f t="shared" si="2"/>
        <v>561.8158736887699</v>
      </c>
      <c r="P30" s="196"/>
      <c r="Q30" s="196"/>
      <c r="R30" s="196">
        <v>4857</v>
      </c>
      <c r="S30" s="196"/>
      <c r="T30" s="196">
        <f t="shared" si="3"/>
        <v>111.90238665189072</v>
      </c>
      <c r="U30" s="196"/>
      <c r="V30" s="196"/>
      <c r="W30" s="197">
        <v>20</v>
      </c>
      <c r="X30" s="196"/>
      <c r="Y30" s="199">
        <f t="shared" si="4"/>
        <v>0.46078808586325193</v>
      </c>
      <c r="Z30" s="196"/>
      <c r="AA30" s="196">
        <v>0</v>
      </c>
      <c r="AB30" s="196"/>
      <c r="AC30" s="1703">
        <f t="shared" si="5"/>
        <v>0</v>
      </c>
      <c r="AD30" s="199"/>
      <c r="AE30" s="196"/>
      <c r="AF30" s="196">
        <v>5129</v>
      </c>
      <c r="AG30" s="196"/>
      <c r="AH30" s="201">
        <f t="shared" si="6"/>
        <v>118.16910461963094</v>
      </c>
      <c r="AI30" s="201"/>
      <c r="AJ30" s="196"/>
      <c r="AK30" s="196">
        <v>174</v>
      </c>
      <c r="AL30" s="196"/>
      <c r="AM30" s="196"/>
      <c r="AN30" s="196">
        <v>8910</v>
      </c>
    </row>
    <row r="31" spans="3:40" x14ac:dyDescent="0.4">
      <c r="C31" s="198">
        <v>2008</v>
      </c>
      <c r="D31" s="197">
        <v>4404090</v>
      </c>
      <c r="E31" s="198"/>
      <c r="F31" s="196">
        <v>9</v>
      </c>
      <c r="G31" s="196"/>
      <c r="H31" s="199">
        <f t="shared" si="0"/>
        <v>0.204355496822272</v>
      </c>
      <c r="I31" s="200"/>
      <c r="J31" s="200">
        <v>3</v>
      </c>
      <c r="K31" s="199">
        <f t="shared" si="1"/>
        <v>6.8118498940757347E-2</v>
      </c>
      <c r="L31" s="196"/>
      <c r="M31" s="196">
        <v>4371</v>
      </c>
      <c r="N31" s="196"/>
      <c r="O31" s="196">
        <f t="shared" si="2"/>
        <v>99.248652956683443</v>
      </c>
      <c r="P31" s="196"/>
      <c r="Q31" s="196"/>
      <c r="R31" s="196">
        <v>290</v>
      </c>
      <c r="S31" s="196"/>
      <c r="T31" s="196">
        <f t="shared" si="3"/>
        <v>6.5847882309398766</v>
      </c>
      <c r="U31" s="196"/>
      <c r="V31" s="196"/>
      <c r="W31" s="197">
        <v>30</v>
      </c>
      <c r="X31" s="196"/>
      <c r="Y31" s="199">
        <f t="shared" si="4"/>
        <v>0.68118498940757333</v>
      </c>
      <c r="Z31" s="196"/>
      <c r="AA31" s="196">
        <v>0</v>
      </c>
      <c r="AB31" s="196"/>
      <c r="AC31" s="1703">
        <f t="shared" si="5"/>
        <v>0</v>
      </c>
      <c r="AD31" s="199"/>
      <c r="AE31" s="196"/>
      <c r="AF31" s="196">
        <v>15739</v>
      </c>
      <c r="AG31" s="196"/>
      <c r="AH31" s="201">
        <f t="shared" si="6"/>
        <v>357.37235160952662</v>
      </c>
      <c r="AI31" s="201"/>
      <c r="AJ31" s="196"/>
      <c r="AK31" s="196">
        <v>274</v>
      </c>
      <c r="AL31" s="196"/>
      <c r="AM31" s="196"/>
      <c r="AN31" s="196">
        <v>2973</v>
      </c>
    </row>
    <row r="32" spans="3:40" x14ac:dyDescent="0.4">
      <c r="C32" s="198">
        <v>2009</v>
      </c>
      <c r="D32" s="197">
        <v>4469337</v>
      </c>
      <c r="E32" s="198"/>
      <c r="F32" s="196">
        <v>28</v>
      </c>
      <c r="G32" s="196"/>
      <c r="H32" s="199">
        <f t="shared" si="0"/>
        <v>0.62649113280112911</v>
      </c>
      <c r="I32" s="200"/>
      <c r="J32" s="200">
        <v>7</v>
      </c>
      <c r="K32" s="199">
        <f t="shared" si="1"/>
        <v>0.15662278320028228</v>
      </c>
      <c r="L32" s="196"/>
      <c r="M32" s="196">
        <v>14653</v>
      </c>
      <c r="N32" s="196"/>
      <c r="O32" s="196">
        <f t="shared" si="2"/>
        <v>327.85623460481946</v>
      </c>
      <c r="P32" s="196"/>
      <c r="Q32" s="196"/>
      <c r="R32" s="196">
        <v>1048</v>
      </c>
      <c r="S32" s="196"/>
      <c r="T32" s="196">
        <f t="shared" si="3"/>
        <v>23.448668113413689</v>
      </c>
      <c r="U32" s="196"/>
      <c r="V32" s="196"/>
      <c r="W32" s="197">
        <v>10</v>
      </c>
      <c r="X32" s="196"/>
      <c r="Y32" s="199">
        <f t="shared" si="4"/>
        <v>0.22374683314326041</v>
      </c>
      <c r="Z32" s="196"/>
      <c r="AA32" s="196">
        <v>0</v>
      </c>
      <c r="AB32" s="196"/>
      <c r="AC32" s="1703">
        <f t="shared" si="5"/>
        <v>0</v>
      </c>
      <c r="AD32" s="199"/>
      <c r="AE32" s="196"/>
      <c r="AF32" s="196">
        <v>0</v>
      </c>
      <c r="AG32" s="196"/>
      <c r="AH32" s="201">
        <f t="shared" si="6"/>
        <v>0</v>
      </c>
      <c r="AI32" s="201"/>
      <c r="AJ32" s="196"/>
      <c r="AK32" s="196">
        <v>853</v>
      </c>
      <c r="AL32" s="196"/>
      <c r="AM32" s="196"/>
      <c r="AN32" s="196">
        <v>2654</v>
      </c>
    </row>
    <row r="33" spans="3:40" x14ac:dyDescent="0.4">
      <c r="C33" s="198">
        <v>2010</v>
      </c>
      <c r="D33" s="197">
        <v>4533894</v>
      </c>
      <c r="E33" s="198"/>
      <c r="F33" s="196">
        <v>41</v>
      </c>
      <c r="G33" s="196"/>
      <c r="H33" s="199">
        <f t="shared" si="0"/>
        <v>0.90429992408291859</v>
      </c>
      <c r="I33" s="200"/>
      <c r="J33" s="200">
        <v>2</v>
      </c>
      <c r="K33" s="199">
        <f t="shared" si="1"/>
        <v>4.4112191418678955E-2</v>
      </c>
      <c r="L33" s="196"/>
      <c r="M33" s="196">
        <v>28797</v>
      </c>
      <c r="N33" s="196"/>
      <c r="O33" s="196">
        <f t="shared" si="2"/>
        <v>635.14938814184893</v>
      </c>
      <c r="P33" s="196"/>
      <c r="Q33" s="196"/>
      <c r="R33" s="196">
        <v>5104</v>
      </c>
      <c r="S33" s="196"/>
      <c r="T33" s="196">
        <f t="shared" si="3"/>
        <v>112.57431250046869</v>
      </c>
      <c r="U33" s="196"/>
      <c r="V33" s="196"/>
      <c r="W33" s="197">
        <v>73</v>
      </c>
      <c r="X33" s="196"/>
      <c r="Y33" s="199">
        <f t="shared" si="4"/>
        <v>1.610094986781782</v>
      </c>
      <c r="Z33" s="196"/>
      <c r="AA33" s="196">
        <v>125</v>
      </c>
      <c r="AB33" s="196"/>
      <c r="AC33" s="1703">
        <f t="shared" si="5"/>
        <v>2.7570119636674346</v>
      </c>
      <c r="AD33" s="199"/>
      <c r="AE33" s="196"/>
      <c r="AF33" s="196">
        <v>5204</v>
      </c>
      <c r="AG33" s="196"/>
      <c r="AH33" s="201">
        <f t="shared" si="6"/>
        <v>114.77992207140264</v>
      </c>
      <c r="AI33" s="201"/>
      <c r="AJ33" s="196"/>
      <c r="AK33" s="196">
        <v>39</v>
      </c>
      <c r="AL33" s="196"/>
      <c r="AM33" s="196"/>
      <c r="AN33" s="196">
        <v>10536</v>
      </c>
    </row>
    <row r="34" spans="3:40" x14ac:dyDescent="0.4">
      <c r="C34" s="198">
        <v>2011</v>
      </c>
      <c r="D34" s="197">
        <v>4592149</v>
      </c>
      <c r="E34" s="198"/>
      <c r="F34" s="196">
        <v>11</v>
      </c>
      <c r="G34" s="196"/>
      <c r="H34" s="199">
        <f t="shared" si="0"/>
        <v>0.2395392658208608</v>
      </c>
      <c r="I34" s="200"/>
      <c r="J34" s="200">
        <v>0</v>
      </c>
      <c r="K34" s="199">
        <f t="shared" si="1"/>
        <v>0</v>
      </c>
      <c r="L34" s="196"/>
      <c r="M34" s="196">
        <v>9767</v>
      </c>
      <c r="N34" s="196"/>
      <c r="O34" s="196">
        <f t="shared" si="2"/>
        <v>212.68909175203154</v>
      </c>
      <c r="P34" s="196"/>
      <c r="Q34" s="196"/>
      <c r="R34" s="196">
        <v>1728</v>
      </c>
      <c r="S34" s="196"/>
      <c r="T34" s="196">
        <f t="shared" si="3"/>
        <v>37.62944103076795</v>
      </c>
      <c r="U34" s="196"/>
      <c r="V34" s="196"/>
      <c r="W34" s="197">
        <v>6</v>
      </c>
      <c r="X34" s="196"/>
      <c r="Y34" s="199">
        <f t="shared" si="4"/>
        <v>0.13065778135683315</v>
      </c>
      <c r="Z34" s="196"/>
      <c r="AA34" s="196">
        <v>45</v>
      </c>
      <c r="AB34" s="196"/>
      <c r="AC34" s="1703">
        <f t="shared" si="5"/>
        <v>0.97993336017624866</v>
      </c>
      <c r="AD34" s="199"/>
      <c r="AE34" s="196"/>
      <c r="AF34" s="196">
        <v>1222</v>
      </c>
      <c r="AG34" s="196"/>
      <c r="AH34" s="201">
        <f t="shared" si="6"/>
        <v>26.610634803008356</v>
      </c>
      <c r="AI34" s="201"/>
      <c r="AJ34" s="196"/>
      <c r="AK34" s="196">
        <v>19</v>
      </c>
      <c r="AL34" s="196"/>
      <c r="AM34" s="196"/>
      <c r="AN34" s="196">
        <v>2381</v>
      </c>
    </row>
    <row r="35" spans="3:40" x14ac:dyDescent="0.4">
      <c r="C35" s="198">
        <v>2012</v>
      </c>
      <c r="D35" s="197">
        <v>4652458.9305058112</v>
      </c>
      <c r="E35" s="198"/>
      <c r="F35" s="196">
        <v>14</v>
      </c>
      <c r="G35" s="196"/>
      <c r="H35" s="199">
        <f t="shared" si="0"/>
        <v>0.30091614368056185</v>
      </c>
      <c r="I35" s="200"/>
      <c r="J35" s="200">
        <v>3</v>
      </c>
      <c r="K35" s="199">
        <f t="shared" si="1"/>
        <v>6.4482030788691844E-2</v>
      </c>
      <c r="L35" s="196"/>
      <c r="M35" s="196">
        <v>18231</v>
      </c>
      <c r="N35" s="196"/>
      <c r="O35" s="196">
        <f t="shared" si="2"/>
        <v>391.85730110288029</v>
      </c>
      <c r="P35" s="196"/>
      <c r="Q35" s="196"/>
      <c r="R35" s="196">
        <v>1858</v>
      </c>
      <c r="S35" s="196"/>
      <c r="T35" s="196">
        <f t="shared" si="3"/>
        <v>39.935871068463143</v>
      </c>
      <c r="U35" s="196"/>
      <c r="V35" s="196"/>
      <c r="W35" s="197">
        <v>13</v>
      </c>
      <c r="X35" s="196"/>
      <c r="Y35" s="199">
        <f t="shared" si="4"/>
        <v>0.27942213341766459</v>
      </c>
      <c r="Z35" s="196"/>
      <c r="AA35" s="196">
        <v>1</v>
      </c>
      <c r="AB35" s="196"/>
      <c r="AC35" s="1703">
        <f t="shared" si="5"/>
        <v>2.1494010262897278E-2</v>
      </c>
      <c r="AD35" s="199"/>
      <c r="AE35" s="196"/>
      <c r="AF35" s="196">
        <v>120550</v>
      </c>
      <c r="AG35" s="196"/>
      <c r="AH35" s="201">
        <f t="shared" si="6"/>
        <v>2591.1029371922668</v>
      </c>
      <c r="AI35" s="201"/>
      <c r="AJ35" s="196"/>
      <c r="AK35" s="196">
        <v>770</v>
      </c>
      <c r="AL35" s="196"/>
      <c r="AM35" s="196"/>
      <c r="AN35" s="196">
        <v>3567</v>
      </c>
    </row>
    <row r="36" spans="3:40" x14ac:dyDescent="0.4">
      <c r="C36" s="198">
        <v>2013</v>
      </c>
      <c r="D36" s="197">
        <v>4713168.1414101515</v>
      </c>
      <c r="E36" s="198"/>
      <c r="F36" s="196">
        <v>12</v>
      </c>
      <c r="G36" s="196"/>
      <c r="H36" s="199">
        <f t="shared" si="0"/>
        <v>0.25460581163161461</v>
      </c>
      <c r="I36" s="200"/>
      <c r="J36" s="200">
        <v>0</v>
      </c>
      <c r="K36" s="199">
        <f t="shared" si="1"/>
        <v>0</v>
      </c>
      <c r="L36" s="196"/>
      <c r="M36" s="196">
        <v>6020</v>
      </c>
      <c r="N36" s="196"/>
      <c r="O36" s="196">
        <f t="shared" si="2"/>
        <v>127.72724883519332</v>
      </c>
      <c r="P36" s="196"/>
      <c r="Q36" s="196"/>
      <c r="R36" s="196">
        <v>342</v>
      </c>
      <c r="S36" s="196"/>
      <c r="T36" s="196">
        <f t="shared" si="3"/>
        <v>7.256265631501015</v>
      </c>
      <c r="U36" s="196"/>
      <c r="V36" s="196"/>
      <c r="W36" s="197">
        <v>16</v>
      </c>
      <c r="X36" s="196"/>
      <c r="Y36" s="199">
        <f t="shared" si="4"/>
        <v>0.33947441550881946</v>
      </c>
      <c r="Z36" s="196"/>
      <c r="AA36" s="196">
        <v>25</v>
      </c>
      <c r="AB36" s="196"/>
      <c r="AC36" s="1703">
        <f t="shared" si="5"/>
        <v>0.53042877423253043</v>
      </c>
      <c r="AD36" s="199"/>
      <c r="AE36" s="196"/>
      <c r="AF36" s="196">
        <v>2558</v>
      </c>
      <c r="AG36" s="196"/>
      <c r="AH36" s="201">
        <f t="shared" si="6"/>
        <v>54.273472179472499</v>
      </c>
      <c r="AI36" s="201"/>
      <c r="AJ36" s="196"/>
      <c r="AK36" s="196">
        <v>21</v>
      </c>
      <c r="AL36" s="196"/>
      <c r="AM36" s="196"/>
      <c r="AN36" s="196">
        <v>1447</v>
      </c>
    </row>
    <row r="37" spans="3:40" x14ac:dyDescent="0.4">
      <c r="C37" s="198">
        <v>2014</v>
      </c>
      <c r="D37" s="197">
        <v>4773129.933844462</v>
      </c>
      <c r="E37" s="198"/>
      <c r="F37" s="196">
        <v>10</v>
      </c>
      <c r="G37" s="196"/>
      <c r="H37" s="199">
        <f t="shared" si="0"/>
        <v>0.20950613410068258</v>
      </c>
      <c r="I37" s="200"/>
      <c r="J37" s="200">
        <v>2</v>
      </c>
      <c r="K37" s="199">
        <f t="shared" si="1"/>
        <v>4.1901226820136514E-2</v>
      </c>
      <c r="L37" s="196"/>
      <c r="M37" s="196">
        <v>11204</v>
      </c>
      <c r="N37" s="196"/>
      <c r="O37" s="196">
        <f t="shared" si="2"/>
        <v>234.73067264640477</v>
      </c>
      <c r="P37" s="196"/>
      <c r="Q37" s="196"/>
      <c r="R37" s="196">
        <v>863</v>
      </c>
      <c r="S37" s="196"/>
      <c r="T37" s="196">
        <f t="shared" si="3"/>
        <v>18.080379372888906</v>
      </c>
      <c r="U37" s="196"/>
      <c r="V37" s="196"/>
      <c r="W37" s="197">
        <v>28</v>
      </c>
      <c r="X37" s="196"/>
      <c r="Y37" s="199">
        <f t="shared" si="4"/>
        <v>0.58661717548191117</v>
      </c>
      <c r="Z37" s="196"/>
      <c r="AA37" s="196">
        <v>5</v>
      </c>
      <c r="AB37" s="196"/>
      <c r="AC37" s="1703">
        <f t="shared" si="5"/>
        <v>0.10475306705034129</v>
      </c>
      <c r="AD37" s="199"/>
      <c r="AE37" s="196"/>
      <c r="AF37" s="196">
        <v>7870</v>
      </c>
      <c r="AG37" s="196"/>
      <c r="AH37" s="201">
        <f t="shared" si="6"/>
        <v>164.88132753723718</v>
      </c>
      <c r="AI37" s="201"/>
      <c r="AJ37" s="196"/>
      <c r="AK37" s="196">
        <v>3</v>
      </c>
      <c r="AL37" s="196"/>
      <c r="AM37" s="196"/>
      <c r="AN37" s="196">
        <v>2680</v>
      </c>
    </row>
    <row r="38" spans="3:40" x14ac:dyDescent="0.4">
      <c r="C38" s="198">
        <v>2015</v>
      </c>
      <c r="D38" s="197">
        <v>4832233.8134650989</v>
      </c>
      <c r="E38" s="198"/>
      <c r="F38" s="196">
        <v>8</v>
      </c>
      <c r="G38" s="196"/>
      <c r="H38" s="199">
        <f t="shared" si="0"/>
        <v>0.1655549029458771</v>
      </c>
      <c r="I38" s="200"/>
      <c r="J38" s="200">
        <v>0</v>
      </c>
      <c r="K38" s="199">
        <f t="shared" si="1"/>
        <v>0</v>
      </c>
      <c r="L38" s="196"/>
      <c r="M38" s="196">
        <v>2068</v>
      </c>
      <c r="N38" s="196"/>
      <c r="O38" s="196">
        <f t="shared" si="2"/>
        <v>42.79594241150923</v>
      </c>
      <c r="P38" s="196"/>
      <c r="Q38" s="196"/>
      <c r="R38" s="196">
        <v>144</v>
      </c>
      <c r="S38" s="196"/>
      <c r="T38" s="196">
        <f t="shared" si="3"/>
        <v>2.979988253025788</v>
      </c>
      <c r="U38" s="196"/>
      <c r="V38" s="196"/>
      <c r="W38" s="197">
        <v>11</v>
      </c>
      <c r="X38" s="196"/>
      <c r="Y38" s="199">
        <f t="shared" si="4"/>
        <v>0.22763799155058101</v>
      </c>
      <c r="Z38" s="196"/>
      <c r="AA38" s="196">
        <v>36</v>
      </c>
      <c r="AB38" s="196"/>
      <c r="AC38" s="1703">
        <f t="shared" si="5"/>
        <v>0.74499706325644699</v>
      </c>
      <c r="AD38" s="199"/>
      <c r="AE38" s="196"/>
      <c r="AF38" s="196">
        <v>0</v>
      </c>
      <c r="AG38" s="196"/>
      <c r="AH38" s="201">
        <f t="shared" si="6"/>
        <v>0</v>
      </c>
      <c r="AI38" s="201"/>
      <c r="AJ38" s="196"/>
      <c r="AK38" s="196">
        <v>22</v>
      </c>
      <c r="AL38" s="196"/>
      <c r="AM38" s="196"/>
      <c r="AN38" s="196">
        <v>465</v>
      </c>
    </row>
    <row r="39" spans="3:40" x14ac:dyDescent="0.4">
      <c r="C39" s="198">
        <v>2016</v>
      </c>
      <c r="D39" s="197">
        <v>4890379.4522162471</v>
      </c>
      <c r="E39" s="198"/>
      <c r="F39" s="196">
        <v>16</v>
      </c>
      <c r="G39" s="196"/>
      <c r="H39" s="199">
        <f t="shared" si="0"/>
        <v>0.327172976173639</v>
      </c>
      <c r="I39" s="200"/>
      <c r="J39" s="200">
        <v>8</v>
      </c>
      <c r="K39" s="199">
        <f t="shared" si="1"/>
        <v>0.1635864880868195</v>
      </c>
      <c r="L39" s="196"/>
      <c r="M39" s="196">
        <v>1118</v>
      </c>
      <c r="N39" s="196"/>
      <c r="O39" s="196">
        <f t="shared" si="2"/>
        <v>22.861211710133027</v>
      </c>
      <c r="P39" s="196"/>
      <c r="Q39" s="196"/>
      <c r="R39" s="196">
        <v>34</v>
      </c>
      <c r="S39" s="196"/>
      <c r="T39" s="196">
        <f t="shared" si="3"/>
        <v>0.69524257436898296</v>
      </c>
      <c r="U39" s="196"/>
      <c r="V39" s="196"/>
      <c r="W39" s="197">
        <v>19</v>
      </c>
      <c r="X39" s="196"/>
      <c r="Y39" s="199">
        <f t="shared" si="4"/>
        <v>0.38851790920619633</v>
      </c>
      <c r="Z39" s="196"/>
      <c r="AA39" s="196">
        <v>26</v>
      </c>
      <c r="AB39" s="196"/>
      <c r="AC39" s="1703">
        <f t="shared" si="5"/>
        <v>0.53165608628216332</v>
      </c>
      <c r="AD39" s="199"/>
      <c r="AE39" s="196"/>
      <c r="AF39" s="196">
        <v>0</v>
      </c>
      <c r="AG39" s="196"/>
      <c r="AH39" s="201">
        <f t="shared" si="6"/>
        <v>0</v>
      </c>
      <c r="AI39" s="201"/>
      <c r="AJ39" s="196"/>
      <c r="AK39" s="196">
        <v>11</v>
      </c>
      <c r="AL39" s="196"/>
      <c r="AM39" s="196"/>
      <c r="AN39" s="196">
        <v>284</v>
      </c>
    </row>
    <row r="40" spans="3:40" x14ac:dyDescent="0.4">
      <c r="C40" s="198">
        <v>2017</v>
      </c>
      <c r="D40" s="197">
        <v>4947490</v>
      </c>
      <c r="E40" s="198"/>
      <c r="F40" s="196">
        <v>22</v>
      </c>
      <c r="G40" s="196"/>
      <c r="H40" s="199">
        <f t="shared" si="0"/>
        <v>0.44466992353698542</v>
      </c>
      <c r="I40" s="200"/>
      <c r="J40" s="200">
        <v>0</v>
      </c>
      <c r="K40" s="199">
        <f t="shared" si="1"/>
        <v>0</v>
      </c>
      <c r="L40" s="196"/>
      <c r="M40" s="196">
        <v>9169</v>
      </c>
      <c r="O40" s="196">
        <f t="shared" si="2"/>
        <v>185.32629676866452</v>
      </c>
      <c r="P40" s="196"/>
      <c r="Q40" s="196"/>
      <c r="R40" s="196"/>
      <c r="S40" s="196"/>
      <c r="T40" s="196">
        <f t="shared" si="3"/>
        <v>0</v>
      </c>
      <c r="U40" s="196"/>
      <c r="V40" s="196"/>
      <c r="W40" s="197">
        <v>11</v>
      </c>
      <c r="Y40" s="199">
        <f t="shared" si="4"/>
        <v>0.22233496176849271</v>
      </c>
      <c r="Z40" s="196"/>
      <c r="AA40" s="196">
        <v>222</v>
      </c>
      <c r="AC40" s="1703">
        <v>4.4871237738732166</v>
      </c>
      <c r="AD40" s="199"/>
      <c r="AE40" s="196"/>
      <c r="AG40" s="196"/>
      <c r="AH40" s="201">
        <f t="shared" si="6"/>
        <v>0</v>
      </c>
      <c r="AI40" s="201"/>
      <c r="AJ40" s="196"/>
      <c r="AK40" s="196">
        <v>425</v>
      </c>
      <c r="AL40" s="196"/>
      <c r="AM40" s="196"/>
      <c r="AN40" s="196">
        <v>2126</v>
      </c>
    </row>
    <row r="41" spans="3:40" x14ac:dyDescent="0.4">
      <c r="C41" s="198">
        <v>2018</v>
      </c>
      <c r="D41" s="197">
        <v>5003402</v>
      </c>
      <c r="E41" s="198"/>
      <c r="F41" s="196">
        <v>14</v>
      </c>
      <c r="G41" s="196"/>
      <c r="H41" s="199">
        <f t="shared" si="0"/>
        <v>0.27980961753622835</v>
      </c>
      <c r="I41" s="200"/>
      <c r="J41" s="200">
        <v>1</v>
      </c>
      <c r="K41" s="199">
        <f t="shared" si="1"/>
        <v>1.998640125258774E-2</v>
      </c>
      <c r="L41" s="196"/>
      <c r="M41" s="196">
        <v>0</v>
      </c>
      <c r="O41" s="196">
        <f t="shared" si="2"/>
        <v>0</v>
      </c>
      <c r="P41" s="196"/>
      <c r="Q41" s="196"/>
      <c r="R41" s="196">
        <v>7313</v>
      </c>
      <c r="S41" s="196"/>
      <c r="T41" s="196">
        <f t="shared" si="3"/>
        <v>146.16055236017414</v>
      </c>
      <c r="U41" s="196"/>
      <c r="V41" s="196"/>
      <c r="W41" s="197">
        <v>24</v>
      </c>
      <c r="Y41" s="199">
        <f t="shared" si="4"/>
        <v>0.47967363006210573</v>
      </c>
      <c r="Z41" s="196"/>
      <c r="AA41" s="196"/>
      <c r="AC41" s="1703"/>
      <c r="AD41" s="199"/>
      <c r="AE41" s="196"/>
      <c r="AF41" s="196">
        <v>17112</v>
      </c>
      <c r="AG41" s="196"/>
      <c r="AH41" s="201">
        <f t="shared" si="6"/>
        <v>342.00729823428139</v>
      </c>
      <c r="AI41" s="201"/>
      <c r="AJ41" s="196"/>
      <c r="AK41" s="196">
        <v>20</v>
      </c>
      <c r="AL41" s="196"/>
      <c r="AM41" s="196"/>
      <c r="AN41" s="196">
        <v>1937</v>
      </c>
    </row>
    <row r="42" spans="3:40" x14ac:dyDescent="0.4">
      <c r="C42" s="198">
        <v>2019</v>
      </c>
      <c r="D42" s="197">
        <v>5058007</v>
      </c>
      <c r="E42" s="198"/>
      <c r="F42" s="196">
        <v>3</v>
      </c>
      <c r="G42" s="196"/>
      <c r="H42" s="199">
        <f>+F42/D42*100000</f>
        <v>5.9311898935687515E-2</v>
      </c>
      <c r="I42" s="200"/>
      <c r="J42" s="200">
        <v>3</v>
      </c>
      <c r="K42" s="199">
        <f>+J42/D42*100000</f>
        <v>5.9311898935687515E-2</v>
      </c>
      <c r="L42" s="196"/>
      <c r="M42" s="196"/>
      <c r="O42" s="196">
        <f t="shared" si="2"/>
        <v>0</v>
      </c>
      <c r="P42" s="196"/>
      <c r="Q42" s="196"/>
      <c r="R42" s="196">
        <v>831</v>
      </c>
      <c r="S42" s="196"/>
      <c r="T42" s="196">
        <f t="shared" si="3"/>
        <v>16.429396005185442</v>
      </c>
      <c r="U42" s="196"/>
      <c r="V42" s="196"/>
      <c r="W42" s="197">
        <v>2</v>
      </c>
      <c r="Y42" s="199">
        <f>+W42/D42*100000</f>
        <v>3.954126595712501E-2</v>
      </c>
      <c r="Z42" s="196"/>
      <c r="AA42" s="196"/>
      <c r="AC42" s="1703"/>
      <c r="AD42" s="199"/>
      <c r="AE42" s="196"/>
      <c r="AF42" s="196">
        <v>309</v>
      </c>
      <c r="AG42" s="196"/>
      <c r="AH42" s="201">
        <f t="shared" si="6"/>
        <v>6.1091255903758146</v>
      </c>
      <c r="AI42" s="201"/>
      <c r="AJ42" s="196"/>
      <c r="AK42" s="196">
        <v>28</v>
      </c>
      <c r="AL42" s="196"/>
      <c r="AM42" s="196"/>
      <c r="AN42" s="196">
        <v>1117</v>
      </c>
    </row>
    <row r="43" spans="3:40" x14ac:dyDescent="0.4">
      <c r="C43" s="198">
        <v>2020</v>
      </c>
      <c r="D43" s="197">
        <v>5111238</v>
      </c>
      <c r="E43" s="198"/>
      <c r="F43" s="196">
        <v>2187</v>
      </c>
      <c r="G43" s="196"/>
      <c r="H43" s="199">
        <f>+F43/D43*100000</f>
        <v>42.78806817448141</v>
      </c>
      <c r="I43" s="200"/>
      <c r="J43" s="200">
        <v>0</v>
      </c>
      <c r="K43" s="199">
        <f>+J43/D43*100000</f>
        <v>0</v>
      </c>
      <c r="L43" s="196"/>
      <c r="M43" s="196">
        <v>0</v>
      </c>
      <c r="O43" s="156">
        <f t="shared" si="2"/>
        <v>0</v>
      </c>
      <c r="P43" s="196"/>
      <c r="Q43" s="196"/>
      <c r="R43" s="196">
        <v>0</v>
      </c>
      <c r="S43" s="196"/>
      <c r="T43" s="156">
        <f t="shared" si="3"/>
        <v>0</v>
      </c>
      <c r="U43" s="196"/>
      <c r="V43" s="196"/>
      <c r="W43" s="197">
        <v>169321</v>
      </c>
      <c r="Y43" s="199">
        <f>+W43/D43*100000</f>
        <v>3312.7199320399482</v>
      </c>
      <c r="Z43" s="196"/>
      <c r="AA43" s="196"/>
      <c r="AC43" s="194"/>
      <c r="AD43" s="199"/>
      <c r="AE43" s="196"/>
      <c r="AF43" s="196"/>
      <c r="AG43" s="196"/>
      <c r="AH43" s="195">
        <f t="shared" si="6"/>
        <v>0</v>
      </c>
      <c r="AI43" s="201"/>
      <c r="AJ43" s="196"/>
      <c r="AK43" s="196">
        <v>1660</v>
      </c>
      <c r="AL43" s="196"/>
      <c r="AM43" s="196"/>
      <c r="AN43" s="196">
        <v>998</v>
      </c>
    </row>
    <row r="44" spans="3:40" x14ac:dyDescent="0.4">
      <c r="C44" s="198">
        <v>2021</v>
      </c>
      <c r="D44" s="197">
        <v>5170506</v>
      </c>
      <c r="E44" s="198"/>
      <c r="F44" s="196">
        <v>5175</v>
      </c>
      <c r="G44" s="196"/>
      <c r="H44" s="199">
        <f>+F44/D44*100000</f>
        <v>100.08691605811887</v>
      </c>
      <c r="I44" s="200"/>
      <c r="J44" s="200">
        <v>2</v>
      </c>
      <c r="K44" s="199">
        <f>+J44/D44*100000</f>
        <v>3.8680933742268164E-2</v>
      </c>
      <c r="L44" s="196"/>
      <c r="M44" s="196"/>
      <c r="O44" s="156">
        <f t="shared" si="2"/>
        <v>0</v>
      </c>
      <c r="P44" s="196"/>
      <c r="Q44" s="196"/>
      <c r="R44" s="196">
        <v>3318</v>
      </c>
      <c r="S44" s="196"/>
      <c r="T44" s="156">
        <f t="shared" si="3"/>
        <v>64.17166907842288</v>
      </c>
      <c r="U44" s="196"/>
      <c r="V44" s="196"/>
      <c r="W44" s="197">
        <v>398055</v>
      </c>
      <c r="Y44" s="199">
        <f>+W44/D44*100000</f>
        <v>7698.5695403892769</v>
      </c>
      <c r="Z44" s="196"/>
      <c r="AA44" s="196"/>
      <c r="AC44" s="194"/>
      <c r="AD44" s="199"/>
      <c r="AE44" s="196"/>
      <c r="AF44" s="196">
        <v>406550</v>
      </c>
      <c r="AG44" s="196"/>
      <c r="AH44" s="195">
        <f>+AF44/D44*100000</f>
        <v>7862.8668064595604</v>
      </c>
      <c r="AI44" s="201"/>
      <c r="AJ44" s="196"/>
      <c r="AK44" s="196">
        <v>2</v>
      </c>
      <c r="AL44" s="196"/>
      <c r="AM44" s="196"/>
      <c r="AN44" s="196">
        <v>674</v>
      </c>
    </row>
    <row r="45" spans="3:40" x14ac:dyDescent="0.4">
      <c r="C45" s="198">
        <v>2022</v>
      </c>
      <c r="D45" s="197">
        <v>5205148</v>
      </c>
      <c r="E45" s="198"/>
      <c r="F45" s="196">
        <v>0</v>
      </c>
      <c r="G45" s="196"/>
      <c r="H45" s="199">
        <f>+F45/D45*100000</f>
        <v>0</v>
      </c>
      <c r="I45" s="200"/>
      <c r="J45" s="200">
        <v>0</v>
      </c>
      <c r="K45" s="199">
        <f>+J45/D45*100000</f>
        <v>0</v>
      </c>
      <c r="L45" s="196"/>
      <c r="M45" s="196"/>
      <c r="O45" s="156">
        <f t="shared" si="2"/>
        <v>0</v>
      </c>
      <c r="P45" s="196"/>
      <c r="Q45" s="196"/>
      <c r="R45" s="196">
        <v>2364</v>
      </c>
      <c r="S45" s="196"/>
      <c r="T45" s="156">
        <f t="shared" si="3"/>
        <v>45.416576051247723</v>
      </c>
      <c r="U45" s="196"/>
      <c r="V45" s="196"/>
      <c r="W45" s="197">
        <v>0</v>
      </c>
      <c r="Y45" s="199">
        <f>+W45/D45*100000</f>
        <v>0</v>
      </c>
      <c r="Z45" s="196"/>
      <c r="AA45" s="196">
        <v>0</v>
      </c>
      <c r="AC45" s="194"/>
      <c r="AD45" s="199"/>
      <c r="AE45" s="196"/>
      <c r="AF45" s="196">
        <v>3820</v>
      </c>
      <c r="AG45" s="196"/>
      <c r="AH45" s="195">
        <f>+AF45/D45*100000</f>
        <v>73.388883466906222</v>
      </c>
      <c r="AI45" s="201"/>
      <c r="AJ45" s="196"/>
      <c r="AK45" s="196">
        <v>0</v>
      </c>
      <c r="AL45" s="196"/>
      <c r="AM45" s="196"/>
      <c r="AN45" s="196">
        <v>954</v>
      </c>
    </row>
    <row r="46" spans="3:40" x14ac:dyDescent="0.4">
      <c r="C46" s="198">
        <v>2023</v>
      </c>
      <c r="D46" s="197">
        <v>5262225</v>
      </c>
      <c r="E46" s="5"/>
      <c r="F46" s="5">
        <v>0</v>
      </c>
      <c r="G46" s="5"/>
      <c r="H46" s="199">
        <f>+F46/D46*100000</f>
        <v>0</v>
      </c>
      <c r="I46" s="5"/>
      <c r="J46" s="4">
        <v>0</v>
      </c>
      <c r="K46" s="199">
        <f>+J46/D46*100000</f>
        <v>0</v>
      </c>
      <c r="L46" s="5"/>
      <c r="M46" s="5">
        <v>0</v>
      </c>
      <c r="N46" s="5"/>
      <c r="O46" s="194">
        <f t="shared" si="2"/>
        <v>0</v>
      </c>
      <c r="P46" s="5"/>
      <c r="Q46" s="5"/>
      <c r="R46" s="5">
        <v>0</v>
      </c>
      <c r="S46" s="5"/>
      <c r="T46" s="194">
        <f t="shared" si="3"/>
        <v>0</v>
      </c>
      <c r="U46" s="5"/>
      <c r="V46" s="5"/>
      <c r="W46" s="5">
        <v>1090</v>
      </c>
      <c r="X46" s="5"/>
      <c r="Y46" s="199">
        <f>+W46/D46*100000</f>
        <v>20.713671498273069</v>
      </c>
      <c r="Z46" s="5"/>
      <c r="AA46" s="5">
        <v>0</v>
      </c>
      <c r="AB46" s="5"/>
      <c r="AC46" s="194">
        <f>+AA46/D46*100000</f>
        <v>0</v>
      </c>
      <c r="AD46" s="5"/>
      <c r="AE46" s="5"/>
      <c r="AF46" s="5">
        <v>0</v>
      </c>
      <c r="AG46" s="5"/>
      <c r="AH46" s="195">
        <f>+AF46/D46*100000</f>
        <v>0</v>
      </c>
      <c r="AI46" s="5"/>
      <c r="AJ46" s="5"/>
      <c r="AK46" s="5">
        <v>0</v>
      </c>
      <c r="AL46" s="5"/>
      <c r="AM46" s="5"/>
      <c r="AN46" s="5">
        <v>0</v>
      </c>
    </row>
    <row r="47" spans="3:40" ht="54.6" customHeight="1" x14ac:dyDescent="0.4">
      <c r="C47" s="2483" t="s">
        <v>260</v>
      </c>
      <c r="D47" s="2483"/>
      <c r="E47" s="2483"/>
      <c r="F47" s="2483"/>
      <c r="G47" s="2483"/>
      <c r="H47" s="2483"/>
      <c r="I47" s="2483"/>
      <c r="J47" s="2483"/>
      <c r="K47" s="2483"/>
      <c r="L47" s="2483"/>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row>
    <row r="48" spans="3:40" ht="17.45" customHeight="1" x14ac:dyDescent="0.4">
      <c r="C48" s="2480" t="s">
        <v>261</v>
      </c>
      <c r="D48" s="2480"/>
      <c r="E48" s="2480"/>
      <c r="F48" s="2480"/>
      <c r="G48" s="2480"/>
      <c r="H48" s="2480"/>
      <c r="I48" s="2480"/>
      <c r="J48" s="2480"/>
      <c r="K48" s="2480"/>
      <c r="L48" s="2480"/>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row>
    <row r="49" spans="3:40" x14ac:dyDescent="0.4">
      <c r="C49" s="2481" t="s">
        <v>262</v>
      </c>
      <c r="D49" s="2481"/>
      <c r="E49" s="2481"/>
      <c r="F49" s="2481"/>
      <c r="G49" s="2481"/>
      <c r="H49" s="2481"/>
      <c r="I49" s="2481"/>
      <c r="J49" s="2481"/>
      <c r="K49" s="2481"/>
      <c r="L49" s="2481"/>
      <c r="M49" s="2481"/>
      <c r="N49" s="2481"/>
      <c r="O49" s="2481"/>
      <c r="P49" s="2481"/>
      <c r="Q49" s="2481"/>
      <c r="R49" s="2481"/>
      <c r="S49" s="2481"/>
      <c r="T49" s="2481"/>
      <c r="U49" s="2481"/>
      <c r="V49" s="2481"/>
      <c r="W49" s="2481"/>
      <c r="X49" s="2481"/>
      <c r="Y49" s="2481"/>
      <c r="Z49" s="2481"/>
      <c r="AA49" s="2481"/>
      <c r="AB49" s="2481"/>
      <c r="AC49" s="2481"/>
      <c r="AD49" s="2481"/>
      <c r="AE49" s="2481"/>
      <c r="AF49" s="2481"/>
      <c r="AG49" s="2481"/>
      <c r="AH49" s="2481"/>
      <c r="AI49" s="2481"/>
      <c r="AJ49" s="2481"/>
      <c r="AK49" s="2481"/>
      <c r="AL49" s="2481"/>
      <c r="AM49" s="2481"/>
      <c r="AN49" s="2481"/>
    </row>
    <row r="50" spans="3:40" x14ac:dyDescent="0.4">
      <c r="C50" s="2480" t="s">
        <v>263</v>
      </c>
      <c r="D50" s="2480"/>
      <c r="E50" s="2480"/>
      <c r="F50" s="2480"/>
      <c r="G50" s="2480"/>
      <c r="H50" s="2480"/>
      <c r="I50" s="2480"/>
      <c r="J50" s="2480"/>
      <c r="K50" s="2480"/>
      <c r="L50" s="2480"/>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row>
    <row r="51" spans="3:40" x14ac:dyDescent="0.4">
      <c r="C51" s="2482" t="s">
        <v>264</v>
      </c>
      <c r="D51" s="2482"/>
      <c r="E51" s="2482"/>
      <c r="F51" s="2482"/>
      <c r="G51" s="2482"/>
      <c r="H51" s="2482"/>
      <c r="I51" s="2482"/>
      <c r="J51" s="2482"/>
      <c r="K51" s="2482"/>
      <c r="L51" s="2482"/>
      <c r="M51" s="2482"/>
      <c r="N51" s="2482"/>
      <c r="O51" s="2482"/>
      <c r="P51" s="2482"/>
      <c r="Q51" s="2482"/>
      <c r="R51" s="2482"/>
      <c r="S51" s="2482"/>
      <c r="T51" s="2482"/>
      <c r="U51" s="2482"/>
      <c r="V51" s="2482"/>
      <c r="W51" s="2482"/>
      <c r="X51" s="2482"/>
      <c r="Y51" s="2482"/>
      <c r="Z51" s="2482"/>
      <c r="AA51" s="2482"/>
      <c r="AB51" s="2482"/>
      <c r="AC51" s="2482"/>
      <c r="AD51" s="192"/>
      <c r="AE51" s="156"/>
      <c r="AF51" s="156"/>
      <c r="AG51" s="156"/>
      <c r="AH51" s="195"/>
      <c r="AI51" s="195"/>
      <c r="AJ51" s="156"/>
      <c r="AK51" s="156"/>
      <c r="AL51" s="156"/>
      <c r="AM51" s="156"/>
      <c r="AN51" s="156"/>
    </row>
  </sheetData>
  <mergeCells count="37">
    <mergeCell ref="A5:B5"/>
    <mergeCell ref="C5:Y5"/>
    <mergeCell ref="C1:D1"/>
    <mergeCell ref="A3:B3"/>
    <mergeCell ref="C3:Y3"/>
    <mergeCell ref="A4:B4"/>
    <mergeCell ref="C4:Y4"/>
    <mergeCell ref="W12:X12"/>
    <mergeCell ref="A6:B6"/>
    <mergeCell ref="C6:Y6"/>
    <mergeCell ref="C11:C12"/>
    <mergeCell ref="D11:D12"/>
    <mergeCell ref="F11:I11"/>
    <mergeCell ref="J11:L11"/>
    <mergeCell ref="M11:P11"/>
    <mergeCell ref="R11:U11"/>
    <mergeCell ref="W11:Z11"/>
    <mergeCell ref="F12:G12"/>
    <mergeCell ref="M12:N12"/>
    <mergeCell ref="O12:P12"/>
    <mergeCell ref="R12:S12"/>
    <mergeCell ref="T12:U12"/>
    <mergeCell ref="AN12:AO12"/>
    <mergeCell ref="AA11:AD11"/>
    <mergeCell ref="AF11:AI11"/>
    <mergeCell ref="AK11:AL11"/>
    <mergeCell ref="AN11:AO11"/>
    <mergeCell ref="AA12:AB12"/>
    <mergeCell ref="AC12:AD12"/>
    <mergeCell ref="AF12:AG12"/>
    <mergeCell ref="AH12:AI12"/>
    <mergeCell ref="AK12:AL12"/>
    <mergeCell ref="C47:AN47"/>
    <mergeCell ref="C48:AN48"/>
    <mergeCell ref="C49:AN49"/>
    <mergeCell ref="C50:AN50"/>
    <mergeCell ref="C51:AC51"/>
  </mergeCells>
  <hyperlinks>
    <hyperlink ref="A1" location="'ODS 13.'!A1" display="REGRESAR " xr:uid="{17ECA5B2-3AD9-4A29-9869-C0128FD17EFC}"/>
    <hyperlink ref="C1:D1" location="'Metadato 13.1.1'!A1" display="VER METADATO" xr:uid="{7C1C3DA1-5BDC-428C-B39D-487D421DEC51}"/>
  </hyperlinks>
  <pageMargins left="0.7" right="0.7" top="0.75" bottom="0.75" header="0.3" footer="0.3"/>
  <pageSetup orientation="portrait"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EEA-4904-49E2-B36B-CAA47CB6B7B3}">
  <sheetPr>
    <tabColor theme="0" tint="-0.499984740745262"/>
  </sheetPr>
  <dimension ref="B1:FG67"/>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0.7109375" style="115" customWidth="1"/>
    <col min="2" max="2" width="26.42578125" style="115" customWidth="1"/>
    <col min="3" max="3" width="24" style="115" customWidth="1"/>
    <col min="4" max="4" width="85.7109375" style="115" customWidth="1"/>
    <col min="5" max="5" width="9.28515625" style="115" customWidth="1"/>
    <col min="6" max="6" width="7.28515625" style="115" customWidth="1"/>
    <col min="7" max="8" width="12.42578125" style="115" customWidth="1"/>
    <col min="9" max="9" width="12.7109375" style="115" customWidth="1"/>
    <col min="10" max="10" width="11.42578125" style="115"/>
    <col min="11" max="34" width="15.7109375" style="115" customWidth="1"/>
    <col min="35" max="16384" width="11.42578125" style="115"/>
  </cols>
  <sheetData>
    <row r="1" spans="2:6" x14ac:dyDescent="0.4">
      <c r="B1" s="90" t="s">
        <v>6724</v>
      </c>
    </row>
    <row r="2" spans="2:6" ht="19.5" thickBot="1" x14ac:dyDescent="0.45"/>
    <row r="3" spans="2:6" ht="23.25" customHeight="1" thickBot="1" x14ac:dyDescent="0.45">
      <c r="B3" s="3385" t="s">
        <v>75</v>
      </c>
      <c r="C3" s="3385"/>
      <c r="D3" s="3385"/>
      <c r="F3" s="1046" t="s">
        <v>265</v>
      </c>
    </row>
    <row r="4" spans="2:6" x14ac:dyDescent="0.4">
      <c r="B4" s="2425" t="s">
        <v>234</v>
      </c>
      <c r="C4" s="2425"/>
      <c r="D4" s="49" t="s">
        <v>6727</v>
      </c>
    </row>
    <row r="5" spans="2:6" ht="37.5" x14ac:dyDescent="0.4">
      <c r="B5" s="2425" t="s">
        <v>79</v>
      </c>
      <c r="C5" s="2425"/>
      <c r="D5" s="49" t="s">
        <v>6703</v>
      </c>
    </row>
    <row r="6" spans="2:6" x14ac:dyDescent="0.4">
      <c r="B6" s="2425" t="s">
        <v>80</v>
      </c>
      <c r="C6" s="2425"/>
      <c r="D6" s="50" t="s">
        <v>6704</v>
      </c>
    </row>
    <row r="7" spans="2:6" ht="37.5" x14ac:dyDescent="0.4">
      <c r="B7" s="2426" t="s">
        <v>81</v>
      </c>
      <c r="C7" s="2426"/>
      <c r="D7" s="93" t="s">
        <v>6705</v>
      </c>
    </row>
    <row r="8" spans="2:6" x14ac:dyDescent="0.4">
      <c r="B8" s="2426" t="s">
        <v>82</v>
      </c>
      <c r="C8" s="2426"/>
      <c r="D8" s="1047" t="s">
        <v>6728</v>
      </c>
    </row>
    <row r="10" spans="2:6" ht="23.25" customHeight="1" x14ac:dyDescent="0.4">
      <c r="B10" s="3385" t="s">
        <v>85</v>
      </c>
      <c r="C10" s="3385"/>
      <c r="D10" s="3385"/>
    </row>
    <row r="11" spans="2:6" ht="20.25" customHeight="1" x14ac:dyDescent="0.4">
      <c r="B11" s="2453" t="s">
        <v>86</v>
      </c>
      <c r="C11" s="2454"/>
      <c r="D11" s="49" t="s">
        <v>167</v>
      </c>
    </row>
    <row r="12" spans="2:6" ht="37.5" x14ac:dyDescent="0.4">
      <c r="B12" s="2455" t="s">
        <v>88</v>
      </c>
      <c r="C12" s="2455"/>
      <c r="D12" s="184" t="s">
        <v>267</v>
      </c>
    </row>
    <row r="13" spans="2:6" x14ac:dyDescent="0.4">
      <c r="B13" s="2445" t="s">
        <v>90</v>
      </c>
      <c r="C13" s="2445"/>
      <c r="D13" s="54" t="s">
        <v>6704</v>
      </c>
    </row>
    <row r="14" spans="2:6" x14ac:dyDescent="0.4">
      <c r="B14" s="2445" t="s">
        <v>91</v>
      </c>
      <c r="C14" s="2456"/>
      <c r="D14" s="54" t="s">
        <v>92</v>
      </c>
    </row>
    <row r="15" spans="2:6" ht="194.25" customHeight="1" x14ac:dyDescent="0.4">
      <c r="B15" s="2449" t="s">
        <v>93</v>
      </c>
      <c r="C15" s="2450"/>
      <c r="D15" s="2485" t="s">
        <v>268</v>
      </c>
    </row>
    <row r="16" spans="2:6" ht="228.75" customHeight="1" x14ac:dyDescent="0.4">
      <c r="B16" s="2469"/>
      <c r="C16" s="2470"/>
      <c r="D16" s="2486"/>
    </row>
    <row r="17" spans="2:4" ht="55.5" customHeight="1" x14ac:dyDescent="0.4">
      <c r="B17" s="2445" t="s">
        <v>95</v>
      </c>
      <c r="C17" s="2445"/>
      <c r="D17" s="56" t="s">
        <v>269</v>
      </c>
    </row>
    <row r="18" spans="2:4" x14ac:dyDescent="0.4">
      <c r="B18" s="2445" t="s">
        <v>97</v>
      </c>
      <c r="C18" s="2445"/>
      <c r="D18" s="203" t="s">
        <v>270</v>
      </c>
    </row>
    <row r="19" spans="2:4" x14ac:dyDescent="0.4">
      <c r="B19" s="2446" t="s">
        <v>99</v>
      </c>
      <c r="C19" s="2446"/>
      <c r="D19" s="49"/>
    </row>
    <row r="20" spans="2:4" ht="37.5" x14ac:dyDescent="0.4">
      <c r="B20" s="2457" t="s">
        <v>100</v>
      </c>
      <c r="C20" s="2458"/>
      <c r="D20" s="204" t="s">
        <v>271</v>
      </c>
    </row>
    <row r="21" spans="2:4" x14ac:dyDescent="0.4">
      <c r="B21" s="2445" t="s">
        <v>102</v>
      </c>
      <c r="C21" s="2445"/>
      <c r="D21" s="203" t="s">
        <v>140</v>
      </c>
    </row>
    <row r="22" spans="2:4" x14ac:dyDescent="0.4">
      <c r="B22" s="2451" t="s">
        <v>104</v>
      </c>
      <c r="C22" s="95" t="s">
        <v>105</v>
      </c>
      <c r="D22" s="49"/>
    </row>
    <row r="23" spans="2:4" x14ac:dyDescent="0.4">
      <c r="B23" s="2452"/>
      <c r="C23" s="96" t="s">
        <v>107</v>
      </c>
      <c r="D23" s="55" t="s">
        <v>272</v>
      </c>
    </row>
    <row r="24" spans="2:4" ht="18.75" customHeight="1" x14ac:dyDescent="0.4">
      <c r="B24" s="2444" t="s">
        <v>109</v>
      </c>
      <c r="C24" s="2444"/>
      <c r="D24" s="49" t="s">
        <v>143</v>
      </c>
    </row>
    <row r="25" spans="2:4" ht="18" customHeight="1" x14ac:dyDescent="0.4">
      <c r="B25" s="2444" t="s">
        <v>111</v>
      </c>
      <c r="C25" s="2444"/>
      <c r="D25" s="205" t="s">
        <v>273</v>
      </c>
    </row>
    <row r="26" spans="2:4" x14ac:dyDescent="0.4">
      <c r="B26" s="2445" t="s">
        <v>113</v>
      </c>
      <c r="C26" s="2445"/>
      <c r="D26" s="56" t="s">
        <v>220</v>
      </c>
    </row>
    <row r="27" spans="2:4" ht="15" customHeight="1" x14ac:dyDescent="0.4">
      <c r="B27" s="2446" t="s">
        <v>115</v>
      </c>
      <c r="C27" s="2446"/>
      <c r="D27" s="205" t="s">
        <v>274</v>
      </c>
    </row>
    <row r="28" spans="2:4" x14ac:dyDescent="0.4">
      <c r="B28" s="2447" t="s">
        <v>117</v>
      </c>
      <c r="C28" s="2448"/>
      <c r="D28" s="49"/>
    </row>
    <row r="29" spans="2:4" ht="93.75" x14ac:dyDescent="0.4">
      <c r="B29" s="97" t="s">
        <v>118</v>
      </c>
      <c r="C29" s="98"/>
      <c r="D29" s="203" t="s">
        <v>6729</v>
      </c>
    </row>
    <row r="30" spans="2:4" x14ac:dyDescent="0.4">
      <c r="B30" s="2445" t="s">
        <v>120</v>
      </c>
      <c r="C30" s="2445"/>
      <c r="D30" s="49"/>
    </row>
    <row r="32" spans="2:4" ht="23.25" customHeight="1" x14ac:dyDescent="0.4">
      <c r="B32" s="2431" t="s">
        <v>121</v>
      </c>
      <c r="C32" s="2431"/>
      <c r="D32" s="2431"/>
    </row>
    <row r="33" spans="2:163" x14ac:dyDescent="0.4">
      <c r="B33" s="206" t="s">
        <v>122</v>
      </c>
      <c r="C33" s="207"/>
      <c r="D33" s="205" t="s">
        <v>276</v>
      </c>
    </row>
    <row r="34" spans="2:163" x14ac:dyDescent="0.4">
      <c r="B34" s="206" t="s">
        <v>124</v>
      </c>
      <c r="C34" s="207"/>
      <c r="D34" s="205" t="s">
        <v>277</v>
      </c>
    </row>
    <row r="35" spans="2:163" ht="18" customHeight="1" x14ac:dyDescent="0.4">
      <c r="B35" s="206" t="s">
        <v>126</v>
      </c>
      <c r="C35" s="207"/>
      <c r="D35" s="205" t="s">
        <v>273</v>
      </c>
    </row>
    <row r="36" spans="2:163" x14ac:dyDescent="0.4">
      <c r="B36" s="206" t="s">
        <v>128</v>
      </c>
      <c r="C36" s="207"/>
      <c r="D36" s="205" t="s">
        <v>278</v>
      </c>
    </row>
    <row r="37" spans="2:163" x14ac:dyDescent="0.4">
      <c r="B37" s="2442" t="s">
        <v>130</v>
      </c>
      <c r="C37" s="2443"/>
      <c r="D37" s="208" t="s">
        <v>279</v>
      </c>
    </row>
    <row r="38" spans="2:163" ht="58.5" customHeight="1" x14ac:dyDescent="0.4"/>
    <row r="41" spans="2:163" x14ac:dyDescent="0.4">
      <c r="AC41" s="198">
        <v>1991</v>
      </c>
      <c r="AD41" s="198"/>
      <c r="AE41" s="196">
        <v>60</v>
      </c>
      <c r="AF41" s="196">
        <v>1</v>
      </c>
      <c r="AG41" s="196">
        <v>49527</v>
      </c>
      <c r="AH41" s="196">
        <v>1272</v>
      </c>
      <c r="AI41" s="196">
        <v>0</v>
      </c>
      <c r="AJ41" s="196">
        <v>4451</v>
      </c>
      <c r="AK41" s="196">
        <v>1670</v>
      </c>
      <c r="AL41" s="196">
        <v>7771</v>
      </c>
      <c r="AM41" s="196">
        <v>0</v>
      </c>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v>0</v>
      </c>
      <c r="BR41" s="196">
        <v>0</v>
      </c>
      <c r="BS41" s="196">
        <v>20</v>
      </c>
      <c r="BT41" s="196">
        <v>0</v>
      </c>
      <c r="BU41" s="196">
        <v>0</v>
      </c>
      <c r="BV41" s="196">
        <v>0</v>
      </c>
      <c r="BW41" s="196">
        <v>0</v>
      </c>
      <c r="BX41" s="196">
        <v>5</v>
      </c>
      <c r="BY41" s="196">
        <v>0</v>
      </c>
      <c r="BZ41" s="196">
        <v>2</v>
      </c>
      <c r="CA41" s="196">
        <v>0</v>
      </c>
      <c r="CB41" s="196">
        <v>0</v>
      </c>
      <c r="CC41" s="196"/>
      <c r="CD41" s="196"/>
      <c r="CE41" s="196"/>
      <c r="CF41" s="196"/>
      <c r="CG41" s="196"/>
      <c r="CH41" s="196"/>
      <c r="CI41" s="196">
        <v>0</v>
      </c>
      <c r="CJ41" s="196">
        <v>3</v>
      </c>
      <c r="CK41" s="196">
        <v>0</v>
      </c>
      <c r="CL41" s="196">
        <v>0</v>
      </c>
      <c r="CM41" s="196">
        <v>0</v>
      </c>
      <c r="CN41" s="196">
        <v>0</v>
      </c>
      <c r="CO41" s="196">
        <v>0</v>
      </c>
      <c r="CP41" s="196"/>
      <c r="CQ41" s="196"/>
      <c r="CR41" s="196">
        <v>6</v>
      </c>
      <c r="CS41" s="196">
        <v>30</v>
      </c>
      <c r="CT41" s="196">
        <v>0</v>
      </c>
      <c r="CU41" s="196">
        <v>93</v>
      </c>
      <c r="CV41" s="196">
        <v>0</v>
      </c>
      <c r="CW41" s="196">
        <v>16</v>
      </c>
      <c r="CX41" s="196">
        <v>0</v>
      </c>
      <c r="CY41" s="196">
        <v>0</v>
      </c>
      <c r="CZ41" s="196">
        <v>0</v>
      </c>
      <c r="DA41" s="196">
        <v>0</v>
      </c>
      <c r="DB41" s="196">
        <v>4</v>
      </c>
      <c r="DC41" s="196">
        <v>1</v>
      </c>
      <c r="DD41" s="196">
        <v>1413</v>
      </c>
      <c r="DE41" s="196">
        <v>1272</v>
      </c>
      <c r="DF41" s="196">
        <v>0</v>
      </c>
      <c r="DG41" s="196">
        <v>26</v>
      </c>
      <c r="DH41" s="196">
        <v>0</v>
      </c>
      <c r="DI41" s="196">
        <v>48</v>
      </c>
      <c r="DJ41" s="196">
        <v>0</v>
      </c>
      <c r="DK41" s="196">
        <v>0</v>
      </c>
      <c r="DL41" s="196">
        <v>0</v>
      </c>
      <c r="DM41" s="196">
        <v>0</v>
      </c>
      <c r="DN41" s="196">
        <v>0</v>
      </c>
      <c r="DO41" s="196">
        <v>0</v>
      </c>
      <c r="DP41" s="196">
        <v>0</v>
      </c>
      <c r="DQ41" s="196">
        <v>0</v>
      </c>
      <c r="DR41" s="196"/>
      <c r="DS41" s="196"/>
      <c r="DT41" s="196"/>
      <c r="DU41" s="196"/>
      <c r="DV41" s="196"/>
      <c r="DW41" s="196"/>
      <c r="DX41" s="196"/>
      <c r="DY41" s="196"/>
      <c r="DZ41" s="196"/>
      <c r="EA41" s="196"/>
      <c r="EB41" s="196"/>
      <c r="EC41" s="196">
        <v>1</v>
      </c>
      <c r="ED41" s="196">
        <v>25</v>
      </c>
      <c r="EE41" s="196">
        <v>0</v>
      </c>
      <c r="EF41" s="196">
        <v>47</v>
      </c>
      <c r="EG41" s="196">
        <v>0</v>
      </c>
      <c r="EH41" s="196">
        <v>48036</v>
      </c>
      <c r="EI41" s="196">
        <v>0</v>
      </c>
      <c r="EJ41" s="196">
        <v>4332</v>
      </c>
      <c r="EK41" s="196">
        <v>1670</v>
      </c>
      <c r="EL41" s="196">
        <v>7677</v>
      </c>
      <c r="EM41" s="196"/>
      <c r="EN41" s="196"/>
      <c r="EO41" s="196"/>
      <c r="EP41" s="196"/>
      <c r="EQ41" s="196"/>
      <c r="ER41" s="196"/>
      <c r="ES41" s="196"/>
      <c r="ET41" s="196"/>
      <c r="EU41" s="196"/>
      <c r="EV41" s="196"/>
      <c r="EW41" s="196"/>
      <c r="EX41" s="196"/>
      <c r="EY41" s="196">
        <v>0</v>
      </c>
      <c r="EZ41" s="196">
        <v>0</v>
      </c>
      <c r="FA41" s="196">
        <v>0</v>
      </c>
      <c r="FB41" s="196">
        <v>0</v>
      </c>
      <c r="FC41" s="196">
        <v>0</v>
      </c>
      <c r="FD41" s="196">
        <v>0</v>
      </c>
      <c r="FE41" s="196">
        <v>0</v>
      </c>
      <c r="FF41" s="196">
        <v>25</v>
      </c>
      <c r="FG41" s="196">
        <v>0</v>
      </c>
    </row>
    <row r="42" spans="2:163" x14ac:dyDescent="0.4">
      <c r="AC42" s="198">
        <v>1992</v>
      </c>
      <c r="AD42" s="198"/>
      <c r="AE42" s="196">
        <v>19</v>
      </c>
      <c r="AF42" s="196">
        <v>0</v>
      </c>
      <c r="AG42" s="196">
        <v>7049</v>
      </c>
      <c r="AH42" s="196">
        <v>1883</v>
      </c>
      <c r="AI42" s="196">
        <v>0</v>
      </c>
      <c r="AJ42" s="196">
        <v>50</v>
      </c>
      <c r="AK42" s="196">
        <v>0</v>
      </c>
      <c r="AL42" s="196">
        <v>118</v>
      </c>
      <c r="AM42" s="196">
        <v>0</v>
      </c>
      <c r="AN42" s="196">
        <v>4</v>
      </c>
      <c r="AO42" s="196">
        <v>0</v>
      </c>
      <c r="AP42" s="196">
        <v>1</v>
      </c>
      <c r="AQ42" s="196">
        <v>0</v>
      </c>
      <c r="AR42" s="196">
        <v>0</v>
      </c>
      <c r="AS42" s="196">
        <v>0</v>
      </c>
      <c r="AT42" s="196"/>
      <c r="AU42" s="196"/>
      <c r="AV42" s="196"/>
      <c r="AW42" s="196"/>
      <c r="AX42" s="196"/>
      <c r="AY42" s="196"/>
      <c r="AZ42" s="196">
        <v>0</v>
      </c>
      <c r="BA42" s="196">
        <v>0</v>
      </c>
      <c r="BB42" s="196">
        <v>0</v>
      </c>
      <c r="BC42" s="196">
        <v>0</v>
      </c>
      <c r="BD42" s="196">
        <v>0</v>
      </c>
      <c r="BE42" s="196">
        <v>0</v>
      </c>
      <c r="BF42" s="196">
        <v>0</v>
      </c>
      <c r="BG42" s="196">
        <v>0</v>
      </c>
      <c r="BH42" s="196">
        <v>0</v>
      </c>
      <c r="BI42" s="196"/>
      <c r="BJ42" s="196"/>
      <c r="BK42" s="196"/>
      <c r="BL42" s="196"/>
      <c r="BM42" s="196"/>
      <c r="BN42" s="196"/>
      <c r="BO42" s="196"/>
      <c r="BP42" s="196"/>
      <c r="BQ42" s="196">
        <v>8</v>
      </c>
      <c r="BR42" s="196">
        <v>0</v>
      </c>
      <c r="BS42" s="196">
        <v>233</v>
      </c>
      <c r="BT42" s="196">
        <v>0</v>
      </c>
      <c r="BU42" s="196">
        <v>0</v>
      </c>
      <c r="BV42" s="196">
        <v>3</v>
      </c>
      <c r="BW42" s="196">
        <v>0</v>
      </c>
      <c r="BX42" s="196">
        <v>15</v>
      </c>
      <c r="BY42" s="196">
        <v>0</v>
      </c>
      <c r="BZ42" s="196">
        <v>2</v>
      </c>
      <c r="CA42" s="196">
        <v>4713</v>
      </c>
      <c r="CB42" s="196">
        <v>0</v>
      </c>
      <c r="CC42" s="196"/>
      <c r="CD42" s="196"/>
      <c r="CE42" s="196"/>
      <c r="CF42" s="196"/>
      <c r="CG42" s="196"/>
      <c r="CH42" s="196"/>
      <c r="CI42" s="196">
        <v>2</v>
      </c>
      <c r="CJ42" s="196">
        <v>6</v>
      </c>
      <c r="CK42" s="196">
        <v>0</v>
      </c>
      <c r="CL42" s="196">
        <v>0</v>
      </c>
      <c r="CM42" s="196">
        <v>0</v>
      </c>
      <c r="CN42" s="196">
        <v>0</v>
      </c>
      <c r="CO42" s="196">
        <v>0</v>
      </c>
      <c r="CP42" s="196"/>
      <c r="CQ42" s="196"/>
      <c r="CR42" s="196">
        <v>0</v>
      </c>
      <c r="CS42" s="196">
        <v>41</v>
      </c>
      <c r="CT42" s="196">
        <v>0</v>
      </c>
      <c r="CU42" s="196">
        <v>21</v>
      </c>
      <c r="CV42" s="196">
        <v>0</v>
      </c>
      <c r="CW42" s="196">
        <v>3</v>
      </c>
      <c r="CX42" s="196">
        <v>0</v>
      </c>
      <c r="CY42" s="196">
        <v>0</v>
      </c>
      <c r="CZ42" s="196">
        <v>0</v>
      </c>
      <c r="DA42" s="196">
        <v>0</v>
      </c>
      <c r="DB42" s="196">
        <v>2</v>
      </c>
      <c r="DC42" s="196">
        <v>0</v>
      </c>
      <c r="DD42" s="196">
        <v>2026</v>
      </c>
      <c r="DE42" s="196">
        <v>1855</v>
      </c>
      <c r="DF42" s="196">
        <v>0</v>
      </c>
      <c r="DG42" s="196">
        <v>25</v>
      </c>
      <c r="DH42" s="196">
        <v>0</v>
      </c>
      <c r="DI42" s="196">
        <v>89</v>
      </c>
      <c r="DJ42" s="196">
        <v>0</v>
      </c>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v>1</v>
      </c>
      <c r="EG42" s="196">
        <v>0</v>
      </c>
      <c r="EH42" s="196">
        <v>1</v>
      </c>
      <c r="EI42" s="196">
        <v>0</v>
      </c>
      <c r="EJ42" s="196">
        <v>1</v>
      </c>
      <c r="EK42" s="196">
        <v>0</v>
      </c>
      <c r="EL42" s="196">
        <v>8</v>
      </c>
      <c r="EM42" s="196"/>
      <c r="EN42" s="196"/>
      <c r="EO42" s="196"/>
      <c r="EP42" s="196"/>
      <c r="EQ42" s="196"/>
      <c r="ER42" s="196"/>
      <c r="ES42" s="196"/>
      <c r="ET42" s="196"/>
      <c r="EU42" s="196"/>
      <c r="EV42" s="196"/>
      <c r="EW42" s="196"/>
      <c r="EX42" s="196"/>
      <c r="EY42" s="196">
        <v>0</v>
      </c>
      <c r="EZ42" s="196">
        <v>0</v>
      </c>
      <c r="FA42" s="196">
        <v>28</v>
      </c>
      <c r="FB42" s="196">
        <v>28</v>
      </c>
      <c r="FC42" s="196">
        <v>0</v>
      </c>
      <c r="FD42" s="196">
        <v>0</v>
      </c>
      <c r="FE42" s="196">
        <v>0</v>
      </c>
      <c r="FF42" s="196">
        <v>3</v>
      </c>
      <c r="FG42" s="196">
        <v>0</v>
      </c>
    </row>
    <row r="43" spans="2:163" x14ac:dyDescent="0.4">
      <c r="AC43" s="198">
        <v>1993</v>
      </c>
      <c r="AD43" s="198"/>
      <c r="AE43" s="196">
        <v>15</v>
      </c>
      <c r="AF43" s="196">
        <v>0</v>
      </c>
      <c r="AG43" s="196">
        <v>860</v>
      </c>
      <c r="AH43" s="196">
        <v>352</v>
      </c>
      <c r="AI43" s="196">
        <v>0</v>
      </c>
      <c r="AJ43" s="196">
        <v>76</v>
      </c>
      <c r="AK43" s="196">
        <v>0</v>
      </c>
      <c r="AL43" s="196">
        <v>668</v>
      </c>
      <c r="AM43" s="196">
        <v>2000</v>
      </c>
      <c r="AN43" s="196">
        <v>2</v>
      </c>
      <c r="AO43" s="196">
        <v>0</v>
      </c>
      <c r="AP43" s="196">
        <v>149</v>
      </c>
      <c r="AQ43" s="196">
        <v>144</v>
      </c>
      <c r="AR43" s="196">
        <v>0</v>
      </c>
      <c r="AS43" s="196">
        <v>0</v>
      </c>
      <c r="AT43" s="196">
        <v>0</v>
      </c>
      <c r="AU43" s="196">
        <v>135</v>
      </c>
      <c r="AV43" s="196">
        <v>0</v>
      </c>
      <c r="AW43" s="196">
        <v>0</v>
      </c>
      <c r="AX43" s="196"/>
      <c r="AY43" s="196"/>
      <c r="AZ43" s="196"/>
      <c r="BA43" s="196"/>
      <c r="BB43" s="196"/>
      <c r="BC43" s="196"/>
      <c r="BD43" s="196"/>
      <c r="BE43" s="196"/>
      <c r="BF43" s="196"/>
      <c r="BG43" s="196"/>
      <c r="BH43" s="196"/>
      <c r="BI43" s="196"/>
      <c r="BJ43" s="196"/>
      <c r="BK43" s="196"/>
      <c r="BL43" s="196"/>
      <c r="BM43" s="196"/>
      <c r="BN43" s="196"/>
      <c r="BO43" s="196"/>
      <c r="BP43" s="196"/>
      <c r="BQ43" s="196">
        <v>5</v>
      </c>
      <c r="BR43" s="196">
        <v>0</v>
      </c>
      <c r="BS43" s="196">
        <v>1</v>
      </c>
      <c r="BT43" s="196">
        <v>0</v>
      </c>
      <c r="BU43" s="196">
        <v>0</v>
      </c>
      <c r="BV43" s="196">
        <v>0</v>
      </c>
      <c r="BW43" s="196">
        <v>0</v>
      </c>
      <c r="BX43" s="196">
        <v>1</v>
      </c>
      <c r="BY43" s="196">
        <v>0</v>
      </c>
      <c r="BZ43" s="196">
        <v>0</v>
      </c>
      <c r="CA43" s="196">
        <v>21</v>
      </c>
      <c r="CB43" s="196">
        <v>0</v>
      </c>
      <c r="CC43" s="196"/>
      <c r="CD43" s="196"/>
      <c r="CE43" s="196"/>
      <c r="CF43" s="196"/>
      <c r="CG43" s="196"/>
      <c r="CH43" s="196"/>
      <c r="CI43" s="196">
        <v>0</v>
      </c>
      <c r="CJ43" s="196">
        <v>9</v>
      </c>
      <c r="CK43" s="196">
        <v>0</v>
      </c>
      <c r="CL43" s="196">
        <v>0</v>
      </c>
      <c r="CM43" s="196">
        <v>0</v>
      </c>
      <c r="CN43" s="196">
        <v>0</v>
      </c>
      <c r="CO43" s="196">
        <v>0</v>
      </c>
      <c r="CP43" s="196">
        <v>0</v>
      </c>
      <c r="CQ43" s="196">
        <v>10</v>
      </c>
      <c r="CR43" s="196">
        <v>6</v>
      </c>
      <c r="CS43" s="196">
        <v>65</v>
      </c>
      <c r="CT43" s="196">
        <v>0</v>
      </c>
      <c r="CU43" s="196">
        <v>61</v>
      </c>
      <c r="CV43" s="196">
        <v>0</v>
      </c>
      <c r="CW43" s="196">
        <v>15</v>
      </c>
      <c r="CX43" s="196">
        <v>0</v>
      </c>
      <c r="CY43" s="196">
        <v>0</v>
      </c>
      <c r="CZ43" s="196">
        <v>0</v>
      </c>
      <c r="DA43" s="196">
        <v>0</v>
      </c>
      <c r="DB43" s="196">
        <v>2</v>
      </c>
      <c r="DC43" s="196">
        <v>0</v>
      </c>
      <c r="DD43" s="196">
        <v>449</v>
      </c>
      <c r="DE43" s="196">
        <v>208</v>
      </c>
      <c r="DF43" s="196">
        <v>0</v>
      </c>
      <c r="DG43" s="196">
        <v>15</v>
      </c>
      <c r="DH43" s="196">
        <v>0</v>
      </c>
      <c r="DI43" s="196">
        <v>273</v>
      </c>
      <c r="DJ43" s="196">
        <v>2000</v>
      </c>
      <c r="DK43" s="196"/>
      <c r="DL43" s="196"/>
      <c r="DM43" s="196"/>
      <c r="DN43" s="196"/>
      <c r="DO43" s="196"/>
      <c r="DP43" s="196"/>
      <c r="DQ43" s="196"/>
      <c r="DR43" s="196"/>
      <c r="DS43" s="196"/>
      <c r="DT43" s="196"/>
      <c r="DU43" s="196"/>
      <c r="DV43" s="196"/>
      <c r="DW43" s="196"/>
      <c r="DX43" s="196"/>
      <c r="DY43" s="196"/>
      <c r="DZ43" s="196"/>
      <c r="EA43" s="196"/>
      <c r="EB43" s="196"/>
      <c r="EC43" s="196"/>
      <c r="ED43" s="196"/>
      <c r="EE43" s="196"/>
      <c r="EF43" s="196">
        <v>0</v>
      </c>
      <c r="EG43" s="196">
        <v>0</v>
      </c>
      <c r="EH43" s="196">
        <v>30</v>
      </c>
      <c r="EI43" s="196">
        <v>0</v>
      </c>
      <c r="EJ43" s="196">
        <v>0</v>
      </c>
      <c r="EK43" s="196">
        <v>0</v>
      </c>
      <c r="EL43" s="196">
        <v>350</v>
      </c>
      <c r="EM43" s="196"/>
      <c r="EN43" s="196"/>
      <c r="EO43" s="196"/>
      <c r="EP43" s="196"/>
      <c r="EQ43" s="196"/>
      <c r="ER43" s="196"/>
      <c r="ES43" s="196"/>
      <c r="ET43" s="196"/>
      <c r="EU43" s="196"/>
      <c r="EV43" s="196"/>
      <c r="EW43" s="196"/>
      <c r="EX43" s="196"/>
      <c r="EY43" s="196">
        <v>0</v>
      </c>
      <c r="EZ43" s="196">
        <v>0</v>
      </c>
      <c r="FA43" s="196">
        <v>1</v>
      </c>
      <c r="FB43" s="196">
        <v>0</v>
      </c>
      <c r="FC43" s="196">
        <v>0</v>
      </c>
      <c r="FD43" s="196">
        <v>0</v>
      </c>
      <c r="FE43" s="196">
        <v>0</v>
      </c>
      <c r="FF43" s="196">
        <v>19</v>
      </c>
      <c r="FG43" s="196">
        <v>0</v>
      </c>
    </row>
    <row r="44" spans="2:163" x14ac:dyDescent="0.4">
      <c r="AC44" s="198">
        <v>1994</v>
      </c>
      <c r="AD44" s="198"/>
      <c r="AE44" s="196">
        <v>28</v>
      </c>
      <c r="AF44" s="196">
        <v>4</v>
      </c>
      <c r="AG44" s="196">
        <v>13114</v>
      </c>
      <c r="AH44" s="196">
        <v>190</v>
      </c>
      <c r="AI44" s="196">
        <v>0</v>
      </c>
      <c r="AJ44" s="196">
        <v>302</v>
      </c>
      <c r="AK44" s="196">
        <v>0</v>
      </c>
      <c r="AL44" s="196">
        <v>114</v>
      </c>
      <c r="AM44" s="196">
        <v>3251</v>
      </c>
      <c r="AN44" s="196">
        <v>8</v>
      </c>
      <c r="AO44" s="196">
        <v>0</v>
      </c>
      <c r="AP44" s="196">
        <v>1</v>
      </c>
      <c r="AQ44" s="196">
        <v>0</v>
      </c>
      <c r="AR44" s="196">
        <v>0</v>
      </c>
      <c r="AS44" s="196">
        <v>2</v>
      </c>
      <c r="AT44" s="196">
        <v>0</v>
      </c>
      <c r="AU44" s="196">
        <v>0</v>
      </c>
      <c r="AV44" s="196">
        <v>0</v>
      </c>
      <c r="AW44" s="196">
        <v>0</v>
      </c>
      <c r="AX44" s="196"/>
      <c r="AY44" s="196"/>
      <c r="AZ44" s="196"/>
      <c r="BA44" s="196"/>
      <c r="BB44" s="196"/>
      <c r="BC44" s="196"/>
      <c r="BD44" s="196"/>
      <c r="BE44" s="196"/>
      <c r="BF44" s="196"/>
      <c r="BG44" s="196"/>
      <c r="BH44" s="196"/>
      <c r="BI44" s="196"/>
      <c r="BJ44" s="196"/>
      <c r="BK44" s="196"/>
      <c r="BL44" s="196"/>
      <c r="BM44" s="196"/>
      <c r="BN44" s="196"/>
      <c r="BO44" s="196"/>
      <c r="BP44" s="196"/>
      <c r="BQ44" s="196">
        <v>6</v>
      </c>
      <c r="BR44" s="196">
        <v>0</v>
      </c>
      <c r="BS44" s="196">
        <v>89</v>
      </c>
      <c r="BT44" s="196">
        <v>0</v>
      </c>
      <c r="BU44" s="196">
        <v>0</v>
      </c>
      <c r="BV44" s="196">
        <v>8</v>
      </c>
      <c r="BW44" s="196">
        <v>0</v>
      </c>
      <c r="BX44" s="196">
        <v>8</v>
      </c>
      <c r="BY44" s="196">
        <v>700</v>
      </c>
      <c r="BZ44" s="196">
        <v>0</v>
      </c>
      <c r="CA44" s="196">
        <v>12774</v>
      </c>
      <c r="CB44" s="196">
        <v>35</v>
      </c>
      <c r="CC44" s="196">
        <v>0</v>
      </c>
      <c r="CD44" s="196">
        <v>0</v>
      </c>
      <c r="CE44" s="196">
        <v>0</v>
      </c>
      <c r="CF44" s="196">
        <v>0</v>
      </c>
      <c r="CG44" s="196">
        <v>0</v>
      </c>
      <c r="CH44" s="196">
        <v>0</v>
      </c>
      <c r="CI44" s="196">
        <v>0</v>
      </c>
      <c r="CJ44" s="196">
        <v>0</v>
      </c>
      <c r="CK44" s="196">
        <v>0</v>
      </c>
      <c r="CL44" s="196">
        <v>0</v>
      </c>
      <c r="CM44" s="196">
        <v>0</v>
      </c>
      <c r="CN44" s="196">
        <v>0</v>
      </c>
      <c r="CO44" s="196">
        <v>0</v>
      </c>
      <c r="CP44" s="196"/>
      <c r="CQ44" s="196"/>
      <c r="CR44" s="196">
        <v>5</v>
      </c>
      <c r="CS44" s="196">
        <v>34</v>
      </c>
      <c r="CT44" s="196">
        <v>0</v>
      </c>
      <c r="CU44" s="196">
        <v>56</v>
      </c>
      <c r="CV44" s="196">
        <v>0</v>
      </c>
      <c r="CW44" s="196">
        <v>1</v>
      </c>
      <c r="CX44" s="196">
        <v>310</v>
      </c>
      <c r="CY44" s="196">
        <v>0</v>
      </c>
      <c r="CZ44" s="196">
        <v>0</v>
      </c>
      <c r="DA44" s="196">
        <v>0</v>
      </c>
      <c r="DB44" s="196">
        <v>5</v>
      </c>
      <c r="DC44" s="196">
        <v>4</v>
      </c>
      <c r="DD44" s="196">
        <v>169</v>
      </c>
      <c r="DE44" s="196">
        <v>190</v>
      </c>
      <c r="DF44" s="196">
        <v>0</v>
      </c>
      <c r="DG44" s="196">
        <v>238</v>
      </c>
      <c r="DH44" s="196">
        <v>0</v>
      </c>
      <c r="DI44" s="196">
        <v>86</v>
      </c>
      <c r="DJ44" s="196">
        <v>2204</v>
      </c>
      <c r="DK44" s="196"/>
      <c r="DL44" s="196"/>
      <c r="DM44" s="196"/>
      <c r="DN44" s="196"/>
      <c r="DO44" s="196"/>
      <c r="DP44" s="196"/>
      <c r="DQ44" s="196"/>
      <c r="DR44" s="196"/>
      <c r="DS44" s="196"/>
      <c r="DT44" s="196"/>
      <c r="DU44" s="196"/>
      <c r="DV44" s="196"/>
      <c r="DW44" s="196"/>
      <c r="DX44" s="196"/>
      <c r="DY44" s="196"/>
      <c r="DZ44" s="196"/>
      <c r="EA44" s="196">
        <v>1</v>
      </c>
      <c r="EB44" s="196">
        <v>25</v>
      </c>
      <c r="EC44" s="196">
        <v>2</v>
      </c>
      <c r="ED44" s="196">
        <v>22</v>
      </c>
      <c r="EE44" s="196"/>
      <c r="EF44" s="196">
        <v>1</v>
      </c>
      <c r="EG44" s="196">
        <v>0</v>
      </c>
      <c r="EH44" s="196">
        <v>0</v>
      </c>
      <c r="EI44" s="196">
        <v>0</v>
      </c>
      <c r="EJ44" s="196">
        <v>0</v>
      </c>
      <c r="EK44" s="196">
        <v>0</v>
      </c>
      <c r="EL44" s="196">
        <v>0</v>
      </c>
      <c r="EM44" s="196"/>
      <c r="EN44" s="196"/>
      <c r="EO44" s="196"/>
      <c r="EP44" s="196"/>
      <c r="EQ44" s="196"/>
      <c r="ER44" s="196"/>
      <c r="ES44" s="196"/>
      <c r="ET44" s="196"/>
      <c r="EU44" s="196"/>
      <c r="EV44" s="196"/>
      <c r="EW44" s="196"/>
      <c r="EX44" s="196"/>
      <c r="EY44" s="196">
        <v>0</v>
      </c>
      <c r="EZ44" s="196">
        <v>0</v>
      </c>
      <c r="FA44" s="196">
        <v>0</v>
      </c>
      <c r="FB44" s="196">
        <v>0</v>
      </c>
      <c r="FC44" s="196">
        <v>0</v>
      </c>
      <c r="FD44" s="196">
        <v>0</v>
      </c>
      <c r="FE44" s="196">
        <v>0</v>
      </c>
      <c r="FF44" s="196">
        <v>19</v>
      </c>
      <c r="FG44" s="196">
        <v>0</v>
      </c>
    </row>
    <row r="45" spans="2:163" x14ac:dyDescent="0.4">
      <c r="AC45" s="198">
        <v>1995</v>
      </c>
      <c r="AD45" s="198"/>
      <c r="AE45" s="196">
        <v>13</v>
      </c>
      <c r="AF45" s="196">
        <v>0</v>
      </c>
      <c r="AG45" s="196">
        <v>7497</v>
      </c>
      <c r="AH45" s="196">
        <v>4018</v>
      </c>
      <c r="AI45" s="196">
        <v>0</v>
      </c>
      <c r="AJ45" s="196">
        <v>130</v>
      </c>
      <c r="AK45" s="196">
        <v>0</v>
      </c>
      <c r="AL45" s="196">
        <v>878</v>
      </c>
      <c r="AM45" s="196">
        <v>116</v>
      </c>
      <c r="AN45" s="196">
        <v>0</v>
      </c>
      <c r="AO45" s="196">
        <v>0</v>
      </c>
      <c r="AP45" s="196">
        <v>2</v>
      </c>
      <c r="AQ45" s="196">
        <v>0</v>
      </c>
      <c r="AR45" s="196">
        <v>0</v>
      </c>
      <c r="AS45" s="196">
        <v>0</v>
      </c>
      <c r="AT45" s="196">
        <v>0</v>
      </c>
      <c r="AU45" s="196">
        <v>552</v>
      </c>
      <c r="AV45" s="196">
        <v>552</v>
      </c>
      <c r="AW45" s="196">
        <v>0</v>
      </c>
      <c r="AX45" s="196"/>
      <c r="AY45" s="196"/>
      <c r="AZ45" s="196">
        <v>0</v>
      </c>
      <c r="BA45" s="196">
        <v>0</v>
      </c>
      <c r="BB45" s="196">
        <v>0</v>
      </c>
      <c r="BC45" s="196">
        <v>0</v>
      </c>
      <c r="BD45" s="196">
        <v>0</v>
      </c>
      <c r="BE45" s="196">
        <v>0</v>
      </c>
      <c r="BF45" s="196">
        <v>0</v>
      </c>
      <c r="BG45" s="196">
        <v>0</v>
      </c>
      <c r="BH45" s="196">
        <v>0</v>
      </c>
      <c r="BI45" s="196"/>
      <c r="BJ45" s="196"/>
      <c r="BK45" s="196"/>
      <c r="BL45" s="196"/>
      <c r="BM45" s="196">
        <v>0</v>
      </c>
      <c r="BN45" s="196">
        <v>0</v>
      </c>
      <c r="BO45" s="196">
        <v>0</v>
      </c>
      <c r="BP45" s="196">
        <v>0</v>
      </c>
      <c r="BQ45" s="196">
        <v>8</v>
      </c>
      <c r="BR45" s="196">
        <v>0</v>
      </c>
      <c r="BS45" s="196">
        <v>284</v>
      </c>
      <c r="BT45" s="196">
        <v>40</v>
      </c>
      <c r="BU45" s="196">
        <v>0</v>
      </c>
      <c r="BV45" s="196">
        <v>22</v>
      </c>
      <c r="BW45" s="196">
        <v>0</v>
      </c>
      <c r="BX45" s="196">
        <v>59</v>
      </c>
      <c r="BY45" s="196">
        <v>5</v>
      </c>
      <c r="BZ45" s="196">
        <v>1</v>
      </c>
      <c r="CA45" s="196">
        <v>214</v>
      </c>
      <c r="CB45" s="196">
        <v>0</v>
      </c>
      <c r="CC45" s="196">
        <v>0</v>
      </c>
      <c r="CD45" s="196">
        <v>102</v>
      </c>
      <c r="CE45" s="196">
        <v>0</v>
      </c>
      <c r="CF45" s="196">
        <v>0</v>
      </c>
      <c r="CG45" s="196">
        <v>30</v>
      </c>
      <c r="CH45" s="196">
        <v>0</v>
      </c>
      <c r="CI45" s="196">
        <v>1</v>
      </c>
      <c r="CJ45" s="196">
        <v>10</v>
      </c>
      <c r="CK45" s="196">
        <v>0</v>
      </c>
      <c r="CL45" s="196">
        <v>0</v>
      </c>
      <c r="CM45" s="196">
        <v>2</v>
      </c>
      <c r="CN45" s="196">
        <v>1</v>
      </c>
      <c r="CO45" s="196">
        <v>0</v>
      </c>
      <c r="CP45" s="196"/>
      <c r="CQ45" s="196"/>
      <c r="CR45" s="196">
        <v>0</v>
      </c>
      <c r="CS45" s="196">
        <v>104</v>
      </c>
      <c r="CT45" s="196">
        <v>0</v>
      </c>
      <c r="CU45" s="196">
        <v>30</v>
      </c>
      <c r="CV45" s="196">
        <v>0</v>
      </c>
      <c r="CW45" s="196">
        <v>14</v>
      </c>
      <c r="CX45" s="196">
        <v>0</v>
      </c>
      <c r="CY45" s="196">
        <v>0</v>
      </c>
      <c r="CZ45" s="196">
        <v>0</v>
      </c>
      <c r="DA45" s="196">
        <v>0</v>
      </c>
      <c r="DB45" s="196">
        <v>1</v>
      </c>
      <c r="DC45" s="196">
        <v>0</v>
      </c>
      <c r="DD45" s="196">
        <v>6229</v>
      </c>
      <c r="DE45" s="196">
        <v>3426</v>
      </c>
      <c r="DF45" s="196">
        <v>0</v>
      </c>
      <c r="DG45" s="196">
        <v>75</v>
      </c>
      <c r="DH45" s="196">
        <v>0</v>
      </c>
      <c r="DI45" s="196">
        <v>696</v>
      </c>
      <c r="DJ45" s="196">
        <v>111</v>
      </c>
      <c r="DK45" s="196">
        <v>0</v>
      </c>
      <c r="DL45" s="196">
        <v>0</v>
      </c>
      <c r="DM45" s="196">
        <v>0</v>
      </c>
      <c r="DN45" s="196">
        <v>0</v>
      </c>
      <c r="DO45" s="196">
        <v>0</v>
      </c>
      <c r="DP45" s="196">
        <v>8</v>
      </c>
      <c r="DQ45" s="196">
        <v>0</v>
      </c>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v>2</v>
      </c>
      <c r="EN45" s="196">
        <v>0</v>
      </c>
      <c r="EO45" s="196">
        <v>0</v>
      </c>
      <c r="EP45" s="196">
        <v>10</v>
      </c>
      <c r="EQ45" s="196"/>
      <c r="ER45" s="196"/>
      <c r="ES45" s="196"/>
      <c r="ET45" s="196"/>
      <c r="EU45" s="196"/>
      <c r="EV45" s="196"/>
      <c r="EW45" s="196"/>
      <c r="EX45" s="196"/>
      <c r="EY45" s="196">
        <v>0</v>
      </c>
      <c r="EZ45" s="196">
        <v>0</v>
      </c>
      <c r="FA45" s="196">
        <v>0</v>
      </c>
      <c r="FB45" s="196">
        <v>0</v>
      </c>
      <c r="FC45" s="196">
        <v>0</v>
      </c>
      <c r="FD45" s="196">
        <v>1</v>
      </c>
      <c r="FE45" s="196">
        <v>0</v>
      </c>
      <c r="FF45" s="196">
        <v>60</v>
      </c>
      <c r="FG45" s="196">
        <v>0</v>
      </c>
    </row>
    <row r="46" spans="2:163" x14ac:dyDescent="0.4">
      <c r="AC46" s="198">
        <v>1996</v>
      </c>
      <c r="AD46" s="198"/>
      <c r="AE46" s="196">
        <v>57</v>
      </c>
      <c r="AF46" s="196">
        <v>0</v>
      </c>
      <c r="AG46" s="196">
        <v>12346</v>
      </c>
      <c r="AH46" s="196">
        <v>6551</v>
      </c>
      <c r="AI46" s="196">
        <v>0</v>
      </c>
      <c r="AJ46" s="196">
        <v>683</v>
      </c>
      <c r="AK46" s="196">
        <v>139</v>
      </c>
      <c r="AL46" s="196">
        <v>1057</v>
      </c>
      <c r="AM46" s="196">
        <v>722</v>
      </c>
      <c r="AN46" s="196">
        <v>2</v>
      </c>
      <c r="AO46" s="196">
        <v>0</v>
      </c>
      <c r="AP46" s="196">
        <v>0</v>
      </c>
      <c r="AQ46" s="196">
        <v>0</v>
      </c>
      <c r="AR46" s="196">
        <v>0</v>
      </c>
      <c r="AS46" s="196">
        <v>0</v>
      </c>
      <c r="AT46" s="196"/>
      <c r="AU46" s="196"/>
      <c r="AV46" s="196"/>
      <c r="AW46" s="196"/>
      <c r="AX46" s="196"/>
      <c r="AY46" s="196"/>
      <c r="AZ46" s="196">
        <v>6</v>
      </c>
      <c r="BA46" s="196">
        <v>0</v>
      </c>
      <c r="BB46" s="196">
        <v>1</v>
      </c>
      <c r="BC46" s="196">
        <v>0</v>
      </c>
      <c r="BD46" s="196">
        <v>0</v>
      </c>
      <c r="BE46" s="196">
        <v>0</v>
      </c>
      <c r="BF46" s="196">
        <v>0</v>
      </c>
      <c r="BG46" s="196">
        <v>3</v>
      </c>
      <c r="BH46" s="196">
        <v>0</v>
      </c>
      <c r="BI46" s="196"/>
      <c r="BJ46" s="196"/>
      <c r="BK46" s="196"/>
      <c r="BL46" s="196"/>
      <c r="BM46" s="196"/>
      <c r="BN46" s="196"/>
      <c r="BO46" s="196"/>
      <c r="BP46" s="196"/>
      <c r="BQ46" s="196">
        <v>22</v>
      </c>
      <c r="BR46" s="196">
        <v>0</v>
      </c>
      <c r="BS46" s="196">
        <v>132</v>
      </c>
      <c r="BT46" s="196">
        <v>127</v>
      </c>
      <c r="BU46" s="196">
        <v>0</v>
      </c>
      <c r="BV46" s="196">
        <v>26</v>
      </c>
      <c r="BW46" s="196">
        <v>23</v>
      </c>
      <c r="BX46" s="196">
        <v>34</v>
      </c>
      <c r="BY46" s="196">
        <v>2</v>
      </c>
      <c r="BZ46" s="196">
        <v>0</v>
      </c>
      <c r="CA46" s="196">
        <v>25</v>
      </c>
      <c r="CB46" s="196">
        <v>0</v>
      </c>
      <c r="CC46" s="196">
        <v>0</v>
      </c>
      <c r="CD46" s="196">
        <v>185</v>
      </c>
      <c r="CE46" s="196">
        <v>0</v>
      </c>
      <c r="CF46" s="196">
        <v>0</v>
      </c>
      <c r="CG46" s="196">
        <v>0</v>
      </c>
      <c r="CH46" s="196">
        <v>20</v>
      </c>
      <c r="CI46" s="196"/>
      <c r="CJ46" s="196"/>
      <c r="CK46" s="196"/>
      <c r="CL46" s="196"/>
      <c r="CM46" s="196"/>
      <c r="CN46" s="196"/>
      <c r="CO46" s="196"/>
      <c r="CP46" s="196"/>
      <c r="CQ46" s="196"/>
      <c r="CR46" s="196">
        <v>4</v>
      </c>
      <c r="CS46" s="196">
        <v>369</v>
      </c>
      <c r="CT46" s="196">
        <v>0</v>
      </c>
      <c r="CU46" s="196">
        <v>70</v>
      </c>
      <c r="CV46" s="196">
        <v>93</v>
      </c>
      <c r="CW46" s="196">
        <v>16</v>
      </c>
      <c r="CX46" s="196">
        <v>0</v>
      </c>
      <c r="CY46" s="196">
        <v>0</v>
      </c>
      <c r="CZ46" s="196">
        <v>0</v>
      </c>
      <c r="DA46" s="196">
        <v>0</v>
      </c>
      <c r="DB46" s="196">
        <v>23</v>
      </c>
      <c r="DC46" s="196">
        <v>0</v>
      </c>
      <c r="DD46" s="196">
        <v>11631</v>
      </c>
      <c r="DE46" s="196">
        <v>6424</v>
      </c>
      <c r="DF46" s="196">
        <v>0</v>
      </c>
      <c r="DG46" s="196">
        <v>587</v>
      </c>
      <c r="DH46" s="196">
        <v>23</v>
      </c>
      <c r="DI46" s="196">
        <v>991</v>
      </c>
      <c r="DJ46" s="196">
        <v>700</v>
      </c>
      <c r="DK46" s="196">
        <v>0</v>
      </c>
      <c r="DL46" s="196">
        <v>0</v>
      </c>
      <c r="DM46" s="196">
        <v>0</v>
      </c>
      <c r="DN46" s="196">
        <v>0</v>
      </c>
      <c r="DO46" s="196">
        <v>0</v>
      </c>
      <c r="DP46" s="196">
        <v>3</v>
      </c>
      <c r="DQ46" s="196">
        <v>0</v>
      </c>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v>0</v>
      </c>
      <c r="EZ46" s="196">
        <v>0</v>
      </c>
      <c r="FA46" s="196">
        <v>3</v>
      </c>
      <c r="FB46" s="196">
        <v>0</v>
      </c>
      <c r="FC46" s="196">
        <v>0</v>
      </c>
      <c r="FD46" s="196">
        <v>0</v>
      </c>
      <c r="FE46" s="196">
        <v>0</v>
      </c>
      <c r="FF46" s="196">
        <v>10</v>
      </c>
      <c r="FG46" s="196">
        <v>0</v>
      </c>
    </row>
    <row r="47" spans="2:163" x14ac:dyDescent="0.4">
      <c r="AC47" s="198">
        <v>1997</v>
      </c>
      <c r="AD47" s="198"/>
      <c r="AE47" s="196">
        <v>20</v>
      </c>
      <c r="AF47" s="196">
        <v>2</v>
      </c>
      <c r="AG47" s="196">
        <v>1714</v>
      </c>
      <c r="AH47" s="196">
        <v>1235</v>
      </c>
      <c r="AI47" s="196">
        <v>0</v>
      </c>
      <c r="AJ47" s="196">
        <v>81</v>
      </c>
      <c r="AK47" s="196">
        <v>14</v>
      </c>
      <c r="AL47" s="196">
        <v>1059</v>
      </c>
      <c r="AM47" s="196">
        <v>105</v>
      </c>
      <c r="AN47" s="196">
        <v>0</v>
      </c>
      <c r="AO47" s="196">
        <v>2</v>
      </c>
      <c r="AP47" s="196">
        <v>1</v>
      </c>
      <c r="AQ47" s="196">
        <v>0</v>
      </c>
      <c r="AR47" s="196">
        <v>0</v>
      </c>
      <c r="AS47" s="196">
        <v>0</v>
      </c>
      <c r="AT47" s="196"/>
      <c r="AU47" s="196"/>
      <c r="AV47" s="196"/>
      <c r="AW47" s="196"/>
      <c r="AX47" s="196"/>
      <c r="AY47" s="196"/>
      <c r="AZ47" s="196">
        <v>11</v>
      </c>
      <c r="BA47" s="196">
        <v>0</v>
      </c>
      <c r="BB47" s="196">
        <v>5</v>
      </c>
      <c r="BC47" s="196">
        <v>0</v>
      </c>
      <c r="BD47" s="196">
        <v>0</v>
      </c>
      <c r="BE47" s="196">
        <v>6</v>
      </c>
      <c r="BF47" s="196">
        <v>0</v>
      </c>
      <c r="BG47" s="196">
        <v>24</v>
      </c>
      <c r="BH47" s="196">
        <v>0</v>
      </c>
      <c r="BI47" s="196"/>
      <c r="BJ47" s="196"/>
      <c r="BK47" s="196"/>
      <c r="BL47" s="196"/>
      <c r="BM47" s="196"/>
      <c r="BN47" s="196"/>
      <c r="BO47" s="196"/>
      <c r="BP47" s="196"/>
      <c r="BQ47" s="196">
        <v>2</v>
      </c>
      <c r="BR47" s="196">
        <v>0</v>
      </c>
      <c r="BS47" s="196">
        <v>26</v>
      </c>
      <c r="BT47" s="196">
        <v>0</v>
      </c>
      <c r="BU47" s="196">
        <v>0</v>
      </c>
      <c r="BV47" s="196">
        <v>6</v>
      </c>
      <c r="BW47" s="196">
        <v>0</v>
      </c>
      <c r="BX47" s="196">
        <v>11</v>
      </c>
      <c r="BY47" s="196">
        <v>0</v>
      </c>
      <c r="BZ47" s="196">
        <v>0</v>
      </c>
      <c r="CA47" s="196">
        <v>9</v>
      </c>
      <c r="CB47" s="196">
        <v>0</v>
      </c>
      <c r="CC47" s="196">
        <v>1</v>
      </c>
      <c r="CD47" s="196">
        <v>74</v>
      </c>
      <c r="CE47" s="196">
        <v>0</v>
      </c>
      <c r="CF47" s="196">
        <v>0</v>
      </c>
      <c r="CG47" s="196">
        <v>0</v>
      </c>
      <c r="CH47" s="196">
        <v>42</v>
      </c>
      <c r="CI47" s="196">
        <v>2</v>
      </c>
      <c r="CJ47" s="196">
        <v>14</v>
      </c>
      <c r="CK47" s="196">
        <v>0</v>
      </c>
      <c r="CL47" s="196">
        <v>0</v>
      </c>
      <c r="CM47" s="196">
        <v>0</v>
      </c>
      <c r="CN47" s="196">
        <v>0</v>
      </c>
      <c r="CO47" s="196">
        <v>3</v>
      </c>
      <c r="CP47" s="196"/>
      <c r="CQ47" s="196"/>
      <c r="CR47" s="196">
        <v>4</v>
      </c>
      <c r="CS47" s="196">
        <v>107</v>
      </c>
      <c r="CT47" s="196">
        <v>0</v>
      </c>
      <c r="CU47" s="196">
        <v>59</v>
      </c>
      <c r="CV47" s="196">
        <v>0</v>
      </c>
      <c r="CW47" s="196">
        <v>26</v>
      </c>
      <c r="CX47" s="196">
        <v>0</v>
      </c>
      <c r="CY47" s="196">
        <v>6</v>
      </c>
      <c r="CZ47" s="196">
        <v>0</v>
      </c>
      <c r="DA47" s="196">
        <v>60</v>
      </c>
      <c r="DB47" s="196">
        <v>0</v>
      </c>
      <c r="DC47" s="196">
        <v>0</v>
      </c>
      <c r="DD47" s="196">
        <v>1236</v>
      </c>
      <c r="DE47" s="196">
        <v>1235</v>
      </c>
      <c r="DF47" s="196">
        <v>0</v>
      </c>
      <c r="DG47" s="196">
        <v>8</v>
      </c>
      <c r="DH47" s="196">
        <v>14</v>
      </c>
      <c r="DI47" s="196">
        <v>765</v>
      </c>
      <c r="DJ47" s="196">
        <v>0</v>
      </c>
      <c r="DK47" s="196"/>
      <c r="DL47" s="196"/>
      <c r="DM47" s="196"/>
      <c r="DN47" s="196"/>
      <c r="DO47" s="196"/>
      <c r="DP47" s="196"/>
      <c r="DQ47" s="196"/>
      <c r="DR47" s="196">
        <v>0</v>
      </c>
      <c r="DS47" s="196">
        <v>0</v>
      </c>
      <c r="DT47" s="196">
        <v>0</v>
      </c>
      <c r="DU47" s="196">
        <v>0</v>
      </c>
      <c r="DV47" s="196">
        <v>0</v>
      </c>
      <c r="DW47" s="196">
        <v>2</v>
      </c>
      <c r="DX47" s="196">
        <v>0</v>
      </c>
      <c r="DY47" s="196">
        <v>0</v>
      </c>
      <c r="DZ47" s="196"/>
      <c r="EA47" s="196"/>
      <c r="EB47" s="196"/>
      <c r="EC47" s="196"/>
      <c r="ED47" s="196"/>
      <c r="EE47" s="196">
        <v>0</v>
      </c>
      <c r="EF47" s="196"/>
      <c r="EG47" s="196"/>
      <c r="EH47" s="196"/>
      <c r="EI47" s="196"/>
      <c r="EJ47" s="196"/>
      <c r="EK47" s="196"/>
      <c r="EL47" s="196"/>
      <c r="EM47" s="196"/>
      <c r="EN47" s="196"/>
      <c r="EO47" s="196"/>
      <c r="EP47" s="196"/>
      <c r="EQ47" s="196"/>
      <c r="ER47" s="196"/>
      <c r="ES47" s="196"/>
      <c r="ET47" s="196"/>
      <c r="EU47" s="196"/>
      <c r="EV47" s="196"/>
      <c r="EW47" s="196"/>
      <c r="EX47" s="196"/>
      <c r="EY47" s="196">
        <v>0</v>
      </c>
      <c r="EZ47" s="196">
        <v>0</v>
      </c>
      <c r="FA47" s="196">
        <v>236</v>
      </c>
      <c r="FB47" s="196">
        <v>0</v>
      </c>
      <c r="FC47" s="196">
        <v>0</v>
      </c>
      <c r="FD47" s="196">
        <v>0</v>
      </c>
      <c r="FE47" s="196">
        <v>0</v>
      </c>
      <c r="FF47" s="196">
        <v>233</v>
      </c>
      <c r="FG47" s="196">
        <v>0</v>
      </c>
    </row>
    <row r="48" spans="2:163" x14ac:dyDescent="0.4">
      <c r="AC48" s="198">
        <v>1998</v>
      </c>
      <c r="AD48" s="198"/>
      <c r="AE48" s="196">
        <v>14</v>
      </c>
      <c r="AF48" s="196">
        <v>2</v>
      </c>
      <c r="AG48" s="196">
        <v>7467</v>
      </c>
      <c r="AH48" s="196">
        <v>8006</v>
      </c>
      <c r="AI48" s="196">
        <v>2</v>
      </c>
      <c r="AJ48" s="196">
        <v>122</v>
      </c>
      <c r="AK48" s="196">
        <v>243</v>
      </c>
      <c r="AL48" s="196">
        <v>1815</v>
      </c>
      <c r="AM48" s="196">
        <v>911</v>
      </c>
      <c r="AN48" s="196">
        <v>2</v>
      </c>
      <c r="AO48" s="196">
        <v>0</v>
      </c>
      <c r="AP48" s="196">
        <v>1</v>
      </c>
      <c r="AQ48" s="196">
        <v>0</v>
      </c>
      <c r="AR48" s="196">
        <v>2</v>
      </c>
      <c r="AS48" s="196">
        <v>0</v>
      </c>
      <c r="AT48" s="196"/>
      <c r="AU48" s="196"/>
      <c r="AV48" s="196"/>
      <c r="AW48" s="196"/>
      <c r="AX48" s="196"/>
      <c r="AY48" s="196"/>
      <c r="AZ48" s="196">
        <v>10</v>
      </c>
      <c r="BA48" s="196">
        <v>0</v>
      </c>
      <c r="BB48" s="196">
        <v>286</v>
      </c>
      <c r="BC48" s="196">
        <v>271</v>
      </c>
      <c r="BD48" s="196">
        <v>0</v>
      </c>
      <c r="BE48" s="196">
        <v>10</v>
      </c>
      <c r="BF48" s="196">
        <v>126</v>
      </c>
      <c r="BG48" s="196">
        <v>254</v>
      </c>
      <c r="BH48" s="196">
        <v>361</v>
      </c>
      <c r="BI48" s="196"/>
      <c r="BJ48" s="196"/>
      <c r="BK48" s="196"/>
      <c r="BL48" s="196"/>
      <c r="BM48" s="196"/>
      <c r="BN48" s="196"/>
      <c r="BO48" s="196"/>
      <c r="BP48" s="196"/>
      <c r="BQ48" s="196">
        <v>0</v>
      </c>
      <c r="BR48" s="196">
        <v>0</v>
      </c>
      <c r="BS48" s="196">
        <v>243</v>
      </c>
      <c r="BT48" s="196">
        <v>79</v>
      </c>
      <c r="BU48" s="196">
        <v>0</v>
      </c>
      <c r="BV48" s="196">
        <v>9</v>
      </c>
      <c r="BW48" s="196">
        <v>0</v>
      </c>
      <c r="BX48" s="196">
        <v>97</v>
      </c>
      <c r="BY48" s="196">
        <v>0</v>
      </c>
      <c r="BZ48" s="196">
        <v>0</v>
      </c>
      <c r="CA48" s="196">
        <v>0</v>
      </c>
      <c r="CB48" s="196">
        <v>0</v>
      </c>
      <c r="CC48" s="196">
        <v>0</v>
      </c>
      <c r="CD48" s="196">
        <v>7</v>
      </c>
      <c r="CE48" s="196">
        <v>0</v>
      </c>
      <c r="CF48" s="196">
        <v>0</v>
      </c>
      <c r="CG48" s="196">
        <v>0</v>
      </c>
      <c r="CH48" s="196">
        <v>0</v>
      </c>
      <c r="CI48" s="196">
        <v>1</v>
      </c>
      <c r="CJ48" s="196">
        <v>19</v>
      </c>
      <c r="CK48" s="196">
        <v>0</v>
      </c>
      <c r="CL48" s="196">
        <v>0</v>
      </c>
      <c r="CM48" s="196">
        <v>5</v>
      </c>
      <c r="CN48" s="196">
        <v>4</v>
      </c>
      <c r="CO48" s="196">
        <v>0</v>
      </c>
      <c r="CP48" s="196"/>
      <c r="CQ48" s="196"/>
      <c r="CR48" s="196">
        <v>1</v>
      </c>
      <c r="CS48" s="196">
        <v>115</v>
      </c>
      <c r="CT48" s="196">
        <v>0</v>
      </c>
      <c r="CU48" s="196">
        <v>19</v>
      </c>
      <c r="CV48" s="196">
        <v>0</v>
      </c>
      <c r="CW48" s="196">
        <v>12</v>
      </c>
      <c r="CX48" s="196">
        <v>0</v>
      </c>
      <c r="CY48" s="196">
        <v>3</v>
      </c>
      <c r="CZ48" s="196">
        <v>0</v>
      </c>
      <c r="DA48" s="196">
        <v>0</v>
      </c>
      <c r="DB48" s="196">
        <v>0</v>
      </c>
      <c r="DC48" s="196">
        <v>2</v>
      </c>
      <c r="DD48" s="196">
        <v>6186</v>
      </c>
      <c r="DE48" s="196">
        <v>7656</v>
      </c>
      <c r="DF48" s="196">
        <v>0</v>
      </c>
      <c r="DG48" s="196">
        <v>60</v>
      </c>
      <c r="DH48" s="196">
        <v>117</v>
      </c>
      <c r="DI48" s="196">
        <v>1308</v>
      </c>
      <c r="DJ48" s="196">
        <v>0</v>
      </c>
      <c r="DK48" s="196">
        <v>0</v>
      </c>
      <c r="DL48" s="196">
        <v>196</v>
      </c>
      <c r="DM48" s="196">
        <v>0</v>
      </c>
      <c r="DN48" s="196">
        <v>0</v>
      </c>
      <c r="DO48" s="196">
        <v>19</v>
      </c>
      <c r="DP48" s="196">
        <v>31</v>
      </c>
      <c r="DQ48" s="196">
        <v>0</v>
      </c>
      <c r="DR48" s="196">
        <v>0</v>
      </c>
      <c r="DS48" s="196">
        <v>0</v>
      </c>
      <c r="DT48" s="196">
        <v>0</v>
      </c>
      <c r="DU48" s="196">
        <v>0</v>
      </c>
      <c r="DV48" s="196">
        <v>0</v>
      </c>
      <c r="DW48" s="196">
        <v>0</v>
      </c>
      <c r="DX48" s="196">
        <v>3</v>
      </c>
      <c r="DY48" s="196">
        <v>0</v>
      </c>
      <c r="DZ48" s="196"/>
      <c r="EA48" s="196"/>
      <c r="EB48" s="196"/>
      <c r="EC48" s="196">
        <v>0</v>
      </c>
      <c r="ED48" s="196">
        <v>0</v>
      </c>
      <c r="EE48" s="196">
        <v>0</v>
      </c>
      <c r="EF48" s="196"/>
      <c r="EG48" s="196"/>
      <c r="EH48" s="196"/>
      <c r="EI48" s="196"/>
      <c r="EJ48" s="196"/>
      <c r="EK48" s="196"/>
      <c r="EL48" s="196"/>
      <c r="EM48" s="196"/>
      <c r="EN48" s="196"/>
      <c r="EO48" s="196"/>
      <c r="EP48" s="196"/>
      <c r="EQ48" s="196"/>
      <c r="ER48" s="196"/>
      <c r="ES48" s="196"/>
      <c r="ET48" s="196"/>
      <c r="EU48" s="196"/>
      <c r="EV48" s="196"/>
      <c r="EW48" s="196"/>
      <c r="EX48" s="196"/>
      <c r="EY48" s="196">
        <v>0</v>
      </c>
      <c r="EZ48" s="196">
        <v>0</v>
      </c>
      <c r="FA48" s="196">
        <v>411</v>
      </c>
      <c r="FB48" s="196">
        <v>0</v>
      </c>
      <c r="FC48" s="196">
        <v>0</v>
      </c>
      <c r="FD48" s="196">
        <v>0</v>
      </c>
      <c r="FE48" s="196">
        <v>0</v>
      </c>
      <c r="FF48" s="196">
        <v>106</v>
      </c>
      <c r="FG48" s="196">
        <v>550</v>
      </c>
    </row>
    <row r="49" spans="29:163" x14ac:dyDescent="0.4">
      <c r="AC49" s="198">
        <v>1999</v>
      </c>
      <c r="AD49" s="198"/>
      <c r="AE49" s="196">
        <v>12</v>
      </c>
      <c r="AF49" s="196">
        <v>0</v>
      </c>
      <c r="AG49" s="196">
        <v>14786</v>
      </c>
      <c r="AH49" s="196">
        <v>12829</v>
      </c>
      <c r="AI49" s="196">
        <v>0</v>
      </c>
      <c r="AJ49" s="196">
        <v>173</v>
      </c>
      <c r="AK49" s="196">
        <v>18</v>
      </c>
      <c r="AL49" s="196">
        <v>5085</v>
      </c>
      <c r="AM49" s="196">
        <v>3410</v>
      </c>
      <c r="AN49" s="196">
        <v>1</v>
      </c>
      <c r="AO49" s="196">
        <v>0</v>
      </c>
      <c r="AP49" s="196">
        <v>1</v>
      </c>
      <c r="AQ49" s="196">
        <v>0</v>
      </c>
      <c r="AR49" s="196">
        <v>0</v>
      </c>
      <c r="AS49" s="196">
        <v>0</v>
      </c>
      <c r="AT49" s="196"/>
      <c r="AU49" s="196"/>
      <c r="AV49" s="196"/>
      <c r="AW49" s="196"/>
      <c r="AX49" s="196"/>
      <c r="AY49" s="196"/>
      <c r="AZ49" s="196">
        <v>6</v>
      </c>
      <c r="BA49" s="196">
        <v>0</v>
      </c>
      <c r="BB49" s="196">
        <v>250</v>
      </c>
      <c r="BC49" s="196">
        <v>150</v>
      </c>
      <c r="BD49" s="196">
        <v>0</v>
      </c>
      <c r="BE49" s="196">
        <v>6</v>
      </c>
      <c r="BF49" s="196">
        <v>0</v>
      </c>
      <c r="BG49" s="196">
        <v>53</v>
      </c>
      <c r="BH49" s="196">
        <v>510</v>
      </c>
      <c r="BI49" s="196"/>
      <c r="BJ49" s="196"/>
      <c r="BK49" s="196"/>
      <c r="BL49" s="196"/>
      <c r="BM49" s="196"/>
      <c r="BN49" s="196"/>
      <c r="BO49" s="196"/>
      <c r="BP49" s="196"/>
      <c r="BQ49" s="196">
        <v>3</v>
      </c>
      <c r="BR49" s="196">
        <v>0</v>
      </c>
      <c r="BS49" s="196">
        <v>743</v>
      </c>
      <c r="BT49" s="196">
        <v>454</v>
      </c>
      <c r="BU49" s="196">
        <v>0</v>
      </c>
      <c r="BV49" s="196">
        <v>17</v>
      </c>
      <c r="BW49" s="196">
        <v>0</v>
      </c>
      <c r="BX49" s="196">
        <v>313</v>
      </c>
      <c r="BY49" s="196">
        <v>150</v>
      </c>
      <c r="BZ49" s="196"/>
      <c r="CA49" s="196"/>
      <c r="CB49" s="196"/>
      <c r="CC49" s="196">
        <v>0</v>
      </c>
      <c r="CD49" s="196">
        <v>5</v>
      </c>
      <c r="CE49" s="196">
        <v>0</v>
      </c>
      <c r="CF49" s="196">
        <v>0</v>
      </c>
      <c r="CG49" s="196">
        <v>0</v>
      </c>
      <c r="CH49" s="196">
        <v>0</v>
      </c>
      <c r="CI49" s="196">
        <v>1</v>
      </c>
      <c r="CJ49" s="196">
        <v>2</v>
      </c>
      <c r="CK49" s="196">
        <v>0</v>
      </c>
      <c r="CL49" s="196">
        <v>0</v>
      </c>
      <c r="CM49" s="196">
        <v>0</v>
      </c>
      <c r="CN49" s="196">
        <v>0</v>
      </c>
      <c r="CO49" s="196">
        <v>0</v>
      </c>
      <c r="CP49" s="196"/>
      <c r="CQ49" s="196"/>
      <c r="CR49" s="196">
        <v>0</v>
      </c>
      <c r="CS49" s="196">
        <v>29</v>
      </c>
      <c r="CT49" s="196">
        <v>0</v>
      </c>
      <c r="CU49" s="196">
        <v>6</v>
      </c>
      <c r="CV49" s="196">
        <v>0</v>
      </c>
      <c r="CW49" s="196">
        <v>1</v>
      </c>
      <c r="CX49" s="196">
        <v>0</v>
      </c>
      <c r="CY49" s="196"/>
      <c r="CZ49" s="196"/>
      <c r="DA49" s="196"/>
      <c r="DB49" s="196">
        <v>1</v>
      </c>
      <c r="DC49" s="196">
        <v>0</v>
      </c>
      <c r="DD49" s="196">
        <v>13527</v>
      </c>
      <c r="DE49" s="196">
        <v>12026</v>
      </c>
      <c r="DF49" s="196">
        <v>0</v>
      </c>
      <c r="DG49" s="196">
        <v>122</v>
      </c>
      <c r="DH49" s="196">
        <v>18</v>
      </c>
      <c r="DI49" s="196">
        <v>4406</v>
      </c>
      <c r="DJ49" s="196">
        <v>2750</v>
      </c>
      <c r="DK49" s="196">
        <v>0</v>
      </c>
      <c r="DL49" s="196">
        <v>71</v>
      </c>
      <c r="DM49" s="196">
        <v>78</v>
      </c>
      <c r="DN49" s="196">
        <v>0</v>
      </c>
      <c r="DO49" s="196">
        <v>3</v>
      </c>
      <c r="DP49" s="196">
        <v>24</v>
      </c>
      <c r="DQ49" s="196">
        <v>0</v>
      </c>
      <c r="DR49" s="196">
        <v>0</v>
      </c>
      <c r="DS49" s="196">
        <v>0</v>
      </c>
      <c r="DT49" s="196">
        <v>0</v>
      </c>
      <c r="DU49" s="196">
        <v>0</v>
      </c>
      <c r="DV49" s="196">
        <v>0</v>
      </c>
      <c r="DW49" s="196">
        <v>0</v>
      </c>
      <c r="DX49" s="196">
        <v>8</v>
      </c>
      <c r="DY49" s="196">
        <v>0</v>
      </c>
      <c r="DZ49" s="196"/>
      <c r="EA49" s="196"/>
      <c r="EB49" s="196"/>
      <c r="EC49" s="196"/>
      <c r="ED49" s="196"/>
      <c r="EE49" s="196"/>
      <c r="EF49" s="196">
        <v>0</v>
      </c>
      <c r="EG49" s="196">
        <v>0</v>
      </c>
      <c r="EH49" s="196">
        <v>0</v>
      </c>
      <c r="EI49" s="196">
        <v>0</v>
      </c>
      <c r="EJ49" s="196">
        <v>0</v>
      </c>
      <c r="EK49" s="196">
        <v>0</v>
      </c>
      <c r="EL49" s="196">
        <v>1</v>
      </c>
      <c r="EM49" s="196"/>
      <c r="EN49" s="196"/>
      <c r="EO49" s="196"/>
      <c r="EP49" s="196"/>
      <c r="EQ49" s="196"/>
      <c r="ER49" s="196"/>
      <c r="ES49" s="196"/>
      <c r="ET49" s="196"/>
      <c r="EU49" s="196"/>
      <c r="EV49" s="196"/>
      <c r="EW49" s="196"/>
      <c r="EX49" s="196"/>
      <c r="EY49" s="196">
        <v>0</v>
      </c>
      <c r="EZ49" s="196">
        <v>0</v>
      </c>
      <c r="FA49" s="196">
        <v>158</v>
      </c>
      <c r="FB49" s="196">
        <v>121</v>
      </c>
      <c r="FC49" s="196">
        <v>0</v>
      </c>
      <c r="FD49" s="196">
        <v>19</v>
      </c>
      <c r="FE49" s="196">
        <v>0</v>
      </c>
      <c r="FF49" s="196">
        <v>279</v>
      </c>
      <c r="FG49" s="196">
        <v>0</v>
      </c>
    </row>
    <row r="50" spans="29:163" x14ac:dyDescent="0.4">
      <c r="AC50" s="198">
        <v>2000</v>
      </c>
      <c r="AD50" s="198"/>
      <c r="AE50" s="196">
        <v>8</v>
      </c>
      <c r="AF50" s="196">
        <v>8</v>
      </c>
      <c r="AG50" s="196">
        <v>3766</v>
      </c>
      <c r="AH50" s="196">
        <v>2440</v>
      </c>
      <c r="AI50" s="196">
        <v>0</v>
      </c>
      <c r="AJ50" s="196">
        <v>5</v>
      </c>
      <c r="AK50" s="196">
        <v>14</v>
      </c>
      <c r="AL50" s="196">
        <v>1577</v>
      </c>
      <c r="AM50" s="196">
        <v>0</v>
      </c>
      <c r="AN50" s="196">
        <v>1</v>
      </c>
      <c r="AO50" s="196">
        <v>0</v>
      </c>
      <c r="AP50" s="196">
        <v>0</v>
      </c>
      <c r="AQ50" s="196">
        <v>0</v>
      </c>
      <c r="AR50" s="196">
        <v>0</v>
      </c>
      <c r="AS50" s="196">
        <v>0</v>
      </c>
      <c r="AT50" s="196">
        <v>2</v>
      </c>
      <c r="AU50" s="196">
        <v>0</v>
      </c>
      <c r="AV50" s="196">
        <v>0</v>
      </c>
      <c r="AW50" s="196">
        <v>0</v>
      </c>
      <c r="AX50" s="196"/>
      <c r="AY50" s="196"/>
      <c r="AZ50" s="196">
        <v>0</v>
      </c>
      <c r="BA50" s="196">
        <v>0</v>
      </c>
      <c r="BB50" s="196">
        <v>0</v>
      </c>
      <c r="BC50" s="196">
        <v>100</v>
      </c>
      <c r="BD50" s="196">
        <v>0</v>
      </c>
      <c r="BE50" s="196">
        <v>0</v>
      </c>
      <c r="BF50" s="196">
        <v>0</v>
      </c>
      <c r="BG50" s="196">
        <v>0</v>
      </c>
      <c r="BH50" s="196">
        <v>0</v>
      </c>
      <c r="BI50" s="196"/>
      <c r="BJ50" s="196"/>
      <c r="BK50" s="196"/>
      <c r="BL50" s="196"/>
      <c r="BM50" s="196">
        <v>0</v>
      </c>
      <c r="BN50" s="196">
        <v>0</v>
      </c>
      <c r="BO50" s="196">
        <v>0</v>
      </c>
      <c r="BP50" s="196">
        <v>0</v>
      </c>
      <c r="BQ50" s="196">
        <v>0</v>
      </c>
      <c r="BR50" s="196">
        <v>8</v>
      </c>
      <c r="BS50" s="196">
        <v>578</v>
      </c>
      <c r="BT50" s="196">
        <v>378</v>
      </c>
      <c r="BU50" s="196">
        <v>0</v>
      </c>
      <c r="BV50" s="196">
        <v>3</v>
      </c>
      <c r="BW50" s="196">
        <v>0</v>
      </c>
      <c r="BX50" s="196">
        <v>109</v>
      </c>
      <c r="BY50" s="196">
        <v>0</v>
      </c>
      <c r="BZ50" s="196"/>
      <c r="CA50" s="196"/>
      <c r="CB50" s="196"/>
      <c r="CC50" s="196">
        <v>0</v>
      </c>
      <c r="CD50" s="196">
        <v>3</v>
      </c>
      <c r="CE50" s="196">
        <v>0</v>
      </c>
      <c r="CF50" s="196">
        <v>0</v>
      </c>
      <c r="CG50" s="196">
        <v>0</v>
      </c>
      <c r="CH50" s="196">
        <v>0</v>
      </c>
      <c r="CI50" s="196">
        <v>4</v>
      </c>
      <c r="CJ50" s="196">
        <v>10</v>
      </c>
      <c r="CK50" s="196">
        <v>0</v>
      </c>
      <c r="CL50" s="196">
        <v>0</v>
      </c>
      <c r="CM50" s="196">
        <v>0</v>
      </c>
      <c r="CN50" s="196">
        <v>0</v>
      </c>
      <c r="CO50" s="196">
        <v>0</v>
      </c>
      <c r="CP50" s="196"/>
      <c r="CQ50" s="196"/>
      <c r="CR50" s="196"/>
      <c r="CS50" s="196"/>
      <c r="CT50" s="196"/>
      <c r="CU50" s="196"/>
      <c r="CV50" s="196"/>
      <c r="CW50" s="196"/>
      <c r="CX50" s="196"/>
      <c r="CY50" s="196">
        <v>0</v>
      </c>
      <c r="CZ50" s="196">
        <v>0</v>
      </c>
      <c r="DA50" s="196">
        <v>0</v>
      </c>
      <c r="DB50" s="196">
        <v>1</v>
      </c>
      <c r="DC50" s="196">
        <v>0</v>
      </c>
      <c r="DD50" s="196">
        <v>3169</v>
      </c>
      <c r="DE50" s="196">
        <v>1962</v>
      </c>
      <c r="DF50" s="196">
        <v>0</v>
      </c>
      <c r="DG50" s="196">
        <v>2</v>
      </c>
      <c r="DH50" s="196">
        <v>14</v>
      </c>
      <c r="DI50" s="196">
        <v>1452</v>
      </c>
      <c r="DJ50" s="196">
        <v>0</v>
      </c>
      <c r="DK50" s="196">
        <v>0</v>
      </c>
      <c r="DL50" s="196">
        <v>0</v>
      </c>
      <c r="DM50" s="196">
        <v>0</v>
      </c>
      <c r="DN50" s="196">
        <v>0</v>
      </c>
      <c r="DO50" s="196">
        <v>0</v>
      </c>
      <c r="DP50" s="196">
        <v>1</v>
      </c>
      <c r="DQ50" s="196">
        <v>0</v>
      </c>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v>0</v>
      </c>
      <c r="ER50" s="196">
        <v>0</v>
      </c>
      <c r="ES50" s="196">
        <v>0</v>
      </c>
      <c r="ET50" s="196">
        <v>0</v>
      </c>
      <c r="EU50" s="196">
        <v>0</v>
      </c>
      <c r="EV50" s="196">
        <v>1</v>
      </c>
      <c r="EW50" s="196"/>
      <c r="EX50" s="196"/>
      <c r="EY50" s="196">
        <v>0</v>
      </c>
      <c r="EZ50" s="196">
        <v>0</v>
      </c>
      <c r="FA50" s="196">
        <v>6</v>
      </c>
      <c r="FB50" s="196">
        <v>0</v>
      </c>
      <c r="FC50" s="196">
        <v>0</v>
      </c>
      <c r="FD50" s="196">
        <v>0</v>
      </c>
      <c r="FE50" s="196">
        <v>0</v>
      </c>
      <c r="FF50" s="196">
        <v>14</v>
      </c>
      <c r="FG50" s="196">
        <v>0</v>
      </c>
    </row>
    <row r="51" spans="29:163" x14ac:dyDescent="0.4">
      <c r="AC51" s="198">
        <v>2001</v>
      </c>
      <c r="AD51" s="198"/>
      <c r="AE51" s="196">
        <v>2</v>
      </c>
      <c r="AF51" s="196">
        <v>0</v>
      </c>
      <c r="AG51" s="196">
        <v>3838</v>
      </c>
      <c r="AH51" s="196">
        <v>2285</v>
      </c>
      <c r="AI51" s="196">
        <v>1</v>
      </c>
      <c r="AJ51" s="196">
        <v>21</v>
      </c>
      <c r="AK51" s="196">
        <v>0</v>
      </c>
      <c r="AL51" s="196">
        <v>1555</v>
      </c>
      <c r="AM51" s="196">
        <v>432</v>
      </c>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v>2</v>
      </c>
      <c r="BR51" s="196">
        <v>0</v>
      </c>
      <c r="BS51" s="196">
        <v>49</v>
      </c>
      <c r="BT51" s="196">
        <v>10</v>
      </c>
      <c r="BU51" s="196">
        <v>0</v>
      </c>
      <c r="BV51" s="196">
        <v>3</v>
      </c>
      <c r="BW51" s="196">
        <v>0</v>
      </c>
      <c r="BX51" s="196">
        <v>89</v>
      </c>
      <c r="BY51" s="196">
        <v>0</v>
      </c>
      <c r="BZ51" s="196"/>
      <c r="CA51" s="196"/>
      <c r="CB51" s="196"/>
      <c r="CC51" s="196">
        <v>0</v>
      </c>
      <c r="CD51" s="196">
        <v>0</v>
      </c>
      <c r="CE51" s="196">
        <v>75</v>
      </c>
      <c r="CF51" s="196">
        <v>1</v>
      </c>
      <c r="CG51" s="196">
        <v>0</v>
      </c>
      <c r="CH51" s="196">
        <v>0</v>
      </c>
      <c r="CI51" s="196">
        <v>0</v>
      </c>
      <c r="CJ51" s="196">
        <v>0</v>
      </c>
      <c r="CK51" s="196">
        <v>0</v>
      </c>
      <c r="CL51" s="196">
        <v>0</v>
      </c>
      <c r="CM51" s="196">
        <v>0</v>
      </c>
      <c r="CN51" s="196">
        <v>0</v>
      </c>
      <c r="CO51" s="196">
        <v>0</v>
      </c>
      <c r="CP51" s="196"/>
      <c r="CQ51" s="196"/>
      <c r="CR51" s="196"/>
      <c r="CS51" s="196"/>
      <c r="CT51" s="196"/>
      <c r="CU51" s="196"/>
      <c r="CV51" s="196"/>
      <c r="CW51" s="196"/>
      <c r="CX51" s="196"/>
      <c r="CY51" s="196">
        <v>0</v>
      </c>
      <c r="CZ51" s="196">
        <v>3</v>
      </c>
      <c r="DA51" s="196">
        <v>0</v>
      </c>
      <c r="DB51" s="196">
        <v>0</v>
      </c>
      <c r="DC51" s="196">
        <v>0</v>
      </c>
      <c r="DD51" s="196">
        <v>3789</v>
      </c>
      <c r="DE51" s="196">
        <v>2200</v>
      </c>
      <c r="DF51" s="196">
        <v>0</v>
      </c>
      <c r="DG51" s="196">
        <v>18</v>
      </c>
      <c r="DH51" s="196">
        <v>0</v>
      </c>
      <c r="DI51" s="196">
        <v>1426</v>
      </c>
      <c r="DJ51" s="196">
        <v>432</v>
      </c>
      <c r="DK51" s="196">
        <v>0</v>
      </c>
      <c r="DL51" s="196">
        <v>0</v>
      </c>
      <c r="DM51" s="196">
        <v>0</v>
      </c>
      <c r="DN51" s="196">
        <v>0</v>
      </c>
      <c r="DO51" s="196">
        <v>0</v>
      </c>
      <c r="DP51" s="196">
        <v>0</v>
      </c>
      <c r="DQ51" s="196">
        <v>0</v>
      </c>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v>0</v>
      </c>
      <c r="EZ51" s="196">
        <v>0</v>
      </c>
      <c r="FA51" s="196">
        <v>0</v>
      </c>
      <c r="FB51" s="196">
        <v>0</v>
      </c>
      <c r="FC51" s="196">
        <v>0</v>
      </c>
      <c r="FD51" s="196">
        <v>0</v>
      </c>
      <c r="FE51" s="196">
        <v>0</v>
      </c>
      <c r="FF51" s="196">
        <v>37</v>
      </c>
      <c r="FG51" s="196">
        <v>0</v>
      </c>
    </row>
    <row r="52" spans="29:163" x14ac:dyDescent="0.4">
      <c r="AC52" s="198">
        <v>2002</v>
      </c>
      <c r="AD52" s="198"/>
      <c r="AE52" s="196">
        <v>18</v>
      </c>
      <c r="AF52" s="196">
        <v>7</v>
      </c>
      <c r="AG52" s="196">
        <v>14835</v>
      </c>
      <c r="AH52" s="196">
        <v>12638</v>
      </c>
      <c r="AI52" s="196">
        <v>0</v>
      </c>
      <c r="AJ52" s="196">
        <v>98</v>
      </c>
      <c r="AK52" s="196">
        <v>1</v>
      </c>
      <c r="AL52" s="196">
        <v>1527</v>
      </c>
      <c r="AM52" s="196">
        <v>0</v>
      </c>
      <c r="AN52" s="196">
        <v>2</v>
      </c>
      <c r="AO52" s="196">
        <v>0</v>
      </c>
      <c r="AP52" s="196">
        <v>0</v>
      </c>
      <c r="AQ52" s="196">
        <v>0</v>
      </c>
      <c r="AR52" s="196">
        <v>0</v>
      </c>
      <c r="AS52" s="196">
        <v>0</v>
      </c>
      <c r="AT52" s="196"/>
      <c r="AU52" s="196"/>
      <c r="AV52" s="196"/>
      <c r="AW52" s="196"/>
      <c r="AX52" s="196"/>
      <c r="AY52" s="196"/>
      <c r="AZ52" s="196"/>
      <c r="BA52" s="196"/>
      <c r="BB52" s="196"/>
      <c r="BC52" s="196"/>
      <c r="BD52" s="196"/>
      <c r="BE52" s="196"/>
      <c r="BF52" s="196"/>
      <c r="BG52" s="196"/>
      <c r="BH52" s="196"/>
      <c r="BI52" s="196">
        <v>0</v>
      </c>
      <c r="BJ52" s="196">
        <v>0</v>
      </c>
      <c r="BK52" s="196">
        <v>0</v>
      </c>
      <c r="BL52" s="196">
        <v>0</v>
      </c>
      <c r="BM52" s="196">
        <v>0</v>
      </c>
      <c r="BN52" s="196">
        <v>0</v>
      </c>
      <c r="BO52" s="196">
        <v>0</v>
      </c>
      <c r="BP52" s="196">
        <v>0</v>
      </c>
      <c r="BQ52" s="196">
        <v>4</v>
      </c>
      <c r="BR52" s="196">
        <v>7</v>
      </c>
      <c r="BS52" s="196">
        <v>226</v>
      </c>
      <c r="BT52" s="196">
        <v>599</v>
      </c>
      <c r="BU52" s="196">
        <v>0</v>
      </c>
      <c r="BV52" s="196">
        <v>23</v>
      </c>
      <c r="BW52" s="196">
        <v>0</v>
      </c>
      <c r="BX52" s="196">
        <v>111</v>
      </c>
      <c r="BY52" s="196">
        <v>0</v>
      </c>
      <c r="BZ52" s="196"/>
      <c r="CA52" s="196"/>
      <c r="CB52" s="196"/>
      <c r="CC52" s="196">
        <v>1</v>
      </c>
      <c r="CD52" s="196">
        <v>2480</v>
      </c>
      <c r="CE52" s="196">
        <v>237</v>
      </c>
      <c r="CF52" s="196">
        <v>0</v>
      </c>
      <c r="CG52" s="196">
        <v>0</v>
      </c>
      <c r="CH52" s="196">
        <v>0</v>
      </c>
      <c r="CI52" s="196">
        <v>4</v>
      </c>
      <c r="CJ52" s="196">
        <v>7</v>
      </c>
      <c r="CK52" s="196">
        <v>0</v>
      </c>
      <c r="CL52" s="196">
        <v>0</v>
      </c>
      <c r="CM52" s="196">
        <v>0</v>
      </c>
      <c r="CN52" s="196">
        <v>0</v>
      </c>
      <c r="CO52" s="196">
        <v>0</v>
      </c>
      <c r="CP52" s="196"/>
      <c r="CQ52" s="196"/>
      <c r="CR52" s="196"/>
      <c r="CS52" s="196"/>
      <c r="CT52" s="196"/>
      <c r="CU52" s="196"/>
      <c r="CV52" s="196"/>
      <c r="CW52" s="196"/>
      <c r="CX52" s="196"/>
      <c r="CY52" s="196">
        <v>0</v>
      </c>
      <c r="CZ52" s="196">
        <v>0</v>
      </c>
      <c r="DA52" s="196">
        <v>0</v>
      </c>
      <c r="DB52" s="196">
        <v>2</v>
      </c>
      <c r="DC52" s="196">
        <v>0</v>
      </c>
      <c r="DD52" s="196">
        <v>11971</v>
      </c>
      <c r="DE52" s="196">
        <v>11670</v>
      </c>
      <c r="DF52" s="196">
        <v>0</v>
      </c>
      <c r="DG52" s="196">
        <v>70</v>
      </c>
      <c r="DH52" s="196">
        <v>1</v>
      </c>
      <c r="DI52" s="196">
        <v>1263</v>
      </c>
      <c r="DJ52" s="196">
        <v>0</v>
      </c>
      <c r="DK52" s="196">
        <v>3</v>
      </c>
      <c r="DL52" s="196">
        <v>0</v>
      </c>
      <c r="DM52" s="196">
        <v>0</v>
      </c>
      <c r="DN52" s="196">
        <v>0</v>
      </c>
      <c r="DO52" s="196">
        <v>0</v>
      </c>
      <c r="DP52" s="196">
        <v>1</v>
      </c>
      <c r="DQ52" s="196">
        <v>0</v>
      </c>
      <c r="DR52" s="196">
        <v>0</v>
      </c>
      <c r="DS52" s="196">
        <v>0</v>
      </c>
      <c r="DT52" s="196">
        <v>52</v>
      </c>
      <c r="DU52" s="196">
        <v>52</v>
      </c>
      <c r="DV52" s="196">
        <v>0</v>
      </c>
      <c r="DW52" s="196">
        <v>0</v>
      </c>
      <c r="DX52" s="196">
        <v>27</v>
      </c>
      <c r="DY52" s="196">
        <v>0</v>
      </c>
      <c r="DZ52" s="196"/>
      <c r="EA52" s="196"/>
      <c r="EB52" s="196"/>
      <c r="EC52" s="196"/>
      <c r="ED52" s="196"/>
      <c r="EE52" s="196"/>
      <c r="EF52" s="196">
        <v>0</v>
      </c>
      <c r="EG52" s="196">
        <v>0</v>
      </c>
      <c r="EH52" s="196">
        <v>9</v>
      </c>
      <c r="EI52" s="196">
        <v>0</v>
      </c>
      <c r="EJ52" s="196">
        <v>5</v>
      </c>
      <c r="EK52" s="196">
        <v>0</v>
      </c>
      <c r="EL52" s="196">
        <v>5</v>
      </c>
      <c r="EM52" s="196">
        <v>2</v>
      </c>
      <c r="EN52" s="196">
        <v>3</v>
      </c>
      <c r="EO52" s="196">
        <v>0</v>
      </c>
      <c r="EP52" s="196">
        <v>0</v>
      </c>
      <c r="EQ52" s="196">
        <v>0</v>
      </c>
      <c r="ER52" s="196">
        <v>0</v>
      </c>
      <c r="ES52" s="196">
        <v>0</v>
      </c>
      <c r="ET52" s="196">
        <v>0</v>
      </c>
      <c r="EU52" s="196">
        <v>0</v>
      </c>
      <c r="EV52" s="196">
        <v>1</v>
      </c>
      <c r="EW52" s="196"/>
      <c r="EX52" s="196"/>
      <c r="EY52" s="196">
        <v>0</v>
      </c>
      <c r="EZ52" s="196">
        <v>0</v>
      </c>
      <c r="FA52" s="196">
        <v>87</v>
      </c>
      <c r="FB52" s="196">
        <v>80</v>
      </c>
      <c r="FC52" s="196">
        <v>0</v>
      </c>
      <c r="FD52" s="196">
        <v>0</v>
      </c>
      <c r="FE52" s="196">
        <v>0</v>
      </c>
      <c r="FF52" s="196">
        <v>119</v>
      </c>
      <c r="FG52" s="196">
        <v>0</v>
      </c>
    </row>
    <row r="53" spans="29:163" x14ac:dyDescent="0.4">
      <c r="AC53" s="198">
        <v>2003</v>
      </c>
      <c r="AD53" s="198"/>
      <c r="AE53" s="196">
        <v>1</v>
      </c>
      <c r="AF53" s="196">
        <v>0</v>
      </c>
      <c r="AG53" s="196">
        <v>2455</v>
      </c>
      <c r="AH53" s="196">
        <v>462</v>
      </c>
      <c r="AI53" s="196">
        <v>0</v>
      </c>
      <c r="AJ53" s="196">
        <v>90</v>
      </c>
      <c r="AK53" s="196">
        <v>0</v>
      </c>
      <c r="AL53" s="196">
        <v>1525</v>
      </c>
      <c r="AM53" s="196">
        <v>500000</v>
      </c>
      <c r="AN53" s="196">
        <v>0</v>
      </c>
      <c r="AO53" s="196">
        <v>0</v>
      </c>
      <c r="AP53" s="196">
        <v>0</v>
      </c>
      <c r="AQ53" s="196">
        <v>0</v>
      </c>
      <c r="AR53" s="196">
        <v>0</v>
      </c>
      <c r="AS53" s="196">
        <v>0</v>
      </c>
      <c r="AT53" s="196"/>
      <c r="AU53" s="196"/>
      <c r="AV53" s="196"/>
      <c r="AW53" s="196"/>
      <c r="AX53" s="196"/>
      <c r="AY53" s="196"/>
      <c r="AZ53" s="196">
        <v>0</v>
      </c>
      <c r="BA53" s="196">
        <v>0</v>
      </c>
      <c r="BB53" s="196">
        <v>612</v>
      </c>
      <c r="BC53" s="196">
        <v>192</v>
      </c>
      <c r="BD53" s="196">
        <v>0</v>
      </c>
      <c r="BE53" s="196">
        <v>6</v>
      </c>
      <c r="BF53" s="196">
        <v>0</v>
      </c>
      <c r="BG53" s="196">
        <v>31</v>
      </c>
      <c r="BH53" s="196">
        <v>0</v>
      </c>
      <c r="BI53" s="196"/>
      <c r="BJ53" s="196"/>
      <c r="BK53" s="196"/>
      <c r="BL53" s="196"/>
      <c r="BM53" s="196">
        <v>0</v>
      </c>
      <c r="BN53" s="196">
        <v>0</v>
      </c>
      <c r="BO53" s="196">
        <v>0</v>
      </c>
      <c r="BP53" s="196">
        <v>500000</v>
      </c>
      <c r="BQ53" s="196">
        <v>0</v>
      </c>
      <c r="BR53" s="196">
        <v>0</v>
      </c>
      <c r="BS53" s="196">
        <v>81</v>
      </c>
      <c r="BT53" s="196">
        <v>35</v>
      </c>
      <c r="BU53" s="196">
        <v>0</v>
      </c>
      <c r="BV53" s="196">
        <v>4</v>
      </c>
      <c r="BW53" s="196">
        <v>0</v>
      </c>
      <c r="BX53" s="196">
        <v>116</v>
      </c>
      <c r="BY53" s="196">
        <v>0</v>
      </c>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v>1</v>
      </c>
      <c r="DC53" s="196">
        <v>0</v>
      </c>
      <c r="DD53" s="196">
        <v>1506</v>
      </c>
      <c r="DE53" s="196">
        <v>235</v>
      </c>
      <c r="DF53" s="196">
        <v>0</v>
      </c>
      <c r="DG53" s="196">
        <v>23</v>
      </c>
      <c r="DH53" s="196">
        <v>0</v>
      </c>
      <c r="DI53" s="196">
        <v>1227</v>
      </c>
      <c r="DJ53" s="196">
        <v>0</v>
      </c>
      <c r="DK53" s="196">
        <v>0</v>
      </c>
      <c r="DL53" s="196">
        <v>23</v>
      </c>
      <c r="DM53" s="196">
        <v>0</v>
      </c>
      <c r="DN53" s="196">
        <v>0</v>
      </c>
      <c r="DO53" s="196">
        <v>0</v>
      </c>
      <c r="DP53" s="196">
        <v>8</v>
      </c>
      <c r="DQ53" s="196">
        <v>0</v>
      </c>
      <c r="DR53" s="196">
        <v>0</v>
      </c>
      <c r="DS53" s="196">
        <v>0</v>
      </c>
      <c r="DT53" s="196">
        <v>0</v>
      </c>
      <c r="DU53" s="196">
        <v>0</v>
      </c>
      <c r="DV53" s="196">
        <v>0</v>
      </c>
      <c r="DW53" s="196">
        <v>0</v>
      </c>
      <c r="DX53" s="196">
        <v>10</v>
      </c>
      <c r="DY53" s="196">
        <v>0</v>
      </c>
      <c r="DZ53" s="196"/>
      <c r="EA53" s="196"/>
      <c r="EB53" s="196"/>
      <c r="EC53" s="196"/>
      <c r="ED53" s="196"/>
      <c r="EE53" s="196"/>
      <c r="EF53" s="196">
        <v>0</v>
      </c>
      <c r="EG53" s="196">
        <v>0</v>
      </c>
      <c r="EH53" s="196">
        <v>228</v>
      </c>
      <c r="EI53" s="196">
        <v>0</v>
      </c>
      <c r="EJ53" s="196">
        <v>57</v>
      </c>
      <c r="EK53" s="196">
        <v>0</v>
      </c>
      <c r="EL53" s="196">
        <v>79</v>
      </c>
      <c r="EM53" s="196"/>
      <c r="EN53" s="196"/>
      <c r="EO53" s="196"/>
      <c r="EP53" s="196"/>
      <c r="EQ53" s="196"/>
      <c r="ER53" s="196"/>
      <c r="ES53" s="196"/>
      <c r="ET53" s="196"/>
      <c r="EU53" s="196"/>
      <c r="EV53" s="196"/>
      <c r="EW53" s="196"/>
      <c r="EX53" s="196"/>
      <c r="EY53" s="196">
        <v>0</v>
      </c>
      <c r="EZ53" s="196">
        <v>0</v>
      </c>
      <c r="FA53" s="196">
        <v>5</v>
      </c>
      <c r="FB53" s="196">
        <v>0</v>
      </c>
      <c r="FC53" s="196">
        <v>0</v>
      </c>
      <c r="FD53" s="196">
        <v>0</v>
      </c>
      <c r="FE53" s="196">
        <v>0</v>
      </c>
      <c r="FF53" s="196">
        <v>54</v>
      </c>
      <c r="FG53" s="196">
        <v>0</v>
      </c>
    </row>
    <row r="54" spans="29:163" x14ac:dyDescent="0.4">
      <c r="AC54" s="198">
        <v>2004</v>
      </c>
      <c r="AD54" s="198"/>
      <c r="AE54" s="196">
        <v>9</v>
      </c>
      <c r="AF54" s="196">
        <v>0</v>
      </c>
      <c r="AG54" s="196">
        <v>1763</v>
      </c>
      <c r="AH54" s="196">
        <v>1411</v>
      </c>
      <c r="AI54" s="196">
        <v>0</v>
      </c>
      <c r="AJ54" s="196">
        <v>15</v>
      </c>
      <c r="AK54" s="196">
        <v>0</v>
      </c>
      <c r="AL54" s="196">
        <v>2012</v>
      </c>
      <c r="AM54" s="196">
        <v>18</v>
      </c>
      <c r="AN54" s="196">
        <v>0</v>
      </c>
      <c r="AO54" s="196">
        <v>0</v>
      </c>
      <c r="AP54" s="196">
        <v>0</v>
      </c>
      <c r="AQ54" s="196">
        <v>0</v>
      </c>
      <c r="AR54" s="196">
        <v>0</v>
      </c>
      <c r="AS54" s="196">
        <v>0</v>
      </c>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v>3</v>
      </c>
      <c r="BR54" s="196">
        <v>0</v>
      </c>
      <c r="BS54" s="196">
        <v>45</v>
      </c>
      <c r="BT54" s="196">
        <v>37</v>
      </c>
      <c r="BU54" s="196">
        <v>0</v>
      </c>
      <c r="BV54" s="196">
        <v>2</v>
      </c>
      <c r="BW54" s="196">
        <v>0</v>
      </c>
      <c r="BX54" s="196">
        <v>154</v>
      </c>
      <c r="BY54" s="196">
        <v>8</v>
      </c>
      <c r="BZ54" s="196"/>
      <c r="CA54" s="196"/>
      <c r="CB54" s="196"/>
      <c r="CC54" s="196"/>
      <c r="CD54" s="196"/>
      <c r="CE54" s="196"/>
      <c r="CF54" s="196"/>
      <c r="CG54" s="196"/>
      <c r="CH54" s="196"/>
      <c r="CI54" s="196"/>
      <c r="CJ54" s="196"/>
      <c r="CK54" s="196"/>
      <c r="CL54" s="196"/>
      <c r="CM54" s="196"/>
      <c r="CN54" s="196"/>
      <c r="CO54" s="196"/>
      <c r="CP54" s="196"/>
      <c r="CQ54" s="196"/>
      <c r="CR54" s="196">
        <v>0</v>
      </c>
      <c r="CS54" s="196">
        <v>222</v>
      </c>
      <c r="CT54" s="196">
        <v>0</v>
      </c>
      <c r="CU54" s="196">
        <v>8</v>
      </c>
      <c r="CV54" s="196">
        <v>0</v>
      </c>
      <c r="CW54" s="196">
        <v>12</v>
      </c>
      <c r="CX54" s="196">
        <v>0</v>
      </c>
      <c r="CY54" s="196"/>
      <c r="CZ54" s="196"/>
      <c r="DA54" s="196"/>
      <c r="DB54" s="196">
        <v>3</v>
      </c>
      <c r="DC54" s="196">
        <v>0</v>
      </c>
      <c r="DD54" s="196">
        <v>1496</v>
      </c>
      <c r="DE54" s="196">
        <v>1315</v>
      </c>
      <c r="DF54" s="196">
        <v>0</v>
      </c>
      <c r="DG54" s="196">
        <v>5</v>
      </c>
      <c r="DH54" s="196">
        <v>0</v>
      </c>
      <c r="DI54" s="196">
        <v>1507</v>
      </c>
      <c r="DJ54" s="196">
        <v>10</v>
      </c>
      <c r="DK54" s="196">
        <v>0</v>
      </c>
      <c r="DL54" s="196">
        <v>0</v>
      </c>
      <c r="DM54" s="196">
        <v>0</v>
      </c>
      <c r="DN54" s="196">
        <v>0</v>
      </c>
      <c r="DO54" s="196">
        <v>0</v>
      </c>
      <c r="DP54" s="196">
        <v>4</v>
      </c>
      <c r="DQ54" s="196">
        <v>0</v>
      </c>
      <c r="DR54" s="196"/>
      <c r="DS54" s="196"/>
      <c r="DT54" s="196"/>
      <c r="DU54" s="196"/>
      <c r="DV54" s="196"/>
      <c r="DW54" s="196"/>
      <c r="DX54" s="196"/>
      <c r="DY54" s="196"/>
      <c r="DZ54" s="196"/>
      <c r="EA54" s="196"/>
      <c r="EB54" s="196"/>
      <c r="EC54" s="196"/>
      <c r="ED54" s="196"/>
      <c r="EE54" s="196"/>
      <c r="EF54" s="196">
        <v>3</v>
      </c>
      <c r="EG54" s="196">
        <v>0</v>
      </c>
      <c r="EH54" s="196">
        <v>0</v>
      </c>
      <c r="EI54" s="196">
        <v>59</v>
      </c>
      <c r="EJ54" s="196">
        <v>0</v>
      </c>
      <c r="EK54" s="196">
        <v>0</v>
      </c>
      <c r="EL54" s="196">
        <v>304</v>
      </c>
      <c r="EM54" s="196"/>
      <c r="EN54" s="196"/>
      <c r="EO54" s="196"/>
      <c r="EP54" s="196"/>
      <c r="EQ54" s="196"/>
      <c r="ER54" s="196"/>
      <c r="ES54" s="196"/>
      <c r="ET54" s="196"/>
      <c r="EU54" s="196"/>
      <c r="EV54" s="196"/>
      <c r="EW54" s="196"/>
      <c r="EX54" s="196"/>
      <c r="EY54" s="196">
        <v>0</v>
      </c>
      <c r="EZ54" s="196">
        <v>0</v>
      </c>
      <c r="FA54" s="196">
        <v>0</v>
      </c>
      <c r="FB54" s="196">
        <v>0</v>
      </c>
      <c r="FC54" s="196">
        <v>0</v>
      </c>
      <c r="FD54" s="196">
        <v>0</v>
      </c>
      <c r="FE54" s="196">
        <v>0</v>
      </c>
      <c r="FF54" s="196">
        <v>31</v>
      </c>
      <c r="FG54" s="196">
        <v>0</v>
      </c>
    </row>
    <row r="55" spans="29:163" x14ac:dyDescent="0.4">
      <c r="AC55" s="198">
        <v>2005</v>
      </c>
      <c r="AD55" s="198"/>
      <c r="AE55" s="196">
        <v>9</v>
      </c>
      <c r="AF55" s="196">
        <v>1</v>
      </c>
      <c r="AG55" s="196">
        <v>20215</v>
      </c>
      <c r="AH55" s="196">
        <v>2866</v>
      </c>
      <c r="AI55" s="196">
        <v>50</v>
      </c>
      <c r="AJ55" s="196">
        <v>35</v>
      </c>
      <c r="AK55" s="196">
        <v>0</v>
      </c>
      <c r="AL55" s="196">
        <v>3286</v>
      </c>
      <c r="AM55" s="196">
        <v>60</v>
      </c>
      <c r="AN55" s="196">
        <v>1</v>
      </c>
      <c r="AO55" s="196">
        <v>0</v>
      </c>
      <c r="AP55" s="196">
        <v>0</v>
      </c>
      <c r="AQ55" s="196">
        <v>0</v>
      </c>
      <c r="AR55" s="196">
        <v>2</v>
      </c>
      <c r="AS55" s="196">
        <v>0</v>
      </c>
      <c r="AT55" s="196"/>
      <c r="AU55" s="196"/>
      <c r="AV55" s="196"/>
      <c r="AW55" s="196"/>
      <c r="AX55" s="196"/>
      <c r="AY55" s="196"/>
      <c r="AZ55" s="196">
        <v>0</v>
      </c>
      <c r="BA55" s="196">
        <v>1</v>
      </c>
      <c r="BB55" s="196">
        <v>91</v>
      </c>
      <c r="BC55" s="196">
        <v>160</v>
      </c>
      <c r="BD55" s="196">
        <v>0</v>
      </c>
      <c r="BE55" s="196">
        <v>4</v>
      </c>
      <c r="BF55" s="196">
        <v>0</v>
      </c>
      <c r="BG55" s="196">
        <v>23</v>
      </c>
      <c r="BH55" s="196">
        <v>0</v>
      </c>
      <c r="BI55" s="196"/>
      <c r="BJ55" s="196"/>
      <c r="BK55" s="196"/>
      <c r="BL55" s="196"/>
      <c r="BM55" s="196"/>
      <c r="BN55" s="196"/>
      <c r="BO55" s="196"/>
      <c r="BP55" s="196"/>
      <c r="BQ55" s="196">
        <v>3</v>
      </c>
      <c r="BR55" s="196">
        <v>0</v>
      </c>
      <c r="BS55" s="196">
        <v>8310</v>
      </c>
      <c r="BT55" s="196">
        <v>9</v>
      </c>
      <c r="BU55" s="196">
        <v>2</v>
      </c>
      <c r="BV55" s="196">
        <v>17</v>
      </c>
      <c r="BW55" s="196">
        <v>0</v>
      </c>
      <c r="BX55" s="196">
        <v>202</v>
      </c>
      <c r="BY55" s="196">
        <v>0</v>
      </c>
      <c r="BZ55" s="196"/>
      <c r="CA55" s="196"/>
      <c r="CB55" s="196"/>
      <c r="CC55" s="196">
        <v>0</v>
      </c>
      <c r="CD55" s="196">
        <v>0</v>
      </c>
      <c r="CE55" s="196">
        <v>136</v>
      </c>
      <c r="CF55" s="196">
        <v>36</v>
      </c>
      <c r="CG55" s="196">
        <v>0</v>
      </c>
      <c r="CH55" s="196">
        <v>0</v>
      </c>
      <c r="CI55" s="196">
        <v>0</v>
      </c>
      <c r="CJ55" s="196">
        <v>0</v>
      </c>
      <c r="CK55" s="196">
        <v>0</v>
      </c>
      <c r="CL55" s="196">
        <v>2</v>
      </c>
      <c r="CM55" s="196">
        <v>0</v>
      </c>
      <c r="CN55" s="196">
        <v>0</v>
      </c>
      <c r="CO55" s="196">
        <v>0</v>
      </c>
      <c r="CP55" s="196"/>
      <c r="CQ55" s="196"/>
      <c r="CR55" s="196"/>
      <c r="CS55" s="196"/>
      <c r="CT55" s="196"/>
      <c r="CU55" s="196"/>
      <c r="CV55" s="196"/>
      <c r="CW55" s="196"/>
      <c r="CX55" s="196"/>
      <c r="CY55" s="196"/>
      <c r="CZ55" s="196"/>
      <c r="DA55" s="196"/>
      <c r="DB55" s="196">
        <v>5</v>
      </c>
      <c r="DC55" s="196">
        <v>0</v>
      </c>
      <c r="DD55" s="196">
        <v>11810</v>
      </c>
      <c r="DE55" s="196">
        <v>2561</v>
      </c>
      <c r="DF55" s="196">
        <v>4</v>
      </c>
      <c r="DG55" s="196">
        <v>13</v>
      </c>
      <c r="DH55" s="196">
        <v>0</v>
      </c>
      <c r="DI55" s="196">
        <v>2907</v>
      </c>
      <c r="DJ55" s="196">
        <v>60</v>
      </c>
      <c r="DK55" s="196">
        <v>0</v>
      </c>
      <c r="DL55" s="196">
        <v>4</v>
      </c>
      <c r="DM55" s="196">
        <v>0</v>
      </c>
      <c r="DN55" s="196">
        <v>4</v>
      </c>
      <c r="DO55" s="196">
        <v>1</v>
      </c>
      <c r="DP55" s="196">
        <v>90</v>
      </c>
      <c r="DQ55" s="196">
        <v>0</v>
      </c>
      <c r="DR55" s="196">
        <v>0</v>
      </c>
      <c r="DS55" s="196">
        <v>0</v>
      </c>
      <c r="DT55" s="196">
        <v>0</v>
      </c>
      <c r="DU55" s="196">
        <v>0</v>
      </c>
      <c r="DV55" s="196">
        <v>0</v>
      </c>
      <c r="DW55" s="196">
        <v>0</v>
      </c>
      <c r="DX55" s="196">
        <v>6</v>
      </c>
      <c r="DY55" s="196">
        <v>0</v>
      </c>
      <c r="DZ55" s="196"/>
      <c r="EA55" s="196"/>
      <c r="EB55" s="196"/>
      <c r="EC55" s="196"/>
      <c r="ED55" s="196"/>
      <c r="EE55" s="196"/>
      <c r="EF55" s="196">
        <v>0</v>
      </c>
      <c r="EG55" s="196">
        <v>0</v>
      </c>
      <c r="EH55" s="196">
        <v>0</v>
      </c>
      <c r="EI55" s="196">
        <v>0</v>
      </c>
      <c r="EJ55" s="196">
        <v>0</v>
      </c>
      <c r="EK55" s="196">
        <v>0</v>
      </c>
      <c r="EL55" s="196">
        <v>0</v>
      </c>
      <c r="EM55" s="196"/>
      <c r="EN55" s="196"/>
      <c r="EO55" s="196"/>
      <c r="EP55" s="196"/>
      <c r="EQ55" s="196"/>
      <c r="ER55" s="196"/>
      <c r="ES55" s="196"/>
      <c r="ET55" s="196"/>
      <c r="EU55" s="196"/>
      <c r="EV55" s="196"/>
      <c r="EW55" s="196"/>
      <c r="EX55" s="196"/>
      <c r="EY55" s="196">
        <v>0</v>
      </c>
      <c r="EZ55" s="196">
        <v>0</v>
      </c>
      <c r="FA55" s="196">
        <v>0</v>
      </c>
      <c r="FB55" s="196">
        <v>0</v>
      </c>
      <c r="FC55" s="196">
        <v>0</v>
      </c>
      <c r="FD55" s="196">
        <v>0</v>
      </c>
      <c r="FE55" s="196">
        <v>0</v>
      </c>
      <c r="FF55" s="196">
        <v>58</v>
      </c>
      <c r="FG55" s="196">
        <v>0</v>
      </c>
    </row>
    <row r="56" spans="29:163" x14ac:dyDescent="0.4">
      <c r="AC56" s="198">
        <v>2006</v>
      </c>
      <c r="AD56" s="198"/>
      <c r="AE56" s="196">
        <v>7</v>
      </c>
      <c r="AF56" s="196">
        <v>0</v>
      </c>
      <c r="AG56" s="196">
        <v>2441</v>
      </c>
      <c r="AH56" s="196">
        <v>155</v>
      </c>
      <c r="AI56" s="196">
        <v>58</v>
      </c>
      <c r="AJ56" s="196">
        <v>2</v>
      </c>
      <c r="AK56" s="196">
        <v>0</v>
      </c>
      <c r="AL56" s="196">
        <v>1414</v>
      </c>
      <c r="AM56" s="196">
        <v>667</v>
      </c>
      <c r="AN56" s="196">
        <v>0</v>
      </c>
      <c r="AO56" s="196">
        <v>0</v>
      </c>
      <c r="AP56" s="196">
        <v>0</v>
      </c>
      <c r="AQ56" s="196">
        <v>0</v>
      </c>
      <c r="AR56" s="196">
        <v>0</v>
      </c>
      <c r="AS56" s="196">
        <v>0</v>
      </c>
      <c r="AT56" s="196">
        <v>0</v>
      </c>
      <c r="AU56" s="196">
        <v>0</v>
      </c>
      <c r="AV56" s="196">
        <v>0</v>
      </c>
      <c r="AW56" s="196">
        <v>0</v>
      </c>
      <c r="AX56" s="196"/>
      <c r="AY56" s="196"/>
      <c r="AZ56" s="196">
        <v>3</v>
      </c>
      <c r="BA56" s="196">
        <v>0</v>
      </c>
      <c r="BB56" s="196">
        <v>0</v>
      </c>
      <c r="BC56" s="196">
        <v>0</v>
      </c>
      <c r="BD56" s="196">
        <v>0</v>
      </c>
      <c r="BE56" s="196">
        <v>0</v>
      </c>
      <c r="BF56" s="196">
        <v>0</v>
      </c>
      <c r="BG56" s="196">
        <v>4</v>
      </c>
      <c r="BH56" s="196">
        <v>0</v>
      </c>
      <c r="BI56" s="196">
        <v>14</v>
      </c>
      <c r="BJ56" s="196">
        <v>0</v>
      </c>
      <c r="BK56" s="196">
        <v>7</v>
      </c>
      <c r="BL56" s="196">
        <v>0</v>
      </c>
      <c r="BM56" s="196"/>
      <c r="BN56" s="196"/>
      <c r="BO56" s="196"/>
      <c r="BP56" s="196"/>
      <c r="BQ56" s="196">
        <v>0</v>
      </c>
      <c r="BR56" s="196">
        <v>0</v>
      </c>
      <c r="BS56" s="196">
        <v>265</v>
      </c>
      <c r="BT56" s="196">
        <v>0</v>
      </c>
      <c r="BU56" s="196">
        <v>0</v>
      </c>
      <c r="BV56" s="196">
        <v>1</v>
      </c>
      <c r="BW56" s="196">
        <v>0</v>
      </c>
      <c r="BX56" s="196">
        <v>113</v>
      </c>
      <c r="BY56" s="196">
        <v>650</v>
      </c>
      <c r="BZ56" s="196"/>
      <c r="CA56" s="196"/>
      <c r="CB56" s="196"/>
      <c r="CC56" s="196">
        <v>0</v>
      </c>
      <c r="CD56" s="196">
        <v>0</v>
      </c>
      <c r="CE56" s="196">
        <v>0</v>
      </c>
      <c r="CF56" s="196">
        <v>18</v>
      </c>
      <c r="CG56" s="196">
        <v>0</v>
      </c>
      <c r="CH56" s="196">
        <v>0</v>
      </c>
      <c r="CI56" s="196">
        <v>4</v>
      </c>
      <c r="CJ56" s="196">
        <v>0</v>
      </c>
      <c r="CK56" s="196">
        <v>0</v>
      </c>
      <c r="CL56" s="196">
        <v>40</v>
      </c>
      <c r="CM56" s="196">
        <v>0</v>
      </c>
      <c r="CN56" s="196">
        <v>0</v>
      </c>
      <c r="CO56" s="196">
        <v>0</v>
      </c>
      <c r="CP56" s="196"/>
      <c r="CQ56" s="196"/>
      <c r="CR56" s="196"/>
      <c r="CS56" s="196"/>
      <c r="CT56" s="196"/>
      <c r="CU56" s="196"/>
      <c r="CV56" s="196"/>
      <c r="CW56" s="196"/>
      <c r="CX56" s="196"/>
      <c r="CY56" s="196"/>
      <c r="CZ56" s="196"/>
      <c r="DA56" s="196"/>
      <c r="DB56" s="196">
        <v>0</v>
      </c>
      <c r="DC56" s="196">
        <v>0</v>
      </c>
      <c r="DD56" s="196">
        <v>2162</v>
      </c>
      <c r="DE56" s="196">
        <v>155</v>
      </c>
      <c r="DF56" s="196">
        <v>0</v>
      </c>
      <c r="DG56" s="196">
        <v>1</v>
      </c>
      <c r="DH56" s="196">
        <v>0</v>
      </c>
      <c r="DI56" s="196">
        <v>1284</v>
      </c>
      <c r="DJ56" s="196">
        <v>17</v>
      </c>
      <c r="DK56" s="196">
        <v>0</v>
      </c>
      <c r="DL56" s="196">
        <v>0</v>
      </c>
      <c r="DM56" s="196">
        <v>0</v>
      </c>
      <c r="DN56" s="196">
        <v>0</v>
      </c>
      <c r="DO56" s="196">
        <v>0</v>
      </c>
      <c r="DP56" s="196">
        <v>0</v>
      </c>
      <c r="DQ56" s="196">
        <v>0</v>
      </c>
      <c r="DR56" s="196">
        <v>0</v>
      </c>
      <c r="DS56" s="196">
        <v>0</v>
      </c>
      <c r="DT56" s="196">
        <v>0</v>
      </c>
      <c r="DU56" s="196">
        <v>0</v>
      </c>
      <c r="DV56" s="196">
        <v>0</v>
      </c>
      <c r="DW56" s="196">
        <v>0</v>
      </c>
      <c r="DX56" s="196">
        <v>0</v>
      </c>
      <c r="DY56" s="196">
        <v>0</v>
      </c>
      <c r="DZ56" s="196"/>
      <c r="EA56" s="196"/>
      <c r="EB56" s="196"/>
      <c r="EC56" s="196"/>
      <c r="ED56" s="196"/>
      <c r="EE56" s="196"/>
      <c r="EF56" s="196">
        <v>0</v>
      </c>
      <c r="EG56" s="196">
        <v>0</v>
      </c>
      <c r="EH56" s="196">
        <v>0</v>
      </c>
      <c r="EI56" s="196">
        <v>0</v>
      </c>
      <c r="EJ56" s="196">
        <v>0</v>
      </c>
      <c r="EK56" s="196">
        <v>0</v>
      </c>
      <c r="EL56" s="196">
        <v>0</v>
      </c>
      <c r="EM56" s="196"/>
      <c r="EN56" s="196"/>
      <c r="EO56" s="196"/>
      <c r="EP56" s="196"/>
      <c r="EQ56" s="196">
        <v>0</v>
      </c>
      <c r="ER56" s="196">
        <v>0</v>
      </c>
      <c r="ES56" s="196">
        <v>0</v>
      </c>
      <c r="ET56" s="196">
        <v>0</v>
      </c>
      <c r="EU56" s="196">
        <v>0</v>
      </c>
      <c r="EV56" s="196">
        <v>0</v>
      </c>
      <c r="EW56" s="196"/>
      <c r="EX56" s="196"/>
      <c r="EY56" s="196">
        <v>0</v>
      </c>
      <c r="EZ56" s="196">
        <v>0</v>
      </c>
      <c r="FA56" s="196">
        <v>0</v>
      </c>
      <c r="FB56" s="196">
        <v>0</v>
      </c>
      <c r="FC56" s="196">
        <v>0</v>
      </c>
      <c r="FD56" s="196">
        <v>0</v>
      </c>
      <c r="FE56" s="196">
        <v>0</v>
      </c>
      <c r="FF56" s="196">
        <v>6</v>
      </c>
      <c r="FG56" s="196">
        <v>0</v>
      </c>
    </row>
    <row r="57" spans="29:163" x14ac:dyDescent="0.4">
      <c r="AC57" s="198">
        <v>2007</v>
      </c>
      <c r="AD57" s="198"/>
      <c r="AE57" s="196">
        <v>30</v>
      </c>
      <c r="AF57" s="196">
        <v>2</v>
      </c>
      <c r="AG57" s="196">
        <v>24385</v>
      </c>
      <c r="AH57" s="196">
        <v>4857</v>
      </c>
      <c r="AI57" s="196">
        <v>20</v>
      </c>
      <c r="AJ57" s="196">
        <v>174</v>
      </c>
      <c r="AK57" s="196">
        <v>0</v>
      </c>
      <c r="AL57" s="196">
        <v>8910</v>
      </c>
      <c r="AM57" s="196">
        <v>5129</v>
      </c>
      <c r="AN57" s="196"/>
      <c r="AO57" s="196"/>
      <c r="AP57" s="196"/>
      <c r="AQ57" s="196"/>
      <c r="AR57" s="196"/>
      <c r="AS57" s="196"/>
      <c r="AT57" s="196">
        <v>0</v>
      </c>
      <c r="AU57" s="196">
        <v>0</v>
      </c>
      <c r="AV57" s="196">
        <v>0</v>
      </c>
      <c r="AW57" s="196">
        <v>0</v>
      </c>
      <c r="AX57" s="196"/>
      <c r="AY57" s="196"/>
      <c r="AZ57" s="196">
        <v>0</v>
      </c>
      <c r="BA57" s="196">
        <v>0</v>
      </c>
      <c r="BB57" s="196">
        <v>0</v>
      </c>
      <c r="BC57" s="196">
        <v>0</v>
      </c>
      <c r="BD57" s="196">
        <v>0</v>
      </c>
      <c r="BE57" s="196">
        <v>0</v>
      </c>
      <c r="BF57" s="196">
        <v>0</v>
      </c>
      <c r="BG57" s="196">
        <v>8</v>
      </c>
      <c r="BH57" s="196">
        <v>0</v>
      </c>
      <c r="BI57" s="196">
        <v>5</v>
      </c>
      <c r="BJ57" s="196">
        <v>0</v>
      </c>
      <c r="BK57" s="196">
        <v>1</v>
      </c>
      <c r="BL57" s="196">
        <v>0</v>
      </c>
      <c r="BM57" s="196"/>
      <c r="BN57" s="196"/>
      <c r="BO57" s="196"/>
      <c r="BP57" s="196"/>
      <c r="BQ57" s="196">
        <v>15</v>
      </c>
      <c r="BR57" s="196">
        <v>0</v>
      </c>
      <c r="BS57" s="196">
        <v>885</v>
      </c>
      <c r="BT57" s="196">
        <v>159</v>
      </c>
      <c r="BU57" s="196">
        <v>6</v>
      </c>
      <c r="BV57" s="196">
        <v>65</v>
      </c>
      <c r="BW57" s="196">
        <v>0</v>
      </c>
      <c r="BX57" s="196">
        <v>737</v>
      </c>
      <c r="BY57" s="196">
        <v>0</v>
      </c>
      <c r="BZ57" s="196"/>
      <c r="CA57" s="196"/>
      <c r="CB57" s="196"/>
      <c r="CC57" s="196">
        <v>0</v>
      </c>
      <c r="CD57" s="196">
        <v>0</v>
      </c>
      <c r="CE57" s="196">
        <v>0</v>
      </c>
      <c r="CF57" s="196">
        <v>0</v>
      </c>
      <c r="CG57" s="196">
        <v>0</v>
      </c>
      <c r="CH57" s="196">
        <v>0</v>
      </c>
      <c r="CI57" s="196">
        <v>0</v>
      </c>
      <c r="CJ57" s="196">
        <v>0</v>
      </c>
      <c r="CK57" s="196">
        <v>20</v>
      </c>
      <c r="CL57" s="196">
        <v>5</v>
      </c>
      <c r="CM57" s="196">
        <v>0</v>
      </c>
      <c r="CN57" s="196">
        <v>3</v>
      </c>
      <c r="CO57" s="196">
        <v>0</v>
      </c>
      <c r="CP57" s="196"/>
      <c r="CQ57" s="196"/>
      <c r="CR57" s="196">
        <v>0</v>
      </c>
      <c r="CS57" s="196">
        <v>0</v>
      </c>
      <c r="CT57" s="196">
        <v>0</v>
      </c>
      <c r="CU57" s="196">
        <v>0</v>
      </c>
      <c r="CV57" s="196">
        <v>0</v>
      </c>
      <c r="CW57" s="196">
        <v>0</v>
      </c>
      <c r="CX57" s="196">
        <v>0</v>
      </c>
      <c r="CY57" s="196"/>
      <c r="CZ57" s="196"/>
      <c r="DA57" s="196"/>
      <c r="DB57" s="196">
        <v>13</v>
      </c>
      <c r="DC57" s="196">
        <v>2</v>
      </c>
      <c r="DD57" s="196">
        <v>19533</v>
      </c>
      <c r="DE57" s="196">
        <v>4648</v>
      </c>
      <c r="DF57" s="196">
        <v>2</v>
      </c>
      <c r="DG57" s="196">
        <v>96</v>
      </c>
      <c r="DH57" s="196">
        <v>0</v>
      </c>
      <c r="DI57" s="196">
        <v>6635</v>
      </c>
      <c r="DJ57" s="196">
        <v>4</v>
      </c>
      <c r="DK57" s="196">
        <v>0</v>
      </c>
      <c r="DL57" s="196">
        <v>3695</v>
      </c>
      <c r="DM57" s="196">
        <v>30</v>
      </c>
      <c r="DN57" s="196">
        <v>0</v>
      </c>
      <c r="DO57" s="196">
        <v>0</v>
      </c>
      <c r="DP57" s="196">
        <v>1061</v>
      </c>
      <c r="DQ57" s="196">
        <v>5125</v>
      </c>
      <c r="DR57" s="196">
        <v>0</v>
      </c>
      <c r="DS57" s="196">
        <v>0</v>
      </c>
      <c r="DT57" s="196">
        <v>0</v>
      </c>
      <c r="DU57" s="196">
        <v>0</v>
      </c>
      <c r="DV57" s="196">
        <v>0</v>
      </c>
      <c r="DW57" s="196">
        <v>0</v>
      </c>
      <c r="DX57" s="196">
        <v>0</v>
      </c>
      <c r="DY57" s="196">
        <v>0</v>
      </c>
      <c r="DZ57" s="196"/>
      <c r="EA57" s="196"/>
      <c r="EB57" s="196"/>
      <c r="EC57" s="196"/>
      <c r="ED57" s="196"/>
      <c r="EE57" s="196"/>
      <c r="EF57" s="196"/>
      <c r="EG57" s="196"/>
      <c r="EH57" s="196"/>
      <c r="EI57" s="196"/>
      <c r="EJ57" s="196"/>
      <c r="EK57" s="196"/>
      <c r="EL57" s="196"/>
      <c r="EM57" s="196"/>
      <c r="EN57" s="196"/>
      <c r="EO57" s="196"/>
      <c r="EP57" s="196"/>
      <c r="EQ57" s="196">
        <v>2</v>
      </c>
      <c r="ER57" s="196">
        <v>0</v>
      </c>
      <c r="ES57" s="196">
        <v>0</v>
      </c>
      <c r="ET57" s="196">
        <v>7</v>
      </c>
      <c r="EU57" s="196">
        <v>0</v>
      </c>
      <c r="EV57" s="196">
        <v>0</v>
      </c>
      <c r="EW57" s="196"/>
      <c r="EX57" s="196"/>
      <c r="EY57" s="196">
        <v>0</v>
      </c>
      <c r="EZ57" s="196">
        <v>0</v>
      </c>
      <c r="FA57" s="196">
        <v>267</v>
      </c>
      <c r="FB57" s="196">
        <v>0</v>
      </c>
      <c r="FC57" s="196">
        <v>0</v>
      </c>
      <c r="FD57" s="196">
        <v>13</v>
      </c>
      <c r="FE57" s="196">
        <v>0</v>
      </c>
      <c r="FF57" s="196">
        <v>465</v>
      </c>
      <c r="FG57" s="196">
        <v>0</v>
      </c>
    </row>
    <row r="58" spans="29:163" x14ac:dyDescent="0.4">
      <c r="AC58" s="198">
        <v>2008</v>
      </c>
      <c r="AD58" s="198"/>
      <c r="AE58" s="196">
        <v>9</v>
      </c>
      <c r="AF58" s="196">
        <v>3</v>
      </c>
      <c r="AG58" s="196">
        <v>4371</v>
      </c>
      <c r="AH58" s="196">
        <v>290</v>
      </c>
      <c r="AI58" s="196">
        <v>30</v>
      </c>
      <c r="AJ58" s="196">
        <v>274</v>
      </c>
      <c r="AK58" s="196">
        <v>0</v>
      </c>
      <c r="AL58" s="196">
        <v>2973</v>
      </c>
      <c r="AM58" s="196">
        <v>15739</v>
      </c>
      <c r="AN58" s="196">
        <v>0</v>
      </c>
      <c r="AO58" s="196">
        <v>0</v>
      </c>
      <c r="AP58" s="196">
        <v>0</v>
      </c>
      <c r="AQ58" s="196">
        <v>0</v>
      </c>
      <c r="AR58" s="196">
        <v>0</v>
      </c>
      <c r="AS58" s="196">
        <v>0</v>
      </c>
      <c r="AT58" s="196"/>
      <c r="AU58" s="196"/>
      <c r="AV58" s="196"/>
      <c r="AW58" s="196"/>
      <c r="AX58" s="196"/>
      <c r="AY58" s="196"/>
      <c r="AZ58" s="196">
        <v>3</v>
      </c>
      <c r="BA58" s="196">
        <v>1</v>
      </c>
      <c r="BB58" s="196">
        <v>19</v>
      </c>
      <c r="BC58" s="196">
        <v>0</v>
      </c>
      <c r="BD58" s="196">
        <v>0</v>
      </c>
      <c r="BE58" s="196">
        <v>1</v>
      </c>
      <c r="BF58" s="196">
        <v>0</v>
      </c>
      <c r="BG58" s="196">
        <v>24</v>
      </c>
      <c r="BH58" s="196">
        <v>16</v>
      </c>
      <c r="BI58" s="196">
        <v>27</v>
      </c>
      <c r="BJ58" s="196">
        <v>3</v>
      </c>
      <c r="BK58" s="196">
        <v>6</v>
      </c>
      <c r="BL58" s="196">
        <v>2168</v>
      </c>
      <c r="BM58" s="196">
        <v>0</v>
      </c>
      <c r="BN58" s="196">
        <v>10</v>
      </c>
      <c r="BO58" s="196">
        <v>0</v>
      </c>
      <c r="BP58" s="196">
        <v>0</v>
      </c>
      <c r="BQ58" s="196">
        <v>3</v>
      </c>
      <c r="BR58" s="196">
        <v>2</v>
      </c>
      <c r="BS58" s="196">
        <v>393</v>
      </c>
      <c r="BT58" s="196">
        <v>0</v>
      </c>
      <c r="BU58" s="196">
        <v>9</v>
      </c>
      <c r="BV58" s="196">
        <v>36</v>
      </c>
      <c r="BW58" s="196">
        <v>0</v>
      </c>
      <c r="BX58" s="196">
        <v>453</v>
      </c>
      <c r="BY58" s="196">
        <v>2276</v>
      </c>
      <c r="BZ58" s="196"/>
      <c r="CA58" s="196"/>
      <c r="CB58" s="196"/>
      <c r="CC58" s="196">
        <v>0</v>
      </c>
      <c r="CD58" s="196">
        <v>0</v>
      </c>
      <c r="CE58" s="196">
        <v>0</v>
      </c>
      <c r="CF58" s="196">
        <v>0</v>
      </c>
      <c r="CG58" s="196">
        <v>0</v>
      </c>
      <c r="CH58" s="196">
        <v>0</v>
      </c>
      <c r="CI58" s="196">
        <v>0</v>
      </c>
      <c r="CJ58" s="196">
        <v>0</v>
      </c>
      <c r="CK58" s="196">
        <v>0</v>
      </c>
      <c r="CL58" s="196">
        <v>4</v>
      </c>
      <c r="CM58" s="196">
        <v>0</v>
      </c>
      <c r="CN58" s="196">
        <v>0</v>
      </c>
      <c r="CO58" s="196">
        <v>0</v>
      </c>
      <c r="CP58" s="196"/>
      <c r="CQ58" s="196"/>
      <c r="CR58" s="196">
        <v>1</v>
      </c>
      <c r="CS58" s="196">
        <v>303</v>
      </c>
      <c r="CT58" s="196">
        <v>0</v>
      </c>
      <c r="CU58" s="196">
        <v>32</v>
      </c>
      <c r="CV58" s="196">
        <v>0</v>
      </c>
      <c r="CW58" s="196">
        <v>37</v>
      </c>
      <c r="CX58" s="196">
        <v>56</v>
      </c>
      <c r="CY58" s="196">
        <v>0</v>
      </c>
      <c r="CZ58" s="196">
        <v>0</v>
      </c>
      <c r="DA58" s="196">
        <v>0</v>
      </c>
      <c r="DB58" s="196">
        <v>1</v>
      </c>
      <c r="DC58" s="196">
        <v>0</v>
      </c>
      <c r="DD58" s="196">
        <v>3231</v>
      </c>
      <c r="DE58" s="196">
        <v>290</v>
      </c>
      <c r="DF58" s="196">
        <v>5</v>
      </c>
      <c r="DG58" s="196">
        <v>177</v>
      </c>
      <c r="DH58" s="196">
        <v>0</v>
      </c>
      <c r="DI58" s="196">
        <v>2245</v>
      </c>
      <c r="DJ58" s="196">
        <v>11223</v>
      </c>
      <c r="DK58" s="196">
        <v>1</v>
      </c>
      <c r="DL58" s="196">
        <v>0</v>
      </c>
      <c r="DM58" s="196">
        <v>0</v>
      </c>
      <c r="DN58" s="196">
        <v>0</v>
      </c>
      <c r="DO58" s="196">
        <v>0</v>
      </c>
      <c r="DP58" s="196">
        <v>0</v>
      </c>
      <c r="DQ58" s="196">
        <v>0</v>
      </c>
      <c r="DR58" s="196">
        <v>0</v>
      </c>
      <c r="DS58" s="196">
        <v>0</v>
      </c>
      <c r="DT58" s="196">
        <v>0</v>
      </c>
      <c r="DU58" s="196">
        <v>0</v>
      </c>
      <c r="DV58" s="196">
        <v>0</v>
      </c>
      <c r="DW58" s="196">
        <v>0</v>
      </c>
      <c r="DX58" s="196">
        <v>54</v>
      </c>
      <c r="DY58" s="196">
        <v>0</v>
      </c>
      <c r="DZ58" s="196"/>
      <c r="EA58" s="196"/>
      <c r="EB58" s="196"/>
      <c r="EC58" s="196"/>
      <c r="ED58" s="196"/>
      <c r="EE58" s="196">
        <v>0</v>
      </c>
      <c r="EF58" s="196">
        <v>0</v>
      </c>
      <c r="EG58" s="196">
        <v>0</v>
      </c>
      <c r="EH58" s="196">
        <v>172</v>
      </c>
      <c r="EI58" s="196">
        <v>0</v>
      </c>
      <c r="EJ58" s="196">
        <v>21</v>
      </c>
      <c r="EK58" s="196">
        <v>0</v>
      </c>
      <c r="EL58" s="196">
        <v>31</v>
      </c>
      <c r="EM58" s="196">
        <v>0</v>
      </c>
      <c r="EN58" s="196">
        <v>0</v>
      </c>
      <c r="EO58" s="196">
        <v>0</v>
      </c>
      <c r="EP58" s="196">
        <v>7</v>
      </c>
      <c r="EQ58" s="196"/>
      <c r="ER58" s="196"/>
      <c r="ES58" s="196"/>
      <c r="ET58" s="196"/>
      <c r="EU58" s="196"/>
      <c r="EV58" s="196"/>
      <c r="EW58" s="196"/>
      <c r="EX58" s="196"/>
      <c r="EY58" s="196">
        <v>0</v>
      </c>
      <c r="EZ58" s="196">
        <v>0</v>
      </c>
      <c r="FA58" s="196">
        <v>226</v>
      </c>
      <c r="FB58" s="196">
        <v>0</v>
      </c>
      <c r="FC58" s="196">
        <v>2</v>
      </c>
      <c r="FD58" s="196">
        <v>4</v>
      </c>
      <c r="FE58" s="196">
        <v>0</v>
      </c>
      <c r="FF58" s="196">
        <v>116</v>
      </c>
      <c r="FG58" s="196">
        <v>0</v>
      </c>
    </row>
    <row r="59" spans="29:163" x14ac:dyDescent="0.4">
      <c r="AC59" s="198">
        <v>2009</v>
      </c>
      <c r="AD59" s="198"/>
      <c r="AE59" s="196">
        <v>28</v>
      </c>
      <c r="AF59" s="196">
        <v>7</v>
      </c>
      <c r="AG59" s="196">
        <v>14653</v>
      </c>
      <c r="AH59" s="196">
        <v>1048</v>
      </c>
      <c r="AI59" s="196">
        <v>10</v>
      </c>
      <c r="AJ59" s="196">
        <v>853</v>
      </c>
      <c r="AK59" s="196">
        <v>0</v>
      </c>
      <c r="AL59" s="196">
        <v>2654</v>
      </c>
      <c r="AM59" s="196">
        <v>0</v>
      </c>
      <c r="AN59" s="196"/>
      <c r="AO59" s="196"/>
      <c r="AP59" s="196"/>
      <c r="AQ59" s="196"/>
      <c r="AR59" s="196"/>
      <c r="AS59" s="196"/>
      <c r="AT59" s="196"/>
      <c r="AU59" s="196"/>
      <c r="AV59" s="196"/>
      <c r="AW59" s="196"/>
      <c r="AX59" s="196"/>
      <c r="AY59" s="196"/>
      <c r="AZ59" s="196">
        <v>0</v>
      </c>
      <c r="BA59" s="196">
        <v>0</v>
      </c>
      <c r="BB59" s="196">
        <v>0</v>
      </c>
      <c r="BC59" s="196">
        <v>0</v>
      </c>
      <c r="BD59" s="196">
        <v>0</v>
      </c>
      <c r="BE59" s="196">
        <v>0</v>
      </c>
      <c r="BF59" s="196">
        <v>0</v>
      </c>
      <c r="BG59" s="196">
        <v>0</v>
      </c>
      <c r="BH59" s="196">
        <v>0</v>
      </c>
      <c r="BI59" s="196"/>
      <c r="BJ59" s="196"/>
      <c r="BK59" s="196"/>
      <c r="BL59" s="196"/>
      <c r="BM59" s="196"/>
      <c r="BN59" s="196"/>
      <c r="BO59" s="196"/>
      <c r="BP59" s="196"/>
      <c r="BQ59" s="196">
        <v>12</v>
      </c>
      <c r="BR59" s="196">
        <v>0</v>
      </c>
      <c r="BS59" s="196">
        <v>260</v>
      </c>
      <c r="BT59" s="196">
        <v>0</v>
      </c>
      <c r="BU59" s="196">
        <v>4</v>
      </c>
      <c r="BV59" s="196">
        <v>0</v>
      </c>
      <c r="BW59" s="196">
        <v>0</v>
      </c>
      <c r="BX59" s="196">
        <v>64</v>
      </c>
      <c r="BY59" s="196">
        <v>0</v>
      </c>
      <c r="BZ59" s="196"/>
      <c r="CA59" s="196"/>
      <c r="CB59" s="196"/>
      <c r="CC59" s="196">
        <v>0</v>
      </c>
      <c r="CD59" s="196">
        <v>0</v>
      </c>
      <c r="CE59" s="196">
        <v>0</v>
      </c>
      <c r="CF59" s="196">
        <v>0</v>
      </c>
      <c r="CG59" s="196">
        <v>0</v>
      </c>
      <c r="CH59" s="196">
        <v>0</v>
      </c>
      <c r="CI59" s="196"/>
      <c r="CJ59" s="196"/>
      <c r="CK59" s="196"/>
      <c r="CL59" s="196"/>
      <c r="CM59" s="196"/>
      <c r="CN59" s="196"/>
      <c r="CO59" s="196"/>
      <c r="CP59" s="196"/>
      <c r="CQ59" s="196"/>
      <c r="CR59" s="196">
        <v>0</v>
      </c>
      <c r="CS59" s="196">
        <v>0</v>
      </c>
      <c r="CT59" s="196">
        <v>0</v>
      </c>
      <c r="CU59" s="196">
        <v>0</v>
      </c>
      <c r="CV59" s="196">
        <v>0</v>
      </c>
      <c r="CW59" s="196">
        <v>0</v>
      </c>
      <c r="CX59" s="196">
        <v>0</v>
      </c>
      <c r="CY59" s="196"/>
      <c r="CZ59" s="196"/>
      <c r="DA59" s="196"/>
      <c r="DB59" s="196">
        <v>0</v>
      </c>
      <c r="DC59" s="196">
        <v>0</v>
      </c>
      <c r="DD59" s="196">
        <v>3413</v>
      </c>
      <c r="DE59" s="196">
        <v>1048</v>
      </c>
      <c r="DF59" s="196">
        <v>0</v>
      </c>
      <c r="DG59" s="196">
        <v>0</v>
      </c>
      <c r="DH59" s="196">
        <v>0</v>
      </c>
      <c r="DI59" s="196">
        <v>773</v>
      </c>
      <c r="DJ59" s="196">
        <v>0</v>
      </c>
      <c r="DK59" s="196"/>
      <c r="DL59" s="196"/>
      <c r="DM59" s="196"/>
      <c r="DN59" s="196"/>
      <c r="DO59" s="196"/>
      <c r="DP59" s="196"/>
      <c r="DQ59" s="196"/>
      <c r="DR59" s="196">
        <v>0</v>
      </c>
      <c r="DS59" s="196">
        <v>0</v>
      </c>
      <c r="DT59" s="196">
        <v>27</v>
      </c>
      <c r="DU59" s="196">
        <v>0</v>
      </c>
      <c r="DV59" s="196">
        <v>0</v>
      </c>
      <c r="DW59" s="196">
        <v>0</v>
      </c>
      <c r="DX59" s="196">
        <v>0</v>
      </c>
      <c r="DY59" s="196">
        <v>0</v>
      </c>
      <c r="DZ59" s="196"/>
      <c r="EA59" s="196"/>
      <c r="EB59" s="196"/>
      <c r="EC59" s="196"/>
      <c r="ED59" s="196"/>
      <c r="EE59" s="196"/>
      <c r="EF59" s="196">
        <v>16</v>
      </c>
      <c r="EG59" s="196">
        <v>7</v>
      </c>
      <c r="EH59" s="196">
        <v>7956</v>
      </c>
      <c r="EI59" s="196">
        <v>0</v>
      </c>
      <c r="EJ59" s="196">
        <v>743</v>
      </c>
      <c r="EK59" s="196">
        <v>0</v>
      </c>
      <c r="EL59" s="196">
        <v>1246</v>
      </c>
      <c r="EM59" s="196">
        <v>0</v>
      </c>
      <c r="EN59" s="196">
        <v>1560</v>
      </c>
      <c r="EO59" s="196">
        <v>109</v>
      </c>
      <c r="EP59" s="196">
        <v>281</v>
      </c>
      <c r="EQ59" s="196"/>
      <c r="ER59" s="196"/>
      <c r="ES59" s="196"/>
      <c r="ET59" s="196"/>
      <c r="EU59" s="196"/>
      <c r="EV59" s="196"/>
      <c r="EW59" s="196"/>
      <c r="EX59" s="196"/>
      <c r="EY59" s="196">
        <v>0</v>
      </c>
      <c r="EZ59" s="196">
        <v>0</v>
      </c>
      <c r="FA59" s="196">
        <v>1437</v>
      </c>
      <c r="FB59" s="196">
        <v>0</v>
      </c>
      <c r="FC59" s="196">
        <v>6</v>
      </c>
      <c r="FD59" s="196">
        <v>1</v>
      </c>
      <c r="FE59" s="196">
        <v>0</v>
      </c>
      <c r="FF59" s="196">
        <v>290</v>
      </c>
      <c r="FG59" s="196">
        <v>0</v>
      </c>
    </row>
    <row r="60" spans="29:163" x14ac:dyDescent="0.4">
      <c r="AC60" s="198">
        <v>2010</v>
      </c>
      <c r="AD60" s="198"/>
      <c r="AE60" s="196">
        <v>41</v>
      </c>
      <c r="AF60" s="196">
        <v>2</v>
      </c>
      <c r="AG60" s="196">
        <v>28797</v>
      </c>
      <c r="AH60" s="196">
        <v>5104</v>
      </c>
      <c r="AI60" s="196">
        <v>73</v>
      </c>
      <c r="AJ60" s="196">
        <v>39</v>
      </c>
      <c r="AK60" s="196">
        <v>125</v>
      </c>
      <c r="AL60" s="196">
        <v>10536</v>
      </c>
      <c r="AM60" s="196">
        <v>5204</v>
      </c>
      <c r="AN60" s="196">
        <v>1</v>
      </c>
      <c r="AO60" s="196">
        <v>0</v>
      </c>
      <c r="AP60" s="196">
        <v>0</v>
      </c>
      <c r="AQ60" s="196">
        <v>0</v>
      </c>
      <c r="AR60" s="196">
        <v>1</v>
      </c>
      <c r="AS60" s="196">
        <v>0</v>
      </c>
      <c r="AT60" s="196">
        <v>0</v>
      </c>
      <c r="AU60" s="196">
        <v>33</v>
      </c>
      <c r="AV60" s="196">
        <v>37</v>
      </c>
      <c r="AW60" s="196">
        <v>7</v>
      </c>
      <c r="AX60" s="196"/>
      <c r="AY60" s="196"/>
      <c r="AZ60" s="196">
        <v>3</v>
      </c>
      <c r="BA60" s="196">
        <v>0</v>
      </c>
      <c r="BB60" s="196">
        <v>487</v>
      </c>
      <c r="BC60" s="196">
        <v>377</v>
      </c>
      <c r="BD60" s="196">
        <v>0</v>
      </c>
      <c r="BE60" s="196">
        <v>3</v>
      </c>
      <c r="BF60" s="196">
        <v>0</v>
      </c>
      <c r="BG60" s="196">
        <v>111</v>
      </c>
      <c r="BH60" s="196">
        <v>5</v>
      </c>
      <c r="BI60" s="196"/>
      <c r="BJ60" s="196"/>
      <c r="BK60" s="196"/>
      <c r="BL60" s="196"/>
      <c r="BM60" s="196"/>
      <c r="BN60" s="196"/>
      <c r="BO60" s="196"/>
      <c r="BP60" s="196"/>
      <c r="BQ60" s="196">
        <v>32</v>
      </c>
      <c r="BR60" s="196">
        <v>1</v>
      </c>
      <c r="BS60" s="196">
        <v>1277</v>
      </c>
      <c r="BT60" s="196">
        <v>675</v>
      </c>
      <c r="BU60" s="196">
        <v>0</v>
      </c>
      <c r="BV60" s="196">
        <v>30</v>
      </c>
      <c r="BW60" s="196">
        <v>125</v>
      </c>
      <c r="BX60" s="196">
        <v>225</v>
      </c>
      <c r="BY60" s="196">
        <v>2655</v>
      </c>
      <c r="BZ60" s="196"/>
      <c r="CA60" s="196"/>
      <c r="CB60" s="196"/>
      <c r="CC60" s="196">
        <v>0</v>
      </c>
      <c r="CD60" s="196">
        <v>8</v>
      </c>
      <c r="CE60" s="196">
        <v>0</v>
      </c>
      <c r="CF60" s="196">
        <v>58</v>
      </c>
      <c r="CG60" s="196">
        <v>4</v>
      </c>
      <c r="CH60" s="196">
        <v>530</v>
      </c>
      <c r="CI60" s="196">
        <v>0</v>
      </c>
      <c r="CJ60" s="196">
        <v>0</v>
      </c>
      <c r="CK60" s="196">
        <v>0</v>
      </c>
      <c r="CL60" s="196">
        <v>0</v>
      </c>
      <c r="CM60" s="196">
        <v>0</v>
      </c>
      <c r="CN60" s="196">
        <v>0</v>
      </c>
      <c r="CO60" s="196">
        <v>0</v>
      </c>
      <c r="CP60" s="196"/>
      <c r="CQ60" s="196"/>
      <c r="CR60" s="196"/>
      <c r="CS60" s="196"/>
      <c r="CT60" s="196"/>
      <c r="CU60" s="196"/>
      <c r="CV60" s="196"/>
      <c r="CW60" s="196"/>
      <c r="CX60" s="196"/>
      <c r="CY60" s="196"/>
      <c r="CZ60" s="196"/>
      <c r="DA60" s="196"/>
      <c r="DB60" s="196">
        <v>1</v>
      </c>
      <c r="DC60" s="196">
        <v>1</v>
      </c>
      <c r="DD60" s="196">
        <v>26302</v>
      </c>
      <c r="DE60" s="196">
        <v>3990</v>
      </c>
      <c r="DF60" s="196">
        <v>0</v>
      </c>
      <c r="DG60" s="196">
        <v>6</v>
      </c>
      <c r="DH60" s="196">
        <v>0</v>
      </c>
      <c r="DI60" s="196">
        <v>10020</v>
      </c>
      <c r="DJ60" s="196">
        <v>2014</v>
      </c>
      <c r="DK60" s="196">
        <v>0</v>
      </c>
      <c r="DL60" s="196">
        <v>64</v>
      </c>
      <c r="DM60" s="196">
        <v>0</v>
      </c>
      <c r="DN60" s="196">
        <v>0</v>
      </c>
      <c r="DO60" s="196">
        <v>0</v>
      </c>
      <c r="DP60" s="196">
        <v>16</v>
      </c>
      <c r="DQ60" s="196">
        <v>0</v>
      </c>
      <c r="DR60" s="196">
        <v>0</v>
      </c>
      <c r="DS60" s="196">
        <v>0</v>
      </c>
      <c r="DT60" s="196">
        <v>360</v>
      </c>
      <c r="DU60" s="196">
        <v>0</v>
      </c>
      <c r="DV60" s="196">
        <v>0</v>
      </c>
      <c r="DW60" s="196">
        <v>0</v>
      </c>
      <c r="DX60" s="196">
        <v>90</v>
      </c>
      <c r="DY60" s="196">
        <v>0</v>
      </c>
      <c r="DZ60" s="196"/>
      <c r="EA60" s="196"/>
      <c r="EB60" s="196"/>
      <c r="EC60" s="196"/>
      <c r="ED60" s="196"/>
      <c r="EE60" s="196"/>
      <c r="EF60" s="196"/>
      <c r="EG60" s="196"/>
      <c r="EH60" s="196"/>
      <c r="EI60" s="196"/>
      <c r="EJ60" s="196"/>
      <c r="EK60" s="196"/>
      <c r="EL60" s="196"/>
      <c r="EM60" s="196"/>
      <c r="EN60" s="196"/>
      <c r="EO60" s="196"/>
      <c r="EP60" s="196"/>
      <c r="EQ60" s="196">
        <v>4</v>
      </c>
      <c r="ER60" s="196">
        <v>0</v>
      </c>
      <c r="ES60" s="196">
        <v>0</v>
      </c>
      <c r="ET60" s="196">
        <v>14</v>
      </c>
      <c r="EU60" s="196">
        <v>0</v>
      </c>
      <c r="EV60" s="196">
        <v>0</v>
      </c>
      <c r="EW60" s="196"/>
      <c r="EX60" s="196"/>
      <c r="EY60" s="196">
        <v>0</v>
      </c>
      <c r="EZ60" s="196">
        <v>0</v>
      </c>
      <c r="FA60" s="196">
        <v>266</v>
      </c>
      <c r="FB60" s="196">
        <v>25</v>
      </c>
      <c r="FC60" s="196">
        <v>0</v>
      </c>
      <c r="FD60" s="196">
        <v>0</v>
      </c>
      <c r="FE60" s="196">
        <v>0</v>
      </c>
      <c r="FF60" s="196">
        <v>63</v>
      </c>
      <c r="FG60" s="196">
        <v>0</v>
      </c>
    </row>
    <row r="61" spans="29:163" x14ac:dyDescent="0.4">
      <c r="AC61" s="198">
        <v>2011</v>
      </c>
      <c r="AD61" s="198"/>
      <c r="AE61" s="196">
        <v>11</v>
      </c>
      <c r="AF61" s="196">
        <v>0</v>
      </c>
      <c r="AG61" s="196">
        <v>9767</v>
      </c>
      <c r="AH61" s="196">
        <v>1728</v>
      </c>
      <c r="AI61" s="196">
        <v>6</v>
      </c>
      <c r="AJ61" s="196">
        <v>19</v>
      </c>
      <c r="AK61" s="196">
        <v>45</v>
      </c>
      <c r="AL61" s="196">
        <v>2381</v>
      </c>
      <c r="AM61" s="196">
        <v>1222</v>
      </c>
      <c r="AN61" s="196"/>
      <c r="AO61" s="196"/>
      <c r="AP61" s="196"/>
      <c r="AQ61" s="196"/>
      <c r="AR61" s="196"/>
      <c r="AS61" s="196"/>
      <c r="AT61" s="196"/>
      <c r="AU61" s="196"/>
      <c r="AV61" s="196"/>
      <c r="AW61" s="196"/>
      <c r="AX61" s="196"/>
      <c r="AY61" s="196"/>
      <c r="AZ61" s="196">
        <v>4</v>
      </c>
      <c r="BA61" s="196">
        <v>0</v>
      </c>
      <c r="BB61" s="196">
        <v>420</v>
      </c>
      <c r="BC61" s="196">
        <v>21</v>
      </c>
      <c r="BD61" s="196">
        <v>0</v>
      </c>
      <c r="BE61" s="196">
        <v>0</v>
      </c>
      <c r="BF61" s="196">
        <v>0</v>
      </c>
      <c r="BG61" s="196">
        <v>105</v>
      </c>
      <c r="BH61" s="196">
        <v>0</v>
      </c>
      <c r="BI61" s="196">
        <v>8</v>
      </c>
      <c r="BJ61" s="196">
        <v>0</v>
      </c>
      <c r="BK61" s="196">
        <v>2</v>
      </c>
      <c r="BL61" s="196">
        <v>0</v>
      </c>
      <c r="BM61" s="196">
        <v>0</v>
      </c>
      <c r="BN61" s="196">
        <v>0</v>
      </c>
      <c r="BO61" s="196">
        <v>0</v>
      </c>
      <c r="BP61" s="196">
        <v>0</v>
      </c>
      <c r="BQ61" s="196">
        <v>2</v>
      </c>
      <c r="BR61" s="196">
        <v>0</v>
      </c>
      <c r="BS61" s="196">
        <v>625</v>
      </c>
      <c r="BT61" s="196">
        <v>214</v>
      </c>
      <c r="BU61" s="196">
        <v>0</v>
      </c>
      <c r="BV61" s="196">
        <v>16</v>
      </c>
      <c r="BW61" s="196">
        <v>45</v>
      </c>
      <c r="BX61" s="196">
        <v>102</v>
      </c>
      <c r="BY61" s="196">
        <v>1132</v>
      </c>
      <c r="BZ61" s="196"/>
      <c r="CA61" s="196"/>
      <c r="CB61" s="196"/>
      <c r="CC61" s="196">
        <v>0</v>
      </c>
      <c r="CD61" s="196">
        <v>0</v>
      </c>
      <c r="CE61" s="196">
        <v>0</v>
      </c>
      <c r="CF61" s="196">
        <v>0</v>
      </c>
      <c r="CG61" s="196">
        <v>0</v>
      </c>
      <c r="CH61" s="196">
        <v>0</v>
      </c>
      <c r="CI61" s="196">
        <v>0</v>
      </c>
      <c r="CJ61" s="196">
        <v>0</v>
      </c>
      <c r="CK61" s="196">
        <v>0</v>
      </c>
      <c r="CL61" s="196">
        <v>2</v>
      </c>
      <c r="CM61" s="196">
        <v>0</v>
      </c>
      <c r="CN61" s="196">
        <v>0</v>
      </c>
      <c r="CO61" s="196">
        <v>0</v>
      </c>
      <c r="CP61" s="196"/>
      <c r="CQ61" s="196"/>
      <c r="CR61" s="196">
        <v>0</v>
      </c>
      <c r="CS61" s="196">
        <v>240</v>
      </c>
      <c r="CT61" s="196">
        <v>0</v>
      </c>
      <c r="CU61" s="196">
        <v>3</v>
      </c>
      <c r="CV61" s="196">
        <v>0</v>
      </c>
      <c r="CW61" s="196">
        <v>53</v>
      </c>
      <c r="CX61" s="196">
        <v>0</v>
      </c>
      <c r="CY61" s="196">
        <v>0</v>
      </c>
      <c r="CZ61" s="196">
        <v>0</v>
      </c>
      <c r="DA61" s="196">
        <v>0</v>
      </c>
      <c r="DB61" s="196">
        <v>0</v>
      </c>
      <c r="DC61" s="196">
        <v>0</v>
      </c>
      <c r="DD61" s="196">
        <v>8081</v>
      </c>
      <c r="DE61" s="196">
        <v>1485</v>
      </c>
      <c r="DF61" s="196">
        <v>0</v>
      </c>
      <c r="DG61" s="196">
        <v>0</v>
      </c>
      <c r="DH61" s="196">
        <v>0</v>
      </c>
      <c r="DI61" s="196">
        <v>1984</v>
      </c>
      <c r="DJ61" s="196">
        <v>90</v>
      </c>
      <c r="DK61" s="196">
        <v>0</v>
      </c>
      <c r="DL61" s="196">
        <v>0</v>
      </c>
      <c r="DM61" s="196">
        <v>0</v>
      </c>
      <c r="DN61" s="196">
        <v>0</v>
      </c>
      <c r="DO61" s="196">
        <v>0</v>
      </c>
      <c r="DP61" s="196">
        <v>0</v>
      </c>
      <c r="DQ61" s="196">
        <v>0</v>
      </c>
      <c r="DR61" s="196">
        <v>0</v>
      </c>
      <c r="DS61" s="196">
        <v>0</v>
      </c>
      <c r="DT61" s="196">
        <v>97</v>
      </c>
      <c r="DU61" s="196">
        <v>0</v>
      </c>
      <c r="DV61" s="196">
        <v>0</v>
      </c>
      <c r="DW61" s="196">
        <v>0</v>
      </c>
      <c r="DX61" s="196">
        <v>58</v>
      </c>
      <c r="DY61" s="196">
        <v>0</v>
      </c>
      <c r="DZ61" s="196">
        <v>1</v>
      </c>
      <c r="EA61" s="196"/>
      <c r="EB61" s="196"/>
      <c r="EC61" s="196"/>
      <c r="ED61" s="196"/>
      <c r="EE61" s="196"/>
      <c r="EF61" s="196">
        <v>0</v>
      </c>
      <c r="EG61" s="196">
        <v>0</v>
      </c>
      <c r="EH61" s="196">
        <v>16</v>
      </c>
      <c r="EI61" s="196">
        <v>0</v>
      </c>
      <c r="EJ61" s="196">
        <v>0</v>
      </c>
      <c r="EK61" s="196">
        <v>0</v>
      </c>
      <c r="EL61" s="196">
        <v>4</v>
      </c>
      <c r="EM61" s="196"/>
      <c r="EN61" s="196"/>
      <c r="EO61" s="196"/>
      <c r="EP61" s="196"/>
      <c r="EQ61" s="196">
        <v>4</v>
      </c>
      <c r="ER61" s="196">
        <v>0</v>
      </c>
      <c r="ES61" s="196">
        <v>1</v>
      </c>
      <c r="ET61" s="196">
        <v>4</v>
      </c>
      <c r="EU61" s="196">
        <v>0</v>
      </c>
      <c r="EV61" s="196">
        <v>0</v>
      </c>
      <c r="EW61" s="196"/>
      <c r="EX61" s="196"/>
      <c r="EY61" s="196">
        <v>0</v>
      </c>
      <c r="EZ61" s="196">
        <v>0</v>
      </c>
      <c r="FA61" s="196">
        <v>279</v>
      </c>
      <c r="FB61" s="196">
        <v>8</v>
      </c>
      <c r="FC61" s="196">
        <v>0</v>
      </c>
      <c r="FD61" s="196">
        <v>0</v>
      </c>
      <c r="FE61" s="196">
        <v>0</v>
      </c>
      <c r="FF61" s="196">
        <v>73</v>
      </c>
      <c r="FG61" s="196">
        <v>0</v>
      </c>
    </row>
    <row r="62" spans="29:163" x14ac:dyDescent="0.4">
      <c r="AC62" s="198">
        <v>2012</v>
      </c>
      <c r="AD62" s="198"/>
      <c r="AE62" s="196">
        <v>14</v>
      </c>
      <c r="AF62" s="196">
        <v>3</v>
      </c>
      <c r="AG62" s="196">
        <v>18231</v>
      </c>
      <c r="AH62" s="196">
        <v>1858</v>
      </c>
      <c r="AI62" s="196">
        <v>13</v>
      </c>
      <c r="AJ62" s="196">
        <v>770</v>
      </c>
      <c r="AK62" s="196">
        <v>1</v>
      </c>
      <c r="AL62" s="196">
        <v>3567</v>
      </c>
      <c r="AM62" s="196">
        <v>120550</v>
      </c>
      <c r="AN62" s="196"/>
      <c r="AO62" s="196"/>
      <c r="AP62" s="196"/>
      <c r="AQ62" s="196"/>
      <c r="AR62" s="196"/>
      <c r="AS62" s="196"/>
      <c r="AT62" s="196"/>
      <c r="AU62" s="196"/>
      <c r="AV62" s="196"/>
      <c r="AW62" s="196"/>
      <c r="AX62" s="196">
        <v>4</v>
      </c>
      <c r="AY62" s="196">
        <v>1</v>
      </c>
      <c r="AZ62" s="196">
        <v>6</v>
      </c>
      <c r="BA62" s="196">
        <v>1</v>
      </c>
      <c r="BB62" s="196">
        <v>0</v>
      </c>
      <c r="BC62" s="196">
        <v>0</v>
      </c>
      <c r="BD62" s="196">
        <v>5</v>
      </c>
      <c r="BE62" s="196">
        <v>0</v>
      </c>
      <c r="BF62" s="196">
        <v>0</v>
      </c>
      <c r="BG62" s="196">
        <v>0</v>
      </c>
      <c r="BH62" s="196">
        <v>0</v>
      </c>
      <c r="BI62" s="196"/>
      <c r="BJ62" s="196"/>
      <c r="BK62" s="196"/>
      <c r="BL62" s="196"/>
      <c r="BM62" s="196"/>
      <c r="BN62" s="196"/>
      <c r="BO62" s="196"/>
      <c r="BP62" s="196"/>
      <c r="BQ62" s="196">
        <v>1</v>
      </c>
      <c r="BR62" s="196">
        <v>1</v>
      </c>
      <c r="BS62" s="196">
        <v>349</v>
      </c>
      <c r="BT62" s="196">
        <v>32</v>
      </c>
      <c r="BU62" s="196">
        <v>5</v>
      </c>
      <c r="BV62" s="196">
        <v>5</v>
      </c>
      <c r="BW62" s="196">
        <v>0</v>
      </c>
      <c r="BX62" s="196">
        <v>81</v>
      </c>
      <c r="BY62" s="196">
        <v>100000</v>
      </c>
      <c r="BZ62" s="196"/>
      <c r="CA62" s="196"/>
      <c r="CB62" s="196"/>
      <c r="CC62" s="196"/>
      <c r="CD62" s="196"/>
      <c r="CE62" s="196"/>
      <c r="CF62" s="196"/>
      <c r="CG62" s="196"/>
      <c r="CH62" s="196"/>
      <c r="CI62" s="196"/>
      <c r="CJ62" s="196"/>
      <c r="CK62" s="196"/>
      <c r="CL62" s="196"/>
      <c r="CM62" s="196"/>
      <c r="CN62" s="196"/>
      <c r="CO62" s="196"/>
      <c r="CP62" s="196">
        <v>4</v>
      </c>
      <c r="CQ62" s="196">
        <v>1</v>
      </c>
      <c r="CR62" s="196"/>
      <c r="CS62" s="196"/>
      <c r="CT62" s="196"/>
      <c r="CU62" s="196"/>
      <c r="CV62" s="196"/>
      <c r="CW62" s="196"/>
      <c r="CX62" s="196"/>
      <c r="CY62" s="196"/>
      <c r="CZ62" s="196"/>
      <c r="DA62" s="196"/>
      <c r="DB62" s="196">
        <v>4</v>
      </c>
      <c r="DC62" s="196">
        <v>1</v>
      </c>
      <c r="DD62" s="196">
        <v>4836</v>
      </c>
      <c r="DE62" s="196">
        <v>1757</v>
      </c>
      <c r="DF62" s="196">
        <v>0</v>
      </c>
      <c r="DG62" s="196">
        <v>4</v>
      </c>
      <c r="DH62" s="196">
        <v>0</v>
      </c>
      <c r="DI62" s="196">
        <v>1144</v>
      </c>
      <c r="DJ62" s="196">
        <v>550</v>
      </c>
      <c r="DK62" s="196">
        <v>0</v>
      </c>
      <c r="DL62" s="196">
        <v>4</v>
      </c>
      <c r="DM62" s="196">
        <v>0</v>
      </c>
      <c r="DN62" s="196">
        <v>0</v>
      </c>
      <c r="DO62" s="196">
        <v>0</v>
      </c>
      <c r="DP62" s="196">
        <v>1</v>
      </c>
      <c r="DQ62" s="196">
        <v>20000</v>
      </c>
      <c r="DR62" s="196">
        <v>0</v>
      </c>
      <c r="DS62" s="196">
        <v>0</v>
      </c>
      <c r="DT62" s="196">
        <v>184</v>
      </c>
      <c r="DU62" s="196">
        <v>0</v>
      </c>
      <c r="DV62" s="196">
        <v>0</v>
      </c>
      <c r="DW62" s="196">
        <v>0</v>
      </c>
      <c r="DX62" s="196">
        <v>46</v>
      </c>
      <c r="DY62" s="196">
        <v>0</v>
      </c>
      <c r="DZ62" s="196"/>
      <c r="EA62" s="196"/>
      <c r="EB62" s="196"/>
      <c r="EC62" s="196"/>
      <c r="ED62" s="196"/>
      <c r="EE62" s="196"/>
      <c r="EF62" s="196">
        <v>0</v>
      </c>
      <c r="EG62" s="196">
        <v>0</v>
      </c>
      <c r="EH62" s="196">
        <v>12476</v>
      </c>
      <c r="EI62" s="196">
        <v>69</v>
      </c>
      <c r="EJ62" s="196">
        <v>756</v>
      </c>
      <c r="EK62" s="196">
        <v>0</v>
      </c>
      <c r="EL62" s="196">
        <v>2200</v>
      </c>
      <c r="EM62" s="196"/>
      <c r="EN62" s="196"/>
      <c r="EO62" s="196"/>
      <c r="EP62" s="196"/>
      <c r="EQ62" s="196">
        <v>3</v>
      </c>
      <c r="ER62" s="196">
        <v>0</v>
      </c>
      <c r="ES62" s="196">
        <v>8</v>
      </c>
      <c r="ET62" s="196">
        <v>2</v>
      </c>
      <c r="EU62" s="196">
        <v>1</v>
      </c>
      <c r="EV62" s="196">
        <v>1</v>
      </c>
      <c r="EW62" s="196"/>
      <c r="EX62" s="196"/>
      <c r="EY62" s="196">
        <v>0</v>
      </c>
      <c r="EZ62" s="196">
        <v>0</v>
      </c>
      <c r="FA62" s="196">
        <v>366</v>
      </c>
      <c r="FB62" s="196">
        <v>0</v>
      </c>
      <c r="FC62" s="196">
        <v>1</v>
      </c>
      <c r="FD62" s="196">
        <v>4</v>
      </c>
      <c r="FE62" s="196">
        <v>1</v>
      </c>
      <c r="FF62" s="196">
        <v>92</v>
      </c>
      <c r="FG62" s="196">
        <v>0</v>
      </c>
    </row>
    <row r="63" spans="29:163" x14ac:dyDescent="0.4">
      <c r="AC63" s="198">
        <v>2013</v>
      </c>
      <c r="AD63" s="198"/>
      <c r="AE63" s="196">
        <v>12</v>
      </c>
      <c r="AF63" s="196">
        <v>0</v>
      </c>
      <c r="AG63" s="196">
        <v>6020</v>
      </c>
      <c r="AH63" s="196">
        <v>342</v>
      </c>
      <c r="AI63" s="196">
        <v>16</v>
      </c>
      <c r="AJ63" s="196">
        <v>21</v>
      </c>
      <c r="AK63" s="196">
        <v>25</v>
      </c>
      <c r="AL63" s="196">
        <v>1447</v>
      </c>
      <c r="AM63" s="196">
        <v>2558</v>
      </c>
      <c r="AN63" s="196"/>
      <c r="AO63" s="196"/>
      <c r="AP63" s="196"/>
      <c r="AQ63" s="196"/>
      <c r="AR63" s="196"/>
      <c r="AS63" s="196"/>
      <c r="AT63" s="196"/>
      <c r="AU63" s="196"/>
      <c r="AV63" s="196"/>
      <c r="AW63" s="196"/>
      <c r="AX63" s="196"/>
      <c r="AY63" s="196"/>
      <c r="AZ63" s="196">
        <v>2</v>
      </c>
      <c r="BA63" s="196">
        <v>0</v>
      </c>
      <c r="BB63" s="196">
        <v>320</v>
      </c>
      <c r="BC63" s="196">
        <v>0</v>
      </c>
      <c r="BD63" s="196">
        <v>6</v>
      </c>
      <c r="BE63" s="196">
        <v>0</v>
      </c>
      <c r="BF63" s="196">
        <v>0</v>
      </c>
      <c r="BG63" s="196">
        <v>31</v>
      </c>
      <c r="BH63" s="196">
        <v>0</v>
      </c>
      <c r="BI63" s="196"/>
      <c r="BJ63" s="196"/>
      <c r="BK63" s="196"/>
      <c r="BL63" s="196"/>
      <c r="BM63" s="196"/>
      <c r="BN63" s="196"/>
      <c r="BO63" s="196"/>
      <c r="BP63" s="196"/>
      <c r="BQ63" s="196">
        <v>2</v>
      </c>
      <c r="BR63" s="196">
        <v>0</v>
      </c>
      <c r="BS63" s="196">
        <v>489</v>
      </c>
      <c r="BT63" s="196">
        <v>281</v>
      </c>
      <c r="BU63" s="196">
        <v>2</v>
      </c>
      <c r="BV63" s="196">
        <v>3</v>
      </c>
      <c r="BW63" s="196">
        <v>0</v>
      </c>
      <c r="BX63" s="196">
        <v>136</v>
      </c>
      <c r="BY63" s="196">
        <v>320</v>
      </c>
      <c r="BZ63" s="196"/>
      <c r="CA63" s="196"/>
      <c r="CB63" s="196"/>
      <c r="CC63" s="196"/>
      <c r="CD63" s="196"/>
      <c r="CE63" s="196"/>
      <c r="CF63" s="196"/>
      <c r="CG63" s="196"/>
      <c r="CH63" s="196"/>
      <c r="CI63" s="196">
        <v>5</v>
      </c>
      <c r="CJ63" s="196">
        <v>0</v>
      </c>
      <c r="CK63" s="196">
        <v>0</v>
      </c>
      <c r="CL63" s="196">
        <v>2</v>
      </c>
      <c r="CM63" s="196">
        <v>0</v>
      </c>
      <c r="CN63" s="196">
        <v>0</v>
      </c>
      <c r="CO63" s="196">
        <v>0</v>
      </c>
      <c r="CP63" s="196"/>
      <c r="CQ63" s="196"/>
      <c r="CR63" s="196">
        <v>0</v>
      </c>
      <c r="CS63" s="196">
        <v>2</v>
      </c>
      <c r="CT63" s="196">
        <v>1</v>
      </c>
      <c r="CU63" s="196">
        <v>1</v>
      </c>
      <c r="CV63" s="196">
        <v>0</v>
      </c>
      <c r="CW63" s="196">
        <v>1</v>
      </c>
      <c r="CX63" s="196">
        <v>0</v>
      </c>
      <c r="CY63" s="196"/>
      <c r="CZ63" s="196"/>
      <c r="DA63" s="196"/>
      <c r="DB63" s="196">
        <v>0</v>
      </c>
      <c r="DC63" s="196">
        <v>0</v>
      </c>
      <c r="DD63" s="196">
        <v>4491</v>
      </c>
      <c r="DE63" s="196">
        <v>61</v>
      </c>
      <c r="DF63" s="196">
        <v>1</v>
      </c>
      <c r="DG63" s="196">
        <v>15</v>
      </c>
      <c r="DH63" s="196">
        <v>25</v>
      </c>
      <c r="DI63" s="196">
        <v>1100</v>
      </c>
      <c r="DJ63" s="196">
        <v>2158</v>
      </c>
      <c r="DK63" s="196">
        <v>0</v>
      </c>
      <c r="DL63" s="196">
        <v>4</v>
      </c>
      <c r="DM63" s="196">
        <v>0</v>
      </c>
      <c r="DN63" s="196">
        <v>0</v>
      </c>
      <c r="DO63" s="196">
        <v>0</v>
      </c>
      <c r="DP63" s="196">
        <v>1</v>
      </c>
      <c r="DQ63" s="196">
        <v>0</v>
      </c>
      <c r="DR63" s="196">
        <v>0</v>
      </c>
      <c r="DS63" s="196">
        <v>0</v>
      </c>
      <c r="DT63" s="196">
        <v>0</v>
      </c>
      <c r="DU63" s="196">
        <v>0</v>
      </c>
      <c r="DV63" s="196">
        <v>0</v>
      </c>
      <c r="DW63" s="196">
        <v>0</v>
      </c>
      <c r="DX63" s="196">
        <v>0</v>
      </c>
      <c r="DY63" s="196">
        <v>80</v>
      </c>
      <c r="DZ63" s="196"/>
      <c r="EA63" s="196"/>
      <c r="EB63" s="196"/>
      <c r="EC63" s="196"/>
      <c r="ED63" s="196"/>
      <c r="EE63" s="196"/>
      <c r="EF63" s="196"/>
      <c r="EG63" s="196"/>
      <c r="EH63" s="196"/>
      <c r="EI63" s="196"/>
      <c r="EJ63" s="196"/>
      <c r="EK63" s="196"/>
      <c r="EL63" s="196"/>
      <c r="EM63" s="196">
        <v>0</v>
      </c>
      <c r="EN63" s="196">
        <v>212</v>
      </c>
      <c r="EO63" s="196">
        <v>2</v>
      </c>
      <c r="EP63" s="196">
        <v>51</v>
      </c>
      <c r="EQ63" s="196">
        <v>2</v>
      </c>
      <c r="ER63" s="196">
        <v>0</v>
      </c>
      <c r="ES63" s="196">
        <v>6</v>
      </c>
      <c r="ET63" s="196">
        <v>3</v>
      </c>
      <c r="EU63" s="196">
        <v>0</v>
      </c>
      <c r="EV63" s="196">
        <v>1</v>
      </c>
      <c r="EW63" s="196">
        <v>6</v>
      </c>
      <c r="EX63" s="196">
        <v>2</v>
      </c>
      <c r="EY63" s="196">
        <v>1</v>
      </c>
      <c r="EZ63" s="196">
        <v>0</v>
      </c>
      <c r="FA63" s="196">
        <v>490</v>
      </c>
      <c r="FB63" s="196">
        <v>0</v>
      </c>
      <c r="FC63" s="196">
        <v>1</v>
      </c>
      <c r="FD63" s="196">
        <v>0</v>
      </c>
      <c r="FE63" s="196">
        <v>0</v>
      </c>
      <c r="FF63" s="196">
        <v>124</v>
      </c>
      <c r="FG63" s="196">
        <v>0</v>
      </c>
    </row>
    <row r="64" spans="29:163" x14ac:dyDescent="0.4">
      <c r="AC64" s="198">
        <v>2014</v>
      </c>
      <c r="AD64" s="198"/>
      <c r="AE64" s="196">
        <v>10</v>
      </c>
      <c r="AF64" s="196">
        <v>2</v>
      </c>
      <c r="AG64" s="196">
        <v>11204</v>
      </c>
      <c r="AH64" s="196">
        <v>863</v>
      </c>
      <c r="AI64" s="196">
        <v>28</v>
      </c>
      <c r="AJ64" s="196">
        <v>3</v>
      </c>
      <c r="AK64" s="196">
        <v>5</v>
      </c>
      <c r="AL64" s="196">
        <v>2680</v>
      </c>
      <c r="AM64" s="196">
        <v>7870</v>
      </c>
      <c r="AN64" s="196"/>
      <c r="AO64" s="196"/>
      <c r="AP64" s="196"/>
      <c r="AQ64" s="196"/>
      <c r="AR64" s="196"/>
      <c r="AS64" s="196"/>
      <c r="AT64" s="196">
        <v>0</v>
      </c>
      <c r="AU64" s="196">
        <v>244</v>
      </c>
      <c r="AV64" s="196">
        <v>0</v>
      </c>
      <c r="AW64" s="196">
        <v>61</v>
      </c>
      <c r="AX64" s="196"/>
      <c r="AY64" s="196"/>
      <c r="AZ64" s="196"/>
      <c r="BA64" s="196"/>
      <c r="BB64" s="196"/>
      <c r="BC64" s="196"/>
      <c r="BD64" s="196"/>
      <c r="BE64" s="196"/>
      <c r="BF64" s="196"/>
      <c r="BG64" s="196"/>
      <c r="BH64" s="196"/>
      <c r="BI64" s="196"/>
      <c r="BJ64" s="196"/>
      <c r="BK64" s="196"/>
      <c r="BL64" s="196"/>
      <c r="BM64" s="196">
        <v>165</v>
      </c>
      <c r="BN64" s="196">
        <v>0</v>
      </c>
      <c r="BO64" s="196">
        <v>41</v>
      </c>
      <c r="BP64" s="196">
        <v>0</v>
      </c>
      <c r="BQ64" s="196">
        <v>2</v>
      </c>
      <c r="BR64" s="196">
        <v>1</v>
      </c>
      <c r="BS64" s="196">
        <v>1449</v>
      </c>
      <c r="BT64" s="196">
        <v>83</v>
      </c>
      <c r="BU64" s="196">
        <v>5</v>
      </c>
      <c r="BV64" s="196">
        <v>3</v>
      </c>
      <c r="BW64" s="196">
        <v>0</v>
      </c>
      <c r="BX64" s="196">
        <v>344</v>
      </c>
      <c r="BY64" s="196">
        <v>6550</v>
      </c>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v>0</v>
      </c>
      <c r="DC64" s="196">
        <v>1</v>
      </c>
      <c r="DD64" s="196">
        <v>7943</v>
      </c>
      <c r="DE64" s="196">
        <v>615</v>
      </c>
      <c r="DF64" s="196">
        <v>10</v>
      </c>
      <c r="DG64" s="196">
        <v>0</v>
      </c>
      <c r="DH64" s="196">
        <v>5</v>
      </c>
      <c r="DI64" s="196">
        <v>2079</v>
      </c>
      <c r="DJ64" s="196">
        <v>920</v>
      </c>
      <c r="DK64" s="196">
        <v>0</v>
      </c>
      <c r="DL64" s="196">
        <v>0</v>
      </c>
      <c r="DM64" s="196">
        <v>0</v>
      </c>
      <c r="DN64" s="196">
        <v>0</v>
      </c>
      <c r="DO64" s="196">
        <v>0</v>
      </c>
      <c r="DP64" s="196">
        <v>0</v>
      </c>
      <c r="DQ64" s="196">
        <v>400</v>
      </c>
      <c r="DR64" s="196">
        <v>2</v>
      </c>
      <c r="DS64" s="196">
        <v>0</v>
      </c>
      <c r="DT64" s="196">
        <v>216</v>
      </c>
      <c r="DU64" s="196">
        <v>0</v>
      </c>
      <c r="DV64" s="196">
        <v>1</v>
      </c>
      <c r="DW64" s="196">
        <v>0</v>
      </c>
      <c r="DX64" s="196">
        <v>54</v>
      </c>
      <c r="DY64" s="196">
        <v>0</v>
      </c>
      <c r="DZ64" s="196"/>
      <c r="EA64" s="196"/>
      <c r="EB64" s="196"/>
      <c r="EC64" s="196"/>
      <c r="ED64" s="196"/>
      <c r="EE64" s="196">
        <v>951</v>
      </c>
      <c r="EF64" s="196"/>
      <c r="EG64" s="196"/>
      <c r="EH64" s="196"/>
      <c r="EI64" s="196"/>
      <c r="EJ64" s="196"/>
      <c r="EK64" s="196"/>
      <c r="EL64" s="196"/>
      <c r="EM64" s="196">
        <v>0</v>
      </c>
      <c r="EN64" s="196">
        <v>49</v>
      </c>
      <c r="EO64" s="196">
        <v>0</v>
      </c>
      <c r="EP64" s="196">
        <v>12</v>
      </c>
      <c r="EQ64" s="196">
        <v>6</v>
      </c>
      <c r="ER64" s="196">
        <v>0</v>
      </c>
      <c r="ES64" s="196">
        <v>0</v>
      </c>
      <c r="ET64" s="196">
        <v>1</v>
      </c>
      <c r="EU64" s="196">
        <v>0</v>
      </c>
      <c r="EV64" s="196">
        <v>0</v>
      </c>
      <c r="EW64" s="196"/>
      <c r="EX64" s="196"/>
      <c r="EY64" s="196">
        <v>0</v>
      </c>
      <c r="EZ64" s="196">
        <v>0</v>
      </c>
      <c r="FA64" s="196">
        <v>352</v>
      </c>
      <c r="FB64" s="196">
        <v>0</v>
      </c>
      <c r="FC64" s="196">
        <v>11</v>
      </c>
      <c r="FD64" s="196">
        <v>0</v>
      </c>
      <c r="FE64" s="196">
        <v>0</v>
      </c>
      <c r="FF64" s="196">
        <v>89</v>
      </c>
      <c r="FG64" s="196">
        <v>0</v>
      </c>
    </row>
    <row r="65" spans="29:163" x14ac:dyDescent="0.4">
      <c r="AC65" s="198">
        <v>2015</v>
      </c>
      <c r="AD65" s="198"/>
      <c r="AE65" s="196">
        <v>8</v>
      </c>
      <c r="AF65" s="196">
        <v>0</v>
      </c>
      <c r="AG65" s="196">
        <v>2068</v>
      </c>
      <c r="AH65" s="196">
        <v>144</v>
      </c>
      <c r="AI65" s="196">
        <v>11</v>
      </c>
      <c r="AJ65" s="196">
        <v>22</v>
      </c>
      <c r="AK65" s="196">
        <v>36</v>
      </c>
      <c r="AL65" s="196">
        <v>465</v>
      </c>
      <c r="AM65" s="196">
        <v>0</v>
      </c>
      <c r="AN65" s="196"/>
      <c r="AO65" s="196"/>
      <c r="AP65" s="196"/>
      <c r="AQ65" s="196"/>
      <c r="AR65" s="196"/>
      <c r="AS65" s="196"/>
      <c r="AT65" s="196"/>
      <c r="AU65" s="196"/>
      <c r="AV65" s="196"/>
      <c r="AW65" s="196"/>
      <c r="AX65" s="196"/>
      <c r="AY65" s="196"/>
      <c r="AZ65" s="196">
        <v>1</v>
      </c>
      <c r="BA65" s="196">
        <v>0</v>
      </c>
      <c r="BB65" s="196">
        <v>0</v>
      </c>
      <c r="BC65" s="196">
        <v>0</v>
      </c>
      <c r="BD65" s="196">
        <v>0</v>
      </c>
      <c r="BE65" s="196">
        <v>0</v>
      </c>
      <c r="BF65" s="196">
        <v>0</v>
      </c>
      <c r="BG65" s="196">
        <v>0</v>
      </c>
      <c r="BH65" s="196">
        <v>0</v>
      </c>
      <c r="BI65" s="196"/>
      <c r="BJ65" s="196"/>
      <c r="BK65" s="196"/>
      <c r="BL65" s="196"/>
      <c r="BM65" s="196"/>
      <c r="BN65" s="196"/>
      <c r="BO65" s="196"/>
      <c r="BP65" s="196"/>
      <c r="BQ65" s="196">
        <v>1</v>
      </c>
      <c r="BR65" s="196">
        <v>0</v>
      </c>
      <c r="BS65" s="196">
        <v>60</v>
      </c>
      <c r="BT65" s="196">
        <v>20</v>
      </c>
      <c r="BU65" s="196">
        <v>0</v>
      </c>
      <c r="BV65" s="196">
        <v>7</v>
      </c>
      <c r="BW65" s="196">
        <v>8</v>
      </c>
      <c r="BX65" s="196">
        <v>8</v>
      </c>
      <c r="BY65" s="196">
        <v>0</v>
      </c>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v>0</v>
      </c>
      <c r="DC65" s="196">
        <v>0</v>
      </c>
      <c r="DD65" s="196">
        <v>1700</v>
      </c>
      <c r="DE65" s="196">
        <v>120</v>
      </c>
      <c r="DF65" s="196">
        <v>0</v>
      </c>
      <c r="DG65" s="196">
        <v>14</v>
      </c>
      <c r="DH65" s="196">
        <v>28</v>
      </c>
      <c r="DI65" s="196">
        <v>414</v>
      </c>
      <c r="DJ65" s="196">
        <v>0</v>
      </c>
      <c r="DK65" s="196">
        <v>0</v>
      </c>
      <c r="DL65" s="196">
        <v>30</v>
      </c>
      <c r="DM65" s="196">
        <v>0</v>
      </c>
      <c r="DN65" s="196">
        <v>0</v>
      </c>
      <c r="DO65" s="196">
        <v>0</v>
      </c>
      <c r="DP65" s="196">
        <v>2</v>
      </c>
      <c r="DQ65" s="196">
        <v>0</v>
      </c>
      <c r="DR65" s="196">
        <v>5</v>
      </c>
      <c r="DS65" s="196">
        <v>0</v>
      </c>
      <c r="DT65" s="196">
        <v>156</v>
      </c>
      <c r="DU65" s="196">
        <v>0</v>
      </c>
      <c r="DV65" s="196">
        <v>2</v>
      </c>
      <c r="DW65" s="196">
        <v>0</v>
      </c>
      <c r="DX65" s="196">
        <v>12</v>
      </c>
      <c r="DY65" s="196">
        <v>0</v>
      </c>
      <c r="DZ65" s="196"/>
      <c r="EA65" s="196"/>
      <c r="EB65" s="196"/>
      <c r="EC65" s="196"/>
      <c r="ED65" s="196"/>
      <c r="EE65" s="196"/>
      <c r="EF65" s="196"/>
      <c r="EG65" s="196"/>
      <c r="EH65" s="196"/>
      <c r="EI65" s="196"/>
      <c r="EJ65" s="196"/>
      <c r="EK65" s="196"/>
      <c r="EL65" s="196"/>
      <c r="EM65" s="196"/>
      <c r="EN65" s="196"/>
      <c r="EO65" s="196"/>
      <c r="EP65" s="196"/>
      <c r="EQ65" s="196">
        <v>1</v>
      </c>
      <c r="ER65" s="196">
        <v>0</v>
      </c>
      <c r="ES65" s="196">
        <v>0</v>
      </c>
      <c r="ET65" s="196">
        <v>9</v>
      </c>
      <c r="EU65" s="196">
        <v>0</v>
      </c>
      <c r="EV65" s="196">
        <v>0</v>
      </c>
      <c r="EW65" s="196"/>
      <c r="EX65" s="196"/>
      <c r="EY65" s="196">
        <v>0</v>
      </c>
      <c r="EZ65" s="196">
        <v>0</v>
      </c>
      <c r="FA65" s="196">
        <v>122</v>
      </c>
      <c r="FB65" s="196">
        <v>4</v>
      </c>
      <c r="FC65" s="196">
        <v>0</v>
      </c>
      <c r="FD65" s="196">
        <v>1</v>
      </c>
      <c r="FE65" s="196">
        <v>0</v>
      </c>
      <c r="FF65" s="196">
        <v>29</v>
      </c>
      <c r="FG65" s="196">
        <v>0</v>
      </c>
    </row>
    <row r="66" spans="29:163" x14ac:dyDescent="0.4">
      <c r="AC66" s="606">
        <v>2016</v>
      </c>
      <c r="AD66" s="606"/>
      <c r="AE66" s="1948">
        <v>16</v>
      </c>
      <c r="AF66" s="1948">
        <v>8</v>
      </c>
      <c r="AG66" s="1948">
        <v>1118</v>
      </c>
      <c r="AH66" s="1948">
        <v>34</v>
      </c>
      <c r="AI66" s="1948">
        <v>19</v>
      </c>
      <c r="AJ66" s="1948">
        <v>11</v>
      </c>
      <c r="AK66" s="1948">
        <v>26</v>
      </c>
      <c r="AL66" s="1948">
        <v>284</v>
      </c>
      <c r="AM66" s="1948">
        <v>0</v>
      </c>
      <c r="AN66" s="1948"/>
      <c r="AO66" s="1948"/>
      <c r="AP66" s="1948"/>
      <c r="AQ66" s="1948"/>
      <c r="AR66" s="1948"/>
      <c r="AS66" s="1948"/>
      <c r="AT66" s="1948"/>
      <c r="AU66" s="1948"/>
      <c r="AV66" s="1948"/>
      <c r="AW66" s="1948"/>
      <c r="AX66" s="1948"/>
      <c r="AY66" s="1948"/>
      <c r="AZ66" s="1948">
        <v>3</v>
      </c>
      <c r="BA66" s="1948">
        <v>0</v>
      </c>
      <c r="BB66" s="1948">
        <v>0</v>
      </c>
      <c r="BC66" s="1948">
        <v>0</v>
      </c>
      <c r="BD66" s="1948">
        <v>0</v>
      </c>
      <c r="BE66" s="1948">
        <v>0</v>
      </c>
      <c r="BF66" s="1948">
        <v>0</v>
      </c>
      <c r="BG66" s="1948">
        <v>0</v>
      </c>
      <c r="BH66" s="1948">
        <v>0</v>
      </c>
      <c r="BI66" s="1948"/>
      <c r="BJ66" s="1948"/>
      <c r="BK66" s="1948"/>
      <c r="BL66" s="1948"/>
      <c r="BM66" s="1948"/>
      <c r="BN66" s="1948"/>
      <c r="BO66" s="1948"/>
      <c r="BP66" s="1948"/>
      <c r="BQ66" s="1948">
        <v>4</v>
      </c>
      <c r="BR66" s="1948">
        <v>0</v>
      </c>
      <c r="BS66" s="1948">
        <v>67</v>
      </c>
      <c r="BT66" s="1948">
        <v>0</v>
      </c>
      <c r="BU66" s="1948">
        <v>0</v>
      </c>
      <c r="BV66" s="1948">
        <v>4</v>
      </c>
      <c r="BW66" s="1948">
        <v>0</v>
      </c>
      <c r="BX66" s="1948">
        <v>10</v>
      </c>
      <c r="BY66" s="1948">
        <v>0</v>
      </c>
      <c r="BZ66" s="1948"/>
      <c r="CA66" s="1948"/>
      <c r="CB66" s="1948"/>
      <c r="CC66" s="1948"/>
      <c r="CD66" s="1948"/>
      <c r="CE66" s="1948"/>
      <c r="CF66" s="1948"/>
      <c r="CG66" s="1948"/>
      <c r="CH66" s="1948"/>
      <c r="CI66" s="1948"/>
      <c r="CJ66" s="1948"/>
      <c r="CK66" s="1948"/>
      <c r="CL66" s="1948"/>
      <c r="CM66" s="1948"/>
      <c r="CN66" s="1948"/>
      <c r="CO66" s="1948"/>
      <c r="CP66" s="1948"/>
      <c r="CQ66" s="1948"/>
      <c r="CR66" s="1948"/>
      <c r="CS66" s="1948"/>
      <c r="CT66" s="1948"/>
      <c r="CU66" s="1948"/>
      <c r="CV66" s="1948"/>
      <c r="CW66" s="1948"/>
      <c r="CX66" s="1948"/>
      <c r="CY66" s="1948"/>
      <c r="CZ66" s="1948"/>
      <c r="DA66" s="1948"/>
      <c r="DB66" s="1948">
        <v>1</v>
      </c>
      <c r="DC66" s="1948">
        <v>0</v>
      </c>
      <c r="DD66" s="1948">
        <v>1033</v>
      </c>
      <c r="DE66" s="1948">
        <v>26</v>
      </c>
      <c r="DF66" s="1948">
        <v>0</v>
      </c>
      <c r="DG66" s="1948">
        <v>6</v>
      </c>
      <c r="DH66" s="1948">
        <v>26</v>
      </c>
      <c r="DI66" s="1948">
        <v>267</v>
      </c>
      <c r="DJ66" s="1948">
        <v>0</v>
      </c>
      <c r="DK66" s="1948"/>
      <c r="DL66" s="1948"/>
      <c r="DM66" s="1948"/>
      <c r="DN66" s="1948"/>
      <c r="DO66" s="1948"/>
      <c r="DP66" s="1948"/>
      <c r="DQ66" s="1948"/>
      <c r="DR66" s="1948">
        <v>0</v>
      </c>
      <c r="DS66" s="1948">
        <v>0</v>
      </c>
      <c r="DT66" s="1948">
        <v>0</v>
      </c>
      <c r="DU66" s="1948">
        <v>8</v>
      </c>
      <c r="DV66" s="1948">
        <v>0</v>
      </c>
      <c r="DW66" s="1948">
        <v>0</v>
      </c>
      <c r="DX66" s="1948">
        <v>2</v>
      </c>
      <c r="DY66" s="1948">
        <v>0</v>
      </c>
      <c r="DZ66" s="1948"/>
      <c r="EA66" s="1948"/>
      <c r="EB66" s="1948"/>
      <c r="EC66" s="1948"/>
      <c r="ED66" s="1948"/>
      <c r="EE66" s="1948"/>
      <c r="EF66" s="1948"/>
      <c r="EG66" s="1948"/>
      <c r="EH66" s="1948"/>
      <c r="EI66" s="1948"/>
      <c r="EJ66" s="1948"/>
      <c r="EK66" s="1948"/>
      <c r="EL66" s="1948"/>
      <c r="EM66" s="1948"/>
      <c r="EN66" s="1948"/>
      <c r="EO66" s="1948"/>
      <c r="EP66" s="1948"/>
      <c r="EQ66" s="1948">
        <v>1</v>
      </c>
      <c r="ER66" s="1948">
        <v>8</v>
      </c>
      <c r="ES66" s="1948">
        <v>0</v>
      </c>
      <c r="ET66" s="1948">
        <v>8</v>
      </c>
      <c r="EU66" s="1948">
        <v>0</v>
      </c>
      <c r="EV66" s="1948">
        <v>0</v>
      </c>
      <c r="EW66" s="1948"/>
      <c r="EX66" s="1948"/>
      <c r="EY66" s="1948">
        <v>7</v>
      </c>
      <c r="EZ66" s="1948">
        <v>0</v>
      </c>
      <c r="FA66" s="1948">
        <v>18</v>
      </c>
      <c r="FB66" s="1948">
        <v>0</v>
      </c>
      <c r="FC66" s="1948">
        <v>11</v>
      </c>
      <c r="FD66" s="1948">
        <v>1</v>
      </c>
      <c r="FE66" s="1948">
        <v>0</v>
      </c>
      <c r="FF66" s="1948">
        <v>5</v>
      </c>
      <c r="FG66" s="1948">
        <v>0</v>
      </c>
    </row>
    <row r="67" spans="29:163" x14ac:dyDescent="0.4">
      <c r="AC67" s="115" t="s">
        <v>6730</v>
      </c>
    </row>
  </sheetData>
  <mergeCells count="27">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2:D32"/>
    <mergeCell ref="B37:C37"/>
    <mergeCell ref="B24:C24"/>
    <mergeCell ref="B25:C25"/>
    <mergeCell ref="B26:C26"/>
    <mergeCell ref="B27:C27"/>
    <mergeCell ref="B28:C28"/>
    <mergeCell ref="B30:C30"/>
  </mergeCells>
  <dataValidations count="7">
    <dataValidation allowBlank="1" showDropDown="1" showInputMessage="1" showErrorMessage="1" sqref="D13" xr:uid="{406E465E-7544-4253-B896-4FEFDE4BACB2}"/>
    <dataValidation type="list" allowBlank="1" showInputMessage="1" showErrorMessage="1" sqref="D26" xr:uid="{A7E1746C-9CF8-433B-BF6A-E327F230B2CB}">
      <formula1>Tipo_operación</formula1>
    </dataValidation>
    <dataValidation type="list" allowBlank="1" showInputMessage="1" showErrorMessage="1" sqref="D14" xr:uid="{D6C9DB2C-BCBD-4E81-9BCD-1AE7073576A3}">
      <formula1>Tipo_indicador</formula1>
    </dataValidation>
    <dataValidation type="list" allowBlank="1" showInputMessage="1" showErrorMessage="1" sqref="D7" xr:uid="{103EFE83-7E72-446C-A3AE-9000148E6F09}">
      <formula1>Nombre_indicador_ODS</formula1>
    </dataValidation>
    <dataValidation type="list" allowBlank="1" showInputMessage="1" showErrorMessage="1" sqref="D6" xr:uid="{929280EC-877D-4197-B12D-11F4A20EDDC9}">
      <formula1>Numero_indicador</formula1>
    </dataValidation>
    <dataValidation type="list" allowBlank="1" showInputMessage="1" showErrorMessage="1" sqref="D5" xr:uid="{FCE42CEE-1ABF-4F1B-BC7F-60BBED3EFC59}">
      <formula1>Metas_ODS</formula1>
    </dataValidation>
    <dataValidation type="list" allowBlank="1" showInputMessage="1" showErrorMessage="1" sqref="D4" xr:uid="{674ADF05-21DC-4F64-AFD9-1535635F1121}">
      <formula1>ODS</formula1>
    </dataValidation>
  </dataValidations>
  <hyperlinks>
    <hyperlink ref="B1" location="'13.1.1'!A1" display="REGRESAR " xr:uid="{40B04BDA-7B10-4A2E-81B4-0E8A74ADCB24}"/>
    <hyperlink ref="D8" r:id="rId1" xr:uid="{E9DA4413-F325-47FF-AA90-0C69A4AB9857}"/>
    <hyperlink ref="D37" r:id="rId2" xr:uid="{EDE8CF21-F983-4244-B240-EDE244361D76}"/>
  </hyperlinks>
  <pageMargins left="0.7" right="0.7" top="0.75" bottom="0.75" header="0.3" footer="0.3"/>
  <pageSetup orientation="portrait" r:id="rId3"/>
  <drawing r:id="rId4"/>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AFFE-15AC-4571-B4C2-2B91CFDB3781}">
  <sheetPr>
    <tabColor rgb="FF7030A0"/>
  </sheetPr>
  <dimension ref="A1:O25"/>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7.5703125" style="115" customWidth="1"/>
    <col min="3" max="3" width="12" style="1048" customWidth="1"/>
    <col min="4" max="7" width="12" style="115" customWidth="1"/>
    <col min="8" max="16384" width="11.42578125" style="115"/>
  </cols>
  <sheetData>
    <row r="1" spans="1:15" x14ac:dyDescent="0.4">
      <c r="A1" s="90" t="s">
        <v>6724</v>
      </c>
      <c r="B1" s="1311"/>
      <c r="C1" s="2541" t="s">
        <v>149</v>
      </c>
      <c r="D1" s="2541"/>
    </row>
    <row r="3" spans="1:15" ht="17.45" customHeight="1" x14ac:dyDescent="0.4">
      <c r="A3" s="3379" t="s">
        <v>41</v>
      </c>
      <c r="B3" s="3383"/>
      <c r="C3" s="3379" t="s">
        <v>6725</v>
      </c>
      <c r="D3" s="3384"/>
      <c r="E3" s="3384"/>
      <c r="F3" s="3384"/>
      <c r="G3" s="3384"/>
      <c r="H3" s="3384"/>
      <c r="I3" s="3384"/>
      <c r="J3" s="3384"/>
      <c r="K3" s="3384"/>
      <c r="L3" s="3384"/>
      <c r="M3" s="3384"/>
      <c r="N3" s="3384"/>
      <c r="O3" s="3384"/>
    </row>
    <row r="4" spans="1:15" ht="19.149999999999999" customHeight="1" x14ac:dyDescent="0.4">
      <c r="A4" s="3379" t="s">
        <v>42</v>
      </c>
      <c r="B4" s="3380"/>
      <c r="C4" s="3379" t="s">
        <v>6726</v>
      </c>
      <c r="D4" s="3381"/>
      <c r="E4" s="3381"/>
      <c r="F4" s="3381"/>
      <c r="G4" s="3381"/>
      <c r="H4" s="3381"/>
      <c r="I4" s="3381"/>
      <c r="J4" s="3381"/>
      <c r="K4" s="3381"/>
      <c r="L4" s="3381"/>
      <c r="M4" s="3381"/>
      <c r="N4" s="3381"/>
      <c r="O4" s="3381"/>
    </row>
    <row r="5" spans="1:15" ht="34.9" customHeight="1" x14ac:dyDescent="0.4">
      <c r="A5" s="3379" t="s">
        <v>43</v>
      </c>
      <c r="B5" s="3380"/>
      <c r="C5" s="3386" t="s">
        <v>6707</v>
      </c>
      <c r="D5" s="3387"/>
      <c r="E5" s="3387"/>
      <c r="F5" s="3387"/>
      <c r="G5" s="3387"/>
      <c r="H5" s="3387"/>
      <c r="I5" s="3387"/>
      <c r="J5" s="3387"/>
      <c r="K5" s="3387"/>
      <c r="L5" s="3387"/>
      <c r="M5" s="3387"/>
      <c r="N5" s="3387"/>
      <c r="O5" s="3387"/>
    </row>
    <row r="6" spans="1:15" ht="15" customHeight="1" x14ac:dyDescent="0.4">
      <c r="A6" s="3379" t="s">
        <v>132</v>
      </c>
      <c r="B6" s="3380"/>
      <c r="C6" s="3379" t="s">
        <v>242</v>
      </c>
      <c r="D6" s="3381"/>
      <c r="E6" s="3381"/>
      <c r="F6" s="3381"/>
      <c r="G6" s="3381"/>
      <c r="H6" s="3381"/>
      <c r="I6" s="3381"/>
      <c r="J6" s="3381"/>
      <c r="K6" s="3381"/>
      <c r="L6" s="3381"/>
      <c r="M6" s="3381"/>
      <c r="N6" s="3381"/>
      <c r="O6" s="3381"/>
    </row>
    <row r="7" spans="1:15" x14ac:dyDescent="0.4">
      <c r="A7" s="536"/>
    </row>
    <row r="8" spans="1:15" x14ac:dyDescent="0.4">
      <c r="A8" s="536"/>
    </row>
    <row r="9" spans="1:15" ht="11.25" customHeight="1" x14ac:dyDescent="0.4">
      <c r="C9" s="2506" t="s">
        <v>650</v>
      </c>
      <c r="D9" s="2506"/>
      <c r="E9" s="2506"/>
      <c r="F9" s="2506"/>
      <c r="G9" s="2506"/>
      <c r="H9" s="2506"/>
      <c r="I9" s="2506"/>
      <c r="J9" s="2506"/>
      <c r="K9" s="2506"/>
      <c r="L9" s="2506"/>
      <c r="M9" s="2506"/>
      <c r="N9" s="2506"/>
      <c r="O9" s="2506"/>
    </row>
    <row r="10" spans="1:15" ht="11.25" customHeight="1" x14ac:dyDescent="0.4">
      <c r="C10" s="2506"/>
      <c r="D10" s="2506"/>
      <c r="E10" s="2506"/>
      <c r="F10" s="2506"/>
      <c r="G10" s="2506"/>
      <c r="H10" s="2506"/>
      <c r="I10" s="2506"/>
      <c r="J10" s="2506"/>
      <c r="K10" s="2506"/>
      <c r="L10" s="2506"/>
      <c r="M10" s="2506"/>
      <c r="N10" s="2506"/>
      <c r="O10" s="2506"/>
    </row>
    <row r="11" spans="1:15" ht="19.5" x14ac:dyDescent="0.4">
      <c r="C11" s="1061"/>
      <c r="D11" s="1032"/>
      <c r="E11" s="1032"/>
      <c r="F11" s="1032"/>
      <c r="G11" s="1032"/>
      <c r="H11" s="1032"/>
      <c r="I11" s="1032"/>
      <c r="J11" s="1032"/>
      <c r="K11" s="1032"/>
      <c r="L11" s="1032"/>
      <c r="M11" s="1032"/>
      <c r="N11" s="1032"/>
      <c r="O11" s="1032"/>
    </row>
    <row r="12" spans="1:15" ht="19.5" x14ac:dyDescent="0.4">
      <c r="C12" s="1061"/>
      <c r="D12" s="1032"/>
      <c r="E12" s="1032"/>
      <c r="F12" s="1032"/>
      <c r="G12" s="1032"/>
      <c r="H12" s="1032"/>
      <c r="I12" s="1032"/>
      <c r="J12" s="1032"/>
      <c r="K12" s="1032"/>
      <c r="L12" s="1032"/>
      <c r="M12" s="1032"/>
      <c r="N12" s="1032"/>
      <c r="O12" s="1032"/>
    </row>
    <row r="13" spans="1:15" ht="18.600000000000001" customHeight="1" x14ac:dyDescent="0.4">
      <c r="C13" s="3070" t="s">
        <v>6136</v>
      </c>
      <c r="D13" s="3070"/>
      <c r="E13" s="3070"/>
      <c r="F13" s="3070"/>
      <c r="G13" s="3070"/>
      <c r="H13" s="3070"/>
      <c r="I13" s="3070"/>
      <c r="J13" s="3070"/>
      <c r="K13" s="3070"/>
      <c r="L13" s="3070"/>
      <c r="M13" s="3070"/>
      <c r="N13" s="3070"/>
      <c r="O13" s="3070"/>
    </row>
    <row r="14" spans="1:15" ht="18.600000000000001" customHeight="1" x14ac:dyDescent="0.4">
      <c r="C14" s="3070"/>
      <c r="D14" s="3070"/>
      <c r="E14" s="3070"/>
      <c r="F14" s="3070"/>
      <c r="G14" s="3070"/>
      <c r="H14" s="3070"/>
      <c r="I14" s="3070"/>
      <c r="J14" s="3070"/>
      <c r="K14" s="3070"/>
      <c r="L14" s="3070"/>
      <c r="M14" s="3070"/>
      <c r="N14" s="3070"/>
      <c r="O14" s="3070"/>
    </row>
    <row r="15" spans="1:15" ht="18.600000000000001" customHeight="1" x14ac:dyDescent="0.4">
      <c r="C15" s="3070"/>
      <c r="D15" s="3070"/>
      <c r="E15" s="3070"/>
      <c r="F15" s="3070"/>
      <c r="G15" s="3070"/>
      <c r="H15" s="3070"/>
      <c r="I15" s="3070"/>
      <c r="J15" s="3070"/>
      <c r="K15" s="3070"/>
      <c r="L15" s="3070"/>
      <c r="M15" s="3070"/>
      <c r="N15" s="3070"/>
      <c r="O15" s="3070"/>
    </row>
    <row r="16" spans="1:15" ht="18.600000000000001" customHeight="1" x14ac:dyDescent="0.4">
      <c r="C16" s="3070"/>
      <c r="D16" s="3070"/>
      <c r="E16" s="3070"/>
      <c r="F16" s="3070"/>
      <c r="G16" s="3070"/>
      <c r="H16" s="3070"/>
      <c r="I16" s="3070"/>
      <c r="J16" s="3070"/>
      <c r="K16" s="3070"/>
      <c r="L16" s="3070"/>
      <c r="M16" s="3070"/>
      <c r="N16" s="3070"/>
      <c r="O16" s="3070"/>
    </row>
    <row r="17" spans="1:15" ht="18.600000000000001" customHeight="1" x14ac:dyDescent="0.4">
      <c r="C17" s="3070"/>
      <c r="D17" s="3070"/>
      <c r="E17" s="3070"/>
      <c r="F17" s="3070"/>
      <c r="G17" s="3070"/>
      <c r="H17" s="3070"/>
      <c r="I17" s="3070"/>
      <c r="J17" s="3070"/>
      <c r="K17" s="3070"/>
      <c r="L17" s="3070"/>
      <c r="M17" s="3070"/>
      <c r="N17" s="3070"/>
      <c r="O17" s="3070"/>
    </row>
    <row r="20" spans="1:15" x14ac:dyDescent="0.4">
      <c r="A20" s="221"/>
      <c r="B20" s="220"/>
      <c r="C20" s="220"/>
      <c r="D20" s="220"/>
      <c r="E20" s="220"/>
      <c r="F20" s="220"/>
      <c r="G20" s="220"/>
      <c r="H20" s="220"/>
      <c r="I20" s="220"/>
      <c r="J20" s="220"/>
      <c r="K20" s="220"/>
      <c r="L20" s="220"/>
      <c r="M20" s="220"/>
      <c r="N20" s="220"/>
      <c r="O20" s="220"/>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494" t="s">
        <v>652</v>
      </c>
      <c r="B25" s="2494"/>
      <c r="C25" s="2494"/>
      <c r="D25" s="2494"/>
      <c r="E25" s="2494"/>
      <c r="F25" s="2494"/>
      <c r="G25" s="2494"/>
      <c r="H25" s="2494"/>
      <c r="I25" s="2494"/>
      <c r="J25" s="2494"/>
      <c r="K25" s="2494"/>
      <c r="L25" s="2494"/>
      <c r="M25" s="2494"/>
      <c r="N25" s="2494"/>
      <c r="O25" s="2494"/>
    </row>
  </sheetData>
  <mergeCells count="12">
    <mergeCell ref="A5:B5"/>
    <mergeCell ref="C5:O5"/>
    <mergeCell ref="C1:D1"/>
    <mergeCell ref="A3:B3"/>
    <mergeCell ref="C3:O3"/>
    <mergeCell ref="A4:B4"/>
    <mergeCell ref="C4:O4"/>
    <mergeCell ref="A6:B6"/>
    <mergeCell ref="C6:O6"/>
    <mergeCell ref="C9:O10"/>
    <mergeCell ref="C13:O17"/>
    <mergeCell ref="A25:O25"/>
  </mergeCells>
  <hyperlinks>
    <hyperlink ref="A1" location="'ODS 13.'!A1" display="REGRESAR " xr:uid="{E4532C1C-1709-4C4A-BDEC-0B9233940CD0}"/>
    <hyperlink ref="C1:D1" location="'Metadato 13.1.2'!A1" display="VER METADATO" xr:uid="{95160A09-539D-4DF9-9433-D175FEC97E89}"/>
  </hyperlinks>
  <pageMargins left="0.7" right="0.7" top="0.75" bottom="0.75" header="0.3" footer="0.3"/>
  <drawing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A8EC-6897-4122-9B3F-A11C803A70D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6724</v>
      </c>
    </row>
    <row r="2" spans="1:6" ht="19.5" thickBot="1" x14ac:dyDescent="0.45"/>
    <row r="3" spans="1:6" ht="23.25" customHeight="1" thickBot="1" x14ac:dyDescent="0.45">
      <c r="B3" s="3385" t="s">
        <v>75</v>
      </c>
      <c r="C3" s="3385"/>
      <c r="D3" s="3385"/>
      <c r="F3" s="1046" t="s">
        <v>317</v>
      </c>
    </row>
    <row r="4" spans="1:6" x14ac:dyDescent="0.4">
      <c r="A4" s="283"/>
      <c r="B4" s="2425" t="s">
        <v>234</v>
      </c>
      <c r="C4" s="2425"/>
      <c r="D4" s="49" t="s">
        <v>6727</v>
      </c>
    </row>
    <row r="5" spans="1:6" ht="37.5" x14ac:dyDescent="0.4">
      <c r="B5" s="2425" t="s">
        <v>79</v>
      </c>
      <c r="C5" s="2425"/>
      <c r="D5" s="49" t="s">
        <v>6703</v>
      </c>
    </row>
    <row r="6" spans="1:6" x14ac:dyDescent="0.4">
      <c r="B6" s="2425" t="s">
        <v>80</v>
      </c>
      <c r="C6" s="2425"/>
      <c r="D6" s="50" t="s">
        <v>6706</v>
      </c>
    </row>
    <row r="7" spans="1:6" ht="56.25" x14ac:dyDescent="0.4">
      <c r="B7" s="2426" t="s">
        <v>81</v>
      </c>
      <c r="C7" s="2426"/>
      <c r="D7" s="93" t="s">
        <v>6707</v>
      </c>
    </row>
    <row r="8" spans="1:6" x14ac:dyDescent="0.4">
      <c r="B8" s="2426" t="s">
        <v>82</v>
      </c>
      <c r="C8" s="2426"/>
      <c r="D8" s="1047" t="s">
        <v>6731</v>
      </c>
    </row>
    <row r="10" spans="1:6" ht="23.25" customHeight="1" x14ac:dyDescent="0.4">
      <c r="B10" s="3385" t="s">
        <v>85</v>
      </c>
      <c r="C10" s="3385"/>
      <c r="D10" s="3385"/>
    </row>
    <row r="11" spans="1:6" x14ac:dyDescent="0.4">
      <c r="B11" s="2427" t="s">
        <v>86</v>
      </c>
      <c r="C11" s="2428"/>
      <c r="D11" s="49"/>
    </row>
    <row r="12" spans="1:6" ht="15" customHeight="1"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ht="15" customHeight="1"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ht="15" customHeight="1"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85" t="s">
        <v>121</v>
      </c>
      <c r="C31" s="3385"/>
      <c r="D31" s="338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E9024B7-6DFC-44B7-99F7-140A874B0B16}">
      <formula1>Tipo_operación</formula1>
    </dataValidation>
    <dataValidation type="list" allowBlank="1" showInputMessage="1" showErrorMessage="1" sqref="D14" xr:uid="{9FE71137-9902-4ABF-A1FB-4B6AF24E2130}">
      <formula1>Tipo_indicador</formula1>
    </dataValidation>
    <dataValidation type="list" allowBlank="1" showInputMessage="1" showErrorMessage="1" sqref="D7" xr:uid="{20535960-8BFE-4C92-B7F9-B4DE2210F466}">
      <formula1>Nombre_indicador_ODS</formula1>
    </dataValidation>
    <dataValidation type="list" allowBlank="1" showInputMessage="1" showErrorMessage="1" sqref="D6" xr:uid="{8745AAEA-C33E-43BB-88E8-C20CC6A8A766}">
      <formula1>Numero_indicador</formula1>
    </dataValidation>
    <dataValidation type="list" allowBlank="1" showInputMessage="1" showErrorMessage="1" sqref="D5" xr:uid="{F44DDA19-05AE-4376-BAB6-BA33E3E6A455}">
      <formula1>Metas_ODS</formula1>
    </dataValidation>
    <dataValidation type="list" allowBlank="1" showInputMessage="1" showErrorMessage="1" sqref="D4" xr:uid="{5E023E64-7F46-4195-9B6E-D0CE1FB4AA97}">
      <formula1>ODS</formula1>
    </dataValidation>
    <dataValidation allowBlank="1" showDropDown="1" showInputMessage="1" showErrorMessage="1" sqref="D13" xr:uid="{9537132C-24D3-44B0-8D11-F1C4D2CEC7C4}"/>
  </dataValidations>
  <hyperlinks>
    <hyperlink ref="B1" location="'13.1.2'!A1" display="REGRESAR " xr:uid="{D9E5F8D6-A11B-48A6-A951-1238070E51AB}"/>
    <hyperlink ref="D8" r:id="rId1" xr:uid="{32BAD4CA-915F-4F11-A303-5D3E476DD5ED}"/>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AC06-7D58-41EB-9570-9852C7625260}">
  <dimension ref="A1:AC5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7109375" style="115" customWidth="1"/>
    <col min="3" max="3" width="7.28515625" style="115" customWidth="1"/>
    <col min="4" max="4" width="7" style="115" customWidth="1"/>
    <col min="5" max="5" width="8.28515625" style="115" customWidth="1"/>
    <col min="6" max="6" width="7.7109375" style="115" customWidth="1"/>
    <col min="7" max="7" width="9" style="115" customWidth="1"/>
    <col min="8" max="8" width="8" style="115" customWidth="1"/>
    <col min="9" max="11" width="11.42578125" style="115"/>
    <col min="12" max="12" width="1.42578125" style="115" customWidth="1"/>
    <col min="13" max="20" width="11.42578125" style="115"/>
    <col min="21" max="21" width="1" style="115" customWidth="1"/>
    <col min="22" max="16384" width="11.42578125" style="115"/>
  </cols>
  <sheetData>
    <row r="1" spans="1:29" x14ac:dyDescent="0.4">
      <c r="A1" s="90" t="s">
        <v>6724</v>
      </c>
      <c r="C1" s="2541" t="s">
        <v>149</v>
      </c>
      <c r="D1" s="2541"/>
      <c r="E1" s="2541"/>
    </row>
    <row r="3" spans="1:29" ht="19.5" x14ac:dyDescent="0.4">
      <c r="A3" s="3388" t="s">
        <v>41</v>
      </c>
      <c r="B3" s="3389"/>
      <c r="C3" s="3388" t="s">
        <v>6725</v>
      </c>
      <c r="D3" s="3390"/>
      <c r="E3" s="3390"/>
      <c r="F3" s="3390"/>
      <c r="G3" s="3390"/>
      <c r="H3" s="3390"/>
      <c r="I3" s="3390"/>
      <c r="J3" s="3390"/>
      <c r="K3" s="3390"/>
      <c r="L3" s="3390"/>
      <c r="M3" s="3390"/>
      <c r="N3" s="3390"/>
      <c r="O3" s="3390"/>
      <c r="P3" s="3390"/>
      <c r="Q3" s="3390"/>
      <c r="R3" s="3390"/>
      <c r="S3" s="3390"/>
      <c r="T3" s="3390"/>
      <c r="U3" s="3390"/>
      <c r="V3" s="3390"/>
    </row>
    <row r="4" spans="1:29" ht="19.5" x14ac:dyDescent="0.4">
      <c r="A4" s="3388" t="s">
        <v>42</v>
      </c>
      <c r="B4" s="3389"/>
      <c r="C4" s="3388" t="s">
        <v>6703</v>
      </c>
      <c r="D4" s="3390"/>
      <c r="E4" s="3390"/>
      <c r="F4" s="3390"/>
      <c r="G4" s="3390"/>
      <c r="H4" s="3390"/>
      <c r="I4" s="3390"/>
      <c r="J4" s="3390"/>
      <c r="K4" s="3390"/>
      <c r="L4" s="3390"/>
      <c r="M4" s="3390"/>
      <c r="N4" s="3390"/>
      <c r="O4" s="3390"/>
      <c r="P4" s="3390"/>
      <c r="Q4" s="3390"/>
      <c r="R4" s="3390"/>
      <c r="S4" s="3390"/>
      <c r="T4" s="3390"/>
      <c r="U4" s="3390"/>
      <c r="V4" s="3390"/>
    </row>
    <row r="5" spans="1:29" ht="19.5" x14ac:dyDescent="0.4">
      <c r="A5" s="3388" t="s">
        <v>43</v>
      </c>
      <c r="B5" s="3395"/>
      <c r="C5" s="3388" t="s">
        <v>6709</v>
      </c>
      <c r="D5" s="3396"/>
      <c r="E5" s="3396"/>
      <c r="F5" s="3396"/>
      <c r="G5" s="3396"/>
      <c r="H5" s="3396"/>
      <c r="I5" s="3396"/>
      <c r="J5" s="3396"/>
      <c r="K5" s="3396"/>
      <c r="L5" s="3396"/>
      <c r="M5" s="3396"/>
      <c r="N5" s="3396"/>
      <c r="O5" s="3396"/>
      <c r="P5" s="3396"/>
      <c r="Q5" s="3396"/>
      <c r="R5" s="3396"/>
      <c r="S5" s="3396"/>
      <c r="T5" s="3396"/>
      <c r="U5" s="3396"/>
      <c r="V5" s="3396"/>
    </row>
    <row r="6" spans="1:29" ht="19.5" x14ac:dyDescent="0.4">
      <c r="A6" s="3388" t="s">
        <v>132</v>
      </c>
      <c r="B6" s="3389"/>
      <c r="C6" s="3388" t="s">
        <v>6138</v>
      </c>
      <c r="D6" s="3390"/>
      <c r="E6" s="3390"/>
      <c r="F6" s="3390"/>
      <c r="G6" s="3390"/>
      <c r="H6" s="3390"/>
      <c r="I6" s="3390"/>
      <c r="J6" s="3390"/>
      <c r="K6" s="3390"/>
      <c r="L6" s="3390"/>
      <c r="M6" s="3390"/>
      <c r="N6" s="3390"/>
      <c r="O6" s="3390"/>
      <c r="P6" s="3390"/>
      <c r="Q6" s="3390"/>
      <c r="R6" s="3390"/>
      <c r="S6" s="3390"/>
      <c r="T6" s="3390"/>
      <c r="U6" s="3390"/>
      <c r="V6" s="3390"/>
    </row>
    <row r="7" spans="1:29" x14ac:dyDescent="0.4">
      <c r="A7" s="339"/>
      <c r="B7" s="301"/>
      <c r="C7" s="339"/>
      <c r="D7" s="301"/>
      <c r="E7" s="301"/>
      <c r="F7" s="301"/>
      <c r="G7" s="301"/>
      <c r="H7" s="301"/>
      <c r="I7" s="301"/>
      <c r="J7" s="301"/>
      <c r="K7" s="301"/>
      <c r="L7" s="301"/>
      <c r="M7" s="301"/>
      <c r="N7" s="301"/>
      <c r="O7" s="301"/>
      <c r="P7" s="301"/>
      <c r="Q7" s="301"/>
      <c r="R7" s="301"/>
      <c r="S7" s="301"/>
      <c r="T7" s="301"/>
      <c r="U7" s="301"/>
      <c r="V7" s="301"/>
    </row>
    <row r="8" spans="1:29" x14ac:dyDescent="0.4">
      <c r="A8" s="339"/>
      <c r="B8" s="301"/>
      <c r="C8" s="339"/>
      <c r="D8" s="301"/>
      <c r="E8" s="301"/>
      <c r="F8" s="301"/>
      <c r="G8" s="301"/>
      <c r="H8" s="301"/>
      <c r="I8" s="301"/>
      <c r="J8" s="301"/>
      <c r="K8" s="301"/>
      <c r="L8" s="301"/>
      <c r="M8" s="301"/>
      <c r="N8" s="301"/>
      <c r="O8" s="301"/>
      <c r="P8" s="301"/>
      <c r="Q8" s="301"/>
      <c r="R8" s="301"/>
      <c r="S8" s="301"/>
      <c r="T8" s="301"/>
      <c r="U8" s="301"/>
      <c r="V8" s="301"/>
    </row>
    <row r="9" spans="1:29" ht="12.75" customHeight="1" x14ac:dyDescent="0.4">
      <c r="A9" s="536"/>
      <c r="C9" s="163" t="s">
        <v>323</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2.75" customHeight="1" x14ac:dyDescent="0.4">
      <c r="A10" s="536"/>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row>
    <row r="11" spans="1:29" ht="12.75" customHeight="1" x14ac:dyDescent="0.4">
      <c r="A11" s="536"/>
      <c r="C11" s="3391" t="s">
        <v>247</v>
      </c>
      <c r="D11" s="3378" t="s">
        <v>324</v>
      </c>
      <c r="E11" s="3378"/>
      <c r="F11" s="3378"/>
      <c r="G11" s="3378"/>
      <c r="H11" s="3378"/>
      <c r="I11" s="3378"/>
      <c r="J11" s="3378"/>
      <c r="K11" s="3378"/>
      <c r="L11" s="1949"/>
      <c r="M11" s="3382" t="s">
        <v>325</v>
      </c>
      <c r="N11" s="3382"/>
      <c r="O11" s="3382"/>
      <c r="P11" s="3382"/>
      <c r="Q11" s="3382"/>
      <c r="R11" s="3382"/>
      <c r="S11" s="3382"/>
      <c r="T11" s="3382"/>
      <c r="U11" s="1950"/>
      <c r="V11" s="3378" t="s">
        <v>326</v>
      </c>
      <c r="W11" s="3378"/>
      <c r="X11" s="3378"/>
      <c r="Y11" s="3378"/>
      <c r="Z11" s="3378"/>
      <c r="AA11" s="3378"/>
      <c r="AB11" s="3378"/>
      <c r="AC11" s="3378"/>
    </row>
    <row r="12" spans="1:29" x14ac:dyDescent="0.4">
      <c r="A12" s="536"/>
      <c r="C12" s="3392"/>
      <c r="D12" s="1951"/>
      <c r="E12" s="3378" t="s">
        <v>327</v>
      </c>
      <c r="F12" s="3378"/>
      <c r="G12" s="3378"/>
      <c r="H12" s="3378"/>
      <c r="I12" s="3378"/>
      <c r="J12" s="3378"/>
      <c r="K12" s="3378"/>
      <c r="L12" s="1951"/>
      <c r="M12" s="1946"/>
      <c r="N12" s="3378" t="s">
        <v>327</v>
      </c>
      <c r="O12" s="3378"/>
      <c r="P12" s="3378"/>
      <c r="Q12" s="3378"/>
      <c r="R12" s="3378"/>
      <c r="S12" s="3378"/>
      <c r="T12" s="3378"/>
      <c r="U12" s="3394"/>
      <c r="V12" s="1951"/>
      <c r="W12" s="3378" t="s">
        <v>327</v>
      </c>
      <c r="X12" s="3378"/>
      <c r="Y12" s="3378"/>
      <c r="Z12" s="3378"/>
      <c r="AA12" s="3378"/>
      <c r="AB12" s="3378"/>
      <c r="AC12" s="3378"/>
    </row>
    <row r="13" spans="1:29" x14ac:dyDescent="0.4">
      <c r="A13" s="536"/>
      <c r="C13" s="3393"/>
      <c r="D13" s="1952" t="s">
        <v>47</v>
      </c>
      <c r="E13" s="1953" t="s">
        <v>328</v>
      </c>
      <c r="F13" s="1953" t="s">
        <v>329</v>
      </c>
      <c r="G13" s="1953" t="s">
        <v>330</v>
      </c>
      <c r="H13" s="1953" t="s">
        <v>331</v>
      </c>
      <c r="I13" s="1953" t="s">
        <v>332</v>
      </c>
      <c r="J13" s="1953" t="s">
        <v>333</v>
      </c>
      <c r="K13" s="1953" t="s">
        <v>334</v>
      </c>
      <c r="L13" s="1953"/>
      <c r="M13" s="1953" t="s">
        <v>47</v>
      </c>
      <c r="N13" s="1953" t="s">
        <v>328</v>
      </c>
      <c r="O13" s="1953" t="s">
        <v>329</v>
      </c>
      <c r="P13" s="1953" t="s">
        <v>330</v>
      </c>
      <c r="Q13" s="1953" t="s">
        <v>331</v>
      </c>
      <c r="R13" s="1953" t="s">
        <v>332</v>
      </c>
      <c r="S13" s="1953" t="s">
        <v>333</v>
      </c>
      <c r="T13" s="1953" t="s">
        <v>334</v>
      </c>
      <c r="U13" s="3377"/>
      <c r="V13" s="1952" t="s">
        <v>47</v>
      </c>
      <c r="W13" s="1953" t="s">
        <v>328</v>
      </c>
      <c r="X13" s="1953" t="s">
        <v>329</v>
      </c>
      <c r="Y13" s="1953" t="s">
        <v>330</v>
      </c>
      <c r="Z13" s="1953" t="s">
        <v>331</v>
      </c>
      <c r="AA13" s="1953" t="s">
        <v>332</v>
      </c>
      <c r="AB13" s="1953" t="s">
        <v>333</v>
      </c>
      <c r="AC13" s="1953" t="s">
        <v>334</v>
      </c>
    </row>
    <row r="14" spans="1:29" x14ac:dyDescent="0.4">
      <c r="A14" s="536"/>
      <c r="C14" s="6">
        <v>2017</v>
      </c>
      <c r="D14" s="231">
        <f t="shared" ref="D14:K20" si="0">+V14/M14*100</f>
        <v>67.901234567901241</v>
      </c>
      <c r="E14" s="231">
        <f t="shared" si="0"/>
        <v>55.000000000000007</v>
      </c>
      <c r="F14" s="231">
        <f t="shared" si="0"/>
        <v>100</v>
      </c>
      <c r="G14" s="231">
        <f t="shared" si="0"/>
        <v>75</v>
      </c>
      <c r="H14" s="231">
        <f t="shared" si="0"/>
        <v>100</v>
      </c>
      <c r="I14" s="231">
        <f t="shared" si="0"/>
        <v>45.454545454545453</v>
      </c>
      <c r="J14" s="231">
        <f t="shared" si="0"/>
        <v>54.54545454545454</v>
      </c>
      <c r="K14" s="231">
        <f t="shared" si="0"/>
        <v>33.333333333333329</v>
      </c>
      <c r="L14" s="6"/>
      <c r="M14" s="6">
        <f>+SUM(N14:T14)</f>
        <v>81</v>
      </c>
      <c r="N14" s="6">
        <v>20</v>
      </c>
      <c r="O14" s="6">
        <v>15</v>
      </c>
      <c r="P14" s="6">
        <v>8</v>
      </c>
      <c r="Q14" s="6">
        <v>10</v>
      </c>
      <c r="R14" s="6">
        <v>11</v>
      </c>
      <c r="S14" s="6">
        <v>11</v>
      </c>
      <c r="T14" s="6">
        <v>6</v>
      </c>
      <c r="U14" s="6"/>
      <c r="V14" s="6">
        <v>55</v>
      </c>
      <c r="W14" s="6">
        <v>11</v>
      </c>
      <c r="X14" s="6">
        <v>15</v>
      </c>
      <c r="Y14" s="6">
        <v>6</v>
      </c>
      <c r="Z14" s="6">
        <v>10</v>
      </c>
      <c r="AA14" s="6">
        <v>5</v>
      </c>
      <c r="AB14" s="6">
        <v>6</v>
      </c>
      <c r="AC14" s="6">
        <v>2</v>
      </c>
    </row>
    <row r="15" spans="1:29" x14ac:dyDescent="0.4">
      <c r="A15" s="536"/>
      <c r="C15" s="6">
        <v>2018</v>
      </c>
      <c r="D15" s="231">
        <f t="shared" si="0"/>
        <v>100</v>
      </c>
      <c r="E15" s="231">
        <v>100</v>
      </c>
      <c r="F15" s="231">
        <v>100</v>
      </c>
      <c r="G15" s="231">
        <v>100</v>
      </c>
      <c r="H15" s="231">
        <v>100</v>
      </c>
      <c r="I15" s="231">
        <v>100</v>
      </c>
      <c r="J15" s="231">
        <v>100</v>
      </c>
      <c r="K15" s="231">
        <v>100</v>
      </c>
      <c r="L15" s="6"/>
      <c r="M15" s="6">
        <f>+SUM(N15:T15)</f>
        <v>81</v>
      </c>
      <c r="N15" s="6">
        <v>20</v>
      </c>
      <c r="O15" s="6">
        <v>15</v>
      </c>
      <c r="P15" s="6">
        <v>8</v>
      </c>
      <c r="Q15" s="6">
        <v>10</v>
      </c>
      <c r="R15" s="6">
        <v>11</v>
      </c>
      <c r="S15" s="6">
        <v>11</v>
      </c>
      <c r="T15" s="6">
        <v>6</v>
      </c>
      <c r="U15" s="6"/>
      <c r="V15" s="6">
        <f>+SUM(W15:AC15)</f>
        <v>81</v>
      </c>
      <c r="W15" s="6">
        <v>20</v>
      </c>
      <c r="X15" s="6">
        <v>15</v>
      </c>
      <c r="Y15" s="6">
        <v>8</v>
      </c>
      <c r="Z15" s="6">
        <v>10</v>
      </c>
      <c r="AA15" s="6">
        <v>11</v>
      </c>
      <c r="AB15" s="6">
        <v>11</v>
      </c>
      <c r="AC15" s="6">
        <v>6</v>
      </c>
    </row>
    <row r="16" spans="1:29" x14ac:dyDescent="0.4">
      <c r="A16" s="536"/>
      <c r="C16" s="6">
        <v>2019</v>
      </c>
      <c r="D16" s="231">
        <f t="shared" si="0"/>
        <v>100</v>
      </c>
      <c r="E16" s="231">
        <v>100</v>
      </c>
      <c r="F16" s="231">
        <v>100</v>
      </c>
      <c r="G16" s="231">
        <v>100</v>
      </c>
      <c r="H16" s="231">
        <v>100</v>
      </c>
      <c r="I16" s="231">
        <v>100</v>
      </c>
      <c r="J16" s="231">
        <v>100</v>
      </c>
      <c r="K16" s="231">
        <v>100</v>
      </c>
      <c r="L16" s="6"/>
      <c r="M16" s="6">
        <f>+SUM(N16:T16)</f>
        <v>81</v>
      </c>
      <c r="N16" s="6">
        <v>20</v>
      </c>
      <c r="O16" s="6">
        <v>15</v>
      </c>
      <c r="P16" s="6">
        <v>8</v>
      </c>
      <c r="Q16" s="6">
        <v>10</v>
      </c>
      <c r="R16" s="6">
        <v>11</v>
      </c>
      <c r="S16" s="6">
        <v>11</v>
      </c>
      <c r="T16" s="6">
        <v>6</v>
      </c>
      <c r="U16" s="232"/>
      <c r="V16" s="6">
        <f>+SUM(W16:AC16)</f>
        <v>81</v>
      </c>
      <c r="W16" s="6">
        <v>20</v>
      </c>
      <c r="X16" s="6">
        <v>15</v>
      </c>
      <c r="Y16" s="6">
        <v>8</v>
      </c>
      <c r="Z16" s="6">
        <v>10</v>
      </c>
      <c r="AA16" s="6">
        <v>11</v>
      </c>
      <c r="AB16" s="6">
        <v>11</v>
      </c>
      <c r="AC16" s="6">
        <v>6</v>
      </c>
    </row>
    <row r="17" spans="1:29" x14ac:dyDescent="0.4">
      <c r="A17" s="536"/>
      <c r="C17" s="6">
        <v>2020</v>
      </c>
      <c r="D17" s="231">
        <f t="shared" si="0"/>
        <v>98.780487804878049</v>
      </c>
      <c r="E17" s="231">
        <v>100</v>
      </c>
      <c r="F17" s="231">
        <v>93.75</v>
      </c>
      <c r="G17" s="231">
        <v>100</v>
      </c>
      <c r="H17" s="231">
        <v>100</v>
      </c>
      <c r="I17" s="231">
        <v>100</v>
      </c>
      <c r="J17" s="231">
        <v>100</v>
      </c>
      <c r="K17" s="231">
        <v>100</v>
      </c>
      <c r="L17" s="6"/>
      <c r="M17" s="6">
        <v>82</v>
      </c>
      <c r="N17" s="6">
        <v>20</v>
      </c>
      <c r="O17" s="6">
        <v>16</v>
      </c>
      <c r="P17" s="6">
        <v>8</v>
      </c>
      <c r="Q17" s="6">
        <v>10</v>
      </c>
      <c r="R17" s="6">
        <v>11</v>
      </c>
      <c r="S17" s="6">
        <v>11</v>
      </c>
      <c r="T17" s="6">
        <v>6</v>
      </c>
      <c r="U17" s="6"/>
      <c r="V17" s="6">
        <v>81</v>
      </c>
      <c r="W17" s="6">
        <v>20</v>
      </c>
      <c r="X17" s="6">
        <v>15</v>
      </c>
      <c r="Y17" s="6">
        <v>8</v>
      </c>
      <c r="Z17" s="6">
        <v>10</v>
      </c>
      <c r="AA17" s="6">
        <v>11</v>
      </c>
      <c r="AB17" s="6">
        <v>11</v>
      </c>
      <c r="AC17" s="6">
        <v>6</v>
      </c>
    </row>
    <row r="18" spans="1:29" x14ac:dyDescent="0.4">
      <c r="A18" s="536"/>
      <c r="C18" s="6">
        <v>2021</v>
      </c>
      <c r="D18" s="231">
        <f t="shared" si="0"/>
        <v>96.428571428571431</v>
      </c>
      <c r="E18" s="231">
        <f t="shared" si="0"/>
        <v>100</v>
      </c>
      <c r="F18" s="231">
        <f t="shared" si="0"/>
        <v>93.75</v>
      </c>
      <c r="G18" s="231">
        <f t="shared" si="0"/>
        <v>100</v>
      </c>
      <c r="H18" s="231">
        <f t="shared" si="0"/>
        <v>100</v>
      </c>
      <c r="I18" s="231">
        <f t="shared" si="0"/>
        <v>100</v>
      </c>
      <c r="J18" s="231">
        <f t="shared" si="0"/>
        <v>84.615384615384613</v>
      </c>
      <c r="K18" s="231">
        <f t="shared" si="0"/>
        <v>100</v>
      </c>
      <c r="L18" s="6"/>
      <c r="M18" s="6">
        <f>+SUM(N18:T18)</f>
        <v>84</v>
      </c>
      <c r="N18" s="6">
        <v>20</v>
      </c>
      <c r="O18" s="6">
        <v>16</v>
      </c>
      <c r="P18" s="6">
        <v>8</v>
      </c>
      <c r="Q18" s="6">
        <v>10</v>
      </c>
      <c r="R18" s="6">
        <v>11</v>
      </c>
      <c r="S18" s="6">
        <v>13</v>
      </c>
      <c r="T18" s="6">
        <v>6</v>
      </c>
      <c r="U18" s="6"/>
      <c r="V18" s="6">
        <v>81</v>
      </c>
      <c r="W18" s="6">
        <v>20</v>
      </c>
      <c r="X18" s="6">
        <v>15</v>
      </c>
      <c r="Y18" s="6">
        <v>8</v>
      </c>
      <c r="Z18" s="6">
        <v>10</v>
      </c>
      <c r="AA18" s="6">
        <v>11</v>
      </c>
      <c r="AB18" s="6">
        <v>11</v>
      </c>
      <c r="AC18" s="6">
        <v>6</v>
      </c>
    </row>
    <row r="19" spans="1:29" x14ac:dyDescent="0.4">
      <c r="A19" s="536"/>
      <c r="C19" s="6">
        <v>2022</v>
      </c>
      <c r="D19" s="231">
        <f t="shared" si="0"/>
        <v>96.428571428571431</v>
      </c>
      <c r="E19" s="231">
        <f t="shared" si="0"/>
        <v>100</v>
      </c>
      <c r="F19" s="231">
        <f t="shared" si="0"/>
        <v>93.75</v>
      </c>
      <c r="G19" s="231">
        <f t="shared" si="0"/>
        <v>100</v>
      </c>
      <c r="H19" s="231">
        <f t="shared" si="0"/>
        <v>100</v>
      </c>
      <c r="I19" s="231">
        <f t="shared" si="0"/>
        <v>100</v>
      </c>
      <c r="J19" s="231">
        <f t="shared" si="0"/>
        <v>84.615384615384613</v>
      </c>
      <c r="K19" s="231">
        <f t="shared" si="0"/>
        <v>100</v>
      </c>
      <c r="L19" s="6"/>
      <c r="M19" s="6">
        <f>+SUM(N19:T19)</f>
        <v>84</v>
      </c>
      <c r="N19" s="6">
        <v>20</v>
      </c>
      <c r="O19" s="6">
        <v>16</v>
      </c>
      <c r="P19" s="6">
        <v>8</v>
      </c>
      <c r="Q19" s="6">
        <v>10</v>
      </c>
      <c r="R19" s="6">
        <v>11</v>
      </c>
      <c r="S19" s="6">
        <v>13</v>
      </c>
      <c r="T19" s="6">
        <v>6</v>
      </c>
      <c r="U19" s="6"/>
      <c r="V19" s="6">
        <v>81</v>
      </c>
      <c r="W19" s="6">
        <v>20</v>
      </c>
      <c r="X19" s="6">
        <v>15</v>
      </c>
      <c r="Y19" s="6">
        <v>8</v>
      </c>
      <c r="Z19" s="6">
        <v>10</v>
      </c>
      <c r="AA19" s="6">
        <v>11</v>
      </c>
      <c r="AB19" s="6">
        <v>11</v>
      </c>
      <c r="AC19" s="6">
        <v>6</v>
      </c>
    </row>
    <row r="20" spans="1:29" x14ac:dyDescent="0.4">
      <c r="A20" s="536"/>
      <c r="C20" s="233">
        <v>2023</v>
      </c>
      <c r="D20" s="234">
        <f t="shared" si="0"/>
        <v>96.428571428571431</v>
      </c>
      <c r="E20" s="234">
        <f t="shared" si="0"/>
        <v>100</v>
      </c>
      <c r="F20" s="234">
        <f t="shared" si="0"/>
        <v>93.75</v>
      </c>
      <c r="G20" s="234">
        <f t="shared" si="0"/>
        <v>100</v>
      </c>
      <c r="H20" s="234">
        <f t="shared" si="0"/>
        <v>100</v>
      </c>
      <c r="I20" s="234">
        <f t="shared" si="0"/>
        <v>100</v>
      </c>
      <c r="J20" s="234">
        <f t="shared" si="0"/>
        <v>84.615384615384613</v>
      </c>
      <c r="K20" s="234">
        <f t="shared" si="0"/>
        <v>100</v>
      </c>
      <c r="L20" s="233"/>
      <c r="M20" s="233">
        <f>+SUM(N20:T20)</f>
        <v>84</v>
      </c>
      <c r="N20" s="233">
        <v>20</v>
      </c>
      <c r="O20" s="233">
        <v>16</v>
      </c>
      <c r="P20" s="233">
        <v>8</v>
      </c>
      <c r="Q20" s="233">
        <v>10</v>
      </c>
      <c r="R20" s="233">
        <v>11</v>
      </c>
      <c r="S20" s="233">
        <v>13</v>
      </c>
      <c r="T20" s="233">
        <v>6</v>
      </c>
      <c r="U20" s="233"/>
      <c r="V20" s="233">
        <v>81</v>
      </c>
      <c r="W20" s="233">
        <v>20</v>
      </c>
      <c r="X20" s="233">
        <v>15</v>
      </c>
      <c r="Y20" s="233">
        <v>8</v>
      </c>
      <c r="Z20" s="233">
        <v>10</v>
      </c>
      <c r="AA20" s="233">
        <v>11</v>
      </c>
      <c r="AB20" s="233">
        <v>11</v>
      </c>
      <c r="AC20" s="233">
        <v>6</v>
      </c>
    </row>
    <row r="21" spans="1:29" x14ac:dyDescent="0.4">
      <c r="A21" s="536"/>
      <c r="C21" s="6"/>
      <c r="D21" s="231"/>
      <c r="E21" s="6"/>
      <c r="F21" s="6"/>
      <c r="G21" s="6"/>
      <c r="H21" s="6"/>
      <c r="I21" s="6"/>
      <c r="J21" s="231"/>
      <c r="K21" s="6"/>
      <c r="L21" s="6"/>
      <c r="M21" s="6"/>
      <c r="N21" s="6"/>
      <c r="O21" s="6"/>
      <c r="P21" s="6"/>
      <c r="Q21" s="6"/>
      <c r="R21" s="6"/>
      <c r="S21" s="6"/>
      <c r="T21" s="6"/>
      <c r="U21" s="6"/>
      <c r="V21" s="6"/>
      <c r="W21" s="6"/>
      <c r="X21" s="6"/>
      <c r="Y21" s="6"/>
      <c r="Z21" s="6"/>
      <c r="AA21" s="6"/>
      <c r="AB21" s="6"/>
      <c r="AC21" s="6"/>
    </row>
    <row r="22" spans="1:29" x14ac:dyDescent="0.4">
      <c r="A22" s="536"/>
      <c r="C22" s="5" t="s">
        <v>335</v>
      </c>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x14ac:dyDescent="0.4">
      <c r="A23" s="536"/>
      <c r="C23" s="5" t="s">
        <v>336</v>
      </c>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x14ac:dyDescent="0.4">
      <c r="A24" s="536"/>
      <c r="C24" s="5" t="s">
        <v>337</v>
      </c>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x14ac:dyDescent="0.4">
      <c r="A25" s="536"/>
      <c r="C25" s="36" t="s">
        <v>338</v>
      </c>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x14ac:dyDescent="0.4">
      <c r="A26" s="536"/>
      <c r="C26" s="5"/>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x14ac:dyDescent="0.4">
      <c r="A27" s="536"/>
      <c r="C27" s="155"/>
    </row>
    <row r="28" spans="1:29" ht="19.5" x14ac:dyDescent="0.4">
      <c r="A28" s="536"/>
      <c r="C28" s="1062" t="s">
        <v>6732</v>
      </c>
      <c r="D28" s="1062"/>
      <c r="E28" s="1062"/>
      <c r="F28" s="1062"/>
      <c r="G28" s="1062"/>
      <c r="H28" s="1062"/>
      <c r="I28" s="1062"/>
      <c r="J28" s="1062"/>
      <c r="K28" s="1062"/>
    </row>
    <row r="29" spans="1:29" x14ac:dyDescent="0.4">
      <c r="A29" s="536"/>
    </row>
    <row r="30" spans="1:29" x14ac:dyDescent="0.4">
      <c r="A30" s="536"/>
      <c r="N30" s="215"/>
      <c r="O30" s="215"/>
    </row>
    <row r="31" spans="1:29" ht="93.75" x14ac:dyDescent="0.4">
      <c r="A31" s="536"/>
      <c r="N31" s="1954" t="s">
        <v>6733</v>
      </c>
      <c r="O31" s="1955">
        <f>+D20</f>
        <v>96.428571428571431</v>
      </c>
    </row>
    <row r="32" spans="1:29" ht="37.5" x14ac:dyDescent="0.4">
      <c r="A32" s="536"/>
      <c r="N32" s="1954" t="s">
        <v>6734</v>
      </c>
      <c r="O32" s="1955">
        <f>100-O31</f>
        <v>3.5714285714285694</v>
      </c>
    </row>
    <row r="33" spans="1:15" x14ac:dyDescent="0.4">
      <c r="A33" s="536"/>
      <c r="N33" s="215"/>
      <c r="O33" s="215"/>
    </row>
    <row r="34" spans="1:15" x14ac:dyDescent="0.4">
      <c r="A34" s="536"/>
      <c r="N34" s="215"/>
      <c r="O34" s="215"/>
    </row>
    <row r="35" spans="1:15" x14ac:dyDescent="0.4">
      <c r="A35" s="536"/>
      <c r="N35" s="215"/>
      <c r="O35" s="215"/>
    </row>
    <row r="36" spans="1:15" x14ac:dyDescent="0.4">
      <c r="A36" s="536"/>
    </row>
    <row r="37" spans="1:15" x14ac:dyDescent="0.4">
      <c r="A37" s="536"/>
    </row>
    <row r="38" spans="1:15" x14ac:dyDescent="0.4">
      <c r="A38" s="536"/>
    </row>
    <row r="39" spans="1:15" x14ac:dyDescent="0.4">
      <c r="A39" s="536"/>
    </row>
    <row r="40" spans="1:15" x14ac:dyDescent="0.4">
      <c r="A40" s="536"/>
    </row>
    <row r="50" spans="3:3" x14ac:dyDescent="0.4">
      <c r="C50" s="301" t="s">
        <v>6735</v>
      </c>
    </row>
  </sheetData>
  <mergeCells count="17">
    <mergeCell ref="A5:B5"/>
    <mergeCell ref="C5:V5"/>
    <mergeCell ref="C1:E1"/>
    <mergeCell ref="A3:B3"/>
    <mergeCell ref="C3:V3"/>
    <mergeCell ref="A4:B4"/>
    <mergeCell ref="C4:V4"/>
    <mergeCell ref="A6:B6"/>
    <mergeCell ref="C6:V6"/>
    <mergeCell ref="C11:C13"/>
    <mergeCell ref="D11:K11"/>
    <mergeCell ref="M11:T11"/>
    <mergeCell ref="V11:AC11"/>
    <mergeCell ref="E12:K12"/>
    <mergeCell ref="N12:T12"/>
    <mergeCell ref="U12:U13"/>
    <mergeCell ref="W12:AC12"/>
  </mergeCells>
  <hyperlinks>
    <hyperlink ref="A1" location="'ODS 13.'!A1" display="REGRESAR " xr:uid="{38336B93-3228-47C6-8144-201763B6F62E}"/>
    <hyperlink ref="C1:E1" location="'Metadato 13.1.3'!A1" display="VER METADATO" xr:uid="{0072E0B0-8A68-40E0-8DBA-BE9B5F5D8A18}"/>
  </hyperlinks>
  <pageMargins left="0.7" right="0.7" top="0.75" bottom="0.75" header="0.3" footer="0.3"/>
  <pageSetup orientation="portrait" r:id="rId1"/>
  <drawing r:id="rId2"/>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CDE7-0785-4674-8AEC-8160F6DFAA6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0.28515625" style="115" customWidth="1"/>
    <col min="2" max="2" width="26.42578125" style="115" customWidth="1"/>
    <col min="3" max="3" width="24" style="115" customWidth="1"/>
    <col min="4" max="4" width="85.7109375" style="115" customWidth="1"/>
    <col min="5" max="5" width="9" style="115" customWidth="1"/>
    <col min="6" max="6" width="8" style="115" customWidth="1"/>
    <col min="7" max="9" width="11.42578125" style="115"/>
    <col min="10" max="10" width="1.42578125" style="115" customWidth="1"/>
    <col min="11" max="18" width="11.42578125" style="115"/>
    <col min="19" max="19" width="1" style="115" customWidth="1"/>
    <col min="20" max="16384" width="11.42578125" style="115"/>
  </cols>
  <sheetData>
    <row r="1" spans="2:6" x14ac:dyDescent="0.4">
      <c r="B1" s="90" t="s">
        <v>6724</v>
      </c>
    </row>
    <row r="2" spans="2:6" ht="19.5" thickBot="1" x14ac:dyDescent="0.45"/>
    <row r="3" spans="2:6" ht="20.25" thickBot="1" x14ac:dyDescent="0.45">
      <c r="B3" s="3385" t="s">
        <v>75</v>
      </c>
      <c r="C3" s="3385"/>
      <c r="D3" s="3385"/>
      <c r="F3" s="1046" t="s">
        <v>265</v>
      </c>
    </row>
    <row r="4" spans="2:6" x14ac:dyDescent="0.4">
      <c r="B4" s="2425" t="s">
        <v>234</v>
      </c>
      <c r="C4" s="2425"/>
      <c r="D4" s="49" t="s">
        <v>6727</v>
      </c>
    </row>
    <row r="5" spans="2:6" ht="37.5" x14ac:dyDescent="0.4">
      <c r="B5" s="2425" t="s">
        <v>79</v>
      </c>
      <c r="C5" s="2425"/>
      <c r="D5" s="49" t="s">
        <v>6703</v>
      </c>
    </row>
    <row r="6" spans="2:6" x14ac:dyDescent="0.4">
      <c r="B6" s="2425" t="s">
        <v>80</v>
      </c>
      <c r="C6" s="2425"/>
      <c r="D6" s="50" t="s">
        <v>6708</v>
      </c>
    </row>
    <row r="7" spans="2:6" ht="56.25" x14ac:dyDescent="0.4">
      <c r="B7" s="2426" t="s">
        <v>81</v>
      </c>
      <c r="C7" s="2426"/>
      <c r="D7" s="93" t="s">
        <v>6709</v>
      </c>
    </row>
    <row r="8" spans="2:6" x14ac:dyDescent="0.4">
      <c r="B8" s="2426" t="s">
        <v>82</v>
      </c>
      <c r="C8" s="2426"/>
      <c r="D8" s="1047" t="s">
        <v>6736</v>
      </c>
    </row>
    <row r="10" spans="2:6" ht="23.25" customHeight="1" x14ac:dyDescent="0.4">
      <c r="B10" s="3385" t="s">
        <v>85</v>
      </c>
      <c r="C10" s="3385"/>
      <c r="D10" s="3385"/>
    </row>
    <row r="11" spans="2:6" ht="15.75" customHeight="1" x14ac:dyDescent="0.4">
      <c r="B11" s="2453" t="s">
        <v>86</v>
      </c>
      <c r="C11" s="2454"/>
      <c r="D11" s="49" t="s">
        <v>167</v>
      </c>
    </row>
    <row r="12" spans="2:6" ht="35.25" customHeight="1" x14ac:dyDescent="0.4">
      <c r="B12" s="2455" t="s">
        <v>88</v>
      </c>
      <c r="C12" s="2455"/>
      <c r="D12" s="169" t="s">
        <v>340</v>
      </c>
    </row>
    <row r="13" spans="2:6" x14ac:dyDescent="0.4">
      <c r="B13" s="2445" t="s">
        <v>90</v>
      </c>
      <c r="C13" s="2445"/>
      <c r="D13" s="54" t="s">
        <v>29</v>
      </c>
    </row>
    <row r="14" spans="2:6" x14ac:dyDescent="0.4">
      <c r="B14" s="2445" t="s">
        <v>91</v>
      </c>
      <c r="C14" s="2456"/>
      <c r="D14" s="54" t="s">
        <v>92</v>
      </c>
    </row>
    <row r="15" spans="2:6" ht="281.25" x14ac:dyDescent="0.4">
      <c r="B15" s="2445" t="s">
        <v>93</v>
      </c>
      <c r="C15" s="2445"/>
      <c r="D15" s="56" t="s">
        <v>341</v>
      </c>
    </row>
    <row r="16" spans="2:6" ht="42.75" customHeight="1" x14ac:dyDescent="0.4">
      <c r="B16" s="2445" t="s">
        <v>95</v>
      </c>
      <c r="C16" s="2445"/>
      <c r="D16" s="49"/>
    </row>
    <row r="17" spans="2:4" x14ac:dyDescent="0.4">
      <c r="B17" s="2445" t="s">
        <v>97</v>
      </c>
      <c r="C17" s="2445"/>
      <c r="D17" s="56" t="s">
        <v>98</v>
      </c>
    </row>
    <row r="18" spans="2:4" x14ac:dyDescent="0.4">
      <c r="B18" s="2446" t="s">
        <v>99</v>
      </c>
      <c r="C18" s="2446"/>
      <c r="D18" s="49"/>
    </row>
    <row r="19" spans="2:4" ht="37.5" x14ac:dyDescent="0.4">
      <c r="B19" s="2457" t="s">
        <v>100</v>
      </c>
      <c r="C19" s="2458"/>
      <c r="D19" s="56" t="s">
        <v>342</v>
      </c>
    </row>
    <row r="20" spans="2:4" x14ac:dyDescent="0.4">
      <c r="B20" s="2445" t="s">
        <v>102</v>
      </c>
      <c r="C20" s="2445"/>
      <c r="D20" s="56" t="s">
        <v>140</v>
      </c>
    </row>
    <row r="21" spans="2:4" x14ac:dyDescent="0.4">
      <c r="B21" s="2451" t="s">
        <v>104</v>
      </c>
      <c r="C21" s="95" t="s">
        <v>105</v>
      </c>
      <c r="D21" s="49" t="s">
        <v>327</v>
      </c>
    </row>
    <row r="22" spans="2:4" x14ac:dyDescent="0.4">
      <c r="B22" s="2452"/>
      <c r="C22" s="96" t="s">
        <v>107</v>
      </c>
      <c r="D22" s="55"/>
    </row>
    <row r="23" spans="2:4" x14ac:dyDescent="0.4">
      <c r="B23" s="2444" t="s">
        <v>109</v>
      </c>
      <c r="C23" s="2444"/>
      <c r="D23" s="49" t="s">
        <v>143</v>
      </c>
    </row>
    <row r="24" spans="2:4" x14ac:dyDescent="0.4">
      <c r="B24" s="2444" t="s">
        <v>111</v>
      </c>
      <c r="C24" s="2444"/>
      <c r="D24" s="59" t="s">
        <v>273</v>
      </c>
    </row>
    <row r="25" spans="2:4" x14ac:dyDescent="0.4">
      <c r="B25" s="2445" t="s">
        <v>113</v>
      </c>
      <c r="C25" s="2445"/>
      <c r="D25" s="56" t="s">
        <v>220</v>
      </c>
    </row>
    <row r="26" spans="2:4" ht="15" customHeight="1" x14ac:dyDescent="0.4">
      <c r="B26" s="2446" t="s">
        <v>115</v>
      </c>
      <c r="C26" s="2446"/>
      <c r="D26" s="49"/>
    </row>
    <row r="27" spans="2:4" x14ac:dyDescent="0.4">
      <c r="B27" s="2447" t="s">
        <v>117</v>
      </c>
      <c r="C27" s="2448"/>
      <c r="D27" s="49"/>
    </row>
    <row r="28" spans="2:4" x14ac:dyDescent="0.4">
      <c r="B28" s="97" t="s">
        <v>118</v>
      </c>
      <c r="C28" s="98"/>
      <c r="D28" s="56" t="s">
        <v>343</v>
      </c>
    </row>
    <row r="29" spans="2:4" x14ac:dyDescent="0.4">
      <c r="B29" s="2449" t="s">
        <v>120</v>
      </c>
      <c r="C29" s="2450"/>
      <c r="D29" s="62"/>
    </row>
    <row r="30" spans="2:4" x14ac:dyDescent="0.4">
      <c r="B30" s="63"/>
      <c r="C30" s="63"/>
      <c r="D30" s="64"/>
    </row>
    <row r="31" spans="2:4" ht="23.25" customHeight="1" x14ac:dyDescent="0.4">
      <c r="B31" s="2431" t="s">
        <v>121</v>
      </c>
      <c r="C31" s="2431"/>
      <c r="D31" s="2431"/>
    </row>
    <row r="32" spans="2:4" x14ac:dyDescent="0.4">
      <c r="B32" s="2442" t="s">
        <v>122</v>
      </c>
      <c r="C32" s="2443"/>
      <c r="D32" s="59" t="s">
        <v>276</v>
      </c>
    </row>
    <row r="33" spans="2:4" x14ac:dyDescent="0.4">
      <c r="B33" s="2442" t="s">
        <v>124</v>
      </c>
      <c r="C33" s="2443"/>
      <c r="D33" s="59" t="s">
        <v>277</v>
      </c>
    </row>
    <row r="34" spans="2:4" ht="18.75" customHeight="1" x14ac:dyDescent="0.4">
      <c r="B34" s="2442" t="s">
        <v>126</v>
      </c>
      <c r="C34" s="2443"/>
      <c r="D34" s="59" t="s">
        <v>273</v>
      </c>
    </row>
    <row r="35" spans="2:4" x14ac:dyDescent="0.4">
      <c r="B35" s="2442" t="s">
        <v>128</v>
      </c>
      <c r="C35" s="2443"/>
      <c r="D35" s="59" t="s">
        <v>344</v>
      </c>
    </row>
    <row r="36" spans="2:4" x14ac:dyDescent="0.4">
      <c r="B36" s="2442" t="s">
        <v>130</v>
      </c>
      <c r="C36" s="2443"/>
      <c r="D36" s="59" t="s">
        <v>279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4793FB3-CE4E-4F80-AD1F-ECF34F50D98A}"/>
    <dataValidation type="list" allowBlank="1" showInputMessage="1" showErrorMessage="1" sqref="D25" xr:uid="{9BAB5EA9-1D16-4CA9-9287-1E55BD3C5BEC}">
      <formula1>Tipo_operación</formula1>
    </dataValidation>
    <dataValidation type="list" allowBlank="1" showInputMessage="1" showErrorMessage="1" sqref="D14" xr:uid="{B270D754-3D93-43FB-9CAB-673F0D628FDB}">
      <formula1>Tipo_indicador</formula1>
    </dataValidation>
    <dataValidation type="list" allowBlank="1" showInputMessage="1" showErrorMessage="1" sqref="D7" xr:uid="{44C33CD0-2D38-4ED1-97A1-F5208C1F5D98}">
      <formula1>Nombre_indicador_ODS</formula1>
    </dataValidation>
    <dataValidation type="list" allowBlank="1" showInputMessage="1" showErrorMessage="1" sqref="D6" xr:uid="{6870AFBA-4C39-4CA7-85D5-69EEFAC961A6}">
      <formula1>Numero_indicador</formula1>
    </dataValidation>
    <dataValidation type="list" allowBlank="1" showInputMessage="1" showErrorMessage="1" sqref="D5" xr:uid="{9ABC14C7-4F94-4E48-88A0-38CD176EE7DE}">
      <formula1>Metas_ODS</formula1>
    </dataValidation>
    <dataValidation type="list" allowBlank="1" showInputMessage="1" showErrorMessage="1" sqref="D4" xr:uid="{7B36ABED-CB81-4C04-AE76-6161ACD22B56}">
      <formula1>ODS</formula1>
    </dataValidation>
  </dataValidations>
  <hyperlinks>
    <hyperlink ref="B1" location="'13.1.3'!A1" display="REGRESAR " xr:uid="{5E6E5904-6ECA-4AB6-83C1-DDBFE926D1A3}"/>
    <hyperlink ref="D8" r:id="rId1" xr:uid="{65E04559-557D-41D5-8DEF-6180FD5037AC}"/>
  </hyperlinks>
  <pageMargins left="0.7" right="0.7" top="0.75" bottom="0.75" header="0.3" footer="0.3"/>
  <drawing r:id="rId2"/>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D5CA-0BC2-4898-8BFF-3E21146A88A5}">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 style="115" customWidth="1"/>
    <col min="3" max="3" width="12" style="1048" customWidth="1"/>
    <col min="4" max="6" width="12" style="115" customWidth="1"/>
    <col min="7" max="16384" width="11.42578125" style="115"/>
  </cols>
  <sheetData>
    <row r="1" spans="1:16" x14ac:dyDescent="0.4">
      <c r="A1" s="90" t="s">
        <v>6724</v>
      </c>
      <c r="B1" s="1311"/>
      <c r="C1" s="2541" t="s">
        <v>149</v>
      </c>
      <c r="D1" s="2541"/>
    </row>
    <row r="3" spans="1:16" ht="19.5" x14ac:dyDescent="0.4">
      <c r="A3" s="3397" t="s">
        <v>41</v>
      </c>
      <c r="B3" s="3398"/>
      <c r="C3" s="3397" t="s">
        <v>6725</v>
      </c>
      <c r="D3" s="3399"/>
      <c r="E3" s="3399"/>
      <c r="F3" s="3399"/>
      <c r="G3" s="3399"/>
      <c r="H3" s="3399"/>
      <c r="I3" s="3399"/>
      <c r="J3" s="3399"/>
      <c r="K3" s="3399"/>
      <c r="L3" s="3399"/>
      <c r="M3" s="3399"/>
      <c r="N3" s="3399"/>
      <c r="O3" s="3399"/>
      <c r="P3" s="3399"/>
    </row>
    <row r="4" spans="1:16" ht="17.45" customHeight="1" x14ac:dyDescent="0.4">
      <c r="A4" s="3397" t="s">
        <v>42</v>
      </c>
      <c r="B4" s="3398"/>
      <c r="C4" s="3397" t="s">
        <v>6710</v>
      </c>
      <c r="D4" s="3399"/>
      <c r="E4" s="3399"/>
      <c r="F4" s="3399"/>
      <c r="G4" s="3399"/>
      <c r="H4" s="3399"/>
      <c r="I4" s="3399"/>
      <c r="J4" s="3399"/>
      <c r="K4" s="3399"/>
      <c r="L4" s="3399"/>
      <c r="M4" s="3399"/>
      <c r="N4" s="3399"/>
      <c r="O4" s="3399"/>
      <c r="P4" s="3399"/>
    </row>
    <row r="5" spans="1:16" ht="36" customHeight="1" x14ac:dyDescent="0.4">
      <c r="A5" s="3397" t="s">
        <v>43</v>
      </c>
      <c r="B5" s="3400"/>
      <c r="C5" s="3397" t="s">
        <v>6712</v>
      </c>
      <c r="D5" s="3401"/>
      <c r="E5" s="3401"/>
      <c r="F5" s="3401"/>
      <c r="G5" s="3401"/>
      <c r="H5" s="3401"/>
      <c r="I5" s="3401"/>
      <c r="J5" s="3401"/>
      <c r="K5" s="3401"/>
      <c r="L5" s="3401"/>
      <c r="M5" s="3401"/>
      <c r="N5" s="3401"/>
      <c r="O5" s="3401"/>
      <c r="P5" s="3401"/>
    </row>
    <row r="6" spans="1:16" ht="15" customHeight="1" x14ac:dyDescent="0.4">
      <c r="A6" s="3397" t="s">
        <v>132</v>
      </c>
      <c r="B6" s="3398"/>
      <c r="C6" s="3397" t="s">
        <v>242</v>
      </c>
      <c r="D6" s="3399"/>
      <c r="E6" s="3399"/>
      <c r="F6" s="3399"/>
      <c r="G6" s="3399"/>
      <c r="H6" s="3399"/>
      <c r="I6" s="3399"/>
      <c r="J6" s="3399"/>
      <c r="K6" s="3399"/>
      <c r="L6" s="3399"/>
      <c r="M6" s="3399"/>
      <c r="N6" s="3399"/>
      <c r="O6" s="3399"/>
      <c r="P6" s="3399"/>
    </row>
    <row r="9" spans="1:16" ht="11.25" customHeight="1" x14ac:dyDescent="0.4">
      <c r="C9" s="2506" t="s">
        <v>650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row r="13" spans="1:16" x14ac:dyDescent="0.4">
      <c r="A13" s="221"/>
      <c r="B13" s="220"/>
      <c r="C13" s="220"/>
      <c r="D13" s="220"/>
      <c r="E13" s="220"/>
      <c r="F13" s="220"/>
      <c r="G13" s="220"/>
      <c r="H13" s="220"/>
      <c r="I13" s="220"/>
      <c r="J13" s="220"/>
      <c r="K13" s="220"/>
      <c r="L13" s="220"/>
      <c r="M13" s="220"/>
      <c r="N13" s="220"/>
      <c r="O13" s="220"/>
    </row>
    <row r="14" spans="1:16" x14ac:dyDescent="0.4">
      <c r="A14" s="221"/>
      <c r="B14" s="220"/>
      <c r="C14" s="220"/>
      <c r="D14" s="220"/>
      <c r="E14" s="220"/>
      <c r="F14" s="220"/>
      <c r="G14" s="220"/>
      <c r="H14" s="220"/>
      <c r="I14" s="220"/>
      <c r="J14" s="220"/>
      <c r="K14" s="220"/>
      <c r="L14" s="220"/>
      <c r="M14" s="220"/>
      <c r="N14" s="220"/>
      <c r="O14" s="220"/>
    </row>
    <row r="15" spans="1:16" x14ac:dyDescent="0.4">
      <c r="A15" s="221"/>
      <c r="B15" s="220"/>
      <c r="C15" s="220"/>
      <c r="D15" s="220"/>
      <c r="E15" s="220"/>
      <c r="F15" s="220"/>
      <c r="G15" s="220"/>
      <c r="H15" s="220"/>
      <c r="I15" s="220"/>
      <c r="J15" s="220"/>
      <c r="K15" s="220"/>
      <c r="L15" s="220"/>
      <c r="M15" s="220"/>
      <c r="N15" s="220"/>
      <c r="O15" s="220"/>
    </row>
    <row r="16" spans="1:16" x14ac:dyDescent="0.4">
      <c r="A16" s="221"/>
      <c r="B16" s="220"/>
      <c r="C16" s="220"/>
      <c r="D16" s="220"/>
      <c r="E16" s="220"/>
      <c r="F16" s="220"/>
      <c r="G16" s="220"/>
      <c r="H16" s="220"/>
      <c r="I16" s="220"/>
      <c r="J16" s="220"/>
      <c r="K16" s="220"/>
      <c r="L16" s="220"/>
      <c r="M16" s="220"/>
      <c r="N16" s="220"/>
      <c r="O16" s="220"/>
    </row>
    <row r="17" spans="1:15" x14ac:dyDescent="0.4">
      <c r="A17" s="221"/>
      <c r="B17" s="220"/>
      <c r="C17" s="220"/>
      <c r="D17" s="220"/>
      <c r="E17" s="220"/>
      <c r="F17" s="220"/>
      <c r="G17" s="220"/>
      <c r="H17" s="220"/>
      <c r="I17" s="220"/>
      <c r="J17" s="220"/>
      <c r="K17" s="220"/>
      <c r="L17" s="220"/>
      <c r="M17" s="220"/>
      <c r="N17" s="220"/>
      <c r="O17" s="220"/>
    </row>
    <row r="18" spans="1:15" x14ac:dyDescent="0.4">
      <c r="A18" s="2494" t="s">
        <v>652</v>
      </c>
      <c r="B18" s="2494"/>
      <c r="C18" s="2494"/>
      <c r="D18" s="2494"/>
      <c r="E18" s="2494"/>
      <c r="F18" s="2494"/>
      <c r="G18" s="2494"/>
      <c r="H18" s="2494"/>
      <c r="I18" s="2494"/>
      <c r="J18" s="2494"/>
      <c r="K18" s="2494"/>
      <c r="L18" s="2494"/>
      <c r="M18" s="2494"/>
      <c r="N18" s="2494"/>
      <c r="O18" s="2494"/>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C55B7ED7-66D4-45A4-8191-804E0FFFFDBB}"/>
    <hyperlink ref="C1:D1" location="'Metadato 13.2.1'!A1" display="VER METADATO" xr:uid="{1F9661C9-A8F3-4069-A2F2-21A0FFC11BA4}"/>
  </hyperlinks>
  <pageMargins left="0.7" right="0.7" top="0.75" bottom="0.75" header="0.3" footer="0.3"/>
  <drawing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0F7CF-114C-4A69-9D0D-D4C47143E16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243" customWidth="1"/>
    <col min="5" max="5" width="11.42578125" style="115"/>
    <col min="6" max="6" width="7.28515625" style="115" customWidth="1"/>
    <col min="7" max="16384" width="11.42578125" style="115"/>
  </cols>
  <sheetData>
    <row r="1" spans="1:6" x14ac:dyDescent="0.4">
      <c r="B1" s="90" t="s">
        <v>6724</v>
      </c>
    </row>
    <row r="2" spans="1:6" ht="19.5" thickBot="1" x14ac:dyDescent="0.45"/>
    <row r="3" spans="1:6" ht="23.25" customHeight="1" thickBot="1" x14ac:dyDescent="0.45">
      <c r="B3" s="3385" t="s">
        <v>75</v>
      </c>
      <c r="C3" s="3385"/>
      <c r="D3" s="3385"/>
      <c r="F3" s="1046" t="s">
        <v>317</v>
      </c>
    </row>
    <row r="4" spans="1:6" x14ac:dyDescent="0.4">
      <c r="A4" s="283"/>
      <c r="B4" s="2425" t="s">
        <v>234</v>
      </c>
      <c r="C4" s="2425"/>
      <c r="D4" s="49" t="s">
        <v>6727</v>
      </c>
    </row>
    <row r="5" spans="1:6" x14ac:dyDescent="0.4">
      <c r="B5" s="2425" t="s">
        <v>79</v>
      </c>
      <c r="C5" s="2425"/>
      <c r="D5" s="49" t="s">
        <v>6710</v>
      </c>
    </row>
    <row r="6" spans="1:6" x14ac:dyDescent="0.4">
      <c r="B6" s="2425" t="s">
        <v>80</v>
      </c>
      <c r="C6" s="2425"/>
      <c r="D6" s="50" t="s">
        <v>6711</v>
      </c>
    </row>
    <row r="7" spans="1:6" ht="56.25" x14ac:dyDescent="0.4">
      <c r="B7" s="2426" t="s">
        <v>81</v>
      </c>
      <c r="C7" s="2426"/>
      <c r="D7" s="667" t="s">
        <v>6712</v>
      </c>
    </row>
    <row r="8" spans="1:6" x14ac:dyDescent="0.4">
      <c r="B8" s="2426" t="s">
        <v>82</v>
      </c>
      <c r="C8" s="2426"/>
      <c r="D8" s="1345" t="s">
        <v>353</v>
      </c>
    </row>
    <row r="10" spans="1:6" ht="23.25" customHeight="1" x14ac:dyDescent="0.4">
      <c r="B10" s="3385" t="s">
        <v>85</v>
      </c>
      <c r="C10" s="3385"/>
      <c r="D10" s="3385"/>
    </row>
    <row r="11" spans="1:6" x14ac:dyDescent="0.4">
      <c r="B11" s="2427" t="s">
        <v>86</v>
      </c>
      <c r="C11" s="2428"/>
      <c r="D11" s="49"/>
    </row>
    <row r="12" spans="1:6" x14ac:dyDescent="0.4">
      <c r="B12" s="2426" t="s">
        <v>88</v>
      </c>
      <c r="C12" s="2426"/>
      <c r="D12" s="184"/>
    </row>
    <row r="13" spans="1:6" x14ac:dyDescent="0.4">
      <c r="B13" s="2425" t="s">
        <v>90</v>
      </c>
      <c r="C13" s="2425"/>
      <c r="D13" s="1655"/>
    </row>
    <row r="14" spans="1:6" x14ac:dyDescent="0.4">
      <c r="B14" s="2425" t="s">
        <v>91</v>
      </c>
      <c r="C14" s="2428"/>
      <c r="D14" s="1655"/>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85" t="s">
        <v>121</v>
      </c>
      <c r="C31" s="3385"/>
      <c r="D31" s="338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A0EADC3-6DDC-4CF1-81CC-D7D90675CEC2}">
      <formula1>Tipo_operación</formula1>
    </dataValidation>
    <dataValidation type="list" allowBlank="1" showInputMessage="1" showErrorMessage="1" sqref="D14" xr:uid="{CF8E3B9F-8E3B-4C49-88CE-C776069C36E5}">
      <formula1>Tipo_indicador</formula1>
    </dataValidation>
    <dataValidation type="list" allowBlank="1" showInputMessage="1" showErrorMessage="1" sqref="D7" xr:uid="{97DDBFC3-6F2E-4A31-B96C-2C52661EC98F}">
      <formula1>Nombre_indicador_ODS</formula1>
    </dataValidation>
    <dataValidation type="list" allowBlank="1" showInputMessage="1" showErrorMessage="1" sqref="D6" xr:uid="{644BE255-FFA9-479F-BCAE-65915412B243}">
      <formula1>Numero_indicador</formula1>
    </dataValidation>
    <dataValidation type="list" allowBlank="1" showInputMessage="1" showErrorMessage="1" sqref="D5" xr:uid="{21B686F4-A17D-489B-AE1C-20F30B336241}">
      <formula1>Metas_ODS</formula1>
    </dataValidation>
    <dataValidation type="list" allowBlank="1" showInputMessage="1" showErrorMessage="1" sqref="D4" xr:uid="{B3EC9303-C130-4DF9-AC72-DAFF771D905E}">
      <formula1>ODS</formula1>
    </dataValidation>
    <dataValidation allowBlank="1" showDropDown="1" showInputMessage="1" showErrorMessage="1" sqref="D13" xr:uid="{BEB86AAA-F140-4844-9E96-4E8D3657C42A}"/>
  </dataValidations>
  <hyperlinks>
    <hyperlink ref="B1" location="'13.2.1'!A1" display="REGRESAR " xr:uid="{05B3A7A5-63EC-484E-95D9-182DF8A4E624}"/>
    <hyperlink ref="D8" r:id="rId1" xr:uid="{2AD2A890-69D7-4994-88BD-313B94FEA3E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2B1A-BE78-4A7C-A014-583109FF3012}">
  <dimension ref="A1:P24"/>
  <sheetViews>
    <sheetView showGridLines="0" workbookViewId="0">
      <pane ySplit="1" topLeftCell="A2" activePane="bottomLeft" state="frozen"/>
      <selection activeCell="E11" sqref="E11"/>
      <selection pane="bottomLeft" activeCell="E11" sqref="E11"/>
    </sheetView>
  </sheetViews>
  <sheetFormatPr baseColWidth="10" defaultColWidth="11.42578125" defaultRowHeight="18.75" x14ac:dyDescent="0.4"/>
  <cols>
    <col min="1" max="2" width="15" style="115" customWidth="1"/>
    <col min="3" max="3" width="12" style="1048" customWidth="1"/>
    <col min="4" max="4" width="21.85546875" style="115" customWidth="1"/>
    <col min="5" max="16384" width="11.42578125" style="115"/>
  </cols>
  <sheetData>
    <row r="1" spans="1:16" x14ac:dyDescent="0.4">
      <c r="A1" s="90" t="s">
        <v>6724</v>
      </c>
      <c r="B1" s="1311"/>
      <c r="C1" s="2541" t="s">
        <v>149</v>
      </c>
      <c r="D1" s="2541"/>
    </row>
    <row r="3" spans="1:16" ht="19.5" x14ac:dyDescent="0.4">
      <c r="A3" s="3397" t="s">
        <v>41</v>
      </c>
      <c r="B3" s="3398"/>
      <c r="C3" s="3397" t="s">
        <v>6725</v>
      </c>
      <c r="D3" s="3399"/>
      <c r="E3" s="3399"/>
      <c r="F3" s="3399"/>
      <c r="G3" s="3399"/>
      <c r="H3" s="3399"/>
      <c r="I3" s="3399"/>
      <c r="J3" s="3399"/>
      <c r="K3" s="3399"/>
      <c r="L3" s="3399"/>
      <c r="M3" s="3399"/>
      <c r="N3" s="3399"/>
      <c r="O3" s="3399"/>
      <c r="P3" s="3399"/>
    </row>
    <row r="4" spans="1:16" ht="16.899999999999999" customHeight="1" x14ac:dyDescent="0.4">
      <c r="A4" s="3397" t="s">
        <v>42</v>
      </c>
      <c r="B4" s="3398"/>
      <c r="C4" s="3397" t="s">
        <v>6710</v>
      </c>
      <c r="D4" s="3399"/>
      <c r="E4" s="3399"/>
      <c r="F4" s="3399"/>
      <c r="G4" s="3399"/>
      <c r="H4" s="3399"/>
      <c r="I4" s="3399"/>
      <c r="J4" s="3399"/>
      <c r="K4" s="3399"/>
      <c r="L4" s="3399"/>
      <c r="M4" s="3399"/>
      <c r="N4" s="3399"/>
      <c r="O4" s="3399"/>
      <c r="P4" s="3399"/>
    </row>
    <row r="5" spans="1:16" ht="17.45" customHeight="1" x14ac:dyDescent="0.4">
      <c r="A5" s="3397" t="s">
        <v>43</v>
      </c>
      <c r="B5" s="3400"/>
      <c r="C5" s="3397" t="s">
        <v>6714</v>
      </c>
      <c r="D5" s="3401"/>
      <c r="E5" s="3401"/>
      <c r="F5" s="3401"/>
      <c r="G5" s="3401"/>
      <c r="H5" s="3401"/>
      <c r="I5" s="3401"/>
      <c r="J5" s="3401"/>
      <c r="K5" s="3401"/>
      <c r="L5" s="3401"/>
      <c r="M5" s="3401"/>
      <c r="N5" s="3401"/>
      <c r="O5" s="3401"/>
      <c r="P5" s="3401"/>
    </row>
    <row r="6" spans="1:16" ht="16.899999999999999" customHeight="1" x14ac:dyDescent="0.4">
      <c r="A6" s="3397" t="s">
        <v>132</v>
      </c>
      <c r="B6" s="3398"/>
      <c r="C6" s="3397" t="s">
        <v>6737</v>
      </c>
      <c r="D6" s="3399"/>
      <c r="E6" s="3399"/>
      <c r="F6" s="3399"/>
      <c r="G6" s="3399"/>
      <c r="H6" s="3399"/>
      <c r="I6" s="3399"/>
      <c r="J6" s="3399"/>
      <c r="K6" s="3399"/>
      <c r="L6" s="3399"/>
      <c r="M6" s="3399"/>
      <c r="N6" s="3399"/>
      <c r="O6" s="3399"/>
      <c r="P6" s="3399"/>
    </row>
    <row r="9" spans="1:16" ht="19.5" x14ac:dyDescent="0.4">
      <c r="C9" s="138" t="s">
        <v>6738</v>
      </c>
      <c r="D9" s="138"/>
    </row>
    <row r="10" spans="1:16" ht="16.149999999999999" customHeight="1" x14ac:dyDescent="0.4">
      <c r="C10" s="575"/>
      <c r="D10" s="575"/>
    </row>
    <row r="11" spans="1:16" ht="56.25" x14ac:dyDescent="0.4">
      <c r="C11" s="1946" t="s">
        <v>46</v>
      </c>
      <c r="D11" s="1946" t="s">
        <v>5430</v>
      </c>
    </row>
    <row r="12" spans="1:16" x14ac:dyDescent="0.4">
      <c r="C12" s="232">
        <v>2011</v>
      </c>
      <c r="D12" s="1956">
        <v>6944.0110658470821</v>
      </c>
    </row>
    <row r="13" spans="1:16" x14ac:dyDescent="0.4">
      <c r="C13" s="232">
        <v>2012</v>
      </c>
      <c r="D13" s="1956">
        <v>6961.8500518492656</v>
      </c>
    </row>
    <row r="14" spans="1:16" x14ac:dyDescent="0.4">
      <c r="C14" s="232">
        <v>2013</v>
      </c>
      <c r="D14" s="1956">
        <v>7189.2550629361676</v>
      </c>
    </row>
    <row r="15" spans="1:16" x14ac:dyDescent="0.4">
      <c r="C15" s="232">
        <v>2014</v>
      </c>
      <c r="D15" s="1956">
        <v>7151.8609983741771</v>
      </c>
    </row>
    <row r="16" spans="1:16" x14ac:dyDescent="0.4">
      <c r="C16" s="232">
        <v>2015</v>
      </c>
      <c r="D16" s="1956">
        <v>6843.3820331395482</v>
      </c>
    </row>
    <row r="17" spans="3:4" x14ac:dyDescent="0.4">
      <c r="C17" s="232">
        <v>2016</v>
      </c>
      <c r="D17" s="1956">
        <v>7221.4220992133414</v>
      </c>
    </row>
    <row r="18" spans="3:4" x14ac:dyDescent="0.4">
      <c r="C18" s="232">
        <v>2017</v>
      </c>
      <c r="D18" s="1956">
        <v>7340.5518830488027</v>
      </c>
    </row>
    <row r="19" spans="3:4" x14ac:dyDescent="0.4">
      <c r="C19" s="232">
        <v>2018</v>
      </c>
      <c r="D19" s="1956">
        <v>7409.2289092048404</v>
      </c>
    </row>
    <row r="20" spans="3:4" x14ac:dyDescent="0.4">
      <c r="C20" s="232">
        <v>2019</v>
      </c>
      <c r="D20" s="1956">
        <v>7474.8406832498558</v>
      </c>
    </row>
    <row r="21" spans="3:4" x14ac:dyDescent="0.4">
      <c r="C21" s="232">
        <v>2020</v>
      </c>
      <c r="D21" s="1956">
        <v>6594.647811284045</v>
      </c>
    </row>
    <row r="22" spans="3:4" x14ac:dyDescent="0.4">
      <c r="C22" s="795">
        <v>2021</v>
      </c>
      <c r="D22" s="1957">
        <v>7533.4192165752802</v>
      </c>
    </row>
    <row r="23" spans="3:4" x14ac:dyDescent="0.4">
      <c r="C23" s="155" t="s">
        <v>5433</v>
      </c>
      <c r="D23" s="155"/>
    </row>
    <row r="24" spans="3:4" x14ac:dyDescent="0.4">
      <c r="C24" s="155" t="s">
        <v>4883</v>
      </c>
      <c r="D24" s="155"/>
    </row>
  </sheetData>
  <mergeCells count="9">
    <mergeCell ref="A6:B6"/>
    <mergeCell ref="C6:P6"/>
    <mergeCell ref="C1:D1"/>
    <mergeCell ref="A3:B3"/>
    <mergeCell ref="C3:P3"/>
    <mergeCell ref="A4:B4"/>
    <mergeCell ref="C4:P4"/>
    <mergeCell ref="A5:B5"/>
    <mergeCell ref="C5:P5"/>
  </mergeCells>
  <hyperlinks>
    <hyperlink ref="A1" location="'ODS 13.'!A1" display="REGRESAR " xr:uid="{785BC0A8-53D4-4238-A8A1-55FB04860A4F}"/>
    <hyperlink ref="C1:D1" location="'Metadato 13.2.2'!A1" display="VER METADATO" xr:uid="{53EEE578-5FEA-4A30-BEFC-5A571C26DE2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5F5C-6A29-442B-BEFE-269844D8660A}">
  <sheetPr>
    <tabColor theme="0" tint="-0.499984740745262"/>
  </sheetPr>
  <dimension ref="A1:F3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7.28515625" style="222" customWidth="1"/>
    <col min="2" max="2" width="26.42578125" style="222" customWidth="1"/>
    <col min="3" max="3" width="24" style="222" customWidth="1"/>
    <col min="4" max="4" width="85.7109375" style="222" customWidth="1"/>
    <col min="5" max="5" width="7.7109375" style="222" customWidth="1"/>
    <col min="6" max="6" width="7.28515625" style="222" customWidth="1"/>
    <col min="7" max="7" width="6.28515625" style="222" customWidth="1"/>
    <col min="8" max="8" width="6.7109375" style="222" customWidth="1"/>
    <col min="9" max="9" width="2" style="222" customWidth="1"/>
    <col min="10" max="10" width="10.28515625" style="222" customWidth="1"/>
    <col min="11" max="11" width="7.7109375" style="222" customWidth="1"/>
    <col min="12" max="12" width="10.28515625" style="222" customWidth="1"/>
    <col min="13" max="13" width="0.7109375" style="222" customWidth="1"/>
    <col min="14" max="14" width="6.7109375" style="222" customWidth="1"/>
    <col min="15" max="15" width="6.42578125" style="222" customWidth="1"/>
    <col min="16"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265</v>
      </c>
    </row>
    <row r="4" spans="1:6" ht="30" customHeight="1" x14ac:dyDescent="0.25">
      <c r="A4" s="224"/>
      <c r="B4" s="2445" t="s">
        <v>234</v>
      </c>
      <c r="C4" s="2445"/>
      <c r="D4" s="49" t="s">
        <v>396</v>
      </c>
    </row>
    <row r="5" spans="1:6" ht="29.25" customHeight="1" x14ac:dyDescent="0.25">
      <c r="B5" s="2445" t="s">
        <v>79</v>
      </c>
      <c r="C5" s="2445"/>
      <c r="D5" s="49" t="s">
        <v>402</v>
      </c>
    </row>
    <row r="6" spans="1:6" x14ac:dyDescent="0.25">
      <c r="B6" s="2445" t="s">
        <v>80</v>
      </c>
      <c r="C6" s="2445"/>
      <c r="D6" s="50" t="s">
        <v>407</v>
      </c>
    </row>
    <row r="7" spans="1:6" ht="37.5" x14ac:dyDescent="0.25">
      <c r="B7" s="2446" t="s">
        <v>81</v>
      </c>
      <c r="C7" s="2446"/>
      <c r="D7" s="93" t="s">
        <v>408</v>
      </c>
    </row>
    <row r="8" spans="1:6" x14ac:dyDescent="0.25">
      <c r="B8" s="2474" t="s">
        <v>82</v>
      </c>
      <c r="C8" s="2474"/>
      <c r="D8" s="310" t="s">
        <v>587</v>
      </c>
    </row>
    <row r="9" spans="1:6" x14ac:dyDescent="0.25">
      <c r="B9" s="2474"/>
      <c r="C9" s="2474"/>
      <c r="D9" s="94" t="s">
        <v>588</v>
      </c>
    </row>
    <row r="10" spans="1:6" x14ac:dyDescent="0.4">
      <c r="B10" s="5"/>
      <c r="C10" s="5"/>
      <c r="D10" s="5"/>
    </row>
    <row r="11" spans="1:6" ht="23.25" customHeight="1" x14ac:dyDescent="0.25">
      <c r="B11" s="2514" t="s">
        <v>85</v>
      </c>
      <c r="C11" s="2514"/>
      <c r="D11" s="2514"/>
    </row>
    <row r="12" spans="1:6" ht="16.5" customHeight="1" x14ac:dyDescent="0.25">
      <c r="B12" s="2453" t="s">
        <v>86</v>
      </c>
      <c r="C12" s="2454"/>
      <c r="D12" s="49" t="s">
        <v>167</v>
      </c>
    </row>
    <row r="13" spans="1:6" x14ac:dyDescent="0.25">
      <c r="B13" s="2455" t="s">
        <v>88</v>
      </c>
      <c r="C13" s="2455"/>
      <c r="D13" s="344"/>
    </row>
    <row r="14" spans="1:6" x14ac:dyDescent="0.25">
      <c r="B14" s="2445" t="s">
        <v>90</v>
      </c>
      <c r="C14" s="2445"/>
      <c r="D14" s="54"/>
    </row>
    <row r="15" spans="1:6" x14ac:dyDescent="0.25">
      <c r="B15" s="2445" t="s">
        <v>91</v>
      </c>
      <c r="C15" s="2456"/>
      <c r="D15" s="54"/>
    </row>
    <row r="16" spans="1:6" x14ac:dyDescent="0.25">
      <c r="B16" s="2445" t="s">
        <v>93</v>
      </c>
      <c r="C16" s="2445"/>
      <c r="D16" s="56"/>
    </row>
    <row r="17" spans="2:4" x14ac:dyDescent="0.4">
      <c r="B17" s="2445" t="s">
        <v>95</v>
      </c>
      <c r="C17" s="2445"/>
      <c r="D17" s="203"/>
    </row>
    <row r="18" spans="2:4" x14ac:dyDescent="0.25">
      <c r="B18" s="2445" t="s">
        <v>97</v>
      </c>
      <c r="C18" s="2445"/>
      <c r="D18" s="56"/>
    </row>
    <row r="19" spans="2:4" x14ac:dyDescent="0.25">
      <c r="B19" s="2446" t="s">
        <v>99</v>
      </c>
      <c r="C19" s="2446"/>
      <c r="D19" s="55"/>
    </row>
    <row r="20" spans="2:4" x14ac:dyDescent="0.25">
      <c r="B20" s="2457" t="s">
        <v>100</v>
      </c>
      <c r="C20" s="2458"/>
      <c r="D20" s="56"/>
    </row>
    <row r="21" spans="2:4" x14ac:dyDescent="0.25">
      <c r="B21" s="2445" t="s">
        <v>102</v>
      </c>
      <c r="C21" s="2445"/>
      <c r="D21" s="56"/>
    </row>
    <row r="22" spans="2:4" x14ac:dyDescent="0.25">
      <c r="B22" s="2451" t="s">
        <v>104</v>
      </c>
      <c r="C22" s="95" t="s">
        <v>105</v>
      </c>
      <c r="D22" s="55"/>
    </row>
    <row r="23" spans="2:4" x14ac:dyDescent="0.25">
      <c r="B23" s="2452"/>
      <c r="C23" s="96" t="s">
        <v>107</v>
      </c>
      <c r="D23" s="56"/>
    </row>
    <row r="24" spans="2:4" x14ac:dyDescent="0.25">
      <c r="B24" s="2444" t="s">
        <v>109</v>
      </c>
      <c r="C24" s="2444"/>
      <c r="D24" s="56"/>
    </row>
    <row r="25" spans="2:4" x14ac:dyDescent="0.25">
      <c r="B25" s="2444" t="s">
        <v>111</v>
      </c>
      <c r="C25" s="2444"/>
      <c r="D25" s="59"/>
    </row>
    <row r="26" spans="2:4" x14ac:dyDescent="0.25">
      <c r="B26" s="2445" t="s">
        <v>113</v>
      </c>
      <c r="C26" s="2445"/>
      <c r="D26" s="56"/>
    </row>
    <row r="27" spans="2:4" x14ac:dyDescent="0.25">
      <c r="B27" s="2446" t="s">
        <v>115</v>
      </c>
      <c r="C27" s="2446"/>
      <c r="D27" s="59"/>
    </row>
    <row r="28" spans="2:4" x14ac:dyDescent="0.25">
      <c r="B28" s="2447" t="s">
        <v>117</v>
      </c>
      <c r="C28" s="2448"/>
      <c r="D28" s="55"/>
    </row>
    <row r="29" spans="2:4" x14ac:dyDescent="0.25">
      <c r="B29" s="97" t="s">
        <v>118</v>
      </c>
      <c r="C29" s="98"/>
      <c r="D29" s="55"/>
    </row>
    <row r="30" spans="2:4" x14ac:dyDescent="0.25">
      <c r="B30" s="2449" t="s">
        <v>120</v>
      </c>
      <c r="C30" s="2450"/>
      <c r="D30" s="160"/>
    </row>
    <row r="31" spans="2:4" x14ac:dyDescent="0.25">
      <c r="B31" s="63"/>
      <c r="C31" s="63"/>
      <c r="D31" s="64"/>
    </row>
    <row r="32" spans="2:4" ht="23.25" customHeight="1" x14ac:dyDescent="0.25">
      <c r="B32" s="2514" t="s">
        <v>121</v>
      </c>
      <c r="C32" s="2514"/>
      <c r="D32" s="2514"/>
    </row>
    <row r="33" spans="2:4" x14ac:dyDescent="0.25">
      <c r="B33" s="2442" t="s">
        <v>122</v>
      </c>
      <c r="C33" s="2443"/>
      <c r="D33" s="59" t="s">
        <v>520</v>
      </c>
    </row>
    <row r="34" spans="2:4" x14ac:dyDescent="0.25">
      <c r="B34" s="2442" t="s">
        <v>124</v>
      </c>
      <c r="C34" s="2443"/>
      <c r="D34" s="59" t="s">
        <v>590</v>
      </c>
    </row>
    <row r="35" spans="2:4" x14ac:dyDescent="0.25">
      <c r="B35" s="2442" t="s">
        <v>126</v>
      </c>
      <c r="C35" s="2443"/>
      <c r="D35" s="59" t="s">
        <v>591</v>
      </c>
    </row>
    <row r="36" spans="2:4" x14ac:dyDescent="0.25">
      <c r="B36" s="2442" t="s">
        <v>128</v>
      </c>
      <c r="C36" s="2443"/>
      <c r="D36" s="59" t="s">
        <v>592</v>
      </c>
    </row>
    <row r="37" spans="2:4" x14ac:dyDescent="0.25">
      <c r="B37" s="2442" t="s">
        <v>130</v>
      </c>
      <c r="C37" s="2443"/>
      <c r="D37" s="65" t="s">
        <v>593</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allowBlank="1" showDropDown="1" showInputMessage="1" showErrorMessage="1" sqref="D14" xr:uid="{E603F896-ECE8-4801-B3CB-2A3B966E1A00}"/>
    <dataValidation type="list" allowBlank="1" showInputMessage="1" showErrorMessage="1" sqref="D4" xr:uid="{F49C5017-1D54-4F40-9FCB-8D86073C2CF0}">
      <formula1>ODS</formula1>
    </dataValidation>
    <dataValidation type="list" allowBlank="1" showInputMessage="1" showErrorMessage="1" sqref="D5" xr:uid="{DE0673CE-1FD3-4522-AEB6-EF50EA5914BF}">
      <formula1>Metas_ODS</formula1>
    </dataValidation>
    <dataValidation type="list" allowBlank="1" showInputMessage="1" showErrorMessage="1" sqref="D6" xr:uid="{5F528CB4-CD39-4B94-9786-E78258B6731A}">
      <formula1>Numero_indicador</formula1>
    </dataValidation>
    <dataValidation type="list" allowBlank="1" showInputMessage="1" showErrorMessage="1" sqref="D7" xr:uid="{81BF3B05-3BC6-4B1B-B65A-8975BC8C3762}">
      <formula1>Nombre_indicador_ODS</formula1>
    </dataValidation>
    <dataValidation type="list" allowBlank="1" showInputMessage="1" showErrorMessage="1" sqref="D15" xr:uid="{70032E29-C017-4C92-A651-F4334A668DED}">
      <formula1>Tipo_indicador</formula1>
    </dataValidation>
    <dataValidation type="list" allowBlank="1" showInputMessage="1" showErrorMessage="1" sqref="D26" xr:uid="{043F3BAC-0AA7-4EB7-AE7A-CD434C3A347F}">
      <formula1>Tipo_operación</formula1>
    </dataValidation>
  </dataValidations>
  <hyperlinks>
    <hyperlink ref="B1" location="'2.2.3'!A1" display="REGRESAR" xr:uid="{63B1764C-6216-4749-8EC4-A2BB97D94493}"/>
    <hyperlink ref="D37" r:id="rId1" xr:uid="{E9E28E38-95EC-4C46-B4C6-11B71789621C}"/>
    <hyperlink ref="D8" r:id="rId2" xr:uid="{D0BAC3E5-F8B1-4A46-80DC-78284385F281}"/>
    <hyperlink ref="D9" r:id="rId3" xr:uid="{8E810A5B-AE7B-415B-98B4-09A81ED4F891}"/>
  </hyperlinks>
  <pageMargins left="0.7" right="0.7" top="0.75" bottom="0.75" header="0.3" footer="0.3"/>
  <pageSetup orientation="portrait" r:id="rId4"/>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DEC5-1583-46B5-9982-F204481E337D}">
  <sheetPr>
    <tabColor theme="0" tint="-0.499984740745262"/>
  </sheetPr>
  <dimension ref="A1:F46"/>
  <sheetViews>
    <sheetView showGridLines="0" zoomScaleNormal="100" workbookViewId="0">
      <pane ySplit="1" topLeftCell="A2" activePane="bottomLeft" state="frozen"/>
      <selection pane="bottomLeft" activeCell="E11" sqref="E1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243" customWidth="1"/>
    <col min="5" max="5" width="11.42578125" style="115"/>
    <col min="6" max="6" width="7.28515625" style="115" customWidth="1"/>
    <col min="7" max="16384" width="11.42578125" style="115"/>
  </cols>
  <sheetData>
    <row r="1" spans="1:6" x14ac:dyDescent="0.4">
      <c r="B1" s="90" t="s">
        <v>6724</v>
      </c>
    </row>
    <row r="2" spans="1:6" ht="19.5" thickBot="1" x14ac:dyDescent="0.45"/>
    <row r="3" spans="1:6" ht="23.25" customHeight="1" thickBot="1" x14ac:dyDescent="0.45">
      <c r="B3" s="3385" t="s">
        <v>75</v>
      </c>
      <c r="C3" s="3385"/>
      <c r="D3" s="3385"/>
      <c r="F3" s="1046" t="s">
        <v>317</v>
      </c>
    </row>
    <row r="4" spans="1:6" x14ac:dyDescent="0.4">
      <c r="A4" s="283"/>
      <c r="B4" s="2425" t="s">
        <v>234</v>
      </c>
      <c r="C4" s="2425"/>
      <c r="D4" s="49" t="s">
        <v>6727</v>
      </c>
    </row>
    <row r="5" spans="1:6" x14ac:dyDescent="0.4">
      <c r="B5" s="2425" t="s">
        <v>79</v>
      </c>
      <c r="C5" s="2425"/>
      <c r="D5" s="49" t="s">
        <v>6710</v>
      </c>
    </row>
    <row r="6" spans="1:6" x14ac:dyDescent="0.4">
      <c r="B6" s="2425" t="s">
        <v>80</v>
      </c>
      <c r="C6" s="2425"/>
      <c r="D6" s="50" t="s">
        <v>6713</v>
      </c>
    </row>
    <row r="7" spans="1:6" x14ac:dyDescent="0.4">
      <c r="B7" s="2426" t="s">
        <v>81</v>
      </c>
      <c r="C7" s="2426"/>
      <c r="D7" s="667" t="s">
        <v>6714</v>
      </c>
    </row>
    <row r="8" spans="1:6" x14ac:dyDescent="0.4">
      <c r="B8" s="2426" t="s">
        <v>82</v>
      </c>
      <c r="C8" s="2426"/>
      <c r="D8" s="1345"/>
    </row>
    <row r="10" spans="1:6" ht="23.25" customHeight="1" x14ac:dyDescent="0.4">
      <c r="B10" s="3385" t="s">
        <v>85</v>
      </c>
      <c r="C10" s="3385"/>
      <c r="D10" s="3385"/>
    </row>
    <row r="11" spans="1:6" x14ac:dyDescent="0.4">
      <c r="B11" s="2427" t="s">
        <v>86</v>
      </c>
      <c r="C11" s="2428"/>
      <c r="D11" s="49" t="s">
        <v>307</v>
      </c>
    </row>
    <row r="12" spans="1:6" ht="17.45" customHeight="1" x14ac:dyDescent="0.4">
      <c r="B12" s="2426" t="s">
        <v>88</v>
      </c>
      <c r="C12" s="2426"/>
      <c r="D12" s="184" t="s">
        <v>6739</v>
      </c>
    </row>
    <row r="13" spans="1:6" x14ac:dyDescent="0.4">
      <c r="B13" s="2425" t="s">
        <v>90</v>
      </c>
      <c r="C13" s="2425"/>
      <c r="D13" s="1655" t="s">
        <v>6713</v>
      </c>
    </row>
    <row r="14" spans="1:6" x14ac:dyDescent="0.4">
      <c r="B14" s="2425" t="s">
        <v>91</v>
      </c>
      <c r="C14" s="2428"/>
      <c r="D14" s="54" t="s">
        <v>355</v>
      </c>
    </row>
    <row r="15" spans="1:6" ht="52.15" customHeight="1" x14ac:dyDescent="0.4">
      <c r="B15" s="2425" t="s">
        <v>93</v>
      </c>
      <c r="C15" s="2425"/>
      <c r="D15" s="55" t="s">
        <v>6740</v>
      </c>
    </row>
    <row r="16" spans="1:6" ht="318.75" x14ac:dyDescent="0.4">
      <c r="B16" s="2425" t="s">
        <v>95</v>
      </c>
      <c r="C16" s="2425"/>
      <c r="D16" s="594" t="s">
        <v>5442</v>
      </c>
    </row>
    <row r="17" spans="2:4" ht="93.75" x14ac:dyDescent="0.4">
      <c r="B17" s="2425" t="s">
        <v>97</v>
      </c>
      <c r="C17" s="2425"/>
      <c r="D17" s="55" t="s">
        <v>5443</v>
      </c>
    </row>
    <row r="18" spans="2:4" ht="143.44999999999999" customHeight="1" x14ac:dyDescent="0.4">
      <c r="B18" s="2426" t="s">
        <v>99</v>
      </c>
      <c r="C18" s="2426"/>
      <c r="D18" s="49" t="s">
        <v>5444</v>
      </c>
    </row>
    <row r="19" spans="2:4" ht="26.65" customHeight="1" x14ac:dyDescent="0.4">
      <c r="B19" s="2435" t="s">
        <v>100</v>
      </c>
      <c r="C19" s="2436"/>
      <c r="D19" s="55" t="s">
        <v>6741</v>
      </c>
    </row>
    <row r="20" spans="2:4" x14ac:dyDescent="0.4">
      <c r="B20" s="2425" t="s">
        <v>102</v>
      </c>
      <c r="C20" s="2425"/>
      <c r="D20" s="55" t="s">
        <v>140</v>
      </c>
    </row>
    <row r="21" spans="2:4" x14ac:dyDescent="0.4">
      <c r="B21" s="3403" t="s">
        <v>104</v>
      </c>
      <c r="C21" s="57" t="s">
        <v>105</v>
      </c>
      <c r="D21" s="55"/>
    </row>
    <row r="22" spans="2:4" x14ac:dyDescent="0.4">
      <c r="B22" s="3404"/>
      <c r="C22" s="58" t="s">
        <v>107</v>
      </c>
      <c r="D22" s="55"/>
    </row>
    <row r="23" spans="2:4" x14ac:dyDescent="0.4">
      <c r="B23" s="2425" t="s">
        <v>109</v>
      </c>
      <c r="C23" s="2425"/>
      <c r="D23" s="49" t="s">
        <v>143</v>
      </c>
    </row>
    <row r="24" spans="2:4" ht="56.25" x14ac:dyDescent="0.4">
      <c r="B24" s="2425" t="s">
        <v>111</v>
      </c>
      <c r="C24" s="2425"/>
      <c r="D24" s="50" t="s">
        <v>4873</v>
      </c>
    </row>
    <row r="25" spans="2:4" x14ac:dyDescent="0.4">
      <c r="B25" s="2425" t="s">
        <v>113</v>
      </c>
      <c r="C25" s="2425"/>
      <c r="D25" s="55" t="s">
        <v>1701</v>
      </c>
    </row>
    <row r="26" spans="2:4" ht="14.65" customHeight="1" x14ac:dyDescent="0.4">
      <c r="B26" s="2426" t="s">
        <v>115</v>
      </c>
      <c r="C26" s="2426"/>
      <c r="D26" s="50" t="s">
        <v>4874</v>
      </c>
    </row>
    <row r="27" spans="2:4" ht="64.150000000000006" customHeight="1" x14ac:dyDescent="0.4">
      <c r="B27" s="2427" t="s">
        <v>117</v>
      </c>
      <c r="C27" s="2428"/>
      <c r="D27" s="49" t="s">
        <v>5446</v>
      </c>
    </row>
    <row r="28" spans="2:4" ht="206.25" x14ac:dyDescent="0.4">
      <c r="B28" s="60" t="s">
        <v>118</v>
      </c>
      <c r="C28" s="61"/>
      <c r="D28" s="55" t="s">
        <v>5447</v>
      </c>
    </row>
    <row r="29" spans="2:4" x14ac:dyDescent="0.4">
      <c r="B29" s="2429" t="s">
        <v>120</v>
      </c>
      <c r="C29" s="2430"/>
      <c r="D29" s="62"/>
    </row>
    <row r="30" spans="2:4" x14ac:dyDescent="0.4">
      <c r="B30" s="63"/>
      <c r="C30" s="63"/>
      <c r="D30" s="64"/>
    </row>
    <row r="31" spans="2:4" ht="23.25" customHeight="1" thickBot="1" x14ac:dyDescent="0.45">
      <c r="B31" s="3402" t="s">
        <v>121</v>
      </c>
      <c r="C31" s="3402"/>
      <c r="D31" s="3402"/>
    </row>
    <row r="32" spans="2:4" x14ac:dyDescent="0.4">
      <c r="B32" s="3373" t="s">
        <v>122</v>
      </c>
      <c r="C32" s="3374"/>
      <c r="D32" s="1287" t="s">
        <v>4814</v>
      </c>
    </row>
    <row r="33" spans="2:4" x14ac:dyDescent="0.4">
      <c r="B33" s="3370" t="s">
        <v>124</v>
      </c>
      <c r="C33" s="2428"/>
      <c r="D33" s="1288" t="s">
        <v>4815</v>
      </c>
    </row>
    <row r="34" spans="2:4" x14ac:dyDescent="0.4">
      <c r="B34" s="3370" t="s">
        <v>126</v>
      </c>
      <c r="C34" s="2428"/>
      <c r="D34" s="1288" t="s">
        <v>3388</v>
      </c>
    </row>
    <row r="35" spans="2:4" x14ac:dyDescent="0.4">
      <c r="B35" s="3370" t="s">
        <v>128</v>
      </c>
      <c r="C35" s="2428"/>
      <c r="D35" s="1288" t="s">
        <v>4816</v>
      </c>
    </row>
    <row r="36" spans="2:4" ht="19.5" thickBot="1" x14ac:dyDescent="0.45">
      <c r="B36" s="3371" t="s">
        <v>130</v>
      </c>
      <c r="C36" s="3372"/>
      <c r="D36" s="1289" t="s">
        <v>3397</v>
      </c>
    </row>
    <row r="37" spans="2:4" x14ac:dyDescent="0.4">
      <c r="B37" s="3373" t="s">
        <v>122</v>
      </c>
      <c r="C37" s="3374"/>
      <c r="D37" s="1287" t="s">
        <v>4817</v>
      </c>
    </row>
    <row r="38" spans="2:4" x14ac:dyDescent="0.4">
      <c r="B38" s="3370" t="s">
        <v>124</v>
      </c>
      <c r="C38" s="2428"/>
      <c r="D38" s="1288" t="s">
        <v>3387</v>
      </c>
    </row>
    <row r="39" spans="2:4" x14ac:dyDescent="0.4">
      <c r="B39" s="3370" t="s">
        <v>126</v>
      </c>
      <c r="C39" s="2428"/>
      <c r="D39" s="1288" t="s">
        <v>3388</v>
      </c>
    </row>
    <row r="40" spans="2:4" x14ac:dyDescent="0.4">
      <c r="B40" s="3370" t="s">
        <v>128</v>
      </c>
      <c r="C40" s="2428"/>
      <c r="D40" s="1288" t="s">
        <v>4818</v>
      </c>
    </row>
    <row r="41" spans="2:4" ht="19.5" thickBot="1" x14ac:dyDescent="0.45">
      <c r="B41" s="3371" t="s">
        <v>130</v>
      </c>
      <c r="C41" s="3372"/>
      <c r="D41" s="1289" t="s">
        <v>3393</v>
      </c>
    </row>
    <row r="42" spans="2:4" x14ac:dyDescent="0.4">
      <c r="B42" s="3373" t="s">
        <v>122</v>
      </c>
      <c r="C42" s="3374"/>
      <c r="D42" s="1287" t="s">
        <v>4819</v>
      </c>
    </row>
    <row r="43" spans="2:4" x14ac:dyDescent="0.4">
      <c r="B43" s="3370" t="s">
        <v>124</v>
      </c>
      <c r="C43" s="2428"/>
      <c r="D43" s="1288" t="s">
        <v>3387</v>
      </c>
    </row>
    <row r="44" spans="2:4" x14ac:dyDescent="0.4">
      <c r="B44" s="3370" t="s">
        <v>126</v>
      </c>
      <c r="C44" s="2428"/>
      <c r="D44" s="1288" t="s">
        <v>3388</v>
      </c>
    </row>
    <row r="45" spans="2:4" x14ac:dyDescent="0.4">
      <c r="B45" s="3370" t="s">
        <v>128</v>
      </c>
      <c r="C45" s="2428"/>
      <c r="D45" s="1288" t="s">
        <v>4820</v>
      </c>
    </row>
    <row r="46" spans="2:4" ht="19.5" thickBot="1" x14ac:dyDescent="0.45">
      <c r="B46" s="3371" t="s">
        <v>130</v>
      </c>
      <c r="C46" s="3372"/>
      <c r="D46" s="1289" t="s">
        <v>4821</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3" xr:uid="{D3B1C9D3-9E81-4ACA-82CE-DCE73A94545A}"/>
    <dataValidation type="list" allowBlank="1" showInputMessage="1" showErrorMessage="1" sqref="D4" xr:uid="{C4911000-FC2A-4478-A2A9-6C054E2908E9}">
      <formula1>ODS</formula1>
    </dataValidation>
    <dataValidation type="list" allowBlank="1" showInputMessage="1" showErrorMessage="1" sqref="D5" xr:uid="{20D79619-E0E5-4818-A7CE-6DD1CFC711C3}">
      <formula1>Metas_ODS</formula1>
    </dataValidation>
    <dataValidation type="list" allowBlank="1" showInputMessage="1" showErrorMessage="1" sqref="D6" xr:uid="{AA5F7B55-8A9F-4A52-9499-93419AF8CD67}">
      <formula1>Numero_indicador</formula1>
    </dataValidation>
    <dataValidation type="list" allowBlank="1" showInputMessage="1" showErrorMessage="1" sqref="D7" xr:uid="{FFED1B21-6D65-4F79-935F-03A8E7C45297}">
      <formula1>Nombre_indicador_ODS</formula1>
    </dataValidation>
    <dataValidation type="list" allowBlank="1" showInputMessage="1" showErrorMessage="1" sqref="D14" xr:uid="{CB46A61E-4EF7-4B44-A84F-BA67885A03F0}">
      <formula1>Tipo_indicador</formula1>
    </dataValidation>
    <dataValidation type="list" allowBlank="1" showInputMessage="1" showErrorMessage="1" sqref="D25" xr:uid="{276941B9-C22E-4043-B699-5EE79A499CF4}">
      <formula1>Tipo_operación</formula1>
    </dataValidation>
  </dataValidations>
  <hyperlinks>
    <hyperlink ref="B1" location="'13.2.2'!A1" display="REGRESAR " xr:uid="{B6E120E2-C40B-4E2C-9008-FB336D553D6B}"/>
    <hyperlink ref="D41" r:id="rId1" display="alvaradoqi@bccr.fi.cr" xr:uid="{564A6EDD-3A8D-4426-BB1D-B1E32B4357DF}"/>
    <hyperlink ref="D36" r:id="rId2" xr:uid="{A946022D-6D11-486B-9D45-CB16D1F1C074}"/>
    <hyperlink ref="D46" r:id="rId3" xr:uid="{D5915A29-8BA4-4D3D-B7F5-AAC84A305EF4}"/>
  </hyperlinks>
  <pageMargins left="0.7" right="0.7" top="0.75" bottom="0.75" header="0.3" footer="0.3"/>
  <pageSetup paperSize="9" orientation="portrait" r:id="rId4"/>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83CD-3C62-44E1-8863-B93789206DA0}">
  <dimension ref="A1:R20"/>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2" width="16" style="115" customWidth="1"/>
    <col min="3" max="3" width="28.28515625" style="115" customWidth="1"/>
    <col min="4" max="16384" width="11.42578125" style="115"/>
  </cols>
  <sheetData>
    <row r="1" spans="1:18" x14ac:dyDescent="0.4">
      <c r="A1" s="90" t="s">
        <v>6724</v>
      </c>
      <c r="C1" s="2541" t="s">
        <v>149</v>
      </c>
      <c r="D1" s="2541"/>
    </row>
    <row r="3" spans="1:18" ht="19.899999999999999" customHeight="1" x14ac:dyDescent="0.4">
      <c r="A3" s="3397" t="s">
        <v>41</v>
      </c>
      <c r="B3" s="3398"/>
      <c r="C3" s="3397" t="s">
        <v>6725</v>
      </c>
      <c r="D3" s="3399"/>
      <c r="E3" s="3399"/>
      <c r="F3" s="3399"/>
      <c r="G3" s="3399"/>
      <c r="H3" s="3399"/>
      <c r="I3" s="3399"/>
      <c r="J3" s="3399"/>
      <c r="K3" s="3399"/>
      <c r="L3" s="3399"/>
      <c r="M3" s="3399"/>
      <c r="N3" s="3399"/>
      <c r="O3" s="3399"/>
      <c r="P3" s="3399"/>
      <c r="Q3" s="3399"/>
      <c r="R3" s="3399"/>
    </row>
    <row r="4" spans="1:18" ht="19.899999999999999" customHeight="1" x14ac:dyDescent="0.4">
      <c r="A4" s="3397" t="s">
        <v>42</v>
      </c>
      <c r="B4" s="3398"/>
      <c r="C4" s="3397" t="s">
        <v>6715</v>
      </c>
      <c r="D4" s="3399"/>
      <c r="E4" s="3399"/>
      <c r="F4" s="3399"/>
      <c r="G4" s="3399"/>
      <c r="H4" s="3399"/>
      <c r="I4" s="3399"/>
      <c r="J4" s="3399"/>
      <c r="K4" s="3399"/>
      <c r="L4" s="3399"/>
      <c r="M4" s="3399"/>
      <c r="N4" s="3399"/>
      <c r="O4" s="3399"/>
      <c r="P4" s="3399"/>
      <c r="Q4" s="3399"/>
      <c r="R4" s="3399"/>
    </row>
    <row r="5" spans="1:18" ht="19.899999999999999" customHeight="1" x14ac:dyDescent="0.4">
      <c r="A5" s="3397" t="s">
        <v>43</v>
      </c>
      <c r="B5" s="3400"/>
      <c r="C5" s="3397" t="s">
        <v>6717</v>
      </c>
      <c r="D5" s="3401"/>
      <c r="E5" s="3401"/>
      <c r="F5" s="3401"/>
      <c r="G5" s="3401"/>
      <c r="H5" s="3401"/>
      <c r="I5" s="3401"/>
      <c r="J5" s="3401"/>
      <c r="K5" s="3401"/>
      <c r="L5" s="3401"/>
      <c r="M5" s="3401"/>
      <c r="N5" s="3401"/>
      <c r="O5" s="3401"/>
      <c r="P5" s="3401"/>
      <c r="Q5" s="3401"/>
      <c r="R5" s="3401"/>
    </row>
    <row r="6" spans="1:18" ht="17.100000000000001" customHeight="1" x14ac:dyDescent="0.4">
      <c r="A6" s="3397" t="s">
        <v>132</v>
      </c>
      <c r="B6" s="3398"/>
      <c r="C6" s="3397" t="s">
        <v>1879</v>
      </c>
      <c r="D6" s="3399"/>
      <c r="E6" s="3399"/>
      <c r="F6" s="3399"/>
      <c r="G6" s="3399"/>
      <c r="H6" s="3399"/>
      <c r="I6" s="3399"/>
      <c r="J6" s="3399"/>
      <c r="K6" s="3399"/>
      <c r="L6" s="3399"/>
      <c r="M6" s="3399"/>
      <c r="N6" s="3399"/>
      <c r="O6" s="3399"/>
      <c r="P6" s="3399"/>
      <c r="Q6" s="3399"/>
      <c r="R6" s="3399"/>
    </row>
    <row r="9" spans="1:18" x14ac:dyDescent="0.4">
      <c r="A9" s="536"/>
    </row>
    <row r="10" spans="1:18" ht="19.5" x14ac:dyDescent="0.4">
      <c r="A10" s="536"/>
      <c r="C10" s="24" t="s">
        <v>6742</v>
      </c>
      <c r="D10" s="24"/>
      <c r="E10" s="24"/>
      <c r="F10" s="24"/>
      <c r="G10" s="24"/>
      <c r="H10" s="24"/>
    </row>
    <row r="11" spans="1:18" ht="19.5" x14ac:dyDescent="0.4">
      <c r="A11" s="536"/>
      <c r="C11" s="264" t="s">
        <v>6743</v>
      </c>
      <c r="D11" s="264"/>
      <c r="E11" s="264"/>
      <c r="F11" s="264"/>
      <c r="G11" s="264"/>
      <c r="H11" s="264"/>
    </row>
    <row r="12" spans="1:18" ht="11.45" customHeight="1" x14ac:dyDescent="0.4">
      <c r="A12" s="536"/>
      <c r="C12" s="1033"/>
      <c r="D12" s="1033"/>
      <c r="E12" s="1033"/>
      <c r="F12" s="1033"/>
      <c r="G12" s="1033"/>
      <c r="H12" s="1033"/>
    </row>
    <row r="13" spans="1:18" ht="56.25" x14ac:dyDescent="0.4">
      <c r="A13" s="536"/>
      <c r="C13" s="1958"/>
      <c r="D13" s="1946" t="s">
        <v>1881</v>
      </c>
      <c r="E13" s="1946" t="s">
        <v>1882</v>
      </c>
      <c r="F13" s="1946" t="s">
        <v>1883</v>
      </c>
      <c r="G13" s="1946" t="s">
        <v>1884</v>
      </c>
      <c r="H13" s="1946" t="s">
        <v>1885</v>
      </c>
    </row>
    <row r="14" spans="1:18" x14ac:dyDescent="0.4">
      <c r="A14" s="536"/>
      <c r="C14" s="115" t="s">
        <v>1886</v>
      </c>
      <c r="D14" s="536">
        <v>1</v>
      </c>
      <c r="E14" s="536">
        <v>1</v>
      </c>
      <c r="F14" s="536">
        <v>1</v>
      </c>
      <c r="G14" s="536">
        <v>1</v>
      </c>
      <c r="H14" s="536">
        <v>1</v>
      </c>
    </row>
    <row r="15" spans="1:18" x14ac:dyDescent="0.4">
      <c r="A15" s="536"/>
      <c r="C15" s="115" t="s">
        <v>1887</v>
      </c>
      <c r="D15" s="536">
        <v>1</v>
      </c>
      <c r="E15" s="536">
        <v>1</v>
      </c>
      <c r="F15" s="536">
        <v>1</v>
      </c>
      <c r="G15" s="536">
        <v>1</v>
      </c>
      <c r="H15" s="536">
        <v>1</v>
      </c>
    </row>
    <row r="16" spans="1:18" x14ac:dyDescent="0.4">
      <c r="A16" s="536"/>
      <c r="C16" s="115" t="s">
        <v>1888</v>
      </c>
      <c r="D16" s="536">
        <v>1</v>
      </c>
      <c r="E16" s="536">
        <v>1</v>
      </c>
      <c r="F16" s="536">
        <v>1</v>
      </c>
      <c r="G16" s="536">
        <v>1</v>
      </c>
      <c r="H16" s="536">
        <v>1</v>
      </c>
    </row>
    <row r="17" spans="1:8" x14ac:dyDescent="0.4">
      <c r="A17" s="536"/>
      <c r="C17" s="115" t="s">
        <v>1889</v>
      </c>
      <c r="D17" s="536">
        <v>1</v>
      </c>
      <c r="E17" s="536">
        <v>1</v>
      </c>
      <c r="F17" s="536">
        <v>1</v>
      </c>
      <c r="G17" s="536">
        <v>1</v>
      </c>
      <c r="H17" s="536">
        <v>1</v>
      </c>
    </row>
    <row r="18" spans="1:8" x14ac:dyDescent="0.4">
      <c r="A18" s="536"/>
      <c r="C18" s="120" t="s">
        <v>1885</v>
      </c>
      <c r="D18" s="824">
        <v>1</v>
      </c>
      <c r="E18" s="824">
        <v>1</v>
      </c>
      <c r="F18" s="824">
        <v>1</v>
      </c>
      <c r="G18" s="824">
        <v>1</v>
      </c>
      <c r="H18" s="824">
        <v>1</v>
      </c>
    </row>
    <row r="19" spans="1:8" ht="17.45" customHeight="1" x14ac:dyDescent="0.4">
      <c r="A19" s="536"/>
      <c r="C19" s="115" t="s">
        <v>1890</v>
      </c>
    </row>
    <row r="20" spans="1:8" x14ac:dyDescent="0.4">
      <c r="C20" s="115" t="s">
        <v>1891</v>
      </c>
    </row>
  </sheetData>
  <mergeCells count="9">
    <mergeCell ref="A6:B6"/>
    <mergeCell ref="C6:R6"/>
    <mergeCell ref="C1:D1"/>
    <mergeCell ref="A3:B3"/>
    <mergeCell ref="C3:R3"/>
    <mergeCell ref="A4:B4"/>
    <mergeCell ref="C4:R4"/>
    <mergeCell ref="A5:B5"/>
    <mergeCell ref="C5:R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3.'!A1" display="REGRESAR " xr:uid="{E05BD193-128F-495A-95F7-BC639C3FAC6F}"/>
    <hyperlink ref="C1:D1" location="'Metadatos 13.3.1'!A1" display="VER METADATO" xr:uid="{0FFB0519-FAC2-453C-BDA1-10DC873AF2DF}"/>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A278-2D1F-406A-A7AC-43AE6E79957C}">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6724</v>
      </c>
    </row>
    <row r="2" spans="1:6" ht="19.5" thickBot="1" x14ac:dyDescent="0.45"/>
    <row r="3" spans="1:6" ht="23.25" customHeight="1" thickBot="1" x14ac:dyDescent="0.45">
      <c r="B3" s="3385" t="s">
        <v>75</v>
      </c>
      <c r="C3" s="3385"/>
      <c r="D3" s="3385"/>
      <c r="F3" s="1046" t="s">
        <v>317</v>
      </c>
    </row>
    <row r="4" spans="1:6" x14ac:dyDescent="0.4">
      <c r="A4" s="283"/>
      <c r="B4" s="2425" t="s">
        <v>234</v>
      </c>
      <c r="C4" s="2425"/>
      <c r="D4" s="49" t="s">
        <v>6727</v>
      </c>
    </row>
    <row r="5" spans="1:6" ht="37.5" x14ac:dyDescent="0.4">
      <c r="B5" s="2425" t="s">
        <v>79</v>
      </c>
      <c r="C5" s="2425"/>
      <c r="D5" s="49" t="s">
        <v>6715</v>
      </c>
    </row>
    <row r="6" spans="1:6" x14ac:dyDescent="0.4">
      <c r="B6" s="2425" t="s">
        <v>80</v>
      </c>
      <c r="C6" s="2425"/>
      <c r="D6" s="50" t="s">
        <v>6716</v>
      </c>
    </row>
    <row r="7" spans="1:6" ht="75" x14ac:dyDescent="0.4">
      <c r="B7" s="2426" t="s">
        <v>81</v>
      </c>
      <c r="C7" s="2426"/>
      <c r="D7" s="93" t="s">
        <v>6717</v>
      </c>
    </row>
    <row r="8" spans="1:6" x14ac:dyDescent="0.4">
      <c r="B8" s="2426" t="s">
        <v>82</v>
      </c>
      <c r="C8" s="2426"/>
      <c r="D8" s="1370" t="s">
        <v>353</v>
      </c>
    </row>
    <row r="10" spans="1:6" ht="23.25" customHeight="1" x14ac:dyDescent="0.4">
      <c r="B10" s="3385" t="s">
        <v>85</v>
      </c>
      <c r="C10" s="3385"/>
      <c r="D10" s="3385"/>
    </row>
    <row r="11" spans="1:6" x14ac:dyDescent="0.4">
      <c r="B11" s="2427" t="s">
        <v>86</v>
      </c>
      <c r="C11" s="2428"/>
      <c r="D11" s="49" t="s">
        <v>167</v>
      </c>
    </row>
    <row r="12" spans="1:6" ht="37.5" x14ac:dyDescent="0.4">
      <c r="B12" s="2426" t="s">
        <v>88</v>
      </c>
      <c r="C12" s="2426"/>
      <c r="D12" s="825" t="s">
        <v>6744</v>
      </c>
    </row>
    <row r="13" spans="1:6" x14ac:dyDescent="0.4">
      <c r="B13" s="2425" t="s">
        <v>90</v>
      </c>
      <c r="C13" s="2425"/>
      <c r="D13" s="54" t="s">
        <v>1659</v>
      </c>
    </row>
    <row r="14" spans="1:6" x14ac:dyDescent="0.4">
      <c r="B14" s="2425" t="s">
        <v>91</v>
      </c>
      <c r="C14" s="2428"/>
      <c r="D14" s="54" t="s">
        <v>92</v>
      </c>
    </row>
    <row r="15" spans="1:6" ht="206.25" x14ac:dyDescent="0.4">
      <c r="B15" s="2425" t="s">
        <v>93</v>
      </c>
      <c r="C15" s="2425"/>
      <c r="D15" s="55" t="s">
        <v>6745</v>
      </c>
    </row>
    <row r="16" spans="1:6" ht="281.25" x14ac:dyDescent="0.4">
      <c r="B16" s="2425" t="s">
        <v>95</v>
      </c>
      <c r="C16" s="2425"/>
      <c r="D16" s="55" t="s">
        <v>6655</v>
      </c>
    </row>
    <row r="17" spans="2:4" x14ac:dyDescent="0.4">
      <c r="B17" s="2425" t="s">
        <v>97</v>
      </c>
      <c r="C17" s="2425"/>
      <c r="D17" s="594" t="s">
        <v>1895</v>
      </c>
    </row>
    <row r="18" spans="2:4" x14ac:dyDescent="0.4">
      <c r="B18" s="2426" t="s">
        <v>99</v>
      </c>
      <c r="C18" s="2426"/>
      <c r="D18" s="49"/>
    </row>
    <row r="19" spans="2:4" ht="15" customHeight="1" x14ac:dyDescent="0.4">
      <c r="B19" s="2435" t="s">
        <v>100</v>
      </c>
      <c r="C19" s="2436"/>
      <c r="D19" s="55" t="s">
        <v>1896</v>
      </c>
    </row>
    <row r="20" spans="2:4" x14ac:dyDescent="0.4">
      <c r="B20" s="2425" t="s">
        <v>102</v>
      </c>
      <c r="C20" s="2425"/>
      <c r="D20" s="594" t="s">
        <v>140</v>
      </c>
    </row>
    <row r="21" spans="2:4" x14ac:dyDescent="0.4">
      <c r="B21" s="2432" t="s">
        <v>104</v>
      </c>
      <c r="C21" s="57" t="s">
        <v>105</v>
      </c>
      <c r="D21" s="594" t="s">
        <v>140</v>
      </c>
    </row>
    <row r="22" spans="2:4" x14ac:dyDescent="0.4">
      <c r="B22" s="2433"/>
      <c r="C22" s="58" t="s">
        <v>107</v>
      </c>
      <c r="D22" s="55"/>
    </row>
    <row r="23" spans="2:4" x14ac:dyDescent="0.4">
      <c r="B23" s="2425" t="s">
        <v>109</v>
      </c>
      <c r="C23" s="2425"/>
      <c r="D23" s="594" t="s">
        <v>143</v>
      </c>
    </row>
    <row r="24" spans="2:4" x14ac:dyDescent="0.4">
      <c r="B24" s="2425" t="s">
        <v>111</v>
      </c>
      <c r="C24" s="2425"/>
      <c r="D24" s="826" t="s">
        <v>1706</v>
      </c>
    </row>
    <row r="25" spans="2:4" x14ac:dyDescent="0.4">
      <c r="B25" s="2425" t="s">
        <v>113</v>
      </c>
      <c r="C25" s="2425"/>
      <c r="D25" s="55" t="s">
        <v>1701</v>
      </c>
    </row>
    <row r="26" spans="2:4" ht="15" customHeight="1" x14ac:dyDescent="0.4">
      <c r="B26" s="2426" t="s">
        <v>115</v>
      </c>
      <c r="C26" s="2426"/>
      <c r="D26" s="826"/>
    </row>
    <row r="27" spans="2:4" x14ac:dyDescent="0.4">
      <c r="B27" s="2427" t="s">
        <v>117</v>
      </c>
      <c r="C27" s="2428"/>
      <c r="D27" s="49" t="s">
        <v>1897</v>
      </c>
    </row>
    <row r="28" spans="2:4" ht="112.5" x14ac:dyDescent="0.4">
      <c r="B28" s="60" t="s">
        <v>118</v>
      </c>
      <c r="C28" s="61"/>
      <c r="D28" s="594" t="s">
        <v>6746</v>
      </c>
    </row>
    <row r="29" spans="2:4" x14ac:dyDescent="0.4">
      <c r="B29" s="2429" t="s">
        <v>120</v>
      </c>
      <c r="C29" s="2430"/>
      <c r="D29" s="62"/>
    </row>
    <row r="30" spans="2:4" x14ac:dyDescent="0.4">
      <c r="B30" s="63"/>
      <c r="C30" s="63"/>
      <c r="D30" s="64"/>
    </row>
    <row r="31" spans="2:4" ht="23.25" customHeight="1" x14ac:dyDescent="0.4">
      <c r="B31" s="3385" t="s">
        <v>121</v>
      </c>
      <c r="C31" s="3385"/>
      <c r="D31" s="3385"/>
    </row>
    <row r="32" spans="2:4" x14ac:dyDescent="0.4">
      <c r="B32" s="2427" t="s">
        <v>122</v>
      </c>
      <c r="C32" s="2428"/>
      <c r="D32" s="826" t="s">
        <v>1899</v>
      </c>
    </row>
    <row r="33" spans="2:4" x14ac:dyDescent="0.4">
      <c r="B33" s="2427" t="s">
        <v>124</v>
      </c>
      <c r="C33" s="2428"/>
      <c r="D33" s="826" t="s">
        <v>1900</v>
      </c>
    </row>
    <row r="34" spans="2:4" x14ac:dyDescent="0.4">
      <c r="B34" s="2427" t="s">
        <v>126</v>
      </c>
      <c r="C34" s="2428"/>
      <c r="D34" s="826" t="s">
        <v>1706</v>
      </c>
    </row>
    <row r="35" spans="2:4" x14ac:dyDescent="0.4">
      <c r="B35" s="2427" t="s">
        <v>128</v>
      </c>
      <c r="C35" s="2428"/>
      <c r="D35" s="826" t="s">
        <v>1901</v>
      </c>
    </row>
    <row r="36" spans="2:4" x14ac:dyDescent="0.4">
      <c r="B36" s="2427" t="s">
        <v>130</v>
      </c>
      <c r="C36" s="2428"/>
      <c r="D36" s="1667" t="s">
        <v>1902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500E32B5-40C7-4BEC-A8B0-25390C25043B}">
      <formula1>Tipo_operación</formula1>
    </dataValidation>
    <dataValidation type="list" allowBlank="1" showInputMessage="1" showErrorMessage="1" sqref="D14" xr:uid="{EA86F9D3-3667-4203-8475-A05A02D9E73E}">
      <formula1>Tipo_indicador</formula1>
    </dataValidation>
    <dataValidation type="list" allowBlank="1" showInputMessage="1" showErrorMessage="1" sqref="D7" xr:uid="{9D19C665-CFA9-4AA9-B324-64562258E88E}">
      <formula1>Nombre_indicador_ODS</formula1>
    </dataValidation>
    <dataValidation type="list" allowBlank="1" showInputMessage="1" showErrorMessage="1" sqref="D6" xr:uid="{4C03B5FD-3829-484A-84A6-749E901DF682}">
      <formula1>Numero_indicador</formula1>
    </dataValidation>
    <dataValidation type="list" allowBlank="1" showInputMessage="1" showErrorMessage="1" sqref="D5" xr:uid="{0F30DF73-71BE-4F2F-89B6-F48E0FA1C028}">
      <formula1>Metas_ODS</formula1>
    </dataValidation>
    <dataValidation type="list" allowBlank="1" showInputMessage="1" showErrorMessage="1" sqref="D4" xr:uid="{50500FE8-ECFF-49CC-BCC2-22E5D8C550F8}">
      <formula1>ODS</formula1>
    </dataValidation>
    <dataValidation allowBlank="1" showDropDown="1" showInputMessage="1" showErrorMessage="1" sqref="D13" xr:uid="{F600B533-3315-4275-B162-3FF25EA45DF4}"/>
  </dataValidations>
  <hyperlinks>
    <hyperlink ref="B1" location="'13.3.1'!A1" display="REGRESAR " xr:uid="{F4142D63-511D-433B-88F1-F92CFF805273}"/>
    <hyperlink ref="D8" r:id="rId1" xr:uid="{9864B2FD-A2BC-4B50-940D-D6A006C1C364}"/>
    <hyperlink ref="D36" r:id="rId2" xr:uid="{9913E886-9C9E-4541-8F54-98F5C1FA5614}"/>
  </hyperlinks>
  <pageMargins left="0.7" right="0.7" top="0.75" bottom="0.75" header="0.3" footer="0.3"/>
  <pageSetup orientation="portrait" r:id="rId3"/>
  <drawing r:id="rId4"/>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EFA2-19C4-43AE-8889-DA0F3CC625A3}">
  <sheetPr>
    <tabColor rgb="FF7030A0"/>
  </sheetPr>
  <dimension ref="A1:P25"/>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6.28515625" style="115" customWidth="1"/>
    <col min="3" max="3" width="11.7109375" style="1048" customWidth="1"/>
    <col min="4" max="6" width="11.7109375" style="115" customWidth="1"/>
    <col min="7" max="16384" width="11.42578125" style="115"/>
  </cols>
  <sheetData>
    <row r="1" spans="1:16" x14ac:dyDescent="0.4">
      <c r="A1" s="90" t="s">
        <v>6724</v>
      </c>
      <c r="B1" s="1311"/>
      <c r="C1" s="2541" t="s">
        <v>149</v>
      </c>
      <c r="D1" s="2541"/>
    </row>
    <row r="2" spans="1:16" ht="15.75" customHeight="1" x14ac:dyDescent="0.4"/>
    <row r="3" spans="1:16" ht="18" customHeight="1" x14ac:dyDescent="0.4">
      <c r="A3" s="3397" t="s">
        <v>41</v>
      </c>
      <c r="B3" s="3398"/>
      <c r="C3" s="3397" t="s">
        <v>6725</v>
      </c>
      <c r="D3" s="3399"/>
      <c r="E3" s="3399"/>
      <c r="F3" s="3399"/>
      <c r="G3" s="3399"/>
      <c r="H3" s="3399"/>
      <c r="I3" s="3399"/>
      <c r="J3" s="3399"/>
      <c r="K3" s="3399"/>
      <c r="L3" s="3399"/>
      <c r="M3" s="3399"/>
      <c r="N3" s="3399"/>
      <c r="O3" s="3399"/>
      <c r="P3" s="3399"/>
    </row>
    <row r="4" spans="1:16" ht="55.9" customHeight="1" x14ac:dyDescent="0.4">
      <c r="A4" s="3397" t="s">
        <v>42</v>
      </c>
      <c r="B4" s="3398"/>
      <c r="C4" s="3397" t="s">
        <v>6718</v>
      </c>
      <c r="D4" s="3399"/>
      <c r="E4" s="3399"/>
      <c r="F4" s="3399"/>
      <c r="G4" s="3399"/>
      <c r="H4" s="3399"/>
      <c r="I4" s="3399"/>
      <c r="J4" s="3399"/>
      <c r="K4" s="3399"/>
      <c r="L4" s="3399"/>
      <c r="M4" s="3399"/>
      <c r="N4" s="3399"/>
      <c r="O4" s="3399"/>
      <c r="P4" s="3399"/>
    </row>
    <row r="5" spans="1:16" ht="18" customHeight="1" x14ac:dyDescent="0.4">
      <c r="A5" s="3397" t="s">
        <v>43</v>
      </c>
      <c r="B5" s="3400"/>
      <c r="C5" s="3397" t="s">
        <v>6720</v>
      </c>
      <c r="D5" s="3401"/>
      <c r="E5" s="3401"/>
      <c r="F5" s="3401"/>
      <c r="G5" s="3401"/>
      <c r="H5" s="3401"/>
      <c r="I5" s="3401"/>
      <c r="J5" s="3401"/>
      <c r="K5" s="3401"/>
      <c r="L5" s="3401"/>
      <c r="M5" s="3401"/>
      <c r="N5" s="3401"/>
      <c r="O5" s="3401"/>
      <c r="P5" s="3401"/>
    </row>
    <row r="6" spans="1:16" ht="19.5" x14ac:dyDescent="0.4">
      <c r="A6" s="3397" t="s">
        <v>132</v>
      </c>
      <c r="B6" s="3398"/>
      <c r="C6" s="3397" t="s">
        <v>242</v>
      </c>
      <c r="D6" s="3399"/>
      <c r="E6" s="3399"/>
      <c r="F6" s="3399"/>
      <c r="G6" s="3399"/>
      <c r="H6" s="3399"/>
      <c r="I6" s="3399"/>
      <c r="J6" s="3399"/>
      <c r="K6" s="3399"/>
      <c r="L6" s="3399"/>
      <c r="M6" s="3399"/>
      <c r="N6" s="3399"/>
      <c r="O6" s="3399"/>
      <c r="P6" s="3399"/>
    </row>
    <row r="7" spans="1:16" x14ac:dyDescent="0.4">
      <c r="A7" s="536"/>
    </row>
    <row r="8" spans="1:16" x14ac:dyDescent="0.4">
      <c r="A8" s="536"/>
    </row>
    <row r="9" spans="1:16" ht="11.25" customHeight="1" x14ac:dyDescent="0.4">
      <c r="A9" s="536"/>
      <c r="C9" s="2506" t="s">
        <v>650</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row r="11" spans="1:16" ht="19.5" x14ac:dyDescent="0.4">
      <c r="C11" s="1061"/>
      <c r="D11" s="1032"/>
      <c r="E11" s="1032"/>
      <c r="F11" s="1032"/>
      <c r="G11" s="1032"/>
      <c r="H11" s="1032"/>
      <c r="I11" s="1032"/>
      <c r="J11" s="1032"/>
      <c r="K11" s="1032"/>
      <c r="L11" s="1032"/>
      <c r="M11" s="1032"/>
      <c r="N11" s="1032"/>
      <c r="O11" s="1032"/>
      <c r="P11" s="1032"/>
    </row>
    <row r="12" spans="1:16" ht="19.5" x14ac:dyDescent="0.4">
      <c r="C12" s="1061"/>
      <c r="D12" s="1032"/>
      <c r="E12" s="1032"/>
      <c r="F12" s="1032"/>
      <c r="G12" s="1032"/>
      <c r="H12" s="1032"/>
      <c r="I12" s="1032"/>
      <c r="J12" s="1032"/>
      <c r="K12" s="1032"/>
      <c r="L12" s="1032"/>
      <c r="M12" s="1032"/>
      <c r="N12" s="1032"/>
      <c r="O12" s="1032"/>
      <c r="P12" s="1032"/>
    </row>
    <row r="13" spans="1:16" ht="18.600000000000001" customHeight="1" x14ac:dyDescent="0.4">
      <c r="C13" s="3070" t="s">
        <v>6747</v>
      </c>
      <c r="D13" s="3070"/>
      <c r="E13" s="3070"/>
      <c r="F13" s="3070"/>
      <c r="G13" s="3070"/>
      <c r="H13" s="3070"/>
      <c r="I13" s="3070"/>
      <c r="J13" s="3070"/>
      <c r="K13" s="3070"/>
      <c r="L13" s="3070"/>
      <c r="M13" s="3070"/>
      <c r="N13" s="3070"/>
      <c r="O13" s="3070"/>
      <c r="P13" s="3070"/>
    </row>
    <row r="14" spans="1:16" ht="18.600000000000001" customHeight="1" x14ac:dyDescent="0.4">
      <c r="C14" s="3070"/>
      <c r="D14" s="3070"/>
      <c r="E14" s="3070"/>
      <c r="F14" s="3070"/>
      <c r="G14" s="3070"/>
      <c r="H14" s="3070"/>
      <c r="I14" s="3070"/>
      <c r="J14" s="3070"/>
      <c r="K14" s="3070"/>
      <c r="L14" s="3070"/>
      <c r="M14" s="3070"/>
      <c r="N14" s="3070"/>
      <c r="O14" s="3070"/>
      <c r="P14" s="3070"/>
    </row>
    <row r="15" spans="1:16" ht="18.600000000000001" customHeight="1" x14ac:dyDescent="0.4">
      <c r="C15" s="3070"/>
      <c r="D15" s="3070"/>
      <c r="E15" s="3070"/>
      <c r="F15" s="3070"/>
      <c r="G15" s="3070"/>
      <c r="H15" s="3070"/>
      <c r="I15" s="3070"/>
      <c r="J15" s="3070"/>
      <c r="K15" s="3070"/>
      <c r="L15" s="3070"/>
      <c r="M15" s="3070"/>
      <c r="N15" s="3070"/>
      <c r="O15" s="3070"/>
      <c r="P15" s="3070"/>
    </row>
    <row r="16" spans="1:16" ht="18.600000000000001" customHeight="1" x14ac:dyDescent="0.4">
      <c r="C16" s="3070"/>
      <c r="D16" s="3070"/>
      <c r="E16" s="3070"/>
      <c r="F16" s="3070"/>
      <c r="G16" s="3070"/>
      <c r="H16" s="3070"/>
      <c r="I16" s="3070"/>
      <c r="J16" s="3070"/>
      <c r="K16" s="3070"/>
      <c r="L16" s="3070"/>
      <c r="M16" s="3070"/>
      <c r="N16" s="3070"/>
      <c r="O16" s="3070"/>
      <c r="P16" s="3070"/>
    </row>
    <row r="17" spans="1:16" ht="18.600000000000001" customHeight="1" x14ac:dyDescent="0.4">
      <c r="C17" s="3070"/>
      <c r="D17" s="3070"/>
      <c r="E17" s="3070"/>
      <c r="F17" s="3070"/>
      <c r="G17" s="3070"/>
      <c r="H17" s="3070"/>
      <c r="I17" s="3070"/>
      <c r="J17" s="3070"/>
      <c r="K17" s="3070"/>
      <c r="L17" s="3070"/>
      <c r="M17" s="3070"/>
      <c r="N17" s="3070"/>
      <c r="O17" s="3070"/>
      <c r="P17" s="3070"/>
    </row>
    <row r="20" spans="1:16" x14ac:dyDescent="0.4">
      <c r="A20" s="221"/>
      <c r="B20" s="220"/>
      <c r="C20" s="220"/>
      <c r="D20" s="220"/>
      <c r="E20" s="220"/>
      <c r="F20" s="220"/>
      <c r="G20" s="220"/>
      <c r="H20" s="220"/>
      <c r="I20" s="220"/>
      <c r="J20" s="220"/>
      <c r="K20" s="220"/>
      <c r="L20" s="220"/>
      <c r="M20" s="220"/>
      <c r="N20" s="220"/>
      <c r="O20" s="220"/>
    </row>
    <row r="21" spans="1:16" x14ac:dyDescent="0.4">
      <c r="A21" s="221"/>
      <c r="B21" s="220"/>
      <c r="C21" s="220"/>
      <c r="D21" s="220"/>
      <c r="E21" s="220"/>
      <c r="F21" s="220"/>
      <c r="G21" s="220"/>
      <c r="H21" s="220"/>
      <c r="I21" s="220"/>
      <c r="J21" s="220"/>
      <c r="K21" s="220"/>
      <c r="L21" s="220"/>
      <c r="M21" s="220"/>
      <c r="N21" s="220"/>
      <c r="O21" s="220"/>
    </row>
    <row r="22" spans="1:16" x14ac:dyDescent="0.4">
      <c r="A22" s="221"/>
      <c r="B22" s="220"/>
      <c r="C22" s="220"/>
      <c r="D22" s="220"/>
      <c r="E22" s="220"/>
      <c r="F22" s="220"/>
      <c r="G22" s="220"/>
      <c r="H22" s="220"/>
      <c r="I22" s="220"/>
      <c r="J22" s="220"/>
      <c r="K22" s="220"/>
      <c r="L22" s="220"/>
      <c r="M22" s="220"/>
      <c r="N22" s="220"/>
      <c r="O22" s="220"/>
    </row>
    <row r="23" spans="1:16" x14ac:dyDescent="0.4">
      <c r="A23" s="221"/>
      <c r="B23" s="220"/>
      <c r="C23" s="220"/>
      <c r="D23" s="220"/>
      <c r="E23" s="220"/>
      <c r="F23" s="220"/>
      <c r="G23" s="220"/>
      <c r="H23" s="220"/>
      <c r="I23" s="220"/>
      <c r="J23" s="220"/>
      <c r="K23" s="220"/>
      <c r="L23" s="220"/>
      <c r="M23" s="220"/>
      <c r="N23" s="220"/>
      <c r="O23" s="220"/>
    </row>
    <row r="24" spans="1:16" x14ac:dyDescent="0.4">
      <c r="A24" s="221"/>
      <c r="B24" s="220"/>
      <c r="C24" s="220"/>
      <c r="D24" s="220"/>
      <c r="E24" s="220"/>
      <c r="F24" s="220"/>
      <c r="G24" s="220"/>
      <c r="H24" s="220"/>
      <c r="I24" s="220"/>
      <c r="J24" s="220"/>
      <c r="K24" s="220"/>
      <c r="L24" s="220"/>
      <c r="M24" s="220"/>
      <c r="N24" s="220"/>
      <c r="O24" s="220"/>
    </row>
    <row r="25" spans="1:16" x14ac:dyDescent="0.4">
      <c r="A25" s="2494" t="s">
        <v>652</v>
      </c>
      <c r="B25" s="2494"/>
      <c r="C25" s="2494"/>
      <c r="D25" s="2494"/>
      <c r="E25" s="2494"/>
      <c r="F25" s="2494"/>
      <c r="G25" s="2494"/>
      <c r="H25" s="2494"/>
      <c r="I25" s="2494"/>
      <c r="J25" s="2494"/>
      <c r="K25" s="2494"/>
      <c r="L25" s="2494"/>
      <c r="M25" s="2494"/>
      <c r="N25" s="2494"/>
      <c r="O25" s="2494"/>
    </row>
  </sheetData>
  <mergeCells count="12">
    <mergeCell ref="A5:B5"/>
    <mergeCell ref="C5:P5"/>
    <mergeCell ref="C1:D1"/>
    <mergeCell ref="A3:B3"/>
    <mergeCell ref="C3:P3"/>
    <mergeCell ref="A4:B4"/>
    <mergeCell ref="C4:P4"/>
    <mergeCell ref="A6:B6"/>
    <mergeCell ref="C6:P6"/>
    <mergeCell ref="C9:P10"/>
    <mergeCell ref="C13:P17"/>
    <mergeCell ref="A25:O25"/>
  </mergeCells>
  <hyperlinks>
    <hyperlink ref="A1" location="'ODS 13.'!A1" display="REGRESAR " xr:uid="{F86D837D-39CB-4FE9-A02C-452D57C877B3}"/>
    <hyperlink ref="C1:D1" location="'Metadato 13.a.1'!A1" display="VER METADATO" xr:uid="{595435A5-AADF-44F5-9936-3D0F0230C59F}"/>
  </hyperlinks>
  <pageMargins left="0.7" right="0.7" top="0.75" bottom="0.75" header="0.3" footer="0.3"/>
  <drawing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2C25-F5E1-4815-B690-FEF92A4F401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6724</v>
      </c>
    </row>
    <row r="2" spans="1:6" ht="19.5" thickBot="1" x14ac:dyDescent="0.45"/>
    <row r="3" spans="1:6" ht="23.25" customHeight="1" thickBot="1" x14ac:dyDescent="0.45">
      <c r="B3" s="3385" t="s">
        <v>75</v>
      </c>
      <c r="C3" s="3385"/>
      <c r="D3" s="3385"/>
      <c r="F3" s="1046" t="s">
        <v>317</v>
      </c>
    </row>
    <row r="4" spans="1:6" x14ac:dyDescent="0.4">
      <c r="A4" s="283"/>
      <c r="B4" s="2425" t="s">
        <v>234</v>
      </c>
      <c r="C4" s="2425"/>
      <c r="D4" s="49" t="s">
        <v>6727</v>
      </c>
    </row>
    <row r="5" spans="1:6" ht="93.75" x14ac:dyDescent="0.4">
      <c r="B5" s="2425" t="s">
        <v>79</v>
      </c>
      <c r="C5" s="2425"/>
      <c r="D5" s="49" t="s">
        <v>6718</v>
      </c>
    </row>
    <row r="6" spans="1:6" x14ac:dyDescent="0.4">
      <c r="B6" s="2425" t="s">
        <v>80</v>
      </c>
      <c r="C6" s="2425"/>
      <c r="D6" s="50" t="s">
        <v>6719</v>
      </c>
    </row>
    <row r="7" spans="1:6" ht="56.25" x14ac:dyDescent="0.4">
      <c r="B7" s="2426" t="s">
        <v>81</v>
      </c>
      <c r="C7" s="2426"/>
      <c r="D7" s="93" t="s">
        <v>6720</v>
      </c>
    </row>
    <row r="8" spans="1:6" x14ac:dyDescent="0.4">
      <c r="B8" s="2426" t="s">
        <v>82</v>
      </c>
      <c r="C8" s="2426"/>
      <c r="D8" s="1047" t="s">
        <v>353</v>
      </c>
    </row>
    <row r="10" spans="1:6" ht="23.25" customHeight="1" x14ac:dyDescent="0.4">
      <c r="B10" s="3385" t="s">
        <v>85</v>
      </c>
      <c r="C10" s="3385"/>
      <c r="D10" s="3385"/>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85" t="s">
        <v>121</v>
      </c>
      <c r="C31" s="3385"/>
      <c r="D31" s="338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BEF1ED4-EECC-43FD-98ED-E07CD004AAAA}">
      <formula1>Tipo_operación</formula1>
    </dataValidation>
    <dataValidation type="list" allowBlank="1" showInputMessage="1" showErrorMessage="1" sqref="D14" xr:uid="{3ABB6459-27D6-48CF-8448-6C985E5080CB}">
      <formula1>Tipo_indicador</formula1>
    </dataValidation>
    <dataValidation type="list" allowBlank="1" showInputMessage="1" showErrorMessage="1" sqref="D7" xr:uid="{5FA5221D-8204-4111-8841-B995F767F951}">
      <formula1>Nombre_indicador_ODS</formula1>
    </dataValidation>
    <dataValidation type="list" allowBlank="1" showInputMessage="1" showErrorMessage="1" sqref="D6" xr:uid="{B23AC217-0C32-44B6-BFAF-BD7CFE5C1516}">
      <formula1>Numero_indicador</formula1>
    </dataValidation>
    <dataValidation type="list" allowBlank="1" showInputMessage="1" showErrorMessage="1" sqref="D5" xr:uid="{98FC4E6F-E400-4973-8A75-77EA4907DB7A}">
      <formula1>Metas_ODS</formula1>
    </dataValidation>
    <dataValidation type="list" allowBlank="1" showInputMessage="1" showErrorMessage="1" sqref="D4" xr:uid="{B2E73021-775C-41F3-8840-C45CCA22BF9A}">
      <formula1>ODS</formula1>
    </dataValidation>
    <dataValidation allowBlank="1" showDropDown="1" showInputMessage="1" showErrorMessage="1" sqref="D13" xr:uid="{A176B011-5827-4C69-9E36-E027DE47552C}"/>
  </dataValidations>
  <hyperlinks>
    <hyperlink ref="B1" location="'13.a.1'!A1" display="REGRESAR " xr:uid="{C74FD3DF-FF3A-4E46-A08F-92A194E501E9}"/>
    <hyperlink ref="D8" r:id="rId1" xr:uid="{7FF5134D-97F0-4374-BFAC-00541DF1ADC1}"/>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C2DD-3CCC-43D8-96A7-C004BDAA33CA}">
  <sheetPr>
    <tabColor rgb="FF7030A0"/>
  </sheetPr>
  <dimension ref="A1:P1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6.7109375" style="115" customWidth="1"/>
    <col min="3" max="3" width="10.7109375" style="1048" customWidth="1"/>
    <col min="4" max="7" width="10.7109375" style="115" customWidth="1"/>
    <col min="8" max="16384" width="11.42578125" style="115"/>
  </cols>
  <sheetData>
    <row r="1" spans="1:16" x14ac:dyDescent="0.4">
      <c r="A1" s="90" t="s">
        <v>6724</v>
      </c>
      <c r="B1" s="1311"/>
      <c r="C1" s="2541" t="s">
        <v>149</v>
      </c>
      <c r="D1" s="2541"/>
    </row>
    <row r="3" spans="1:16" ht="19.5" x14ac:dyDescent="0.4">
      <c r="A3" s="3397" t="s">
        <v>41</v>
      </c>
      <c r="B3" s="3398"/>
      <c r="C3" s="3397" t="s">
        <v>6725</v>
      </c>
      <c r="D3" s="3399"/>
      <c r="E3" s="3399"/>
      <c r="F3" s="3399"/>
      <c r="G3" s="3399"/>
      <c r="H3" s="3399"/>
      <c r="I3" s="3399"/>
      <c r="J3" s="3399"/>
      <c r="K3" s="3399"/>
      <c r="L3" s="3399"/>
      <c r="M3" s="3399"/>
      <c r="N3" s="3399"/>
      <c r="O3" s="3399"/>
      <c r="P3" s="3399"/>
    </row>
    <row r="4" spans="1:16" ht="36.6" customHeight="1" x14ac:dyDescent="0.4">
      <c r="A4" s="3397" t="s">
        <v>42</v>
      </c>
      <c r="B4" s="3398"/>
      <c r="C4" s="3397" t="s">
        <v>6721</v>
      </c>
      <c r="D4" s="3399"/>
      <c r="E4" s="3399"/>
      <c r="F4" s="3399"/>
      <c r="G4" s="3399"/>
      <c r="H4" s="3399"/>
      <c r="I4" s="3399"/>
      <c r="J4" s="3399"/>
      <c r="K4" s="3399"/>
      <c r="L4" s="3399"/>
      <c r="M4" s="3399"/>
      <c r="N4" s="3399"/>
      <c r="O4" s="3399"/>
      <c r="P4" s="3399"/>
    </row>
    <row r="5" spans="1:16" ht="34.9" customHeight="1" x14ac:dyDescent="0.4">
      <c r="A5" s="3397" t="s">
        <v>43</v>
      </c>
      <c r="B5" s="3400"/>
      <c r="C5" s="3397" t="s">
        <v>6748</v>
      </c>
      <c r="D5" s="3401"/>
      <c r="E5" s="3401"/>
      <c r="F5" s="3401"/>
      <c r="G5" s="3401"/>
      <c r="H5" s="3401"/>
      <c r="I5" s="3401"/>
      <c r="J5" s="3401"/>
      <c r="K5" s="3401"/>
      <c r="L5" s="3401"/>
      <c r="M5" s="3401"/>
      <c r="N5" s="3401"/>
      <c r="O5" s="3401"/>
      <c r="P5" s="3401"/>
    </row>
    <row r="6" spans="1:16" ht="19.5" x14ac:dyDescent="0.4">
      <c r="A6" s="3397" t="s">
        <v>132</v>
      </c>
      <c r="B6" s="3398"/>
      <c r="C6" s="3397" t="s">
        <v>242</v>
      </c>
      <c r="D6" s="3399"/>
      <c r="E6" s="3399"/>
      <c r="F6" s="3399"/>
      <c r="G6" s="3399"/>
      <c r="H6" s="3399"/>
      <c r="I6" s="3399"/>
      <c r="J6" s="3399"/>
      <c r="K6" s="3399"/>
      <c r="L6" s="3399"/>
      <c r="M6" s="3399"/>
      <c r="N6" s="3399"/>
      <c r="O6" s="3399"/>
      <c r="P6" s="3399"/>
    </row>
    <row r="7" spans="1:16" x14ac:dyDescent="0.4">
      <c r="A7" s="536"/>
    </row>
    <row r="8" spans="1:16" x14ac:dyDescent="0.4">
      <c r="A8" s="536"/>
    </row>
    <row r="9" spans="1:16" ht="11.25" customHeight="1" x14ac:dyDescent="0.4">
      <c r="C9" s="2506" t="s">
        <v>650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row r="13" spans="1:16" x14ac:dyDescent="0.4">
      <c r="A13" s="221"/>
      <c r="B13" s="220"/>
      <c r="C13" s="220"/>
      <c r="D13" s="220"/>
      <c r="E13" s="220"/>
      <c r="F13" s="220"/>
      <c r="G13" s="220"/>
      <c r="H13" s="220"/>
      <c r="I13" s="220"/>
      <c r="J13" s="220"/>
      <c r="K13" s="220"/>
      <c r="L13" s="220"/>
      <c r="M13" s="220"/>
      <c r="N13" s="220"/>
      <c r="O13" s="220"/>
    </row>
    <row r="14" spans="1:16" x14ac:dyDescent="0.4">
      <c r="A14" s="221"/>
      <c r="B14" s="220"/>
      <c r="C14" s="220"/>
      <c r="D14" s="220"/>
      <c r="E14" s="220"/>
      <c r="F14" s="220"/>
      <c r="G14" s="220"/>
      <c r="H14" s="220"/>
      <c r="I14" s="220"/>
      <c r="J14" s="220"/>
      <c r="K14" s="220"/>
      <c r="L14" s="220"/>
      <c r="M14" s="220"/>
      <c r="N14" s="220"/>
      <c r="O14" s="220"/>
    </row>
    <row r="15" spans="1:16" x14ac:dyDescent="0.4">
      <c r="A15" s="221"/>
      <c r="B15" s="220"/>
      <c r="C15" s="220"/>
      <c r="D15" s="220"/>
      <c r="E15" s="220"/>
      <c r="F15" s="220"/>
      <c r="G15" s="220"/>
      <c r="H15" s="220"/>
      <c r="I15" s="220"/>
      <c r="J15" s="220"/>
      <c r="K15" s="220"/>
      <c r="L15" s="220"/>
      <c r="M15" s="220"/>
      <c r="N15" s="220"/>
      <c r="O15" s="220"/>
    </row>
    <row r="16" spans="1:16" x14ac:dyDescent="0.4">
      <c r="A16" s="221"/>
      <c r="B16" s="220"/>
      <c r="C16" s="220"/>
      <c r="D16" s="220"/>
      <c r="E16" s="220"/>
      <c r="F16" s="220"/>
      <c r="G16" s="220"/>
      <c r="H16" s="220"/>
      <c r="I16" s="220"/>
      <c r="J16" s="220"/>
      <c r="K16" s="220"/>
      <c r="L16" s="220"/>
      <c r="M16" s="220"/>
      <c r="N16" s="220"/>
      <c r="O16" s="220"/>
    </row>
    <row r="17" spans="1:15" x14ac:dyDescent="0.4">
      <c r="A17" s="221"/>
      <c r="B17" s="220"/>
      <c r="C17" s="220"/>
      <c r="D17" s="220"/>
      <c r="E17" s="220"/>
      <c r="F17" s="220"/>
      <c r="G17" s="220"/>
      <c r="H17" s="220"/>
      <c r="I17" s="220"/>
      <c r="J17" s="220"/>
      <c r="K17" s="220"/>
      <c r="L17" s="220"/>
      <c r="M17" s="220"/>
      <c r="N17" s="220"/>
      <c r="O17" s="220"/>
    </row>
    <row r="18" spans="1:15" x14ac:dyDescent="0.4">
      <c r="A18" s="2494" t="s">
        <v>652</v>
      </c>
      <c r="B18" s="2494"/>
      <c r="C18" s="2494"/>
      <c r="D18" s="2494"/>
      <c r="E18" s="2494"/>
      <c r="F18" s="2494"/>
      <c r="G18" s="2494"/>
      <c r="H18" s="2494"/>
      <c r="I18" s="2494"/>
      <c r="J18" s="2494"/>
      <c r="K18" s="2494"/>
      <c r="L18" s="2494"/>
      <c r="M18" s="2494"/>
      <c r="N18" s="2494"/>
      <c r="O18" s="2494"/>
    </row>
  </sheetData>
  <mergeCells count="11">
    <mergeCell ref="A6:B6"/>
    <mergeCell ref="C6:P6"/>
    <mergeCell ref="C9:P10"/>
    <mergeCell ref="A18:O18"/>
    <mergeCell ref="C1:D1"/>
    <mergeCell ref="A3:B3"/>
    <mergeCell ref="C3:P3"/>
    <mergeCell ref="A4:B4"/>
    <mergeCell ref="C4:P4"/>
    <mergeCell ref="A5:B5"/>
    <mergeCell ref="C5:P5"/>
  </mergeCells>
  <hyperlinks>
    <hyperlink ref="A1" location="'ODS 13.'!A1" display="REGRESAR " xr:uid="{8CC0D605-0AB0-4637-B4C3-E3D1A8EB1326}"/>
    <hyperlink ref="C1:D1" location="'Metadato 13.b.1'!A1" display="VER METADATO" xr:uid="{1CAB3A24-163D-46A4-8C0B-26A97E5AA3C6}"/>
  </hyperlinks>
  <pageMargins left="0.7" right="0.7" top="0.75" bottom="0.75" header="0.3" footer="0.3"/>
  <drawing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D19-56A7-42C5-8500-F3F1411091B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6724</v>
      </c>
    </row>
    <row r="2" spans="1:6" ht="19.5" thickBot="1" x14ac:dyDescent="0.45"/>
    <row r="3" spans="1:6" ht="23.25" customHeight="1" thickBot="1" x14ac:dyDescent="0.45">
      <c r="B3" s="3385" t="s">
        <v>75</v>
      </c>
      <c r="C3" s="3385"/>
      <c r="D3" s="3385"/>
      <c r="F3" s="1046" t="s">
        <v>317</v>
      </c>
    </row>
    <row r="4" spans="1:6" x14ac:dyDescent="0.4">
      <c r="A4" s="283"/>
      <c r="B4" s="2425" t="s">
        <v>234</v>
      </c>
      <c r="C4" s="2425"/>
      <c r="D4" s="49" t="s">
        <v>6702</v>
      </c>
    </row>
    <row r="5" spans="1:6" ht="63.75" customHeight="1" x14ac:dyDescent="0.4">
      <c r="B5" s="2425" t="s">
        <v>79</v>
      </c>
      <c r="C5" s="2425"/>
      <c r="D5" s="49" t="s">
        <v>6721</v>
      </c>
    </row>
    <row r="6" spans="1:6" ht="15" customHeight="1" x14ac:dyDescent="0.4">
      <c r="B6" s="2425" t="s">
        <v>80</v>
      </c>
      <c r="C6" s="2425"/>
      <c r="D6" s="50" t="s">
        <v>6722</v>
      </c>
    </row>
    <row r="7" spans="1:6" ht="75" x14ac:dyDescent="0.4">
      <c r="B7" s="2426" t="s">
        <v>81</v>
      </c>
      <c r="C7" s="2426"/>
      <c r="D7" s="667" t="s">
        <v>6748</v>
      </c>
    </row>
    <row r="8" spans="1:6" x14ac:dyDescent="0.4">
      <c r="B8" s="2426" t="s">
        <v>82</v>
      </c>
      <c r="C8" s="2426"/>
      <c r="D8" s="1345" t="s">
        <v>353</v>
      </c>
    </row>
    <row r="10" spans="1:6" ht="23.25" customHeight="1" x14ac:dyDescent="0.4">
      <c r="B10" s="3385" t="s">
        <v>85</v>
      </c>
      <c r="C10" s="3385"/>
      <c r="D10" s="3385"/>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385" t="s">
        <v>121</v>
      </c>
      <c r="C31" s="3385"/>
      <c r="D31" s="338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1AB4901-E99A-4A24-AEC3-B293DE1CBD24}"/>
    <dataValidation type="list" allowBlank="1" showInputMessage="1" showErrorMessage="1" sqref="D4" xr:uid="{118BEBE6-D8FB-43F3-A8EE-43FB2D45647D}">
      <formula1>ODS</formula1>
    </dataValidation>
    <dataValidation type="list" allowBlank="1" showInputMessage="1" showErrorMessage="1" sqref="D5" xr:uid="{1229AA35-56A1-443C-A7B5-0F9E2C5941F7}">
      <formula1>Metas_ODS</formula1>
    </dataValidation>
    <dataValidation type="list" allowBlank="1" showInputMessage="1" showErrorMessage="1" sqref="D6" xr:uid="{30E28F70-19EB-461A-B382-CD296C032F16}">
      <formula1>Numero_indicador</formula1>
    </dataValidation>
    <dataValidation type="list" allowBlank="1" showInputMessage="1" showErrorMessage="1" sqref="D7" xr:uid="{47B7C04D-24C8-472A-A6E2-410BFED5278F}">
      <formula1>Nombre_indicador_ODS</formula1>
    </dataValidation>
    <dataValidation type="list" allowBlank="1" showInputMessage="1" showErrorMessage="1" sqref="D14" xr:uid="{CB5DD795-B091-426A-843B-8990809215C7}">
      <formula1>Tipo_indicador</formula1>
    </dataValidation>
    <dataValidation type="list" allowBlank="1" showInputMessage="1" showErrorMessage="1" sqref="D25" xr:uid="{C69E69CD-D7A8-4460-B465-B39EC7035762}">
      <formula1>Tipo_operación</formula1>
    </dataValidation>
  </dataValidations>
  <hyperlinks>
    <hyperlink ref="B1" location="'13.b.1'!A1" display="REGRESAR " xr:uid="{DE17DD71-2E2F-4E6E-9931-1AC76D8F11D8}"/>
    <hyperlink ref="D8" r:id="rId1" xr:uid="{19689B24-5871-46A4-B34A-08FABCC208FF}"/>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D8D2-475C-415F-B5BE-55F86BB4397F}">
  <sheetPr>
    <tabColor rgb="FF0A97D9"/>
  </sheetPr>
  <dimension ref="A1:E14"/>
  <sheetViews>
    <sheetView showGridLines="0" workbookViewId="0">
      <pane ySplit="4" topLeftCell="A9" activePane="bottomLeft" state="frozen"/>
      <selection sqref="A1:B1"/>
      <selection pane="bottomLeft" sqref="A1:B1"/>
    </sheetView>
  </sheetViews>
  <sheetFormatPr baseColWidth="10" defaultColWidth="11.5703125" defaultRowHeight="18.75" x14ac:dyDescent="0.4"/>
  <cols>
    <col min="1" max="2" width="11.5703125" style="5"/>
    <col min="3" max="3" width="69.7109375" style="5" customWidth="1"/>
    <col min="4" max="4" width="11.5703125" style="5"/>
    <col min="5" max="5" width="71.7109375" style="5" customWidth="1"/>
    <col min="6" max="16384" width="11.5703125" style="5"/>
  </cols>
  <sheetData>
    <row r="1" spans="1:5" ht="19.5" x14ac:dyDescent="0.4">
      <c r="A1" s="2410" t="s">
        <v>1</v>
      </c>
      <c r="B1" s="2410"/>
    </row>
    <row r="3" spans="1:5" ht="55.15" customHeight="1" x14ac:dyDescent="0.4">
      <c r="C3" s="3405" t="s">
        <v>6749</v>
      </c>
      <c r="D3" s="3405"/>
      <c r="E3" s="3405"/>
    </row>
    <row r="4" spans="1:5" ht="45.6" customHeight="1" x14ac:dyDescent="0.4">
      <c r="C4" s="8" t="s">
        <v>3</v>
      </c>
      <c r="D4" s="8" t="s">
        <v>4</v>
      </c>
      <c r="E4" s="8" t="s">
        <v>5</v>
      </c>
    </row>
    <row r="5" spans="1:5" s="3" customFormat="1" ht="78" x14ac:dyDescent="0.25">
      <c r="C5" s="10" t="s">
        <v>6750</v>
      </c>
      <c r="D5" s="13" t="s">
        <v>6751</v>
      </c>
      <c r="E5" s="14" t="s">
        <v>6752</v>
      </c>
    </row>
    <row r="6" spans="1:5" s="3" customFormat="1" ht="97.5" x14ac:dyDescent="0.25">
      <c r="C6" s="10" t="s">
        <v>6753</v>
      </c>
      <c r="D6" s="13" t="s">
        <v>6754</v>
      </c>
      <c r="E6" s="14" t="s">
        <v>6755</v>
      </c>
    </row>
    <row r="7" spans="1:5" s="3" customFormat="1" ht="44.25" customHeight="1" x14ac:dyDescent="0.25">
      <c r="C7" s="10" t="s">
        <v>6756</v>
      </c>
      <c r="D7" s="13" t="s">
        <v>6757</v>
      </c>
      <c r="E7" s="14" t="s">
        <v>6758</v>
      </c>
    </row>
    <row r="8" spans="1:5" s="3" customFormat="1" ht="136.5" x14ac:dyDescent="0.25">
      <c r="C8" s="10" t="s">
        <v>6759</v>
      </c>
      <c r="D8" s="11" t="s">
        <v>6760</v>
      </c>
      <c r="E8" s="12" t="s">
        <v>6761</v>
      </c>
    </row>
    <row r="9" spans="1:5" s="3" customFormat="1" ht="78" x14ac:dyDescent="0.25">
      <c r="C9" s="10" t="s">
        <v>6762</v>
      </c>
      <c r="D9" s="11" t="s">
        <v>6763</v>
      </c>
      <c r="E9" s="12" t="s">
        <v>6764</v>
      </c>
    </row>
    <row r="10" spans="1:5" s="3" customFormat="1" ht="177" x14ac:dyDescent="0.25">
      <c r="C10" s="10" t="s">
        <v>6765</v>
      </c>
      <c r="D10" s="13" t="s">
        <v>6766</v>
      </c>
      <c r="E10" s="14" t="s">
        <v>6767</v>
      </c>
    </row>
    <row r="11" spans="1:5" s="3" customFormat="1" ht="97.5" x14ac:dyDescent="0.25">
      <c r="C11" s="10" t="s">
        <v>6768</v>
      </c>
      <c r="D11" s="13" t="s">
        <v>6769</v>
      </c>
      <c r="E11" s="14" t="s">
        <v>6770</v>
      </c>
    </row>
    <row r="12" spans="1:5" s="3" customFormat="1" ht="156" x14ac:dyDescent="0.25">
      <c r="C12" s="10" t="s">
        <v>6771</v>
      </c>
      <c r="D12" s="13" t="s">
        <v>6772</v>
      </c>
      <c r="E12" s="14" t="s">
        <v>6773</v>
      </c>
    </row>
    <row r="13" spans="1:5" s="3" customFormat="1" ht="58.5" x14ac:dyDescent="0.25">
      <c r="C13" s="10" t="s">
        <v>6774</v>
      </c>
      <c r="D13" s="13" t="s">
        <v>6775</v>
      </c>
      <c r="E13" s="14" t="s">
        <v>6776</v>
      </c>
    </row>
    <row r="14" spans="1:5" s="3" customFormat="1" ht="117" x14ac:dyDescent="0.25">
      <c r="C14" s="10" t="s">
        <v>6777</v>
      </c>
      <c r="D14" s="13" t="s">
        <v>6778</v>
      </c>
      <c r="E14" s="14" t="s">
        <v>6779</v>
      </c>
    </row>
  </sheetData>
  <mergeCells count="2">
    <mergeCell ref="A1:B1"/>
    <mergeCell ref="C3:E3"/>
  </mergeCells>
  <hyperlinks>
    <hyperlink ref="A1" location="Objetivos!A1" display="REGRESAR A INICIO" xr:uid="{6E6D0C9E-8A12-4036-A341-67FA338FB84C}"/>
    <hyperlink ref="A1:B1" location="'Lista de Objetivos'!A1" display="REGRESAR A INICIO" xr:uid="{A82FEE27-DFB0-449D-9007-6B0D690F248F}"/>
    <hyperlink ref="D5" location="'14.1.1'!A1" display="14.1.1" xr:uid="{06E819CA-9162-4ADD-9BBF-DA61BC56449D}"/>
    <hyperlink ref="E5" location="'14.1.1'!A1" display="14.1.1 a) Índice de eutrofización costera; y b) densidad de detritos plásticosi" xr:uid="{958836D1-CB58-439D-864C-61CA07A346D5}"/>
    <hyperlink ref="E6" location="'14.2.1'!A1" display="14.2.1 Número de países que aplican enfoques basados en los ecosistemas para gestionar las zonas marinas" xr:uid="{B5E41A3D-D5F7-4A49-A993-7CCC56777BB8}"/>
    <hyperlink ref="D7" location="'14.3.1'!A1" display="14.3.1" xr:uid="{09EB9F0F-C209-493E-8983-142B211C902A}"/>
    <hyperlink ref="E7" location="'14.3.1'!A1" display="14.3.1 Acidez media del mar (pH) medida en un conjunto convenido de estaciones de muestreo representativas" xr:uid="{BE2BA514-9CE1-4F2F-8B6E-7BFECA70B49C}"/>
    <hyperlink ref="D8" location="'14.4.1'!A1" display="14.4.1" xr:uid="{78A4815B-8B98-48A2-91C3-8A3F8B9135DD}"/>
    <hyperlink ref="E8" location="'14.4.1'!A1" display="14.4.1 Proporción de poblaciones de peces cuyos niveles son biológicamente sostenibles" xr:uid="{D21FB209-D3A3-4DA8-BF9C-5A8A5C86687E}"/>
    <hyperlink ref="D9" location="'14.5.1'!A1" display="14.5.1" xr:uid="{14A3C769-C5A6-4244-9AB6-F7CCA9EBD516}"/>
    <hyperlink ref="E9" location="'14.5.1'!A1" display="14.5.1 Cobertura de las zonas protegidas en relación con las zonas marinas" xr:uid="{A1DDE803-85F4-474E-9421-BD4D63570BBA}"/>
    <hyperlink ref="D10" location="'14.6.1'!A1" display="14.6.1" xr:uid="{A06047E4-874C-4943-9227-5B0F3388DB4F}"/>
    <hyperlink ref="E10" location="'14.6.1'!A1" display="14.6.1 Grado de aplicación de instrumentos internacionales cuyo objetivo es combatir la pesca ilegal, no declarada y no reglamentada" xr:uid="{E76FA47B-82EF-424A-B4F3-B54824BC3369}"/>
    <hyperlink ref="D11" location="'14.7.1'!A1" display="14.7.1" xr:uid="{F169A3BF-101C-4B3D-9476-2C62A5DEF82F}"/>
    <hyperlink ref="E11" location="'14.7.1'!A1" display="14.7.1 Proporción del PIB correspondiente a la pesca sostenible en los pequeños Estados insulares en desarrollo, en los países menos adelantados y en todos los países" xr:uid="{590B3042-10B2-46D8-89B2-640AC1A5F85E}"/>
    <hyperlink ref="D12" location="'14.a.1'!A1" display="14.a.1" xr:uid="{F5C10051-C6C0-402B-910C-5DD155D07693}"/>
    <hyperlink ref="E12" location="'14.a.1'!A1" display="14.a.1 Proporción del presupuesto total de investigación asignada a la investigación en el campo de la tecnología marina" xr:uid="{086727A5-E963-452A-9C22-4D3FACCD2A35}"/>
    <hyperlink ref="D13" location="'14.b.1'!A1" display="14.b.1" xr:uid="{21603EA9-1ADF-4278-AEB0-A6D77155F96E}"/>
    <hyperlink ref="E13" location="'14.b.1'!A1" display="14.b.1 Grado de aplicación de un marco jurídico, reglamentario, normativo o institucional que reconozca y proteja los derechos de acceso para la pesca en pequeña escala" xr:uid="{31741D0C-657B-411C-A0CB-4DC15FB57594}"/>
    <hyperlink ref="D14" location="'14.c.1'!A1" display="14.c.1" xr:uid="{1A3EF329-8C75-419B-ABAB-CB3DE1A913A3}"/>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E25841B4-CF60-46C2-B528-E45EBBC80546}"/>
    <hyperlink ref="D6" location="'14.2.1'!A1" display="14.2.1" xr:uid="{AB3CF2FD-DE66-4DFC-BCF9-9213053866BF}"/>
  </hyperlinks>
  <pageMargins left="0.7" right="0.7" top="0.75" bottom="0.75" header="0.3" footer="0.3"/>
  <pageSetup orientation="portrait" r:id="rId1"/>
  <drawing r:id="rId2"/>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94679-212D-433E-B22D-3F9D57D68185}">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 style="115" customWidth="1"/>
    <col min="3" max="3" width="12.28515625" style="1048" customWidth="1"/>
    <col min="4" max="5" width="12.28515625" style="115" customWidth="1"/>
    <col min="6" max="16384" width="11.42578125" style="115"/>
  </cols>
  <sheetData>
    <row r="1" spans="1:16" x14ac:dyDescent="0.4">
      <c r="A1" s="90" t="s">
        <v>39</v>
      </c>
      <c r="B1" s="1311"/>
      <c r="C1" s="2541" t="s">
        <v>149</v>
      </c>
      <c r="D1" s="2541"/>
    </row>
    <row r="3" spans="1:16" ht="19.5" x14ac:dyDescent="0.4">
      <c r="A3" s="3406" t="s">
        <v>41</v>
      </c>
      <c r="B3" s="3410"/>
      <c r="C3" s="3408" t="s">
        <v>6749</v>
      </c>
      <c r="D3" s="3408"/>
      <c r="E3" s="3408"/>
      <c r="F3" s="3408"/>
      <c r="G3" s="3408"/>
      <c r="H3" s="3408"/>
      <c r="I3" s="3408"/>
      <c r="J3" s="3408"/>
      <c r="K3" s="3408"/>
      <c r="L3" s="3408"/>
      <c r="M3" s="3408"/>
      <c r="N3" s="3408"/>
      <c r="O3" s="3408"/>
      <c r="P3" s="3408"/>
    </row>
    <row r="4" spans="1:16" ht="19.5" x14ac:dyDescent="0.4">
      <c r="A4" s="3406" t="s">
        <v>42</v>
      </c>
      <c r="B4" s="3407"/>
      <c r="C4" s="3411" t="s">
        <v>6750</v>
      </c>
      <c r="D4" s="3412"/>
      <c r="E4" s="3412"/>
      <c r="F4" s="3412"/>
      <c r="G4" s="3412"/>
      <c r="H4" s="3412"/>
      <c r="I4" s="3412"/>
      <c r="J4" s="3412"/>
      <c r="K4" s="3412"/>
      <c r="L4" s="3412"/>
      <c r="M4" s="3412"/>
      <c r="N4" s="3412"/>
      <c r="O4" s="3412"/>
      <c r="P4" s="3412"/>
    </row>
    <row r="5" spans="1:16" ht="19.5" x14ac:dyDescent="0.4">
      <c r="A5" s="3406" t="s">
        <v>43</v>
      </c>
      <c r="B5" s="3407"/>
      <c r="C5" s="3408" t="s">
        <v>6752</v>
      </c>
      <c r="D5" s="3409"/>
      <c r="E5" s="3409"/>
      <c r="F5" s="3409"/>
      <c r="G5" s="3409"/>
      <c r="H5" s="3409"/>
      <c r="I5" s="3409"/>
      <c r="J5" s="3409"/>
      <c r="K5" s="3409"/>
      <c r="L5" s="3409"/>
      <c r="M5" s="3409"/>
      <c r="N5" s="3409"/>
      <c r="O5" s="3409"/>
      <c r="P5" s="3409"/>
    </row>
    <row r="6" spans="1:16" ht="19.5" x14ac:dyDescent="0.4">
      <c r="A6" s="3406" t="s">
        <v>132</v>
      </c>
      <c r="B6" s="3407"/>
      <c r="C6" s="3408" t="s">
        <v>242</v>
      </c>
      <c r="D6" s="3409"/>
      <c r="E6" s="3409"/>
      <c r="F6" s="3409"/>
      <c r="G6" s="3409"/>
      <c r="H6" s="3409"/>
      <c r="I6" s="3409"/>
      <c r="J6" s="3409"/>
      <c r="K6" s="3409"/>
      <c r="L6" s="3409"/>
      <c r="M6" s="3409"/>
      <c r="N6" s="3409"/>
      <c r="O6" s="3409"/>
      <c r="P6" s="3409"/>
    </row>
    <row r="7" spans="1:16" x14ac:dyDescent="0.4">
      <c r="A7" s="536"/>
    </row>
    <row r="8" spans="1:16" x14ac:dyDescent="0.4">
      <c r="A8" s="536"/>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1A822492-DB10-44E2-822C-E5B06CB87BD6}"/>
    <hyperlink ref="C1:D1" location="'Metadato 14.1.1'!A1" display="VER METADATO" xr:uid="{08659F78-AA53-4EF7-A4B6-12F9A45274BB}"/>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A7A74-4266-4ACF-BAF7-78BA08F7AFEA}">
  <sheetPr>
    <tabColor theme="0" tint="-0.499984740745262"/>
  </sheetPr>
  <dimension ref="A1:F41"/>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23.28515625" style="115" customWidth="1"/>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244</v>
      </c>
    </row>
    <row r="4" spans="1:6" ht="37.5" x14ac:dyDescent="0.4">
      <c r="A4" s="283"/>
      <c r="B4" s="2425" t="s">
        <v>234</v>
      </c>
      <c r="C4" s="2425"/>
      <c r="D4" s="49" t="s">
        <v>6780</v>
      </c>
    </row>
    <row r="5" spans="1:6" ht="37.5" x14ac:dyDescent="0.4">
      <c r="B5" s="2425" t="s">
        <v>79</v>
      </c>
      <c r="C5" s="2425"/>
      <c r="D5" s="49" t="s">
        <v>6750</v>
      </c>
    </row>
    <row r="6" spans="1:6" x14ac:dyDescent="0.4">
      <c r="B6" s="2425" t="s">
        <v>80</v>
      </c>
      <c r="C6" s="2425"/>
      <c r="D6" s="50" t="s">
        <v>6751</v>
      </c>
    </row>
    <row r="7" spans="1:6" x14ac:dyDescent="0.4">
      <c r="B7" s="2426" t="s">
        <v>81</v>
      </c>
      <c r="C7" s="2426"/>
      <c r="D7" s="93" t="s">
        <v>6752</v>
      </c>
    </row>
    <row r="8" spans="1:6" x14ac:dyDescent="0.4">
      <c r="B8" s="2426" t="s">
        <v>82</v>
      </c>
      <c r="C8" s="2426"/>
      <c r="D8" s="1047" t="s">
        <v>353</v>
      </c>
    </row>
    <row r="10" spans="1:6" ht="23.25" customHeight="1" x14ac:dyDescent="0.4">
      <c r="B10" s="3413" t="s">
        <v>85</v>
      </c>
      <c r="C10" s="3413"/>
      <c r="D10" s="3413"/>
    </row>
    <row r="11" spans="1:6" ht="73.5" customHeight="1" x14ac:dyDescent="0.4">
      <c r="B11" s="2427" t="s">
        <v>86</v>
      </c>
      <c r="C11" s="2428"/>
      <c r="D11" s="55"/>
      <c r="E11" s="1048" t="s">
        <v>6781</v>
      </c>
    </row>
    <row r="12" spans="1:6" ht="15" customHeight="1" x14ac:dyDescent="0.4">
      <c r="B12" s="2426" t="s">
        <v>88</v>
      </c>
      <c r="C12" s="2426"/>
      <c r="D12" s="184" t="s">
        <v>6782</v>
      </c>
    </row>
    <row r="13" spans="1:6" x14ac:dyDescent="0.4">
      <c r="B13" s="2425" t="s">
        <v>90</v>
      </c>
      <c r="C13" s="2425"/>
      <c r="D13" s="54" t="s">
        <v>6783</v>
      </c>
    </row>
    <row r="14" spans="1:6" x14ac:dyDescent="0.4">
      <c r="B14" s="2425" t="s">
        <v>91</v>
      </c>
      <c r="C14" s="2428"/>
      <c r="D14" s="54" t="s">
        <v>92</v>
      </c>
    </row>
    <row r="15" spans="1:6" ht="409.5" x14ac:dyDescent="0.4">
      <c r="B15" s="2425" t="s">
        <v>93</v>
      </c>
      <c r="C15" s="2425"/>
      <c r="D15" s="55" t="s">
        <v>6784</v>
      </c>
      <c r="E15" s="1063" t="s">
        <v>6785</v>
      </c>
    </row>
    <row r="16" spans="1:6" ht="262.5" x14ac:dyDescent="0.4">
      <c r="B16" s="2425" t="s">
        <v>95</v>
      </c>
      <c r="C16" s="2425"/>
      <c r="D16" s="55" t="s">
        <v>6786</v>
      </c>
    </row>
    <row r="17" spans="2:5" x14ac:dyDescent="0.4">
      <c r="B17" s="2425" t="s">
        <v>97</v>
      </c>
      <c r="C17" s="2425"/>
      <c r="D17" s="55" t="s">
        <v>1851</v>
      </c>
    </row>
    <row r="18" spans="2:5" ht="37.5" x14ac:dyDescent="0.4">
      <c r="B18" s="2426" t="s">
        <v>99</v>
      </c>
      <c r="C18" s="2426"/>
      <c r="D18" s="55" t="s">
        <v>6787</v>
      </c>
    </row>
    <row r="19" spans="2:5" ht="15" customHeight="1" x14ac:dyDescent="0.4">
      <c r="B19" s="2435" t="s">
        <v>100</v>
      </c>
      <c r="C19" s="2436"/>
      <c r="D19" s="55" t="s">
        <v>6788</v>
      </c>
    </row>
    <row r="20" spans="2:5" x14ac:dyDescent="0.4">
      <c r="B20" s="2425" t="s">
        <v>102</v>
      </c>
      <c r="C20" s="2425"/>
      <c r="D20" s="55" t="s">
        <v>140</v>
      </c>
    </row>
    <row r="21" spans="2:5" ht="37.5" x14ac:dyDescent="0.4">
      <c r="B21" s="3414" t="s">
        <v>104</v>
      </c>
      <c r="C21" s="57" t="s">
        <v>105</v>
      </c>
      <c r="D21" s="55" t="s">
        <v>6789</v>
      </c>
    </row>
    <row r="22" spans="2:5" x14ac:dyDescent="0.4">
      <c r="B22" s="3415"/>
      <c r="C22" s="58" t="s">
        <v>107</v>
      </c>
      <c r="D22" s="55" t="s">
        <v>6790</v>
      </c>
    </row>
    <row r="23" spans="2:5" x14ac:dyDescent="0.4">
      <c r="B23" s="2425" t="s">
        <v>109</v>
      </c>
      <c r="C23" s="2425"/>
      <c r="D23" s="55" t="s">
        <v>515</v>
      </c>
    </row>
    <row r="24" spans="2:5" x14ac:dyDescent="0.4">
      <c r="B24" s="2425" t="s">
        <v>111</v>
      </c>
      <c r="C24" s="2425"/>
      <c r="D24" s="55" t="s">
        <v>6791</v>
      </c>
    </row>
    <row r="25" spans="2:5" x14ac:dyDescent="0.4">
      <c r="B25" s="2425" t="s">
        <v>113</v>
      </c>
      <c r="C25" s="2425"/>
      <c r="D25" s="55" t="s">
        <v>1701</v>
      </c>
    </row>
    <row r="26" spans="2:5" ht="15" customHeight="1" x14ac:dyDescent="0.4">
      <c r="B26" s="2426" t="s">
        <v>115</v>
      </c>
      <c r="C26" s="2426"/>
      <c r="D26" s="55" t="s">
        <v>6792</v>
      </c>
    </row>
    <row r="27" spans="2:5" ht="131.25" x14ac:dyDescent="0.4">
      <c r="B27" s="2427" t="s">
        <v>117</v>
      </c>
      <c r="C27" s="2428"/>
      <c r="D27" s="55" t="s">
        <v>6793</v>
      </c>
    </row>
    <row r="28" spans="2:5" x14ac:dyDescent="0.4">
      <c r="B28" s="60" t="s">
        <v>118</v>
      </c>
      <c r="C28" s="61"/>
      <c r="D28" s="55"/>
    </row>
    <row r="29" spans="2:5" ht="131.25" x14ac:dyDescent="0.4">
      <c r="B29" s="2429" t="s">
        <v>120</v>
      </c>
      <c r="C29" s="2430"/>
      <c r="D29" s="160" t="s">
        <v>6794</v>
      </c>
      <c r="E29" s="115" t="s">
        <v>6795</v>
      </c>
    </row>
    <row r="30" spans="2:5" x14ac:dyDescent="0.4">
      <c r="B30" s="63"/>
      <c r="C30" s="63"/>
      <c r="D30" s="64"/>
    </row>
    <row r="31" spans="2:5" ht="23.25" customHeight="1" x14ac:dyDescent="0.4">
      <c r="B31" s="3413" t="s">
        <v>121</v>
      </c>
      <c r="C31" s="3413"/>
      <c r="D31" s="3413"/>
    </row>
    <row r="32" spans="2:5" x14ac:dyDescent="0.4">
      <c r="B32" s="2427" t="s">
        <v>122</v>
      </c>
      <c r="C32" s="2428"/>
      <c r="D32" s="55" t="s">
        <v>6796</v>
      </c>
    </row>
    <row r="33" spans="2:4" x14ac:dyDescent="0.4">
      <c r="B33" s="2427" t="s">
        <v>124</v>
      </c>
      <c r="C33" s="2428"/>
      <c r="D33" s="55" t="s">
        <v>225</v>
      </c>
    </row>
    <row r="34" spans="2:4" x14ac:dyDescent="0.4">
      <c r="B34" s="2427" t="s">
        <v>126</v>
      </c>
      <c r="C34" s="2428"/>
      <c r="D34" s="55" t="s">
        <v>6791</v>
      </c>
    </row>
    <row r="35" spans="2:4" x14ac:dyDescent="0.4">
      <c r="B35" s="2427" t="s">
        <v>128</v>
      </c>
      <c r="C35" s="2428"/>
      <c r="D35" s="246" t="s">
        <v>6797</v>
      </c>
    </row>
    <row r="36" spans="2:4" x14ac:dyDescent="0.4">
      <c r="B36" s="2427" t="s">
        <v>130</v>
      </c>
      <c r="C36" s="2428"/>
      <c r="D36" s="247" t="s">
        <v>6798</v>
      </c>
    </row>
    <row r="37" spans="2:4" x14ac:dyDescent="0.4">
      <c r="B37" s="2427" t="s">
        <v>122</v>
      </c>
      <c r="C37" s="2428"/>
      <c r="D37" s="55" t="s">
        <v>6799</v>
      </c>
    </row>
    <row r="38" spans="2:4" x14ac:dyDescent="0.4">
      <c r="B38" s="2427" t="s">
        <v>124</v>
      </c>
      <c r="C38" s="2428"/>
      <c r="D38" s="55" t="s">
        <v>6800</v>
      </c>
    </row>
    <row r="39" spans="2:4" x14ac:dyDescent="0.4">
      <c r="B39" s="2427" t="s">
        <v>126</v>
      </c>
      <c r="C39" s="2428"/>
      <c r="D39" s="55" t="s">
        <v>6791</v>
      </c>
    </row>
    <row r="40" spans="2:4" x14ac:dyDescent="0.4">
      <c r="B40" s="2427" t="s">
        <v>128</v>
      </c>
      <c r="C40" s="2428"/>
      <c r="D40" s="246" t="s">
        <v>6801</v>
      </c>
    </row>
    <row r="41" spans="2:4" x14ac:dyDescent="0.4">
      <c r="B41" s="2427" t="s">
        <v>130</v>
      </c>
      <c r="C41" s="2428"/>
      <c r="D41" s="247" t="s">
        <v>6802</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1F45E372-EDDC-4552-AE42-1FE087E24CEA}"/>
    <dataValidation type="list" allowBlank="1" showInputMessage="1" showErrorMessage="1" sqref="D4" xr:uid="{70D7ED3B-3831-473E-90A4-7396A2D426A9}">
      <formula1>ODS</formula1>
    </dataValidation>
    <dataValidation type="list" allowBlank="1" showInputMessage="1" showErrorMessage="1" sqref="D5" xr:uid="{78F63529-A62A-48F4-80ED-3615CB3FB5CE}">
      <formula1>Metas_ODS</formula1>
    </dataValidation>
    <dataValidation type="list" allowBlank="1" showInputMessage="1" showErrorMessage="1" sqref="D6" xr:uid="{3E2BF60B-5C9E-4BB2-B4BF-2F459DE30628}">
      <formula1>Numero_indicador</formula1>
    </dataValidation>
    <dataValidation type="list" allowBlank="1" showInputMessage="1" showErrorMessage="1" sqref="D7" xr:uid="{138493DB-D131-44AF-9C7C-039ADD254810}">
      <formula1>Nombre_indicador_ODS</formula1>
    </dataValidation>
    <dataValidation type="list" allowBlank="1" showInputMessage="1" showErrorMessage="1" sqref="D14" xr:uid="{D408C2B4-D3DE-493F-902C-F694F7C05E38}">
      <formula1>Tipo_indicador</formula1>
    </dataValidation>
    <dataValidation type="list" allowBlank="1" showInputMessage="1" showErrorMessage="1" sqref="D25" xr:uid="{26F42FF4-1E52-408E-A847-EE002C992CAE}">
      <formula1>Tipo_operación</formula1>
    </dataValidation>
  </dataValidations>
  <hyperlinks>
    <hyperlink ref="B1" location="'14.1.1'!A1" display="REGRESAR" xr:uid="{D58507F1-7E7A-440D-9341-7901D0BC59B2}"/>
    <hyperlink ref="D8" r:id="rId1" xr:uid="{E01BBF67-91EA-4E03-9F6F-08D62FCC4E5C}"/>
    <hyperlink ref="D41" r:id="rId2" xr:uid="{AB65F95D-254C-4100-A06E-F1F657FCD5B5}"/>
    <hyperlink ref="D36" r:id="rId3" xr:uid="{7AC449E5-1868-4D20-B4AC-A20788CED3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A6F9-1D57-48BD-94E8-441D002E6B9E}">
  <sheetPr>
    <tabColor theme="0" tint="-0.499984740745262"/>
  </sheetPr>
  <dimension ref="A1:AA47"/>
  <sheetViews>
    <sheetView showGridLines="0" zoomScale="70" zoomScaleNormal="7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8.28515625" style="45" customWidth="1"/>
    <col min="2" max="2" width="26.42578125" style="45" customWidth="1"/>
    <col min="3" max="3" width="24" style="45" customWidth="1"/>
    <col min="4" max="4" width="85.7109375" style="45" customWidth="1"/>
    <col min="5" max="5" width="5.7109375" style="45" customWidth="1"/>
    <col min="6" max="6" width="7.28515625" style="45" customWidth="1"/>
    <col min="7" max="7" width="6.28515625" style="45" customWidth="1"/>
    <col min="8" max="8" width="6.42578125" style="45" customWidth="1"/>
    <col min="9" max="9" width="1.5703125" style="45" customWidth="1"/>
    <col min="10" max="10" width="6.7109375" style="45" customWidth="1"/>
    <col min="11" max="11" width="8.42578125" style="45" customWidth="1"/>
    <col min="12" max="12" width="8.7109375" style="45" customWidth="1"/>
    <col min="13" max="13" width="7.7109375" style="45" customWidth="1"/>
    <col min="14" max="14" width="8.28515625" style="45" customWidth="1"/>
    <col min="15" max="15" width="8.7109375" style="45" customWidth="1"/>
    <col min="16" max="16" width="0.7109375" style="45" customWidth="1"/>
    <col min="17" max="17" width="7.7109375" style="45" customWidth="1"/>
    <col min="18" max="18" width="9.5703125" style="45" customWidth="1"/>
    <col min="19" max="19" width="10.28515625" style="45" customWidth="1"/>
    <col min="20" max="20" width="0.5703125" style="45" customWidth="1"/>
    <col min="21" max="21" width="9.42578125" style="45" customWidth="1"/>
    <col min="22" max="22" width="8.42578125" style="45" customWidth="1"/>
    <col min="23" max="23" width="9" style="45" customWidth="1"/>
    <col min="24" max="24" width="8.7109375" style="45" customWidth="1"/>
    <col min="25" max="25" width="8.42578125" style="45" customWidth="1"/>
    <col min="26" max="26" width="7.42578125" style="45" customWidth="1"/>
    <col min="27" max="27" width="8.42578125" style="45" customWidth="1"/>
    <col min="28" max="16384" width="11.42578125" style="45"/>
  </cols>
  <sheetData>
    <row r="1" spans="1:6" ht="18.75" x14ac:dyDescent="0.25">
      <c r="B1" s="46" t="s">
        <v>39</v>
      </c>
    </row>
    <row r="2" spans="1:6" ht="16.5" customHeight="1" thickBot="1" x14ac:dyDescent="0.3"/>
    <row r="3" spans="1:6" ht="24" customHeight="1" thickBot="1" x14ac:dyDescent="0.3">
      <c r="B3" s="2431" t="s">
        <v>75</v>
      </c>
      <c r="C3" s="2431"/>
      <c r="D3" s="2431"/>
      <c r="F3" s="47" t="s">
        <v>76</v>
      </c>
    </row>
    <row r="4" spans="1:6" ht="19.5" x14ac:dyDescent="0.25">
      <c r="A4" s="48"/>
      <c r="B4" s="2425" t="s">
        <v>77</v>
      </c>
      <c r="C4" s="2425"/>
      <c r="D4" s="49" t="s">
        <v>78</v>
      </c>
    </row>
    <row r="5" spans="1:6" ht="56.25" x14ac:dyDescent="0.25">
      <c r="B5" s="2425" t="s">
        <v>79</v>
      </c>
      <c r="C5" s="2425"/>
      <c r="D5" s="49" t="s">
        <v>6</v>
      </c>
    </row>
    <row r="6" spans="1:6" ht="18.75" x14ac:dyDescent="0.25">
      <c r="B6" s="2425" t="s">
        <v>80</v>
      </c>
      <c r="C6" s="2425"/>
      <c r="D6" s="50" t="s">
        <v>7</v>
      </c>
    </row>
    <row r="7" spans="1:6" ht="37.5" x14ac:dyDescent="0.25">
      <c r="B7" s="2426" t="s">
        <v>81</v>
      </c>
      <c r="C7" s="2426"/>
      <c r="D7" s="51" t="s">
        <v>8</v>
      </c>
    </row>
    <row r="8" spans="1:6" ht="15" customHeight="1" x14ac:dyDescent="0.25">
      <c r="B8" s="2437" t="s">
        <v>82</v>
      </c>
      <c r="C8" s="2437"/>
      <c r="D8" s="52" t="s">
        <v>83</v>
      </c>
    </row>
    <row r="9" spans="1:6" ht="18.75" x14ac:dyDescent="0.25">
      <c r="B9" s="2437"/>
      <c r="C9" s="2437"/>
      <c r="D9" s="52" t="s">
        <v>84</v>
      </c>
    </row>
    <row r="10" spans="1:6" ht="18.75" x14ac:dyDescent="0.4">
      <c r="B10" s="5"/>
      <c r="C10" s="5"/>
      <c r="D10" s="5"/>
    </row>
    <row r="11" spans="1:6" ht="23.25" customHeight="1" x14ac:dyDescent="0.25">
      <c r="B11" s="2431" t="s">
        <v>85</v>
      </c>
      <c r="C11" s="2431"/>
      <c r="D11" s="2431"/>
    </row>
    <row r="12" spans="1:6" ht="14.25" customHeight="1" x14ac:dyDescent="0.25">
      <c r="B12" s="2422" t="s">
        <v>86</v>
      </c>
      <c r="C12" s="2423"/>
      <c r="D12" s="49" t="s">
        <v>87</v>
      </c>
    </row>
    <row r="13" spans="1:6" ht="37.5" x14ac:dyDescent="0.25">
      <c r="B13" s="2434" t="s">
        <v>88</v>
      </c>
      <c r="C13" s="2434"/>
      <c r="D13" s="53" t="s">
        <v>89</v>
      </c>
    </row>
    <row r="14" spans="1:6" ht="18.75" x14ac:dyDescent="0.25">
      <c r="B14" s="2425" t="s">
        <v>90</v>
      </c>
      <c r="C14" s="2425"/>
      <c r="D14" s="54" t="s">
        <v>7</v>
      </c>
    </row>
    <row r="15" spans="1:6" ht="18.75" x14ac:dyDescent="0.25">
      <c r="B15" s="2425" t="s">
        <v>91</v>
      </c>
      <c r="C15" s="2428"/>
      <c r="D15" s="54" t="s">
        <v>92</v>
      </c>
    </row>
    <row r="16" spans="1:6" ht="168" customHeight="1" x14ac:dyDescent="0.25">
      <c r="B16" s="2425" t="s">
        <v>93</v>
      </c>
      <c r="C16" s="2425"/>
      <c r="D16" s="55" t="s">
        <v>94</v>
      </c>
    </row>
    <row r="17" spans="2:4" ht="312" customHeight="1" x14ac:dyDescent="0.25">
      <c r="B17" s="2425" t="s">
        <v>95</v>
      </c>
      <c r="C17" s="2425"/>
      <c r="D17" s="56" t="s">
        <v>96</v>
      </c>
    </row>
    <row r="18" spans="2:4" ht="18.75" x14ac:dyDescent="0.25">
      <c r="B18" s="2425" t="s">
        <v>97</v>
      </c>
      <c r="C18" s="2425"/>
      <c r="D18" s="56" t="s">
        <v>98</v>
      </c>
    </row>
    <row r="19" spans="2:4" ht="18.75" x14ac:dyDescent="0.25">
      <c r="B19" s="2426" t="s">
        <v>99</v>
      </c>
      <c r="C19" s="2426"/>
      <c r="D19" s="49"/>
    </row>
    <row r="20" spans="2:4" ht="60" customHeight="1" x14ac:dyDescent="0.25">
      <c r="B20" s="2435" t="s">
        <v>100</v>
      </c>
      <c r="C20" s="2436"/>
      <c r="D20" s="56" t="s">
        <v>101</v>
      </c>
    </row>
    <row r="21" spans="2:4" ht="18.75" x14ac:dyDescent="0.25">
      <c r="B21" s="2425" t="s">
        <v>102</v>
      </c>
      <c r="C21" s="2425"/>
      <c r="D21" s="56" t="s">
        <v>103</v>
      </c>
    </row>
    <row r="22" spans="2:4" ht="18.75" x14ac:dyDescent="0.25">
      <c r="B22" s="2432" t="s">
        <v>104</v>
      </c>
      <c r="C22" s="57" t="s">
        <v>105</v>
      </c>
      <c r="D22" s="49" t="s">
        <v>106</v>
      </c>
    </row>
    <row r="23" spans="2:4" ht="15" customHeight="1" x14ac:dyDescent="0.25">
      <c r="B23" s="2433"/>
      <c r="C23" s="58" t="s">
        <v>107</v>
      </c>
      <c r="D23" s="55" t="s">
        <v>108</v>
      </c>
    </row>
    <row r="24" spans="2:4" ht="18.75" x14ac:dyDescent="0.25">
      <c r="B24" s="2424" t="s">
        <v>109</v>
      </c>
      <c r="C24" s="2424"/>
      <c r="D24" s="49" t="s">
        <v>110</v>
      </c>
    </row>
    <row r="25" spans="2:4" ht="18.75" x14ac:dyDescent="0.25">
      <c r="B25" s="2424" t="s">
        <v>111</v>
      </c>
      <c r="C25" s="2424"/>
      <c r="D25" s="59" t="s">
        <v>112</v>
      </c>
    </row>
    <row r="26" spans="2:4" ht="18.75" x14ac:dyDescent="0.25">
      <c r="B26" s="2425" t="s">
        <v>113</v>
      </c>
      <c r="C26" s="2425"/>
      <c r="D26" s="56" t="s">
        <v>114</v>
      </c>
    </row>
    <row r="27" spans="2:4" ht="15" customHeight="1" x14ac:dyDescent="0.25">
      <c r="B27" s="2426" t="s">
        <v>115</v>
      </c>
      <c r="C27" s="2426"/>
      <c r="D27" s="59" t="s">
        <v>116</v>
      </c>
    </row>
    <row r="28" spans="2:4" ht="18.75" x14ac:dyDescent="0.25">
      <c r="B28" s="2427" t="s">
        <v>117</v>
      </c>
      <c r="C28" s="2428"/>
      <c r="D28" s="49"/>
    </row>
    <row r="29" spans="2:4" ht="52.5" customHeight="1" x14ac:dyDescent="0.25">
      <c r="B29" s="60" t="s">
        <v>118</v>
      </c>
      <c r="C29" s="61"/>
      <c r="D29" s="49" t="s">
        <v>119</v>
      </c>
    </row>
    <row r="30" spans="2:4" ht="18.75" x14ac:dyDescent="0.25">
      <c r="B30" s="2429" t="s">
        <v>120</v>
      </c>
      <c r="C30" s="2430"/>
      <c r="D30" s="62"/>
    </row>
    <row r="31" spans="2:4" ht="18.75" x14ac:dyDescent="0.25">
      <c r="B31" s="63"/>
      <c r="C31" s="63"/>
      <c r="D31" s="64"/>
    </row>
    <row r="32" spans="2:4" ht="23.25" customHeight="1" x14ac:dyDescent="0.25">
      <c r="B32" s="2431" t="s">
        <v>121</v>
      </c>
      <c r="C32" s="2431"/>
      <c r="D32" s="2431"/>
    </row>
    <row r="33" spans="1:27" ht="18.75" x14ac:dyDescent="0.25">
      <c r="B33" s="2422" t="s">
        <v>122</v>
      </c>
      <c r="C33" s="2423"/>
      <c r="D33" s="59" t="s">
        <v>123</v>
      </c>
    </row>
    <row r="34" spans="1:27" ht="18.75" x14ac:dyDescent="0.25">
      <c r="B34" s="2422" t="s">
        <v>124</v>
      </c>
      <c r="C34" s="2423"/>
      <c r="D34" s="59" t="s">
        <v>125</v>
      </c>
    </row>
    <row r="35" spans="1:27" ht="18.75" x14ac:dyDescent="0.25">
      <c r="B35" s="2422" t="s">
        <v>126</v>
      </c>
      <c r="C35" s="2423"/>
      <c r="D35" s="59" t="s">
        <v>127</v>
      </c>
    </row>
    <row r="36" spans="1:27" ht="18.75" x14ac:dyDescent="0.25">
      <c r="B36" s="2422" t="s">
        <v>128</v>
      </c>
      <c r="C36" s="2423"/>
      <c r="D36" s="59" t="s">
        <v>129</v>
      </c>
    </row>
    <row r="37" spans="1:27" s="66" customFormat="1" ht="18.75" x14ac:dyDescent="0.25">
      <c r="A37" s="45"/>
      <c r="B37" s="2422" t="s">
        <v>130</v>
      </c>
      <c r="C37" s="2423"/>
      <c r="D37" s="65" t="s">
        <v>131</v>
      </c>
      <c r="E37" s="45"/>
      <c r="F37" s="45"/>
      <c r="G37" s="45"/>
      <c r="H37" s="45"/>
      <c r="I37" s="45"/>
      <c r="J37" s="45"/>
      <c r="K37" s="45"/>
      <c r="L37" s="45"/>
      <c r="M37" s="45"/>
      <c r="N37" s="45"/>
      <c r="O37" s="45"/>
      <c r="P37" s="45"/>
      <c r="Q37" s="45"/>
      <c r="R37" s="45"/>
      <c r="S37" s="45"/>
      <c r="T37" s="45"/>
      <c r="U37" s="45"/>
      <c r="V37" s="45"/>
      <c r="W37" s="45"/>
      <c r="X37" s="45"/>
      <c r="Y37" s="45"/>
      <c r="Z37" s="45"/>
      <c r="AA37" s="45"/>
    </row>
    <row r="38" spans="1:27" s="66" customFormat="1" x14ac:dyDescent="0.25">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s="66" customFormat="1" x14ac:dyDescent="0.25">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s="66" customFormat="1" x14ac:dyDescent="0.25">
      <c r="A40" s="45"/>
      <c r="B40" s="45"/>
      <c r="C40" s="45"/>
      <c r="D40" s="67"/>
      <c r="E40" s="45"/>
      <c r="F40" s="45"/>
      <c r="G40" s="45"/>
      <c r="H40" s="45"/>
      <c r="I40" s="45"/>
      <c r="J40" s="45"/>
      <c r="K40" s="45"/>
      <c r="L40" s="45"/>
      <c r="M40" s="45"/>
      <c r="N40" s="45"/>
      <c r="O40" s="45"/>
      <c r="P40" s="45"/>
      <c r="Q40" s="45"/>
      <c r="R40" s="45"/>
      <c r="S40" s="45"/>
      <c r="T40" s="45"/>
      <c r="U40" s="45"/>
      <c r="V40" s="45"/>
      <c r="W40" s="45"/>
      <c r="X40" s="45"/>
      <c r="Y40" s="45"/>
      <c r="Z40" s="45"/>
      <c r="AA40" s="45"/>
    </row>
    <row r="41" spans="1:27" s="66" customFormat="1" x14ac:dyDescent="0.25">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s="66" customFormat="1" x14ac:dyDescent="0.25">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s="66" customFormat="1" x14ac:dyDescent="0.25">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s="66" customFormat="1" x14ac:dyDescent="0.25">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s="66" customFormat="1" x14ac:dyDescent="0.25">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s="66" customFormat="1" x14ac:dyDescent="0.25">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s="66" customFormat="1" x14ac:dyDescent="0.25">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15" xr:uid="{16D42687-1982-43B2-9667-A8554F930B84}">
      <formula1>Tipo_indicador</formula1>
    </dataValidation>
    <dataValidation type="list" allowBlank="1" showInputMessage="1" showErrorMessage="1" sqref="D7" xr:uid="{F7842156-201C-45A8-9AF6-DBE296393DDD}">
      <formula1>Nombre_indicador_ODS</formula1>
    </dataValidation>
    <dataValidation type="list" allowBlank="1" showInputMessage="1" showErrorMessage="1" sqref="D6" xr:uid="{D11CC744-CDDD-4E7C-9E50-C8FA4470EC0B}">
      <formula1>Numero_indicador</formula1>
    </dataValidation>
    <dataValidation type="list" allowBlank="1" showInputMessage="1" showErrorMessage="1" sqref="D5" xr:uid="{66615098-D0DB-457A-919C-21133C81DA9D}">
      <formula1>Metas_ODS</formula1>
    </dataValidation>
    <dataValidation type="list" allowBlank="1" showInputMessage="1" showErrorMessage="1" sqref="D4" xr:uid="{68858017-4CD1-444C-B2C3-77B82FEE096F}">
      <formula1>ODS</formula1>
    </dataValidation>
    <dataValidation allowBlank="1" showDropDown="1" showInputMessage="1" showErrorMessage="1" sqref="D14" xr:uid="{668319E2-0E1F-42E1-88F9-21FE561B4088}"/>
    <dataValidation type="list" allowBlank="1" showInputMessage="1" showErrorMessage="1" sqref="D26" xr:uid="{8C47713A-94DF-4F0A-B216-DDA51BA67BE5}">
      <formula1>Tipo_operacion</formula1>
    </dataValidation>
  </dataValidations>
  <hyperlinks>
    <hyperlink ref="B1" location="'1.1.1'!A1" display="REGRESAR" xr:uid="{F584CBBB-D765-448F-AAD1-45214A9F5C44}"/>
    <hyperlink ref="D8" r:id="rId1" xr:uid="{E5C09E3B-FD47-4CE8-B7CF-E03128F6AF6D}"/>
    <hyperlink ref="D9" r:id="rId2" xr:uid="{1CFA2CCA-9F10-4B0B-970B-1E77A7B2C96F}"/>
    <hyperlink ref="D37" r:id="rId3" xr:uid="{C8277FAC-F5BE-4019-B270-987D610468F8}"/>
  </hyperlinks>
  <pageMargins left="0.7" right="0.7" top="0.75" bottom="0.75" header="0.3" footer="0.3"/>
  <pageSetup orientation="portrait" horizontalDpi="4294967293"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0618-8468-4C06-8501-93775BDF6C13}">
  <sheetPr>
    <tabColor rgb="FFC00000"/>
  </sheetPr>
  <dimension ref="A1:Q27"/>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28515625" style="16" customWidth="1"/>
    <col min="3" max="3" width="11.42578125" style="218" customWidth="1"/>
    <col min="4" max="5" width="11.42578125" style="16" customWidth="1"/>
    <col min="6" max="16384" width="11.42578125" style="16"/>
  </cols>
  <sheetData>
    <row r="1" spans="1:17" x14ac:dyDescent="0.4">
      <c r="A1" s="15" t="s">
        <v>39</v>
      </c>
      <c r="B1" s="161"/>
      <c r="C1" s="2421" t="s">
        <v>149</v>
      </c>
      <c r="D1" s="2421"/>
    </row>
    <row r="3" spans="1:17" x14ac:dyDescent="0.4">
      <c r="A3" s="2508" t="s">
        <v>41</v>
      </c>
      <c r="B3" s="2508"/>
      <c r="C3" s="2548" t="s">
        <v>396</v>
      </c>
      <c r="D3" s="2548"/>
      <c r="E3" s="2548"/>
      <c r="F3" s="2548"/>
      <c r="G3" s="2548"/>
      <c r="H3" s="2548"/>
      <c r="I3" s="2548"/>
      <c r="J3" s="2548"/>
      <c r="K3" s="2548"/>
      <c r="L3" s="2548"/>
      <c r="M3" s="2548"/>
      <c r="N3" s="2548"/>
      <c r="O3" s="2548"/>
      <c r="P3" s="2548"/>
      <c r="Q3" s="2548"/>
    </row>
    <row r="4" spans="1:17" ht="57.6" customHeight="1" x14ac:dyDescent="0.4">
      <c r="A4" s="2508" t="s">
        <v>42</v>
      </c>
      <c r="B4" s="2508"/>
      <c r="C4" s="2549" t="s">
        <v>409</v>
      </c>
      <c r="D4" s="2549"/>
      <c r="E4" s="2549"/>
      <c r="F4" s="2549"/>
      <c r="G4" s="2549"/>
      <c r="H4" s="2549"/>
      <c r="I4" s="2549"/>
      <c r="J4" s="2549"/>
      <c r="K4" s="2549"/>
      <c r="L4" s="2549"/>
      <c r="M4" s="2549"/>
      <c r="N4" s="2549"/>
      <c r="O4" s="2549"/>
      <c r="P4" s="2549"/>
      <c r="Q4" s="2549"/>
    </row>
    <row r="5" spans="1:17" x14ac:dyDescent="0.4">
      <c r="A5" s="2508" t="s">
        <v>43</v>
      </c>
      <c r="B5" s="2508"/>
      <c r="C5" s="2548" t="s">
        <v>411</v>
      </c>
      <c r="D5" s="2548"/>
      <c r="E5" s="2548"/>
      <c r="F5" s="2548"/>
      <c r="G5" s="2548"/>
      <c r="H5" s="2548"/>
      <c r="I5" s="2548"/>
      <c r="J5" s="2548"/>
      <c r="K5" s="2548"/>
      <c r="L5" s="2548"/>
      <c r="M5" s="2548"/>
      <c r="N5" s="2548"/>
      <c r="O5" s="2548"/>
      <c r="P5" s="2548"/>
      <c r="Q5" s="2548"/>
    </row>
    <row r="6" spans="1:17" x14ac:dyDescent="0.4">
      <c r="A6" s="2508" t="s">
        <v>132</v>
      </c>
      <c r="B6" s="2508"/>
      <c r="C6" s="2547"/>
      <c r="D6" s="2547"/>
      <c r="E6" s="2547"/>
      <c r="F6" s="2547"/>
      <c r="G6" s="2547"/>
      <c r="H6" s="2547"/>
      <c r="I6" s="2547"/>
      <c r="J6" s="2547"/>
      <c r="K6" s="2547"/>
      <c r="L6" s="2547"/>
      <c r="M6" s="2547"/>
      <c r="N6" s="2547"/>
      <c r="O6" s="2547"/>
      <c r="P6" s="2547"/>
      <c r="Q6" s="2547"/>
    </row>
    <row r="9" spans="1:17" ht="11.25" customHeight="1" x14ac:dyDescent="0.4">
      <c r="C9" s="2506" t="s">
        <v>243</v>
      </c>
      <c r="D9" s="2506"/>
      <c r="E9" s="2506"/>
      <c r="F9" s="2506"/>
      <c r="G9" s="2506"/>
      <c r="H9" s="2506"/>
      <c r="I9" s="2506"/>
      <c r="J9" s="2506"/>
      <c r="K9" s="2506"/>
      <c r="L9" s="2506"/>
      <c r="M9" s="2506"/>
      <c r="N9" s="2506"/>
      <c r="O9" s="2506"/>
      <c r="P9" s="2506"/>
      <c r="Q9" s="2506"/>
    </row>
    <row r="10" spans="1:17" ht="11.25" customHeight="1" x14ac:dyDescent="0.4">
      <c r="C10" s="2506"/>
      <c r="D10" s="2506"/>
      <c r="E10" s="2506"/>
      <c r="F10" s="2506"/>
      <c r="G10" s="2506"/>
      <c r="H10" s="2506"/>
      <c r="I10" s="2506"/>
      <c r="J10" s="2506"/>
      <c r="K10" s="2506"/>
      <c r="L10" s="2506"/>
      <c r="M10" s="2506"/>
      <c r="N10" s="2506"/>
      <c r="O10" s="2506"/>
      <c r="P10" s="2506"/>
      <c r="Q10" s="2506"/>
    </row>
    <row r="27" spans="8:8" x14ac:dyDescent="0.4">
      <c r="H27" s="345"/>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7CD11150-7995-4789-B967-8D5C06A38344}"/>
    <hyperlink ref="C1" location="'Metadato 2.3.1'!A1" display="VER METADATO" xr:uid="{FA228557-F12E-456E-A527-BAA51A03B495}"/>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6511-8218-4CE8-B785-A3A25D6409E0}">
  <sheetPr>
    <tabColor rgb="FF7030A0"/>
  </sheetPr>
  <dimension ref="A1:Q23"/>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42578125" style="115" customWidth="1"/>
    <col min="3" max="3" width="12.28515625" style="1048" customWidth="1"/>
    <col min="4" max="9" width="12.28515625" style="115" customWidth="1"/>
    <col min="10" max="16384" width="11.42578125" style="115"/>
  </cols>
  <sheetData>
    <row r="1" spans="1:17" x14ac:dyDescent="0.4">
      <c r="A1" s="90" t="s">
        <v>39</v>
      </c>
      <c r="B1" s="1311"/>
      <c r="C1" s="2541" t="s">
        <v>149</v>
      </c>
      <c r="D1" s="2541"/>
    </row>
    <row r="3" spans="1:17" ht="18.600000000000001" customHeight="1" x14ac:dyDescent="0.4">
      <c r="A3" s="3406" t="s">
        <v>41</v>
      </c>
      <c r="B3" s="3410"/>
      <c r="C3" s="3408" t="s">
        <v>6749</v>
      </c>
      <c r="D3" s="3408"/>
      <c r="E3" s="3408"/>
      <c r="F3" s="3408"/>
      <c r="G3" s="3408"/>
      <c r="H3" s="3408"/>
      <c r="I3" s="3408"/>
      <c r="J3" s="3408"/>
      <c r="K3" s="3408"/>
      <c r="L3" s="3408"/>
      <c r="M3" s="3408"/>
      <c r="N3" s="3408"/>
      <c r="O3" s="3408"/>
      <c r="P3" s="3408"/>
    </row>
    <row r="4" spans="1:17" ht="36" customHeight="1" x14ac:dyDescent="0.4">
      <c r="A4" s="3406" t="s">
        <v>42</v>
      </c>
      <c r="B4" s="3407"/>
      <c r="C4" s="3411" t="s">
        <v>6753</v>
      </c>
      <c r="D4" s="3412"/>
      <c r="E4" s="3412"/>
      <c r="F4" s="3412"/>
      <c r="G4" s="3412"/>
      <c r="H4" s="3412"/>
      <c r="I4" s="3412"/>
      <c r="J4" s="3412"/>
      <c r="K4" s="3412"/>
      <c r="L4" s="3412"/>
      <c r="M4" s="3412"/>
      <c r="N4" s="3412"/>
      <c r="O4" s="3412"/>
      <c r="P4" s="3412"/>
    </row>
    <row r="5" spans="1:17" ht="18.600000000000001" customHeight="1" x14ac:dyDescent="0.4">
      <c r="A5" s="3406" t="s">
        <v>43</v>
      </c>
      <c r="B5" s="3407"/>
      <c r="C5" s="3408" t="s">
        <v>6803</v>
      </c>
      <c r="D5" s="3409"/>
      <c r="E5" s="3409"/>
      <c r="F5" s="3409"/>
      <c r="G5" s="3409"/>
      <c r="H5" s="3409"/>
      <c r="I5" s="3409"/>
      <c r="J5" s="3409"/>
      <c r="K5" s="3409"/>
      <c r="L5" s="3409"/>
      <c r="M5" s="3409"/>
      <c r="N5" s="3409"/>
      <c r="O5" s="3409"/>
      <c r="P5" s="3409"/>
    </row>
    <row r="6" spans="1:17" ht="19.5" x14ac:dyDescent="0.4">
      <c r="A6" s="3406" t="s">
        <v>132</v>
      </c>
      <c r="B6" s="3407"/>
      <c r="C6" s="3408"/>
      <c r="D6" s="3409"/>
      <c r="E6" s="3409"/>
      <c r="F6" s="3409"/>
      <c r="G6" s="3409"/>
      <c r="H6" s="3409"/>
      <c r="I6" s="3409"/>
      <c r="J6" s="3409"/>
      <c r="K6" s="3409"/>
      <c r="L6" s="3409"/>
      <c r="M6" s="3409"/>
      <c r="N6" s="3409"/>
      <c r="O6" s="3409"/>
      <c r="P6" s="3409"/>
    </row>
    <row r="7" spans="1:17" s="1048" customFormat="1" x14ac:dyDescent="0.4">
      <c r="A7" s="536"/>
      <c r="B7" s="115"/>
      <c r="D7" s="115"/>
      <c r="E7" s="115"/>
    </row>
    <row r="8" spans="1:17" s="1048" customFormat="1" x14ac:dyDescent="0.4">
      <c r="A8" s="536"/>
      <c r="B8" s="115"/>
      <c r="D8" s="115"/>
      <c r="E8" s="115"/>
    </row>
    <row r="9" spans="1:17" s="1048" customFormat="1" x14ac:dyDescent="0.4">
      <c r="A9" s="536"/>
      <c r="B9" s="115"/>
      <c r="C9" s="2506" t="s">
        <v>650</v>
      </c>
      <c r="D9" s="2506"/>
      <c r="E9" s="2506"/>
      <c r="F9" s="2506"/>
      <c r="G9" s="2506"/>
      <c r="H9" s="2506"/>
      <c r="I9" s="2506"/>
      <c r="J9" s="2506"/>
      <c r="K9" s="2506"/>
      <c r="L9" s="2506"/>
      <c r="M9" s="2506"/>
      <c r="N9" s="2506"/>
      <c r="O9" s="2506"/>
      <c r="P9" s="2506"/>
    </row>
    <row r="10" spans="1:17" s="1048" customFormat="1" x14ac:dyDescent="0.4">
      <c r="A10" s="835"/>
      <c r="B10" s="115"/>
      <c r="C10" s="2506"/>
      <c r="D10" s="2506"/>
      <c r="E10" s="2506"/>
      <c r="F10" s="2506"/>
      <c r="G10" s="2506"/>
      <c r="H10" s="2506"/>
      <c r="I10" s="2506"/>
      <c r="J10" s="2506"/>
      <c r="K10" s="2506"/>
      <c r="L10" s="2506"/>
      <c r="M10" s="2506"/>
      <c r="N10" s="2506"/>
      <c r="O10" s="2506"/>
      <c r="P10" s="2506"/>
    </row>
    <row r="11" spans="1:17" s="1048" customFormat="1" x14ac:dyDescent="0.4">
      <c r="A11" s="536"/>
      <c r="B11" s="115"/>
      <c r="D11" s="115"/>
      <c r="E11" s="115"/>
    </row>
    <row r="12" spans="1:17" s="1048" customFormat="1" x14ac:dyDescent="0.4">
      <c r="A12" s="536"/>
      <c r="B12" s="115"/>
      <c r="C12" s="221"/>
      <c r="D12" s="220"/>
      <c r="E12" s="220"/>
      <c r="F12" s="220"/>
      <c r="G12" s="220"/>
      <c r="H12" s="220"/>
      <c r="I12" s="220"/>
      <c r="J12" s="220"/>
      <c r="K12" s="220"/>
      <c r="L12" s="220"/>
      <c r="M12" s="220"/>
      <c r="N12" s="220"/>
      <c r="O12" s="220"/>
      <c r="P12" s="220"/>
      <c r="Q12" s="220"/>
    </row>
    <row r="13" spans="1:17" s="1048" customFormat="1" x14ac:dyDescent="0.4">
      <c r="A13" s="536"/>
      <c r="B13" s="115"/>
      <c r="C13" s="221"/>
      <c r="D13" s="220"/>
      <c r="E13" s="220"/>
      <c r="F13" s="220"/>
      <c r="G13" s="220"/>
      <c r="H13" s="220"/>
      <c r="I13" s="220"/>
      <c r="J13" s="220"/>
      <c r="K13" s="220"/>
      <c r="L13" s="220"/>
      <c r="M13" s="220"/>
      <c r="N13" s="220"/>
      <c r="O13" s="220"/>
      <c r="P13" s="220"/>
      <c r="Q13" s="220"/>
    </row>
    <row r="14" spans="1:17" s="1048" customFormat="1" x14ac:dyDescent="0.4">
      <c r="A14" s="835"/>
      <c r="B14" s="115"/>
      <c r="C14" s="221"/>
      <c r="D14" s="220"/>
      <c r="E14" s="220"/>
      <c r="F14" s="220"/>
      <c r="G14" s="220"/>
      <c r="H14" s="220"/>
      <c r="I14" s="220"/>
      <c r="J14" s="220"/>
      <c r="K14" s="220"/>
      <c r="L14" s="220"/>
      <c r="M14" s="220"/>
      <c r="N14" s="220"/>
      <c r="O14" s="220"/>
      <c r="P14" s="220"/>
      <c r="Q14" s="220"/>
    </row>
    <row r="15" spans="1:17" s="1048" customFormat="1" x14ac:dyDescent="0.4">
      <c r="A15" s="536"/>
      <c r="B15" s="115"/>
      <c r="C15" s="221"/>
      <c r="D15" s="220"/>
      <c r="E15" s="220"/>
      <c r="F15" s="220"/>
      <c r="G15" s="220"/>
      <c r="H15" s="220"/>
      <c r="I15" s="220"/>
      <c r="J15" s="220"/>
      <c r="K15" s="220"/>
      <c r="L15" s="220"/>
      <c r="M15" s="220"/>
      <c r="N15" s="220"/>
      <c r="O15" s="220"/>
      <c r="P15" s="220"/>
      <c r="Q15" s="220"/>
    </row>
    <row r="16" spans="1:17" s="1048" customFormat="1" x14ac:dyDescent="0.4">
      <c r="A16" s="536"/>
      <c r="B16" s="115"/>
      <c r="C16" s="221"/>
      <c r="D16" s="220"/>
      <c r="E16" s="220"/>
      <c r="F16" s="220"/>
      <c r="G16" s="220"/>
      <c r="H16" s="220"/>
      <c r="I16" s="220"/>
      <c r="J16" s="220"/>
      <c r="K16" s="220"/>
      <c r="L16" s="220"/>
      <c r="M16" s="220"/>
      <c r="N16" s="220"/>
      <c r="O16" s="220"/>
      <c r="P16" s="220"/>
      <c r="Q16" s="220"/>
    </row>
    <row r="17" spans="1:17" s="1048" customFormat="1" x14ac:dyDescent="0.4">
      <c r="A17" s="536"/>
      <c r="B17" s="115"/>
      <c r="C17" s="221"/>
      <c r="D17" s="220"/>
      <c r="E17" s="220"/>
      <c r="F17" s="220"/>
      <c r="G17" s="220"/>
      <c r="H17" s="220"/>
      <c r="I17" s="220"/>
      <c r="J17" s="220"/>
      <c r="K17" s="220"/>
      <c r="L17" s="220"/>
      <c r="M17" s="220"/>
      <c r="N17" s="220"/>
      <c r="O17" s="220"/>
      <c r="P17" s="220"/>
      <c r="Q17" s="220"/>
    </row>
    <row r="18" spans="1:17" s="1048" customFormat="1" x14ac:dyDescent="0.4">
      <c r="A18" s="835"/>
      <c r="B18" s="115"/>
      <c r="C18" s="2494" t="s">
        <v>316</v>
      </c>
      <c r="D18" s="2494"/>
      <c r="E18" s="2494"/>
      <c r="F18" s="2494"/>
      <c r="G18" s="2494"/>
      <c r="H18" s="2494"/>
      <c r="I18" s="2494"/>
      <c r="J18" s="2494"/>
      <c r="K18" s="2494"/>
      <c r="L18" s="2494"/>
      <c r="M18" s="2494"/>
      <c r="N18" s="2494"/>
      <c r="O18" s="2494"/>
      <c r="P18" s="2494"/>
      <c r="Q18" s="2494"/>
    </row>
    <row r="19" spans="1:17" s="1048" customFormat="1" x14ac:dyDescent="0.4">
      <c r="A19" s="536"/>
      <c r="B19" s="115"/>
      <c r="C19" s="221"/>
      <c r="D19" s="220"/>
      <c r="E19" s="220"/>
      <c r="F19" s="220"/>
      <c r="G19" s="220"/>
      <c r="H19" s="220"/>
      <c r="I19" s="220"/>
      <c r="J19" s="220"/>
      <c r="K19" s="220"/>
      <c r="L19" s="220"/>
      <c r="M19" s="220"/>
      <c r="N19" s="220"/>
      <c r="O19" s="220"/>
      <c r="P19" s="220"/>
      <c r="Q19" s="220"/>
    </row>
    <row r="20" spans="1:17" s="1048" customFormat="1" x14ac:dyDescent="0.4">
      <c r="A20" s="536"/>
      <c r="B20" s="115"/>
      <c r="D20" s="115"/>
      <c r="E20" s="115"/>
    </row>
    <row r="21" spans="1:17" s="1048" customFormat="1" x14ac:dyDescent="0.4">
      <c r="A21" s="536"/>
      <c r="B21" s="115"/>
      <c r="D21" s="115"/>
      <c r="E21" s="115"/>
    </row>
    <row r="22" spans="1:17" s="1048" customFormat="1" x14ac:dyDescent="0.4">
      <c r="A22" s="835"/>
      <c r="B22" s="115"/>
      <c r="D22" s="115"/>
      <c r="E22" s="115"/>
    </row>
    <row r="23" spans="1:17" s="1048" customFormat="1" x14ac:dyDescent="0.4">
      <c r="A23" s="536"/>
      <c r="B23" s="115"/>
      <c r="D23" s="115"/>
      <c r="E23" s="115"/>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CBA7ACF1-20BE-4384-9472-21A07BCF96A3}"/>
    <hyperlink ref="C1:D1" location="'Metadato 14.2.1'!A1" display="VER METADATO" xr:uid="{5DA4F89E-8D2C-4D42-BDBA-FABE2A358C1A}"/>
  </hyperlinks>
  <pageMargins left="0.7" right="0.7" top="0.75" bottom="0.75" header="0.3" footer="0.3"/>
  <drawing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364F-5101-4337-BFC7-B6989B94C24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265</v>
      </c>
    </row>
    <row r="4" spans="1:6" ht="37.5" x14ac:dyDescent="0.4">
      <c r="A4" s="283"/>
      <c r="B4" s="2425" t="s">
        <v>234</v>
      </c>
      <c r="C4" s="2425"/>
      <c r="D4" s="49" t="s">
        <v>6780</v>
      </c>
    </row>
    <row r="5" spans="1:6" ht="56.25" x14ac:dyDescent="0.4">
      <c r="B5" s="2425" t="s">
        <v>79</v>
      </c>
      <c r="C5" s="2425"/>
      <c r="D5" s="49" t="s">
        <v>6753</v>
      </c>
    </row>
    <row r="6" spans="1:6" x14ac:dyDescent="0.4">
      <c r="B6" s="2425" t="s">
        <v>80</v>
      </c>
      <c r="C6" s="2425"/>
      <c r="D6" s="50" t="s">
        <v>6754</v>
      </c>
    </row>
    <row r="7" spans="1:6" ht="37.5" x14ac:dyDescent="0.4">
      <c r="B7" s="2426" t="s">
        <v>81</v>
      </c>
      <c r="C7" s="2426"/>
      <c r="D7" s="93" t="s">
        <v>6755</v>
      </c>
    </row>
    <row r="8" spans="1:6" x14ac:dyDescent="0.4">
      <c r="B8" s="2426" t="s">
        <v>82</v>
      </c>
      <c r="C8" s="2426"/>
      <c r="D8" s="1047" t="s">
        <v>353</v>
      </c>
    </row>
    <row r="10" spans="1:6" ht="23.25" customHeight="1" x14ac:dyDescent="0.4">
      <c r="B10" s="3413" t="s">
        <v>85</v>
      </c>
      <c r="C10" s="3413"/>
      <c r="D10" s="3413"/>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13" t="s">
        <v>121</v>
      </c>
      <c r="C31" s="3413"/>
      <c r="D31" s="3413"/>
    </row>
    <row r="32" spans="2:4" x14ac:dyDescent="0.4">
      <c r="B32" s="2427" t="s">
        <v>122</v>
      </c>
      <c r="C32" s="2428"/>
      <c r="D32" s="826" t="s">
        <v>6804</v>
      </c>
    </row>
    <row r="33" spans="2:4" x14ac:dyDescent="0.4">
      <c r="B33" s="2427" t="s">
        <v>124</v>
      </c>
      <c r="C33" s="2428"/>
      <c r="D33" s="826" t="s">
        <v>6805</v>
      </c>
    </row>
    <row r="34" spans="2:4" x14ac:dyDescent="0.4">
      <c r="B34" s="2427" t="s">
        <v>126</v>
      </c>
      <c r="C34" s="2428"/>
      <c r="D34" s="826" t="s">
        <v>6806</v>
      </c>
    </row>
    <row r="35" spans="2:4" x14ac:dyDescent="0.4">
      <c r="B35" s="2427" t="s">
        <v>128</v>
      </c>
      <c r="C35" s="2428"/>
      <c r="D35" s="826" t="s">
        <v>6807</v>
      </c>
    </row>
    <row r="36" spans="2:4" x14ac:dyDescent="0.4">
      <c r="B36" s="2427" t="s">
        <v>130</v>
      </c>
      <c r="C36" s="2428"/>
      <c r="D36" s="1667" t="s">
        <v>6808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73150158-6E73-4DB8-A490-8EC63A3F881C}"/>
    <dataValidation type="list" allowBlank="1" showInputMessage="1" showErrorMessage="1" sqref="D4" xr:uid="{C66D86A1-61AC-4E21-8062-BA8779A1D2FF}">
      <formula1>ODS</formula1>
    </dataValidation>
    <dataValidation type="list" allowBlank="1" showInputMessage="1" showErrorMessage="1" sqref="D5" xr:uid="{E47F2358-40DF-4A38-8EF6-DBA9159D8356}">
      <formula1>Metas_ODS</formula1>
    </dataValidation>
    <dataValidation type="list" allowBlank="1" showInputMessage="1" showErrorMessage="1" sqref="D6" xr:uid="{BA85E9BD-EADC-41EB-BA5A-F0FFFB2BB23C}">
      <formula1>Numero_indicador</formula1>
    </dataValidation>
    <dataValidation type="list" allowBlank="1" showInputMessage="1" showErrorMessage="1" sqref="D7" xr:uid="{1692299E-A9B6-41BC-8F3C-AC4D69262306}">
      <formula1>Nombre_indicador_ODS</formula1>
    </dataValidation>
    <dataValidation type="list" allowBlank="1" showInputMessage="1" showErrorMessage="1" sqref="D14" xr:uid="{D5AC8124-6C72-4EC9-89E2-0DD3191ABF97}">
      <formula1>Tipo_indicador</formula1>
    </dataValidation>
    <dataValidation type="list" allowBlank="1" showInputMessage="1" showErrorMessage="1" sqref="D25" xr:uid="{C1610A67-A011-4C68-BC74-E353BBCDFFCD}">
      <formula1>Tipo_operación</formula1>
    </dataValidation>
  </dataValidations>
  <hyperlinks>
    <hyperlink ref="B1" location="'14.2.1'!A1" display="REGRESAR" xr:uid="{EF615543-4271-4C26-A8A7-E79CF70CE15C}"/>
    <hyperlink ref="D36" r:id="rId1" xr:uid="{356790B2-DEDD-4570-B7D1-74ED75D44C56}"/>
    <hyperlink ref="D8" r:id="rId2" xr:uid="{5AA55885-1ADC-450C-8B56-F3759B3D9A51}"/>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48D4-196F-4639-9D23-C3A84A25513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 style="115" customWidth="1"/>
    <col min="3" max="3" width="11.7109375" style="1048" customWidth="1"/>
    <col min="4" max="16" width="11.7109375" style="115" customWidth="1"/>
    <col min="17" max="16384" width="11.42578125" style="115"/>
  </cols>
  <sheetData>
    <row r="1" spans="1:16" x14ac:dyDescent="0.4">
      <c r="A1" s="90" t="s">
        <v>39</v>
      </c>
      <c r="B1" s="1311"/>
      <c r="C1" s="2541" t="s">
        <v>149</v>
      </c>
      <c r="D1" s="2541"/>
    </row>
    <row r="3" spans="1:16" ht="21" customHeight="1" x14ac:dyDescent="0.4">
      <c r="A3" s="3406" t="s">
        <v>41</v>
      </c>
      <c r="B3" s="3410"/>
      <c r="C3" s="3408" t="s">
        <v>6749</v>
      </c>
      <c r="D3" s="3408"/>
      <c r="E3" s="3408"/>
      <c r="F3" s="3408"/>
      <c r="G3" s="3408"/>
      <c r="H3" s="3408"/>
      <c r="I3" s="3408"/>
      <c r="J3" s="3408"/>
      <c r="K3" s="3408"/>
      <c r="L3" s="3408"/>
      <c r="M3" s="3408"/>
      <c r="N3" s="3408"/>
      <c r="O3" s="3408"/>
      <c r="P3" s="3408"/>
    </row>
    <row r="4" spans="1:16" ht="17.45" customHeight="1" x14ac:dyDescent="0.4">
      <c r="A4" s="3406" t="s">
        <v>42</v>
      </c>
      <c r="B4" s="3407"/>
      <c r="C4" s="3411" t="s">
        <v>6756</v>
      </c>
      <c r="D4" s="3412"/>
      <c r="E4" s="3412"/>
      <c r="F4" s="3412"/>
      <c r="G4" s="3412"/>
      <c r="H4" s="3412"/>
      <c r="I4" s="3412"/>
      <c r="J4" s="3412"/>
      <c r="K4" s="3412"/>
      <c r="L4" s="3412"/>
      <c r="M4" s="3412"/>
      <c r="N4" s="3412"/>
      <c r="O4" s="3412"/>
      <c r="P4" s="3412"/>
    </row>
    <row r="5" spans="1:16" ht="18" customHeight="1" x14ac:dyDescent="0.4">
      <c r="A5" s="3406" t="s">
        <v>43</v>
      </c>
      <c r="B5" s="3407"/>
      <c r="C5" s="3408" t="s">
        <v>6758</v>
      </c>
      <c r="D5" s="3409"/>
      <c r="E5" s="3409"/>
      <c r="F5" s="3409"/>
      <c r="G5" s="3409"/>
      <c r="H5" s="3409"/>
      <c r="I5" s="3409"/>
      <c r="J5" s="3409"/>
      <c r="K5" s="3409"/>
      <c r="L5" s="3409"/>
      <c r="M5" s="3409"/>
      <c r="N5" s="3409"/>
      <c r="O5" s="3409"/>
      <c r="P5" s="3409"/>
    </row>
    <row r="6" spans="1:16" ht="19.5" x14ac:dyDescent="0.4">
      <c r="A6" s="3406" t="s">
        <v>132</v>
      </c>
      <c r="B6" s="3407"/>
      <c r="C6" s="3408" t="s">
        <v>242</v>
      </c>
      <c r="D6" s="3409"/>
      <c r="E6" s="3409"/>
      <c r="F6" s="3409"/>
      <c r="G6" s="3409"/>
      <c r="H6" s="3409"/>
      <c r="I6" s="3409"/>
      <c r="J6" s="3409"/>
      <c r="K6" s="3409"/>
      <c r="L6" s="3409"/>
      <c r="M6" s="3409"/>
      <c r="N6" s="3409"/>
      <c r="O6" s="3409"/>
      <c r="P6" s="3409"/>
    </row>
    <row r="7" spans="1:16" x14ac:dyDescent="0.4">
      <c r="A7" s="536"/>
    </row>
    <row r="8" spans="1:16" x14ac:dyDescent="0.4">
      <c r="A8" s="536"/>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D7A7EEEC-EF72-4A0B-9DBB-119F52C95715}"/>
    <hyperlink ref="C1:D1" location="'Metadato 14.3.1'!A1" display="VER METADATO" xr:uid="{BFCBCEBF-A9E9-4773-9506-C2F5E677D351}"/>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12DF-AD52-43E3-8FD2-128D17288FD4}">
  <sheetPr>
    <tabColor theme="0" tint="-0.499984740745262"/>
  </sheetPr>
  <dimension ref="B1:G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3.7109375" style="115" customWidth="1"/>
    <col min="2" max="2" width="11.42578125" style="115"/>
    <col min="3" max="3" width="26.42578125" style="115" customWidth="1"/>
    <col min="4" max="4" width="24" style="115" customWidth="1"/>
    <col min="5" max="5" width="85.7109375" style="115" customWidth="1"/>
    <col min="6" max="6" width="11.42578125" style="115"/>
    <col min="7" max="7" width="7.28515625" style="115" customWidth="1"/>
    <col min="8" max="16384" width="11.42578125" style="115"/>
  </cols>
  <sheetData>
    <row r="1" spans="2:7" x14ac:dyDescent="0.4">
      <c r="C1" s="90" t="s">
        <v>39</v>
      </c>
    </row>
    <row r="2" spans="2:7" ht="19.5" thickBot="1" x14ac:dyDescent="0.45"/>
    <row r="3" spans="2:7" ht="23.25" customHeight="1" thickBot="1" x14ac:dyDescent="0.45">
      <c r="C3" s="3413" t="s">
        <v>75</v>
      </c>
      <c r="D3" s="3413"/>
      <c r="E3" s="3413"/>
      <c r="G3" s="1046" t="s">
        <v>244</v>
      </c>
    </row>
    <row r="4" spans="2:7" ht="19.899999999999999" customHeight="1" x14ac:dyDescent="0.4">
      <c r="B4" s="283"/>
      <c r="C4" s="2425" t="s">
        <v>234</v>
      </c>
      <c r="D4" s="2425"/>
      <c r="E4" s="49" t="s">
        <v>6780</v>
      </c>
    </row>
    <row r="5" spans="2:7" ht="37.5" x14ac:dyDescent="0.4">
      <c r="C5" s="2425" t="s">
        <v>79</v>
      </c>
      <c r="D5" s="2425"/>
      <c r="E5" s="49" t="s">
        <v>6756</v>
      </c>
    </row>
    <row r="6" spans="2:7" x14ac:dyDescent="0.4">
      <c r="C6" s="2425" t="s">
        <v>80</v>
      </c>
      <c r="D6" s="2425"/>
      <c r="E6" s="50" t="s">
        <v>6757</v>
      </c>
    </row>
    <row r="7" spans="2:7" ht="21" customHeight="1" x14ac:dyDescent="0.4">
      <c r="C7" s="2426" t="s">
        <v>81</v>
      </c>
      <c r="D7" s="2426"/>
      <c r="E7" s="93" t="s">
        <v>6758</v>
      </c>
    </row>
    <row r="8" spans="2:7" x14ac:dyDescent="0.4">
      <c r="C8" s="2426" t="s">
        <v>82</v>
      </c>
      <c r="D8" s="2426"/>
      <c r="E8" s="1047" t="s">
        <v>6809</v>
      </c>
    </row>
    <row r="10" spans="2:7" ht="23.25" customHeight="1" x14ac:dyDescent="0.4">
      <c r="C10" s="3413" t="s">
        <v>85</v>
      </c>
      <c r="D10" s="3413"/>
      <c r="E10" s="3413"/>
    </row>
    <row r="11" spans="2:7" x14ac:dyDescent="0.4">
      <c r="C11" s="2427" t="s">
        <v>86</v>
      </c>
      <c r="D11" s="2428"/>
      <c r="E11" s="49"/>
    </row>
    <row r="12" spans="2:7" x14ac:dyDescent="0.4">
      <c r="C12" s="2426" t="s">
        <v>88</v>
      </c>
      <c r="D12" s="2426"/>
      <c r="E12" s="184"/>
    </row>
    <row r="13" spans="2:7" x14ac:dyDescent="0.4">
      <c r="C13" s="2425" t="s">
        <v>90</v>
      </c>
      <c r="D13" s="2425"/>
      <c r="E13" s="54"/>
    </row>
    <row r="14" spans="2:7" x14ac:dyDescent="0.4">
      <c r="C14" s="2425" t="s">
        <v>91</v>
      </c>
      <c r="D14" s="2428"/>
      <c r="E14" s="54"/>
    </row>
    <row r="15" spans="2:7" x14ac:dyDescent="0.4">
      <c r="C15" s="2425" t="s">
        <v>93</v>
      </c>
      <c r="D15" s="2425"/>
      <c r="E15" s="49"/>
    </row>
    <row r="16" spans="2:7" x14ac:dyDescent="0.4">
      <c r="C16" s="2425" t="s">
        <v>95</v>
      </c>
      <c r="D16" s="2425"/>
      <c r="E16" s="49"/>
    </row>
    <row r="17" spans="3:5" x14ac:dyDescent="0.4">
      <c r="C17" s="2425" t="s">
        <v>97</v>
      </c>
      <c r="D17" s="2425"/>
      <c r="E17" s="594" t="s">
        <v>6810</v>
      </c>
    </row>
    <row r="18" spans="3:5" x14ac:dyDescent="0.4">
      <c r="C18" s="2426" t="s">
        <v>99</v>
      </c>
      <c r="D18" s="2426"/>
      <c r="E18" s="49"/>
    </row>
    <row r="19" spans="3:5" x14ac:dyDescent="0.4">
      <c r="C19" s="2435" t="s">
        <v>100</v>
      </c>
      <c r="D19" s="2436"/>
      <c r="E19" s="55"/>
    </row>
    <row r="20" spans="3:5" x14ac:dyDescent="0.4">
      <c r="C20" s="2425" t="s">
        <v>102</v>
      </c>
      <c r="D20" s="2425"/>
      <c r="E20" s="49"/>
    </row>
    <row r="21" spans="3:5" x14ac:dyDescent="0.4">
      <c r="C21" s="2432" t="s">
        <v>104</v>
      </c>
      <c r="D21" s="57" t="s">
        <v>105</v>
      </c>
      <c r="E21" s="49"/>
    </row>
    <row r="22" spans="3:5" x14ac:dyDescent="0.4">
      <c r="C22" s="2433"/>
      <c r="D22" s="58" t="s">
        <v>107</v>
      </c>
      <c r="E22" s="55"/>
    </row>
    <row r="23" spans="3:5" x14ac:dyDescent="0.4">
      <c r="C23" s="2425" t="s">
        <v>109</v>
      </c>
      <c r="D23" s="2425"/>
      <c r="E23" s="49"/>
    </row>
    <row r="24" spans="3:5" x14ac:dyDescent="0.4">
      <c r="C24" s="2425" t="s">
        <v>111</v>
      </c>
      <c r="D24" s="2425"/>
      <c r="E24" s="826" t="s">
        <v>6806</v>
      </c>
    </row>
    <row r="25" spans="3:5" x14ac:dyDescent="0.4">
      <c r="C25" s="2425" t="s">
        <v>113</v>
      </c>
      <c r="D25" s="2425"/>
      <c r="E25" s="55"/>
    </row>
    <row r="26" spans="3:5" x14ac:dyDescent="0.4">
      <c r="C26" s="2426" t="s">
        <v>115</v>
      </c>
      <c r="D26" s="2426"/>
      <c r="E26" s="49"/>
    </row>
    <row r="27" spans="3:5" x14ac:dyDescent="0.4">
      <c r="C27" s="2427" t="s">
        <v>117</v>
      </c>
      <c r="D27" s="2428"/>
      <c r="E27" s="49"/>
    </row>
    <row r="28" spans="3:5" x14ac:dyDescent="0.4">
      <c r="C28" s="60" t="s">
        <v>118</v>
      </c>
      <c r="D28" s="61"/>
      <c r="E28" s="594" t="s">
        <v>6811</v>
      </c>
    </row>
    <row r="29" spans="3:5" x14ac:dyDescent="0.4">
      <c r="C29" s="2429" t="s">
        <v>120</v>
      </c>
      <c r="D29" s="2430"/>
      <c r="E29" s="62"/>
    </row>
    <row r="30" spans="3:5" x14ac:dyDescent="0.4">
      <c r="C30" s="63"/>
      <c r="D30" s="63"/>
      <c r="E30" s="64"/>
    </row>
    <row r="31" spans="3:5" ht="23.25" customHeight="1" x14ac:dyDescent="0.4">
      <c r="C31" s="3413" t="s">
        <v>121</v>
      </c>
      <c r="D31" s="3413"/>
      <c r="E31" s="3413"/>
    </row>
    <row r="32" spans="3:5" x14ac:dyDescent="0.4">
      <c r="C32" s="2427" t="s">
        <v>122</v>
      </c>
      <c r="D32" s="2428"/>
      <c r="E32" s="826" t="s">
        <v>6804</v>
      </c>
    </row>
    <row r="33" spans="3:5" x14ac:dyDescent="0.4">
      <c r="C33" s="2427" t="s">
        <v>124</v>
      </c>
      <c r="D33" s="2428"/>
      <c r="E33" s="826" t="s">
        <v>6805</v>
      </c>
    </row>
    <row r="34" spans="3:5" x14ac:dyDescent="0.4">
      <c r="C34" s="2427" t="s">
        <v>126</v>
      </c>
      <c r="D34" s="2428"/>
      <c r="E34" s="826" t="s">
        <v>6806</v>
      </c>
    </row>
    <row r="35" spans="3:5" x14ac:dyDescent="0.4">
      <c r="C35" s="2427" t="s">
        <v>128</v>
      </c>
      <c r="D35" s="2428"/>
      <c r="E35" s="826" t="s">
        <v>6807</v>
      </c>
    </row>
    <row r="36" spans="3:5" x14ac:dyDescent="0.4">
      <c r="C36" s="2427" t="s">
        <v>130</v>
      </c>
      <c r="D36" s="2428"/>
      <c r="E36" s="826" t="s">
        <v>6808</v>
      </c>
    </row>
  </sheetData>
  <mergeCells count="30">
    <mergeCell ref="C8:D8"/>
    <mergeCell ref="C3:E3"/>
    <mergeCell ref="C4:D4"/>
    <mergeCell ref="C5:D5"/>
    <mergeCell ref="C6:D6"/>
    <mergeCell ref="C7:D7"/>
    <mergeCell ref="C21:C22"/>
    <mergeCell ref="C10:E10"/>
    <mergeCell ref="C11:D11"/>
    <mergeCell ref="C12:D12"/>
    <mergeCell ref="C13:D13"/>
    <mergeCell ref="C14:D14"/>
    <mergeCell ref="C15:D15"/>
    <mergeCell ref="C16:D16"/>
    <mergeCell ref="C17:D17"/>
    <mergeCell ref="C18:D18"/>
    <mergeCell ref="C19:D19"/>
    <mergeCell ref="C20:D20"/>
    <mergeCell ref="C36:D36"/>
    <mergeCell ref="C23:D23"/>
    <mergeCell ref="C24:D24"/>
    <mergeCell ref="C25:D25"/>
    <mergeCell ref="C26:D26"/>
    <mergeCell ref="C27:D27"/>
    <mergeCell ref="C29:D29"/>
    <mergeCell ref="C31:E31"/>
    <mergeCell ref="C32:D32"/>
    <mergeCell ref="C33:D33"/>
    <mergeCell ref="C34:D34"/>
    <mergeCell ref="C35:D35"/>
  </mergeCells>
  <dataValidations count="7">
    <dataValidation type="list" allowBlank="1" showInputMessage="1" showErrorMessage="1" sqref="E25" xr:uid="{512CEF18-F29B-4152-8E69-2CD6203E7DE6}">
      <formula1>Tipo_operación</formula1>
    </dataValidation>
    <dataValidation type="list" allowBlank="1" showInputMessage="1" showErrorMessage="1" sqref="E14" xr:uid="{B167503E-149F-45EA-A395-D5E1D2D7C006}">
      <formula1>Tipo_indicador</formula1>
    </dataValidation>
    <dataValidation type="list" allowBlank="1" showInputMessage="1" showErrorMessage="1" sqref="E7" xr:uid="{7714FA75-462B-4EC1-9099-4403B03C0584}">
      <formula1>Nombre_indicador_ODS</formula1>
    </dataValidation>
    <dataValidation type="list" allowBlank="1" showInputMessage="1" showErrorMessage="1" sqref="E6" xr:uid="{24287E74-1FFA-4E35-BA67-37CA1E71A26C}">
      <formula1>Numero_indicador</formula1>
    </dataValidation>
    <dataValidation type="list" allowBlank="1" showInputMessage="1" showErrorMessage="1" sqref="E5" xr:uid="{A6AA04A9-7A49-4CFB-884A-C54A26BCDD71}">
      <formula1>Metas_ODS</formula1>
    </dataValidation>
    <dataValidation type="list" allowBlank="1" showInputMessage="1" showErrorMessage="1" sqref="E4" xr:uid="{B559A76E-977D-48D1-A293-1AD240175AF3}">
      <formula1>ODS</formula1>
    </dataValidation>
    <dataValidation allowBlank="1" showDropDown="1" showInputMessage="1" showErrorMessage="1" sqref="E13" xr:uid="{8A9FEE6D-74E2-496F-A49F-DE2997E3A68A}"/>
  </dataValidations>
  <hyperlinks>
    <hyperlink ref="C1" location="'14.3.1'!A1" display="REGRESAR" xr:uid="{994429FB-F846-40ED-ADF2-7C9FF40E8C5F}"/>
    <hyperlink ref="E8" r:id="rId1" xr:uid="{7472795C-F28B-414D-AE70-DB0E176423CE}"/>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7F52-3372-4ED1-A62F-51A666623F56}">
  <dimension ref="A1:Y31"/>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6.7109375" style="1048" customWidth="1"/>
    <col min="4" max="4" width="22" style="1048" customWidth="1"/>
    <col min="5" max="6" width="23.42578125" style="115" customWidth="1"/>
    <col min="7" max="7" width="13.5703125" style="115" customWidth="1"/>
    <col min="8" max="8" width="25.28515625" style="232" customWidth="1"/>
    <col min="9" max="9" width="13.7109375" style="232" customWidth="1"/>
    <col min="10" max="10" width="15" style="232" customWidth="1"/>
    <col min="11" max="12" width="17.7109375" style="232" customWidth="1"/>
    <col min="13" max="13" width="25.5703125" style="115" customWidth="1"/>
    <col min="14" max="17" width="11.42578125" style="115"/>
    <col min="18" max="19" width="15.5703125" style="115" customWidth="1"/>
    <col min="20" max="20" width="11.42578125" style="115"/>
    <col min="21" max="21" width="13" style="115" customWidth="1"/>
    <col min="22" max="16384" width="11.42578125" style="115"/>
  </cols>
  <sheetData>
    <row r="1" spans="1:25" x14ac:dyDescent="0.4">
      <c r="A1" s="90" t="s">
        <v>39</v>
      </c>
      <c r="B1" s="1311"/>
      <c r="C1" s="2541" t="s">
        <v>149</v>
      </c>
      <c r="D1" s="2541"/>
      <c r="E1" s="1935"/>
      <c r="F1" s="1959"/>
      <c r="G1" s="1959"/>
    </row>
    <row r="2" spans="1:25" ht="15.75" customHeight="1" x14ac:dyDescent="0.4"/>
    <row r="3" spans="1:25" ht="18" customHeight="1" x14ac:dyDescent="0.4">
      <c r="A3" s="3406" t="s">
        <v>41</v>
      </c>
      <c r="B3" s="3410"/>
      <c r="C3" s="3408" t="s">
        <v>6749</v>
      </c>
      <c r="D3" s="3408"/>
      <c r="E3" s="3408"/>
      <c r="F3" s="3408"/>
      <c r="G3" s="3408"/>
      <c r="H3" s="3408"/>
      <c r="I3" s="3408"/>
      <c r="J3" s="3408"/>
      <c r="K3" s="3408"/>
      <c r="L3" s="3408"/>
      <c r="M3" s="3408"/>
    </row>
    <row r="4" spans="1:25" ht="36.6" customHeight="1" x14ac:dyDescent="0.4">
      <c r="A4" s="3406" t="s">
        <v>42</v>
      </c>
      <c r="B4" s="3407"/>
      <c r="C4" s="3411" t="s">
        <v>6759</v>
      </c>
      <c r="D4" s="3411"/>
      <c r="E4" s="3412"/>
      <c r="F4" s="3412"/>
      <c r="G4" s="3412"/>
      <c r="H4" s="3412"/>
      <c r="I4" s="3412"/>
      <c r="J4" s="3412"/>
      <c r="K4" s="3412"/>
      <c r="L4" s="3412"/>
      <c r="M4" s="3412"/>
    </row>
    <row r="5" spans="1:25" ht="18" customHeight="1" x14ac:dyDescent="0.4">
      <c r="A5" s="3406" t="s">
        <v>43</v>
      </c>
      <c r="B5" s="3407"/>
      <c r="C5" s="3408" t="s">
        <v>6761</v>
      </c>
      <c r="D5" s="3408"/>
      <c r="E5" s="3409"/>
      <c r="F5" s="3409"/>
      <c r="G5" s="3409"/>
      <c r="H5" s="3409"/>
      <c r="I5" s="3409"/>
      <c r="J5" s="3409"/>
      <c r="K5" s="3409"/>
      <c r="L5" s="3409"/>
      <c r="M5" s="3409"/>
    </row>
    <row r="6" spans="1:25" ht="16.149999999999999" customHeight="1" x14ac:dyDescent="0.4">
      <c r="A6" s="3406" t="s">
        <v>132</v>
      </c>
      <c r="B6" s="3407"/>
      <c r="C6" s="3408" t="s">
        <v>6812</v>
      </c>
      <c r="D6" s="3408"/>
      <c r="E6" s="3409"/>
      <c r="F6" s="3409"/>
      <c r="G6" s="3409"/>
      <c r="H6" s="3409"/>
      <c r="I6" s="3409"/>
      <c r="J6" s="3409"/>
      <c r="K6" s="3409"/>
      <c r="L6" s="3409"/>
      <c r="M6" s="3409"/>
    </row>
    <row r="7" spans="1:25" x14ac:dyDescent="0.4">
      <c r="A7" s="536"/>
    </row>
    <row r="8" spans="1:25" x14ac:dyDescent="0.4">
      <c r="A8" s="536"/>
    </row>
    <row r="9" spans="1:25" ht="12.75" customHeight="1" x14ac:dyDescent="0.4">
      <c r="A9" s="536"/>
      <c r="E9" s="1048"/>
      <c r="F9" s="1048"/>
      <c r="G9" s="1048"/>
      <c r="H9" s="141"/>
      <c r="I9" s="141"/>
      <c r="J9" s="141"/>
      <c r="K9" s="141"/>
      <c r="L9" s="141"/>
      <c r="M9" s="1048"/>
      <c r="N9" s="3417"/>
      <c r="O9" s="3417"/>
      <c r="P9" s="3417"/>
      <c r="Q9" s="3418"/>
      <c r="R9" s="3418"/>
      <c r="S9" s="3418"/>
      <c r="T9" s="3418"/>
      <c r="U9" s="3418"/>
      <c r="V9" s="3418"/>
      <c r="W9" s="3418"/>
      <c r="X9" s="3418"/>
      <c r="Y9" s="3418"/>
    </row>
    <row r="10" spans="1:25" s="1960" customFormat="1" ht="18.600000000000001" customHeight="1" x14ac:dyDescent="0.25">
      <c r="C10" s="163" t="s">
        <v>6812</v>
      </c>
      <c r="D10" s="163"/>
      <c r="E10" s="163"/>
      <c r="F10" s="163"/>
      <c r="G10" s="163"/>
      <c r="H10" s="163"/>
      <c r="I10" s="163"/>
      <c r="J10" s="163"/>
      <c r="K10" s="163"/>
      <c r="L10" s="163"/>
      <c r="M10" s="163"/>
      <c r="N10" s="163"/>
      <c r="O10" s="163"/>
      <c r="P10" s="163"/>
      <c r="Q10" s="163"/>
      <c r="R10" s="163"/>
      <c r="S10" s="163"/>
      <c r="T10" s="163"/>
      <c r="U10" s="163"/>
      <c r="V10" s="163"/>
      <c r="W10" s="163"/>
      <c r="X10" s="163"/>
      <c r="Y10" s="163"/>
    </row>
    <row r="11" spans="1:25" s="1960" customFormat="1" ht="9.6" customHeight="1" x14ac:dyDescent="0.25">
      <c r="C11" s="533"/>
      <c r="D11" s="533"/>
      <c r="E11" s="533"/>
      <c r="F11" s="533"/>
      <c r="G11" s="533"/>
      <c r="H11" s="533"/>
      <c r="I11" s="533"/>
      <c r="J11" s="533"/>
      <c r="K11" s="533"/>
      <c r="L11" s="533"/>
      <c r="M11" s="533"/>
      <c r="N11" s="533"/>
      <c r="O11" s="533"/>
      <c r="P11" s="533"/>
      <c r="Q11" s="533"/>
      <c r="R11" s="533"/>
      <c r="S11" s="533"/>
      <c r="T11" s="533"/>
      <c r="U11" s="533"/>
      <c r="V11" s="533"/>
      <c r="W11" s="533"/>
      <c r="X11" s="533"/>
      <c r="Y11" s="533"/>
    </row>
    <row r="12" spans="1:25" s="1960" customFormat="1" ht="29.25" customHeight="1" x14ac:dyDescent="0.25">
      <c r="C12" s="3419" t="s">
        <v>6813</v>
      </c>
      <c r="D12" s="3419" t="s">
        <v>6814</v>
      </c>
      <c r="E12" s="3419" t="s">
        <v>6815</v>
      </c>
      <c r="F12" s="3419" t="s">
        <v>6816</v>
      </c>
      <c r="G12" s="3419" t="s">
        <v>6817</v>
      </c>
      <c r="H12" s="3419" t="s">
        <v>6818</v>
      </c>
      <c r="I12" s="3419" t="s">
        <v>6819</v>
      </c>
      <c r="J12" s="3419" t="s">
        <v>6820</v>
      </c>
      <c r="K12" s="1961"/>
      <c r="L12" s="3416" t="s">
        <v>6821</v>
      </c>
      <c r="M12" s="3416"/>
      <c r="N12" s="3416" t="s">
        <v>6822</v>
      </c>
      <c r="O12" s="3416"/>
      <c r="P12" s="3416"/>
      <c r="Q12" s="3416" t="s">
        <v>6823</v>
      </c>
      <c r="R12" s="3416"/>
      <c r="S12" s="3416"/>
      <c r="T12" s="3416"/>
      <c r="U12" s="3416" t="s">
        <v>6824</v>
      </c>
      <c r="V12" s="3416"/>
      <c r="W12" s="3416"/>
      <c r="X12" s="3416"/>
      <c r="Y12" s="3419" t="s">
        <v>6825</v>
      </c>
    </row>
    <row r="13" spans="1:25" s="232" customFormat="1" ht="150" x14ac:dyDescent="0.25">
      <c r="C13" s="3420" t="s">
        <v>6813</v>
      </c>
      <c r="D13" s="3420"/>
      <c r="E13" s="3420"/>
      <c r="F13" s="3420"/>
      <c r="G13" s="3420"/>
      <c r="H13" s="3420"/>
      <c r="I13" s="3420"/>
      <c r="J13" s="3420"/>
      <c r="K13" s="1962" t="s">
        <v>6826</v>
      </c>
      <c r="L13" s="1962" t="s">
        <v>6827</v>
      </c>
      <c r="M13" s="1962" t="s">
        <v>6828</v>
      </c>
      <c r="N13" s="1962" t="s">
        <v>6829</v>
      </c>
      <c r="O13" s="1962" t="s">
        <v>6830</v>
      </c>
      <c r="P13" s="1962" t="s">
        <v>6831</v>
      </c>
      <c r="Q13" s="1962" t="s">
        <v>6832</v>
      </c>
      <c r="R13" s="1962" t="s">
        <v>6833</v>
      </c>
      <c r="S13" s="1962" t="s">
        <v>6834</v>
      </c>
      <c r="T13" s="1962" t="s">
        <v>6835</v>
      </c>
      <c r="U13" s="1962" t="s">
        <v>6836</v>
      </c>
      <c r="V13" s="1962" t="s">
        <v>6837</v>
      </c>
      <c r="W13" s="1962" t="s">
        <v>6838</v>
      </c>
      <c r="X13" s="1962" t="s">
        <v>6839</v>
      </c>
      <c r="Y13" s="3420"/>
    </row>
    <row r="14" spans="1:25" s="232" customFormat="1" ht="32.25" customHeight="1" x14ac:dyDescent="0.25">
      <c r="C14" s="1961" t="s">
        <v>6840</v>
      </c>
      <c r="D14" s="1963" t="s">
        <v>6841</v>
      </c>
      <c r="E14" s="1964" t="s">
        <v>6842</v>
      </c>
      <c r="F14" s="1964" t="s">
        <v>6843</v>
      </c>
      <c r="G14" s="1965">
        <v>77</v>
      </c>
      <c r="H14" s="1965" t="s">
        <v>140</v>
      </c>
      <c r="I14" s="1965" t="s">
        <v>4620</v>
      </c>
      <c r="J14" s="1965" t="s">
        <v>4620</v>
      </c>
      <c r="K14" s="1964" t="s">
        <v>6844</v>
      </c>
      <c r="L14" s="1966">
        <v>102.4</v>
      </c>
      <c r="M14" s="1966">
        <v>0.6</v>
      </c>
      <c r="N14" s="1965"/>
      <c r="O14" s="1965"/>
      <c r="P14" s="1965" t="s">
        <v>6845</v>
      </c>
      <c r="Q14" s="1965" t="s">
        <v>6846</v>
      </c>
      <c r="R14" s="1965"/>
      <c r="S14" s="1965"/>
      <c r="T14" s="1965"/>
      <c r="U14" s="1965"/>
      <c r="V14" s="1965"/>
      <c r="W14" s="1965"/>
      <c r="X14" s="1965"/>
      <c r="Y14" s="1965">
        <v>102.4</v>
      </c>
    </row>
    <row r="15" spans="1:25" s="232" customFormat="1" ht="32.25" customHeight="1" x14ac:dyDescent="0.25">
      <c r="C15" s="1967" t="s">
        <v>6847</v>
      </c>
      <c r="D15" s="1964" t="s">
        <v>6848</v>
      </c>
      <c r="E15" s="1964" t="s">
        <v>6849</v>
      </c>
      <c r="F15" s="1964" t="s">
        <v>6850</v>
      </c>
      <c r="G15" s="1965">
        <v>77</v>
      </c>
      <c r="H15" s="1965" t="s">
        <v>140</v>
      </c>
      <c r="I15" s="1965" t="s">
        <v>4620</v>
      </c>
      <c r="J15" s="1965" t="s">
        <v>4620</v>
      </c>
      <c r="K15" s="1964" t="s">
        <v>6844</v>
      </c>
      <c r="L15" s="1966">
        <v>303.3</v>
      </c>
      <c r="M15" s="1966">
        <v>1.77</v>
      </c>
      <c r="N15" s="1965"/>
      <c r="O15" s="1965"/>
      <c r="P15" s="1965" t="s">
        <v>6845</v>
      </c>
      <c r="Q15" s="1965" t="s">
        <v>317</v>
      </c>
      <c r="R15" s="1965"/>
      <c r="S15" s="1965"/>
      <c r="T15" s="1965"/>
      <c r="U15" s="1965"/>
      <c r="V15" s="1965"/>
      <c r="W15" s="1965"/>
      <c r="X15" s="1965"/>
      <c r="Y15" s="1965">
        <v>303.3</v>
      </c>
    </row>
    <row r="16" spans="1:25" s="232" customFormat="1" ht="32.25" customHeight="1" x14ac:dyDescent="0.4">
      <c r="C16" s="1967" t="s">
        <v>6851</v>
      </c>
      <c r="D16" s="1964" t="s">
        <v>6852</v>
      </c>
      <c r="E16" s="1964" t="s">
        <v>6853</v>
      </c>
      <c r="F16" s="1964" t="s">
        <v>6854</v>
      </c>
      <c r="G16" s="1965">
        <v>77</v>
      </c>
      <c r="H16" s="1965" t="s">
        <v>140</v>
      </c>
      <c r="I16" s="1965" t="s">
        <v>4620</v>
      </c>
      <c r="J16" s="1965" t="s">
        <v>4620</v>
      </c>
      <c r="K16" s="1964" t="s">
        <v>6844</v>
      </c>
      <c r="L16" s="1966">
        <v>467</v>
      </c>
      <c r="M16" s="1966">
        <v>2.72</v>
      </c>
      <c r="N16" s="1965"/>
      <c r="O16" s="1965"/>
      <c r="P16" s="1965" t="s">
        <v>6845</v>
      </c>
      <c r="Q16" s="1965" t="s">
        <v>317</v>
      </c>
      <c r="R16" s="1968"/>
      <c r="S16" s="1968"/>
      <c r="T16" s="1968"/>
      <c r="U16" s="1968"/>
      <c r="V16" s="1968"/>
      <c r="W16" s="1968"/>
      <c r="X16" s="1968"/>
      <c r="Y16" s="1965">
        <v>467</v>
      </c>
    </row>
    <row r="17" spans="3:25" s="232" customFormat="1" ht="32.25" customHeight="1" x14ac:dyDescent="0.4">
      <c r="C17" s="1967" t="s">
        <v>6855</v>
      </c>
      <c r="D17" s="1964" t="s">
        <v>6856</v>
      </c>
      <c r="E17" s="1964" t="s">
        <v>6857</v>
      </c>
      <c r="F17" s="1964" t="s">
        <v>6858</v>
      </c>
      <c r="G17" s="1965">
        <v>77</v>
      </c>
      <c r="H17" s="1965" t="s">
        <v>140</v>
      </c>
      <c r="I17" s="1965" t="s">
        <v>4620</v>
      </c>
      <c r="J17" s="1965" t="s">
        <v>4620</v>
      </c>
      <c r="K17" s="1964" t="s">
        <v>6844</v>
      </c>
      <c r="L17" s="1966">
        <v>150.5</v>
      </c>
      <c r="M17" s="1966">
        <v>0.88</v>
      </c>
      <c r="N17" s="1965"/>
      <c r="O17" s="1965"/>
      <c r="P17" s="1965" t="s">
        <v>6845</v>
      </c>
      <c r="Q17" s="1965" t="s">
        <v>317</v>
      </c>
      <c r="R17" s="1968"/>
      <c r="S17" s="1968"/>
      <c r="T17" s="1968"/>
      <c r="U17" s="1968"/>
      <c r="V17" s="1968"/>
      <c r="W17" s="1968"/>
      <c r="X17" s="1968"/>
      <c r="Y17" s="1965">
        <v>150.5</v>
      </c>
    </row>
    <row r="18" spans="3:25" s="232" customFormat="1" ht="32.25" customHeight="1" x14ac:dyDescent="0.4">
      <c r="C18" s="1967" t="s">
        <v>6859</v>
      </c>
      <c r="D18" s="1964" t="s">
        <v>6860</v>
      </c>
      <c r="E18" s="1964" t="s">
        <v>6861</v>
      </c>
      <c r="F18" s="1964" t="s">
        <v>6862</v>
      </c>
      <c r="G18" s="1965">
        <v>77</v>
      </c>
      <c r="H18" s="1965" t="s">
        <v>140</v>
      </c>
      <c r="I18" s="1965" t="s">
        <v>4620</v>
      </c>
      <c r="J18" s="1965" t="s">
        <v>4620</v>
      </c>
      <c r="K18" s="1964" t="s">
        <v>6844</v>
      </c>
      <c r="L18" s="1966">
        <v>178.7</v>
      </c>
      <c r="M18" s="1966">
        <v>1.04</v>
      </c>
      <c r="N18" s="1965"/>
      <c r="O18" s="1965"/>
      <c r="P18" s="1964" t="s">
        <v>6845</v>
      </c>
      <c r="Q18" s="1965" t="s">
        <v>317</v>
      </c>
      <c r="R18" s="1968"/>
      <c r="S18" s="1968"/>
      <c r="T18" s="1968"/>
      <c r="U18" s="1968"/>
      <c r="V18" s="1968"/>
      <c r="W18" s="1968"/>
      <c r="X18" s="1968"/>
      <c r="Y18" s="1965">
        <v>178.7</v>
      </c>
    </row>
    <row r="19" spans="3:25" s="232" customFormat="1" ht="32.25" customHeight="1" x14ac:dyDescent="0.4">
      <c r="C19" s="1967" t="s">
        <v>6863</v>
      </c>
      <c r="D19" s="1964" t="s">
        <v>6864</v>
      </c>
      <c r="E19" s="1964" t="s">
        <v>6865</v>
      </c>
      <c r="F19" s="1964" t="s">
        <v>6866</v>
      </c>
      <c r="G19" s="1965">
        <v>77</v>
      </c>
      <c r="H19" s="1965" t="s">
        <v>140</v>
      </c>
      <c r="I19" s="1965" t="s">
        <v>4620</v>
      </c>
      <c r="J19" s="1965" t="s">
        <v>4620</v>
      </c>
      <c r="K19" s="1964" t="s">
        <v>6844</v>
      </c>
      <c r="L19" s="1966">
        <v>267.5</v>
      </c>
      <c r="M19" s="1966">
        <v>1.56</v>
      </c>
      <c r="N19" s="1964"/>
      <c r="O19" s="1964"/>
      <c r="P19" s="1965" t="s">
        <v>6845</v>
      </c>
      <c r="Q19" s="1965" t="s">
        <v>317</v>
      </c>
      <c r="R19" s="1968"/>
      <c r="S19" s="1968"/>
      <c r="T19" s="1968"/>
      <c r="U19" s="1968"/>
      <c r="V19" s="1968"/>
      <c r="W19" s="1968"/>
      <c r="X19" s="1968"/>
      <c r="Y19" s="1965">
        <v>267.7</v>
      </c>
    </row>
    <row r="20" spans="3:25" s="232" customFormat="1" ht="32.25" customHeight="1" x14ac:dyDescent="0.25">
      <c r="C20" s="1967" t="s">
        <v>6867</v>
      </c>
      <c r="D20" s="1964" t="s">
        <v>6868</v>
      </c>
      <c r="E20" s="1964" t="s">
        <v>6869</v>
      </c>
      <c r="F20" s="1964" t="s">
        <v>6870</v>
      </c>
      <c r="G20" s="1965">
        <v>77</v>
      </c>
      <c r="H20" s="1965" t="s">
        <v>6871</v>
      </c>
      <c r="I20" s="1965" t="s">
        <v>2014</v>
      </c>
      <c r="J20" s="1965" t="s">
        <v>6872</v>
      </c>
      <c r="K20" s="1964" t="s">
        <v>4620</v>
      </c>
      <c r="L20" s="1966">
        <v>8220.7999999999993</v>
      </c>
      <c r="M20" s="1966">
        <v>47.89</v>
      </c>
      <c r="N20" s="1964"/>
      <c r="O20" s="1965" t="s">
        <v>6845</v>
      </c>
      <c r="P20" s="1964"/>
      <c r="Q20" s="1969" t="s">
        <v>6873</v>
      </c>
      <c r="R20" s="1969" t="s">
        <v>6874</v>
      </c>
      <c r="S20" s="1965" t="s">
        <v>6875</v>
      </c>
      <c r="T20" s="1965">
        <v>2017</v>
      </c>
      <c r="U20" s="1965">
        <v>0.99</v>
      </c>
      <c r="V20" s="1965"/>
      <c r="W20" s="1965" t="s">
        <v>6876</v>
      </c>
      <c r="X20" s="1965">
        <v>2017</v>
      </c>
      <c r="Y20" s="1965">
        <v>8220.7999999999993</v>
      </c>
    </row>
    <row r="21" spans="3:25" s="232" customFormat="1" ht="32.25" customHeight="1" x14ac:dyDescent="0.4">
      <c r="C21" s="1967" t="s">
        <v>6877</v>
      </c>
      <c r="D21" s="1964" t="s">
        <v>6878</v>
      </c>
      <c r="E21" s="1964" t="s">
        <v>6879</v>
      </c>
      <c r="F21" s="1964" t="s">
        <v>6880</v>
      </c>
      <c r="G21" s="1965">
        <v>77</v>
      </c>
      <c r="H21" s="1965" t="s">
        <v>6871</v>
      </c>
      <c r="I21" s="1965" t="s">
        <v>4620</v>
      </c>
      <c r="J21" s="1965" t="s">
        <v>6881</v>
      </c>
      <c r="K21" s="1964" t="s">
        <v>6844</v>
      </c>
      <c r="L21" s="1966">
        <v>387.7</v>
      </c>
      <c r="M21" s="1966">
        <v>2.2599999999999998</v>
      </c>
      <c r="N21" s="1964"/>
      <c r="O21" s="1964"/>
      <c r="P21" s="1965" t="s">
        <v>6845</v>
      </c>
      <c r="Q21" s="1968" t="s">
        <v>317</v>
      </c>
      <c r="R21" s="1968"/>
      <c r="S21" s="1968"/>
      <c r="T21" s="1968"/>
      <c r="U21" s="1968"/>
      <c r="V21" s="1968"/>
      <c r="W21" s="1968"/>
      <c r="X21" s="1968"/>
      <c r="Y21" s="1965">
        <v>387.6</v>
      </c>
    </row>
    <row r="22" spans="3:25" s="232" customFormat="1" ht="32.25" customHeight="1" x14ac:dyDescent="0.4">
      <c r="C22" s="1967" t="s">
        <v>6882</v>
      </c>
      <c r="D22" s="1964" t="s">
        <v>6883</v>
      </c>
      <c r="E22" s="1964" t="s">
        <v>6884</v>
      </c>
      <c r="F22" s="1964" t="s">
        <v>6885</v>
      </c>
      <c r="G22" s="1965">
        <v>77</v>
      </c>
      <c r="H22" s="1965" t="s">
        <v>6871</v>
      </c>
      <c r="I22" s="1965" t="s">
        <v>4620</v>
      </c>
      <c r="J22" s="1965" t="s">
        <v>6881</v>
      </c>
      <c r="K22" s="1964" t="s">
        <v>6844</v>
      </c>
      <c r="L22" s="1966">
        <v>1305.3</v>
      </c>
      <c r="M22" s="1966">
        <v>7.6</v>
      </c>
      <c r="N22" s="1964"/>
      <c r="O22" s="1964"/>
      <c r="P22" s="1965" t="s">
        <v>6886</v>
      </c>
      <c r="Q22" s="1968" t="s">
        <v>317</v>
      </c>
      <c r="R22" s="1968"/>
      <c r="S22" s="1968"/>
      <c r="T22" s="1968"/>
      <c r="U22" s="1968"/>
      <c r="V22" s="1968"/>
      <c r="W22" s="1968"/>
      <c r="X22" s="1968"/>
      <c r="Y22" s="1965">
        <v>1305.3</v>
      </c>
    </row>
    <row r="23" spans="3:25" s="232" customFormat="1" ht="32.25" customHeight="1" x14ac:dyDescent="0.4">
      <c r="C23" s="1967" t="s">
        <v>6887</v>
      </c>
      <c r="D23" s="1964" t="s">
        <v>6888</v>
      </c>
      <c r="E23" s="1964" t="s">
        <v>6889</v>
      </c>
      <c r="F23" s="1964" t="s">
        <v>6890</v>
      </c>
      <c r="G23" s="1965">
        <v>77</v>
      </c>
      <c r="H23" s="1965" t="s">
        <v>6871</v>
      </c>
      <c r="I23" s="1965" t="s">
        <v>4620</v>
      </c>
      <c r="J23" s="1965" t="s">
        <v>6881</v>
      </c>
      <c r="K23" s="1964" t="s">
        <v>6844</v>
      </c>
      <c r="L23" s="1966">
        <v>2343.1</v>
      </c>
      <c r="M23" s="1966">
        <v>13.65</v>
      </c>
      <c r="N23" s="1964"/>
      <c r="O23" s="1964"/>
      <c r="P23" s="1965" t="s">
        <v>6845</v>
      </c>
      <c r="Q23" s="1968" t="s">
        <v>317</v>
      </c>
      <c r="R23" s="1968"/>
      <c r="S23" s="1968"/>
      <c r="T23" s="1968"/>
      <c r="U23" s="1968"/>
      <c r="V23" s="1968"/>
      <c r="W23" s="1968"/>
      <c r="X23" s="1968"/>
      <c r="Y23" s="1965">
        <v>2343.1</v>
      </c>
    </row>
    <row r="24" spans="3:25" s="232" customFormat="1" ht="32.25" customHeight="1" x14ac:dyDescent="0.4">
      <c r="C24" s="1962" t="s">
        <v>6891</v>
      </c>
      <c r="D24" s="1970" t="s">
        <v>6892</v>
      </c>
      <c r="E24" s="1970" t="s">
        <v>6893</v>
      </c>
      <c r="F24" s="1970" t="s">
        <v>6894</v>
      </c>
      <c r="G24" s="1971">
        <v>77</v>
      </c>
      <c r="H24" s="1971" t="s">
        <v>6871</v>
      </c>
      <c r="I24" s="1971" t="s">
        <v>4620</v>
      </c>
      <c r="J24" s="1971" t="s">
        <v>6881</v>
      </c>
      <c r="K24" s="1970" t="s">
        <v>6844</v>
      </c>
      <c r="L24" s="1972">
        <v>648.70000000000005</v>
      </c>
      <c r="M24" s="1972">
        <v>3.78</v>
      </c>
      <c r="N24" s="1970"/>
      <c r="O24" s="1970"/>
      <c r="P24" s="1971" t="s">
        <v>6845</v>
      </c>
      <c r="Q24" s="1973" t="s">
        <v>317</v>
      </c>
      <c r="R24" s="1973"/>
      <c r="S24" s="1973"/>
      <c r="T24" s="1973"/>
      <c r="U24" s="1973"/>
      <c r="V24" s="1973"/>
      <c r="W24" s="1973"/>
      <c r="X24" s="1973"/>
      <c r="Y24" s="1971">
        <v>648.70000000000005</v>
      </c>
    </row>
    <row r="25" spans="3:25" s="232" customFormat="1" x14ac:dyDescent="0.25">
      <c r="C25" s="301" t="s">
        <v>6895</v>
      </c>
    </row>
    <row r="26" spans="3:25" s="232" customFormat="1" ht="26.25" customHeight="1" x14ac:dyDescent="0.25">
      <c r="C26" s="1974" t="s">
        <v>6896</v>
      </c>
      <c r="D26" s="1527" t="s">
        <v>6897</v>
      </c>
      <c r="E26" s="1527"/>
      <c r="F26" s="1527"/>
      <c r="G26" s="1527"/>
      <c r="H26" s="1527"/>
      <c r="I26" s="1527"/>
      <c r="J26" s="1527"/>
      <c r="K26" s="1527"/>
      <c r="L26" s="1527"/>
    </row>
    <row r="27" spans="3:25" s="232" customFormat="1" ht="19.5" x14ac:dyDescent="0.25">
      <c r="C27" s="1975" t="s">
        <v>6898</v>
      </c>
      <c r="D27" s="301" t="s">
        <v>6899</v>
      </c>
      <c r="E27" s="301"/>
      <c r="F27" s="301"/>
    </row>
    <row r="28" spans="3:25" ht="19.5" x14ac:dyDescent="0.4">
      <c r="C28" s="1975" t="s">
        <v>6900</v>
      </c>
      <c r="D28" s="301" t="s">
        <v>6901</v>
      </c>
      <c r="E28" s="301"/>
      <c r="F28" s="301"/>
      <c r="G28" s="232"/>
      <c r="L28" s="115"/>
    </row>
    <row r="29" spans="3:25" ht="19.5" x14ac:dyDescent="0.4">
      <c r="C29" s="1975" t="s">
        <v>6902</v>
      </c>
      <c r="D29" s="301" t="s">
        <v>6903</v>
      </c>
      <c r="E29" s="301"/>
      <c r="F29" s="301"/>
      <c r="G29" s="232"/>
      <c r="L29" s="115"/>
    </row>
    <row r="30" spans="3:25" ht="7.15" customHeight="1" x14ac:dyDescent="0.4">
      <c r="C30" s="1976"/>
    </row>
    <row r="31" spans="3:25" ht="22.5" customHeight="1" x14ac:dyDescent="0.4">
      <c r="C31" s="155" t="s">
        <v>6904</v>
      </c>
      <c r="D31" s="155"/>
      <c r="E31" s="155"/>
      <c r="F31" s="155"/>
      <c r="G31" s="155"/>
      <c r="H31" s="155"/>
      <c r="I31" s="155"/>
      <c r="J31" s="155"/>
      <c r="K31" s="155"/>
      <c r="L31" s="155"/>
      <c r="M31" s="155"/>
      <c r="N31" s="155"/>
      <c r="O31" s="155"/>
      <c r="P31" s="155"/>
      <c r="Q31" s="155"/>
      <c r="R31" s="155"/>
      <c r="S31" s="155"/>
      <c r="T31" s="155"/>
      <c r="U31" s="155"/>
      <c r="V31" s="155"/>
      <c r="W31" s="155"/>
      <c r="X31" s="155"/>
      <c r="Y31" s="155"/>
    </row>
  </sheetData>
  <mergeCells count="24">
    <mergeCell ref="Q12:T12"/>
    <mergeCell ref="A5:B5"/>
    <mergeCell ref="C5:M5"/>
    <mergeCell ref="C1:D1"/>
    <mergeCell ref="A3:B3"/>
    <mergeCell ref="C3:M3"/>
    <mergeCell ref="A4:B4"/>
    <mergeCell ref="C4:M4"/>
    <mergeCell ref="U12:X12"/>
    <mergeCell ref="A6:B6"/>
    <mergeCell ref="C6:M6"/>
    <mergeCell ref="N9:P9"/>
    <mergeCell ref="Q9:Y9"/>
    <mergeCell ref="C12:C13"/>
    <mergeCell ref="D12:D13"/>
    <mergeCell ref="E12:E13"/>
    <mergeCell ref="F12:F13"/>
    <mergeCell ref="G12:G13"/>
    <mergeCell ref="H12:H13"/>
    <mergeCell ref="Y12:Y13"/>
    <mergeCell ref="I12:I13"/>
    <mergeCell ref="J12:J13"/>
    <mergeCell ref="L12:M12"/>
    <mergeCell ref="N12:P12"/>
  </mergeCells>
  <hyperlinks>
    <hyperlink ref="A1" location="'ODS 14.'!A1" display="REGRESAR" xr:uid="{F303332E-E42A-4649-9D3F-A1A62B7AD337}"/>
    <hyperlink ref="D26" r:id="rId1" xr:uid="{D26E8FD6-3A8C-4CFB-98CB-FD3DFD572F4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E396-F298-41C9-814A-6AF60E6B12AF}">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265</v>
      </c>
    </row>
    <row r="4" spans="1:6" ht="37.5" x14ac:dyDescent="0.4">
      <c r="A4" s="283"/>
      <c r="B4" s="2425" t="s">
        <v>234</v>
      </c>
      <c r="C4" s="2425"/>
      <c r="D4" s="49" t="s">
        <v>6780</v>
      </c>
    </row>
    <row r="5" spans="1:6" ht="93.75" x14ac:dyDescent="0.4">
      <c r="B5" s="2425" t="s">
        <v>79</v>
      </c>
      <c r="C5" s="2425"/>
      <c r="D5" s="49" t="s">
        <v>6759</v>
      </c>
    </row>
    <row r="6" spans="1:6" x14ac:dyDescent="0.4">
      <c r="B6" s="2425" t="s">
        <v>80</v>
      </c>
      <c r="C6" s="2425"/>
      <c r="D6" s="50" t="s">
        <v>6760</v>
      </c>
    </row>
    <row r="7" spans="1:6" x14ac:dyDescent="0.4">
      <c r="B7" s="2426" t="s">
        <v>81</v>
      </c>
      <c r="C7" s="2426"/>
      <c r="D7" s="93" t="s">
        <v>6761</v>
      </c>
    </row>
    <row r="8" spans="1:6" x14ac:dyDescent="0.4">
      <c r="B8" s="2426" t="s">
        <v>82</v>
      </c>
      <c r="C8" s="2426"/>
      <c r="D8" s="1047" t="s">
        <v>6905</v>
      </c>
    </row>
    <row r="10" spans="1:6" ht="23.25" customHeight="1" x14ac:dyDescent="0.4">
      <c r="B10" s="3413" t="s">
        <v>85</v>
      </c>
      <c r="C10" s="3413"/>
      <c r="D10" s="3413"/>
    </row>
    <row r="11" spans="1:6" x14ac:dyDescent="0.4">
      <c r="B11" s="2427" t="s">
        <v>86</v>
      </c>
      <c r="C11" s="2428"/>
      <c r="D11" s="1565" t="s">
        <v>6906</v>
      </c>
    </row>
    <row r="12" spans="1:6" ht="17.45" customHeight="1" x14ac:dyDescent="0.4">
      <c r="B12" s="2426" t="s">
        <v>88</v>
      </c>
      <c r="C12" s="2426"/>
      <c r="D12" s="184" t="s">
        <v>6907</v>
      </c>
    </row>
    <row r="13" spans="1:6" x14ac:dyDescent="0.4">
      <c r="B13" s="2425" t="s">
        <v>90</v>
      </c>
      <c r="C13" s="2425"/>
      <c r="D13" s="54" t="s">
        <v>6760</v>
      </c>
    </row>
    <row r="14" spans="1:6" x14ac:dyDescent="0.4">
      <c r="B14" s="2425" t="s">
        <v>91</v>
      </c>
      <c r="C14" s="2428"/>
      <c r="D14" s="54" t="s">
        <v>214</v>
      </c>
    </row>
    <row r="15" spans="1:6" ht="75" x14ac:dyDescent="0.4">
      <c r="B15" s="2425" t="s">
        <v>93</v>
      </c>
      <c r="C15" s="2425"/>
      <c r="D15" s="49" t="s">
        <v>6908</v>
      </c>
    </row>
    <row r="16" spans="1:6" ht="56.25" x14ac:dyDescent="0.4">
      <c r="B16" s="2425" t="s">
        <v>95</v>
      </c>
      <c r="C16" s="2425"/>
      <c r="D16" s="49" t="s">
        <v>6909</v>
      </c>
    </row>
    <row r="17" spans="2:4" x14ac:dyDescent="0.4">
      <c r="B17" s="2425" t="s">
        <v>97</v>
      </c>
      <c r="C17" s="2425"/>
      <c r="D17" s="55" t="s">
        <v>6910</v>
      </c>
    </row>
    <row r="18" spans="2:4" ht="37.5" x14ac:dyDescent="0.4">
      <c r="B18" s="2426" t="s">
        <v>99</v>
      </c>
      <c r="C18" s="2426"/>
      <c r="D18" s="49" t="s">
        <v>6911</v>
      </c>
    </row>
    <row r="19" spans="2:4" ht="17.45" customHeight="1" x14ac:dyDescent="0.4">
      <c r="B19" s="2435" t="s">
        <v>100</v>
      </c>
      <c r="C19" s="2436"/>
      <c r="D19" s="55" t="s">
        <v>6912</v>
      </c>
    </row>
    <row r="20" spans="2:4" x14ac:dyDescent="0.4">
      <c r="B20" s="2425" t="s">
        <v>102</v>
      </c>
      <c r="C20" s="2425"/>
      <c r="D20" s="49" t="s">
        <v>4657</v>
      </c>
    </row>
    <row r="21" spans="2:4" x14ac:dyDescent="0.4">
      <c r="B21" s="2432" t="s">
        <v>104</v>
      </c>
      <c r="C21" s="57" t="s">
        <v>105</v>
      </c>
      <c r="D21" s="49" t="s">
        <v>6913</v>
      </c>
    </row>
    <row r="22" spans="2:4" x14ac:dyDescent="0.4">
      <c r="B22" s="2433"/>
      <c r="C22" s="58" t="s">
        <v>107</v>
      </c>
      <c r="D22" s="55" t="s">
        <v>6914</v>
      </c>
    </row>
    <row r="23" spans="2:4" x14ac:dyDescent="0.4">
      <c r="B23" s="2425" t="s">
        <v>109</v>
      </c>
      <c r="C23" s="2425"/>
      <c r="D23" s="49" t="s">
        <v>143</v>
      </c>
    </row>
    <row r="24" spans="2:4" x14ac:dyDescent="0.4">
      <c r="B24" s="2425" t="s">
        <v>111</v>
      </c>
      <c r="C24" s="2425"/>
      <c r="D24" s="49"/>
    </row>
    <row r="25" spans="2:4" x14ac:dyDescent="0.4">
      <c r="B25" s="2425" t="s">
        <v>113</v>
      </c>
      <c r="C25" s="2425"/>
      <c r="D25" s="55" t="s">
        <v>220</v>
      </c>
    </row>
    <row r="26" spans="2:4" ht="17.45" customHeight="1" x14ac:dyDescent="0.4">
      <c r="B26" s="2426" t="s">
        <v>115</v>
      </c>
      <c r="C26" s="2426"/>
      <c r="D26" s="49" t="s">
        <v>6915</v>
      </c>
    </row>
    <row r="27" spans="2:4" ht="131.25" x14ac:dyDescent="0.4">
      <c r="B27" s="2427" t="s">
        <v>117</v>
      </c>
      <c r="C27" s="2428"/>
      <c r="D27" s="49" t="s">
        <v>6916</v>
      </c>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13" t="s">
        <v>121</v>
      </c>
      <c r="C31" s="3413"/>
      <c r="D31" s="3413"/>
    </row>
    <row r="32" spans="2:4" x14ac:dyDescent="0.4">
      <c r="B32" s="2427" t="s">
        <v>122</v>
      </c>
      <c r="C32" s="2428"/>
      <c r="D32" s="55" t="s">
        <v>6917</v>
      </c>
    </row>
    <row r="33" spans="2:4" x14ac:dyDescent="0.4">
      <c r="B33" s="2427" t="s">
        <v>124</v>
      </c>
      <c r="C33" s="2428"/>
      <c r="D33" s="55" t="s">
        <v>6918</v>
      </c>
    </row>
    <row r="34" spans="2:4" x14ac:dyDescent="0.4">
      <c r="B34" s="2427" t="s">
        <v>126</v>
      </c>
      <c r="C34" s="2428"/>
      <c r="D34" s="55" t="s">
        <v>6919</v>
      </c>
    </row>
    <row r="35" spans="2:4" x14ac:dyDescent="0.4">
      <c r="B35" s="2427" t="s">
        <v>128</v>
      </c>
      <c r="C35" s="2428"/>
      <c r="D35" s="246" t="s">
        <v>6920</v>
      </c>
    </row>
    <row r="36" spans="2:4" x14ac:dyDescent="0.4">
      <c r="B36" s="2427" t="s">
        <v>130</v>
      </c>
      <c r="C36" s="2428"/>
      <c r="D36" s="1640" t="s">
        <v>6921</v>
      </c>
    </row>
    <row r="37" spans="2:4" x14ac:dyDescent="0.4">
      <c r="B37" s="2427" t="s">
        <v>122</v>
      </c>
      <c r="C37" s="2428"/>
      <c r="D37" s="55" t="s">
        <v>6922</v>
      </c>
    </row>
    <row r="38" spans="2:4" x14ac:dyDescent="0.4">
      <c r="B38" s="2427" t="s">
        <v>124</v>
      </c>
      <c r="C38" s="2428"/>
      <c r="D38" s="55" t="s">
        <v>6923</v>
      </c>
    </row>
    <row r="39" spans="2:4" x14ac:dyDescent="0.4">
      <c r="B39" s="2427" t="s">
        <v>126</v>
      </c>
      <c r="C39" s="2428"/>
      <c r="D39" s="55" t="s">
        <v>6919</v>
      </c>
    </row>
    <row r="40" spans="2:4" x14ac:dyDescent="0.4">
      <c r="B40" s="2427" t="s">
        <v>128</v>
      </c>
      <c r="C40" s="2428"/>
      <c r="D40" s="246" t="s">
        <v>6920</v>
      </c>
    </row>
    <row r="41" spans="2:4" x14ac:dyDescent="0.4">
      <c r="B41" s="2427" t="s">
        <v>130</v>
      </c>
      <c r="C41" s="2428"/>
      <c r="D41" s="247" t="s">
        <v>6924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allowBlank="1" showDropDown="1" showInputMessage="1" showErrorMessage="1" sqref="D13" xr:uid="{E6837A9A-9F00-434F-9EBF-F22B35506158}"/>
    <dataValidation type="list" allowBlank="1" showInputMessage="1" showErrorMessage="1" sqref="D4" xr:uid="{914359C7-26CC-43C1-B929-D645004E1708}">
      <formula1>ODS</formula1>
    </dataValidation>
    <dataValidation type="list" allowBlank="1" showInputMessage="1" showErrorMessage="1" sqref="D5" xr:uid="{2992FD6F-9204-4328-BFBA-967BDAC078A6}">
      <formula1>Metas_ODS</formula1>
    </dataValidation>
    <dataValidation type="list" allowBlank="1" showInputMessage="1" showErrorMessage="1" sqref="D6" xr:uid="{42F9B61D-20FC-45E1-BBA5-4E2C59D164CD}">
      <formula1>Numero_indicador</formula1>
    </dataValidation>
    <dataValidation type="list" allowBlank="1" showInputMessage="1" showErrorMessage="1" sqref="D7" xr:uid="{0368A562-197A-461A-864D-D3A60326F1BA}">
      <formula1>Nombre_indicador_ODS</formula1>
    </dataValidation>
    <dataValidation type="list" allowBlank="1" showInputMessage="1" showErrorMessage="1" sqref="D14" xr:uid="{CEB125D7-AE57-4B6D-85AC-A07ED5DDB708}">
      <formula1>Tipo_indicador</formula1>
    </dataValidation>
    <dataValidation type="list" allowBlank="1" showInputMessage="1" showErrorMessage="1" sqref="D25" xr:uid="{2E82C279-4B34-4712-95A2-6B80690BD6FF}">
      <formula1>Tipo_operación</formula1>
    </dataValidation>
  </dataValidations>
  <hyperlinks>
    <hyperlink ref="B1" location="'14.4.1'!A1" display="REGRESAR" xr:uid="{70A5BEDC-9230-4B3F-9A02-EE236561EF2F}"/>
    <hyperlink ref="D8" r:id="rId1" xr:uid="{FD4E5666-494E-4FEE-8612-F0EF5A2E084B}"/>
    <hyperlink ref="D36" r:id="rId2" xr:uid="{2DD6981C-E69C-40CB-9604-5CD93D4A455C}"/>
    <hyperlink ref="D41" r:id="rId3" xr:uid="{6E46A9E2-377C-4467-BED0-034B2FF409CD}"/>
  </hyperlinks>
  <pageMargins left="0.7" right="0.7" top="0.75" bottom="0.75" header="0.3" footer="0.3"/>
  <pageSetup orientation="portrait" r:id="rId4"/>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56C1-85F6-4E66-B753-648628598FFC}">
  <dimension ref="A1:Z93"/>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6" style="115" customWidth="1"/>
    <col min="2" max="2" width="15" style="115" customWidth="1"/>
    <col min="3" max="3" width="26.7109375" style="115" customWidth="1"/>
    <col min="4" max="5" width="11.42578125" style="115"/>
    <col min="6" max="6" width="2.7109375" style="115" customWidth="1"/>
    <col min="7" max="8" width="11.42578125" style="115"/>
    <col min="9" max="9" width="2.7109375" style="115" customWidth="1"/>
    <col min="10" max="11" width="11.42578125" style="115"/>
    <col min="12" max="13" width="6.42578125" style="115" customWidth="1"/>
    <col min="14" max="14" width="3.7109375" style="115" customWidth="1"/>
    <col min="15" max="16384" width="11.42578125" style="115"/>
  </cols>
  <sheetData>
    <row r="1" spans="1:20" x14ac:dyDescent="0.4">
      <c r="A1" s="90" t="s">
        <v>39</v>
      </c>
      <c r="C1" s="90" t="s">
        <v>149</v>
      </c>
      <c r="D1" s="1935"/>
    </row>
    <row r="2" spans="1:20" x14ac:dyDescent="0.4">
      <c r="A2" s="1959"/>
    </row>
    <row r="3" spans="1:20" ht="19.5" x14ac:dyDescent="0.4">
      <c r="A3" s="3406" t="s">
        <v>41</v>
      </c>
      <c r="B3" s="3410"/>
      <c r="C3" s="3408" t="s">
        <v>6749</v>
      </c>
      <c r="D3" s="3408"/>
      <c r="E3" s="3408"/>
      <c r="F3" s="3408"/>
      <c r="G3" s="3408"/>
      <c r="H3" s="3408"/>
      <c r="I3" s="3408"/>
      <c r="J3" s="3408"/>
      <c r="K3" s="3408"/>
      <c r="L3" s="3408"/>
      <c r="M3" s="3408"/>
      <c r="N3" s="3408"/>
      <c r="O3" s="3408"/>
      <c r="P3" s="3408"/>
      <c r="Q3" s="3408"/>
      <c r="R3" s="3408"/>
      <c r="S3" s="3408"/>
      <c r="T3" s="3408"/>
    </row>
    <row r="4" spans="1:20" ht="19.5" x14ac:dyDescent="0.4">
      <c r="A4" s="3406" t="s">
        <v>42</v>
      </c>
      <c r="B4" s="3407"/>
      <c r="C4" s="3411" t="s">
        <v>6925</v>
      </c>
      <c r="D4" s="3412"/>
      <c r="E4" s="3412"/>
      <c r="F4" s="3412"/>
      <c r="G4" s="3412"/>
      <c r="H4" s="3412"/>
      <c r="I4" s="3412"/>
      <c r="J4" s="3412"/>
      <c r="K4" s="3412"/>
      <c r="L4" s="3412"/>
      <c r="M4" s="3412"/>
      <c r="N4" s="3412"/>
      <c r="O4" s="3412"/>
      <c r="P4" s="3412"/>
      <c r="Q4" s="3412"/>
      <c r="R4" s="3412"/>
      <c r="S4" s="3412"/>
      <c r="T4" s="3412"/>
    </row>
    <row r="5" spans="1:20" ht="19.5" x14ac:dyDescent="0.4">
      <c r="A5" s="3406" t="s">
        <v>43</v>
      </c>
      <c r="B5" s="3407"/>
      <c r="C5" s="3408" t="s">
        <v>6764</v>
      </c>
      <c r="D5" s="3409"/>
      <c r="E5" s="3409"/>
      <c r="F5" s="3409"/>
      <c r="G5" s="3409"/>
      <c r="H5" s="3409"/>
      <c r="I5" s="3409"/>
      <c r="J5" s="3409"/>
      <c r="K5" s="3409"/>
      <c r="L5" s="3409"/>
      <c r="M5" s="3409"/>
      <c r="N5" s="3409"/>
      <c r="O5" s="3409"/>
      <c r="P5" s="3409"/>
      <c r="Q5" s="3409"/>
      <c r="R5" s="3409"/>
      <c r="S5" s="3409"/>
      <c r="T5" s="3409"/>
    </row>
    <row r="6" spans="1:20" ht="73.150000000000006" customHeight="1" x14ac:dyDescent="0.4">
      <c r="A6" s="3406" t="s">
        <v>132</v>
      </c>
      <c r="B6" s="3407"/>
      <c r="C6" s="3411" t="s">
        <v>6926</v>
      </c>
      <c r="D6" s="3409"/>
      <c r="E6" s="3409"/>
      <c r="F6" s="3409"/>
      <c r="G6" s="3409"/>
      <c r="H6" s="3409"/>
      <c r="I6" s="3409"/>
      <c r="J6" s="3409"/>
      <c r="K6" s="3409"/>
      <c r="L6" s="3409"/>
      <c r="M6" s="3409"/>
      <c r="N6" s="3409"/>
      <c r="O6" s="3409"/>
      <c r="P6" s="3409"/>
      <c r="Q6" s="3409"/>
      <c r="R6" s="3409"/>
      <c r="S6" s="3409"/>
      <c r="T6" s="3409"/>
    </row>
    <row r="9" spans="1:20" ht="18.600000000000001" customHeight="1" x14ac:dyDescent="0.4">
      <c r="C9" s="1977" t="s">
        <v>6927</v>
      </c>
      <c r="D9" s="1977"/>
      <c r="E9" s="1977"/>
      <c r="F9" s="1977"/>
      <c r="G9" s="1977"/>
      <c r="H9" s="1977"/>
      <c r="I9" s="1977"/>
      <c r="J9" s="1977"/>
      <c r="K9" s="1977"/>
      <c r="L9" s="533"/>
      <c r="M9" s="533"/>
      <c r="O9" s="138" t="s">
        <v>6928</v>
      </c>
      <c r="P9" s="138"/>
      <c r="Q9" s="138"/>
      <c r="R9" s="138"/>
      <c r="S9" s="138"/>
      <c r="T9" s="138"/>
    </row>
    <row r="10" spans="1:20" ht="19.5" x14ac:dyDescent="0.4">
      <c r="C10" s="138" t="s">
        <v>6929</v>
      </c>
      <c r="D10" s="138"/>
      <c r="E10" s="138"/>
      <c r="F10" s="138"/>
      <c r="G10" s="138"/>
      <c r="H10" s="138"/>
      <c r="I10" s="138"/>
      <c r="J10" s="138"/>
      <c r="K10" s="138"/>
      <c r="L10" s="533"/>
      <c r="M10" s="533"/>
      <c r="O10" s="533"/>
      <c r="P10" s="533"/>
      <c r="Q10" s="533"/>
      <c r="R10" s="533"/>
      <c r="S10" s="533"/>
      <c r="T10" s="533"/>
    </row>
    <row r="11" spans="1:20" ht="17.45" customHeight="1" x14ac:dyDescent="0.4">
      <c r="C11" s="533"/>
      <c r="D11" s="533"/>
      <c r="E11" s="533"/>
      <c r="F11" s="533"/>
      <c r="G11" s="533"/>
      <c r="H11" s="533"/>
      <c r="I11" s="533"/>
      <c r="J11" s="533"/>
      <c r="K11" s="533"/>
      <c r="L11" s="533"/>
      <c r="M11" s="533"/>
      <c r="O11" s="575"/>
      <c r="P11" s="575"/>
      <c r="Q11" s="575"/>
      <c r="R11" s="575"/>
      <c r="S11" s="575"/>
      <c r="T11" s="575"/>
    </row>
    <row r="12" spans="1:20" ht="13.15" customHeight="1" x14ac:dyDescent="0.4">
      <c r="C12" s="3427" t="s">
        <v>6930</v>
      </c>
      <c r="D12" s="3426" t="s">
        <v>6931</v>
      </c>
      <c r="E12" s="3426"/>
      <c r="F12" s="1978"/>
      <c r="G12" s="3426" t="s">
        <v>6932</v>
      </c>
      <c r="H12" s="3426"/>
      <c r="I12" s="1978"/>
      <c r="J12" s="3426" t="s">
        <v>6933</v>
      </c>
      <c r="K12" s="3426"/>
      <c r="L12" s="1089"/>
      <c r="M12" s="1089"/>
    </row>
    <row r="13" spans="1:20" ht="75.75" x14ac:dyDescent="0.4">
      <c r="C13" s="3424"/>
      <c r="D13" s="1979" t="s">
        <v>6934</v>
      </c>
      <c r="E13" s="1979" t="s">
        <v>6935</v>
      </c>
      <c r="F13" s="1979"/>
      <c r="G13" s="1979" t="s">
        <v>6936</v>
      </c>
      <c r="H13" s="1979" t="s">
        <v>6937</v>
      </c>
      <c r="I13" s="1979"/>
      <c r="J13" s="1979" t="s">
        <v>6936</v>
      </c>
      <c r="K13" s="1979" t="s">
        <v>6938</v>
      </c>
      <c r="L13" s="1089"/>
      <c r="M13" s="1089"/>
    </row>
    <row r="14" spans="1:20" x14ac:dyDescent="0.4">
      <c r="C14" s="226" t="s">
        <v>1104</v>
      </c>
      <c r="D14" s="1980">
        <f>SUM(D15:D23)</f>
        <v>151</v>
      </c>
      <c r="E14" s="1980">
        <f>SUM(E15:E23)</f>
        <v>178053.16199999998</v>
      </c>
      <c r="F14" s="1980"/>
      <c r="G14" s="1981">
        <f>SUM(G15:G23)</f>
        <v>1303094.8</v>
      </c>
      <c r="H14" s="1982">
        <f>G14/51179.92</f>
        <v>25.461055820329538</v>
      </c>
      <c r="I14" s="1983"/>
      <c r="J14" s="1981">
        <f>SUM(J15:J23)</f>
        <v>16502221.4</v>
      </c>
      <c r="K14" s="1984">
        <f>J14/543749.91</f>
        <v>30.348917942809404</v>
      </c>
      <c r="L14" s="1984"/>
      <c r="M14" s="1984"/>
    </row>
    <row r="15" spans="1:20" x14ac:dyDescent="0.4">
      <c r="C15" s="198" t="s">
        <v>6939</v>
      </c>
      <c r="D15" s="536">
        <v>4</v>
      </c>
      <c r="E15" s="1985">
        <v>107815.567</v>
      </c>
      <c r="F15" s="1985"/>
      <c r="G15" s="542">
        <v>0</v>
      </c>
      <c r="H15" s="1986"/>
      <c r="I15" s="785"/>
      <c r="J15" s="1987">
        <v>10781556.699999999</v>
      </c>
      <c r="K15" s="1988">
        <f t="shared" ref="K15:K22" si="0">J15/543749.91</f>
        <v>19.828153534774835</v>
      </c>
      <c r="L15" s="1988"/>
      <c r="M15" s="1988"/>
    </row>
    <row r="16" spans="1:20" x14ac:dyDescent="0.4">
      <c r="C16" s="198" t="s">
        <v>6940</v>
      </c>
      <c r="D16" s="536">
        <v>12</v>
      </c>
      <c r="E16" s="1985">
        <v>366.166</v>
      </c>
      <c r="F16" s="1985"/>
      <c r="G16" s="542">
        <v>36610</v>
      </c>
      <c r="H16" s="542">
        <f t="shared" ref="H16:H23" si="1">G16/51179.92</f>
        <v>0.71531960190637267</v>
      </c>
      <c r="I16" s="785"/>
      <c r="J16" s="1987">
        <v>6.6000000000000005</v>
      </c>
      <c r="K16" s="1989">
        <f t="shared" si="0"/>
        <v>1.2137933043519953E-5</v>
      </c>
      <c r="L16" s="1989"/>
      <c r="M16" s="1989"/>
    </row>
    <row r="17" spans="3:20" x14ac:dyDescent="0.4">
      <c r="C17" s="198" t="s">
        <v>6941</v>
      </c>
      <c r="D17" s="536">
        <v>1</v>
      </c>
      <c r="E17" s="1985">
        <v>2.2970000000000002</v>
      </c>
      <c r="F17" s="1985"/>
      <c r="G17" s="542">
        <v>229.70000000000002</v>
      </c>
      <c r="H17" s="547">
        <f t="shared" si="1"/>
        <v>4.4880882971290309E-3</v>
      </c>
      <c r="I17" s="785"/>
      <c r="J17" s="1987"/>
      <c r="K17" s="1988"/>
      <c r="L17" s="1988"/>
      <c r="M17" s="1988"/>
    </row>
    <row r="18" spans="3:20" x14ac:dyDescent="0.4">
      <c r="C18" s="198" t="s">
        <v>6942</v>
      </c>
      <c r="D18" s="536">
        <v>30</v>
      </c>
      <c r="E18" s="1985">
        <v>62962.395999999993</v>
      </c>
      <c r="F18" s="1985"/>
      <c r="G18" s="542">
        <v>637875.70000000007</v>
      </c>
      <c r="H18" s="542">
        <f t="shared" si="1"/>
        <v>12.463397754431819</v>
      </c>
      <c r="I18" s="785"/>
      <c r="J18" s="1987">
        <v>5658363.8999999994</v>
      </c>
      <c r="K18" s="1988">
        <f t="shared" si="0"/>
        <v>10.406188205162184</v>
      </c>
      <c r="L18" s="1988"/>
      <c r="M18" s="1988"/>
    </row>
    <row r="19" spans="3:20" x14ac:dyDescent="0.4">
      <c r="C19" s="198" t="s">
        <v>6943</v>
      </c>
      <c r="D19" s="536">
        <v>51</v>
      </c>
      <c r="E19" s="1985">
        <v>2899.7660000000001</v>
      </c>
      <c r="F19" s="1985"/>
      <c r="G19" s="542">
        <v>234552.19999999998</v>
      </c>
      <c r="H19" s="542">
        <f t="shared" si="1"/>
        <v>4.5828950103868857</v>
      </c>
      <c r="I19" s="785"/>
      <c r="J19" s="1987">
        <v>55424.4</v>
      </c>
      <c r="K19" s="1988">
        <f t="shared" si="0"/>
        <v>0.10192994790564655</v>
      </c>
      <c r="L19" s="1988"/>
      <c r="M19" s="1988"/>
    </row>
    <row r="20" spans="3:20" x14ac:dyDescent="0.4">
      <c r="C20" s="198" t="s">
        <v>6944</v>
      </c>
      <c r="D20" s="536">
        <v>9</v>
      </c>
      <c r="E20" s="1985">
        <v>328.01900000000001</v>
      </c>
      <c r="F20" s="1985"/>
      <c r="G20" s="542">
        <v>27599.4</v>
      </c>
      <c r="H20" s="542">
        <f t="shared" si="1"/>
        <v>0.53926227317275999</v>
      </c>
      <c r="I20" s="785"/>
      <c r="J20" s="1987">
        <v>5202.5</v>
      </c>
      <c r="K20" s="1988">
        <f t="shared" si="0"/>
        <v>9.5678176755928102E-3</v>
      </c>
      <c r="L20" s="1988"/>
      <c r="M20" s="1988"/>
    </row>
    <row r="21" spans="3:20" x14ac:dyDescent="0.4">
      <c r="C21" s="198" t="s">
        <v>6945</v>
      </c>
      <c r="D21" s="536">
        <v>9</v>
      </c>
      <c r="E21" s="1985">
        <v>2152.8630000000003</v>
      </c>
      <c r="F21" s="1985"/>
      <c r="G21" s="542">
        <v>215286.30000000002</v>
      </c>
      <c r="H21" s="542">
        <f t="shared" si="1"/>
        <v>4.2064602680113614</v>
      </c>
      <c r="I21" s="785"/>
      <c r="J21" s="1987"/>
      <c r="K21" s="1988"/>
      <c r="L21" s="1988"/>
      <c r="M21" s="1988"/>
    </row>
    <row r="22" spans="3:20" x14ac:dyDescent="0.4">
      <c r="C22" s="198" t="s">
        <v>6946</v>
      </c>
      <c r="D22" s="536">
        <v>2</v>
      </c>
      <c r="E22" s="1985">
        <v>31.125999999999998</v>
      </c>
      <c r="F22" s="1985"/>
      <c r="G22" s="542">
        <v>1445.3</v>
      </c>
      <c r="H22" s="546">
        <f t="shared" si="1"/>
        <v>2.823959083953238E-2</v>
      </c>
      <c r="I22" s="785"/>
      <c r="J22" s="1987">
        <v>1667.2999999999997</v>
      </c>
      <c r="K22" s="1988">
        <f t="shared" si="0"/>
        <v>3.0662993581001231E-3</v>
      </c>
      <c r="L22" s="1988"/>
      <c r="M22" s="1988"/>
    </row>
    <row r="23" spans="3:20" x14ac:dyDescent="0.4">
      <c r="C23" s="606" t="s">
        <v>6947</v>
      </c>
      <c r="D23" s="824">
        <v>33</v>
      </c>
      <c r="E23" s="1990">
        <v>1494.9619999999995</v>
      </c>
      <c r="F23" s="1990"/>
      <c r="G23" s="764">
        <v>149496.19999999995</v>
      </c>
      <c r="H23" s="764">
        <f t="shared" si="1"/>
        <v>2.9209932332836774</v>
      </c>
      <c r="I23" s="788"/>
      <c r="J23" s="1991"/>
      <c r="K23" s="1992"/>
      <c r="L23" s="1993"/>
      <c r="M23" s="1993"/>
    </row>
    <row r="24" spans="3:20" ht="19.5" x14ac:dyDescent="0.4">
      <c r="C24" s="1994" t="s">
        <v>6948</v>
      </c>
      <c r="D24" s="155"/>
      <c r="G24" s="1995"/>
      <c r="H24" s="1996"/>
      <c r="I24" s="1997"/>
      <c r="J24" s="1995"/>
      <c r="K24" s="1997"/>
      <c r="L24" s="1997"/>
      <c r="M24" s="1997"/>
    </row>
    <row r="25" spans="3:20" x14ac:dyDescent="0.4">
      <c r="C25" s="155" t="s">
        <v>6949</v>
      </c>
      <c r="D25" s="155"/>
      <c r="E25" s="155"/>
      <c r="F25" s="155"/>
      <c r="G25" s="155"/>
      <c r="H25" s="155"/>
      <c r="I25" s="155"/>
      <c r="J25" s="155"/>
      <c r="K25" s="155"/>
      <c r="L25" s="545"/>
      <c r="M25" s="545"/>
    </row>
    <row r="26" spans="3:20" x14ac:dyDescent="0.4">
      <c r="C26" s="155" t="s">
        <v>6950</v>
      </c>
      <c r="D26" s="155"/>
      <c r="E26" s="155"/>
      <c r="F26" s="155"/>
      <c r="G26" s="155"/>
      <c r="H26" s="155"/>
      <c r="I26" s="155"/>
      <c r="J26" s="155"/>
      <c r="K26" s="155"/>
      <c r="L26" s="545"/>
      <c r="M26" s="545"/>
    </row>
    <row r="27" spans="3:20" x14ac:dyDescent="0.4">
      <c r="C27" s="155" t="s">
        <v>6951</v>
      </c>
      <c r="D27" s="155"/>
      <c r="E27" s="155"/>
      <c r="F27" s="155"/>
      <c r="G27" s="155"/>
      <c r="H27" s="155"/>
      <c r="I27" s="155"/>
      <c r="J27" s="155"/>
      <c r="K27" s="155"/>
      <c r="L27" s="545"/>
      <c r="M27" s="545"/>
      <c r="O27" s="2815" t="s">
        <v>6952</v>
      </c>
      <c r="P27" s="2815"/>
      <c r="Q27" s="2815"/>
      <c r="R27" s="2815"/>
      <c r="S27" s="2815"/>
      <c r="T27" s="2815"/>
    </row>
    <row r="28" spans="3:20" x14ac:dyDescent="0.4">
      <c r="C28" s="115" t="s">
        <v>6953</v>
      </c>
    </row>
    <row r="33" spans="1:26" ht="33.6" customHeight="1" x14ac:dyDescent="0.4">
      <c r="C33" s="1977" t="s">
        <v>6954</v>
      </c>
      <c r="D33" s="1977"/>
      <c r="E33" s="1977"/>
      <c r="F33" s="1977"/>
      <c r="G33" s="1977"/>
      <c r="H33" s="1977"/>
      <c r="I33" s="1977"/>
      <c r="J33" s="1977"/>
      <c r="K33" s="1977"/>
      <c r="L33" s="533"/>
      <c r="M33" s="533"/>
      <c r="N33" s="649"/>
      <c r="O33" s="649"/>
      <c r="P33" s="2628" t="s">
        <v>6955</v>
      </c>
      <c r="Q33" s="2628"/>
      <c r="R33" s="2628"/>
      <c r="S33" s="2628"/>
      <c r="T33" s="2628"/>
      <c r="U33" s="2628"/>
      <c r="V33" s="649"/>
    </row>
    <row r="34" spans="1:26" ht="9" customHeight="1" x14ac:dyDescent="0.4">
      <c r="C34" s="533"/>
      <c r="D34" s="533"/>
      <c r="E34" s="533"/>
      <c r="F34" s="533"/>
      <c r="G34" s="533"/>
      <c r="H34" s="533"/>
      <c r="I34" s="533"/>
      <c r="J34" s="533"/>
      <c r="K34" s="533"/>
      <c r="L34" s="533"/>
      <c r="M34" s="533"/>
      <c r="N34" s="649"/>
      <c r="O34" s="649"/>
      <c r="P34" s="575"/>
      <c r="Q34" s="575"/>
      <c r="R34" s="575"/>
      <c r="S34" s="575"/>
      <c r="T34" s="575"/>
      <c r="U34" s="575"/>
      <c r="V34" s="649"/>
    </row>
    <row r="35" spans="1:26" x14ac:dyDescent="0.4">
      <c r="C35" s="3427" t="s">
        <v>6930</v>
      </c>
      <c r="D35" s="3426" t="s">
        <v>6931</v>
      </c>
      <c r="E35" s="3426"/>
      <c r="F35" s="1978"/>
      <c r="G35" s="3426" t="s">
        <v>6932</v>
      </c>
      <c r="H35" s="3426"/>
      <c r="I35" s="1978"/>
      <c r="J35" s="3426" t="s">
        <v>6933</v>
      </c>
      <c r="K35" s="3426"/>
      <c r="L35" s="1089"/>
      <c r="M35" s="1089"/>
      <c r="O35" s="649"/>
      <c r="P35" s="649"/>
      <c r="Q35" s="649"/>
      <c r="R35" s="649"/>
      <c r="S35" s="649"/>
      <c r="T35" s="649"/>
      <c r="U35" s="649"/>
      <c r="V35" s="649"/>
      <c r="W35" s="575"/>
      <c r="X35" s="575"/>
      <c r="Y35" s="575"/>
      <c r="Z35" s="575"/>
    </row>
    <row r="36" spans="1:26" ht="56.1" customHeight="1" x14ac:dyDescent="0.4">
      <c r="A36" s="141"/>
      <c r="C36" s="3424"/>
      <c r="D36" s="1979" t="s">
        <v>6934</v>
      </c>
      <c r="E36" s="1979" t="s">
        <v>6935</v>
      </c>
      <c r="F36" s="1979"/>
      <c r="G36" s="1979" t="s">
        <v>6936</v>
      </c>
      <c r="H36" s="1979" t="s">
        <v>6937</v>
      </c>
      <c r="I36" s="1979"/>
      <c r="J36" s="1979" t="s">
        <v>6936</v>
      </c>
      <c r="K36" s="1979" t="s">
        <v>6938</v>
      </c>
      <c r="L36" s="1089"/>
      <c r="M36" s="1089"/>
      <c r="O36" s="649"/>
      <c r="P36" s="649"/>
      <c r="Q36" s="1089"/>
      <c r="R36" s="649"/>
      <c r="S36" s="649"/>
      <c r="T36" s="1089"/>
      <c r="U36" s="649"/>
      <c r="V36" s="649"/>
    </row>
    <row r="37" spans="1:26" x14ac:dyDescent="0.4">
      <c r="A37" s="835"/>
      <c r="C37" s="226" t="s">
        <v>1104</v>
      </c>
      <c r="D37" s="1980">
        <f>SUM(D38:D46)</f>
        <v>151</v>
      </c>
      <c r="E37" s="1980">
        <f>SUM(E38:E46)</f>
        <v>28532.479905900003</v>
      </c>
      <c r="F37" s="1980"/>
      <c r="G37" s="1981">
        <f>SUM(G38:G46)</f>
        <v>1303134.7525594325</v>
      </c>
      <c r="H37" s="1472">
        <f>(G37/5110000)*100</f>
        <v>25.501658562806899</v>
      </c>
      <c r="I37" s="1983"/>
      <c r="J37" s="1981">
        <f>SUM(J38:J46)</f>
        <v>1484414.1237708677</v>
      </c>
      <c r="K37" s="1998">
        <f>J37*100/3030800</f>
        <v>48.977633752503223</v>
      </c>
      <c r="L37" s="1998"/>
      <c r="M37" s="1998"/>
      <c r="O37" s="1089"/>
      <c r="P37" s="1089"/>
      <c r="Q37" s="1089"/>
      <c r="R37" s="1089"/>
      <c r="S37" s="1089"/>
      <c r="T37" s="1089"/>
      <c r="U37" s="1089"/>
      <c r="V37" s="1089"/>
    </row>
    <row r="38" spans="1:26" x14ac:dyDescent="0.4">
      <c r="A38" s="536"/>
      <c r="C38" s="198" t="s">
        <v>6939</v>
      </c>
      <c r="D38" s="536">
        <v>4</v>
      </c>
      <c r="E38" s="1985">
        <v>11106.306919999997</v>
      </c>
      <c r="F38" s="1985"/>
      <c r="G38" s="1987">
        <v>0</v>
      </c>
      <c r="H38" s="542">
        <f t="shared" ref="H38:H46" si="2">G38*100/5110000</f>
        <v>0</v>
      </c>
      <c r="I38" s="785"/>
      <c r="J38" s="1987">
        <v>1045471.0919999999</v>
      </c>
      <c r="K38" s="1993">
        <f t="shared" ref="K38:K46" si="3">J38*100/3030800</f>
        <v>34.494888874224621</v>
      </c>
      <c r="L38" s="1993"/>
      <c r="M38" s="1993"/>
      <c r="O38" s="1980"/>
      <c r="P38" s="1980"/>
      <c r="Q38" s="1980"/>
      <c r="R38" s="1981"/>
      <c r="S38" s="1472"/>
      <c r="T38" s="1983"/>
      <c r="U38" s="1981"/>
      <c r="V38" s="1998"/>
    </row>
    <row r="39" spans="1:26" x14ac:dyDescent="0.4">
      <c r="A39" s="536"/>
      <c r="C39" s="198" t="s">
        <v>6940</v>
      </c>
      <c r="D39" s="536">
        <v>12</v>
      </c>
      <c r="E39" s="1985">
        <v>366.14537239999999</v>
      </c>
      <c r="F39" s="1985"/>
      <c r="G39" s="1987">
        <f>36101.2791069095+508.796567</f>
        <v>36610.075673909494</v>
      </c>
      <c r="H39" s="542">
        <f t="shared" si="2"/>
        <v>0.71643983706280812</v>
      </c>
      <c r="I39" s="785"/>
      <c r="J39" s="1987">
        <v>6.5876976478800007</v>
      </c>
      <c r="K39" s="1993">
        <f t="shared" si="3"/>
        <v>2.1735837560644058E-4</v>
      </c>
      <c r="L39" s="1993"/>
      <c r="M39" s="1993"/>
      <c r="O39" s="536"/>
      <c r="P39" s="1985"/>
      <c r="Q39" s="1985"/>
      <c r="R39" s="1987"/>
      <c r="S39" s="542"/>
      <c r="T39" s="785"/>
      <c r="U39" s="1987"/>
      <c r="V39" s="1993"/>
    </row>
    <row r="40" spans="1:26" x14ac:dyDescent="0.4">
      <c r="A40" s="536"/>
      <c r="C40" s="198" t="s">
        <v>6941</v>
      </c>
      <c r="D40" s="536">
        <v>1</v>
      </c>
      <c r="E40" s="1985">
        <v>2.2962899999999999</v>
      </c>
      <c r="F40" s="1985"/>
      <c r="G40" s="1987">
        <v>229.66837567500002</v>
      </c>
      <c r="H40" s="542">
        <f t="shared" si="2"/>
        <v>4.4944887607632098E-3</v>
      </c>
      <c r="I40" s="785"/>
      <c r="J40" s="1987">
        <v>0</v>
      </c>
      <c r="K40" s="1993">
        <f t="shared" si="3"/>
        <v>0</v>
      </c>
      <c r="L40" s="1993"/>
      <c r="M40" s="1993"/>
      <c r="O40" s="536"/>
      <c r="P40" s="1985"/>
      <c r="Q40" s="1985"/>
      <c r="R40" s="1987"/>
      <c r="S40" s="542"/>
      <c r="T40" s="785"/>
      <c r="U40" s="1987"/>
      <c r="V40" s="1993"/>
    </row>
    <row r="41" spans="1:26" x14ac:dyDescent="0.4">
      <c r="A41" s="536"/>
      <c r="C41" s="198" t="s">
        <v>6942</v>
      </c>
      <c r="D41" s="536">
        <v>30</v>
      </c>
      <c r="E41" s="1985">
        <v>10151.421380000007</v>
      </c>
      <c r="F41" s="1985"/>
      <c r="G41" s="1987">
        <f>635208.675920042+3155.423643</f>
        <v>638364.09956304193</v>
      </c>
      <c r="H41" s="542">
        <f t="shared" si="2"/>
        <v>12.492448132349157</v>
      </c>
      <c r="I41" s="785"/>
      <c r="J41" s="1987">
        <v>376641.77442869998</v>
      </c>
      <c r="K41" s="1993">
        <f t="shared" si="3"/>
        <v>12.427140505104262</v>
      </c>
      <c r="L41" s="1993"/>
      <c r="M41" s="1993"/>
      <c r="O41" s="536"/>
      <c r="P41" s="1985"/>
      <c r="Q41" s="1985"/>
      <c r="R41" s="1987"/>
      <c r="S41" s="542"/>
      <c r="T41" s="785"/>
      <c r="U41" s="1987"/>
      <c r="V41" s="1993"/>
    </row>
    <row r="42" spans="1:26" x14ac:dyDescent="0.4">
      <c r="A42" s="536"/>
      <c r="C42" s="198" t="s">
        <v>6943</v>
      </c>
      <c r="D42" s="536">
        <v>51</v>
      </c>
      <c r="E42" s="1985">
        <v>2899.5932274999996</v>
      </c>
      <c r="F42" s="1985"/>
      <c r="G42" s="1987">
        <f>234078.995332978+24.10659636</f>
        <v>234103.10192933801</v>
      </c>
      <c r="H42" s="542">
        <f t="shared" si="2"/>
        <v>4.5812740103588654</v>
      </c>
      <c r="I42" s="785"/>
      <c r="J42" s="1987">
        <v>55424.836640629997</v>
      </c>
      <c r="K42" s="1993">
        <f t="shared" si="3"/>
        <v>1.828719699110136</v>
      </c>
      <c r="L42" s="1993"/>
      <c r="M42" s="1993"/>
      <c r="O42" s="536"/>
      <c r="P42" s="1985"/>
      <c r="Q42" s="1985"/>
      <c r="R42" s="1987"/>
      <c r="S42" s="542"/>
      <c r="T42" s="785"/>
      <c r="U42" s="1987"/>
      <c r="V42" s="1993"/>
    </row>
    <row r="43" spans="1:26" x14ac:dyDescent="0.4">
      <c r="A43" s="835"/>
      <c r="C43" s="198" t="s">
        <v>6944</v>
      </c>
      <c r="D43" s="536">
        <v>9</v>
      </c>
      <c r="E43" s="1985">
        <v>328.02</v>
      </c>
      <c r="F43" s="1985"/>
      <c r="G43" s="1987">
        <f>27142.8900558419+456.7098982</f>
        <v>27599.5999540419</v>
      </c>
      <c r="H43" s="542">
        <f t="shared" si="2"/>
        <v>0.54010958814172016</v>
      </c>
      <c r="I43" s="785"/>
      <c r="J43" s="1987">
        <v>5202.4918728800003</v>
      </c>
      <c r="K43" s="1993">
        <f t="shared" si="3"/>
        <v>0.17165408053583212</v>
      </c>
      <c r="L43" s="1993"/>
      <c r="M43" s="1993"/>
      <c r="O43" s="536"/>
      <c r="P43" s="1985"/>
      <c r="Q43" s="1985"/>
      <c r="R43" s="1987"/>
      <c r="S43" s="542"/>
      <c r="T43" s="785"/>
      <c r="U43" s="1987"/>
      <c r="V43" s="1993"/>
    </row>
    <row r="44" spans="1:26" x14ac:dyDescent="0.4">
      <c r="A44" s="536"/>
      <c r="C44" s="198" t="s">
        <v>6945</v>
      </c>
      <c r="D44" s="536">
        <v>9</v>
      </c>
      <c r="E44" s="1985">
        <v>2152.6009599999998</v>
      </c>
      <c r="F44" s="1985"/>
      <c r="G44" s="1987">
        <f>215286.488187027</f>
        <v>215286.48818702699</v>
      </c>
      <c r="H44" s="542">
        <f t="shared" si="2"/>
        <v>4.2130428216639331</v>
      </c>
      <c r="I44" s="785"/>
      <c r="J44" s="1987">
        <v>0</v>
      </c>
      <c r="K44" s="1993">
        <f t="shared" si="3"/>
        <v>0</v>
      </c>
      <c r="L44" s="1993"/>
      <c r="M44" s="1993"/>
      <c r="O44" s="536"/>
      <c r="P44" s="1985"/>
      <c r="Q44" s="1985"/>
      <c r="R44" s="1987"/>
      <c r="S44" s="542"/>
      <c r="T44" s="785"/>
      <c r="U44" s="1987"/>
      <c r="V44" s="1993"/>
    </row>
    <row r="45" spans="1:26" x14ac:dyDescent="0.4">
      <c r="A45" s="536"/>
      <c r="C45" s="198" t="s">
        <v>6946</v>
      </c>
      <c r="D45" s="536">
        <v>2</v>
      </c>
      <c r="E45" s="1985">
        <v>31.131756000000003</v>
      </c>
      <c r="F45" s="1985"/>
      <c r="G45" s="1987">
        <f>1428.3309737069+16.98043867</f>
        <v>1445.3114123769001</v>
      </c>
      <c r="H45" s="542">
        <f t="shared" si="2"/>
        <v>2.8283980672737769E-2</v>
      </c>
      <c r="I45" s="785"/>
      <c r="J45" s="1987">
        <v>1667.34113101</v>
      </c>
      <c r="K45" s="1993">
        <f t="shared" si="3"/>
        <v>5.5013235152764947E-2</v>
      </c>
      <c r="L45" s="1993"/>
      <c r="M45" s="1993"/>
      <c r="O45" s="536"/>
      <c r="P45" s="1985"/>
      <c r="Q45" s="1985"/>
      <c r="R45" s="1987"/>
      <c r="S45" s="542"/>
      <c r="T45" s="785"/>
      <c r="U45" s="1987"/>
      <c r="V45" s="1993"/>
    </row>
    <row r="46" spans="1:26" x14ac:dyDescent="0.4">
      <c r="A46" s="536"/>
      <c r="C46" s="606" t="s">
        <v>6947</v>
      </c>
      <c r="D46" s="824">
        <v>33</v>
      </c>
      <c r="E46" s="1990">
        <v>1494.9639999999999</v>
      </c>
      <c r="F46" s="1990"/>
      <c r="G46" s="1991">
        <v>149496.4074640226</v>
      </c>
      <c r="H46" s="764">
        <f t="shared" si="2"/>
        <v>2.9255657037969196</v>
      </c>
      <c r="I46" s="788"/>
      <c r="J46" s="1991">
        <v>0</v>
      </c>
      <c r="K46" s="1992">
        <f t="shared" si="3"/>
        <v>0</v>
      </c>
      <c r="L46" s="1993"/>
      <c r="M46" s="1993"/>
      <c r="O46" s="536"/>
      <c r="P46" s="1985"/>
      <c r="Q46" s="1985"/>
      <c r="R46" s="1987"/>
      <c r="S46" s="542"/>
      <c r="T46" s="785"/>
      <c r="U46" s="1987"/>
      <c r="V46" s="1993"/>
    </row>
    <row r="47" spans="1:26" ht="19.5" x14ac:dyDescent="0.4">
      <c r="A47" s="536"/>
      <c r="C47" s="1994" t="s">
        <v>6956</v>
      </c>
      <c r="D47" s="155"/>
      <c r="G47" s="1995"/>
      <c r="H47" s="1996"/>
      <c r="I47" s="1997"/>
      <c r="J47" s="1995"/>
      <c r="K47" s="1997"/>
      <c r="L47" s="1997"/>
      <c r="M47" s="1997"/>
      <c r="O47" s="536"/>
      <c r="P47" s="1985"/>
      <c r="Q47" s="1985"/>
      <c r="R47" s="1987"/>
      <c r="S47" s="542"/>
      <c r="T47" s="785"/>
      <c r="U47" s="1987"/>
      <c r="V47" s="1993"/>
    </row>
    <row r="48" spans="1:26" ht="17.45" customHeight="1" x14ac:dyDescent="0.4">
      <c r="A48" s="536"/>
      <c r="C48" s="155" t="s">
        <v>6957</v>
      </c>
      <c r="D48" s="1063"/>
      <c r="E48" s="1063"/>
      <c r="F48" s="1063"/>
      <c r="G48" s="1063"/>
      <c r="H48" s="1063"/>
      <c r="I48" s="1063"/>
      <c r="J48" s="1063"/>
      <c r="K48" s="1063"/>
      <c r="L48" s="545"/>
      <c r="M48" s="545"/>
    </row>
    <row r="49" spans="1:21" x14ac:dyDescent="0.4">
      <c r="A49" s="835"/>
      <c r="C49" s="155" t="s">
        <v>6958</v>
      </c>
      <c r="D49" s="1063"/>
      <c r="E49" s="1063"/>
      <c r="F49" s="1063"/>
      <c r="G49" s="1063"/>
      <c r="H49" s="1063"/>
      <c r="I49" s="1063"/>
      <c r="J49" s="1063"/>
      <c r="K49" s="1063"/>
      <c r="L49" s="545"/>
      <c r="M49" s="545"/>
      <c r="P49" s="2815" t="s">
        <v>6959</v>
      </c>
      <c r="Q49" s="2815"/>
      <c r="R49" s="2815"/>
      <c r="S49" s="2815"/>
      <c r="T49" s="2815"/>
      <c r="U49" s="2815"/>
    </row>
    <row r="50" spans="1:21" ht="17.45" customHeight="1" x14ac:dyDescent="0.4">
      <c r="A50" s="536"/>
      <c r="C50" s="155" t="s">
        <v>6960</v>
      </c>
      <c r="D50" s="1063"/>
      <c r="E50" s="1063"/>
      <c r="F50" s="1063"/>
      <c r="G50" s="1063"/>
      <c r="H50" s="1063"/>
      <c r="I50" s="1063"/>
      <c r="J50" s="1063"/>
      <c r="K50" s="1063"/>
      <c r="L50" s="545"/>
      <c r="M50" s="545"/>
      <c r="O50" s="1402"/>
      <c r="P50" s="1402"/>
      <c r="Q50" s="1402"/>
      <c r="R50" s="1402"/>
    </row>
    <row r="51" spans="1:21" ht="31.5" customHeight="1" x14ac:dyDescent="0.4">
      <c r="A51" s="536"/>
      <c r="C51" s="1063"/>
      <c r="D51" s="1063"/>
      <c r="E51" s="1063"/>
      <c r="F51" s="1063"/>
      <c r="G51" s="1063"/>
      <c r="H51" s="1063"/>
      <c r="I51" s="1063"/>
      <c r="J51" s="1063"/>
      <c r="K51" s="1063"/>
      <c r="L51" s="1063"/>
      <c r="M51" s="1063"/>
    </row>
    <row r="52" spans="1:21" ht="31.5" customHeight="1" x14ac:dyDescent="0.4">
      <c r="A52" s="536"/>
      <c r="C52" s="1977" t="s">
        <v>6961</v>
      </c>
      <c r="D52" s="1977"/>
      <c r="E52" s="1977"/>
      <c r="F52" s="1977"/>
      <c r="G52" s="1977"/>
      <c r="H52" s="1977"/>
      <c r="I52" s="1977"/>
      <c r="J52" s="1977"/>
      <c r="K52" s="1977"/>
      <c r="L52" s="533"/>
      <c r="M52" s="533"/>
    </row>
    <row r="53" spans="1:21" ht="16.899999999999999" customHeight="1" x14ac:dyDescent="0.4">
      <c r="A53" s="536"/>
      <c r="C53" s="533"/>
      <c r="D53" s="533"/>
      <c r="E53" s="533"/>
      <c r="F53" s="533"/>
      <c r="G53" s="533"/>
      <c r="H53" s="533"/>
      <c r="I53" s="533"/>
      <c r="J53" s="533"/>
      <c r="K53" s="533"/>
      <c r="L53" s="533"/>
      <c r="M53" s="533"/>
    </row>
    <row r="54" spans="1:21" x14ac:dyDescent="0.4">
      <c r="A54" s="536"/>
      <c r="C54" s="3427" t="s">
        <v>6930</v>
      </c>
      <c r="D54" s="3426" t="s">
        <v>6931</v>
      </c>
      <c r="E54" s="3426"/>
      <c r="F54" s="1978"/>
      <c r="G54" s="3426" t="s">
        <v>6932</v>
      </c>
      <c r="H54" s="3426"/>
      <c r="I54" s="1978"/>
      <c r="J54" s="3426" t="s">
        <v>6933</v>
      </c>
      <c r="K54" s="3426"/>
      <c r="L54" s="1089"/>
      <c r="M54" s="1089"/>
    </row>
    <row r="55" spans="1:21" ht="49.5" customHeight="1" x14ac:dyDescent="0.4">
      <c r="A55" s="536"/>
      <c r="C55" s="3424"/>
      <c r="D55" s="1979" t="s">
        <v>6934</v>
      </c>
      <c r="E55" s="1979" t="s">
        <v>6962</v>
      </c>
      <c r="F55" s="1979"/>
      <c r="G55" s="1979" t="s">
        <v>6936</v>
      </c>
      <c r="H55" s="1979" t="s">
        <v>6937</v>
      </c>
      <c r="I55" s="1979"/>
      <c r="J55" s="1979" t="s">
        <v>6936</v>
      </c>
      <c r="K55" s="1979" t="s">
        <v>6938</v>
      </c>
      <c r="L55" s="1089"/>
      <c r="M55" s="1089"/>
    </row>
    <row r="56" spans="1:21" x14ac:dyDescent="0.4">
      <c r="A56" s="536"/>
      <c r="C56" s="226" t="s">
        <v>1104</v>
      </c>
      <c r="D56" s="1980">
        <f>SUM(D57:D65)</f>
        <v>143</v>
      </c>
      <c r="E56" s="1980">
        <f>SUM(E57:E65)</f>
        <v>2784047.3099600002</v>
      </c>
      <c r="F56" s="1980"/>
      <c r="G56" s="1981">
        <f>SUM(G57:G65)</f>
        <v>1302866.68065</v>
      </c>
      <c r="H56" s="1983">
        <f>G56*100/5110000</f>
        <v>25.496412537181996</v>
      </c>
      <c r="I56" s="1983"/>
      <c r="J56" s="1981">
        <f>SUM(J57:J65)</f>
        <v>1481174.0420000001</v>
      </c>
      <c r="K56" s="1998">
        <f>J56*100/3030800</f>
        <v>48.870728586511817</v>
      </c>
      <c r="L56" s="1998"/>
      <c r="M56" s="1998"/>
    </row>
    <row r="57" spans="1:21" x14ac:dyDescent="0.4">
      <c r="A57" s="536"/>
      <c r="C57" s="198" t="s">
        <v>6939</v>
      </c>
      <c r="D57" s="536">
        <v>3</v>
      </c>
      <c r="E57" s="1985">
        <v>1045471.0919999999</v>
      </c>
      <c r="F57" s="1985"/>
      <c r="G57" s="1987">
        <v>0</v>
      </c>
      <c r="H57" s="785">
        <f t="shared" ref="H57:H65" si="4">G57*100/5110000</f>
        <v>0</v>
      </c>
      <c r="I57" s="785"/>
      <c r="J57" s="1987">
        <v>1045471.0919999999</v>
      </c>
      <c r="K57" s="1993">
        <f t="shared" ref="K57:K65" si="5">J57*100/3030800</f>
        <v>34.494888874224621</v>
      </c>
      <c r="L57" s="1993"/>
      <c r="M57" s="1993"/>
    </row>
    <row r="58" spans="1:21" x14ac:dyDescent="0.4">
      <c r="A58" s="536"/>
      <c r="C58" s="198" t="s">
        <v>6940</v>
      </c>
      <c r="D58" s="536">
        <v>11</v>
      </c>
      <c r="E58" s="1985">
        <v>36556.753049999999</v>
      </c>
      <c r="F58" s="1985"/>
      <c r="G58" s="1987">
        <v>36550.165739999997</v>
      </c>
      <c r="H58" s="785">
        <f t="shared" si="4"/>
        <v>0.71526743131115456</v>
      </c>
      <c r="I58" s="785"/>
      <c r="J58" s="1987">
        <v>0</v>
      </c>
      <c r="K58" s="1993">
        <f t="shared" si="5"/>
        <v>0</v>
      </c>
      <c r="L58" s="1993"/>
      <c r="M58" s="1993"/>
    </row>
    <row r="59" spans="1:21" x14ac:dyDescent="0.4">
      <c r="A59" s="536"/>
      <c r="C59" s="198" t="s">
        <v>6941</v>
      </c>
      <c r="D59" s="536">
        <v>1</v>
      </c>
      <c r="E59" s="1985">
        <v>229.62899999999999</v>
      </c>
      <c r="F59" s="1985"/>
      <c r="G59" s="1987">
        <v>229.62899999999999</v>
      </c>
      <c r="H59" s="785">
        <f t="shared" si="4"/>
        <v>4.4937181996086099E-3</v>
      </c>
      <c r="I59" s="785"/>
      <c r="J59" s="1987">
        <v>0</v>
      </c>
      <c r="K59" s="1993">
        <f t="shared" si="5"/>
        <v>0</v>
      </c>
      <c r="L59" s="1993"/>
      <c r="M59" s="1993"/>
    </row>
    <row r="60" spans="1:21" x14ac:dyDescent="0.4">
      <c r="A60" s="536"/>
      <c r="C60" s="198" t="s">
        <v>6942</v>
      </c>
      <c r="D60" s="536">
        <v>28</v>
      </c>
      <c r="E60" s="1985">
        <v>1007519.5249999999</v>
      </c>
      <c r="F60" s="1985"/>
      <c r="G60" s="1987">
        <v>634128.23499999999</v>
      </c>
      <c r="H60" s="785">
        <f t="shared" si="4"/>
        <v>12.409554500978473</v>
      </c>
      <c r="I60" s="785"/>
      <c r="J60" s="1987">
        <v>373391.29000000004</v>
      </c>
      <c r="K60" s="1993">
        <f t="shared" si="5"/>
        <v>12.319892107694338</v>
      </c>
      <c r="L60" s="1993"/>
      <c r="M60" s="1993"/>
    </row>
    <row r="61" spans="1:21" x14ac:dyDescent="0.4">
      <c r="A61" s="536"/>
      <c r="C61" s="198" t="s">
        <v>6943</v>
      </c>
      <c r="D61" s="536">
        <v>50</v>
      </c>
      <c r="E61" s="1985">
        <v>290054.44374999998</v>
      </c>
      <c r="F61" s="1985"/>
      <c r="G61" s="1987">
        <v>234611.88375000001</v>
      </c>
      <c r="H61" s="785">
        <f t="shared" si="4"/>
        <v>4.5912306017612527</v>
      </c>
      <c r="I61" s="785"/>
      <c r="J61" s="1987">
        <v>55442.559999999998</v>
      </c>
      <c r="K61" s="1993">
        <f t="shared" si="5"/>
        <v>1.8293044740662532</v>
      </c>
      <c r="L61" s="1993"/>
      <c r="M61" s="1993"/>
    </row>
    <row r="62" spans="1:21" x14ac:dyDescent="0.4">
      <c r="A62" s="536"/>
      <c r="C62" s="198" t="s">
        <v>6944</v>
      </c>
      <c r="D62" s="536">
        <v>8</v>
      </c>
      <c r="E62" s="1985">
        <v>27719.121160000002</v>
      </c>
      <c r="F62" s="1985"/>
      <c r="G62" s="1987">
        <v>22517.641160000003</v>
      </c>
      <c r="H62" s="785">
        <f t="shared" si="4"/>
        <v>0.44065833972602747</v>
      </c>
      <c r="I62" s="785"/>
      <c r="J62" s="1987">
        <v>5201.4799999999996</v>
      </c>
      <c r="K62" s="1993">
        <f t="shared" si="5"/>
        <v>0.17162069420615017</v>
      </c>
      <c r="L62" s="1993"/>
      <c r="M62" s="1993"/>
    </row>
    <row r="63" spans="1:21" x14ac:dyDescent="0.4">
      <c r="A63" s="536"/>
      <c r="C63" s="198" t="s">
        <v>6945</v>
      </c>
      <c r="D63" s="536">
        <v>9</v>
      </c>
      <c r="E63" s="1985">
        <v>215260.09599999999</v>
      </c>
      <c r="F63" s="1985"/>
      <c r="G63" s="1987">
        <v>215260.09599999999</v>
      </c>
      <c r="H63" s="785">
        <f t="shared" si="4"/>
        <v>4.2125263405088056</v>
      </c>
      <c r="I63" s="785"/>
      <c r="J63" s="1987">
        <v>0</v>
      </c>
      <c r="K63" s="1993">
        <f t="shared" si="5"/>
        <v>0</v>
      </c>
      <c r="L63" s="1993"/>
      <c r="M63" s="1993"/>
    </row>
    <row r="64" spans="1:21" x14ac:dyDescent="0.4">
      <c r="A64" s="536"/>
      <c r="C64" s="198" t="s">
        <v>6946</v>
      </c>
      <c r="D64" s="536">
        <v>2</v>
      </c>
      <c r="E64" s="1985">
        <v>3113.1755999999996</v>
      </c>
      <c r="F64" s="1985"/>
      <c r="G64" s="1987">
        <v>1445.5556000000001</v>
      </c>
      <c r="H64" s="785">
        <f t="shared" si="4"/>
        <v>2.8288759295499028E-2</v>
      </c>
      <c r="I64" s="785"/>
      <c r="J64" s="1987">
        <v>1667.62</v>
      </c>
      <c r="K64" s="1993">
        <f t="shared" si="5"/>
        <v>5.5022436320443451E-2</v>
      </c>
      <c r="L64" s="1993"/>
      <c r="M64" s="1993"/>
    </row>
    <row r="65" spans="1:13" x14ac:dyDescent="0.4">
      <c r="A65" s="536"/>
      <c r="C65" s="606" t="s">
        <v>6947</v>
      </c>
      <c r="D65" s="824">
        <v>31</v>
      </c>
      <c r="E65" s="1990">
        <v>158123.47439999998</v>
      </c>
      <c r="F65" s="1990"/>
      <c r="G65" s="1991">
        <v>158123.47439999998</v>
      </c>
      <c r="H65" s="788">
        <f t="shared" si="4"/>
        <v>3.0943928454011735</v>
      </c>
      <c r="I65" s="788"/>
      <c r="J65" s="1991">
        <v>0</v>
      </c>
      <c r="K65" s="1992">
        <f t="shared" si="5"/>
        <v>0</v>
      </c>
      <c r="L65" s="1993"/>
      <c r="M65" s="1993"/>
    </row>
    <row r="66" spans="1:13" ht="19.5" x14ac:dyDescent="0.4">
      <c r="A66" s="536"/>
      <c r="C66" s="1994" t="s">
        <v>6956</v>
      </c>
      <c r="D66" s="1063"/>
      <c r="E66" s="1048"/>
      <c r="F66" s="1048"/>
      <c r="G66" s="1999"/>
      <c r="H66" s="2000"/>
      <c r="I66" s="2000"/>
      <c r="J66" s="1999"/>
      <c r="K66" s="2000"/>
      <c r="L66" s="1997"/>
      <c r="M66" s="1997"/>
    </row>
    <row r="67" spans="1:13" ht="17.45" customHeight="1" x14ac:dyDescent="0.4">
      <c r="A67" s="536"/>
      <c r="C67" s="155" t="s">
        <v>6957</v>
      </c>
      <c r="D67" s="1063"/>
      <c r="E67" s="1063"/>
      <c r="F67" s="1063"/>
      <c r="G67" s="1063"/>
      <c r="H67" s="1063"/>
      <c r="I67" s="1063"/>
      <c r="J67" s="1063"/>
      <c r="K67" s="1063"/>
      <c r="L67" s="545"/>
      <c r="M67" s="545"/>
    </row>
    <row r="68" spans="1:13" ht="17.45" customHeight="1" x14ac:dyDescent="0.4">
      <c r="A68" s="536"/>
      <c r="C68" s="155" t="s">
        <v>6958</v>
      </c>
      <c r="D68" s="1063"/>
      <c r="E68" s="1063"/>
      <c r="F68" s="1063"/>
      <c r="G68" s="1063"/>
      <c r="H68" s="1063"/>
      <c r="I68" s="1063"/>
      <c r="J68" s="1063"/>
      <c r="K68" s="1063"/>
      <c r="L68" s="545"/>
      <c r="M68" s="545"/>
    </row>
    <row r="69" spans="1:13" ht="17.45" customHeight="1" x14ac:dyDescent="0.4">
      <c r="A69" s="536"/>
      <c r="C69" s="155" t="s">
        <v>6963</v>
      </c>
      <c r="D69" s="1063"/>
      <c r="E69" s="1063"/>
      <c r="F69" s="1063"/>
      <c r="G69" s="1063"/>
      <c r="H69" s="1063"/>
      <c r="I69" s="1063"/>
      <c r="J69" s="1063"/>
      <c r="K69" s="1063"/>
      <c r="L69" s="545"/>
      <c r="M69" s="545"/>
    </row>
    <row r="70" spans="1:13" ht="31.5" customHeight="1" x14ac:dyDescent="0.4">
      <c r="A70" s="536"/>
      <c r="C70" s="545"/>
      <c r="D70" s="545"/>
      <c r="E70" s="545"/>
      <c r="F70" s="545"/>
      <c r="G70" s="545"/>
      <c r="H70" s="545"/>
      <c r="I70" s="545"/>
      <c r="J70" s="545"/>
      <c r="K70" s="545"/>
      <c r="L70" s="545"/>
      <c r="M70" s="545"/>
    </row>
    <row r="71" spans="1:13" ht="12.75" customHeight="1" x14ac:dyDescent="0.4">
      <c r="A71" s="835"/>
      <c r="C71" s="541"/>
      <c r="D71" s="541"/>
      <c r="E71" s="541"/>
      <c r="F71" s="541"/>
      <c r="G71" s="541"/>
      <c r="H71" s="541"/>
      <c r="I71" s="541"/>
      <c r="J71" s="541"/>
      <c r="K71" s="541"/>
      <c r="L71" s="541"/>
      <c r="M71" s="541"/>
    </row>
    <row r="72" spans="1:13" ht="35.25" customHeight="1" x14ac:dyDescent="0.4">
      <c r="A72" s="536"/>
      <c r="C72" s="1977" t="s">
        <v>6964</v>
      </c>
      <c r="D72" s="1977"/>
      <c r="E72" s="1977"/>
      <c r="F72" s="1977"/>
      <c r="G72" s="1977"/>
      <c r="H72" s="1977"/>
      <c r="I72" s="1977"/>
      <c r="J72" s="1977"/>
      <c r="K72" s="1977"/>
      <c r="L72" s="533"/>
      <c r="M72" s="533"/>
    </row>
    <row r="73" spans="1:13" ht="16.899999999999999" customHeight="1" x14ac:dyDescent="0.4">
      <c r="A73" s="536"/>
      <c r="C73" s="533"/>
      <c r="D73" s="533"/>
      <c r="E73" s="533"/>
      <c r="F73" s="533"/>
      <c r="G73" s="533"/>
      <c r="H73" s="533"/>
      <c r="I73" s="533"/>
      <c r="J73" s="533"/>
      <c r="K73" s="533"/>
      <c r="L73" s="533"/>
      <c r="M73" s="533"/>
    </row>
    <row r="74" spans="1:13" ht="13.15" customHeight="1" x14ac:dyDescent="0.4">
      <c r="A74" s="536"/>
      <c r="C74" s="3423" t="s">
        <v>6965</v>
      </c>
      <c r="D74" s="3423" t="s">
        <v>6966</v>
      </c>
      <c r="E74" s="3423"/>
      <c r="F74" s="2001"/>
      <c r="G74" s="3426" t="s">
        <v>6967</v>
      </c>
      <c r="H74" s="3426"/>
      <c r="I74" s="2001"/>
      <c r="J74" s="3426" t="s">
        <v>6968</v>
      </c>
      <c r="K74" s="3426"/>
      <c r="L74" s="1089"/>
      <c r="M74" s="1089"/>
    </row>
    <row r="75" spans="1:13" ht="32.25" customHeight="1" x14ac:dyDescent="0.4">
      <c r="A75" s="536"/>
      <c r="C75" s="3424"/>
      <c r="D75" s="3425"/>
      <c r="E75" s="3425"/>
      <c r="F75" s="2002"/>
      <c r="G75" s="1979" t="s">
        <v>6969</v>
      </c>
      <c r="H75" s="1979" t="s">
        <v>387</v>
      </c>
      <c r="I75" s="2002"/>
      <c r="J75" s="1979" t="s">
        <v>6969</v>
      </c>
      <c r="K75" s="1979" t="s">
        <v>387</v>
      </c>
      <c r="L75" s="1089"/>
      <c r="M75" s="1089"/>
    </row>
    <row r="76" spans="1:13" ht="15" customHeight="1" x14ac:dyDescent="0.4">
      <c r="A76" s="536"/>
      <c r="C76" s="541" t="s">
        <v>6939</v>
      </c>
      <c r="D76" s="3422">
        <v>3</v>
      </c>
      <c r="E76" s="3422"/>
      <c r="G76" s="1758"/>
      <c r="H76" s="1758"/>
      <c r="J76" s="1758">
        <v>10454.710919999998</v>
      </c>
      <c r="K76" s="1758">
        <v>1.9419999999999999</v>
      </c>
      <c r="L76" s="1758"/>
      <c r="M76" s="1758"/>
    </row>
    <row r="77" spans="1:13" x14ac:dyDescent="0.4">
      <c r="A77" s="536"/>
      <c r="C77" s="198" t="s">
        <v>6940</v>
      </c>
      <c r="D77" s="3422">
        <v>11</v>
      </c>
      <c r="E77" s="3422"/>
      <c r="G77" s="1754">
        <v>365.50165739999994</v>
      </c>
      <c r="H77" s="1758">
        <v>0.71526764659999986</v>
      </c>
      <c r="J77" s="1758">
        <v>6.5873100000000004E-2</v>
      </c>
      <c r="K77" s="1758">
        <v>1.223E-6</v>
      </c>
      <c r="L77" s="1758"/>
      <c r="M77" s="1758"/>
    </row>
    <row r="78" spans="1:13" x14ac:dyDescent="0.4">
      <c r="A78" s="536"/>
      <c r="C78" s="198" t="s">
        <v>6941</v>
      </c>
      <c r="D78" s="3422">
        <v>1</v>
      </c>
      <c r="E78" s="3422"/>
      <c r="G78" s="1758">
        <v>2.2962899999999999</v>
      </c>
      <c r="H78" s="1758">
        <v>4.4937199999999997E-3</v>
      </c>
      <c r="J78" s="1758">
        <v>0</v>
      </c>
      <c r="K78" s="1758">
        <v>0</v>
      </c>
      <c r="L78" s="1758"/>
      <c r="M78" s="1758"/>
    </row>
    <row r="79" spans="1:13" x14ac:dyDescent="0.4">
      <c r="A79" s="536"/>
      <c r="C79" s="198" t="s">
        <v>6942</v>
      </c>
      <c r="D79" s="3422">
        <v>28</v>
      </c>
      <c r="E79" s="3422"/>
      <c r="G79" s="1758">
        <v>6341.2813500000011</v>
      </c>
      <c r="H79" s="1758">
        <v>12.409552110999998</v>
      </c>
      <c r="J79" s="1758">
        <v>3733.9129000000003</v>
      </c>
      <c r="K79" s="1758">
        <v>0.69368390000000002</v>
      </c>
      <c r="L79" s="1758"/>
      <c r="M79" s="1758"/>
    </row>
    <row r="80" spans="1:13" x14ac:dyDescent="0.4">
      <c r="A80" s="536"/>
      <c r="C80" s="198" t="s">
        <v>6944</v>
      </c>
      <c r="D80" s="3422">
        <v>8</v>
      </c>
      <c r="E80" s="3422"/>
      <c r="G80" s="1758">
        <v>2346.1188375000002</v>
      </c>
      <c r="H80" s="1758">
        <v>0.44065798179999999</v>
      </c>
      <c r="J80" s="1758">
        <v>52.014699999999998</v>
      </c>
      <c r="K80" s="1758">
        <v>9.6632599999999999E-3</v>
      </c>
      <c r="L80" s="1758"/>
      <c r="M80" s="1758"/>
    </row>
    <row r="81" spans="1:13" x14ac:dyDescent="0.4">
      <c r="A81" s="536"/>
      <c r="C81" s="198" t="s">
        <v>6945</v>
      </c>
      <c r="D81" s="3422">
        <v>9</v>
      </c>
      <c r="E81" s="3422"/>
      <c r="G81" s="1758">
        <v>225.17641159999997</v>
      </c>
      <c r="H81" s="1758">
        <v>4.2125283599999994</v>
      </c>
      <c r="J81" s="1758">
        <v>0</v>
      </c>
      <c r="K81" s="1758">
        <v>0</v>
      </c>
      <c r="L81" s="1758"/>
      <c r="M81" s="1758"/>
    </row>
    <row r="82" spans="1:13" x14ac:dyDescent="0.4">
      <c r="A82" s="536"/>
      <c r="C82" s="198" t="s">
        <v>6946</v>
      </c>
      <c r="D82" s="3422">
        <v>2</v>
      </c>
      <c r="E82" s="3422"/>
      <c r="G82" s="1758">
        <v>2152.6009599999998</v>
      </c>
      <c r="H82" s="1758">
        <v>2.8288793999999999E-2</v>
      </c>
      <c r="J82" s="1758">
        <v>16.676200000000001</v>
      </c>
      <c r="K82" s="1758">
        <v>3.09809E-3</v>
      </c>
      <c r="L82" s="1758"/>
      <c r="M82" s="1758"/>
    </row>
    <row r="83" spans="1:13" x14ac:dyDescent="0.4">
      <c r="A83" s="536"/>
      <c r="C83" s="115" t="s">
        <v>6947</v>
      </c>
      <c r="D83" s="3422">
        <v>31</v>
      </c>
      <c r="E83" s="3422"/>
      <c r="G83" s="1758">
        <v>14.455556000000001</v>
      </c>
      <c r="H83" s="1758">
        <v>3.0943919450000004</v>
      </c>
      <c r="J83" s="1758">
        <v>0</v>
      </c>
      <c r="K83" s="1758">
        <v>0</v>
      </c>
      <c r="L83" s="1758"/>
      <c r="M83" s="1758"/>
    </row>
    <row r="84" spans="1:13" x14ac:dyDescent="0.4">
      <c r="A84" s="536"/>
      <c r="C84" s="198" t="s">
        <v>6943</v>
      </c>
      <c r="D84" s="1758"/>
      <c r="G84" s="1758"/>
      <c r="H84" s="1758"/>
      <c r="J84" s="1758"/>
      <c r="K84" s="1758"/>
      <c r="L84" s="1758"/>
      <c r="M84" s="1758"/>
    </row>
    <row r="85" spans="1:13" x14ac:dyDescent="0.4">
      <c r="A85" s="536"/>
      <c r="C85" s="198" t="s">
        <v>6970</v>
      </c>
      <c r="D85" s="3422">
        <v>12</v>
      </c>
      <c r="E85" s="3422"/>
      <c r="G85" s="1758">
        <v>663.60265649999985</v>
      </c>
      <c r="H85" s="1758">
        <v>1.2986389339999997</v>
      </c>
      <c r="J85" s="1758">
        <v>195.47110000000001</v>
      </c>
      <c r="K85" s="1758">
        <v>3.6314440000000003E-2</v>
      </c>
      <c r="L85" s="1758"/>
      <c r="M85" s="1758"/>
    </row>
    <row r="86" spans="1:13" x14ac:dyDescent="0.4">
      <c r="A86" s="536"/>
      <c r="C86" s="198" t="s">
        <v>6971</v>
      </c>
      <c r="D86" s="3422">
        <v>27</v>
      </c>
      <c r="E86" s="3422"/>
      <c r="G86" s="1758">
        <v>1628.7523930000002</v>
      </c>
      <c r="H86" s="1758">
        <v>3.1873842720000001</v>
      </c>
      <c r="J86" s="1758">
        <v>358.95440000000002</v>
      </c>
      <c r="K86" s="1758">
        <v>6.6686340000000011E-2</v>
      </c>
      <c r="L86" s="1758"/>
      <c r="M86" s="1758"/>
    </row>
    <row r="87" spans="1:13" x14ac:dyDescent="0.4">
      <c r="A87" s="536"/>
      <c r="C87" s="198" t="s">
        <v>5075</v>
      </c>
      <c r="D87" s="3422">
        <v>11</v>
      </c>
      <c r="E87" s="3422"/>
      <c r="G87" s="1758">
        <v>53.763788000000005</v>
      </c>
      <c r="H87" s="1758">
        <v>0.10521303000000001</v>
      </c>
      <c r="J87" s="1758">
        <v>0</v>
      </c>
      <c r="K87" s="1758"/>
      <c r="L87" s="1758"/>
      <c r="M87" s="1758"/>
    </row>
    <row r="88" spans="1:13" x14ac:dyDescent="0.4">
      <c r="A88" s="536"/>
      <c r="C88" s="606" t="s">
        <v>6033</v>
      </c>
      <c r="D88" s="3421">
        <f>SUM(D76:D87)</f>
        <v>143</v>
      </c>
      <c r="E88" s="3421"/>
      <c r="F88" s="120"/>
      <c r="G88" s="1768">
        <f>SUM(G76:G87)</f>
        <v>13793.549900000002</v>
      </c>
      <c r="H88" s="1768">
        <f>SUM(H76:H87)</f>
        <v>25.496416794400002</v>
      </c>
      <c r="I88" s="120"/>
      <c r="J88" s="1768">
        <f>SUM(J76:J87)</f>
        <v>14811.806093099998</v>
      </c>
      <c r="K88" s="1768">
        <f>SUM(K76:K87)</f>
        <v>2.7514472529999998</v>
      </c>
      <c r="L88" s="1758"/>
      <c r="M88" s="1758"/>
    </row>
    <row r="89" spans="1:13" ht="33" customHeight="1" x14ac:dyDescent="0.4">
      <c r="A89" s="536"/>
      <c r="C89" s="629" t="s">
        <v>6972</v>
      </c>
      <c r="D89" s="629"/>
      <c r="E89" s="629"/>
      <c r="F89" s="629"/>
      <c r="G89" s="629"/>
      <c r="H89" s="629"/>
      <c r="I89" s="629"/>
      <c r="J89" s="629"/>
      <c r="K89" s="629"/>
      <c r="L89" s="127"/>
      <c r="M89" s="127"/>
    </row>
    <row r="90" spans="1:13" x14ac:dyDescent="0.4">
      <c r="A90" s="536"/>
      <c r="C90" s="541"/>
      <c r="D90" s="541"/>
      <c r="E90" s="541"/>
      <c r="F90" s="541"/>
      <c r="G90" s="541"/>
      <c r="H90" s="541"/>
      <c r="I90" s="541"/>
      <c r="J90" s="541"/>
      <c r="K90" s="541"/>
      <c r="L90" s="541"/>
      <c r="M90" s="541"/>
    </row>
    <row r="91" spans="1:13" x14ac:dyDescent="0.4">
      <c r="A91" s="536"/>
    </row>
    <row r="92" spans="1:13" x14ac:dyDescent="0.4">
      <c r="A92" s="536"/>
    </row>
    <row r="93" spans="1:13" x14ac:dyDescent="0.4">
      <c r="A93" s="835"/>
    </row>
  </sheetData>
  <mergeCells count="39">
    <mergeCell ref="A3:B3"/>
    <mergeCell ref="C3:T3"/>
    <mergeCell ref="A4:B4"/>
    <mergeCell ref="C4:T4"/>
    <mergeCell ref="A5:B5"/>
    <mergeCell ref="C5:T5"/>
    <mergeCell ref="A6:B6"/>
    <mergeCell ref="C6:T6"/>
    <mergeCell ref="C12:C13"/>
    <mergeCell ref="D12:E12"/>
    <mergeCell ref="G12:H12"/>
    <mergeCell ref="J12:K12"/>
    <mergeCell ref="C74:C75"/>
    <mergeCell ref="D74:E75"/>
    <mergeCell ref="G74:H74"/>
    <mergeCell ref="J74:K74"/>
    <mergeCell ref="O27:T27"/>
    <mergeCell ref="P33:U33"/>
    <mergeCell ref="C35:C36"/>
    <mergeCell ref="D35:E35"/>
    <mergeCell ref="G35:H35"/>
    <mergeCell ref="J35:K35"/>
    <mergeCell ref="P49:U49"/>
    <mergeCell ref="C54:C55"/>
    <mergeCell ref="D54:E54"/>
    <mergeCell ref="G54:H54"/>
    <mergeCell ref="J54:K54"/>
    <mergeCell ref="D88:E88"/>
    <mergeCell ref="D76:E76"/>
    <mergeCell ref="D77:E77"/>
    <mergeCell ref="D78:E78"/>
    <mergeCell ref="D79:E79"/>
    <mergeCell ref="D80:E80"/>
    <mergeCell ref="D81:E81"/>
    <mergeCell ref="D82:E82"/>
    <mergeCell ref="D83:E83"/>
    <mergeCell ref="D85:E85"/>
    <mergeCell ref="D86:E86"/>
    <mergeCell ref="D87:E87"/>
  </mergeCells>
  <hyperlinks>
    <hyperlink ref="A1" location="'ODS 14.'!A1" display="REGRESAR" xr:uid="{79022EE1-EDE4-4B61-A823-09E941081947}"/>
    <hyperlink ref="C1" location="'Metadato 14.5.1'!A1" display="VER METADATO" xr:uid="{0747CEB0-A09E-4EAF-A50D-23B48CB3EE43}"/>
  </hyperlinks>
  <pageMargins left="0.7" right="0.7" top="0.75" bottom="0.75" header="0.3" footer="0.3"/>
  <pageSetup orientation="portrait" r:id="rId1"/>
  <drawing r:id="rId2"/>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ABB1-7130-46EC-B080-74658336432B}">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9.28515625" style="115" customWidth="1"/>
    <col min="2" max="2" width="26.42578125" style="115" customWidth="1"/>
    <col min="3" max="3" width="24" style="115" customWidth="1"/>
    <col min="4" max="4" width="85.7109375" style="115" customWidth="1"/>
    <col min="5" max="5" width="11.42578125" style="115"/>
    <col min="6" max="6" width="7.28515625" style="115" customWidth="1"/>
    <col min="7" max="7" width="2" style="115" customWidth="1"/>
    <col min="8" max="16384" width="11.42578125" style="115"/>
  </cols>
  <sheetData>
    <row r="1" spans="2:6" x14ac:dyDescent="0.4">
      <c r="B1" s="90" t="s">
        <v>39</v>
      </c>
    </row>
    <row r="2" spans="2:6" ht="19.5" thickBot="1" x14ac:dyDescent="0.45"/>
    <row r="3" spans="2:6" ht="23.25" customHeight="1" thickBot="1" x14ac:dyDescent="0.45">
      <c r="B3" s="3432" t="s">
        <v>75</v>
      </c>
      <c r="C3" s="3432"/>
      <c r="D3" s="3432"/>
      <c r="F3" s="1046" t="s">
        <v>265</v>
      </c>
    </row>
    <row r="4" spans="2:6" ht="37.5" x14ac:dyDescent="0.4">
      <c r="B4" s="3429" t="s">
        <v>234</v>
      </c>
      <c r="C4" s="3429"/>
      <c r="D4" s="2003" t="s">
        <v>6780</v>
      </c>
    </row>
    <row r="5" spans="2:6" ht="37.5" x14ac:dyDescent="0.4">
      <c r="B5" s="3429" t="s">
        <v>79</v>
      </c>
      <c r="C5" s="3429"/>
      <c r="D5" s="2003" t="s">
        <v>6762</v>
      </c>
    </row>
    <row r="6" spans="2:6" x14ac:dyDescent="0.4">
      <c r="B6" s="3429" t="s">
        <v>80</v>
      </c>
      <c r="C6" s="3429"/>
      <c r="D6" s="50" t="s">
        <v>6763</v>
      </c>
    </row>
    <row r="7" spans="2:6" ht="15" customHeight="1" x14ac:dyDescent="0.4">
      <c r="B7" s="3430" t="s">
        <v>81</v>
      </c>
      <c r="C7" s="3430"/>
      <c r="D7" s="93" t="s">
        <v>6764</v>
      </c>
    </row>
    <row r="8" spans="2:6" ht="15" customHeight="1" x14ac:dyDescent="0.4">
      <c r="B8" s="3434" t="s">
        <v>82</v>
      </c>
      <c r="C8" s="3434"/>
      <c r="D8" s="2004" t="s">
        <v>6973</v>
      </c>
    </row>
    <row r="10" spans="2:6" ht="23.25" customHeight="1" x14ac:dyDescent="0.4">
      <c r="B10" s="3432" t="s">
        <v>85</v>
      </c>
      <c r="C10" s="3432"/>
      <c r="D10" s="3432"/>
    </row>
    <row r="11" spans="2:6" ht="18" customHeight="1" x14ac:dyDescent="0.4">
      <c r="B11" s="3429" t="s">
        <v>86</v>
      </c>
      <c r="C11" s="3429"/>
      <c r="D11" s="2003" t="s">
        <v>167</v>
      </c>
    </row>
    <row r="12" spans="2:6" ht="37.5" x14ac:dyDescent="0.4">
      <c r="B12" s="3430" t="s">
        <v>88</v>
      </c>
      <c r="C12" s="3430"/>
      <c r="D12" s="2005" t="s">
        <v>6974</v>
      </c>
    </row>
    <row r="13" spans="2:6" x14ac:dyDescent="0.4">
      <c r="B13" s="3429" t="s">
        <v>90</v>
      </c>
      <c r="C13" s="3429"/>
      <c r="D13" s="594" t="s">
        <v>6763</v>
      </c>
    </row>
    <row r="14" spans="2:6" x14ac:dyDescent="0.4">
      <c r="B14" s="3429" t="s">
        <v>91</v>
      </c>
      <c r="C14" s="3429"/>
      <c r="D14" s="54" t="s">
        <v>214</v>
      </c>
    </row>
    <row r="15" spans="2:6" ht="409.5" x14ac:dyDescent="0.4">
      <c r="B15" s="3429" t="s">
        <v>93</v>
      </c>
      <c r="C15" s="3429"/>
      <c r="D15" s="594" t="s">
        <v>6975</v>
      </c>
    </row>
    <row r="16" spans="2:6" ht="93.75" customHeight="1" x14ac:dyDescent="0.4">
      <c r="B16" s="3429" t="s">
        <v>95</v>
      </c>
      <c r="C16" s="3429"/>
      <c r="D16" s="594"/>
    </row>
    <row r="17" spans="2:4" x14ac:dyDescent="0.4">
      <c r="B17" s="3429" t="s">
        <v>97</v>
      </c>
      <c r="C17" s="3429"/>
      <c r="D17" s="594" t="s">
        <v>98</v>
      </c>
    </row>
    <row r="18" spans="2:4" x14ac:dyDescent="0.4">
      <c r="B18" s="3430" t="s">
        <v>99</v>
      </c>
      <c r="C18" s="3430"/>
      <c r="D18" s="2003"/>
    </row>
    <row r="19" spans="2:4" ht="30" customHeight="1" x14ac:dyDescent="0.4">
      <c r="B19" s="3430" t="s">
        <v>100</v>
      </c>
      <c r="C19" s="3430"/>
      <c r="D19" s="594" t="s">
        <v>6976</v>
      </c>
    </row>
    <row r="20" spans="2:4" x14ac:dyDescent="0.4">
      <c r="B20" s="3429" t="s">
        <v>102</v>
      </c>
      <c r="C20" s="3429"/>
      <c r="D20" s="594" t="s">
        <v>140</v>
      </c>
    </row>
    <row r="21" spans="2:4" x14ac:dyDescent="0.4">
      <c r="B21" s="3433" t="s">
        <v>104</v>
      </c>
      <c r="C21" s="2006" t="s">
        <v>105</v>
      </c>
      <c r="D21" s="2003" t="s">
        <v>105</v>
      </c>
    </row>
    <row r="22" spans="2:4" x14ac:dyDescent="0.4">
      <c r="B22" s="3433"/>
      <c r="C22" s="2007" t="s">
        <v>107</v>
      </c>
      <c r="D22" s="55"/>
    </row>
    <row r="23" spans="2:4" ht="18" customHeight="1" x14ac:dyDescent="0.4">
      <c r="B23" s="3429" t="s">
        <v>109</v>
      </c>
      <c r="C23" s="3429"/>
      <c r="D23" s="594" t="s">
        <v>6977</v>
      </c>
    </row>
    <row r="24" spans="2:4" x14ac:dyDescent="0.4">
      <c r="B24" s="3429" t="s">
        <v>111</v>
      </c>
      <c r="C24" s="3429"/>
      <c r="D24" s="826" t="s">
        <v>6978</v>
      </c>
    </row>
    <row r="25" spans="2:4" x14ac:dyDescent="0.4">
      <c r="B25" s="3429" t="s">
        <v>113</v>
      </c>
      <c r="C25" s="3429"/>
      <c r="D25" s="55" t="s">
        <v>220</v>
      </c>
    </row>
    <row r="26" spans="2:4" ht="15" customHeight="1" x14ac:dyDescent="0.4">
      <c r="B26" s="3430" t="s">
        <v>115</v>
      </c>
      <c r="C26" s="3430"/>
      <c r="D26" s="826" t="s">
        <v>6979</v>
      </c>
    </row>
    <row r="27" spans="2:4" x14ac:dyDescent="0.4">
      <c r="B27" s="3428" t="s">
        <v>117</v>
      </c>
      <c r="C27" s="3428"/>
      <c r="D27" s="2003"/>
    </row>
    <row r="28" spans="2:4" ht="101.25" customHeight="1" x14ac:dyDescent="0.4">
      <c r="B28" s="2008" t="s">
        <v>118</v>
      </c>
      <c r="C28" s="2009"/>
      <c r="D28" s="594" t="s">
        <v>6980</v>
      </c>
    </row>
    <row r="29" spans="2:4" x14ac:dyDescent="0.4">
      <c r="B29" s="3431" t="s">
        <v>120</v>
      </c>
      <c r="C29" s="3431"/>
      <c r="D29" s="2010"/>
    </row>
    <row r="30" spans="2:4" x14ac:dyDescent="0.4">
      <c r="B30" s="63"/>
      <c r="C30" s="63"/>
      <c r="D30" s="64"/>
    </row>
    <row r="31" spans="2:4" ht="23.25" customHeight="1" x14ac:dyDescent="0.4">
      <c r="B31" s="3432" t="s">
        <v>121</v>
      </c>
      <c r="C31" s="3432"/>
      <c r="D31" s="3432"/>
    </row>
    <row r="32" spans="2:4" x14ac:dyDescent="0.4">
      <c r="B32" s="3428" t="s">
        <v>122</v>
      </c>
      <c r="C32" s="3428"/>
      <c r="D32" s="826" t="s">
        <v>6981</v>
      </c>
    </row>
    <row r="33" spans="2:4" x14ac:dyDescent="0.4">
      <c r="B33" s="3428" t="s">
        <v>124</v>
      </c>
      <c r="C33" s="3428"/>
      <c r="D33" s="826" t="s">
        <v>6982</v>
      </c>
    </row>
    <row r="34" spans="2:4" x14ac:dyDescent="0.4">
      <c r="B34" s="3428" t="s">
        <v>126</v>
      </c>
      <c r="C34" s="3428"/>
      <c r="D34" s="826" t="s">
        <v>4641</v>
      </c>
    </row>
    <row r="35" spans="2:4" x14ac:dyDescent="0.4">
      <c r="B35" s="3428" t="s">
        <v>128</v>
      </c>
      <c r="C35" s="3428"/>
      <c r="D35" s="826" t="s">
        <v>6983</v>
      </c>
    </row>
    <row r="36" spans="2:4" x14ac:dyDescent="0.4">
      <c r="B36" s="3428" t="s">
        <v>130</v>
      </c>
      <c r="C36" s="3428"/>
      <c r="D36" s="2011" t="s">
        <v>6984</v>
      </c>
    </row>
    <row r="37" spans="2:4" x14ac:dyDescent="0.4">
      <c r="B37" s="3428" t="s">
        <v>122</v>
      </c>
      <c r="C37" s="3428"/>
      <c r="D37" s="826" t="s">
        <v>6985</v>
      </c>
    </row>
    <row r="38" spans="2:4" x14ac:dyDescent="0.4">
      <c r="B38" s="3428" t="s">
        <v>124</v>
      </c>
      <c r="C38" s="3428"/>
      <c r="D38" s="826" t="s">
        <v>6986</v>
      </c>
    </row>
    <row r="39" spans="2:4" x14ac:dyDescent="0.4">
      <c r="B39" s="3428" t="s">
        <v>126</v>
      </c>
      <c r="C39" s="3428"/>
      <c r="D39" s="826" t="s">
        <v>4641</v>
      </c>
    </row>
    <row r="40" spans="2:4" x14ac:dyDescent="0.4">
      <c r="B40" s="3428" t="s">
        <v>128</v>
      </c>
      <c r="C40" s="3428"/>
      <c r="D40" s="826" t="s">
        <v>6987</v>
      </c>
    </row>
    <row r="41" spans="2:4" x14ac:dyDescent="0.4">
      <c r="B41" s="3428" t="s">
        <v>130</v>
      </c>
      <c r="C41" s="3428"/>
      <c r="D41" s="2012" t="s">
        <v>6988</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65DAB2C2-11F2-4988-88F6-3D30FA366D65}">
      <formula1>Tipo_operación</formula1>
      <formula2>0</formula2>
    </dataValidation>
    <dataValidation type="list" allowBlank="1" showInputMessage="1" showErrorMessage="1" sqref="D14" xr:uid="{E3D13C6D-7A6A-4708-8826-5E4776194BB7}">
      <formula1>Tipo_indicador</formula1>
      <formula2>0</formula2>
    </dataValidation>
    <dataValidation type="list" allowBlank="1" showInputMessage="1" showErrorMessage="1" sqref="D7" xr:uid="{E323E905-FF34-4F4F-92B3-2CB227FD860F}">
      <formula1>Nombre_indicador_ODS</formula1>
      <formula2>0</formula2>
    </dataValidation>
    <dataValidation type="list" allowBlank="1" showInputMessage="1" showErrorMessage="1" sqref="D6" xr:uid="{931DD5B3-2142-46B7-96D1-F89891E2D034}">
      <formula1>Numero_indicador</formula1>
      <formula2>0</formula2>
    </dataValidation>
    <dataValidation type="list" allowBlank="1" showInputMessage="1" showErrorMessage="1" sqref="D5" xr:uid="{2F7AE35B-C04F-451E-9539-F44625958A59}">
      <formula1>Metas_ODS</formula1>
      <formula2>0</formula2>
    </dataValidation>
    <dataValidation type="list" allowBlank="1" showInputMessage="1" showErrorMessage="1" sqref="D4" xr:uid="{2B29C9AA-6965-4FB5-BAD1-D0CB0659EAF3}">
      <formula1>ODS</formula1>
      <formula2>0</formula2>
    </dataValidation>
  </dataValidations>
  <hyperlinks>
    <hyperlink ref="B1" location="'14.5.1'!A1" display="REGRESAR" xr:uid="{C49C54D1-687B-422B-974E-D20B2138FD09}"/>
    <hyperlink ref="D8" r:id="rId1" xr:uid="{8E6CEB98-1BC7-4D63-ACF8-0151959FA6E3}"/>
    <hyperlink ref="D36" r:id="rId2" xr:uid="{A4B14A1D-536E-4BAB-9EE6-51549910363F}"/>
    <hyperlink ref="D41" r:id="rId3" xr:uid="{79F7A702-B91C-4125-A327-0BC94AF5E977}"/>
  </hyperlinks>
  <pageMargins left="0.7" right="0.7" top="0.75" bottom="0.75" header="0.3" footer="0.3"/>
  <pageSetup orientation="portrait" r:id="rId4"/>
  <drawing r:id="rId5"/>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F432-5367-459C-9A7D-09393A81889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6.42578125" style="115" customWidth="1"/>
    <col min="3" max="3" width="12.7109375" style="1048" customWidth="1"/>
    <col min="4" max="5" width="12.7109375" style="115" customWidth="1"/>
    <col min="6" max="16384" width="11.42578125" style="115"/>
  </cols>
  <sheetData>
    <row r="1" spans="1:16" x14ac:dyDescent="0.4">
      <c r="A1" s="90" t="s">
        <v>39</v>
      </c>
      <c r="B1" s="1311"/>
      <c r="C1" s="2492" t="s">
        <v>149</v>
      </c>
      <c r="D1" s="2492"/>
    </row>
    <row r="2" spans="1:16" ht="17.25" customHeight="1" x14ac:dyDescent="0.4"/>
    <row r="3" spans="1:16" ht="19.899999999999999" customHeight="1" x14ac:dyDescent="0.4">
      <c r="A3" s="3435" t="s">
        <v>41</v>
      </c>
      <c r="B3" s="3439"/>
      <c r="C3" s="3437" t="s">
        <v>6749</v>
      </c>
      <c r="D3" s="3437"/>
      <c r="E3" s="3437"/>
      <c r="F3" s="3437"/>
      <c r="G3" s="3437"/>
      <c r="H3" s="3437"/>
      <c r="I3" s="3437"/>
      <c r="J3" s="3437"/>
      <c r="K3" s="3437"/>
      <c r="L3" s="3437"/>
      <c r="M3" s="3437"/>
      <c r="N3" s="3437"/>
      <c r="O3" s="3437"/>
      <c r="P3" s="3437"/>
    </row>
    <row r="4" spans="1:16" ht="52.15" customHeight="1" x14ac:dyDescent="0.4">
      <c r="A4" s="3435" t="s">
        <v>42</v>
      </c>
      <c r="B4" s="3436"/>
      <c r="C4" s="3440" t="s">
        <v>6989</v>
      </c>
      <c r="D4" s="3441"/>
      <c r="E4" s="3441"/>
      <c r="F4" s="3441"/>
      <c r="G4" s="3441"/>
      <c r="H4" s="3441"/>
      <c r="I4" s="3441"/>
      <c r="J4" s="3441"/>
      <c r="K4" s="3441"/>
      <c r="L4" s="3441"/>
      <c r="M4" s="3441"/>
      <c r="N4" s="3441"/>
      <c r="O4" s="3441"/>
      <c r="P4" s="3441"/>
    </row>
    <row r="5" spans="1:16" s="1048" customFormat="1" ht="17.45" customHeight="1" x14ac:dyDescent="0.4">
      <c r="A5" s="3435" t="s">
        <v>43</v>
      </c>
      <c r="B5" s="3436"/>
      <c r="C5" s="3437" t="s">
        <v>6767</v>
      </c>
      <c r="D5" s="3438"/>
      <c r="E5" s="3438"/>
      <c r="F5" s="3438"/>
      <c r="G5" s="3438"/>
      <c r="H5" s="3438"/>
      <c r="I5" s="3438"/>
      <c r="J5" s="3438"/>
      <c r="K5" s="3438"/>
      <c r="L5" s="3438"/>
      <c r="M5" s="3438"/>
      <c r="N5" s="3438"/>
      <c r="O5" s="3438"/>
      <c r="P5" s="3438"/>
    </row>
    <row r="6" spans="1:16" s="1048" customFormat="1" ht="15" customHeight="1" x14ac:dyDescent="0.4">
      <c r="A6" s="3435" t="s">
        <v>132</v>
      </c>
      <c r="B6" s="3436"/>
      <c r="C6" s="3437" t="s">
        <v>242</v>
      </c>
      <c r="D6" s="3438"/>
      <c r="E6" s="3438"/>
      <c r="F6" s="3438"/>
      <c r="G6" s="3438"/>
      <c r="H6" s="3438"/>
      <c r="I6" s="3438"/>
      <c r="J6" s="3438"/>
      <c r="K6" s="3438"/>
      <c r="L6" s="3438"/>
      <c r="M6" s="3438"/>
      <c r="N6" s="3438"/>
      <c r="O6" s="3438"/>
      <c r="P6" s="3438"/>
    </row>
    <row r="7" spans="1:16" s="1048" customFormat="1" x14ac:dyDescent="0.4">
      <c r="A7" s="536"/>
      <c r="B7" s="115"/>
      <c r="D7" s="115"/>
      <c r="E7" s="115"/>
    </row>
    <row r="9" spans="1:16" ht="11.25" customHeight="1" x14ac:dyDescent="0.4">
      <c r="C9" s="2506" t="s">
        <v>6990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C8476B7C-A651-453A-9F26-B36A4AF3BF16}"/>
    <hyperlink ref="C1:D1" location="'Metadato 14.6.1'!A1" display="VER METADATO" xr:uid="{A346D9E5-342C-4AE0-B2D6-EE332CF35B08}"/>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181DF-39B1-427A-9959-7D7F26C3CE1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42578125" style="115" customWidth="1"/>
    <col min="3" max="3" width="12.42578125" style="1048" customWidth="1"/>
    <col min="4" max="7" width="12.42578125" style="115" customWidth="1"/>
    <col min="8" max="16384" width="11.42578125" style="115"/>
  </cols>
  <sheetData>
    <row r="1" spans="1:17" x14ac:dyDescent="0.4">
      <c r="A1" s="90" t="s">
        <v>39</v>
      </c>
      <c r="B1" s="1311"/>
      <c r="C1" s="2541" t="s">
        <v>149</v>
      </c>
      <c r="D1" s="2541"/>
    </row>
    <row r="2" spans="1:17" ht="16.5" customHeight="1" x14ac:dyDescent="0.4"/>
    <row r="3" spans="1:17" ht="17.45" customHeight="1" x14ac:dyDescent="0.4">
      <c r="A3" s="3406" t="s">
        <v>41</v>
      </c>
      <c r="B3" s="3410"/>
      <c r="C3" s="3408" t="s">
        <v>6749</v>
      </c>
      <c r="D3" s="3408"/>
      <c r="E3" s="3408"/>
      <c r="F3" s="3408"/>
      <c r="G3" s="3408"/>
      <c r="H3" s="3408"/>
      <c r="I3" s="3408"/>
      <c r="J3" s="3408"/>
      <c r="K3" s="3408"/>
      <c r="L3" s="3408"/>
      <c r="M3" s="3408"/>
      <c r="N3" s="3408"/>
      <c r="O3" s="3408"/>
      <c r="P3" s="3408"/>
    </row>
    <row r="4" spans="1:17" ht="35.450000000000003" customHeight="1" x14ac:dyDescent="0.4">
      <c r="A4" s="3406" t="s">
        <v>42</v>
      </c>
      <c r="B4" s="3407"/>
      <c r="C4" s="3411" t="s">
        <v>6768</v>
      </c>
      <c r="D4" s="3412"/>
      <c r="E4" s="3412"/>
      <c r="F4" s="3412"/>
      <c r="G4" s="3412"/>
      <c r="H4" s="3412"/>
      <c r="I4" s="3412"/>
      <c r="J4" s="3412"/>
      <c r="K4" s="3412"/>
      <c r="L4" s="3412"/>
      <c r="M4" s="3412"/>
      <c r="N4" s="3412"/>
      <c r="O4" s="3412"/>
      <c r="P4" s="3412"/>
    </row>
    <row r="5" spans="1:17" ht="17.45" customHeight="1" x14ac:dyDescent="0.4">
      <c r="A5" s="3406" t="s">
        <v>43</v>
      </c>
      <c r="B5" s="3407"/>
      <c r="C5" s="3408" t="s">
        <v>6770</v>
      </c>
      <c r="D5" s="3409"/>
      <c r="E5" s="3409"/>
      <c r="F5" s="3409"/>
      <c r="G5" s="3409"/>
      <c r="H5" s="3409"/>
      <c r="I5" s="3409"/>
      <c r="J5" s="3409"/>
      <c r="K5" s="3409"/>
      <c r="L5" s="3409"/>
      <c r="M5" s="3409"/>
      <c r="N5" s="3409"/>
      <c r="O5" s="3409"/>
      <c r="P5" s="3409"/>
    </row>
    <row r="6" spans="1:17" ht="15" customHeight="1" x14ac:dyDescent="0.4">
      <c r="A6" s="3406" t="s">
        <v>132</v>
      </c>
      <c r="B6" s="3407"/>
      <c r="C6" s="3408" t="s">
        <v>242</v>
      </c>
      <c r="D6" s="3409"/>
      <c r="E6" s="3409"/>
      <c r="F6" s="3409"/>
      <c r="G6" s="3409"/>
      <c r="H6" s="3409"/>
      <c r="I6" s="3409"/>
      <c r="J6" s="3409"/>
      <c r="K6" s="3409"/>
      <c r="L6" s="3409"/>
      <c r="M6" s="3409"/>
      <c r="N6" s="3409"/>
      <c r="O6" s="3409"/>
      <c r="P6" s="3409"/>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row>
    <row r="12" spans="1:17" x14ac:dyDescent="0.4">
      <c r="A12" s="536"/>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21"/>
      <c r="D17" s="220"/>
      <c r="E17" s="220"/>
      <c r="F17" s="220"/>
      <c r="G17" s="220"/>
      <c r="H17" s="220"/>
      <c r="I17" s="220"/>
      <c r="J17" s="220"/>
      <c r="K17" s="220"/>
      <c r="L17" s="220"/>
      <c r="M17" s="220"/>
      <c r="N17" s="220"/>
      <c r="O17" s="220"/>
      <c r="P17" s="220"/>
      <c r="Q17" s="220"/>
    </row>
    <row r="18" spans="3:17" x14ac:dyDescent="0.4">
      <c r="C18" s="2494" t="s">
        <v>316</v>
      </c>
      <c r="D18" s="2494"/>
      <c r="E18" s="2494"/>
      <c r="F18" s="2494"/>
      <c r="G18" s="2494"/>
      <c r="H18" s="2494"/>
      <c r="I18" s="2494"/>
      <c r="J18" s="2494"/>
      <c r="K18" s="2494"/>
      <c r="L18" s="2494"/>
      <c r="M18" s="2494"/>
      <c r="N18" s="2494"/>
      <c r="O18" s="2494"/>
      <c r="P18" s="2494"/>
      <c r="Q18" s="2494"/>
    </row>
    <row r="19" spans="3:17" x14ac:dyDescent="0.4">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78065576-8DC3-4BE3-9C0F-65E2FACB5CDF}"/>
    <hyperlink ref="C1:D1" location="'Metadato 14.7.1'!A1" display="VER METADATO" xr:uid="{35B893C9-F740-42A5-A44D-A63C1CA6195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78BE-7A2E-4270-A9A0-38CE54BA33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265</v>
      </c>
    </row>
    <row r="4" spans="1:6" ht="37.5" x14ac:dyDescent="0.25">
      <c r="A4" s="224"/>
      <c r="B4" s="2445" t="s">
        <v>234</v>
      </c>
      <c r="C4" s="2445"/>
      <c r="D4" s="49" t="s">
        <v>396</v>
      </c>
    </row>
    <row r="5" spans="1:6" ht="93.75" x14ac:dyDescent="0.25">
      <c r="B5" s="2445" t="s">
        <v>79</v>
      </c>
      <c r="C5" s="2445"/>
      <c r="D5" s="49" t="s">
        <v>409</v>
      </c>
    </row>
    <row r="6" spans="1:6" x14ac:dyDescent="0.25">
      <c r="B6" s="2445" t="s">
        <v>80</v>
      </c>
      <c r="C6" s="2445"/>
      <c r="D6" s="50" t="s">
        <v>410</v>
      </c>
    </row>
    <row r="7" spans="1:6" ht="37.5" x14ac:dyDescent="0.25">
      <c r="B7" s="2446" t="s">
        <v>81</v>
      </c>
      <c r="C7" s="2446"/>
      <c r="D7" s="93" t="s">
        <v>411</v>
      </c>
    </row>
    <row r="8" spans="1:6" x14ac:dyDescent="0.25">
      <c r="B8" s="2446" t="s">
        <v>82</v>
      </c>
      <c r="C8" s="2446"/>
      <c r="D8" s="94" t="s">
        <v>594</v>
      </c>
    </row>
    <row r="9" spans="1:6" x14ac:dyDescent="0.4">
      <c r="B9" s="5"/>
      <c r="C9" s="5"/>
      <c r="D9" s="5"/>
    </row>
    <row r="10" spans="1:6" ht="23.25" customHeight="1" x14ac:dyDescent="0.25">
      <c r="B10" s="2514" t="s">
        <v>85</v>
      </c>
      <c r="C10" s="2514"/>
      <c r="D10" s="2514"/>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ht="37.5" x14ac:dyDescent="0.25">
      <c r="B28" s="97" t="s">
        <v>118</v>
      </c>
      <c r="C28" s="98"/>
      <c r="D28" s="56" t="s">
        <v>595</v>
      </c>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0F22605-A4FB-441D-9A53-19455597BD89}">
      <formula1>Tipo_operación</formula1>
    </dataValidation>
    <dataValidation type="list" allowBlank="1" showInputMessage="1" showErrorMessage="1" sqref="D14" xr:uid="{6C90E527-694C-4E62-A41D-B7A11BF4E0CB}">
      <formula1>Tipo_indicador</formula1>
    </dataValidation>
    <dataValidation type="list" allowBlank="1" showInputMessage="1" showErrorMessage="1" sqref="D7" xr:uid="{3A244577-93CB-4DD8-979B-3F046FDEA045}">
      <formula1>Nombre_indicador_ODS</formula1>
    </dataValidation>
    <dataValidation type="list" allowBlank="1" showInputMessage="1" showErrorMessage="1" sqref="D6" xr:uid="{75508314-A508-411F-9B9A-FAC53A795396}">
      <formula1>Numero_indicador</formula1>
    </dataValidation>
    <dataValidation type="list" allowBlank="1" showInputMessage="1" showErrorMessage="1" sqref="D5" xr:uid="{C8A82418-2DAF-49B4-A448-367CB7E945DF}">
      <formula1>Metas_ODS</formula1>
    </dataValidation>
    <dataValidation type="list" allowBlank="1" showInputMessage="1" showErrorMessage="1" sqref="D4" xr:uid="{8C017506-6E8F-4B34-9773-2ED356B5D32F}">
      <formula1>ODS</formula1>
    </dataValidation>
    <dataValidation allowBlank="1" showDropDown="1" showInputMessage="1" showErrorMessage="1" sqref="D13" xr:uid="{A0C292B8-A231-4584-BCC7-3D7D247D17C6}"/>
  </dataValidations>
  <hyperlinks>
    <hyperlink ref="B1" location="'2.3.1'!A1" display="REGRESAR" xr:uid="{65D3244D-5A2C-46CE-9140-65365586FA5C}"/>
    <hyperlink ref="D8" r:id="rId1" xr:uid="{D49030FD-E4BA-416A-95DA-7CD635EF2F8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EB7D-B908-4C82-8E8F-47F47EAFAA4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317</v>
      </c>
    </row>
    <row r="4" spans="1:6" ht="37.5" x14ac:dyDescent="0.4">
      <c r="A4" s="283"/>
      <c r="B4" s="2425" t="s">
        <v>234</v>
      </c>
      <c r="C4" s="2425"/>
      <c r="D4" s="49" t="s">
        <v>6780</v>
      </c>
    </row>
    <row r="5" spans="1:6" ht="56.25" x14ac:dyDescent="0.4">
      <c r="B5" s="2425" t="s">
        <v>79</v>
      </c>
      <c r="C5" s="2425"/>
      <c r="D5" s="49" t="s">
        <v>6768</v>
      </c>
    </row>
    <row r="6" spans="1:6" x14ac:dyDescent="0.4">
      <c r="B6" s="2425" t="s">
        <v>80</v>
      </c>
      <c r="C6" s="2425"/>
      <c r="D6" s="50" t="s">
        <v>6769</v>
      </c>
    </row>
    <row r="7" spans="1:6" ht="37.5" x14ac:dyDescent="0.4">
      <c r="B7" s="2426" t="s">
        <v>81</v>
      </c>
      <c r="C7" s="2426"/>
      <c r="D7" s="93" t="s">
        <v>6770</v>
      </c>
    </row>
    <row r="8" spans="1:6" x14ac:dyDescent="0.4">
      <c r="B8" s="2426" t="s">
        <v>82</v>
      </c>
      <c r="C8" s="2426"/>
      <c r="D8" s="1047" t="s">
        <v>353</v>
      </c>
    </row>
    <row r="10" spans="1:6" ht="23.25" customHeight="1" x14ac:dyDescent="0.4">
      <c r="B10" s="3413" t="s">
        <v>85</v>
      </c>
      <c r="C10" s="3413"/>
      <c r="D10" s="3413"/>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13" t="s">
        <v>121</v>
      </c>
      <c r="C31" s="3413"/>
      <c r="D31" s="3413"/>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1C1967-C1F4-4DD2-B962-F19742727995}">
      <formula1>Tipo_operación</formula1>
    </dataValidation>
    <dataValidation type="list" allowBlank="1" showInputMessage="1" showErrorMessage="1" sqref="D14" xr:uid="{A9187BF2-88E3-44DC-8B50-8A1DB5D30893}">
      <formula1>Tipo_indicador</formula1>
    </dataValidation>
    <dataValidation type="list" allowBlank="1" showInputMessage="1" showErrorMessage="1" sqref="D7" xr:uid="{B48A2FD2-DC01-46F8-810F-780DA4D00838}">
      <formula1>Nombre_indicador_ODS</formula1>
    </dataValidation>
    <dataValidation type="list" allowBlank="1" showInputMessage="1" showErrorMessage="1" sqref="D6" xr:uid="{6D8EA2DF-0792-4ECE-A4CB-21C865F2C6D8}">
      <formula1>Numero_indicador</formula1>
    </dataValidation>
    <dataValidation type="list" allowBlank="1" showInputMessage="1" showErrorMessage="1" sqref="D5" xr:uid="{3438EB25-1DB9-48DB-980D-43BA6803A734}">
      <formula1>Metas_ODS</formula1>
    </dataValidation>
    <dataValidation type="list" allowBlank="1" showInputMessage="1" showErrorMessage="1" sqref="D4" xr:uid="{7123759E-7DC9-4ABD-B00A-99DEF8284E05}">
      <formula1>ODS</formula1>
    </dataValidation>
    <dataValidation allowBlank="1" showDropDown="1" showInputMessage="1" showErrorMessage="1" sqref="D13" xr:uid="{8A9974B6-5502-435D-A216-C6B961621F53}"/>
  </dataValidations>
  <hyperlinks>
    <hyperlink ref="B1" location="'14.7.1'!A1" display="REGRESAR" xr:uid="{A19429CB-5203-4390-93A3-4490E119BFF5}"/>
    <hyperlink ref="D8" r:id="rId1" xr:uid="{EAFE202C-D7B9-4CD0-BFDD-03F53BA3C5AD}"/>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93C0-6D28-40DA-A700-71B786F479EB}">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28515625" style="115" customWidth="1"/>
    <col min="3" max="3" width="12.28515625" style="1048" customWidth="1"/>
    <col min="4" max="7" width="12.28515625" style="115" customWidth="1"/>
    <col min="8" max="16384" width="11.42578125" style="115"/>
  </cols>
  <sheetData>
    <row r="1" spans="1:16" x14ac:dyDescent="0.4">
      <c r="A1" s="90" t="s">
        <v>39</v>
      </c>
      <c r="B1" s="1311"/>
      <c r="C1" s="2541" t="s">
        <v>149</v>
      </c>
      <c r="D1" s="2541"/>
    </row>
    <row r="3" spans="1:16" ht="19.5" x14ac:dyDescent="0.4">
      <c r="A3" s="3406" t="s">
        <v>41</v>
      </c>
      <c r="B3" s="3410"/>
      <c r="C3" s="3408" t="s">
        <v>6749</v>
      </c>
      <c r="D3" s="3408"/>
      <c r="E3" s="3408"/>
      <c r="F3" s="3408"/>
      <c r="G3" s="3408"/>
      <c r="H3" s="3408"/>
      <c r="I3" s="3408"/>
      <c r="J3" s="3408"/>
      <c r="K3" s="3408"/>
      <c r="L3" s="3408"/>
      <c r="M3" s="3408"/>
      <c r="N3" s="3408"/>
      <c r="O3" s="3408"/>
      <c r="P3" s="3408"/>
    </row>
    <row r="4" spans="1:16" ht="54.6" customHeight="1" x14ac:dyDescent="0.4">
      <c r="A4" s="3406" t="s">
        <v>42</v>
      </c>
      <c r="B4" s="3407"/>
      <c r="C4" s="3411" t="s">
        <v>6771</v>
      </c>
      <c r="D4" s="3412"/>
      <c r="E4" s="3412"/>
      <c r="F4" s="3412"/>
      <c r="G4" s="3412"/>
      <c r="H4" s="3412"/>
      <c r="I4" s="3412"/>
      <c r="J4" s="3412"/>
      <c r="K4" s="3412"/>
      <c r="L4" s="3412"/>
      <c r="M4" s="3412"/>
      <c r="N4" s="3412"/>
      <c r="O4" s="3412"/>
      <c r="P4" s="3412"/>
    </row>
    <row r="5" spans="1:16" ht="20.45" customHeight="1" x14ac:dyDescent="0.4">
      <c r="A5" s="3406" t="s">
        <v>43</v>
      </c>
      <c r="B5" s="3407"/>
      <c r="C5" s="3408" t="s">
        <v>6773</v>
      </c>
      <c r="D5" s="3409"/>
      <c r="E5" s="3409"/>
      <c r="F5" s="3409"/>
      <c r="G5" s="3409"/>
      <c r="H5" s="3409"/>
      <c r="I5" s="3409"/>
      <c r="J5" s="3409"/>
      <c r="K5" s="3409"/>
      <c r="L5" s="3409"/>
      <c r="M5" s="3409"/>
      <c r="N5" s="3409"/>
      <c r="O5" s="3409"/>
      <c r="P5" s="3409"/>
    </row>
    <row r="6" spans="1:16" ht="19.5" x14ac:dyDescent="0.4">
      <c r="A6" s="3406" t="s">
        <v>132</v>
      </c>
      <c r="B6" s="3407"/>
      <c r="C6" s="3408" t="s">
        <v>242</v>
      </c>
      <c r="D6" s="3409"/>
      <c r="E6" s="3409"/>
      <c r="F6" s="3409"/>
      <c r="G6" s="3409"/>
      <c r="H6" s="3409"/>
      <c r="I6" s="3409"/>
      <c r="J6" s="3409"/>
      <c r="K6" s="3409"/>
      <c r="L6" s="3409"/>
      <c r="M6" s="3409"/>
      <c r="N6" s="3409"/>
      <c r="O6" s="3409"/>
      <c r="P6" s="3409"/>
    </row>
    <row r="7" spans="1:16" x14ac:dyDescent="0.4">
      <c r="A7" s="536"/>
    </row>
    <row r="8" spans="1:16" x14ac:dyDescent="0.4">
      <c r="A8" s="536"/>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5D9CDA7E-C59B-4E05-A4AC-F3A67883523A}"/>
    <hyperlink ref="C1:D1" location="'Metadato 14.a.1'!A1" display="VER METADATO" xr:uid="{7B72B78F-B834-4F9E-9C01-29C7AF2D166F}"/>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F62D3-52C7-481A-A8A1-D69017A1D1C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244</v>
      </c>
    </row>
    <row r="4" spans="1:6" ht="37.5" x14ac:dyDescent="0.4">
      <c r="A4" s="283"/>
      <c r="B4" s="2425" t="s">
        <v>234</v>
      </c>
      <c r="C4" s="2425"/>
      <c r="D4" s="49" t="s">
        <v>6780</v>
      </c>
    </row>
    <row r="5" spans="1:6" ht="93.75" x14ac:dyDescent="0.4">
      <c r="B5" s="2425" t="s">
        <v>79</v>
      </c>
      <c r="C5" s="2425"/>
      <c r="D5" s="49" t="s">
        <v>6771</v>
      </c>
    </row>
    <row r="6" spans="1:6" x14ac:dyDescent="0.4">
      <c r="B6" s="2425" t="s">
        <v>80</v>
      </c>
      <c r="C6" s="2425"/>
      <c r="D6" s="50" t="s">
        <v>6772</v>
      </c>
    </row>
    <row r="7" spans="1:6" ht="37.5" x14ac:dyDescent="0.4">
      <c r="B7" s="2426" t="s">
        <v>81</v>
      </c>
      <c r="C7" s="2426"/>
      <c r="D7" s="93" t="s">
        <v>6773</v>
      </c>
    </row>
    <row r="8" spans="1:6" x14ac:dyDescent="0.4">
      <c r="B8" s="2426" t="s">
        <v>82</v>
      </c>
      <c r="C8" s="2426"/>
      <c r="D8" s="1047" t="s">
        <v>6991</v>
      </c>
    </row>
    <row r="10" spans="1:6" ht="23.25" customHeight="1" x14ac:dyDescent="0.4">
      <c r="B10" s="3413" t="s">
        <v>85</v>
      </c>
      <c r="C10" s="3413"/>
      <c r="D10" s="3413"/>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13" t="s">
        <v>121</v>
      </c>
      <c r="C31" s="3413"/>
      <c r="D31" s="3413"/>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6B21EE5-4F2E-4315-9659-05E2F616F14D}"/>
    <dataValidation type="list" allowBlank="1" showInputMessage="1" showErrorMessage="1" sqref="D4" xr:uid="{084CDA18-9294-4914-A957-5830BED1EE5D}">
      <formula1>ODS</formula1>
    </dataValidation>
    <dataValidation type="list" allowBlank="1" showInputMessage="1" showErrorMessage="1" sqref="D5" xr:uid="{2A9382BD-B8EF-433F-9473-64E404A54D8A}">
      <formula1>Metas_ODS</formula1>
    </dataValidation>
    <dataValidation type="list" allowBlank="1" showInputMessage="1" showErrorMessage="1" sqref="D6" xr:uid="{CCA081A2-7C20-47B9-A680-1D50292FB15F}">
      <formula1>Numero_indicador</formula1>
    </dataValidation>
    <dataValidation type="list" allowBlank="1" showInputMessage="1" showErrorMessage="1" sqref="D7" xr:uid="{38C58350-3781-4003-ABBD-F6673F0A1AFE}">
      <formula1>Nombre_indicador_ODS</formula1>
    </dataValidation>
    <dataValidation type="list" allowBlank="1" showInputMessage="1" showErrorMessage="1" sqref="D14" xr:uid="{B4B82AF8-2F48-4330-8C5C-51A90E11111A}">
      <formula1>Tipo_indicador</formula1>
    </dataValidation>
    <dataValidation type="list" allowBlank="1" showInputMessage="1" showErrorMessage="1" sqref="D25" xr:uid="{E2758EA3-9B30-4E2A-9E0B-62B7B76D0B88}">
      <formula1>Tipo_operación</formula1>
    </dataValidation>
  </dataValidations>
  <hyperlinks>
    <hyperlink ref="B1" location="'14.a.1'!A1" display="REGRESAR" xr:uid="{2156F217-9C41-41FF-A177-6BD11D5915ED}"/>
    <hyperlink ref="D8" r:id="rId1" xr:uid="{90F6E0B1-7780-4252-ABF3-1EFFAA69BA7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FE15-DFB3-4552-84D4-A16DD0BBA7FF}">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28515625" style="115" customWidth="1"/>
    <col min="3" max="3" width="11.5703125" style="1048" customWidth="1"/>
    <col min="4" max="6" width="11.5703125" style="115" customWidth="1"/>
    <col min="7" max="16384" width="11.42578125" style="115"/>
  </cols>
  <sheetData>
    <row r="1" spans="1:16" x14ac:dyDescent="0.4">
      <c r="A1" s="90" t="s">
        <v>39</v>
      </c>
      <c r="B1" s="1311"/>
      <c r="C1" s="2541" t="s">
        <v>149</v>
      </c>
      <c r="D1" s="2541"/>
    </row>
    <row r="3" spans="1:16" ht="19.5" x14ac:dyDescent="0.4">
      <c r="A3" s="3406" t="s">
        <v>41</v>
      </c>
      <c r="B3" s="3410"/>
      <c r="C3" s="3408" t="s">
        <v>6749</v>
      </c>
      <c r="D3" s="3408"/>
      <c r="E3" s="3408"/>
      <c r="F3" s="3408"/>
      <c r="G3" s="3408"/>
      <c r="H3" s="3408"/>
      <c r="I3" s="3408"/>
      <c r="J3" s="3408"/>
      <c r="K3" s="3408"/>
      <c r="L3" s="3408"/>
      <c r="M3" s="3408"/>
      <c r="N3" s="3408"/>
      <c r="O3" s="3408"/>
      <c r="P3" s="3408"/>
    </row>
    <row r="4" spans="1:16" ht="19.149999999999999" customHeight="1" x14ac:dyDescent="0.4">
      <c r="A4" s="3406" t="s">
        <v>42</v>
      </c>
      <c r="B4" s="3407"/>
      <c r="C4" s="3411" t="s">
        <v>6774</v>
      </c>
      <c r="D4" s="3412"/>
      <c r="E4" s="3412"/>
      <c r="F4" s="3412"/>
      <c r="G4" s="3412"/>
      <c r="H4" s="3412"/>
      <c r="I4" s="3412"/>
      <c r="J4" s="3412"/>
      <c r="K4" s="3412"/>
      <c r="L4" s="3412"/>
      <c r="M4" s="3412"/>
      <c r="N4" s="3412"/>
      <c r="O4" s="3412"/>
      <c r="P4" s="3412"/>
    </row>
    <row r="5" spans="1:16" ht="19.149999999999999" customHeight="1" x14ac:dyDescent="0.4">
      <c r="A5" s="3406" t="s">
        <v>43</v>
      </c>
      <c r="B5" s="3407"/>
      <c r="C5" s="3408" t="s">
        <v>6776</v>
      </c>
      <c r="D5" s="3409"/>
      <c r="E5" s="3409"/>
      <c r="F5" s="3409"/>
      <c r="G5" s="3409"/>
      <c r="H5" s="3409"/>
      <c r="I5" s="3409"/>
      <c r="J5" s="3409"/>
      <c r="K5" s="3409"/>
      <c r="L5" s="3409"/>
      <c r="M5" s="3409"/>
      <c r="N5" s="3409"/>
      <c r="O5" s="3409"/>
      <c r="P5" s="3409"/>
    </row>
    <row r="6" spans="1:16" ht="19.5" x14ac:dyDescent="0.4">
      <c r="A6" s="3406" t="s">
        <v>132</v>
      </c>
      <c r="B6" s="3407"/>
      <c r="C6" s="3408" t="s">
        <v>242</v>
      </c>
      <c r="D6" s="3409"/>
      <c r="E6" s="3409"/>
      <c r="F6" s="3409"/>
      <c r="G6" s="3409"/>
      <c r="H6" s="3409"/>
      <c r="I6" s="3409"/>
      <c r="J6" s="3409"/>
      <c r="K6" s="3409"/>
      <c r="L6" s="3409"/>
      <c r="M6" s="3409"/>
      <c r="N6" s="3409"/>
      <c r="O6" s="3409"/>
      <c r="P6" s="3409"/>
    </row>
    <row r="9" spans="1:16" ht="11.25" customHeight="1" x14ac:dyDescent="0.4">
      <c r="C9" s="2506" t="s">
        <v>6990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B25047D9-6B14-490B-9F3D-861FD6BFF461}"/>
    <hyperlink ref="C1:D1" location="'Metadato 14.b.1'!A1" display="VER METADATO" xr:uid="{F14BBC8D-4F9D-4CFA-BE03-FD815BC958F1}"/>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2657-A3E2-4F50-A393-9E3331FD46DE}">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244</v>
      </c>
    </row>
    <row r="4" spans="1:6" ht="37.5" x14ac:dyDescent="0.4">
      <c r="A4" s="283"/>
      <c r="B4" s="2425" t="s">
        <v>234</v>
      </c>
      <c r="C4" s="2425"/>
      <c r="D4" s="49" t="s">
        <v>6780</v>
      </c>
    </row>
    <row r="5" spans="1:6" x14ac:dyDescent="0.4">
      <c r="B5" s="2425" t="s">
        <v>79</v>
      </c>
      <c r="C5" s="2425"/>
      <c r="D5" s="49" t="s">
        <v>6774</v>
      </c>
    </row>
    <row r="6" spans="1:6" x14ac:dyDescent="0.4">
      <c r="B6" s="2425" t="s">
        <v>80</v>
      </c>
      <c r="C6" s="2425"/>
      <c r="D6" s="50" t="s">
        <v>6775</v>
      </c>
    </row>
    <row r="7" spans="1:6" ht="37.5" x14ac:dyDescent="0.4">
      <c r="B7" s="2426" t="s">
        <v>81</v>
      </c>
      <c r="C7" s="2426"/>
      <c r="D7" s="93" t="s">
        <v>6776</v>
      </c>
    </row>
    <row r="8" spans="1:6" x14ac:dyDescent="0.4">
      <c r="B8" s="2426" t="s">
        <v>82</v>
      </c>
      <c r="C8" s="2426"/>
      <c r="D8" s="1047" t="s">
        <v>6992</v>
      </c>
    </row>
    <row r="10" spans="1:6" ht="23.25" customHeight="1" x14ac:dyDescent="0.4">
      <c r="B10" s="3413" t="s">
        <v>85</v>
      </c>
      <c r="C10" s="3413"/>
      <c r="D10" s="3413"/>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13" t="s">
        <v>121</v>
      </c>
      <c r="C31" s="3413"/>
      <c r="D31" s="3413"/>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12BF881-0DC8-4201-9C15-1985CA7701ED}"/>
    <dataValidation type="list" allowBlank="1" showInputMessage="1" showErrorMessage="1" sqref="D4" xr:uid="{AE47D715-F97D-41E4-AB11-7752698ED25F}">
      <formula1>ODS</formula1>
    </dataValidation>
    <dataValidation type="list" allowBlank="1" showInputMessage="1" showErrorMessage="1" sqref="D5" xr:uid="{1846ABCE-FFDC-4492-94DB-E8C6D56657B3}">
      <formula1>Metas_ODS</formula1>
    </dataValidation>
    <dataValidation type="list" allowBlank="1" showInputMessage="1" showErrorMessage="1" sqref="D6" xr:uid="{6A2D21D4-59D5-40A4-B644-465277E6D729}">
      <formula1>Numero_indicador</formula1>
    </dataValidation>
    <dataValidation type="list" allowBlank="1" showInputMessage="1" showErrorMessage="1" sqref="D7" xr:uid="{0EDEA0C2-8756-4F16-8A02-FB215740330B}">
      <formula1>Nombre_indicador_ODS</formula1>
    </dataValidation>
    <dataValidation type="list" allowBlank="1" showInputMessage="1" showErrorMessage="1" sqref="D14" xr:uid="{D7CBFA42-447F-46F7-9F5D-D7DDA71346F7}">
      <formula1>Tipo_indicador</formula1>
    </dataValidation>
    <dataValidation type="list" allowBlank="1" showInputMessage="1" showErrorMessage="1" sqref="D25" xr:uid="{18E17349-E788-463C-B281-9BFAB76CCD9C}">
      <formula1>Tipo_operación</formula1>
    </dataValidation>
  </dataValidations>
  <hyperlinks>
    <hyperlink ref="B1" location="'14.b.1'!A1" display="REGRESAR" xr:uid="{5D9BB680-A26D-4F69-8A69-AC68CB6979F4}"/>
    <hyperlink ref="D8" r:id="rId1" xr:uid="{0800FD4E-611B-4341-B159-59E1986A9E2E}"/>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1B4D-E337-42FB-8CDF-68E741DBEEA2}">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5703125" style="115" customWidth="1"/>
    <col min="3" max="3" width="12.28515625" style="1048" customWidth="1"/>
    <col min="4" max="5" width="12.28515625" style="115" customWidth="1"/>
    <col min="6" max="16384" width="11.42578125" style="115"/>
  </cols>
  <sheetData>
    <row r="1" spans="1:17" x14ac:dyDescent="0.4">
      <c r="A1" s="90" t="s">
        <v>39</v>
      </c>
      <c r="B1" s="1311"/>
      <c r="C1" s="2541" t="s">
        <v>149</v>
      </c>
      <c r="D1" s="2541"/>
    </row>
    <row r="3" spans="1:17" ht="18.600000000000001" customHeight="1" x14ac:dyDescent="0.4">
      <c r="A3" s="3406" t="s">
        <v>41</v>
      </c>
      <c r="B3" s="3410"/>
      <c r="C3" s="3408" t="s">
        <v>6749</v>
      </c>
      <c r="D3" s="3408"/>
      <c r="E3" s="3408"/>
      <c r="F3" s="3408"/>
      <c r="G3" s="3408"/>
      <c r="H3" s="3408"/>
      <c r="I3" s="3408"/>
      <c r="J3" s="3408"/>
      <c r="K3" s="3408"/>
      <c r="L3" s="3408"/>
      <c r="M3" s="3408"/>
      <c r="N3" s="3408"/>
      <c r="O3" s="3408"/>
      <c r="P3" s="3408"/>
    </row>
    <row r="4" spans="1:17" ht="37.15" customHeight="1" x14ac:dyDescent="0.4">
      <c r="A4" s="3406" t="s">
        <v>42</v>
      </c>
      <c r="B4" s="3407"/>
      <c r="C4" s="3411" t="s">
        <v>6777</v>
      </c>
      <c r="D4" s="3412"/>
      <c r="E4" s="3412"/>
      <c r="F4" s="3412"/>
      <c r="G4" s="3412"/>
      <c r="H4" s="3412"/>
      <c r="I4" s="3412"/>
      <c r="J4" s="3412"/>
      <c r="K4" s="3412"/>
      <c r="L4" s="3412"/>
      <c r="M4" s="3412"/>
      <c r="N4" s="3412"/>
      <c r="O4" s="3412"/>
      <c r="P4" s="3412"/>
    </row>
    <row r="5" spans="1:17" ht="36.6" customHeight="1" x14ac:dyDescent="0.4">
      <c r="A5" s="3406" t="s">
        <v>43</v>
      </c>
      <c r="B5" s="3407"/>
      <c r="C5" s="3411" t="s">
        <v>6993</v>
      </c>
      <c r="D5" s="3412"/>
      <c r="E5" s="3412"/>
      <c r="F5" s="3412"/>
      <c r="G5" s="3412"/>
      <c r="H5" s="3412"/>
      <c r="I5" s="3412"/>
      <c r="J5" s="3412"/>
      <c r="K5" s="3412"/>
      <c r="L5" s="3412"/>
      <c r="M5" s="3412"/>
      <c r="N5" s="3412"/>
      <c r="O5" s="3412"/>
      <c r="P5" s="3412"/>
    </row>
    <row r="6" spans="1:17" ht="17.45" customHeight="1" x14ac:dyDescent="0.4">
      <c r="A6" s="3406" t="s">
        <v>132</v>
      </c>
      <c r="B6" s="3407"/>
      <c r="C6" s="3408" t="s">
        <v>242</v>
      </c>
      <c r="D6" s="3409"/>
      <c r="E6" s="3409"/>
      <c r="F6" s="3409"/>
      <c r="G6" s="3409"/>
      <c r="H6" s="3409"/>
      <c r="I6" s="3409"/>
      <c r="J6" s="3409"/>
      <c r="K6" s="3409"/>
      <c r="L6" s="3409"/>
      <c r="M6" s="3409"/>
      <c r="N6" s="3409"/>
      <c r="O6" s="3409"/>
      <c r="P6" s="3409"/>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21"/>
      <c r="D17" s="220"/>
      <c r="E17" s="220"/>
      <c r="F17" s="220"/>
      <c r="G17" s="220"/>
      <c r="H17" s="220"/>
      <c r="I17" s="220"/>
      <c r="J17" s="220"/>
      <c r="K17" s="220"/>
      <c r="L17" s="220"/>
      <c r="M17" s="220"/>
      <c r="N17" s="220"/>
      <c r="O17" s="220"/>
      <c r="P17" s="220"/>
      <c r="Q17" s="220"/>
    </row>
    <row r="18" spans="3:17" x14ac:dyDescent="0.4">
      <c r="C18" s="2494" t="s">
        <v>316</v>
      </c>
      <c r="D18" s="2494"/>
      <c r="E18" s="2494"/>
      <c r="F18" s="2494"/>
      <c r="G18" s="2494"/>
      <c r="H18" s="2494"/>
      <c r="I18" s="2494"/>
      <c r="J18" s="2494"/>
      <c r="K18" s="2494"/>
      <c r="L18" s="2494"/>
      <c r="M18" s="2494"/>
      <c r="N18" s="2494"/>
      <c r="O18" s="2494"/>
      <c r="P18" s="2494"/>
      <c r="Q18" s="2494"/>
    </row>
    <row r="19" spans="3:17" x14ac:dyDescent="0.4">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4.'!A1" display="REGRESAR" xr:uid="{56617862-CA87-4BAD-838C-20C788E71274}"/>
    <hyperlink ref="C1:D1" location="'Metadato 14.c.1'!A1" display="VER METADATO" xr:uid="{908A0D4C-39F6-4F88-B622-449860E1DA2B}"/>
  </hyperlinks>
  <pageMargins left="0.7" right="0.7" top="0.75" bottom="0.75" header="0.3" footer="0.3"/>
  <drawing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7953-B9BA-468D-B731-DCAA9423698D}">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13" t="s">
        <v>75</v>
      </c>
      <c r="C3" s="3413"/>
      <c r="D3" s="3413"/>
      <c r="F3" s="1046" t="s">
        <v>317</v>
      </c>
    </row>
    <row r="4" spans="1:6" ht="37.5" x14ac:dyDescent="0.4">
      <c r="A4" s="283"/>
      <c r="B4" s="2425" t="s">
        <v>234</v>
      </c>
      <c r="C4" s="2425"/>
      <c r="D4" s="49" t="s">
        <v>6780</v>
      </c>
    </row>
    <row r="5" spans="1:6" ht="75" x14ac:dyDescent="0.4">
      <c r="B5" s="2425" t="s">
        <v>79</v>
      </c>
      <c r="C5" s="2425"/>
      <c r="D5" s="49" t="s">
        <v>6777</v>
      </c>
    </row>
    <row r="6" spans="1:6" x14ac:dyDescent="0.4">
      <c r="B6" s="2425" t="s">
        <v>80</v>
      </c>
      <c r="C6" s="2425"/>
      <c r="D6" s="50" t="s">
        <v>6778</v>
      </c>
    </row>
    <row r="7" spans="1:6" ht="69.599999999999994" customHeight="1" x14ac:dyDescent="0.4">
      <c r="B7" s="2426" t="s">
        <v>81</v>
      </c>
      <c r="C7" s="2426"/>
      <c r="D7" s="93" t="s">
        <v>6993</v>
      </c>
    </row>
    <row r="8" spans="1:6" x14ac:dyDescent="0.4">
      <c r="B8" s="2426" t="s">
        <v>82</v>
      </c>
      <c r="C8" s="2426"/>
      <c r="D8" s="1047" t="s">
        <v>353</v>
      </c>
    </row>
    <row r="10" spans="1:6" ht="23.25" customHeight="1" x14ac:dyDescent="0.4">
      <c r="B10" s="3413" t="s">
        <v>85</v>
      </c>
      <c r="C10" s="3413"/>
      <c r="D10" s="3413"/>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13" t="s">
        <v>121</v>
      </c>
      <c r="C31" s="3413"/>
      <c r="D31" s="3413"/>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5DD9F52-3A82-447D-90EE-5390F96DF330}"/>
    <dataValidation type="list" allowBlank="1" showInputMessage="1" showErrorMessage="1" sqref="D4" xr:uid="{C653343A-B3EB-4EA4-8DA5-97CD5A47DA01}">
      <formula1>ODS</formula1>
    </dataValidation>
    <dataValidation type="list" allowBlank="1" showInputMessage="1" showErrorMessage="1" sqref="D5" xr:uid="{4B2A7AAB-9057-4742-B2CF-06BE286D9672}">
      <formula1>Metas_ODS</formula1>
    </dataValidation>
    <dataValidation type="list" allowBlank="1" showInputMessage="1" showErrorMessage="1" sqref="D6" xr:uid="{175E67AD-93C9-49C4-9A13-52E9E5570C58}">
      <formula1>Numero_indicador</formula1>
    </dataValidation>
    <dataValidation type="list" allowBlank="1" showInputMessage="1" showErrorMessage="1" sqref="D7" xr:uid="{712CCA6D-91CB-44AA-994C-5E5B729E7EBD}">
      <formula1>Nombre_indicador_ODS</formula1>
    </dataValidation>
    <dataValidation type="list" allowBlank="1" showInputMessage="1" showErrorMessage="1" sqref="D14" xr:uid="{9F1ED28F-14D3-4336-8C2D-07178D0CBE80}">
      <formula1>Tipo_indicador</formula1>
    </dataValidation>
    <dataValidation type="list" allowBlank="1" showInputMessage="1" showErrorMessage="1" sqref="D25" xr:uid="{29D533C2-58A6-42D7-B9EB-B2691D4A2B78}">
      <formula1>Tipo_operación</formula1>
    </dataValidation>
  </dataValidations>
  <hyperlinks>
    <hyperlink ref="B1" location="'14.c.1'!A1" display="REGRESAR" xr:uid="{CF88088E-4D3B-4B8B-AF51-18EFE2B54298}"/>
    <hyperlink ref="D8" r:id="rId1" xr:uid="{CAEDB7B8-3BF9-4DDB-B634-14A09B4CE4EF}"/>
  </hyperlinks>
  <pageMargins left="0.7" right="0.7" top="0.75" bottom="0.75" header="0.3" footer="0.3"/>
  <pageSetup orientation="portrait" r:id="rId2"/>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9380-C8A3-42BB-9504-9FAF79EF2908}">
  <sheetPr>
    <tabColor rgb="FF56C02B"/>
  </sheetPr>
  <dimension ref="A1:E18"/>
  <sheetViews>
    <sheetView showGridLines="0" workbookViewId="0">
      <pane ySplit="4" topLeftCell="A12" activePane="bottomLeft" state="frozen"/>
      <selection sqref="A1:B1"/>
      <selection pane="bottomLeft" sqref="A1:B1"/>
    </sheetView>
  </sheetViews>
  <sheetFormatPr baseColWidth="10" defaultColWidth="11.5703125" defaultRowHeight="18.75" x14ac:dyDescent="0.4"/>
  <cols>
    <col min="1" max="2" width="11.5703125" style="5"/>
    <col min="3" max="3" width="73.28515625" style="5" customWidth="1"/>
    <col min="4" max="4" width="15.7109375" style="5" customWidth="1"/>
    <col min="5" max="5" width="74.7109375" style="5" customWidth="1"/>
    <col min="6" max="16384" width="11.5703125" style="5"/>
  </cols>
  <sheetData>
    <row r="1" spans="1:5" ht="19.5" x14ac:dyDescent="0.4">
      <c r="A1" s="2410" t="s">
        <v>1</v>
      </c>
      <c r="B1" s="2410"/>
    </row>
    <row r="3" spans="1:5" ht="90" customHeight="1" x14ac:dyDescent="0.4">
      <c r="A3" s="3261"/>
      <c r="B3" s="3261"/>
      <c r="C3" s="3442" t="s">
        <v>6994</v>
      </c>
      <c r="D3" s="3442"/>
      <c r="E3" s="3442"/>
    </row>
    <row r="4" spans="1:5" s="36" customFormat="1" ht="38.450000000000003" customHeight="1" x14ac:dyDescent="0.25">
      <c r="A4" s="3261"/>
      <c r="B4" s="3261"/>
      <c r="C4" s="8" t="s">
        <v>3</v>
      </c>
      <c r="D4" s="8" t="s">
        <v>4</v>
      </c>
      <c r="E4" s="8" t="s">
        <v>5</v>
      </c>
    </row>
    <row r="5" spans="1:5" s="36" customFormat="1" ht="49.15" customHeight="1" x14ac:dyDescent="0.25">
      <c r="C5" s="2408" t="s">
        <v>6995</v>
      </c>
      <c r="D5" s="11" t="s">
        <v>6996</v>
      </c>
      <c r="E5" s="12" t="s">
        <v>6997</v>
      </c>
    </row>
    <row r="6" spans="1:5" s="36" customFormat="1" ht="48" customHeight="1" x14ac:dyDescent="0.25">
      <c r="C6" s="2409"/>
      <c r="D6" s="13" t="s">
        <v>6998</v>
      </c>
      <c r="E6" s="14" t="s">
        <v>6999</v>
      </c>
    </row>
    <row r="7" spans="1:5" s="36" customFormat="1" ht="78" x14ac:dyDescent="0.25">
      <c r="C7" s="10" t="s">
        <v>7000</v>
      </c>
      <c r="D7" s="11" t="s">
        <v>7001</v>
      </c>
      <c r="E7" s="12" t="s">
        <v>7002</v>
      </c>
    </row>
    <row r="8" spans="1:5" s="36" customFormat="1" ht="78" x14ac:dyDescent="0.25">
      <c r="C8" s="10" t="s">
        <v>7003</v>
      </c>
      <c r="D8" s="13" t="s">
        <v>7004</v>
      </c>
      <c r="E8" s="14" t="s">
        <v>7005</v>
      </c>
    </row>
    <row r="9" spans="1:5" s="36" customFormat="1" ht="40.15" customHeight="1" x14ac:dyDescent="0.25">
      <c r="C9" s="2408" t="s">
        <v>7006</v>
      </c>
      <c r="D9" s="13" t="s">
        <v>7007</v>
      </c>
      <c r="E9" s="14" t="s">
        <v>7008</v>
      </c>
    </row>
    <row r="10" spans="1:5" s="36" customFormat="1" ht="32.25" customHeight="1" x14ac:dyDescent="0.25">
      <c r="C10" s="2409"/>
      <c r="D10" s="11" t="s">
        <v>7009</v>
      </c>
      <c r="E10" s="12" t="s">
        <v>7010</v>
      </c>
    </row>
    <row r="11" spans="1:5" s="36" customFormat="1" ht="60" customHeight="1" x14ac:dyDescent="0.25">
      <c r="C11" s="10" t="s">
        <v>7011</v>
      </c>
      <c r="D11" s="11" t="s">
        <v>7012</v>
      </c>
      <c r="E11" s="12" t="s">
        <v>7013</v>
      </c>
    </row>
    <row r="12" spans="1:5" s="36" customFormat="1" ht="78" x14ac:dyDescent="0.25">
      <c r="C12" s="10" t="s">
        <v>7014</v>
      </c>
      <c r="D12" s="13" t="s">
        <v>7015</v>
      </c>
      <c r="E12" s="14" t="s">
        <v>7016</v>
      </c>
    </row>
    <row r="13" spans="1:5" s="36" customFormat="1" ht="58.5" x14ac:dyDescent="0.25">
      <c r="C13" s="10" t="s">
        <v>7017</v>
      </c>
      <c r="D13" s="13" t="s">
        <v>7018</v>
      </c>
      <c r="E13" s="14" t="s">
        <v>7019</v>
      </c>
    </row>
    <row r="14" spans="1:5" s="36" customFormat="1" ht="78" x14ac:dyDescent="0.25">
      <c r="C14" s="10" t="s">
        <v>7020</v>
      </c>
      <c r="D14" s="11" t="s">
        <v>7021</v>
      </c>
      <c r="E14" s="12" t="s">
        <v>7022</v>
      </c>
    </row>
    <row r="15" spans="1:5" s="36" customFormat="1" ht="78" x14ac:dyDescent="0.25">
      <c r="C15" s="10" t="s">
        <v>7023</v>
      </c>
      <c r="D15" s="13" t="s">
        <v>7024</v>
      </c>
      <c r="E15" s="14" t="s">
        <v>7025</v>
      </c>
    </row>
    <row r="16" spans="1:5" s="36" customFormat="1" ht="78" x14ac:dyDescent="0.25">
      <c r="C16" s="10" t="s">
        <v>7026</v>
      </c>
      <c r="D16" s="13" t="s">
        <v>7027</v>
      </c>
      <c r="E16" s="14" t="s">
        <v>7028</v>
      </c>
    </row>
    <row r="17" spans="3:5" s="36" customFormat="1" ht="78" x14ac:dyDescent="0.25">
      <c r="C17" s="10" t="s">
        <v>7029</v>
      </c>
      <c r="D17" s="13" t="s">
        <v>7030</v>
      </c>
      <c r="E17" s="14" t="s">
        <v>7031</v>
      </c>
    </row>
    <row r="18" spans="3:5" s="36" customFormat="1" ht="78" x14ac:dyDescent="0.25">
      <c r="C18" s="10" t="s">
        <v>7032</v>
      </c>
      <c r="D18" s="13" t="s">
        <v>7033</v>
      </c>
      <c r="E18" s="14" t="s">
        <v>7034</v>
      </c>
    </row>
  </sheetData>
  <mergeCells count="6">
    <mergeCell ref="C9:C10"/>
    <mergeCell ref="A1:B1"/>
    <mergeCell ref="A3:B3"/>
    <mergeCell ref="C3:E3"/>
    <mergeCell ref="A4:B4"/>
    <mergeCell ref="C5:C6"/>
  </mergeCells>
  <hyperlinks>
    <hyperlink ref="A1" location="Objetivos!A1" display="REGRESAR A INICIO" xr:uid="{BADAB217-DD92-436A-9DA5-04A40E104402}"/>
    <hyperlink ref="A1:B1" location="'Lista de Objetivos'!A1" display="REGRESAR A INICIO" xr:uid="{934E9417-A34C-4F58-85AA-A98D93A2C6AD}"/>
    <hyperlink ref="D5" location="'15.1.1'!A1" display="15.1.1" xr:uid="{E29855F7-8F66-431E-B7C7-6B0BB4C30E97}"/>
    <hyperlink ref="E5" location="'15.1.1'!A1" display="15.1.1 Superficie forestal en proporción a la superficie total" xr:uid="{D6D4BEC6-912E-464E-9E43-7C79D728614C}"/>
    <hyperlink ref="D6" location="'15.1.2'!A1" display="15.1.2" xr:uid="{DCDEE77C-FCC8-4708-AAA8-0B28132CCAFA}"/>
    <hyperlink ref="E6" location="'15.1.2'!A1" display="15.1.2 Proporción de lugares importantes para la biodiversidad terrestre y del agua dulce incluidos en zonas protegidas, desglosada por tipo de ecosistema" xr:uid="{CCE0EF69-7F9F-48D3-8AD8-5074D9BAE7CC}"/>
    <hyperlink ref="D7" location="'15.2.1'!A1" display="15.2.1" xr:uid="{764346DF-49E3-48CA-9550-4EC0C0D033E2}"/>
    <hyperlink ref="E7" location="'15.2.1'!A1" display="15.2.1 Avances hacia la gestión forestal sostenible" xr:uid="{F463A344-3512-4D91-B540-CE98D6F4FC48}"/>
    <hyperlink ref="D8" location="'15.3.1'!A1" display="15.3.1" xr:uid="{CB855471-ED34-4BA8-8DF0-6D2DA932C0D5}"/>
    <hyperlink ref="E8" location="'15.3.1'!A1" display="15.3.1 Proporción de tierras degradadas en comparación con la superficie total" xr:uid="{1019C6AA-8BBB-4DCC-BAA7-07BD01244BDA}"/>
    <hyperlink ref="D9" location="'15.4.1'!A1" display="15.4.1" xr:uid="{C5DB7BB0-467B-46EA-8E4E-395BBEBFBC8F}"/>
    <hyperlink ref="E9" location="'15.4.1'!A1" display="15.4.1 Lugares importantes para la biodiversidad de las montañas incluidos en zonas protegidas" xr:uid="{1F8C5135-9EA2-43E8-BC05-0F143E114494}"/>
    <hyperlink ref="D10" location="'15.4.2'!A1" display="15.4.2" xr:uid="{729F2400-98D8-44B3-B8FD-E6DAE22340BA}"/>
    <hyperlink ref="E10" location="'15.4.2'!A1" display="15.4.2 Índice de cobertura verde de las montañas" xr:uid="{43742762-22EA-4EAA-AEE9-FC6F5BC0A229}"/>
    <hyperlink ref="D11" location="'15.5.1'!A1" display="15.5.1" xr:uid="{8DBE1E49-1303-4A6C-A345-A073C9162A4A}"/>
    <hyperlink ref="E11" location="'15.5.1'!A1" display="15.5.1 Índice de la Lista Roja" xr:uid="{E683ABEA-877B-4BC9-BA40-7A2F0FA24094}"/>
    <hyperlink ref="D12" location="'15.6.1'!A1" display="15.6.1" xr:uid="{F38A3F82-E5FD-48DA-BBC1-0EFF0BD9324C}"/>
    <hyperlink ref="E12" location="'15.6.1'!A1" display="15.6.1 Número de países que han adoptado marcos legislativos, administrativos y normativos para asegurar una distribución justa y equitativa de los beneficios" xr:uid="{280CFC86-22CF-47D5-87C9-A80240024796}"/>
    <hyperlink ref="D13" location="'15.7.1'!A1" display="15.7.1" xr:uid="{E2A0CD05-105D-42B0-8C61-BFB2B3CE6D66}"/>
    <hyperlink ref="E13" location="'15.7.1'!A1" display="15.7.1 Proporción de especímenes de flora y fauna silvestre comercializados procedentes de la caza furtiva o el tráfico ilícito" xr:uid="{8312DA87-639C-43A9-B572-B1154D4B8E1A}"/>
    <hyperlink ref="D14" location="'15.8.1'!A1" display="15.8.1" xr:uid="{F9FFDBDF-1D68-41F9-BF2B-7BC89B586E62}"/>
    <hyperlink ref="E14" location="'15.8.1'!A1" display="15.8.1 Proporción de países que han aprobado la legislación nacional pertinente y han destinado recursos suficientes para la prevención o el control de las especies exóticas invasoras" xr:uid="{5E309A6E-A45B-4A1D-BF72-524B1700CC52}"/>
    <hyperlink ref="D15" location="'15.9.1'!A1" display="15.9.1" xr:uid="{B0A6EC43-1CFB-46E5-9C77-C6FA2A01F115}"/>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F1587C57-F03B-4151-ABB2-18511017602F}"/>
    <hyperlink ref="D16" location="'15.a.1'!A1" display="15.a.1" xr:uid="{8175333D-8901-47B4-86BD-0700A8888664}"/>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51E679C8-994B-47BA-A224-EDE4E2492A81}"/>
    <hyperlink ref="D17" location="'15.b.1'!A1" display="15.b.1" xr:uid="{BF46027D-F7F9-40FC-BE52-3585E7CD19CC}"/>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DF3C4A93-FEE4-4E65-B558-B926D0F50D15}"/>
    <hyperlink ref="D18" location="'15.c.1'!A1" display="15.c.1" xr:uid="{9B6BB978-35C4-4F31-ACB1-1757627CF538}"/>
    <hyperlink ref="E18" location="'15.c.1'!A1" display="15.c.1 Proporción de especímenes de flora y fauna silvestre comercializados procedentes de la caza furtiva o el tráfico ilícito" xr:uid="{B4342BAA-06E7-4FBB-956D-8E323CAECCD9}"/>
  </hyperlinks>
  <pageMargins left="0.7" right="0.7" top="0.75" bottom="0.75" header="0.3" footer="0.3"/>
  <pageSetup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E0973-1B8E-4BED-8410-EE9CD878A799}">
  <dimension ref="A1:R55"/>
  <sheetViews>
    <sheetView showGridLines="0" workbookViewId="0">
      <pane ySplit="1" topLeftCell="A40" activePane="bottomLeft" state="frozen"/>
      <selection activeCell="B1" sqref="B1"/>
      <selection pane="bottomLeft"/>
    </sheetView>
  </sheetViews>
  <sheetFormatPr baseColWidth="10" defaultColWidth="11.42578125" defaultRowHeight="19.5" x14ac:dyDescent="0.4"/>
  <cols>
    <col min="1" max="2" width="15.42578125" style="1032" customWidth="1"/>
    <col min="3" max="3" width="15" style="1032" customWidth="1"/>
    <col min="4" max="4" width="11.7109375" style="1032" bestFit="1" customWidth="1"/>
    <col min="5" max="5" width="11.5703125" style="1032" bestFit="1" customWidth="1"/>
    <col min="6" max="16384" width="11.42578125" style="1032"/>
  </cols>
  <sheetData>
    <row r="1" spans="1:18" x14ac:dyDescent="0.4">
      <c r="A1" s="15" t="s">
        <v>39</v>
      </c>
      <c r="C1" s="2421" t="s">
        <v>149</v>
      </c>
      <c r="D1" s="2421"/>
    </row>
    <row r="3" spans="1:18" ht="37.15" customHeight="1" x14ac:dyDescent="0.4">
      <c r="A3" s="3443" t="s">
        <v>41</v>
      </c>
      <c r="B3" s="3449"/>
      <c r="C3" s="3445" t="s">
        <v>6994</v>
      </c>
      <c r="D3" s="3450"/>
      <c r="E3" s="3450"/>
      <c r="F3" s="3450"/>
      <c r="G3" s="3450"/>
      <c r="H3" s="3450"/>
      <c r="I3" s="3450"/>
      <c r="J3" s="3450"/>
      <c r="K3" s="3450"/>
      <c r="L3" s="3450"/>
      <c r="M3" s="3450"/>
      <c r="N3" s="3450"/>
      <c r="O3" s="3450"/>
      <c r="P3" s="3450"/>
      <c r="Q3" s="3450"/>
      <c r="R3" s="3451"/>
    </row>
    <row r="4" spans="1:18" ht="37.15" customHeight="1" x14ac:dyDescent="0.4">
      <c r="A4" s="3443" t="s">
        <v>42</v>
      </c>
      <c r="B4" s="3444"/>
      <c r="C4" s="3445" t="s">
        <v>6995</v>
      </c>
      <c r="D4" s="3450"/>
      <c r="E4" s="3450"/>
      <c r="F4" s="3450"/>
      <c r="G4" s="3450"/>
      <c r="H4" s="3450"/>
      <c r="I4" s="3450"/>
      <c r="J4" s="3450"/>
      <c r="K4" s="3450"/>
      <c r="L4" s="3450"/>
      <c r="M4" s="3450"/>
      <c r="N4" s="3450"/>
      <c r="O4" s="3450"/>
      <c r="P4" s="3450"/>
      <c r="Q4" s="3450"/>
      <c r="R4" s="3451"/>
    </row>
    <row r="5" spans="1:18" ht="17.45" customHeight="1" x14ac:dyDescent="0.4">
      <c r="A5" s="3443" t="s">
        <v>43</v>
      </c>
      <c r="B5" s="3444"/>
      <c r="C5" s="3443" t="s">
        <v>6997</v>
      </c>
      <c r="D5" s="3446"/>
      <c r="E5" s="3446"/>
      <c r="F5" s="3446"/>
      <c r="G5" s="3446"/>
      <c r="H5" s="3446"/>
      <c r="I5" s="3446"/>
      <c r="J5" s="3446"/>
      <c r="K5" s="3446"/>
      <c r="L5" s="3446"/>
      <c r="M5" s="3446"/>
      <c r="N5" s="3446"/>
      <c r="O5" s="3446"/>
      <c r="P5" s="3446"/>
      <c r="Q5" s="3446"/>
      <c r="R5" s="3444"/>
    </row>
    <row r="6" spans="1:18" ht="37.9" customHeight="1" x14ac:dyDescent="0.4">
      <c r="A6" s="3443" t="s">
        <v>132</v>
      </c>
      <c r="B6" s="3444"/>
      <c r="C6" s="3445" t="s">
        <v>7035</v>
      </c>
      <c r="D6" s="3446"/>
      <c r="E6" s="3446"/>
      <c r="F6" s="3446"/>
      <c r="G6" s="3446"/>
      <c r="H6" s="3446"/>
      <c r="I6" s="3446"/>
      <c r="J6" s="3446"/>
      <c r="K6" s="3446"/>
      <c r="L6" s="3446"/>
      <c r="M6" s="3446"/>
      <c r="N6" s="3446"/>
      <c r="O6" s="3446"/>
      <c r="P6" s="3446"/>
      <c r="Q6" s="3446"/>
      <c r="R6" s="3444"/>
    </row>
    <row r="9" spans="1:18" ht="17.45" customHeight="1" x14ac:dyDescent="0.4">
      <c r="C9" s="138" t="s">
        <v>7036</v>
      </c>
      <c r="D9" s="138"/>
      <c r="E9" s="138"/>
      <c r="F9" s="16"/>
      <c r="J9" s="532" t="s">
        <v>7037</v>
      </c>
    </row>
    <row r="10" spans="1:18" x14ac:dyDescent="0.4">
      <c r="C10" s="2013" t="s">
        <v>7038</v>
      </c>
      <c r="D10" s="2013"/>
      <c r="E10" s="2013"/>
      <c r="F10" s="16"/>
    </row>
    <row r="11" spans="1:18" ht="39" x14ac:dyDescent="0.4">
      <c r="C11" s="2014" t="s">
        <v>7039</v>
      </c>
      <c r="D11" s="2015" t="s">
        <v>6270</v>
      </c>
      <c r="E11" s="2016" t="s">
        <v>98</v>
      </c>
      <c r="F11" s="16"/>
    </row>
    <row r="12" spans="1:18" x14ac:dyDescent="0.4">
      <c r="C12" s="2017">
        <v>2023</v>
      </c>
      <c r="D12" s="2018"/>
      <c r="E12" s="2019"/>
      <c r="F12" s="16"/>
    </row>
    <row r="13" spans="1:18" x14ac:dyDescent="0.4">
      <c r="C13" s="2020" t="s">
        <v>47</v>
      </c>
      <c r="D13" s="2021">
        <v>5115817.5</v>
      </c>
      <c r="E13" s="2022">
        <v>100</v>
      </c>
      <c r="F13" s="16"/>
    </row>
    <row r="14" spans="1:18" x14ac:dyDescent="0.4">
      <c r="C14" s="2020" t="s">
        <v>7040</v>
      </c>
      <c r="D14" s="2023">
        <v>2974336.3</v>
      </c>
      <c r="E14" s="2022">
        <v>58.14</v>
      </c>
      <c r="F14" s="16"/>
    </row>
    <row r="15" spans="1:18" x14ac:dyDescent="0.4">
      <c r="C15" s="2024" t="s">
        <v>7041</v>
      </c>
      <c r="D15" s="2025">
        <v>2141481.2000000002</v>
      </c>
      <c r="E15" s="2026">
        <v>41.86</v>
      </c>
      <c r="F15" s="16"/>
    </row>
    <row r="16" spans="1:18" ht="134.44999999999999" customHeight="1" x14ac:dyDescent="0.4">
      <c r="C16" s="3447" t="s">
        <v>7042</v>
      </c>
      <c r="D16" s="3447"/>
      <c r="E16" s="3447"/>
      <c r="F16" s="3447"/>
      <c r="J16" s="1313"/>
      <c r="K16" s="1313"/>
    </row>
    <row r="17" spans="1:10" x14ac:dyDescent="0.4">
      <c r="C17" s="2020" t="s">
        <v>7043</v>
      </c>
      <c r="D17" s="2020"/>
      <c r="E17" s="2020"/>
    </row>
    <row r="19" spans="1:10" x14ac:dyDescent="0.4">
      <c r="J19" s="2027"/>
    </row>
    <row r="20" spans="1:10" ht="17.45" customHeight="1" x14ac:dyDescent="0.4">
      <c r="C20" s="138" t="s">
        <v>7036</v>
      </c>
      <c r="D20" s="138"/>
      <c r="E20" s="138"/>
      <c r="F20" s="16"/>
    </row>
    <row r="21" spans="1:10" x14ac:dyDescent="0.4">
      <c r="C21" s="2013" t="s">
        <v>7038</v>
      </c>
      <c r="D21" s="2013"/>
      <c r="E21" s="2013"/>
      <c r="F21" s="16"/>
    </row>
    <row r="22" spans="1:10" ht="39" x14ac:dyDescent="0.4">
      <c r="C22" s="2014" t="s">
        <v>7039</v>
      </c>
      <c r="D22" s="2015" t="s">
        <v>6270</v>
      </c>
      <c r="E22" s="2016" t="s">
        <v>98</v>
      </c>
      <c r="F22" s="16"/>
    </row>
    <row r="23" spans="1:10" x14ac:dyDescent="0.4">
      <c r="C23" s="2017">
        <v>2021</v>
      </c>
      <c r="D23" s="2018"/>
      <c r="E23" s="2019"/>
      <c r="F23" s="16"/>
    </row>
    <row r="24" spans="1:10" x14ac:dyDescent="0.4">
      <c r="C24" s="2020" t="s">
        <v>47</v>
      </c>
      <c r="D24" s="2021">
        <v>5115817.5</v>
      </c>
      <c r="E24" s="2021">
        <f>SUM(E25:E26)</f>
        <v>100.0000019547218</v>
      </c>
      <c r="F24" s="16"/>
    </row>
    <row r="25" spans="1:10" x14ac:dyDescent="0.4">
      <c r="C25" s="2020" t="s">
        <v>7040</v>
      </c>
      <c r="D25" s="2023">
        <v>2922364.3</v>
      </c>
      <c r="E25" s="2028">
        <f>(D25/D24)*100</f>
        <v>57.124092092808233</v>
      </c>
      <c r="F25" s="16"/>
    </row>
    <row r="26" spans="1:10" x14ac:dyDescent="0.4">
      <c r="C26" s="2020" t="s">
        <v>7041</v>
      </c>
      <c r="D26" s="2029">
        <v>2193453.2999999998</v>
      </c>
      <c r="E26" s="2028">
        <f>(D26/D24)*100</f>
        <v>42.875909861913563</v>
      </c>
      <c r="F26" s="16"/>
    </row>
    <row r="27" spans="1:10" ht="18.600000000000001" customHeight="1" x14ac:dyDescent="0.4">
      <c r="C27" s="2030" t="s">
        <v>7044</v>
      </c>
      <c r="D27" s="2030"/>
      <c r="E27" s="2030"/>
      <c r="F27" s="16"/>
    </row>
    <row r="28" spans="1:10" x14ac:dyDescent="0.4">
      <c r="C28" s="2031"/>
      <c r="D28" s="2031"/>
      <c r="E28" s="2031"/>
      <c r="F28" s="2031"/>
    </row>
    <row r="29" spans="1:10" x14ac:dyDescent="0.4">
      <c r="C29" s="2032"/>
      <c r="D29" s="2032"/>
      <c r="E29" s="2032"/>
      <c r="F29" s="2032"/>
    </row>
    <row r="30" spans="1:10" x14ac:dyDescent="0.4">
      <c r="C30" s="138" t="s">
        <v>7045</v>
      </c>
      <c r="D30" s="138"/>
      <c r="E30" s="138"/>
    </row>
    <row r="31" spans="1:10" ht="17.45" customHeight="1" x14ac:dyDescent="0.4">
      <c r="A31" s="1084"/>
      <c r="C31" s="2013" t="s">
        <v>7038</v>
      </c>
      <c r="D31" s="2013"/>
      <c r="E31" s="2013"/>
    </row>
    <row r="32" spans="1:10" ht="13.15" customHeight="1" x14ac:dyDescent="0.4">
      <c r="A32" s="1084"/>
      <c r="C32" s="532"/>
      <c r="D32" s="532"/>
      <c r="E32" s="532"/>
    </row>
    <row r="33" spans="1:9" ht="39" x14ac:dyDescent="0.4">
      <c r="A33" s="1084"/>
      <c r="C33" s="2014" t="s">
        <v>7039</v>
      </c>
      <c r="D33" s="2015" t="s">
        <v>6270</v>
      </c>
      <c r="E33" s="2016" t="s">
        <v>98</v>
      </c>
    </row>
    <row r="34" spans="1:9" x14ac:dyDescent="0.4">
      <c r="A34" s="1084"/>
      <c r="C34" s="533">
        <v>2014</v>
      </c>
      <c r="D34" s="275"/>
      <c r="E34" s="2033"/>
    </row>
    <row r="35" spans="1:9" x14ac:dyDescent="0.4">
      <c r="A35" s="1780"/>
      <c r="C35" s="1432" t="s">
        <v>47</v>
      </c>
      <c r="D35" s="2034">
        <v>5110000</v>
      </c>
      <c r="E35" s="2035">
        <v>100</v>
      </c>
    </row>
    <row r="36" spans="1:9" x14ac:dyDescent="0.4">
      <c r="A36" s="1084"/>
      <c r="C36" s="1432" t="s">
        <v>7046</v>
      </c>
      <c r="D36" s="2036">
        <v>2936000</v>
      </c>
      <c r="E36" s="2035">
        <v>57.46</v>
      </c>
    </row>
    <row r="37" spans="1:9" x14ac:dyDescent="0.4">
      <c r="A37" s="1084"/>
      <c r="C37" s="2037" t="s">
        <v>7047</v>
      </c>
      <c r="D37" s="2038">
        <v>2174000</v>
      </c>
      <c r="E37" s="2039">
        <v>42.54</v>
      </c>
      <c r="I37" s="1313"/>
    </row>
    <row r="38" spans="1:9" x14ac:dyDescent="0.4">
      <c r="A38" s="1084"/>
      <c r="C38" s="1432" t="s">
        <v>7048</v>
      </c>
      <c r="D38" s="1432"/>
      <c r="E38" s="1432"/>
    </row>
    <row r="39" spans="1:9" x14ac:dyDescent="0.4">
      <c r="A39" s="1084"/>
      <c r="C39" s="1432" t="s">
        <v>7049</v>
      </c>
      <c r="D39" s="1432"/>
      <c r="E39" s="1432"/>
    </row>
    <row r="40" spans="1:9" ht="135" customHeight="1" x14ac:dyDescent="0.4">
      <c r="A40" s="1780"/>
      <c r="C40" s="3448" t="s">
        <v>7050</v>
      </c>
      <c r="D40" s="3448"/>
      <c r="E40" s="3448"/>
      <c r="F40" s="3448"/>
    </row>
    <row r="41" spans="1:9" x14ac:dyDescent="0.4">
      <c r="A41" s="1084"/>
    </row>
    <row r="42" spans="1:9" x14ac:dyDescent="0.4">
      <c r="A42" s="1084"/>
      <c r="C42" s="138" t="s">
        <v>7051</v>
      </c>
      <c r="D42" s="138"/>
    </row>
    <row r="43" spans="1:9" ht="9.6" customHeight="1" x14ac:dyDescent="0.4">
      <c r="A43" s="1084"/>
      <c r="C43" s="533"/>
      <c r="D43" s="533"/>
    </row>
    <row r="44" spans="1:9" x14ac:dyDescent="0.4">
      <c r="A44" s="1084"/>
      <c r="C44" s="2040" t="s">
        <v>247</v>
      </c>
      <c r="D44" s="2040" t="s">
        <v>98</v>
      </c>
    </row>
    <row r="45" spans="1:9" x14ac:dyDescent="0.4">
      <c r="A45" s="1780"/>
      <c r="C45" s="2041">
        <v>2014</v>
      </c>
      <c r="D45" s="1032">
        <v>57.46</v>
      </c>
    </row>
    <row r="46" spans="1:9" x14ac:dyDescent="0.4">
      <c r="A46" s="1084"/>
      <c r="C46" s="2041">
        <v>2015</v>
      </c>
      <c r="D46" s="1032">
        <v>57.78</v>
      </c>
    </row>
    <row r="47" spans="1:9" s="1061" customFormat="1" x14ac:dyDescent="0.4">
      <c r="A47" s="1084"/>
      <c r="B47" s="1032"/>
      <c r="C47" s="2041">
        <v>2016</v>
      </c>
      <c r="D47" s="2042">
        <v>58.1</v>
      </c>
      <c r="E47" s="1032"/>
    </row>
    <row r="48" spans="1:9" s="1061" customFormat="1" x14ac:dyDescent="0.4">
      <c r="A48" s="1084"/>
      <c r="B48" s="1032"/>
      <c r="C48" s="2041">
        <v>2017</v>
      </c>
      <c r="D48" s="2042">
        <v>58.43</v>
      </c>
      <c r="E48" s="1032"/>
    </row>
    <row r="49" spans="1:5" s="1061" customFormat="1" x14ac:dyDescent="0.4">
      <c r="A49" s="1780"/>
      <c r="B49" s="1032"/>
      <c r="C49" s="2041">
        <v>2018</v>
      </c>
      <c r="D49" s="2042">
        <v>58.75</v>
      </c>
      <c r="E49" s="1032"/>
    </row>
    <row r="50" spans="1:5" s="1061" customFormat="1" x14ac:dyDescent="0.4">
      <c r="A50" s="1084"/>
      <c r="B50" s="1032"/>
      <c r="C50" s="2041">
        <v>2019</v>
      </c>
      <c r="D50" s="2042">
        <v>59.07</v>
      </c>
      <c r="E50" s="1032"/>
    </row>
    <row r="51" spans="1:5" s="1061" customFormat="1" x14ac:dyDescent="0.4">
      <c r="A51" s="1084"/>
      <c r="B51" s="1032"/>
      <c r="C51" s="2043">
        <v>2020</v>
      </c>
      <c r="D51" s="2044">
        <v>59.38</v>
      </c>
      <c r="E51" s="1032"/>
    </row>
    <row r="52" spans="1:5" x14ac:dyDescent="0.4">
      <c r="C52" s="1032" t="s">
        <v>7052</v>
      </c>
    </row>
    <row r="53" spans="1:5" x14ac:dyDescent="0.4">
      <c r="C53" s="1032" t="s">
        <v>7053</v>
      </c>
    </row>
    <row r="54" spans="1:5" x14ac:dyDescent="0.4">
      <c r="C54" s="1032" t="s">
        <v>7054</v>
      </c>
    </row>
    <row r="55" spans="1:5" x14ac:dyDescent="0.4">
      <c r="C55" s="1432" t="s">
        <v>7055</v>
      </c>
    </row>
  </sheetData>
  <mergeCells count="11">
    <mergeCell ref="A6:B6"/>
    <mergeCell ref="C6:R6"/>
    <mergeCell ref="C16:F16"/>
    <mergeCell ref="C40:F40"/>
    <mergeCell ref="C1:D1"/>
    <mergeCell ref="A3:B3"/>
    <mergeCell ref="C3:R3"/>
    <mergeCell ref="A4:B4"/>
    <mergeCell ref="C4:R4"/>
    <mergeCell ref="A5:B5"/>
    <mergeCell ref="C5:R5"/>
  </mergeCells>
  <hyperlinks>
    <hyperlink ref="A1" location="'ODS 15.'!A1" display="REGRESAR" xr:uid="{6F1F33D6-59F4-4AA1-B531-E43A85BE8C73}"/>
    <hyperlink ref="C1:D1" location="'Metadato 15.1.1'!A1" display="VER METADATO" xr:uid="{9CF363A1-5D4A-4BA4-A068-73288F784725}"/>
  </hyperlinks>
  <pageMargins left="0.7" right="0.7" top="0.75" bottom="0.75" header="0.3" footer="0.3"/>
  <pageSetup orientation="portrait" r:id="rId1"/>
  <drawing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8088-C6DF-499E-B028-47C6E9BC36F2}">
  <sheetPr>
    <tabColor theme="0" tint="-0.499984740745262"/>
  </sheetPr>
  <dimension ref="A1:F49"/>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5" style="115" customWidth="1"/>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76</v>
      </c>
    </row>
    <row r="4" spans="1:6" ht="56.25" x14ac:dyDescent="0.4">
      <c r="A4" s="283"/>
      <c r="B4" s="2425" t="s">
        <v>234</v>
      </c>
      <c r="C4" s="2425"/>
      <c r="D4" s="49" t="s">
        <v>7056</v>
      </c>
    </row>
    <row r="5" spans="1:6" ht="75" x14ac:dyDescent="0.4">
      <c r="B5" s="2425" t="s">
        <v>79</v>
      </c>
      <c r="C5" s="2425"/>
      <c r="D5" s="49" t="s">
        <v>6995</v>
      </c>
    </row>
    <row r="6" spans="1:6" x14ac:dyDescent="0.4">
      <c r="B6" s="2425" t="s">
        <v>80</v>
      </c>
      <c r="C6" s="2425"/>
      <c r="D6" s="50" t="s">
        <v>6996</v>
      </c>
    </row>
    <row r="7" spans="1:6" ht="15" customHeight="1" x14ac:dyDescent="0.4">
      <c r="B7" s="2426" t="s">
        <v>81</v>
      </c>
      <c r="C7" s="2426"/>
      <c r="D7" s="93" t="s">
        <v>6997</v>
      </c>
    </row>
    <row r="8" spans="1:6" ht="15" customHeight="1" x14ac:dyDescent="0.4">
      <c r="B8" s="2426" t="s">
        <v>82</v>
      </c>
      <c r="C8" s="2426"/>
      <c r="D8" s="1047" t="s">
        <v>7057</v>
      </c>
    </row>
    <row r="10" spans="1:6" ht="23.25" customHeight="1" x14ac:dyDescent="0.4">
      <c r="B10" s="3454" t="s">
        <v>85</v>
      </c>
      <c r="C10" s="3454"/>
      <c r="D10" s="3454"/>
    </row>
    <row r="11" spans="1:6" ht="18.75" customHeight="1" x14ac:dyDescent="0.4">
      <c r="B11" s="2427" t="s">
        <v>86</v>
      </c>
      <c r="C11" s="2428"/>
      <c r="D11" s="55" t="s">
        <v>7058</v>
      </c>
    </row>
    <row r="12" spans="1:6" ht="16.5" customHeight="1" x14ac:dyDescent="0.4">
      <c r="B12" s="2426" t="s">
        <v>88</v>
      </c>
      <c r="C12" s="2426"/>
      <c r="D12" s="184" t="s">
        <v>7036</v>
      </c>
    </row>
    <row r="13" spans="1:6" ht="15.75" customHeight="1" x14ac:dyDescent="0.4">
      <c r="B13" s="2425" t="s">
        <v>90</v>
      </c>
      <c r="C13" s="2425"/>
      <c r="D13" s="55" t="s">
        <v>6996</v>
      </c>
    </row>
    <row r="14" spans="1:6" x14ac:dyDescent="0.4">
      <c r="B14" s="2425" t="s">
        <v>91</v>
      </c>
      <c r="C14" s="2428"/>
      <c r="D14" s="54" t="s">
        <v>92</v>
      </c>
    </row>
    <row r="15" spans="1:6" ht="400.15" customHeight="1" x14ac:dyDescent="0.4">
      <c r="B15" s="2429" t="s">
        <v>93</v>
      </c>
      <c r="C15" s="2430"/>
      <c r="D15" s="2471" t="s">
        <v>7059</v>
      </c>
    </row>
    <row r="16" spans="1:6" ht="400.15" customHeight="1" x14ac:dyDescent="0.4">
      <c r="B16" s="3456"/>
      <c r="C16" s="3457"/>
      <c r="D16" s="2473"/>
    </row>
    <row r="17" spans="2:6" ht="54.75" customHeight="1" x14ac:dyDescent="0.4">
      <c r="B17" s="2425" t="s">
        <v>95</v>
      </c>
      <c r="C17" s="2425"/>
      <c r="D17" s="3455" t="s">
        <v>7060</v>
      </c>
      <c r="E17" s="3455"/>
      <c r="F17" s="3455"/>
    </row>
    <row r="18" spans="2:6" x14ac:dyDescent="0.4">
      <c r="B18" s="2425" t="s">
        <v>97</v>
      </c>
      <c r="C18" s="2425"/>
      <c r="D18" s="55" t="s">
        <v>387</v>
      </c>
    </row>
    <row r="19" spans="2:6" x14ac:dyDescent="0.4">
      <c r="B19" s="2426" t="s">
        <v>99</v>
      </c>
      <c r="C19" s="2426"/>
      <c r="D19" s="49"/>
    </row>
    <row r="20" spans="2:6" ht="37.5" x14ac:dyDescent="0.4">
      <c r="B20" s="2435" t="s">
        <v>100</v>
      </c>
      <c r="C20" s="2436"/>
      <c r="D20" s="55" t="s">
        <v>7061</v>
      </c>
    </row>
    <row r="21" spans="2:6" x14ac:dyDescent="0.4">
      <c r="B21" s="2425" t="s">
        <v>102</v>
      </c>
      <c r="C21" s="2425"/>
      <c r="D21" s="55" t="s">
        <v>140</v>
      </c>
    </row>
    <row r="22" spans="2:6" x14ac:dyDescent="0.4">
      <c r="B22" s="2432" t="s">
        <v>104</v>
      </c>
      <c r="C22" s="57" t="s">
        <v>105</v>
      </c>
      <c r="D22" s="49"/>
    </row>
    <row r="23" spans="2:6" x14ac:dyDescent="0.4">
      <c r="B23" s="2433"/>
      <c r="C23" s="58" t="s">
        <v>107</v>
      </c>
      <c r="D23" s="55" t="s">
        <v>7062</v>
      </c>
    </row>
    <row r="24" spans="2:6" x14ac:dyDescent="0.4">
      <c r="B24" s="2425" t="s">
        <v>109</v>
      </c>
      <c r="C24" s="2425"/>
      <c r="D24" s="55" t="s">
        <v>7063</v>
      </c>
    </row>
    <row r="25" spans="2:6" x14ac:dyDescent="0.4">
      <c r="B25" s="2425" t="s">
        <v>111</v>
      </c>
      <c r="C25" s="2425"/>
      <c r="D25" s="124" t="s">
        <v>7064</v>
      </c>
    </row>
    <row r="26" spans="2:6" x14ac:dyDescent="0.4">
      <c r="B26" s="2425" t="s">
        <v>113</v>
      </c>
      <c r="C26" s="2425"/>
      <c r="D26" s="55" t="s">
        <v>7065</v>
      </c>
    </row>
    <row r="27" spans="2:6" ht="15" customHeight="1" x14ac:dyDescent="0.4">
      <c r="B27" s="2426" t="s">
        <v>115</v>
      </c>
      <c r="C27" s="2426"/>
      <c r="D27" s="124" t="s">
        <v>7066</v>
      </c>
    </row>
    <row r="28" spans="2:6" ht="75" x14ac:dyDescent="0.4">
      <c r="B28" s="2427" t="s">
        <v>117</v>
      </c>
      <c r="C28" s="2428"/>
      <c r="D28" s="49" t="s">
        <v>7067</v>
      </c>
    </row>
    <row r="29" spans="2:6" ht="131.25" x14ac:dyDescent="0.4">
      <c r="B29" s="60" t="s">
        <v>118</v>
      </c>
      <c r="C29" s="61"/>
      <c r="D29" s="49" t="s">
        <v>7068</v>
      </c>
    </row>
    <row r="30" spans="2:6" x14ac:dyDescent="0.4">
      <c r="B30" s="2429" t="s">
        <v>120</v>
      </c>
      <c r="C30" s="2430"/>
      <c r="D30" t="s">
        <v>7069</v>
      </c>
    </row>
    <row r="31" spans="2:6" x14ac:dyDescent="0.4">
      <c r="B31" s="63"/>
      <c r="C31" s="63"/>
      <c r="D31" s="64"/>
    </row>
    <row r="32" spans="2:6" ht="23.25" customHeight="1" x14ac:dyDescent="0.4">
      <c r="B32" s="3454" t="s">
        <v>121</v>
      </c>
      <c r="C32" s="3454"/>
      <c r="D32" s="3454"/>
    </row>
    <row r="33" spans="1:6" x14ac:dyDescent="0.4">
      <c r="B33" s="2427" t="s">
        <v>122</v>
      </c>
      <c r="C33" s="2428"/>
      <c r="D33" s="826" t="s">
        <v>7070</v>
      </c>
    </row>
    <row r="34" spans="1:6" x14ac:dyDescent="0.4">
      <c r="B34" s="2427" t="s">
        <v>124</v>
      </c>
      <c r="C34" s="2428"/>
      <c r="D34" s="826" t="s">
        <v>4646</v>
      </c>
    </row>
    <row r="35" spans="1:6" x14ac:dyDescent="0.4">
      <c r="B35" s="2427" t="s">
        <v>126</v>
      </c>
      <c r="C35" s="2428"/>
      <c r="D35" s="826" t="s">
        <v>4641</v>
      </c>
    </row>
    <row r="36" spans="1:6" x14ac:dyDescent="0.4">
      <c r="B36" s="2427" t="s">
        <v>128</v>
      </c>
      <c r="C36" s="2428"/>
      <c r="D36" s="826" t="s">
        <v>7071</v>
      </c>
    </row>
    <row r="37" spans="1:6" x14ac:dyDescent="0.4">
      <c r="B37" s="2427" t="s">
        <v>130</v>
      </c>
      <c r="C37" s="2428"/>
      <c r="D37" s="639" t="s">
        <v>7072</v>
      </c>
    </row>
    <row r="38" spans="1:6" x14ac:dyDescent="0.4">
      <c r="B38" s="2427" t="s">
        <v>122</v>
      </c>
      <c r="C38" s="3452"/>
      <c r="D38" s="3453" t="s">
        <v>7073</v>
      </c>
      <c r="E38" s="3453"/>
      <c r="F38" s="3453"/>
    </row>
    <row r="39" spans="1:6" x14ac:dyDescent="0.4">
      <c r="B39" s="2427" t="s">
        <v>124</v>
      </c>
      <c r="C39" s="3452"/>
      <c r="D39" s="3453" t="s">
        <v>7074</v>
      </c>
      <c r="E39" s="3453"/>
      <c r="F39" s="3453"/>
    </row>
    <row r="40" spans="1:6" x14ac:dyDescent="0.4">
      <c r="B40" s="2427" t="s">
        <v>126</v>
      </c>
      <c r="C40" s="3452"/>
      <c r="D40" s="3453" t="s">
        <v>7075</v>
      </c>
      <c r="E40" s="3453"/>
      <c r="F40" s="3453"/>
    </row>
    <row r="41" spans="1:6" x14ac:dyDescent="0.4">
      <c r="B41" s="2427" t="s">
        <v>128</v>
      </c>
      <c r="C41" s="3452"/>
      <c r="D41" s="3279" t="s">
        <v>7076</v>
      </c>
      <c r="E41" s="3453"/>
      <c r="F41" s="3453"/>
    </row>
    <row r="42" spans="1:6" x14ac:dyDescent="0.4">
      <c r="B42" s="2427" t="s">
        <v>130</v>
      </c>
      <c r="C42" s="3452"/>
      <c r="D42" s="3453" t="s">
        <v>7077</v>
      </c>
      <c r="E42" s="3453"/>
      <c r="F42" s="3453"/>
    </row>
    <row r="43" spans="1:6" s="1048" customFormat="1" ht="131.25" x14ac:dyDescent="0.4">
      <c r="A43" s="115"/>
      <c r="B43" s="2427" t="s">
        <v>7078</v>
      </c>
      <c r="C43" s="3452"/>
      <c r="D43" s="2045" t="s">
        <v>7079</v>
      </c>
    </row>
    <row r="44" spans="1:6" s="1048" customFormat="1" x14ac:dyDescent="0.4">
      <c r="A44" s="115"/>
      <c r="B44" s="115"/>
      <c r="C44" s="115"/>
    </row>
    <row r="45" spans="1:6" s="1048" customFormat="1" x14ac:dyDescent="0.4">
      <c r="A45" s="115"/>
      <c r="B45" s="115"/>
      <c r="C45" s="115"/>
    </row>
    <row r="46" spans="1:6" s="1048" customFormat="1" x14ac:dyDescent="0.4">
      <c r="A46" s="115"/>
      <c r="B46" s="115"/>
      <c r="C46" s="115"/>
    </row>
    <row r="47" spans="1:6" s="1048" customFormat="1" x14ac:dyDescent="0.4">
      <c r="A47" s="115"/>
      <c r="B47" s="115"/>
      <c r="C47" s="115"/>
    </row>
    <row r="48" spans="1:6" s="1048" customFormat="1" x14ac:dyDescent="0.4">
      <c r="A48" s="115"/>
      <c r="B48" s="115"/>
      <c r="C48" s="115"/>
    </row>
    <row r="49" spans="1:3" s="1048" customFormat="1" x14ac:dyDescent="0.4">
      <c r="A49" s="115"/>
      <c r="B49" s="115"/>
      <c r="C49" s="115"/>
    </row>
  </sheetData>
  <mergeCells count="43">
    <mergeCell ref="B15:C16"/>
    <mergeCell ref="D15:D16"/>
    <mergeCell ref="B3:D3"/>
    <mergeCell ref="B4:C4"/>
    <mergeCell ref="B5:C5"/>
    <mergeCell ref="B6:C6"/>
    <mergeCell ref="B7:C7"/>
    <mergeCell ref="B8:C8"/>
    <mergeCell ref="B10:D10"/>
    <mergeCell ref="B11:C11"/>
    <mergeCell ref="B12:C12"/>
    <mergeCell ref="B13:C13"/>
    <mergeCell ref="B14:C14"/>
    <mergeCell ref="B28:C28"/>
    <mergeCell ref="B17:C17"/>
    <mergeCell ref="D17:F17"/>
    <mergeCell ref="B18:C18"/>
    <mergeCell ref="B19:C19"/>
    <mergeCell ref="B20:C20"/>
    <mergeCell ref="B21:C21"/>
    <mergeCell ref="B22:B23"/>
    <mergeCell ref="B24:C24"/>
    <mergeCell ref="B25:C25"/>
    <mergeCell ref="B26:C26"/>
    <mergeCell ref="B27:C27"/>
    <mergeCell ref="B40:C40"/>
    <mergeCell ref="D40:F40"/>
    <mergeCell ref="B30:C30"/>
    <mergeCell ref="B32:D32"/>
    <mergeCell ref="B33:C33"/>
    <mergeCell ref="B34:C34"/>
    <mergeCell ref="B35:C35"/>
    <mergeCell ref="B36:C36"/>
    <mergeCell ref="B37:C37"/>
    <mergeCell ref="B38:C38"/>
    <mergeCell ref="D38:F38"/>
    <mergeCell ref="B39:C39"/>
    <mergeCell ref="D39:F39"/>
    <mergeCell ref="B41:C41"/>
    <mergeCell ref="D41:F41"/>
    <mergeCell ref="B42:C42"/>
    <mergeCell ref="D42:F42"/>
    <mergeCell ref="B43:C43"/>
  </mergeCells>
  <dataValidations count="6">
    <dataValidation type="list" allowBlank="1" showInputMessage="1" showErrorMessage="1" sqref="D4" xr:uid="{DD33AFB1-0BFD-4591-8590-6A3974975D34}">
      <formula1>ODS</formula1>
    </dataValidation>
    <dataValidation type="list" allowBlank="1" showInputMessage="1" showErrorMessage="1" sqref="D5" xr:uid="{F1362E26-7CB5-4670-B681-B5EC8EA97880}">
      <formula1>Metas_ODS</formula1>
    </dataValidation>
    <dataValidation type="list" allowBlank="1" showInputMessage="1" showErrorMessage="1" sqref="D6" xr:uid="{D334D019-4A8E-4C8E-94DA-27601F436634}">
      <formula1>Numero_indicador</formula1>
    </dataValidation>
    <dataValidation type="list" allowBlank="1" showInputMessage="1" showErrorMessage="1" sqref="D7" xr:uid="{BB5B3628-96B2-40A8-9DA7-B7B339714ED6}">
      <formula1>Nombre_indicador_ODS</formula1>
    </dataValidation>
    <dataValidation type="list" allowBlank="1" showInputMessage="1" showErrorMessage="1" sqref="D14" xr:uid="{4BD15574-F51F-4F51-A295-2115DB22674E}">
      <formula1>Tipo_indicador</formula1>
    </dataValidation>
    <dataValidation type="list" allowBlank="1" showInputMessage="1" showErrorMessage="1" sqref="D26" xr:uid="{4394F2E0-0A22-4A1E-A0B5-CD22058EB778}">
      <formula1>Tipo_operación</formula1>
    </dataValidation>
  </dataValidations>
  <hyperlinks>
    <hyperlink ref="B1" location="'15.1.1'!A1" display="REGRESAR" xr:uid="{4885FA7B-A925-4AAB-9D44-10E353AB6FB0}"/>
    <hyperlink ref="D8" r:id="rId1" xr:uid="{11EFABBB-EE11-4905-AA05-4BEFFFB3C5DA}"/>
    <hyperlink ref="D37" r:id="rId2" xr:uid="{621B7ADC-D99C-4D9A-9C3C-5FC725ECB1BA}"/>
    <hyperlink ref="D41" r:id="rId3" xr:uid="{A12443AA-8BAB-4BEA-A17A-54291DF77A52}"/>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D5A44-511A-406D-BBA1-2CB14AE260CA}">
  <dimension ref="A1:X55"/>
  <sheetViews>
    <sheetView showGridLines="0" workbookViewId="0">
      <pane ySplit="1" topLeftCell="A2" activePane="bottomLeft" state="frozen"/>
      <selection activeCell="R16" sqref="R16"/>
      <selection pane="bottomLeft"/>
    </sheetView>
  </sheetViews>
  <sheetFormatPr baseColWidth="10" defaultColWidth="11.42578125" defaultRowHeight="12.75" x14ac:dyDescent="0.25"/>
  <cols>
    <col min="1" max="2" width="15.5703125" style="22" customWidth="1"/>
    <col min="3" max="3" width="6" style="22" customWidth="1"/>
    <col min="4" max="4" width="7.7109375" style="22" customWidth="1"/>
    <col min="5" max="5" width="7" style="22" customWidth="1"/>
    <col min="6" max="6" width="6" style="22" customWidth="1"/>
    <col min="7" max="8" width="10.42578125" style="22" customWidth="1"/>
    <col min="9" max="9" width="0.7109375" style="22" customWidth="1"/>
    <col min="10" max="10" width="7.7109375" style="22" customWidth="1"/>
    <col min="11" max="11" width="7.28515625" style="22" customWidth="1"/>
    <col min="12" max="12" width="6" style="22" customWidth="1"/>
    <col min="13" max="14" width="9.5703125" style="22" customWidth="1"/>
    <col min="15" max="15" width="8.28515625" style="22" customWidth="1"/>
    <col min="16" max="17" width="7" style="22" customWidth="1"/>
    <col min="18" max="18" width="6" style="22" customWidth="1"/>
    <col min="19" max="32" width="8.7109375" style="22" customWidth="1"/>
    <col min="33" max="16384" width="11.42578125" style="22"/>
  </cols>
  <sheetData>
    <row r="1" spans="1:24" ht="19.5" x14ac:dyDescent="0.4">
      <c r="A1" s="15" t="s">
        <v>39</v>
      </c>
      <c r="B1" s="16"/>
      <c r="C1" s="2421" t="s">
        <v>149</v>
      </c>
      <c r="D1" s="2421"/>
      <c r="E1" s="2421"/>
      <c r="F1" s="16"/>
      <c r="G1" s="16"/>
      <c r="H1" s="16"/>
      <c r="I1" s="16"/>
      <c r="J1" s="16"/>
      <c r="K1" s="16"/>
      <c r="L1" s="16"/>
      <c r="M1" s="16"/>
      <c r="N1" s="16"/>
      <c r="O1" s="16"/>
      <c r="P1" s="16"/>
      <c r="Q1" s="16"/>
      <c r="R1" s="16"/>
      <c r="S1" s="16"/>
      <c r="T1" s="16"/>
      <c r="U1" s="16"/>
      <c r="V1" s="16"/>
      <c r="W1" s="16"/>
      <c r="X1" s="16"/>
    </row>
    <row r="2" spans="1:24" ht="19.5" x14ac:dyDescent="0.4">
      <c r="A2" s="16"/>
      <c r="B2" s="16"/>
      <c r="C2" s="16"/>
      <c r="D2" s="16"/>
      <c r="E2" s="16"/>
      <c r="F2" s="16"/>
      <c r="G2" s="16"/>
      <c r="H2" s="16"/>
      <c r="I2" s="16"/>
      <c r="J2" s="16"/>
      <c r="K2" s="16"/>
      <c r="L2" s="16"/>
      <c r="M2" s="16"/>
      <c r="N2" s="16"/>
      <c r="O2" s="16"/>
      <c r="P2" s="16"/>
      <c r="Q2" s="16"/>
      <c r="R2" s="16"/>
      <c r="S2" s="16"/>
      <c r="T2" s="16"/>
      <c r="U2" s="16"/>
      <c r="V2" s="16"/>
      <c r="W2" s="16"/>
      <c r="X2" s="16"/>
    </row>
    <row r="3" spans="1:24" ht="19.5" x14ac:dyDescent="0.25">
      <c r="A3" s="2508" t="s">
        <v>41</v>
      </c>
      <c r="B3" s="2508"/>
      <c r="C3" s="2519" t="s">
        <v>396</v>
      </c>
      <c r="D3" s="2520"/>
      <c r="E3" s="2520"/>
      <c r="F3" s="2520"/>
      <c r="G3" s="2520"/>
      <c r="H3" s="2520"/>
      <c r="I3" s="2520"/>
      <c r="J3" s="2520"/>
      <c r="K3" s="2520"/>
      <c r="L3" s="2520"/>
      <c r="M3" s="2520"/>
      <c r="N3" s="2520"/>
      <c r="O3" s="2520"/>
      <c r="P3" s="2520"/>
      <c r="Q3" s="2520"/>
      <c r="R3" s="2520"/>
      <c r="S3" s="2520"/>
      <c r="T3" s="2520"/>
      <c r="U3" s="2520"/>
      <c r="V3" s="2520"/>
      <c r="W3" s="2520"/>
      <c r="X3" s="2520"/>
    </row>
    <row r="4" spans="1:24" ht="58.15" customHeight="1" x14ac:dyDescent="0.25">
      <c r="A4" s="2508" t="s">
        <v>42</v>
      </c>
      <c r="B4" s="2508"/>
      <c r="C4" s="2519" t="s">
        <v>409</v>
      </c>
      <c r="D4" s="2520"/>
      <c r="E4" s="2520"/>
      <c r="F4" s="2520"/>
      <c r="G4" s="2520"/>
      <c r="H4" s="2520"/>
      <c r="I4" s="2520"/>
      <c r="J4" s="2520"/>
      <c r="K4" s="2520"/>
      <c r="L4" s="2520"/>
      <c r="M4" s="2520"/>
      <c r="N4" s="2520"/>
      <c r="O4" s="2520"/>
      <c r="P4" s="2520"/>
      <c r="Q4" s="2520"/>
      <c r="R4" s="2553"/>
      <c r="S4" s="2553"/>
      <c r="T4" s="2553"/>
      <c r="U4" s="2553"/>
      <c r="V4" s="2553"/>
      <c r="W4" s="2553"/>
      <c r="X4" s="2553"/>
    </row>
    <row r="5" spans="1:24" ht="19.5" x14ac:dyDescent="0.25">
      <c r="A5" s="2508" t="s">
        <v>43</v>
      </c>
      <c r="B5" s="2508"/>
      <c r="C5" s="2519" t="s">
        <v>413</v>
      </c>
      <c r="D5" s="2520"/>
      <c r="E5" s="2520"/>
      <c r="F5" s="2520"/>
      <c r="G5" s="2520"/>
      <c r="H5" s="2520"/>
      <c r="I5" s="2520"/>
      <c r="J5" s="2520"/>
      <c r="K5" s="2520"/>
      <c r="L5" s="2520"/>
      <c r="M5" s="2520"/>
      <c r="N5" s="2520"/>
      <c r="O5" s="2520"/>
      <c r="P5" s="2520"/>
      <c r="Q5" s="2520"/>
      <c r="R5" s="2553"/>
      <c r="S5" s="2553"/>
      <c r="T5" s="2553"/>
      <c r="U5" s="2553"/>
      <c r="V5" s="2553"/>
      <c r="W5" s="2553"/>
      <c r="X5" s="2553"/>
    </row>
    <row r="6" spans="1:24" ht="19.5" x14ac:dyDescent="0.25">
      <c r="A6" s="2508" t="s">
        <v>132</v>
      </c>
      <c r="B6" s="2508"/>
      <c r="C6" s="2519" t="s">
        <v>596</v>
      </c>
      <c r="D6" s="2520"/>
      <c r="E6" s="2520"/>
      <c r="F6" s="2520"/>
      <c r="G6" s="2520"/>
      <c r="H6" s="2520"/>
      <c r="I6" s="2520"/>
      <c r="J6" s="2520"/>
      <c r="K6" s="2520"/>
      <c r="L6" s="2520"/>
      <c r="M6" s="2520"/>
      <c r="N6" s="2520"/>
      <c r="O6" s="2520"/>
      <c r="P6" s="2520"/>
      <c r="Q6" s="2520"/>
      <c r="R6" s="2553"/>
      <c r="S6" s="2553"/>
      <c r="T6" s="2553"/>
      <c r="U6" s="2553"/>
      <c r="V6" s="2553"/>
      <c r="W6" s="2553"/>
      <c r="X6" s="2553"/>
    </row>
    <row r="7" spans="1:24" ht="19.5" x14ac:dyDescent="0.25">
      <c r="A7" s="131"/>
      <c r="B7" s="131"/>
      <c r="C7" s="105"/>
      <c r="D7" s="131"/>
      <c r="E7" s="131"/>
      <c r="F7" s="131"/>
      <c r="G7" s="131"/>
      <c r="H7" s="131"/>
      <c r="I7" s="131"/>
      <c r="J7" s="131"/>
      <c r="K7" s="131"/>
      <c r="L7" s="131"/>
      <c r="M7" s="131"/>
      <c r="N7" s="131"/>
      <c r="O7" s="131"/>
      <c r="P7" s="131"/>
      <c r="Q7" s="131"/>
      <c r="R7" s="131"/>
      <c r="S7" s="131"/>
      <c r="T7" s="131"/>
      <c r="U7" s="131"/>
      <c r="V7" s="131"/>
      <c r="W7" s="131"/>
      <c r="X7" s="131"/>
    </row>
    <row r="8" spans="1:24" ht="19.5" x14ac:dyDescent="0.25">
      <c r="A8" s="131"/>
      <c r="B8" s="131"/>
      <c r="C8" s="105"/>
      <c r="D8" s="131"/>
      <c r="E8" s="131"/>
      <c r="F8" s="131"/>
      <c r="G8" s="131"/>
      <c r="H8" s="131"/>
      <c r="I8" s="131"/>
      <c r="J8" s="131"/>
      <c r="K8" s="131"/>
      <c r="L8" s="131"/>
      <c r="M8" s="131"/>
      <c r="N8" s="131"/>
      <c r="O8" s="131"/>
      <c r="P8" s="131"/>
      <c r="Q8" s="131"/>
      <c r="R8" s="131"/>
      <c r="S8" s="131"/>
      <c r="T8" s="131"/>
      <c r="U8" s="131"/>
      <c r="V8" s="131"/>
      <c r="W8" s="131"/>
      <c r="X8" s="131"/>
    </row>
    <row r="9" spans="1:24" ht="19.5" x14ac:dyDescent="0.4">
      <c r="A9" s="16"/>
      <c r="B9" s="16"/>
      <c r="C9" s="333" t="s">
        <v>596</v>
      </c>
      <c r="D9" s="333"/>
      <c r="E9" s="333"/>
      <c r="F9" s="333"/>
      <c r="G9" s="333"/>
      <c r="H9" s="333"/>
      <c r="I9" s="333"/>
      <c r="J9" s="333"/>
      <c r="K9" s="333"/>
      <c r="L9" s="333"/>
      <c r="M9" s="333"/>
      <c r="N9" s="333"/>
      <c r="O9" s="346"/>
      <c r="P9" s="346"/>
      <c r="Q9" s="346"/>
      <c r="R9" s="346"/>
      <c r="S9" s="346"/>
      <c r="T9" s="16"/>
      <c r="U9" s="16"/>
      <c r="V9" s="16"/>
      <c r="W9" s="16"/>
      <c r="X9" s="16"/>
    </row>
    <row r="10" spans="1:24" ht="16.5" x14ac:dyDescent="0.25">
      <c r="C10" s="335"/>
      <c r="D10" s="335"/>
      <c r="E10" s="335"/>
      <c r="F10" s="335"/>
      <c r="G10" s="335"/>
      <c r="H10" s="335"/>
      <c r="I10" s="335"/>
      <c r="J10" s="335"/>
      <c r="K10" s="335"/>
      <c r="L10" s="335"/>
      <c r="M10" s="335"/>
      <c r="N10" s="335"/>
      <c r="O10" s="347"/>
      <c r="P10" s="347"/>
      <c r="Q10" s="347"/>
      <c r="R10" s="347"/>
      <c r="S10" s="347"/>
    </row>
    <row r="11" spans="1:24" ht="15.75" customHeight="1" x14ac:dyDescent="0.25">
      <c r="C11" s="2554" t="s">
        <v>46</v>
      </c>
      <c r="D11" s="2539" t="s">
        <v>597</v>
      </c>
      <c r="E11" s="2539"/>
      <c r="F11" s="2539"/>
      <c r="G11" s="2539"/>
      <c r="H11" s="2539"/>
      <c r="I11" s="2539"/>
      <c r="J11" s="2539"/>
      <c r="K11" s="2539"/>
      <c r="L11" s="2539"/>
      <c r="M11" s="2539"/>
      <c r="N11" s="2539"/>
      <c r="O11" s="347"/>
      <c r="P11" s="347"/>
      <c r="Q11" s="347"/>
      <c r="R11" s="347"/>
      <c r="S11" s="347"/>
    </row>
    <row r="12" spans="1:24" ht="15" customHeight="1" x14ac:dyDescent="0.25">
      <c r="C12" s="2555"/>
      <c r="D12" s="2556" t="s">
        <v>154</v>
      </c>
      <c r="E12" s="2556"/>
      <c r="F12" s="2556"/>
      <c r="G12" s="2556"/>
      <c r="H12" s="2556"/>
      <c r="I12" s="348"/>
      <c r="J12" s="2539" t="s">
        <v>598</v>
      </c>
      <c r="K12" s="2539"/>
      <c r="L12" s="2539"/>
      <c r="M12" s="2539"/>
      <c r="N12" s="2539"/>
      <c r="O12" s="349"/>
      <c r="P12" s="349"/>
      <c r="Q12" s="349"/>
      <c r="R12" s="349"/>
      <c r="S12" s="349"/>
    </row>
    <row r="13" spans="1:24" ht="13.15" customHeight="1" x14ac:dyDescent="0.25">
      <c r="C13" s="2555"/>
      <c r="D13" s="2557" t="s">
        <v>47</v>
      </c>
      <c r="E13" s="2550" t="s">
        <v>599</v>
      </c>
      <c r="F13" s="2539" t="s">
        <v>600</v>
      </c>
      <c r="G13" s="2539"/>
      <c r="H13" s="2539"/>
      <c r="I13" s="350"/>
      <c r="J13" s="2550" t="s">
        <v>47</v>
      </c>
      <c r="K13" s="2550" t="s">
        <v>599</v>
      </c>
      <c r="L13" s="2539" t="s">
        <v>600</v>
      </c>
      <c r="M13" s="2539"/>
      <c r="N13" s="2539"/>
      <c r="O13" s="351"/>
      <c r="P13" s="351"/>
      <c r="Q13" s="349"/>
      <c r="R13" s="349"/>
      <c r="S13" s="349"/>
    </row>
    <row r="14" spans="1:24" ht="56.25" x14ac:dyDescent="0.35">
      <c r="C14" s="2551"/>
      <c r="D14" s="2558"/>
      <c r="E14" s="2551"/>
      <c r="F14" s="326" t="s">
        <v>47</v>
      </c>
      <c r="G14" s="338" t="s">
        <v>601</v>
      </c>
      <c r="H14" s="338" t="s">
        <v>602</v>
      </c>
      <c r="I14" s="326"/>
      <c r="J14" s="2551"/>
      <c r="K14" s="2551"/>
      <c r="L14" s="326" t="s">
        <v>47</v>
      </c>
      <c r="M14" s="338" t="s">
        <v>601</v>
      </c>
      <c r="N14" s="338" t="s">
        <v>603</v>
      </c>
      <c r="O14" s="352"/>
      <c r="P14" s="352"/>
      <c r="Q14" s="352"/>
      <c r="R14" s="353"/>
      <c r="S14" s="353"/>
    </row>
    <row r="15" spans="1:24" ht="18.75" x14ac:dyDescent="0.25">
      <c r="C15" s="354">
        <v>2010</v>
      </c>
      <c r="D15" s="355">
        <v>2160.613346049297</v>
      </c>
      <c r="E15" s="355">
        <v>1815.6224944351011</v>
      </c>
      <c r="F15" s="355">
        <v>3673.8545414116443</v>
      </c>
      <c r="G15" s="355">
        <v>3684.0683575811809</v>
      </c>
      <c r="H15" s="355">
        <v>2608.8637027145182</v>
      </c>
      <c r="I15" s="356"/>
      <c r="J15" s="355">
        <v>2121.0451309860719</v>
      </c>
      <c r="K15" s="355">
        <v>1612.2147463300748</v>
      </c>
      <c r="L15" s="355">
        <v>5327.2676009875486</v>
      </c>
      <c r="M15" s="355">
        <v>4218.736868564858</v>
      </c>
      <c r="N15" s="355">
        <v>2033.0550275630569</v>
      </c>
      <c r="O15" s="357"/>
      <c r="P15" s="357"/>
      <c r="Q15" s="357"/>
      <c r="R15" s="357"/>
      <c r="S15" s="357"/>
    </row>
    <row r="16" spans="1:24" ht="18.75" x14ac:dyDescent="0.25">
      <c r="C16" s="354">
        <v>2011</v>
      </c>
      <c r="D16" s="355">
        <v>1857.8058845211226</v>
      </c>
      <c r="E16" s="355">
        <v>1640.7976632843449</v>
      </c>
      <c r="F16" s="355">
        <v>3019.1209795812192</v>
      </c>
      <c r="G16" s="355">
        <v>2632.8188068725822</v>
      </c>
      <c r="H16" s="355">
        <v>4900.2649602426354</v>
      </c>
      <c r="I16" s="356"/>
      <c r="J16" s="355">
        <v>1653.0419187700734</v>
      </c>
      <c r="K16" s="355">
        <v>1441.305714430209</v>
      </c>
      <c r="L16" s="355">
        <v>3046.177753947487</v>
      </c>
      <c r="M16" s="355">
        <v>2503.9152979872583</v>
      </c>
      <c r="N16" s="355">
        <v>3797.4139316448441</v>
      </c>
      <c r="O16" s="357"/>
      <c r="P16" s="357"/>
      <c r="Q16" s="357"/>
      <c r="R16" s="357"/>
      <c r="S16" s="357"/>
    </row>
    <row r="17" spans="3:19" ht="18.75" x14ac:dyDescent="0.25">
      <c r="C17" s="354">
        <v>2012</v>
      </c>
      <c r="D17" s="355">
        <v>1625.4163516867145</v>
      </c>
      <c r="E17" s="355">
        <v>1382.0165879589886</v>
      </c>
      <c r="F17" s="355">
        <v>3268.9240481444749</v>
      </c>
      <c r="G17" s="355">
        <v>2485.7952136168064</v>
      </c>
      <c r="H17" s="355">
        <v>4579.1108962479266</v>
      </c>
      <c r="I17" s="356"/>
      <c r="J17" s="355">
        <v>1556.0636756022784</v>
      </c>
      <c r="K17" s="355">
        <v>1126.410433418871</v>
      </c>
      <c r="L17" s="355">
        <v>4576.3327131510796</v>
      </c>
      <c r="M17" s="355">
        <v>2780.5611378916083</v>
      </c>
      <c r="N17" s="355">
        <v>4144.7786911558596</v>
      </c>
      <c r="O17" s="357"/>
      <c r="P17" s="357"/>
      <c r="Q17" s="357"/>
      <c r="R17" s="357"/>
      <c r="S17" s="357"/>
    </row>
    <row r="18" spans="3:19" ht="18.75" x14ac:dyDescent="0.25">
      <c r="C18" s="354">
        <v>2013</v>
      </c>
      <c r="D18" s="355">
        <v>1800.5068003215001</v>
      </c>
      <c r="E18" s="355">
        <v>1550.2600769809119</v>
      </c>
      <c r="F18" s="355">
        <v>3254.3349527713308</v>
      </c>
      <c r="G18" s="355">
        <v>2843.6616490076685</v>
      </c>
      <c r="H18" s="355">
        <v>4337.4737504076838</v>
      </c>
      <c r="I18" s="356"/>
      <c r="J18" s="355">
        <v>1355.6811275849116</v>
      </c>
      <c r="K18" s="355">
        <v>1172.2837514326663</v>
      </c>
      <c r="L18" s="355">
        <v>2597.927880402448</v>
      </c>
      <c r="M18" s="355">
        <v>2269.1003886662716</v>
      </c>
      <c r="N18" s="355">
        <v>3817.3654680063555</v>
      </c>
      <c r="O18" s="357"/>
      <c r="P18" s="357"/>
      <c r="Q18" s="357"/>
      <c r="R18" s="357"/>
      <c r="S18" s="357"/>
    </row>
    <row r="19" spans="3:19" ht="18.75" x14ac:dyDescent="0.25">
      <c r="C19" s="354">
        <v>2014</v>
      </c>
      <c r="D19" s="355">
        <v>2082.6635494006173</v>
      </c>
      <c r="E19" s="355">
        <v>1814.8809582567351</v>
      </c>
      <c r="F19" s="355">
        <v>3519.6594979837223</v>
      </c>
      <c r="G19" s="355">
        <v>3069.27949480603</v>
      </c>
      <c r="H19" s="355">
        <v>4098.9800090756162</v>
      </c>
      <c r="I19" s="356"/>
      <c r="J19" s="355">
        <v>1748.6775692796382</v>
      </c>
      <c r="K19" s="355">
        <v>1277.4345192502969</v>
      </c>
      <c r="L19" s="355">
        <v>4464.2425669836093</v>
      </c>
      <c r="M19" s="355">
        <v>4466.6045463084647</v>
      </c>
      <c r="N19" s="355">
        <v>4062.4589700313886</v>
      </c>
      <c r="O19" s="357"/>
      <c r="P19" s="357"/>
      <c r="Q19" s="357"/>
      <c r="R19" s="357"/>
      <c r="S19" s="357"/>
    </row>
    <row r="20" spans="3:19" ht="18.75" x14ac:dyDescent="0.25">
      <c r="C20" s="354">
        <v>2015</v>
      </c>
      <c r="D20" s="355">
        <v>2114.6588638647199</v>
      </c>
      <c r="E20" s="355">
        <v>1816.9546074137893</v>
      </c>
      <c r="F20" s="355">
        <v>3743.6985514820508</v>
      </c>
      <c r="G20" s="355">
        <v>3205.7880817190903</v>
      </c>
      <c r="H20" s="355">
        <v>4703.5115649961708</v>
      </c>
      <c r="I20" s="356"/>
      <c r="J20" s="355">
        <v>1669.3972627501896</v>
      </c>
      <c r="K20" s="355">
        <v>1555.6292337639075</v>
      </c>
      <c r="L20" s="355">
        <v>2574.3923269353627</v>
      </c>
      <c r="M20" s="355">
        <v>2211.9182686132353</v>
      </c>
      <c r="N20" s="355">
        <v>4174.2700554316179</v>
      </c>
      <c r="O20" s="357"/>
      <c r="P20" s="357"/>
      <c r="Q20" s="357"/>
      <c r="R20" s="357"/>
      <c r="S20" s="357"/>
    </row>
    <row r="21" spans="3:19" ht="18.75" x14ac:dyDescent="0.25">
      <c r="C21" s="354">
        <v>2016</v>
      </c>
      <c r="D21" s="355">
        <v>2132.3575489859822</v>
      </c>
      <c r="E21" s="355">
        <v>1822.7402149744682</v>
      </c>
      <c r="F21" s="355">
        <v>3539.8339751197832</v>
      </c>
      <c r="G21" s="355">
        <v>2670.0741800812211</v>
      </c>
      <c r="H21" s="355">
        <v>3861.5733497481929</v>
      </c>
      <c r="I21" s="356"/>
      <c r="J21" s="355">
        <v>1427.2642846289991</v>
      </c>
      <c r="K21" s="355">
        <v>1104.8595530776315</v>
      </c>
      <c r="L21" s="355">
        <v>3145.5007365505189</v>
      </c>
      <c r="M21" s="355">
        <v>2431.679303811713</v>
      </c>
      <c r="N21" s="355">
        <v>4985.4155374886313</v>
      </c>
    </row>
    <row r="22" spans="3:19" ht="18.75" x14ac:dyDescent="0.25">
      <c r="C22" s="354">
        <v>2017</v>
      </c>
      <c r="D22" s="355">
        <v>2224.0702003718384</v>
      </c>
      <c r="E22" s="355">
        <v>1804.9078349250497</v>
      </c>
      <c r="F22" s="355">
        <v>4048.1166762177209</v>
      </c>
      <c r="G22" s="355">
        <v>3004.4415695464822</v>
      </c>
      <c r="H22" s="355">
        <v>4504.3573275316849</v>
      </c>
      <c r="I22" s="356"/>
      <c r="J22" s="355">
        <v>1661.9052258007162</v>
      </c>
      <c r="K22" s="355">
        <v>1249.9157453830046</v>
      </c>
      <c r="L22" s="355">
        <v>3662.1453405717484</v>
      </c>
      <c r="M22" s="355">
        <v>2984.0171260500119</v>
      </c>
      <c r="N22" s="355">
        <v>4665.9694933448818</v>
      </c>
    </row>
    <row r="23" spans="3:19" ht="18.75" x14ac:dyDescent="0.25">
      <c r="C23" s="354">
        <v>2018</v>
      </c>
      <c r="D23" s="355">
        <v>2036.7543088754501</v>
      </c>
      <c r="E23" s="355">
        <v>1695.0178116154757</v>
      </c>
      <c r="F23" s="355">
        <v>3619.7357279962453</v>
      </c>
      <c r="G23" s="355">
        <v>3020.1667133203809</v>
      </c>
      <c r="H23" s="355">
        <v>6310.6355770228047</v>
      </c>
      <c r="I23" s="356"/>
      <c r="J23" s="355">
        <v>1704.346481936152</v>
      </c>
      <c r="K23" s="355">
        <v>1282.6934961717741</v>
      </c>
      <c r="L23" s="355">
        <v>3288.164708074185</v>
      </c>
      <c r="M23" s="355">
        <v>2920.3023145645252</v>
      </c>
      <c r="N23" s="355">
        <v>6763.5328469317055</v>
      </c>
    </row>
    <row r="24" spans="3:19" ht="18.75" x14ac:dyDescent="0.25">
      <c r="C24" s="354">
        <v>2019</v>
      </c>
      <c r="D24" s="355">
        <v>1918.7624868460491</v>
      </c>
      <c r="E24" s="355">
        <v>1700.2563328721005</v>
      </c>
      <c r="F24" s="355">
        <v>3306.483918804945</v>
      </c>
      <c r="G24" s="355">
        <v>2951.0397833639845</v>
      </c>
      <c r="H24" s="355">
        <v>3878.7700478943516</v>
      </c>
      <c r="I24" s="356"/>
      <c r="J24" s="355">
        <v>1685.686474668576</v>
      </c>
      <c r="K24" s="355">
        <v>1199.8336513339736</v>
      </c>
      <c r="L24" s="355">
        <v>3809.9314428180833</v>
      </c>
      <c r="M24" s="355">
        <v>3007.7862872278411</v>
      </c>
      <c r="N24" s="355">
        <v>4053.3367075647393</v>
      </c>
    </row>
    <row r="25" spans="3:19" ht="19.5" x14ac:dyDescent="0.25">
      <c r="C25" s="354">
        <v>2020</v>
      </c>
      <c r="D25" s="355">
        <v>1416.7732867783834</v>
      </c>
      <c r="E25" s="355">
        <v>1276.4437447150144</v>
      </c>
      <c r="F25" s="355">
        <v>2401.3767202354916</v>
      </c>
      <c r="G25" s="355">
        <v>2113.3204501344812</v>
      </c>
      <c r="H25" s="355">
        <v>3457.9294910748172</v>
      </c>
      <c r="I25" s="356"/>
      <c r="J25" s="355">
        <v>1323.1833296620866</v>
      </c>
      <c r="K25" s="355">
        <v>1051.5926916224673</v>
      </c>
      <c r="L25" s="355">
        <v>2593.0784841235031</v>
      </c>
      <c r="M25" s="355">
        <v>2133.4958609503437</v>
      </c>
      <c r="N25" s="355" t="s">
        <v>604</v>
      </c>
      <c r="O25" s="358"/>
    </row>
    <row r="26" spans="3:19" ht="18.75" x14ac:dyDescent="0.25">
      <c r="C26" s="354">
        <v>2021</v>
      </c>
      <c r="D26" s="355">
        <v>1563.5263665257667</v>
      </c>
      <c r="E26" s="355">
        <v>1375.2805835799165</v>
      </c>
      <c r="F26" s="355">
        <v>3086.5176824813661</v>
      </c>
      <c r="G26" s="355">
        <v>2716.3755969744216</v>
      </c>
      <c r="H26" s="355">
        <v>4727.2540401810311</v>
      </c>
      <c r="I26" s="356"/>
      <c r="J26" s="355">
        <v>1667.5584288612342</v>
      </c>
      <c r="K26" s="355">
        <v>1203.3903330894013</v>
      </c>
      <c r="L26" s="355">
        <v>4046.3885215401756</v>
      </c>
      <c r="M26" s="355">
        <v>3574.393886203377</v>
      </c>
      <c r="N26" s="355">
        <v>6203.3206052098631</v>
      </c>
      <c r="O26" s="358"/>
    </row>
    <row r="27" spans="3:19" ht="18.75" x14ac:dyDescent="0.25">
      <c r="C27" s="354">
        <v>2022</v>
      </c>
      <c r="D27" s="355">
        <v>1752.821119486754</v>
      </c>
      <c r="E27" s="355">
        <v>1605.8921549986983</v>
      </c>
      <c r="F27" s="355">
        <v>2902.0461534268397</v>
      </c>
      <c r="G27" s="355">
        <v>2390.2486192750666</v>
      </c>
      <c r="H27" s="355">
        <v>3784.039465295416</v>
      </c>
      <c r="I27" s="356"/>
      <c r="J27" s="355">
        <v>1505.4564012602737</v>
      </c>
      <c r="K27" s="355">
        <v>1301.0585162371544</v>
      </c>
      <c r="L27" s="355">
        <v>2553.7289714273957</v>
      </c>
      <c r="M27" s="355">
        <v>2169.3495090840393</v>
      </c>
      <c r="N27" s="355">
        <v>5242.938861333696</v>
      </c>
      <c r="O27" s="358"/>
    </row>
    <row r="28" spans="3:19" ht="18.75" x14ac:dyDescent="0.25">
      <c r="C28" s="354">
        <v>2023</v>
      </c>
      <c r="D28" s="355">
        <v>2011.1500253994373</v>
      </c>
      <c r="E28" s="355">
        <v>1790.241115509732</v>
      </c>
      <c r="F28" s="355">
        <v>3534.6598540343666</v>
      </c>
      <c r="G28" s="355">
        <v>3003.4796927554457</v>
      </c>
      <c r="H28" s="355">
        <v>6063.2347556327768</v>
      </c>
      <c r="I28" s="356"/>
      <c r="J28" s="355">
        <v>1656.9133957943707</v>
      </c>
      <c r="K28" s="355">
        <v>1530.2199369548753</v>
      </c>
      <c r="L28" s="355">
        <v>2321.3860091040165</v>
      </c>
      <c r="M28" s="355">
        <v>2191.346195844807</v>
      </c>
      <c r="N28" s="355">
        <v>2731.5873990616278</v>
      </c>
      <c r="O28" s="358"/>
    </row>
    <row r="29" spans="3:19" ht="18.75" x14ac:dyDescent="0.25">
      <c r="C29" s="354">
        <v>2024</v>
      </c>
      <c r="D29" s="355">
        <v>2343.0923396353905</v>
      </c>
      <c r="E29" s="355">
        <v>2031.3434359508274</v>
      </c>
      <c r="F29" s="355">
        <v>4372.8553662140357</v>
      </c>
      <c r="G29" s="355">
        <v>3497.7080447031949</v>
      </c>
      <c r="H29" s="355">
        <v>4997.6348999273996</v>
      </c>
      <c r="I29" s="356"/>
      <c r="J29" s="355">
        <v>1744.929431328417</v>
      </c>
      <c r="K29" s="355">
        <v>1569.5018202822366</v>
      </c>
      <c r="L29" s="355">
        <v>2975.952317389203</v>
      </c>
      <c r="M29" s="355">
        <v>2798.506846912308</v>
      </c>
      <c r="N29" s="355">
        <v>2115.7226838969291</v>
      </c>
      <c r="O29" s="358"/>
    </row>
    <row r="30" spans="3:19" ht="18.75" x14ac:dyDescent="0.25">
      <c r="C30" s="2552" t="s">
        <v>605</v>
      </c>
      <c r="D30" s="2552"/>
      <c r="E30" s="2552"/>
      <c r="F30" s="2552"/>
      <c r="G30" s="2552"/>
      <c r="H30" s="2552"/>
      <c r="I30" s="2552"/>
      <c r="J30" s="2552"/>
      <c r="K30" s="2552"/>
      <c r="L30" s="2552"/>
      <c r="M30" s="2552"/>
      <c r="N30" s="2552"/>
    </row>
    <row r="31" spans="3:19" ht="18.75" x14ac:dyDescent="0.4">
      <c r="C31" s="5" t="s">
        <v>8142</v>
      </c>
      <c r="D31" s="5"/>
      <c r="E31" s="5"/>
      <c r="F31" s="5"/>
      <c r="G31" s="5"/>
      <c r="H31" s="5"/>
      <c r="I31" s="5"/>
      <c r="J31" s="5"/>
      <c r="K31" s="5"/>
      <c r="L31" s="5"/>
      <c r="M31" s="5"/>
      <c r="N31" s="5"/>
    </row>
    <row r="32" spans="3:19" ht="16.5" x14ac:dyDescent="0.35">
      <c r="C32" s="17"/>
      <c r="D32" s="17"/>
      <c r="E32" s="17"/>
      <c r="F32" s="17"/>
      <c r="G32" s="17"/>
      <c r="H32" s="17"/>
      <c r="I32" s="17"/>
      <c r="J32" s="17"/>
      <c r="K32" s="17"/>
      <c r="L32" s="17"/>
      <c r="M32" s="17"/>
      <c r="N32" s="17"/>
    </row>
    <row r="34" spans="3:3" ht="19.5" x14ac:dyDescent="0.25">
      <c r="C34" s="105" t="s">
        <v>8143</v>
      </c>
    </row>
    <row r="55" spans="3:3" ht="18.75" x14ac:dyDescent="0.25">
      <c r="C55" s="36" t="s">
        <v>8144</v>
      </c>
    </row>
  </sheetData>
  <mergeCells count="20">
    <mergeCell ref="A5:B5"/>
    <mergeCell ref="C5:X5"/>
    <mergeCell ref="C1:E1"/>
    <mergeCell ref="A3:B3"/>
    <mergeCell ref="C3:X3"/>
    <mergeCell ref="A4:B4"/>
    <mergeCell ref="C4:X4"/>
    <mergeCell ref="K13:K14"/>
    <mergeCell ref="L13:N13"/>
    <mergeCell ref="C30:N30"/>
    <mergeCell ref="A6:B6"/>
    <mergeCell ref="C6:X6"/>
    <mergeCell ref="C11:C14"/>
    <mergeCell ref="D11:N11"/>
    <mergeCell ref="D12:H12"/>
    <mergeCell ref="J12:N12"/>
    <mergeCell ref="D13:D14"/>
    <mergeCell ref="E13:E14"/>
    <mergeCell ref="F13:H13"/>
    <mergeCell ref="J13:J14"/>
  </mergeCells>
  <hyperlinks>
    <hyperlink ref="A1" location="'ODS 2.'!A1" display="REGRESAR" xr:uid="{DAFE924E-760E-4CB3-BB51-38B9E203226E}"/>
    <hyperlink ref="C1" location="'Metadato 2.3.2'!A1" display="VER METADATO" xr:uid="{43D135B8-141E-4A99-82B0-99231A27C781}"/>
  </hyperlinks>
  <pageMargins left="0.7" right="0.7" top="0.75" bottom="0.75" header="0.3" footer="0.3"/>
  <pageSetup orientation="portrait" horizontalDpi="4294967294" verticalDpi="4294967294" r:id="rId1"/>
  <drawing r:id="rId2"/>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C426-ECFF-4A28-9AFF-63A08A81ED1E}">
  <sheetPr>
    <tabColor theme="5"/>
  </sheetPr>
  <dimension ref="A1:P27"/>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 style="115" customWidth="1"/>
    <col min="3" max="3" width="12.5703125" style="1048" customWidth="1"/>
    <col min="4" max="8" width="12.5703125" style="115" customWidth="1"/>
    <col min="9" max="16384" width="11.42578125" style="115"/>
  </cols>
  <sheetData>
    <row r="1" spans="1:16" x14ac:dyDescent="0.4">
      <c r="A1" s="90" t="s">
        <v>39</v>
      </c>
      <c r="B1" s="1311"/>
      <c r="C1" s="2541" t="s">
        <v>149</v>
      </c>
      <c r="D1" s="2541"/>
    </row>
    <row r="2" spans="1:16" ht="16.5" customHeight="1" x14ac:dyDescent="0.4"/>
    <row r="3" spans="1:16" ht="35.450000000000003" customHeight="1" x14ac:dyDescent="0.4">
      <c r="A3" s="3443" t="s">
        <v>41</v>
      </c>
      <c r="B3" s="3449"/>
      <c r="C3" s="3445" t="s">
        <v>6994</v>
      </c>
      <c r="D3" s="3450"/>
      <c r="E3" s="3450"/>
      <c r="F3" s="3450"/>
      <c r="G3" s="3450"/>
      <c r="H3" s="3450"/>
      <c r="I3" s="3450"/>
      <c r="J3" s="3450"/>
      <c r="K3" s="3450"/>
      <c r="L3" s="3450"/>
      <c r="M3" s="3450"/>
      <c r="N3" s="3450"/>
      <c r="O3" s="3450"/>
      <c r="P3" s="3450"/>
    </row>
    <row r="4" spans="1:16" ht="39" customHeight="1" x14ac:dyDescent="0.4">
      <c r="A4" s="3443" t="s">
        <v>42</v>
      </c>
      <c r="B4" s="3444"/>
      <c r="C4" s="3445" t="s">
        <v>6995</v>
      </c>
      <c r="D4" s="3450"/>
      <c r="E4" s="3450"/>
      <c r="F4" s="3450"/>
      <c r="G4" s="3450"/>
      <c r="H4" s="3450"/>
      <c r="I4" s="3450"/>
      <c r="J4" s="3450"/>
      <c r="K4" s="3450"/>
      <c r="L4" s="3450"/>
      <c r="M4" s="3450"/>
      <c r="N4" s="3450"/>
      <c r="O4" s="3450"/>
      <c r="P4" s="3450"/>
    </row>
    <row r="5" spans="1:16" ht="18.600000000000001" customHeight="1" x14ac:dyDescent="0.4">
      <c r="A5" s="3443" t="s">
        <v>43</v>
      </c>
      <c r="B5" s="3444"/>
      <c r="C5" s="3443" t="s">
        <v>6999</v>
      </c>
      <c r="D5" s="3446"/>
      <c r="E5" s="3446"/>
      <c r="F5" s="3446"/>
      <c r="G5" s="3446"/>
      <c r="H5" s="3446"/>
      <c r="I5" s="3446"/>
      <c r="J5" s="3446"/>
      <c r="K5" s="3446"/>
      <c r="L5" s="3446"/>
      <c r="M5" s="3446"/>
      <c r="N5" s="3446"/>
      <c r="O5" s="3446"/>
      <c r="P5" s="3446"/>
    </row>
    <row r="6" spans="1:16" ht="19.5"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x14ac:dyDescent="0.4">
      <c r="A8" s="536"/>
    </row>
    <row r="9" spans="1:16" ht="11.25" customHeight="1" x14ac:dyDescent="0.4">
      <c r="A9" s="536"/>
      <c r="C9" s="2506" t="s">
        <v>243</v>
      </c>
      <c r="D9" s="2506"/>
      <c r="E9" s="2506"/>
      <c r="F9" s="2506"/>
      <c r="G9" s="2506"/>
      <c r="H9" s="2506"/>
      <c r="I9" s="2506"/>
      <c r="J9" s="2506"/>
      <c r="K9" s="2506"/>
      <c r="L9" s="2506"/>
      <c r="M9" s="2506"/>
      <c r="N9" s="2506"/>
      <c r="O9" s="2506"/>
      <c r="P9" s="2506"/>
    </row>
    <row r="10" spans="1:16" ht="11.25" customHeight="1" x14ac:dyDescent="0.4">
      <c r="A10" s="835"/>
      <c r="C10" s="2506"/>
      <c r="D10" s="2506"/>
      <c r="E10" s="2506"/>
      <c r="F10" s="2506"/>
      <c r="G10" s="2506"/>
      <c r="H10" s="2506"/>
      <c r="I10" s="2506"/>
      <c r="J10" s="2506"/>
      <c r="K10" s="2506"/>
      <c r="L10" s="2506"/>
      <c r="M10" s="2506"/>
      <c r="N10" s="2506"/>
      <c r="O10" s="2506"/>
      <c r="P10" s="2506"/>
    </row>
    <row r="11" spans="1:16" x14ac:dyDescent="0.4">
      <c r="A11" s="536"/>
    </row>
    <row r="12" spans="1:16" x14ac:dyDescent="0.4">
      <c r="A12" s="536"/>
    </row>
    <row r="13" spans="1:16" x14ac:dyDescent="0.4">
      <c r="A13" s="536"/>
    </row>
    <row r="14" spans="1:16" x14ac:dyDescent="0.4">
      <c r="A14" s="835"/>
    </row>
    <row r="15" spans="1:16" x14ac:dyDescent="0.4">
      <c r="A15" s="536"/>
    </row>
    <row r="16" spans="1:16" x14ac:dyDescent="0.4">
      <c r="A16" s="536"/>
    </row>
    <row r="17" spans="1:1" x14ac:dyDescent="0.4">
      <c r="A17" s="536"/>
    </row>
    <row r="18" spans="1:1" x14ac:dyDescent="0.4">
      <c r="A18" s="835"/>
    </row>
    <row r="19" spans="1:1" x14ac:dyDescent="0.4">
      <c r="A19" s="536"/>
    </row>
    <row r="20" spans="1:1" x14ac:dyDescent="0.4">
      <c r="A20" s="536"/>
    </row>
    <row r="21" spans="1:1" x14ac:dyDescent="0.4">
      <c r="A21" s="536"/>
    </row>
    <row r="22" spans="1:1" x14ac:dyDescent="0.4">
      <c r="A22" s="835"/>
    </row>
    <row r="23" spans="1:1" x14ac:dyDescent="0.4">
      <c r="A23" s="536"/>
    </row>
    <row r="24" spans="1:1" x14ac:dyDescent="0.4">
      <c r="A24" s="536"/>
    </row>
    <row r="25" spans="1:1" x14ac:dyDescent="0.4">
      <c r="A25" s="536"/>
    </row>
    <row r="26" spans="1:1" x14ac:dyDescent="0.4">
      <c r="A26" s="835"/>
    </row>
    <row r="27" spans="1:1" x14ac:dyDescent="0.4">
      <c r="A27" s="53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89A7FE25-D8B7-48E0-B24C-130F10B8DE79}"/>
    <hyperlink ref="C1:D1" location="'Metadato 15.1.2'!A1" display="VER METADATO" xr:uid="{DF4E6165-02F8-4F8A-822C-F25BC690E5A3}"/>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B2FD-5701-4D36-8790-1F3F8331943A}">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244</v>
      </c>
    </row>
    <row r="4" spans="1:6" ht="56.25" x14ac:dyDescent="0.4">
      <c r="A4" s="283"/>
      <c r="B4" s="2425" t="s">
        <v>234</v>
      </c>
      <c r="C4" s="2425"/>
      <c r="D4" s="49" t="s">
        <v>7056</v>
      </c>
    </row>
    <row r="5" spans="1:6" ht="75" x14ac:dyDescent="0.4">
      <c r="B5" s="2425" t="s">
        <v>79</v>
      </c>
      <c r="C5" s="2425"/>
      <c r="D5" s="49" t="s">
        <v>6995</v>
      </c>
    </row>
    <row r="6" spans="1:6" x14ac:dyDescent="0.4">
      <c r="B6" s="2425" t="s">
        <v>80</v>
      </c>
      <c r="C6" s="2425"/>
      <c r="D6" s="50" t="s">
        <v>6998</v>
      </c>
    </row>
    <row r="7" spans="1:6" ht="37.5" x14ac:dyDescent="0.4">
      <c r="B7" s="2426" t="s">
        <v>81</v>
      </c>
      <c r="C7" s="2426"/>
      <c r="D7" s="93" t="s">
        <v>6999</v>
      </c>
    </row>
    <row r="8" spans="1:6" x14ac:dyDescent="0.4">
      <c r="B8" s="2426" t="s">
        <v>82</v>
      </c>
      <c r="C8" s="2426"/>
      <c r="D8" s="1047" t="s">
        <v>7080</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7081</v>
      </c>
    </row>
    <row r="25" spans="2:4" x14ac:dyDescent="0.4">
      <c r="B25" s="2425" t="s">
        <v>113</v>
      </c>
      <c r="C25" s="2425"/>
      <c r="D25" s="55"/>
    </row>
    <row r="26" spans="2:4" x14ac:dyDescent="0.4">
      <c r="B26" s="2426" t="s">
        <v>115</v>
      </c>
      <c r="C26" s="2426"/>
      <c r="D26" s="826" t="s">
        <v>6979</v>
      </c>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826" t="s">
        <v>6981</v>
      </c>
    </row>
    <row r="33" spans="2:4" x14ac:dyDescent="0.4">
      <c r="B33" s="2427" t="s">
        <v>124</v>
      </c>
      <c r="C33" s="2428"/>
      <c r="D33" s="826" t="s">
        <v>4646</v>
      </c>
    </row>
    <row r="34" spans="2:4" x14ac:dyDescent="0.4">
      <c r="B34" s="2427" t="s">
        <v>126</v>
      </c>
      <c r="C34" s="2428"/>
      <c r="D34" s="826" t="s">
        <v>4641</v>
      </c>
    </row>
    <row r="35" spans="2:4" x14ac:dyDescent="0.4">
      <c r="B35" s="2427" t="s">
        <v>128</v>
      </c>
      <c r="C35" s="2428"/>
      <c r="D35" s="826" t="s">
        <v>7071</v>
      </c>
    </row>
    <row r="36" spans="2:4" x14ac:dyDescent="0.4">
      <c r="B36" s="2427" t="s">
        <v>130</v>
      </c>
      <c r="C36" s="2428"/>
      <c r="D36" s="1667" t="s">
        <v>6984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1958477-C869-420D-B1F6-4664B13076DD}"/>
    <dataValidation type="list" allowBlank="1" showInputMessage="1" showErrorMessage="1" sqref="D4" xr:uid="{472AB5DF-D660-4843-9B8A-02D405065C1B}">
      <formula1>ODS</formula1>
    </dataValidation>
    <dataValidation type="list" allowBlank="1" showInputMessage="1" showErrorMessage="1" sqref="D5" xr:uid="{471807AA-2CC0-4986-9246-25C790EF5677}">
      <formula1>Metas_ODS</formula1>
    </dataValidation>
    <dataValidation type="list" allowBlank="1" showInputMessage="1" showErrorMessage="1" sqref="D6" xr:uid="{0D670DD6-2F40-4404-87AB-664A29160F6A}">
      <formula1>Numero_indicador</formula1>
    </dataValidation>
    <dataValidation type="list" allowBlank="1" showInputMessage="1" showErrorMessage="1" sqref="D7" xr:uid="{D8E5C5D2-140E-443F-8210-3B8DC440F4C6}">
      <formula1>Nombre_indicador_ODS</formula1>
    </dataValidation>
    <dataValidation type="list" allowBlank="1" showInputMessage="1" showErrorMessage="1" sqref="D14" xr:uid="{A2572DA2-FF1A-4852-A47D-FA96F9560298}">
      <formula1>Tipo_indicador</formula1>
    </dataValidation>
    <dataValidation type="list" allowBlank="1" showInputMessage="1" showErrorMessage="1" sqref="D25" xr:uid="{6354BB20-DB21-4AE6-9539-88D7555B78C9}">
      <formula1>Tipo_operación</formula1>
    </dataValidation>
  </dataValidations>
  <hyperlinks>
    <hyperlink ref="B1" location="'15.1.2'!A1" display="REGRESAR" xr:uid="{5972752C-298B-46DE-A0C6-75DEC76069DE}"/>
    <hyperlink ref="D36" r:id="rId1" xr:uid="{A361098A-9043-492A-84DC-4E0BE40EF5D8}"/>
    <hyperlink ref="D8" r:id="rId2" xr:uid="{A00BE53A-BF92-4D31-A628-78073ACE4F88}"/>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C8EF-E126-408E-9E21-00B442FE1959}">
  <dimension ref="A1:R78"/>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5703125" style="115" customWidth="1"/>
    <col min="3" max="3" width="11.42578125" style="115"/>
    <col min="4" max="4" width="19.5703125" style="115" customWidth="1"/>
    <col min="5" max="5" width="22" style="115" customWidth="1"/>
    <col min="6" max="6" width="19.5703125" style="115" customWidth="1"/>
    <col min="7" max="7" width="20.42578125" style="115" customWidth="1"/>
    <col min="8" max="8" width="11.42578125" style="115"/>
    <col min="9" max="9" width="14" style="115" customWidth="1"/>
    <col min="10" max="10" width="11.42578125" style="115"/>
    <col min="11" max="11" width="11.5703125" style="115" bestFit="1" customWidth="1"/>
    <col min="12" max="12" width="12.28515625" style="115" bestFit="1" customWidth="1"/>
    <col min="13" max="13" width="14.7109375" style="115" bestFit="1" customWidth="1"/>
    <col min="14" max="14" width="11.5703125" style="115" bestFit="1" customWidth="1"/>
    <col min="15" max="16384" width="11.42578125" style="115"/>
  </cols>
  <sheetData>
    <row r="1" spans="1:18" x14ac:dyDescent="0.4">
      <c r="A1" s="90" t="s">
        <v>39</v>
      </c>
      <c r="C1" s="2541" t="s">
        <v>149</v>
      </c>
      <c r="D1" s="2541"/>
    </row>
    <row r="3" spans="1:18" ht="18.600000000000001" customHeight="1" x14ac:dyDescent="0.4">
      <c r="A3" s="3443" t="s">
        <v>41</v>
      </c>
      <c r="B3" s="3449"/>
      <c r="C3" s="3445" t="s">
        <v>6994</v>
      </c>
      <c r="D3" s="3450"/>
      <c r="E3" s="3450"/>
      <c r="F3" s="3450"/>
      <c r="G3" s="3450"/>
      <c r="H3" s="3450"/>
      <c r="I3" s="3450"/>
      <c r="J3" s="3450"/>
      <c r="K3" s="3450"/>
      <c r="L3" s="3450"/>
      <c r="M3" s="3450"/>
      <c r="N3" s="3450"/>
      <c r="O3" s="3450"/>
      <c r="P3" s="3450"/>
      <c r="Q3" s="3450"/>
      <c r="R3" s="3450"/>
    </row>
    <row r="4" spans="1:18" ht="19.149999999999999" customHeight="1" x14ac:dyDescent="0.4">
      <c r="A4" s="3443" t="s">
        <v>42</v>
      </c>
      <c r="B4" s="3444"/>
      <c r="C4" s="3445" t="s">
        <v>7000</v>
      </c>
      <c r="D4" s="3450"/>
      <c r="E4" s="3450"/>
      <c r="F4" s="3450"/>
      <c r="G4" s="3450"/>
      <c r="H4" s="3450"/>
      <c r="I4" s="3450"/>
      <c r="J4" s="3450"/>
      <c r="K4" s="3450"/>
      <c r="L4" s="3450"/>
      <c r="M4" s="3450"/>
      <c r="N4" s="3450"/>
      <c r="O4" s="3450"/>
      <c r="P4" s="3450"/>
      <c r="Q4" s="3450"/>
      <c r="R4" s="3450"/>
    </row>
    <row r="5" spans="1:18" ht="16.899999999999999" customHeight="1" x14ac:dyDescent="0.4">
      <c r="A5" s="3443" t="s">
        <v>43</v>
      </c>
      <c r="B5" s="3444"/>
      <c r="C5" s="3443" t="s">
        <v>7002</v>
      </c>
      <c r="D5" s="3446"/>
      <c r="E5" s="3446"/>
      <c r="F5" s="3446"/>
      <c r="G5" s="3446"/>
      <c r="H5" s="3446"/>
      <c r="I5" s="3446"/>
      <c r="J5" s="3446"/>
      <c r="K5" s="3446"/>
      <c r="L5" s="3446"/>
      <c r="M5" s="3446"/>
      <c r="N5" s="3446"/>
      <c r="O5" s="3446"/>
      <c r="P5" s="3446"/>
      <c r="Q5" s="3446"/>
      <c r="R5" s="3446"/>
    </row>
    <row r="6" spans="1:18" ht="94.9" customHeight="1" x14ac:dyDescent="0.4">
      <c r="A6" s="3443" t="s">
        <v>132</v>
      </c>
      <c r="B6" s="3444"/>
      <c r="C6" s="3445" t="s">
        <v>7082</v>
      </c>
      <c r="D6" s="3446"/>
      <c r="E6" s="3446"/>
      <c r="F6" s="3446"/>
      <c r="G6" s="3446"/>
      <c r="H6" s="3446"/>
      <c r="I6" s="3446"/>
      <c r="J6" s="3446"/>
      <c r="K6" s="3446"/>
      <c r="L6" s="3446"/>
      <c r="M6" s="3446"/>
      <c r="N6" s="3446"/>
      <c r="O6" s="3446"/>
      <c r="P6" s="3446"/>
      <c r="Q6" s="3446"/>
      <c r="R6" s="3446"/>
    </row>
    <row r="9" spans="1:18" ht="19.5" x14ac:dyDescent="0.4">
      <c r="B9" s="226" t="s">
        <v>7083</v>
      </c>
      <c r="C9" s="138" t="s">
        <v>7084</v>
      </c>
      <c r="D9" s="138"/>
    </row>
    <row r="10" spans="1:18" ht="19.5" x14ac:dyDescent="0.4">
      <c r="B10" s="226"/>
      <c r="C10" s="138" t="s">
        <v>7085</v>
      </c>
      <c r="D10" s="138"/>
    </row>
    <row r="11" spans="1:18" ht="9.6" customHeight="1" x14ac:dyDescent="0.4">
      <c r="B11" s="155"/>
      <c r="C11" s="533"/>
      <c r="D11" s="533"/>
    </row>
    <row r="12" spans="1:18" x14ac:dyDescent="0.4">
      <c r="B12" s="155"/>
      <c r="C12" s="2046" t="s">
        <v>46</v>
      </c>
      <c r="D12" s="2046" t="s">
        <v>98</v>
      </c>
    </row>
    <row r="13" spans="1:18" x14ac:dyDescent="0.4">
      <c r="B13" s="155"/>
      <c r="C13" s="115" t="s">
        <v>7086</v>
      </c>
      <c r="D13" s="115">
        <v>0.05</v>
      </c>
    </row>
    <row r="14" spans="1:18" x14ac:dyDescent="0.4">
      <c r="B14" s="155"/>
      <c r="C14" s="115" t="s">
        <v>7087</v>
      </c>
      <c r="D14" s="115">
        <v>0.56000000000000005</v>
      </c>
    </row>
    <row r="15" spans="1:18" x14ac:dyDescent="0.4">
      <c r="B15" s="155"/>
      <c r="C15" s="115" t="s">
        <v>3360</v>
      </c>
      <c r="D15" s="115">
        <v>0.55000000000000004</v>
      </c>
    </row>
    <row r="16" spans="1:18" x14ac:dyDescent="0.4">
      <c r="B16" s="155"/>
      <c r="C16" s="115" t="s">
        <v>3361</v>
      </c>
      <c r="D16" s="115">
        <v>0.55000000000000004</v>
      </c>
    </row>
    <row r="17" spans="2:9" x14ac:dyDescent="0.4">
      <c r="B17" s="155"/>
      <c r="C17" s="115" t="s">
        <v>3362</v>
      </c>
      <c r="D17" s="115">
        <v>0.54</v>
      </c>
    </row>
    <row r="18" spans="2:9" x14ac:dyDescent="0.4">
      <c r="B18" s="155"/>
      <c r="C18" s="115" t="s">
        <v>3363</v>
      </c>
      <c r="D18" s="537" t="s">
        <v>7088</v>
      </c>
    </row>
    <row r="19" spans="2:9" x14ac:dyDescent="0.4">
      <c r="B19" s="155"/>
      <c r="C19" s="120" t="s">
        <v>3365</v>
      </c>
      <c r="D19" s="1497" t="s">
        <v>7088</v>
      </c>
    </row>
    <row r="20" spans="2:9" x14ac:dyDescent="0.4">
      <c r="B20" s="155"/>
      <c r="C20" s="1566" t="s">
        <v>7089</v>
      </c>
      <c r="D20" s="1566"/>
    </row>
    <row r="21" spans="2:9" ht="19.899999999999999" customHeight="1" x14ac:dyDescent="0.4">
      <c r="B21" s="155"/>
      <c r="C21" s="1527" t="s">
        <v>7090</v>
      </c>
    </row>
    <row r="22" spans="2:9" x14ac:dyDescent="0.4">
      <c r="B22" s="155"/>
      <c r="C22" s="155" t="s">
        <v>7091</v>
      </c>
      <c r="D22" s="155"/>
      <c r="E22" s="1311"/>
    </row>
    <row r="23" spans="2:9" x14ac:dyDescent="0.4">
      <c r="B23" s="155"/>
    </row>
    <row r="24" spans="2:9" ht="15" customHeight="1" x14ac:dyDescent="0.4">
      <c r="B24" s="155"/>
      <c r="C24" s="3458" t="s">
        <v>247</v>
      </c>
      <c r="D24" s="2047" t="s">
        <v>7092</v>
      </c>
      <c r="E24" s="2047" t="s">
        <v>7093</v>
      </c>
      <c r="F24" s="2047" t="s">
        <v>7094</v>
      </c>
      <c r="G24" s="2047" t="s">
        <v>7095</v>
      </c>
    </row>
    <row r="25" spans="2:9" ht="65.25" customHeight="1" x14ac:dyDescent="0.4">
      <c r="C25" s="3459"/>
      <c r="D25" s="2048" t="s">
        <v>7096</v>
      </c>
      <c r="E25" s="2048" t="s">
        <v>7097</v>
      </c>
      <c r="F25" s="2049" t="s">
        <v>7098</v>
      </c>
      <c r="G25" s="2049" t="s">
        <v>7099</v>
      </c>
    </row>
    <row r="26" spans="2:9" x14ac:dyDescent="0.4">
      <c r="B26" s="155"/>
      <c r="C26" s="198">
        <v>2000</v>
      </c>
      <c r="D26" s="232">
        <v>196</v>
      </c>
      <c r="E26" s="232" t="s">
        <v>751</v>
      </c>
      <c r="F26" s="232" t="s">
        <v>751</v>
      </c>
      <c r="G26" s="232">
        <v>87.97</v>
      </c>
      <c r="I26" s="198"/>
    </row>
    <row r="27" spans="2:9" x14ac:dyDescent="0.4">
      <c r="B27" s="155"/>
      <c r="C27" s="198">
        <v>2010</v>
      </c>
      <c r="D27" s="232">
        <v>196</v>
      </c>
      <c r="E27" s="232" t="s">
        <v>751</v>
      </c>
      <c r="F27" s="232" t="s">
        <v>751</v>
      </c>
      <c r="G27" s="232">
        <v>56.24</v>
      </c>
      <c r="I27" s="198"/>
    </row>
    <row r="28" spans="2:9" x14ac:dyDescent="0.4">
      <c r="B28" s="155"/>
      <c r="C28" s="198">
        <v>2015</v>
      </c>
      <c r="D28" s="232">
        <v>196</v>
      </c>
      <c r="E28" s="232">
        <v>42.86</v>
      </c>
      <c r="F28" s="232">
        <v>36.03</v>
      </c>
      <c r="G28" s="232">
        <v>54.91</v>
      </c>
      <c r="I28" s="198"/>
    </row>
    <row r="29" spans="2:9" x14ac:dyDescent="0.4">
      <c r="B29" s="155"/>
      <c r="C29" s="198">
        <v>2016</v>
      </c>
      <c r="D29" s="232">
        <v>196</v>
      </c>
      <c r="E29" s="232">
        <v>42.86</v>
      </c>
      <c r="F29" s="232">
        <v>36.58</v>
      </c>
      <c r="G29" s="232">
        <v>46.68</v>
      </c>
      <c r="I29" s="198"/>
    </row>
    <row r="30" spans="2:9" x14ac:dyDescent="0.4">
      <c r="B30" s="155"/>
      <c r="C30" s="198">
        <v>2017</v>
      </c>
      <c r="D30" s="232">
        <v>196</v>
      </c>
      <c r="E30" s="232">
        <v>42.86</v>
      </c>
      <c r="F30" s="232">
        <v>37.14</v>
      </c>
      <c r="G30" s="232">
        <v>41.87</v>
      </c>
      <c r="I30" s="198"/>
    </row>
    <row r="31" spans="2:9" x14ac:dyDescent="0.4">
      <c r="B31" s="155"/>
      <c r="C31" s="198">
        <v>2018</v>
      </c>
      <c r="D31" s="232">
        <v>196</v>
      </c>
      <c r="E31" s="232">
        <v>44.08</v>
      </c>
      <c r="F31" s="232">
        <v>36.47</v>
      </c>
      <c r="G31" s="232">
        <v>39.43</v>
      </c>
      <c r="I31" s="198"/>
    </row>
    <row r="32" spans="2:9" x14ac:dyDescent="0.4">
      <c r="B32" s="155"/>
      <c r="C32" s="198">
        <v>2019</v>
      </c>
      <c r="D32" s="232" t="s">
        <v>7100</v>
      </c>
      <c r="E32" s="232" t="s">
        <v>7101</v>
      </c>
      <c r="F32" s="232" t="s">
        <v>7102</v>
      </c>
      <c r="G32" s="232" t="s">
        <v>751</v>
      </c>
      <c r="I32" s="198"/>
    </row>
    <row r="33" spans="2:9" x14ac:dyDescent="0.4">
      <c r="B33" s="155"/>
      <c r="C33" s="606">
        <v>2020</v>
      </c>
      <c r="D33" s="795" t="s">
        <v>7100</v>
      </c>
      <c r="E33" s="795" t="s">
        <v>7101</v>
      </c>
      <c r="F33" s="795" t="s">
        <v>7103</v>
      </c>
      <c r="G33" s="795" t="s">
        <v>751</v>
      </c>
      <c r="I33" s="198"/>
    </row>
    <row r="34" spans="2:9" x14ac:dyDescent="0.4">
      <c r="B34" s="155"/>
      <c r="C34" s="1566" t="s">
        <v>7089</v>
      </c>
      <c r="D34" s="1566"/>
      <c r="E34" s="1566"/>
      <c r="F34" s="1566"/>
      <c r="G34" s="1566"/>
      <c r="H34" s="198"/>
    </row>
    <row r="35" spans="2:9" ht="12.75" customHeight="1" x14ac:dyDescent="0.4">
      <c r="B35" s="155"/>
      <c r="C35" s="155" t="s">
        <v>7104</v>
      </c>
      <c r="D35" s="155"/>
      <c r="E35" s="155"/>
      <c r="F35" s="155"/>
      <c r="G35" s="155"/>
      <c r="H35" s="1063"/>
    </row>
    <row r="36" spans="2:9" ht="17.45" customHeight="1" x14ac:dyDescent="0.4">
      <c r="B36" s="155"/>
      <c r="C36" s="155" t="s">
        <v>7105</v>
      </c>
      <c r="D36" s="155"/>
      <c r="E36" s="155"/>
      <c r="F36" s="155"/>
      <c r="G36" s="155"/>
    </row>
    <row r="37" spans="2:9" ht="17.45" customHeight="1" x14ac:dyDescent="0.4">
      <c r="B37" s="155"/>
      <c r="C37" s="115" t="s">
        <v>7106</v>
      </c>
    </row>
    <row r="38" spans="2:9" ht="17.45" customHeight="1" x14ac:dyDescent="0.4">
      <c r="C38" s="155" t="s">
        <v>7107</v>
      </c>
      <c r="D38" s="155"/>
      <c r="E38" s="155"/>
      <c r="F38" s="155"/>
      <c r="G38" s="155"/>
    </row>
    <row r="39" spans="2:9" ht="11.25" customHeight="1" x14ac:dyDescent="0.4">
      <c r="B39" s="155"/>
    </row>
    <row r="40" spans="2:9" x14ac:dyDescent="0.4">
      <c r="B40" s="155"/>
    </row>
    <row r="41" spans="2:9" x14ac:dyDescent="0.4">
      <c r="B41" s="155"/>
    </row>
    <row r="42" spans="2:9" x14ac:dyDescent="0.4">
      <c r="B42" s="155"/>
    </row>
    <row r="43" spans="2:9" x14ac:dyDescent="0.4">
      <c r="B43" s="155"/>
    </row>
    <row r="44" spans="2:9" x14ac:dyDescent="0.4">
      <c r="B44" s="155"/>
    </row>
    <row r="45" spans="2:9" x14ac:dyDescent="0.4">
      <c r="B45" s="155"/>
    </row>
    <row r="46" spans="2:9" x14ac:dyDescent="0.4">
      <c r="B46" s="155"/>
    </row>
    <row r="47" spans="2:9" x14ac:dyDescent="0.4">
      <c r="B47" s="155"/>
    </row>
    <row r="48" spans="2:9" x14ac:dyDescent="0.4">
      <c r="B48" s="155"/>
    </row>
    <row r="49" spans="2:2" ht="47.25" customHeight="1" x14ac:dyDescent="0.4">
      <c r="B49" s="155"/>
    </row>
    <row r="50" spans="2:2" x14ac:dyDescent="0.4">
      <c r="B50" s="155"/>
    </row>
    <row r="51" spans="2:2" x14ac:dyDescent="0.4">
      <c r="B51" s="155"/>
    </row>
    <row r="52" spans="2:2" ht="24" customHeight="1" x14ac:dyDescent="0.4"/>
    <row r="53" spans="2:2" x14ac:dyDescent="0.4">
      <c r="B53" s="155"/>
    </row>
    <row r="54" spans="2:2" x14ac:dyDescent="0.4">
      <c r="B54" s="155"/>
    </row>
    <row r="55" spans="2:2" x14ac:dyDescent="0.4">
      <c r="B55" s="155"/>
    </row>
    <row r="56" spans="2:2" x14ac:dyDescent="0.4">
      <c r="B56" s="155"/>
    </row>
    <row r="57" spans="2:2" x14ac:dyDescent="0.4">
      <c r="B57" s="155"/>
    </row>
    <row r="58" spans="2:2" x14ac:dyDescent="0.4">
      <c r="B58" s="155"/>
    </row>
    <row r="59" spans="2:2" x14ac:dyDescent="0.4">
      <c r="B59" s="155"/>
    </row>
    <row r="60" spans="2:2" x14ac:dyDescent="0.4">
      <c r="B60" s="155"/>
    </row>
    <row r="61" spans="2:2" x14ac:dyDescent="0.4">
      <c r="B61" s="155"/>
    </row>
    <row r="62" spans="2:2" x14ac:dyDescent="0.4">
      <c r="B62" s="155"/>
    </row>
    <row r="63" spans="2:2" ht="48.75" customHeight="1" x14ac:dyDescent="0.4">
      <c r="B63" s="155"/>
    </row>
    <row r="64" spans="2:2" x14ac:dyDescent="0.4">
      <c r="B64" s="155"/>
    </row>
    <row r="65" spans="2:2" x14ac:dyDescent="0.4">
      <c r="B65" s="155"/>
    </row>
    <row r="66" spans="2:2" x14ac:dyDescent="0.4">
      <c r="B66" s="155"/>
    </row>
    <row r="67" spans="2:2" ht="43.5" customHeight="1" x14ac:dyDescent="0.4"/>
    <row r="68" spans="2:2" x14ac:dyDescent="0.4">
      <c r="B68" s="155"/>
    </row>
    <row r="69" spans="2:2" x14ac:dyDescent="0.4">
      <c r="B69" s="155"/>
    </row>
    <row r="70" spans="2:2" x14ac:dyDescent="0.4">
      <c r="B70" s="155"/>
    </row>
    <row r="71" spans="2:2" x14ac:dyDescent="0.4">
      <c r="B71" s="155"/>
    </row>
    <row r="72" spans="2:2" x14ac:dyDescent="0.4">
      <c r="B72" s="155"/>
    </row>
    <row r="73" spans="2:2" x14ac:dyDescent="0.4">
      <c r="B73" s="155"/>
    </row>
    <row r="74" spans="2:2" x14ac:dyDescent="0.4">
      <c r="B74" s="155"/>
    </row>
    <row r="75" spans="2:2" x14ac:dyDescent="0.4">
      <c r="B75" s="155"/>
    </row>
    <row r="76" spans="2:2" x14ac:dyDescent="0.4">
      <c r="B76" s="155"/>
    </row>
    <row r="77" spans="2:2" x14ac:dyDescent="0.4">
      <c r="B77" s="155"/>
    </row>
    <row r="78" spans="2:2" ht="57.75" customHeight="1" x14ac:dyDescent="0.4">
      <c r="B78" s="155"/>
    </row>
  </sheetData>
  <mergeCells count="10">
    <mergeCell ref="A6:B6"/>
    <mergeCell ref="C6:R6"/>
    <mergeCell ref="C24:C25"/>
    <mergeCell ref="C1:D1"/>
    <mergeCell ref="A3:B3"/>
    <mergeCell ref="C3:R3"/>
    <mergeCell ref="A4:B4"/>
    <mergeCell ref="C4:R4"/>
    <mergeCell ref="A5:B5"/>
    <mergeCell ref="C5:R5"/>
  </mergeCells>
  <hyperlinks>
    <hyperlink ref="A1" location="'ODS 15.'!A1" display="REGRESAR" xr:uid="{3E2DEF00-F314-44ED-BC54-44B90992C012}"/>
    <hyperlink ref="C1:D1" location="'Metadato 15.2.1'!A1" display="VER METADATO" xr:uid="{CEB353B9-C61B-4C77-8230-692B4B2D3B7A}"/>
    <hyperlink ref="C21" r:id="rId1" xr:uid="{71A9D8D0-ED2A-46B9-B3E4-AF772A8DE562}"/>
  </hyperlinks>
  <pageMargins left="0.7" right="0.7" top="0.75" bottom="0.75" header="0.3" footer="0.3"/>
  <pageSetup paperSize="9" orientation="portrait" r:id="rId2"/>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3B5F-5863-4CBA-92F4-E898AC363441}">
  <sheetPr>
    <tabColor theme="0" tint="-0.499984740745262"/>
  </sheetPr>
  <dimension ref="A1:K4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7" width="14" style="115" customWidth="1"/>
    <col min="8" max="16384" width="11.42578125" style="115"/>
  </cols>
  <sheetData>
    <row r="1" spans="1:11" x14ac:dyDescent="0.4">
      <c r="B1" s="90" t="s">
        <v>39</v>
      </c>
    </row>
    <row r="2" spans="1:11" ht="19.5" thickBot="1" x14ac:dyDescent="0.45"/>
    <row r="3" spans="1:11" ht="23.25" customHeight="1" thickBot="1" x14ac:dyDescent="0.45">
      <c r="B3" s="3465" t="s">
        <v>75</v>
      </c>
      <c r="C3" s="3465"/>
      <c r="D3" s="3465"/>
      <c r="F3" s="1046" t="s">
        <v>265</v>
      </c>
    </row>
    <row r="4" spans="1:11" ht="56.25" x14ac:dyDescent="0.4">
      <c r="A4" s="283"/>
      <c r="B4" s="2426" t="s">
        <v>234</v>
      </c>
      <c r="C4" s="2426"/>
      <c r="D4" s="49" t="s">
        <v>7056</v>
      </c>
    </row>
    <row r="5" spans="1:11" ht="50.45" customHeight="1" x14ac:dyDescent="0.4">
      <c r="B5" s="2426" t="s">
        <v>79</v>
      </c>
      <c r="C5" s="2426"/>
      <c r="D5" s="49" t="s">
        <v>7000</v>
      </c>
    </row>
    <row r="6" spans="1:11" x14ac:dyDescent="0.4">
      <c r="B6" s="2426" t="s">
        <v>80</v>
      </c>
      <c r="C6" s="2426"/>
      <c r="D6" s="50" t="s">
        <v>7001</v>
      </c>
    </row>
    <row r="7" spans="1:11" ht="15" customHeight="1" x14ac:dyDescent="0.4">
      <c r="B7" s="2426" t="s">
        <v>81</v>
      </c>
      <c r="C7" s="2426"/>
      <c r="D7" s="93" t="s">
        <v>7002</v>
      </c>
    </row>
    <row r="8" spans="1:11" ht="15" customHeight="1" x14ac:dyDescent="0.4">
      <c r="B8" s="2426" t="s">
        <v>82</v>
      </c>
      <c r="C8" s="2426"/>
      <c r="D8" s="1047" t="s">
        <v>7108</v>
      </c>
    </row>
    <row r="9" spans="1:11" x14ac:dyDescent="0.4">
      <c r="B9" s="1048"/>
      <c r="C9" s="1048"/>
      <c r="D9" s="1048"/>
    </row>
    <row r="10" spans="1:11" ht="23.25" customHeight="1" x14ac:dyDescent="0.4">
      <c r="B10" s="3465" t="s">
        <v>85</v>
      </c>
      <c r="C10" s="3465"/>
      <c r="D10" s="3465"/>
    </row>
    <row r="11" spans="1:11" ht="67.5" customHeight="1" x14ac:dyDescent="0.4">
      <c r="B11" s="3461" t="s">
        <v>86</v>
      </c>
      <c r="C11" s="3462"/>
      <c r="D11" s="2050" t="s">
        <v>7109</v>
      </c>
    </row>
    <row r="12" spans="1:11" ht="17.45" customHeight="1" x14ac:dyDescent="0.4">
      <c r="B12" s="3460" t="s">
        <v>88</v>
      </c>
      <c r="C12" s="3460"/>
      <c r="D12" s="2051" t="s">
        <v>7110</v>
      </c>
      <c r="G12" s="2052"/>
      <c r="H12" s="2052"/>
      <c r="I12" s="2052"/>
      <c r="J12" s="2052"/>
      <c r="K12" s="2052"/>
    </row>
    <row r="13" spans="1:11" ht="15" customHeight="1" x14ac:dyDescent="0.4">
      <c r="B13" s="3460" t="s">
        <v>90</v>
      </c>
      <c r="C13" s="3460"/>
      <c r="D13" s="1655" t="s">
        <v>7001</v>
      </c>
      <c r="G13" s="2052"/>
      <c r="H13" s="2052"/>
      <c r="I13" s="2052"/>
      <c r="J13" s="2052"/>
      <c r="K13" s="2052"/>
    </row>
    <row r="14" spans="1:11" ht="15" customHeight="1" x14ac:dyDescent="0.4">
      <c r="B14" s="3460" t="s">
        <v>91</v>
      </c>
      <c r="C14" s="3462"/>
      <c r="D14" s="54" t="s">
        <v>7111</v>
      </c>
      <c r="G14" s="2052"/>
      <c r="H14" s="2052"/>
      <c r="I14" s="2052"/>
      <c r="J14" s="2052"/>
      <c r="K14" s="2052"/>
    </row>
    <row r="15" spans="1:11" ht="345" customHeight="1" x14ac:dyDescent="0.4">
      <c r="B15" s="2053" t="s">
        <v>93</v>
      </c>
      <c r="C15" s="2054"/>
      <c r="D15" s="2055" t="s">
        <v>7112</v>
      </c>
      <c r="G15" s="2052"/>
      <c r="H15" s="2052"/>
      <c r="I15" s="2052"/>
      <c r="J15" s="2052"/>
      <c r="K15" s="2052"/>
    </row>
    <row r="16" spans="1:11" ht="166.5" customHeight="1" x14ac:dyDescent="0.4">
      <c r="B16" s="3460" t="s">
        <v>95</v>
      </c>
      <c r="C16" s="3460"/>
      <c r="D16" s="54" t="s">
        <v>7113</v>
      </c>
      <c r="G16" s="2052"/>
      <c r="H16" s="2052"/>
      <c r="I16" s="2052"/>
      <c r="J16" s="2052"/>
      <c r="K16" s="2052"/>
    </row>
    <row r="17" spans="2:11" ht="15" customHeight="1" x14ac:dyDescent="0.4">
      <c r="B17" s="3460" t="s">
        <v>97</v>
      </c>
      <c r="C17" s="3460"/>
      <c r="D17" s="1655" t="s">
        <v>7114</v>
      </c>
      <c r="G17" s="2052"/>
      <c r="H17" s="2052"/>
      <c r="I17" s="2052"/>
      <c r="J17" s="2052"/>
      <c r="K17" s="2052"/>
    </row>
    <row r="18" spans="2:11" x14ac:dyDescent="0.4">
      <c r="B18" s="3460" t="s">
        <v>99</v>
      </c>
      <c r="C18" s="3460"/>
      <c r="D18" s="2050"/>
      <c r="G18" s="2052"/>
      <c r="H18" s="2052"/>
      <c r="I18" s="2052"/>
      <c r="J18" s="2052"/>
      <c r="K18" s="2052"/>
    </row>
    <row r="19" spans="2:11" ht="15" customHeight="1" x14ac:dyDescent="0.4">
      <c r="B19" s="3461" t="s">
        <v>100</v>
      </c>
      <c r="C19" s="3462"/>
      <c r="D19" s="1655" t="s">
        <v>7115</v>
      </c>
      <c r="E19" s="115" t="s">
        <v>626</v>
      </c>
      <c r="G19" s="2052"/>
      <c r="H19" s="2052"/>
      <c r="I19" s="2052"/>
      <c r="J19" s="2052"/>
      <c r="K19" s="2052"/>
    </row>
    <row r="20" spans="2:11" ht="15" customHeight="1" x14ac:dyDescent="0.4">
      <c r="B20" s="3460" t="s">
        <v>102</v>
      </c>
      <c r="C20" s="3460"/>
      <c r="D20" s="1655" t="s">
        <v>140</v>
      </c>
      <c r="G20" s="2052"/>
      <c r="H20" s="2052"/>
      <c r="I20" s="2052"/>
      <c r="J20" s="2052"/>
      <c r="K20" s="2052"/>
    </row>
    <row r="21" spans="2:11" ht="15" customHeight="1" x14ac:dyDescent="0.4">
      <c r="B21" s="3466" t="s">
        <v>104</v>
      </c>
      <c r="C21" s="2056" t="s">
        <v>105</v>
      </c>
      <c r="D21" s="1655" t="s">
        <v>1186</v>
      </c>
      <c r="G21" s="2052"/>
      <c r="H21" s="2052"/>
      <c r="I21" s="2052"/>
      <c r="J21" s="2052"/>
      <c r="K21" s="2052"/>
    </row>
    <row r="22" spans="2:11" ht="15" customHeight="1" x14ac:dyDescent="0.4">
      <c r="B22" s="3467"/>
      <c r="C22" s="2056" t="s">
        <v>107</v>
      </c>
      <c r="D22" s="1655" t="s">
        <v>1186</v>
      </c>
      <c r="G22" s="2052"/>
      <c r="H22" s="2052"/>
      <c r="I22" s="2052"/>
      <c r="J22" s="2052"/>
      <c r="K22" s="2052"/>
    </row>
    <row r="23" spans="2:11" ht="15" customHeight="1" x14ac:dyDescent="0.4">
      <c r="B23" s="3460" t="s">
        <v>109</v>
      </c>
      <c r="C23" s="3460"/>
      <c r="D23" s="1655" t="s">
        <v>7116</v>
      </c>
      <c r="G23" s="2052"/>
      <c r="H23" s="2052"/>
      <c r="I23" s="2052"/>
      <c r="J23" s="2052"/>
      <c r="K23" s="2052"/>
    </row>
    <row r="24" spans="2:11" ht="187.5" x14ac:dyDescent="0.4">
      <c r="B24" s="3460" t="s">
        <v>111</v>
      </c>
      <c r="C24" s="3460"/>
      <c r="D24" s="1655" t="s">
        <v>7117</v>
      </c>
      <c r="G24" s="2052"/>
      <c r="H24" s="2052"/>
      <c r="I24" s="2052"/>
      <c r="J24" s="2052"/>
      <c r="K24" s="2052"/>
    </row>
    <row r="25" spans="2:11" x14ac:dyDescent="0.4">
      <c r="B25" s="3460" t="s">
        <v>113</v>
      </c>
      <c r="C25" s="3460"/>
      <c r="D25" s="1655" t="s">
        <v>1701</v>
      </c>
    </row>
    <row r="26" spans="2:11" ht="168.75" x14ac:dyDescent="0.4">
      <c r="B26" s="3460" t="s">
        <v>115</v>
      </c>
      <c r="C26" s="3460"/>
      <c r="D26" s="1655" t="s">
        <v>7118</v>
      </c>
    </row>
    <row r="27" spans="2:11" ht="112.5" x14ac:dyDescent="0.4">
      <c r="B27" s="3461" t="s">
        <v>117</v>
      </c>
      <c r="C27" s="3462"/>
      <c r="D27" s="2050" t="s">
        <v>7119</v>
      </c>
    </row>
    <row r="28" spans="2:11" ht="409.5" x14ac:dyDescent="0.4">
      <c r="B28" s="2057" t="s">
        <v>118</v>
      </c>
      <c r="C28" s="2058"/>
      <c r="D28" s="1655" t="s">
        <v>7120</v>
      </c>
    </row>
    <row r="29" spans="2:11" x14ac:dyDescent="0.4">
      <c r="B29" s="3463" t="s">
        <v>120</v>
      </c>
      <c r="C29" s="3464"/>
      <c r="D29" s="62"/>
    </row>
    <row r="30" spans="2:11" x14ac:dyDescent="0.4">
      <c r="B30" s="2059"/>
      <c r="C30" s="2059"/>
      <c r="D30" s="2060"/>
    </row>
    <row r="31" spans="2:11" ht="23.25" customHeight="1" x14ac:dyDescent="0.4">
      <c r="B31" s="3465" t="s">
        <v>121</v>
      </c>
      <c r="C31" s="3465"/>
      <c r="D31" s="3465"/>
    </row>
    <row r="32" spans="2:11" x14ac:dyDescent="0.4">
      <c r="B32" s="2435" t="s">
        <v>122</v>
      </c>
      <c r="C32" s="2436"/>
      <c r="D32" s="55" t="s">
        <v>7121</v>
      </c>
    </row>
    <row r="33" spans="2:4" ht="14.25" customHeight="1" x14ac:dyDescent="0.4">
      <c r="B33" s="2435" t="s">
        <v>124</v>
      </c>
      <c r="C33" s="2436"/>
      <c r="D33" s="55" t="s">
        <v>7122</v>
      </c>
    </row>
    <row r="34" spans="2:4" x14ac:dyDescent="0.4">
      <c r="B34" s="2435" t="s">
        <v>126</v>
      </c>
      <c r="C34" s="2436"/>
      <c r="D34" s="55" t="s">
        <v>7123</v>
      </c>
    </row>
    <row r="35" spans="2:4" x14ac:dyDescent="0.4">
      <c r="B35" s="2435" t="s">
        <v>128</v>
      </c>
      <c r="C35" s="2436"/>
      <c r="D35" s="246" t="s">
        <v>7124</v>
      </c>
    </row>
    <row r="36" spans="2:4" x14ac:dyDescent="0.4">
      <c r="B36" s="2435" t="s">
        <v>130</v>
      </c>
      <c r="C36" s="2436"/>
      <c r="D36" s="247" t="s">
        <v>7125</v>
      </c>
    </row>
    <row r="37" spans="2:4" x14ac:dyDescent="0.4">
      <c r="B37" s="2435" t="s">
        <v>122</v>
      </c>
      <c r="C37" s="2436"/>
      <c r="D37" s="245" t="s">
        <v>7126</v>
      </c>
    </row>
    <row r="38" spans="2:4" x14ac:dyDescent="0.4">
      <c r="B38" s="2435" t="s">
        <v>124</v>
      </c>
      <c r="C38" s="2436"/>
      <c r="D38" s="55" t="s">
        <v>7122</v>
      </c>
    </row>
    <row r="39" spans="2:4" x14ac:dyDescent="0.4">
      <c r="B39" s="2435" t="s">
        <v>126</v>
      </c>
      <c r="C39" s="2436"/>
      <c r="D39" s="55" t="s">
        <v>7123</v>
      </c>
    </row>
    <row r="40" spans="2:4" x14ac:dyDescent="0.4">
      <c r="B40" s="2435" t="s">
        <v>128</v>
      </c>
      <c r="C40" s="2436"/>
      <c r="D40" s="245" t="s">
        <v>7127</v>
      </c>
    </row>
    <row r="41" spans="2:4" x14ac:dyDescent="0.4">
      <c r="B41" s="2435" t="s">
        <v>130</v>
      </c>
      <c r="C41" s="2436"/>
      <c r="D41" s="2061" t="s">
        <v>7076</v>
      </c>
    </row>
    <row r="42" spans="2:4" x14ac:dyDescent="0.4">
      <c r="B42" s="2427" t="s">
        <v>122</v>
      </c>
      <c r="C42" s="2428"/>
      <c r="D42" s="55"/>
    </row>
    <row r="43" spans="2:4" x14ac:dyDescent="0.4">
      <c r="B43" s="2427" t="s">
        <v>124</v>
      </c>
      <c r="C43" s="2428"/>
      <c r="D43" s="55"/>
    </row>
    <row r="44" spans="2:4" x14ac:dyDescent="0.4">
      <c r="B44" s="2427" t="s">
        <v>126</v>
      </c>
      <c r="C44" s="2428"/>
      <c r="D44" s="55"/>
    </row>
    <row r="45" spans="2:4" x14ac:dyDescent="0.4">
      <c r="B45" s="2427" t="s">
        <v>128</v>
      </c>
      <c r="C45" s="2428"/>
      <c r="D45" s="246"/>
    </row>
    <row r="46" spans="2:4" x14ac:dyDescent="0.4">
      <c r="B46" s="2427" t="s">
        <v>130</v>
      </c>
      <c r="C46" s="2428"/>
      <c r="D46" s="1640"/>
    </row>
  </sheetData>
  <mergeCells count="39">
    <mergeCell ref="B8:C8"/>
    <mergeCell ref="B3:D3"/>
    <mergeCell ref="B4:C4"/>
    <mergeCell ref="B5:C5"/>
    <mergeCell ref="B6:C6"/>
    <mergeCell ref="B7:C7"/>
    <mergeCell ref="B23:C23"/>
    <mergeCell ref="B10:D10"/>
    <mergeCell ref="B11:C11"/>
    <mergeCell ref="B12:C12"/>
    <mergeCell ref="B13:C13"/>
    <mergeCell ref="B14:C14"/>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25" xr:uid="{DB5839D2-5A55-44DF-A08B-3F22F3DC7B49}">
      <formula1>Tipo_operación</formula1>
    </dataValidation>
    <dataValidation type="list" allowBlank="1" showInputMessage="1" showErrorMessage="1" sqref="D14" xr:uid="{29E9181F-3E8C-49E2-9F79-7B59B646DCD9}">
      <formula1>Tipo_indicador</formula1>
    </dataValidation>
    <dataValidation type="list" allowBlank="1" showInputMessage="1" showErrorMessage="1" sqref="D7" xr:uid="{D95983C2-652B-4A5F-8A10-FEE600843A4A}">
      <formula1>Nombre_indicador_ODS</formula1>
    </dataValidation>
    <dataValidation type="list" allowBlank="1" showInputMessage="1" showErrorMessage="1" sqref="D6" xr:uid="{B5EBE267-3052-402F-AACE-3D5EC4DD61B9}">
      <formula1>Numero_indicador</formula1>
    </dataValidation>
    <dataValidation type="list" allowBlank="1" showInputMessage="1" showErrorMessage="1" sqref="D5" xr:uid="{CE5818BA-FCF4-42ED-ACEA-79D0D639DA5A}">
      <formula1>Metas_ODS</formula1>
    </dataValidation>
    <dataValidation type="list" allowBlank="1" showInputMessage="1" showErrorMessage="1" sqref="D4" xr:uid="{8AAC9B8C-BC6E-4B86-81D9-56D50760380D}">
      <formula1>ODS</formula1>
    </dataValidation>
  </dataValidations>
  <hyperlinks>
    <hyperlink ref="B1" location="'15.2.1'!A1" display="REGRESAR" xr:uid="{513BABED-961B-467F-A819-C86F8EE7CA43}"/>
    <hyperlink ref="D8" r:id="rId1" xr:uid="{15E37AF9-8462-4C71-8C50-54F0DE73C396}"/>
    <hyperlink ref="D36" r:id="rId2" xr:uid="{002BC030-8C8E-4782-9BFA-CE34F8920ECC}"/>
    <hyperlink ref="D41" r:id="rId3" xr:uid="{C6C32060-DF5D-4B10-B931-499C3E8D1C17}"/>
  </hyperlinks>
  <pageMargins left="0.7" right="0.7" top="0.75" bottom="0.75" header="0.3" footer="0.3"/>
  <drawing r:id="rId4"/>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7321A-CBCC-456F-89EB-365D2FE1A1F7}">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4.7109375" style="115" customWidth="1"/>
    <col min="2" max="2" width="19" style="115" customWidth="1"/>
    <col min="3" max="3" width="12.28515625" style="1048" customWidth="1"/>
    <col min="4" max="6" width="12.28515625" style="115" customWidth="1"/>
    <col min="7" max="16384" width="11.42578125" style="115"/>
  </cols>
  <sheetData>
    <row r="1" spans="1:16" x14ac:dyDescent="0.4">
      <c r="A1" s="90" t="s">
        <v>39</v>
      </c>
      <c r="B1" s="1311"/>
      <c r="C1" s="2541" t="s">
        <v>149</v>
      </c>
      <c r="D1" s="2541"/>
    </row>
    <row r="3" spans="1:16" ht="39" customHeight="1" x14ac:dyDescent="0.4">
      <c r="A3" s="3443" t="s">
        <v>41</v>
      </c>
      <c r="B3" s="3449"/>
      <c r="C3" s="3445" t="s">
        <v>6994</v>
      </c>
      <c r="D3" s="3450"/>
      <c r="E3" s="3450"/>
      <c r="F3" s="3450"/>
      <c r="G3" s="3450"/>
      <c r="H3" s="3450"/>
      <c r="I3" s="3450"/>
      <c r="J3" s="3450"/>
      <c r="K3" s="3450"/>
      <c r="L3" s="3450"/>
      <c r="M3" s="3450"/>
      <c r="N3" s="3450"/>
      <c r="O3" s="3450"/>
      <c r="P3" s="3450"/>
    </row>
    <row r="4" spans="1:16" ht="36" customHeight="1" x14ac:dyDescent="0.4">
      <c r="A4" s="3443" t="s">
        <v>42</v>
      </c>
      <c r="B4" s="3444"/>
      <c r="C4" s="3445" t="s">
        <v>7003</v>
      </c>
      <c r="D4" s="3450"/>
      <c r="E4" s="3450"/>
      <c r="F4" s="3450"/>
      <c r="G4" s="3450"/>
      <c r="H4" s="3450"/>
      <c r="I4" s="3450"/>
      <c r="J4" s="3450"/>
      <c r="K4" s="3450"/>
      <c r="L4" s="3450"/>
      <c r="M4" s="3450"/>
      <c r="N4" s="3450"/>
      <c r="O4" s="3450"/>
      <c r="P4" s="3450"/>
    </row>
    <row r="5" spans="1:16" ht="20.45" customHeight="1" x14ac:dyDescent="0.4">
      <c r="A5" s="3443" t="s">
        <v>43</v>
      </c>
      <c r="B5" s="3444"/>
      <c r="C5" s="3443" t="s">
        <v>7005</v>
      </c>
      <c r="D5" s="3446"/>
      <c r="E5" s="3446"/>
      <c r="F5" s="3446"/>
      <c r="G5" s="3446"/>
      <c r="H5" s="3446"/>
      <c r="I5" s="3446"/>
      <c r="J5" s="3446"/>
      <c r="K5" s="3446"/>
      <c r="L5" s="3446"/>
      <c r="M5" s="3446"/>
      <c r="N5" s="3446"/>
      <c r="O5" s="3446"/>
      <c r="P5" s="3446"/>
    </row>
    <row r="6" spans="1:16" ht="19.5"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x14ac:dyDescent="0.4">
      <c r="A8" s="536"/>
    </row>
    <row r="9" spans="1:16" ht="11.25" customHeight="1" x14ac:dyDescent="0.4">
      <c r="A9" s="536"/>
      <c r="C9" s="2506" t="s">
        <v>243</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6DC34238-AE33-4BEC-8309-445C5DD04F70}"/>
    <hyperlink ref="C1:D1" location="'Metadato 15.3.1'!A1" display="VER METADATO" xr:uid="{239FFE8F-7BDB-4354-839B-38132FD31107}"/>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DCA0-7FFE-4AE8-8F38-C0F0946AC92B}">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265</v>
      </c>
    </row>
    <row r="4" spans="1:6" ht="49.5" customHeight="1" x14ac:dyDescent="0.4">
      <c r="A4" s="283"/>
      <c r="B4" s="2425" t="s">
        <v>234</v>
      </c>
      <c r="C4" s="2425"/>
      <c r="D4" s="49" t="s">
        <v>7056</v>
      </c>
    </row>
    <row r="5" spans="1:6" ht="56.25" x14ac:dyDescent="0.4">
      <c r="B5" s="2425" t="s">
        <v>79</v>
      </c>
      <c r="C5" s="2425"/>
      <c r="D5" s="49" t="s">
        <v>7003</v>
      </c>
    </row>
    <row r="6" spans="1:6" x14ac:dyDescent="0.4">
      <c r="B6" s="2425" t="s">
        <v>80</v>
      </c>
      <c r="C6" s="2425"/>
      <c r="D6" s="50" t="s">
        <v>7004</v>
      </c>
    </row>
    <row r="7" spans="1:6" x14ac:dyDescent="0.4">
      <c r="B7" s="2426" t="s">
        <v>81</v>
      </c>
      <c r="C7" s="2426"/>
      <c r="D7" s="93" t="s">
        <v>7005</v>
      </c>
    </row>
    <row r="8" spans="1:6" x14ac:dyDescent="0.4">
      <c r="B8" s="2426" t="s">
        <v>82</v>
      </c>
      <c r="C8" s="2426"/>
      <c r="D8" s="1047" t="s">
        <v>7128</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5" t="s">
        <v>7129</v>
      </c>
    </row>
    <row r="33" spans="2:4" x14ac:dyDescent="0.4">
      <c r="B33" s="2427" t="s">
        <v>124</v>
      </c>
      <c r="C33" s="2428"/>
      <c r="D33" s="55" t="s">
        <v>7130</v>
      </c>
    </row>
    <row r="34" spans="2:4" x14ac:dyDescent="0.4">
      <c r="B34" s="2427" t="s">
        <v>126</v>
      </c>
      <c r="C34" s="2428"/>
      <c r="D34" s="55" t="s">
        <v>4641</v>
      </c>
    </row>
    <row r="35" spans="2:4" x14ac:dyDescent="0.4">
      <c r="B35" s="2427" t="s">
        <v>128</v>
      </c>
      <c r="C35" s="2428"/>
      <c r="D35" s="246" t="s">
        <v>7131</v>
      </c>
    </row>
    <row r="36" spans="2:4" x14ac:dyDescent="0.4">
      <c r="B36" s="2427" t="s">
        <v>130</v>
      </c>
      <c r="C36" s="2428"/>
      <c r="D36" s="247" t="s">
        <v>7132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F35226A-2A3B-4186-95B4-D8FAB9A04C2C}">
      <formula1>Tipo_operación</formula1>
    </dataValidation>
    <dataValidation type="list" allowBlank="1" showInputMessage="1" showErrorMessage="1" sqref="D14" xr:uid="{F3A52710-849C-4A36-B1D6-632DBEA0B10F}">
      <formula1>Tipo_indicador</formula1>
    </dataValidation>
    <dataValidation type="list" allowBlank="1" showInputMessage="1" showErrorMessage="1" sqref="D7" xr:uid="{029E2692-25EA-49F4-8015-9268BD2F50A8}">
      <formula1>Nombre_indicador_ODS</formula1>
    </dataValidation>
    <dataValidation type="list" allowBlank="1" showInputMessage="1" showErrorMessage="1" sqref="D6" xr:uid="{A7BC0E96-70F5-4D5C-AD33-A731EF457564}">
      <formula1>Numero_indicador</formula1>
    </dataValidation>
    <dataValidation type="list" allowBlank="1" showInputMessage="1" showErrorMessage="1" sqref="D5" xr:uid="{8004D5B0-BAAA-4512-A848-19298654BAC9}">
      <formula1>Metas_ODS</formula1>
    </dataValidation>
    <dataValidation type="list" allowBlank="1" showInputMessage="1" showErrorMessage="1" sqref="D4" xr:uid="{9864BE0F-E360-4D18-9F9E-EE87CB70A373}">
      <formula1>ODS</formula1>
    </dataValidation>
    <dataValidation allowBlank="1" showDropDown="1" showInputMessage="1" showErrorMessage="1" sqref="D13" xr:uid="{1648646F-4A24-475E-8C58-6149D86F979E}"/>
  </dataValidations>
  <hyperlinks>
    <hyperlink ref="B1" location="'15.3.1'!A1" display="REGRESAR" xr:uid="{58AE4DFE-0529-4557-AEB8-BE91094ACE23}"/>
    <hyperlink ref="D36" r:id="rId1" xr:uid="{36917B88-B5C2-4282-BA11-5461093470FF}"/>
    <hyperlink ref="D8" r:id="rId2" xr:uid="{354047A8-27A9-4054-AB10-7A0B97C96A68}"/>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6EDE-E736-4E48-B72A-E0EE99BD1FF9}">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8" style="115" customWidth="1"/>
    <col min="3" max="3" width="12.28515625" style="1048" customWidth="1"/>
    <col min="4" max="6" width="12.28515625" style="115" customWidth="1"/>
    <col min="7" max="16384" width="11.42578125" style="115"/>
  </cols>
  <sheetData>
    <row r="1" spans="1:16" x14ac:dyDescent="0.4">
      <c r="A1" s="90" t="s">
        <v>39</v>
      </c>
      <c r="B1" s="1311"/>
      <c r="C1" s="2541" t="s">
        <v>149</v>
      </c>
      <c r="D1" s="2541"/>
    </row>
    <row r="2" spans="1:16" ht="17.25" customHeight="1" x14ac:dyDescent="0.4"/>
    <row r="3" spans="1:16" ht="34.9" customHeight="1" x14ac:dyDescent="0.4">
      <c r="A3" s="3443" t="s">
        <v>41</v>
      </c>
      <c r="B3" s="3449"/>
      <c r="C3" s="3445" t="s">
        <v>6994</v>
      </c>
      <c r="D3" s="3450"/>
      <c r="E3" s="3450"/>
      <c r="F3" s="3450"/>
      <c r="G3" s="3450"/>
      <c r="H3" s="3450"/>
      <c r="I3" s="3450"/>
      <c r="J3" s="3450"/>
      <c r="K3" s="3450"/>
      <c r="L3" s="3450"/>
      <c r="M3" s="3450"/>
      <c r="N3" s="3450"/>
      <c r="O3" s="3450"/>
      <c r="P3" s="3450"/>
    </row>
    <row r="4" spans="1:16" ht="37.15" customHeight="1" x14ac:dyDescent="0.4">
      <c r="A4" s="3443" t="s">
        <v>42</v>
      </c>
      <c r="B4" s="3444"/>
      <c r="C4" s="3445" t="s">
        <v>7006</v>
      </c>
      <c r="D4" s="3450"/>
      <c r="E4" s="3450"/>
      <c r="F4" s="3450"/>
      <c r="G4" s="3450"/>
      <c r="H4" s="3450"/>
      <c r="I4" s="3450"/>
      <c r="J4" s="3450"/>
      <c r="K4" s="3450"/>
      <c r="L4" s="3450"/>
      <c r="M4" s="3450"/>
      <c r="N4" s="3450"/>
      <c r="O4" s="3450"/>
      <c r="P4" s="3450"/>
    </row>
    <row r="5" spans="1:16" ht="19.899999999999999" customHeight="1" x14ac:dyDescent="0.4">
      <c r="A5" s="3443" t="s">
        <v>43</v>
      </c>
      <c r="B5" s="3444"/>
      <c r="C5" s="3443" t="s">
        <v>7008</v>
      </c>
      <c r="D5" s="3446"/>
      <c r="E5" s="3446"/>
      <c r="F5" s="3446"/>
      <c r="G5" s="3446"/>
      <c r="H5" s="3446"/>
      <c r="I5" s="3446"/>
      <c r="J5" s="3446"/>
      <c r="K5" s="3446"/>
      <c r="L5" s="3446"/>
      <c r="M5" s="3446"/>
      <c r="N5" s="3446"/>
      <c r="O5" s="3446"/>
      <c r="P5" s="3446"/>
    </row>
    <row r="6" spans="1:16" ht="19.5"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x14ac:dyDescent="0.4">
      <c r="A8" s="536"/>
    </row>
    <row r="9" spans="1:16" ht="11.25" customHeight="1" x14ac:dyDescent="0.4">
      <c r="A9" s="536"/>
      <c r="C9" s="2506" t="s">
        <v>243</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D0DA61C6-8E8A-443A-8737-C662479B52E4}"/>
    <hyperlink ref="C1:D1" location="'Metadato 15.4.1'!A1" display="VER METADATO" xr:uid="{99ED3645-1EC8-44AA-807E-BEB2D4AA3E08}"/>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6783B-267B-427B-973D-7B8FEE042C9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244</v>
      </c>
    </row>
    <row r="4" spans="1:6" ht="50.25" customHeight="1" x14ac:dyDescent="0.4">
      <c r="A4" s="283"/>
      <c r="B4" s="2425" t="s">
        <v>234</v>
      </c>
      <c r="C4" s="2425"/>
      <c r="D4" s="49" t="s">
        <v>7056</v>
      </c>
    </row>
    <row r="5" spans="1:6" ht="37.5" x14ac:dyDescent="0.4">
      <c r="B5" s="2425" t="s">
        <v>79</v>
      </c>
      <c r="C5" s="2425"/>
      <c r="D5" s="49" t="s">
        <v>7006</v>
      </c>
    </row>
    <row r="6" spans="1:6" x14ac:dyDescent="0.4">
      <c r="B6" s="2425" t="s">
        <v>80</v>
      </c>
      <c r="C6" s="2425"/>
      <c r="D6" s="50" t="s">
        <v>7007</v>
      </c>
    </row>
    <row r="7" spans="1:6" x14ac:dyDescent="0.4">
      <c r="B7" s="2426" t="s">
        <v>81</v>
      </c>
      <c r="C7" s="2426"/>
      <c r="D7" s="93" t="s">
        <v>7008</v>
      </c>
    </row>
    <row r="8" spans="1:6" x14ac:dyDescent="0.4">
      <c r="B8" s="2426" t="s">
        <v>82</v>
      </c>
      <c r="C8" s="2426"/>
      <c r="D8" s="1047" t="s">
        <v>7133</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5" t="s">
        <v>7134</v>
      </c>
    </row>
    <row r="33" spans="2:4" x14ac:dyDescent="0.4">
      <c r="B33" s="2427" t="s">
        <v>124</v>
      </c>
      <c r="C33" s="2428"/>
      <c r="D33" s="55" t="s">
        <v>4646</v>
      </c>
    </row>
    <row r="34" spans="2:4" x14ac:dyDescent="0.4">
      <c r="B34" s="2427" t="s">
        <v>126</v>
      </c>
      <c r="C34" s="2428"/>
      <c r="D34" s="55" t="s">
        <v>4641</v>
      </c>
    </row>
    <row r="35" spans="2:4" x14ac:dyDescent="0.4">
      <c r="B35" s="2427" t="s">
        <v>128</v>
      </c>
      <c r="C35" s="2428"/>
      <c r="D35" s="246" t="s">
        <v>7135</v>
      </c>
    </row>
    <row r="36" spans="2:4" x14ac:dyDescent="0.4">
      <c r="B36" s="2427" t="s">
        <v>130</v>
      </c>
      <c r="C36" s="2428"/>
      <c r="D36" s="247" t="s">
        <v>7136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F464367-F48E-4AE3-A058-56853F6ACD8B}">
      <formula1>Tipo_operación</formula1>
    </dataValidation>
    <dataValidation type="list" allowBlank="1" showInputMessage="1" showErrorMessage="1" sqref="D14" xr:uid="{EE9AE4A2-1260-47EA-92AB-74BD6480F02E}">
      <formula1>Tipo_indicador</formula1>
    </dataValidation>
    <dataValidation type="list" allowBlank="1" showInputMessage="1" showErrorMessage="1" sqref="D7" xr:uid="{2ED27AA4-CCFA-46A2-983D-1797B4E7F0BA}">
      <formula1>Nombre_indicador_ODS</formula1>
    </dataValidation>
    <dataValidation type="list" allowBlank="1" showInputMessage="1" showErrorMessage="1" sqref="D6" xr:uid="{2F0E3520-6822-4F9A-93B9-42077AB9BC78}">
      <formula1>Numero_indicador</formula1>
    </dataValidation>
    <dataValidation type="list" allowBlank="1" showInputMessage="1" showErrorMessage="1" sqref="D5" xr:uid="{D79664C2-6821-48BB-AA20-47F6BF749866}">
      <formula1>Metas_ODS</formula1>
    </dataValidation>
    <dataValidation type="list" allowBlank="1" showInputMessage="1" showErrorMessage="1" sqref="D4" xr:uid="{9E26ABB3-5CCA-4266-82CF-7C0D603AED5F}">
      <formula1>ODS</formula1>
    </dataValidation>
    <dataValidation allowBlank="1" showDropDown="1" showInputMessage="1" showErrorMessage="1" sqref="D13" xr:uid="{01D2F4B4-C78F-4BE8-A791-8CB6DD148A6D}"/>
  </dataValidations>
  <hyperlinks>
    <hyperlink ref="B1" location="'15.4.1'!A1" display="REGRESAR" xr:uid="{CC278D9C-8A1F-4D89-847F-0EA12473A33F}"/>
    <hyperlink ref="D36" r:id="rId1" xr:uid="{D53AD88A-AD3A-489F-9536-15E43AF05286}"/>
    <hyperlink ref="D8" r:id="rId2" xr:uid="{A7BF0B62-B263-40E4-956B-3E8D258BDE83}"/>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4E20-BDCE-400E-B38A-2E8E45AEF6B5}">
  <dimension ref="A1:AA51"/>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5703125" style="115" customWidth="1"/>
    <col min="3" max="3" width="7.5703125" style="1048" customWidth="1"/>
    <col min="4" max="4" width="14.28515625" style="115" customWidth="1"/>
    <col min="5" max="5" width="11.7109375" style="115" customWidth="1"/>
    <col min="6" max="6" width="1" style="115" customWidth="1"/>
    <col min="7" max="7" width="11.7109375" style="115" customWidth="1"/>
    <col min="8" max="8" width="12.42578125" style="115" customWidth="1"/>
    <col min="9" max="9" width="1.5703125" style="115" customWidth="1"/>
    <col min="10" max="11" width="11.42578125" style="115"/>
    <col min="12" max="12" width="1.28515625" style="115" customWidth="1"/>
    <col min="13" max="14" width="12.7109375" style="115" customWidth="1"/>
    <col min="15" max="15" width="1.28515625" style="115" customWidth="1"/>
    <col min="16" max="17" width="11.42578125" style="115"/>
    <col min="18" max="18" width="1" style="115" customWidth="1"/>
    <col min="19" max="20" width="11.42578125" style="115"/>
    <col min="21" max="21" width="1.5703125" style="115" customWidth="1"/>
    <col min="22" max="23" width="11.42578125" style="115"/>
    <col min="24" max="24" width="1.42578125" style="115" customWidth="1"/>
    <col min="25" max="16384" width="11.42578125" style="115"/>
  </cols>
  <sheetData>
    <row r="1" spans="1:27" x14ac:dyDescent="0.4">
      <c r="A1" s="90" t="s">
        <v>39</v>
      </c>
      <c r="B1" s="1311"/>
      <c r="C1" s="2541" t="s">
        <v>149</v>
      </c>
      <c r="D1" s="2541"/>
    </row>
    <row r="2" spans="1:27" ht="15.75" customHeight="1" x14ac:dyDescent="0.4"/>
    <row r="3" spans="1:27" ht="19.5" x14ac:dyDescent="0.4">
      <c r="A3" s="3443" t="s">
        <v>41</v>
      </c>
      <c r="B3" s="3449"/>
      <c r="C3" s="3445" t="s">
        <v>6994</v>
      </c>
      <c r="D3" s="3450"/>
      <c r="E3" s="3450"/>
      <c r="F3" s="3450"/>
      <c r="G3" s="3450"/>
      <c r="H3" s="3450"/>
      <c r="I3" s="3450"/>
      <c r="J3" s="3450"/>
      <c r="K3" s="3450"/>
      <c r="L3" s="3450"/>
      <c r="M3" s="3450"/>
      <c r="N3" s="3450"/>
      <c r="O3" s="3450"/>
      <c r="P3" s="3450"/>
      <c r="Q3" s="3450"/>
      <c r="R3" s="3450"/>
      <c r="S3" s="3450"/>
      <c r="T3" s="3450"/>
      <c r="U3" s="3450"/>
      <c r="V3" s="3450"/>
      <c r="W3" s="3450"/>
      <c r="X3" s="3450"/>
      <c r="Y3" s="3450"/>
      <c r="Z3" s="3450"/>
      <c r="AA3" s="3450"/>
    </row>
    <row r="4" spans="1:27" ht="15.6" customHeight="1" x14ac:dyDescent="0.4">
      <c r="A4" s="3443" t="s">
        <v>42</v>
      </c>
      <c r="B4" s="3444"/>
      <c r="C4" s="3445" t="s">
        <v>7137</v>
      </c>
      <c r="D4" s="3450"/>
      <c r="E4" s="3450"/>
      <c r="F4" s="3450"/>
      <c r="G4" s="3450"/>
      <c r="H4" s="3450"/>
      <c r="I4" s="3450"/>
      <c r="J4" s="3450"/>
      <c r="K4" s="3450"/>
      <c r="L4" s="3450"/>
      <c r="M4" s="3450"/>
      <c r="N4" s="3450"/>
      <c r="O4" s="3450"/>
      <c r="P4" s="3450"/>
      <c r="Q4" s="3450"/>
      <c r="R4" s="3450"/>
      <c r="S4" s="3450"/>
      <c r="T4" s="3450"/>
      <c r="U4" s="3450"/>
      <c r="V4" s="3450"/>
      <c r="W4" s="3450"/>
      <c r="X4" s="3450"/>
      <c r="Y4" s="3450"/>
      <c r="Z4" s="3450"/>
      <c r="AA4" s="3450"/>
    </row>
    <row r="5" spans="1:27" ht="17.45" customHeight="1" x14ac:dyDescent="0.4">
      <c r="A5" s="3443" t="s">
        <v>43</v>
      </c>
      <c r="B5" s="3444"/>
      <c r="C5" s="3443" t="s">
        <v>7010</v>
      </c>
      <c r="D5" s="3446"/>
      <c r="E5" s="3446"/>
      <c r="F5" s="3446"/>
      <c r="G5" s="3446"/>
      <c r="H5" s="3446"/>
      <c r="I5" s="3446"/>
      <c r="J5" s="3446"/>
      <c r="K5" s="3446"/>
      <c r="L5" s="3446"/>
      <c r="M5" s="3446"/>
      <c r="N5" s="3446"/>
      <c r="O5" s="3446"/>
      <c r="P5" s="3446"/>
      <c r="Q5" s="3446"/>
      <c r="R5" s="3446"/>
      <c r="S5" s="3446"/>
      <c r="T5" s="3446"/>
      <c r="U5" s="3446"/>
      <c r="V5" s="3446"/>
      <c r="W5" s="3446"/>
      <c r="X5" s="3446"/>
      <c r="Y5" s="3446"/>
      <c r="Z5" s="3446"/>
      <c r="AA5" s="3446"/>
    </row>
    <row r="6" spans="1:27" ht="19.5" x14ac:dyDescent="0.4">
      <c r="A6" s="3443" t="s">
        <v>132</v>
      </c>
      <c r="B6" s="3444"/>
      <c r="C6" s="3443" t="s">
        <v>7138</v>
      </c>
      <c r="D6" s="3446"/>
      <c r="E6" s="3446"/>
      <c r="F6" s="3446"/>
      <c r="G6" s="3446"/>
      <c r="H6" s="3446"/>
      <c r="I6" s="3446"/>
      <c r="J6" s="3446"/>
      <c r="K6" s="3446"/>
      <c r="L6" s="3446"/>
      <c r="M6" s="3446"/>
      <c r="N6" s="3446"/>
      <c r="O6" s="3446"/>
      <c r="P6" s="3446"/>
      <c r="Q6" s="3446"/>
      <c r="R6" s="3446"/>
      <c r="S6" s="3446"/>
      <c r="T6" s="3446"/>
      <c r="U6" s="3446"/>
      <c r="V6" s="3446"/>
      <c r="W6" s="3446"/>
      <c r="X6" s="3446"/>
      <c r="Y6" s="3446"/>
      <c r="Z6" s="3446"/>
      <c r="AA6" s="3446"/>
    </row>
    <row r="7" spans="1:27" s="1048" customFormat="1" x14ac:dyDescent="0.4">
      <c r="A7" s="536"/>
      <c r="B7" s="115"/>
      <c r="D7" s="115"/>
      <c r="E7" s="115"/>
      <c r="F7" s="115"/>
    </row>
    <row r="8" spans="1:27" s="1048" customFormat="1" x14ac:dyDescent="0.4">
      <c r="A8" s="536"/>
      <c r="B8" s="115"/>
      <c r="D8" s="115"/>
      <c r="E8" s="115"/>
      <c r="F8" s="115"/>
    </row>
    <row r="9" spans="1:27" s="1048" customFormat="1" ht="20.45" customHeight="1" x14ac:dyDescent="0.4">
      <c r="A9" s="536"/>
      <c r="B9" s="115"/>
      <c r="C9" s="187" t="s">
        <v>7138</v>
      </c>
      <c r="D9" s="187"/>
      <c r="E9" s="187"/>
      <c r="F9" s="187"/>
      <c r="G9" s="187"/>
      <c r="H9" s="187"/>
      <c r="I9" s="187"/>
      <c r="J9" s="187"/>
      <c r="K9" s="187"/>
      <c r="L9" s="187"/>
      <c r="M9" s="187"/>
      <c r="N9" s="187"/>
      <c r="O9" s="187"/>
      <c r="P9" s="187"/>
      <c r="Q9" s="187"/>
      <c r="R9" s="187"/>
      <c r="S9" s="187"/>
      <c r="T9" s="187"/>
      <c r="U9" s="187"/>
      <c r="V9" s="187"/>
      <c r="W9" s="187"/>
      <c r="X9" s="187"/>
      <c r="Y9" s="187"/>
      <c r="Z9" s="187"/>
    </row>
    <row r="10" spans="1:27" s="1048" customFormat="1" ht="15" customHeight="1" x14ac:dyDescent="0.4">
      <c r="A10" s="536"/>
      <c r="B10" s="115"/>
      <c r="C10" s="1034"/>
      <c r="D10" s="1034"/>
      <c r="E10" s="1034"/>
      <c r="F10" s="1034"/>
      <c r="G10" s="1034"/>
      <c r="H10" s="1034"/>
      <c r="I10" s="1034"/>
      <c r="J10" s="1034"/>
      <c r="K10" s="1034"/>
      <c r="L10" s="1034"/>
      <c r="M10" s="1034"/>
      <c r="N10" s="1034"/>
      <c r="O10" s="1034"/>
      <c r="P10" s="1034"/>
      <c r="Q10" s="1034"/>
      <c r="R10" s="1034"/>
      <c r="S10" s="1034"/>
      <c r="T10" s="1034"/>
      <c r="U10" s="1034"/>
      <c r="V10" s="1034"/>
      <c r="W10" s="1034"/>
      <c r="X10" s="1034"/>
      <c r="Y10" s="1034"/>
      <c r="Z10" s="1034"/>
    </row>
    <row r="11" spans="1:27" s="1048" customFormat="1" ht="25.5" customHeight="1" x14ac:dyDescent="0.4">
      <c r="A11" s="536"/>
      <c r="B11" s="115"/>
      <c r="C11" s="3469" t="s">
        <v>7139</v>
      </c>
      <c r="D11" s="3471" t="s">
        <v>7140</v>
      </c>
      <c r="E11" s="3471"/>
      <c r="F11" s="2062"/>
      <c r="G11" s="3468" t="s">
        <v>7141</v>
      </c>
      <c r="H11" s="3468"/>
      <c r="I11" s="2062"/>
      <c r="J11" s="3468" t="s">
        <v>7142</v>
      </c>
      <c r="K11" s="3468"/>
      <c r="L11" s="2062"/>
      <c r="M11" s="3468" t="s">
        <v>7143</v>
      </c>
      <c r="N11" s="3468"/>
      <c r="O11" s="2062"/>
      <c r="P11" s="3468" t="s">
        <v>7144</v>
      </c>
      <c r="Q11" s="3468"/>
      <c r="R11" s="2062"/>
      <c r="S11" s="3468" t="s">
        <v>7145</v>
      </c>
      <c r="T11" s="3468"/>
      <c r="U11" s="2062"/>
      <c r="V11" s="3468" t="s">
        <v>7146</v>
      </c>
      <c r="W11" s="3468"/>
      <c r="X11" s="2062"/>
      <c r="Y11" s="3468" t="s">
        <v>7147</v>
      </c>
      <c r="Z11" s="3468"/>
    </row>
    <row r="12" spans="1:27" s="1048" customFormat="1" x14ac:dyDescent="0.4">
      <c r="A12" s="536"/>
      <c r="B12" s="115"/>
      <c r="C12" s="3470"/>
      <c r="D12" s="2063" t="s">
        <v>259</v>
      </c>
      <c r="E12" s="2063" t="s">
        <v>98</v>
      </c>
      <c r="F12" s="2064"/>
      <c r="G12" s="2063" t="s">
        <v>259</v>
      </c>
      <c r="H12" s="2063" t="s">
        <v>98</v>
      </c>
      <c r="I12" s="2064"/>
      <c r="J12" s="2063" t="s">
        <v>259</v>
      </c>
      <c r="K12" s="2063" t="s">
        <v>98</v>
      </c>
      <c r="L12" s="2064"/>
      <c r="M12" s="2063" t="s">
        <v>259</v>
      </c>
      <c r="N12" s="2063" t="s">
        <v>98</v>
      </c>
      <c r="O12" s="2064"/>
      <c r="P12" s="2063" t="s">
        <v>259</v>
      </c>
      <c r="Q12" s="2063" t="s">
        <v>98</v>
      </c>
      <c r="R12" s="2064"/>
      <c r="S12" s="2063" t="s">
        <v>259</v>
      </c>
      <c r="T12" s="2063" t="s">
        <v>98</v>
      </c>
      <c r="U12" s="2064"/>
      <c r="V12" s="2063" t="s">
        <v>259</v>
      </c>
      <c r="W12" s="2063" t="s">
        <v>98</v>
      </c>
      <c r="X12" s="2064"/>
      <c r="Y12" s="2063" t="s">
        <v>259</v>
      </c>
      <c r="Z12" s="2063" t="s">
        <v>98</v>
      </c>
    </row>
    <row r="13" spans="1:27" s="1048" customFormat="1" x14ac:dyDescent="0.4">
      <c r="A13" s="536"/>
      <c r="B13" s="115"/>
      <c r="C13" s="115" t="s">
        <v>7148</v>
      </c>
      <c r="D13" s="2065">
        <v>0</v>
      </c>
      <c r="E13" s="2066">
        <v>0</v>
      </c>
      <c r="F13" s="115"/>
      <c r="G13" s="2066">
        <v>0</v>
      </c>
      <c r="H13" s="2066">
        <v>0</v>
      </c>
      <c r="I13" s="115"/>
      <c r="J13" s="2067">
        <v>0</v>
      </c>
      <c r="K13" s="2066">
        <v>0</v>
      </c>
      <c r="L13" s="115"/>
      <c r="M13" s="115">
        <v>0</v>
      </c>
      <c r="N13" s="2066">
        <v>0</v>
      </c>
      <c r="O13" s="115"/>
      <c r="P13" s="115">
        <v>0</v>
      </c>
      <c r="Q13" s="2066">
        <v>0</v>
      </c>
      <c r="R13" s="115"/>
      <c r="S13" s="115">
        <v>0</v>
      </c>
      <c r="T13" s="2066">
        <v>0</v>
      </c>
      <c r="U13" s="115"/>
      <c r="V13" s="115">
        <v>0</v>
      </c>
      <c r="W13" s="2066">
        <v>0</v>
      </c>
      <c r="X13" s="115"/>
      <c r="Y13" s="115">
        <v>0</v>
      </c>
      <c r="Z13" s="2066">
        <v>0</v>
      </c>
    </row>
    <row r="14" spans="1:27" s="1048" customFormat="1" x14ac:dyDescent="0.4">
      <c r="A14" s="536"/>
      <c r="B14" s="115"/>
      <c r="C14" s="115" t="s">
        <v>7149</v>
      </c>
      <c r="D14" s="2065">
        <v>26.286300000000001</v>
      </c>
      <c r="E14" s="2065">
        <v>0.10992732580258754</v>
      </c>
      <c r="F14" s="115"/>
      <c r="G14" s="115">
        <v>0.34739999999999999</v>
      </c>
      <c r="H14" s="2066">
        <v>1.4528006217618653E-3</v>
      </c>
      <c r="I14" s="115"/>
      <c r="J14" s="2067">
        <v>0</v>
      </c>
      <c r="K14" s="2066">
        <v>0</v>
      </c>
      <c r="L14" s="115"/>
      <c r="M14" s="115">
        <v>0</v>
      </c>
      <c r="N14" s="2066">
        <v>0</v>
      </c>
      <c r="O14" s="115"/>
      <c r="P14" s="115">
        <v>0</v>
      </c>
      <c r="Q14" s="2066">
        <v>0</v>
      </c>
      <c r="R14" s="115"/>
      <c r="S14" s="115">
        <v>0</v>
      </c>
      <c r="T14" s="2066">
        <v>0</v>
      </c>
      <c r="U14" s="115"/>
      <c r="V14" s="115">
        <v>25.9389</v>
      </c>
      <c r="W14" s="2066">
        <v>0.1084745251808257</v>
      </c>
      <c r="X14" s="115"/>
      <c r="Y14" s="115">
        <v>0</v>
      </c>
      <c r="Z14" s="2066">
        <v>0</v>
      </c>
    </row>
    <row r="15" spans="1:27" s="1048" customFormat="1" x14ac:dyDescent="0.4">
      <c r="A15" s="536"/>
      <c r="B15" s="115"/>
      <c r="C15" s="115" t="s">
        <v>7150</v>
      </c>
      <c r="D15" s="2065">
        <v>1118.4937</v>
      </c>
      <c r="E15" s="2065">
        <v>4.6774563695933473</v>
      </c>
      <c r="F15" s="115"/>
      <c r="G15" s="115">
        <v>1010.7151</v>
      </c>
      <c r="H15" s="2066">
        <v>4.2267343860221818</v>
      </c>
      <c r="I15" s="115"/>
      <c r="J15" s="2067">
        <v>15.941700000000001</v>
      </c>
      <c r="K15" s="2066">
        <v>6.6666988117274409E-2</v>
      </c>
      <c r="L15" s="115"/>
      <c r="M15" s="115">
        <v>0.1197</v>
      </c>
      <c r="N15" s="2066">
        <v>5.0057638003711937E-4</v>
      </c>
      <c r="O15" s="115"/>
      <c r="P15" s="115">
        <v>14.414400000000001</v>
      </c>
      <c r="Q15" s="2066">
        <v>6.0279934606575221E-2</v>
      </c>
      <c r="R15" s="115"/>
      <c r="S15" s="115">
        <v>0.2727</v>
      </c>
      <c r="T15" s="2066">
        <v>1.1404108507612569E-3</v>
      </c>
      <c r="U15" s="115"/>
      <c r="V15" s="115">
        <v>77.030100000000004</v>
      </c>
      <c r="W15" s="2066">
        <v>0.32213407361651891</v>
      </c>
      <c r="X15" s="115"/>
      <c r="Y15" s="115">
        <v>0</v>
      </c>
      <c r="Z15" s="2066">
        <v>0</v>
      </c>
    </row>
    <row r="16" spans="1:27" s="1048" customFormat="1" x14ac:dyDescent="0.4">
      <c r="A16" s="536"/>
      <c r="B16" s="115"/>
      <c r="C16" s="115" t="s">
        <v>7151</v>
      </c>
      <c r="D16" s="2065">
        <v>4564.6286999999993</v>
      </c>
      <c r="E16" s="2065">
        <v>19.088933256971945</v>
      </c>
      <c r="F16" s="115"/>
      <c r="G16" s="115">
        <v>4098.6142</v>
      </c>
      <c r="H16" s="2066">
        <v>17.140095734375389</v>
      </c>
      <c r="I16" s="115"/>
      <c r="J16" s="2067">
        <v>271.37299999999999</v>
      </c>
      <c r="K16" s="2066">
        <v>1.1348614367570025</v>
      </c>
      <c r="L16" s="115"/>
      <c r="M16" s="115">
        <v>0.1134</v>
      </c>
      <c r="N16" s="2066">
        <v>4.7423025477200782E-4</v>
      </c>
      <c r="O16" s="115"/>
      <c r="P16" s="115">
        <v>159.1626</v>
      </c>
      <c r="Q16" s="2066">
        <v>0.66560599954299093</v>
      </c>
      <c r="R16" s="115"/>
      <c r="S16" s="115">
        <v>8.5490999999999993</v>
      </c>
      <c r="T16" s="2066">
        <v>3.5751691984756369E-2</v>
      </c>
      <c r="U16" s="115"/>
      <c r="V16" s="115">
        <v>26.816400000000002</v>
      </c>
      <c r="W16" s="2066">
        <v>0.11214416405703766</v>
      </c>
      <c r="X16" s="115"/>
      <c r="Y16" s="115">
        <v>0</v>
      </c>
      <c r="Z16" s="2066">
        <v>0</v>
      </c>
    </row>
    <row r="17" spans="1:26" s="1048" customFormat="1" x14ac:dyDescent="0.4">
      <c r="A17" s="536"/>
      <c r="B17" s="115"/>
      <c r="C17" s="115" t="s">
        <v>7152</v>
      </c>
      <c r="D17" s="2065">
        <v>5033.3194999999996</v>
      </c>
      <c r="E17" s="2065">
        <v>21.048962864496602</v>
      </c>
      <c r="F17" s="115"/>
      <c r="G17" s="115">
        <v>3792.0192999999999</v>
      </c>
      <c r="H17" s="2066">
        <v>15.85793896595565</v>
      </c>
      <c r="I17" s="115"/>
      <c r="J17" s="2067">
        <v>480.27800000000002</v>
      </c>
      <c r="K17" s="2066">
        <v>2.0084864047741657</v>
      </c>
      <c r="L17" s="115"/>
      <c r="M17" s="115">
        <v>1.0313999999999999</v>
      </c>
      <c r="N17" s="2066">
        <v>4.3132370791168322E-3</v>
      </c>
      <c r="O17" s="115"/>
      <c r="P17" s="115">
        <v>440.71839999999997</v>
      </c>
      <c r="Q17" s="2066">
        <v>1.8430511385777042</v>
      </c>
      <c r="R17" s="115"/>
      <c r="S17" s="115">
        <v>226.351</v>
      </c>
      <c r="T17" s="2066">
        <v>0.94658282537829586</v>
      </c>
      <c r="U17" s="115"/>
      <c r="V17" s="115">
        <v>92.921400000000006</v>
      </c>
      <c r="W17" s="2066">
        <v>0.38859029273167245</v>
      </c>
      <c r="X17" s="115"/>
      <c r="Y17" s="115">
        <v>0</v>
      </c>
      <c r="Z17" s="2066">
        <v>0</v>
      </c>
    </row>
    <row r="18" spans="1:26" s="1048" customFormat="1" x14ac:dyDescent="0.4">
      <c r="A18" s="536"/>
      <c r="B18" s="115"/>
      <c r="C18" s="115" t="s">
        <v>7153</v>
      </c>
      <c r="D18" s="2065">
        <v>13169.7065</v>
      </c>
      <c r="E18" s="2065">
        <v>55.074720183135504</v>
      </c>
      <c r="F18" s="115"/>
      <c r="G18" s="115">
        <v>10206.9306</v>
      </c>
      <c r="H18" s="2066">
        <v>42.684614628555579</v>
      </c>
      <c r="I18" s="115"/>
      <c r="J18" s="2067">
        <v>2239.11</v>
      </c>
      <c r="K18" s="2066">
        <v>9.3637892924387174</v>
      </c>
      <c r="L18" s="115"/>
      <c r="M18" s="115">
        <v>98.852400000000017</v>
      </c>
      <c r="N18" s="2066">
        <v>0.41339328780268464</v>
      </c>
      <c r="O18" s="115"/>
      <c r="P18" s="115">
        <v>372.32510000000002</v>
      </c>
      <c r="Q18" s="2066">
        <v>1.5570355117373309</v>
      </c>
      <c r="R18" s="115"/>
      <c r="S18" s="115">
        <v>100.47199999999999</v>
      </c>
      <c r="T18" s="2066">
        <v>0.42016633295814088</v>
      </c>
      <c r="U18" s="115"/>
      <c r="V18" s="115">
        <v>152.0164</v>
      </c>
      <c r="W18" s="2066">
        <v>0.63572112964306404</v>
      </c>
      <c r="X18" s="115"/>
      <c r="Y18" s="115">
        <v>0</v>
      </c>
      <c r="Z18" s="2066">
        <v>0</v>
      </c>
    </row>
    <row r="19" spans="1:26" s="1048" customFormat="1" x14ac:dyDescent="0.4">
      <c r="A19" s="536"/>
      <c r="B19" s="115"/>
      <c r="C19" s="120" t="s">
        <v>1104</v>
      </c>
      <c r="D19" s="2068">
        <v>23912.434699999998</v>
      </c>
      <c r="E19" s="2068">
        <v>99.999999999999986</v>
      </c>
      <c r="F19" s="1649"/>
      <c r="G19" s="2068">
        <v>19108.6266</v>
      </c>
      <c r="H19" s="2068">
        <v>79.910836515530562</v>
      </c>
      <c r="I19" s="1649"/>
      <c r="J19" s="2068">
        <v>3006.7027000000003</v>
      </c>
      <c r="K19" s="2068">
        <v>12.573804122087161</v>
      </c>
      <c r="L19" s="1649"/>
      <c r="M19" s="2068">
        <v>100.11690000000002</v>
      </c>
      <c r="N19" s="2068">
        <v>0.41868133151661058</v>
      </c>
      <c r="O19" s="1649"/>
      <c r="P19" s="2068">
        <v>986.62049999999999</v>
      </c>
      <c r="Q19" s="2068">
        <v>4.1259725844646011</v>
      </c>
      <c r="R19" s="1649"/>
      <c r="S19" s="2068">
        <v>335.64479999999998</v>
      </c>
      <c r="T19" s="2068">
        <v>1.4036412611719542</v>
      </c>
      <c r="U19" s="1649"/>
      <c r="V19" s="2068">
        <v>374.72320000000002</v>
      </c>
      <c r="W19" s="2068">
        <v>1.5670641852291187</v>
      </c>
      <c r="X19" s="1649"/>
      <c r="Y19" s="2068">
        <v>0</v>
      </c>
      <c r="Z19" s="2068">
        <v>0</v>
      </c>
    </row>
    <row r="20" spans="1:26" x14ac:dyDescent="0.4">
      <c r="A20" s="536"/>
      <c r="C20" s="115" t="s">
        <v>7154</v>
      </c>
    </row>
    <row r="21" spans="1:26" ht="17.45" customHeight="1" x14ac:dyDescent="0.4">
      <c r="C21" s="243" t="s">
        <v>7155</v>
      </c>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x14ac:dyDescent="0.4">
      <c r="C22" s="115" t="s">
        <v>7156</v>
      </c>
    </row>
    <row r="23" spans="1:26" x14ac:dyDescent="0.4">
      <c r="C23" s="115"/>
    </row>
    <row r="25" spans="1:26" ht="19.5" x14ac:dyDescent="0.4">
      <c r="C25" s="266" t="s">
        <v>7157</v>
      </c>
    </row>
    <row r="29" spans="1:26" x14ac:dyDescent="0.4">
      <c r="B29" s="243"/>
    </row>
    <row r="40" spans="3:10" x14ac:dyDescent="0.4">
      <c r="C40" s="243" t="s">
        <v>7158</v>
      </c>
      <c r="D40" s="243"/>
      <c r="E40" s="243"/>
      <c r="F40" s="243"/>
      <c r="G40" s="243"/>
      <c r="H40" s="243"/>
      <c r="I40" s="243"/>
      <c r="J40" s="243"/>
    </row>
    <row r="41" spans="3:10" x14ac:dyDescent="0.4">
      <c r="C41" s="115" t="s">
        <v>7159</v>
      </c>
    </row>
    <row r="42" spans="3:10" x14ac:dyDescent="0.4">
      <c r="C42" s="115" t="s">
        <v>7160</v>
      </c>
    </row>
    <row r="51" spans="3:3" x14ac:dyDescent="0.4">
      <c r="C51" s="115"/>
    </row>
  </sheetData>
  <mergeCells count="18">
    <mergeCell ref="A5:B5"/>
    <mergeCell ref="C5:AA5"/>
    <mergeCell ref="C1:D1"/>
    <mergeCell ref="A3:B3"/>
    <mergeCell ref="C3:AA3"/>
    <mergeCell ref="A4:B4"/>
    <mergeCell ref="C4:AA4"/>
    <mergeCell ref="Y11:Z11"/>
    <mergeCell ref="A6:B6"/>
    <mergeCell ref="C6:AA6"/>
    <mergeCell ref="C11:C12"/>
    <mergeCell ref="D11:E11"/>
    <mergeCell ref="G11:H11"/>
    <mergeCell ref="J11:K11"/>
    <mergeCell ref="M11:N11"/>
    <mergeCell ref="P11:Q11"/>
    <mergeCell ref="S11:T11"/>
    <mergeCell ref="V11:W11"/>
  </mergeCells>
  <hyperlinks>
    <hyperlink ref="A1" location="'ODS 15.'!A1" display="REGRESAR" xr:uid="{983C1497-110F-4DC7-9817-05DFA041B7B6}"/>
    <hyperlink ref="C1:D1" location="'Metadato 15.4.2'!A1" display="VER METADATO" xr:uid="{3F238CBF-0221-4F77-8598-D750E3EB1F0B}"/>
  </hyperlinks>
  <pageMargins left="0.7" right="0.7" top="0.75" bottom="0.75" header="0.3" footer="0.3"/>
  <pageSetup orientation="portrait" r:id="rId1"/>
  <drawing r:id="rId2"/>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3538-43CE-4AC4-96FE-B0637D664BFC}">
  <sheetPr>
    <tabColor theme="0" tint="-0.499984740745262"/>
  </sheetPr>
  <dimension ref="A1:F65"/>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17.42578125" style="115" customWidth="1"/>
    <col min="4" max="4" width="72.85546875" style="115" customWidth="1"/>
    <col min="5" max="5" width="55" style="115" customWidth="1"/>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E3" s="3493"/>
      <c r="F3" s="1046" t="s">
        <v>265</v>
      </c>
    </row>
    <row r="4" spans="1:6" ht="50.25" customHeight="1" x14ac:dyDescent="0.4">
      <c r="A4" s="283"/>
      <c r="B4" s="2425" t="s">
        <v>234</v>
      </c>
      <c r="C4" s="2425"/>
      <c r="D4" s="3494" t="s">
        <v>7056</v>
      </c>
      <c r="E4" s="3490"/>
    </row>
    <row r="5" spans="1:6" ht="44.25" customHeight="1" x14ac:dyDescent="0.4">
      <c r="B5" s="2425" t="s">
        <v>79</v>
      </c>
      <c r="C5" s="2425"/>
      <c r="D5" s="3494" t="s">
        <v>7006</v>
      </c>
      <c r="E5" s="3490"/>
    </row>
    <row r="6" spans="1:6" ht="18" customHeight="1" x14ac:dyDescent="0.4">
      <c r="B6" s="2425" t="s">
        <v>80</v>
      </c>
      <c r="C6" s="2425"/>
      <c r="D6" s="3495" t="s">
        <v>7009</v>
      </c>
      <c r="E6" s="3490"/>
    </row>
    <row r="7" spans="1:6" ht="15" customHeight="1" x14ac:dyDescent="0.4">
      <c r="B7" s="2426" t="s">
        <v>81</v>
      </c>
      <c r="C7" s="2426"/>
      <c r="D7" s="3489" t="s">
        <v>7010</v>
      </c>
      <c r="E7" s="3490"/>
    </row>
    <row r="8" spans="1:6" ht="15" customHeight="1" x14ac:dyDescent="0.4">
      <c r="B8" s="2426" t="s">
        <v>82</v>
      </c>
      <c r="C8" s="2426"/>
      <c r="D8" s="3491" t="s">
        <v>7161</v>
      </c>
      <c r="E8" s="3490"/>
    </row>
    <row r="10" spans="1:6" ht="23.25" customHeight="1" x14ac:dyDescent="0.4">
      <c r="B10" s="3454" t="s">
        <v>85</v>
      </c>
      <c r="C10" s="3454"/>
      <c r="D10" s="3454"/>
      <c r="E10" s="3492"/>
    </row>
    <row r="11" spans="1:6" x14ac:dyDescent="0.4">
      <c r="B11" s="2427" t="s">
        <v>86</v>
      </c>
      <c r="C11" s="2428"/>
      <c r="D11" s="3477" t="s">
        <v>307</v>
      </c>
      <c r="E11" s="3478"/>
    </row>
    <row r="12" spans="1:6" ht="14.65" customHeight="1" x14ac:dyDescent="0.4">
      <c r="B12" s="2426" t="s">
        <v>88</v>
      </c>
      <c r="C12" s="2426"/>
      <c r="D12" s="3496" t="s">
        <v>7162</v>
      </c>
      <c r="E12" s="3497"/>
    </row>
    <row r="13" spans="1:6" x14ac:dyDescent="0.4">
      <c r="B13" s="2425" t="s">
        <v>90</v>
      </c>
      <c r="C13" s="2425"/>
      <c r="D13" s="3487" t="s">
        <v>7009</v>
      </c>
      <c r="E13" s="3488"/>
    </row>
    <row r="14" spans="1:6" x14ac:dyDescent="0.4">
      <c r="B14" s="2425" t="s">
        <v>91</v>
      </c>
      <c r="C14" s="2428"/>
      <c r="D14" s="3487" t="s">
        <v>214</v>
      </c>
      <c r="E14" s="3488"/>
    </row>
    <row r="15" spans="1:6" ht="14.65" customHeight="1" x14ac:dyDescent="0.4">
      <c r="B15" s="2425" t="s">
        <v>93</v>
      </c>
      <c r="C15" s="2425"/>
      <c r="D15" s="3477" t="s">
        <v>7163</v>
      </c>
      <c r="E15" s="3478"/>
    </row>
    <row r="16" spans="1:6" ht="159.4" customHeight="1" x14ac:dyDescent="0.4">
      <c r="B16" s="2069"/>
      <c r="C16" s="2070"/>
      <c r="D16" s="3477" t="s">
        <v>7164</v>
      </c>
      <c r="E16" s="3478"/>
    </row>
    <row r="17" spans="2:5" ht="409.6" customHeight="1" x14ac:dyDescent="0.4">
      <c r="B17" s="2425" t="s">
        <v>95</v>
      </c>
      <c r="C17" s="2425"/>
      <c r="D17" s="3477" t="s">
        <v>7165</v>
      </c>
      <c r="E17" s="3478"/>
    </row>
    <row r="18" spans="2:5" ht="19.5" thickBot="1" x14ac:dyDescent="0.45">
      <c r="B18" s="3484"/>
      <c r="C18" s="3486"/>
      <c r="D18" s="2071" t="s">
        <v>7166</v>
      </c>
      <c r="E18" s="2071" t="s">
        <v>7167</v>
      </c>
    </row>
    <row r="19" spans="2:5" ht="94.5" thickBot="1" x14ac:dyDescent="0.45">
      <c r="B19" s="3484"/>
      <c r="C19" s="3485"/>
      <c r="D19" s="2072" t="s">
        <v>7168</v>
      </c>
      <c r="E19" s="2073" t="s">
        <v>7169</v>
      </c>
    </row>
    <row r="20" spans="2:5" ht="34.5" customHeight="1" thickBot="1" x14ac:dyDescent="0.45">
      <c r="B20" s="3484"/>
      <c r="C20" s="3485"/>
      <c r="D20" s="2072" t="s">
        <v>7170</v>
      </c>
      <c r="E20" s="2073" t="s">
        <v>7171</v>
      </c>
    </row>
    <row r="21" spans="2:5" ht="113.25" thickBot="1" x14ac:dyDescent="0.45">
      <c r="B21" s="3484"/>
      <c r="C21" s="3485"/>
      <c r="D21" s="2072" t="s">
        <v>7172</v>
      </c>
      <c r="E21" s="2074" t="s">
        <v>7173</v>
      </c>
    </row>
    <row r="22" spans="2:5" ht="132" thickBot="1" x14ac:dyDescent="0.45">
      <c r="B22" s="3484"/>
      <c r="C22" s="3485"/>
      <c r="D22" s="2072" t="s">
        <v>7174</v>
      </c>
      <c r="E22" s="2074" t="s">
        <v>7175</v>
      </c>
    </row>
    <row r="23" spans="2:5" ht="75.75" thickBot="1" x14ac:dyDescent="0.45">
      <c r="B23" s="3484"/>
      <c r="C23" s="3485"/>
      <c r="D23" s="2072" t="s">
        <v>7176</v>
      </c>
      <c r="E23" s="2074" t="s">
        <v>7177</v>
      </c>
    </row>
    <row r="24" spans="2:5" ht="28.5" customHeight="1" thickBot="1" x14ac:dyDescent="0.45">
      <c r="B24" s="2075"/>
      <c r="C24" s="2076"/>
      <c r="D24" s="2077" t="s">
        <v>7178</v>
      </c>
      <c r="E24" s="2078" t="s">
        <v>7179</v>
      </c>
    </row>
    <row r="25" spans="2:5" ht="38.25" thickBot="1" x14ac:dyDescent="0.45">
      <c r="B25" s="2425"/>
      <c r="C25" s="2425"/>
      <c r="D25" s="2077"/>
      <c r="E25" s="2078" t="s">
        <v>7180</v>
      </c>
    </row>
    <row r="26" spans="2:5" x14ac:dyDescent="0.4">
      <c r="B26" s="2425" t="s">
        <v>97</v>
      </c>
      <c r="C26" s="2425"/>
      <c r="D26" s="3482" t="s">
        <v>98</v>
      </c>
      <c r="E26" s="3483"/>
    </row>
    <row r="27" spans="2:5" x14ac:dyDescent="0.4">
      <c r="B27" s="2426" t="s">
        <v>99</v>
      </c>
      <c r="C27" s="2426"/>
      <c r="D27" s="3480" t="s">
        <v>7181</v>
      </c>
      <c r="E27" s="3481"/>
    </row>
    <row r="28" spans="2:5" ht="14.65" customHeight="1" x14ac:dyDescent="0.4">
      <c r="B28" s="2435" t="s">
        <v>100</v>
      </c>
      <c r="C28" s="2436"/>
      <c r="D28" s="3480" t="s">
        <v>7182</v>
      </c>
      <c r="E28" s="3481"/>
    </row>
    <row r="29" spans="2:5" x14ac:dyDescent="0.4">
      <c r="B29" s="2425" t="s">
        <v>102</v>
      </c>
      <c r="C29" s="2425"/>
      <c r="D29" s="3480" t="s">
        <v>140</v>
      </c>
      <c r="E29" s="3481"/>
    </row>
    <row r="30" spans="2:5" x14ac:dyDescent="0.4">
      <c r="B30" s="2432" t="s">
        <v>104</v>
      </c>
      <c r="C30" s="57" t="s">
        <v>105</v>
      </c>
      <c r="D30" s="3480" t="s">
        <v>4810</v>
      </c>
      <c r="E30" s="3481"/>
    </row>
    <row r="31" spans="2:5" x14ac:dyDescent="0.4">
      <c r="B31" s="2433"/>
      <c r="C31" s="58" t="s">
        <v>107</v>
      </c>
      <c r="D31" s="3480" t="s">
        <v>7183</v>
      </c>
      <c r="E31" s="3481"/>
    </row>
    <row r="32" spans="2:5" ht="30" customHeight="1" x14ac:dyDescent="0.4">
      <c r="B32" s="2425" t="s">
        <v>109</v>
      </c>
      <c r="C32" s="2425"/>
      <c r="D32" s="3480" t="s">
        <v>7184</v>
      </c>
      <c r="E32" s="3481"/>
    </row>
    <row r="33" spans="2:5" ht="14.65" customHeight="1" x14ac:dyDescent="0.4">
      <c r="B33" s="2425" t="s">
        <v>111</v>
      </c>
      <c r="C33" s="2425"/>
      <c r="D33" s="3480" t="s">
        <v>7185</v>
      </c>
      <c r="E33" s="3481"/>
    </row>
    <row r="34" spans="2:5" ht="17.25" customHeight="1" x14ac:dyDescent="0.4">
      <c r="B34" s="2425" t="s">
        <v>113</v>
      </c>
      <c r="C34" s="2425"/>
      <c r="D34" s="3480" t="s">
        <v>1701</v>
      </c>
      <c r="E34" s="3481"/>
    </row>
    <row r="35" spans="2:5" ht="14.65" customHeight="1" x14ac:dyDescent="0.4">
      <c r="B35" s="2426" t="s">
        <v>115</v>
      </c>
      <c r="C35" s="2426"/>
      <c r="D35" s="3480" t="s">
        <v>7186</v>
      </c>
      <c r="E35" s="3481"/>
    </row>
    <row r="36" spans="2:5" ht="14.65" customHeight="1" x14ac:dyDescent="0.4">
      <c r="B36" s="2427" t="s">
        <v>117</v>
      </c>
      <c r="C36" s="2428"/>
      <c r="D36" s="3477" t="s">
        <v>7187</v>
      </c>
      <c r="E36" s="3478"/>
    </row>
    <row r="37" spans="2:5" ht="241.5" customHeight="1" x14ac:dyDescent="0.4">
      <c r="B37" s="60" t="s">
        <v>118</v>
      </c>
      <c r="C37" s="61"/>
      <c r="D37" s="3477" t="s">
        <v>7188</v>
      </c>
      <c r="E37" s="3478"/>
    </row>
    <row r="38" spans="2:5" x14ac:dyDescent="0.4">
      <c r="B38" s="2429" t="s">
        <v>120</v>
      </c>
      <c r="C38" s="2430"/>
      <c r="D38" s="3477"/>
      <c r="E38" s="3478"/>
    </row>
    <row r="39" spans="2:5" x14ac:dyDescent="0.4">
      <c r="B39" s="628"/>
      <c r="C39" s="628"/>
      <c r="D39" s="3479"/>
      <c r="E39" s="3479"/>
    </row>
    <row r="40" spans="2:5" ht="19.5" x14ac:dyDescent="0.4">
      <c r="B40" s="3476" t="s">
        <v>121</v>
      </c>
      <c r="C40" s="3476"/>
      <c r="D40" s="3476"/>
      <c r="E40" s="3476"/>
    </row>
    <row r="41" spans="2:5" x14ac:dyDescent="0.4">
      <c r="B41" s="2427" t="s">
        <v>122</v>
      </c>
      <c r="C41" s="2428"/>
      <c r="D41" s="3473" t="s">
        <v>7189</v>
      </c>
      <c r="E41" s="3473"/>
    </row>
    <row r="42" spans="2:5" x14ac:dyDescent="0.4">
      <c r="B42" s="2427" t="s">
        <v>124</v>
      </c>
      <c r="C42" s="2428"/>
      <c r="D42" s="3473" t="s">
        <v>7122</v>
      </c>
      <c r="E42" s="3473"/>
    </row>
    <row r="43" spans="2:5" x14ac:dyDescent="0.4">
      <c r="B43" s="2427" t="s">
        <v>126</v>
      </c>
      <c r="C43" s="2428"/>
      <c r="D43" s="3473" t="s">
        <v>7123</v>
      </c>
      <c r="E43" s="3473"/>
    </row>
    <row r="44" spans="2:5" x14ac:dyDescent="0.4">
      <c r="B44" s="2427" t="s">
        <v>128</v>
      </c>
      <c r="C44" s="2428"/>
      <c r="D44" s="3475" t="s">
        <v>7124</v>
      </c>
      <c r="E44" s="3475"/>
    </row>
    <row r="45" spans="2:5" x14ac:dyDescent="0.4">
      <c r="B45" s="2427" t="s">
        <v>130</v>
      </c>
      <c r="C45" s="2428"/>
      <c r="D45" s="3472" t="s">
        <v>7125</v>
      </c>
      <c r="E45" s="3472"/>
    </row>
    <row r="46" spans="2:5" x14ac:dyDescent="0.4">
      <c r="B46" s="2427" t="s">
        <v>122</v>
      </c>
      <c r="C46" s="2428"/>
      <c r="D46" s="3473" t="s">
        <v>7190</v>
      </c>
      <c r="E46" s="3473"/>
    </row>
    <row r="47" spans="2:5" x14ac:dyDescent="0.4">
      <c r="B47" s="2427" t="s">
        <v>124</v>
      </c>
      <c r="C47" s="2428"/>
      <c r="D47" s="3473" t="s">
        <v>7191</v>
      </c>
      <c r="E47" s="3473"/>
    </row>
    <row r="48" spans="2:5" x14ac:dyDescent="0.4">
      <c r="B48" s="2427" t="s">
        <v>126</v>
      </c>
      <c r="C48" s="2428"/>
      <c r="D48" s="3473" t="s">
        <v>7123</v>
      </c>
      <c r="E48" s="3473"/>
    </row>
    <row r="49" spans="2:5" x14ac:dyDescent="0.4">
      <c r="B49" s="2427" t="s">
        <v>128</v>
      </c>
      <c r="C49" s="2428"/>
      <c r="D49" s="3473"/>
      <c r="E49" s="3473"/>
    </row>
    <row r="50" spans="2:5" x14ac:dyDescent="0.4">
      <c r="B50" s="2427" t="s">
        <v>130</v>
      </c>
      <c r="C50" s="2428"/>
      <c r="D50" s="3472" t="s">
        <v>6984</v>
      </c>
      <c r="E50" s="3472"/>
    </row>
    <row r="51" spans="2:5" x14ac:dyDescent="0.4">
      <c r="B51" s="2427" t="s">
        <v>122</v>
      </c>
      <c r="C51" s="2428"/>
      <c r="D51" s="3473" t="s">
        <v>7192</v>
      </c>
      <c r="E51" s="3473"/>
    </row>
    <row r="52" spans="2:5" x14ac:dyDescent="0.4">
      <c r="B52" s="2427" t="s">
        <v>124</v>
      </c>
      <c r="C52" s="2428"/>
      <c r="D52" s="3473"/>
      <c r="E52" s="3473"/>
    </row>
    <row r="53" spans="2:5" x14ac:dyDescent="0.4">
      <c r="B53" s="2427" t="s">
        <v>126</v>
      </c>
      <c r="C53" s="2428"/>
      <c r="D53" s="3473" t="s">
        <v>7193</v>
      </c>
      <c r="E53" s="3473"/>
    </row>
    <row r="54" spans="2:5" x14ac:dyDescent="0.4">
      <c r="B54" s="2427" t="s">
        <v>128</v>
      </c>
      <c r="C54" s="2428"/>
      <c r="D54" s="3473"/>
      <c r="E54" s="3473"/>
    </row>
    <row r="55" spans="2:5" x14ac:dyDescent="0.4">
      <c r="B55" s="2427" t="s">
        <v>130</v>
      </c>
      <c r="C55" s="2428"/>
      <c r="D55" s="3474" t="s">
        <v>7194</v>
      </c>
      <c r="E55" s="3474"/>
    </row>
    <row r="56" spans="2:5" x14ac:dyDescent="0.4">
      <c r="B56" s="2427" t="s">
        <v>122</v>
      </c>
      <c r="C56" s="2428"/>
      <c r="D56" s="3473" t="s">
        <v>7195</v>
      </c>
      <c r="E56" s="3473"/>
    </row>
    <row r="57" spans="2:5" x14ac:dyDescent="0.4">
      <c r="B57" s="2427" t="s">
        <v>124</v>
      </c>
      <c r="C57" s="2428"/>
      <c r="D57" s="3473"/>
      <c r="E57" s="3473"/>
    </row>
    <row r="58" spans="2:5" x14ac:dyDescent="0.4">
      <c r="B58" s="2427" t="s">
        <v>126</v>
      </c>
      <c r="C58" s="2428"/>
      <c r="D58" s="3473" t="s">
        <v>7123</v>
      </c>
      <c r="E58" s="3473"/>
    </row>
    <row r="59" spans="2:5" x14ac:dyDescent="0.4">
      <c r="B59" s="2427" t="s">
        <v>128</v>
      </c>
      <c r="C59" s="2428"/>
      <c r="D59" s="3473"/>
      <c r="E59" s="3473"/>
    </row>
    <row r="60" spans="2:5" x14ac:dyDescent="0.4">
      <c r="B60" s="2427" t="s">
        <v>130</v>
      </c>
      <c r="C60" s="2428"/>
      <c r="D60" s="3472" t="s">
        <v>7136</v>
      </c>
      <c r="E60" s="3472"/>
    </row>
    <row r="61" spans="2:5" x14ac:dyDescent="0.4">
      <c r="B61" s="2427" t="s">
        <v>122</v>
      </c>
      <c r="C61" s="2428"/>
      <c r="D61" s="3473" t="s">
        <v>7073</v>
      </c>
      <c r="E61" s="3473"/>
    </row>
    <row r="62" spans="2:5" x14ac:dyDescent="0.4">
      <c r="B62" s="2427" t="s">
        <v>124</v>
      </c>
      <c r="C62" s="2428"/>
      <c r="D62" s="3473" t="s">
        <v>7196</v>
      </c>
      <c r="E62" s="3473"/>
    </row>
    <row r="63" spans="2:5" x14ac:dyDescent="0.4">
      <c r="B63" s="2427" t="s">
        <v>126</v>
      </c>
      <c r="C63" s="2428"/>
      <c r="D63" s="3473" t="s">
        <v>7123</v>
      </c>
      <c r="E63" s="3473"/>
    </row>
    <row r="64" spans="2:5" x14ac:dyDescent="0.4">
      <c r="B64" s="2427" t="s">
        <v>128</v>
      </c>
      <c r="C64" s="2428"/>
      <c r="D64" s="3473"/>
      <c r="E64" s="3473"/>
    </row>
    <row r="65" spans="2:5" x14ac:dyDescent="0.4">
      <c r="B65" s="2427" t="s">
        <v>130</v>
      </c>
      <c r="C65" s="2428"/>
      <c r="D65" s="3472" t="s">
        <v>7076</v>
      </c>
      <c r="E65" s="3472"/>
    </row>
  </sheetData>
  <mergeCells count="108">
    <mergeCell ref="B3:E3"/>
    <mergeCell ref="B4:C4"/>
    <mergeCell ref="D4:E4"/>
    <mergeCell ref="B5:C5"/>
    <mergeCell ref="D5:E5"/>
    <mergeCell ref="B6:C6"/>
    <mergeCell ref="D6:E6"/>
    <mergeCell ref="B12:C12"/>
    <mergeCell ref="D12:E12"/>
    <mergeCell ref="B13:C13"/>
    <mergeCell ref="D13:E13"/>
    <mergeCell ref="B14:C14"/>
    <mergeCell ref="D14:E14"/>
    <mergeCell ref="B7:C7"/>
    <mergeCell ref="D7:E7"/>
    <mergeCell ref="B8:C8"/>
    <mergeCell ref="D8:E8"/>
    <mergeCell ref="B10:E10"/>
    <mergeCell ref="B11:C11"/>
    <mergeCell ref="D11:E11"/>
    <mergeCell ref="B19:C19"/>
    <mergeCell ref="B20:C20"/>
    <mergeCell ref="B21:C21"/>
    <mergeCell ref="B22:C22"/>
    <mergeCell ref="B23:C23"/>
    <mergeCell ref="B25:C25"/>
    <mergeCell ref="B15:C15"/>
    <mergeCell ref="D15:E15"/>
    <mergeCell ref="D16:E16"/>
    <mergeCell ref="B17:C17"/>
    <mergeCell ref="D17:E17"/>
    <mergeCell ref="B18:C18"/>
    <mergeCell ref="B29:C29"/>
    <mergeCell ref="D29:E29"/>
    <mergeCell ref="B30:B31"/>
    <mergeCell ref="D30:E30"/>
    <mergeCell ref="D31:E31"/>
    <mergeCell ref="B32:C32"/>
    <mergeCell ref="D32:E32"/>
    <mergeCell ref="B26:C26"/>
    <mergeCell ref="D26:E26"/>
    <mergeCell ref="B27:C27"/>
    <mergeCell ref="D27:E27"/>
    <mergeCell ref="B28:C28"/>
    <mergeCell ref="D28:E28"/>
    <mergeCell ref="B36:C36"/>
    <mergeCell ref="D36:E36"/>
    <mergeCell ref="D37:E37"/>
    <mergeCell ref="B38:C38"/>
    <mergeCell ref="D38:E38"/>
    <mergeCell ref="D39:E39"/>
    <mergeCell ref="B33:C33"/>
    <mergeCell ref="D33:E33"/>
    <mergeCell ref="B34:C34"/>
    <mergeCell ref="D34:E34"/>
    <mergeCell ref="B35:C35"/>
    <mergeCell ref="D35:E35"/>
    <mergeCell ref="B44:C44"/>
    <mergeCell ref="D44:E44"/>
    <mergeCell ref="B45:C45"/>
    <mergeCell ref="D45:E45"/>
    <mergeCell ref="B46:C46"/>
    <mergeCell ref="D46:E46"/>
    <mergeCell ref="B40:E40"/>
    <mergeCell ref="B41:C41"/>
    <mergeCell ref="D41:E41"/>
    <mergeCell ref="B42:C42"/>
    <mergeCell ref="D42:E42"/>
    <mergeCell ref="B43:C43"/>
    <mergeCell ref="D43:E43"/>
    <mergeCell ref="B50:C50"/>
    <mergeCell ref="D50:E50"/>
    <mergeCell ref="B51:C51"/>
    <mergeCell ref="D51:E51"/>
    <mergeCell ref="B52:C52"/>
    <mergeCell ref="D52:E52"/>
    <mergeCell ref="B47:C47"/>
    <mergeCell ref="D47:E47"/>
    <mergeCell ref="B48:C48"/>
    <mergeCell ref="D48:E48"/>
    <mergeCell ref="B49:C49"/>
    <mergeCell ref="D49:E49"/>
    <mergeCell ref="B56:C56"/>
    <mergeCell ref="D56:E56"/>
    <mergeCell ref="B57:C57"/>
    <mergeCell ref="D57:E57"/>
    <mergeCell ref="B58:C58"/>
    <mergeCell ref="D58:E58"/>
    <mergeCell ref="B53:C53"/>
    <mergeCell ref="D53:E53"/>
    <mergeCell ref="B54:C54"/>
    <mergeCell ref="D54:E54"/>
    <mergeCell ref="B55:C55"/>
    <mergeCell ref="D55:E55"/>
    <mergeCell ref="B65:C65"/>
    <mergeCell ref="D65:E65"/>
    <mergeCell ref="B62:C62"/>
    <mergeCell ref="D62:E62"/>
    <mergeCell ref="B63:C63"/>
    <mergeCell ref="D63:E63"/>
    <mergeCell ref="B64:C64"/>
    <mergeCell ref="D64:E64"/>
    <mergeCell ref="B59:C59"/>
    <mergeCell ref="D59:E59"/>
    <mergeCell ref="B60:C60"/>
    <mergeCell ref="D60:E60"/>
    <mergeCell ref="B61:C61"/>
    <mergeCell ref="D61:E61"/>
  </mergeCells>
  <dataValidations count="7">
    <dataValidation type="list" allowBlank="1" showInputMessage="1" showErrorMessage="1" sqref="D34" xr:uid="{7C858436-2B1C-4CB5-BF2E-0F03A2F3ED73}">
      <formula1>Tipo_operación</formula1>
    </dataValidation>
    <dataValidation type="list" allowBlank="1" showInputMessage="1" showErrorMessage="1" sqref="D14" xr:uid="{A00C6ED7-C164-4F96-A7A1-D9C14CA28949}">
      <formula1>Tipo_indicador</formula1>
    </dataValidation>
    <dataValidation type="list" allowBlank="1" showInputMessage="1" showErrorMessage="1" sqref="D7" xr:uid="{5196E8ED-4769-4A57-BAEF-F69002E0F8D0}">
      <formula1>Nombre_indicador_ODS</formula1>
    </dataValidation>
    <dataValidation type="list" allowBlank="1" showInputMessage="1" showErrorMessage="1" sqref="D6" xr:uid="{59E2FDF2-9072-4C92-B512-46ECCB9E81D2}">
      <formula1>Numero_indicador</formula1>
    </dataValidation>
    <dataValidation type="list" allowBlank="1" showInputMessage="1" showErrorMessage="1" sqref="D5" xr:uid="{F398B74F-5E7C-4912-BE6A-D90B928D993B}">
      <formula1>Metas_ODS</formula1>
    </dataValidation>
    <dataValidation type="list" allowBlank="1" showInputMessage="1" showErrorMessage="1" sqref="D4" xr:uid="{E2CB6ED6-FE0B-4FA4-9D27-A672A77591DE}">
      <formula1>ODS</formula1>
    </dataValidation>
    <dataValidation allowBlank="1" showDropDown="1" showInputMessage="1" showErrorMessage="1" sqref="D13" xr:uid="{960EFB5D-CA14-45F9-81F2-62AC7CC07B17}"/>
  </dataValidations>
  <hyperlinks>
    <hyperlink ref="B1" location="'15.4.2'!A1" display="REGRESAR" xr:uid="{8BC127A1-C03B-4030-913B-AA852949DD3B}"/>
    <hyperlink ref="D8" r:id="rId1" xr:uid="{FA72383B-790A-4193-BC38-D2427239A638}"/>
    <hyperlink ref="D65" r:id="rId2" xr:uid="{7AC11345-B9E8-48F4-8171-DC2D6414BF74}"/>
    <hyperlink ref="D60" r:id="rId3" xr:uid="{A3470525-560D-483D-B7DA-05644971F2C9}"/>
    <hyperlink ref="D55" r:id="rId4" display="mailto:mcalvo@imn.ac.cr" xr:uid="{0E469A9C-0931-4C42-8D18-80777B39B2E0}"/>
    <hyperlink ref="D50" r:id="rId5" xr:uid="{7DE7B7FD-75DB-48D4-ADBD-795C3B08548B}"/>
    <hyperlink ref="D45" r:id="rId6" xr:uid="{1E9FF510-5265-4E46-A77C-0E872BE5117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A7AFA-B6F1-4F8A-96BD-40872E621A4A}">
  <sheetPr>
    <tabColor theme="0" tint="-0.499984740745262"/>
  </sheetPr>
  <dimension ref="A1:AJ37"/>
  <sheetViews>
    <sheetView showGridLines="0" zoomScaleNormal="100" workbookViewId="0">
      <pane ySplit="1" topLeftCell="A24" activePane="bottomLeft" state="frozen"/>
      <selection activeCell="R16" sqref="R16"/>
      <selection pane="bottomLeft" activeCell="B1" sqref="B1"/>
    </sheetView>
  </sheetViews>
  <sheetFormatPr baseColWidth="10" defaultColWidth="11.42578125" defaultRowHeight="18.75" x14ac:dyDescent="0.25"/>
  <cols>
    <col min="1" max="1" width="6" style="222" customWidth="1"/>
    <col min="2" max="2" width="26.42578125" style="222" customWidth="1"/>
    <col min="3" max="3" width="24" style="222" customWidth="1"/>
    <col min="4" max="4" width="88" style="222" customWidth="1"/>
    <col min="5" max="5" width="6" style="222" customWidth="1"/>
    <col min="6" max="6" width="7.28515625" style="222" customWidth="1"/>
    <col min="7" max="7" width="0.7109375" style="222" customWidth="1"/>
    <col min="8" max="8" width="7.7109375" style="222" customWidth="1"/>
    <col min="9" max="9" width="7.28515625" style="222" customWidth="1"/>
    <col min="10" max="11" width="6" style="222" customWidth="1"/>
    <col min="12" max="12" width="6.5703125" style="222" customWidth="1"/>
    <col min="13" max="13" width="8.28515625" style="222" hidden="1" customWidth="1"/>
    <col min="14" max="15" width="7" style="222" hidden="1" customWidth="1"/>
    <col min="16" max="16" width="6" style="222" hidden="1" customWidth="1"/>
    <col min="17" max="17" width="8.7109375" style="222" hidden="1" customWidth="1"/>
    <col min="18" max="36" width="8.7109375" style="222" customWidth="1"/>
    <col min="3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265</v>
      </c>
    </row>
    <row r="4" spans="1:6" ht="37.5" x14ac:dyDescent="0.25">
      <c r="A4" s="224"/>
      <c r="B4" s="2445" t="s">
        <v>234</v>
      </c>
      <c r="C4" s="2445"/>
      <c r="D4" s="49" t="s">
        <v>396</v>
      </c>
    </row>
    <row r="5" spans="1:6" ht="76.5" customHeight="1" x14ac:dyDescent="0.25">
      <c r="B5" s="2445" t="s">
        <v>79</v>
      </c>
      <c r="C5" s="2445"/>
      <c r="D5" s="49" t="s">
        <v>409</v>
      </c>
    </row>
    <row r="6" spans="1:6" x14ac:dyDescent="0.25">
      <c r="B6" s="2445" t="s">
        <v>80</v>
      </c>
      <c r="C6" s="2445"/>
      <c r="D6" s="50" t="s">
        <v>412</v>
      </c>
    </row>
    <row r="7" spans="1:6" ht="27.75" customHeight="1" x14ac:dyDescent="0.25">
      <c r="B7" s="2446" t="s">
        <v>81</v>
      </c>
      <c r="C7" s="2446"/>
      <c r="D7" s="93" t="s">
        <v>413</v>
      </c>
    </row>
    <row r="8" spans="1:6" x14ac:dyDescent="0.25">
      <c r="B8" s="2446" t="s">
        <v>82</v>
      </c>
      <c r="C8" s="2446"/>
      <c r="D8" s="94" t="s">
        <v>606</v>
      </c>
    </row>
    <row r="9" spans="1:6" x14ac:dyDescent="0.4">
      <c r="B9" s="5"/>
      <c r="C9" s="5"/>
      <c r="D9" s="5"/>
    </row>
    <row r="10" spans="1:6" ht="23.25" customHeight="1" x14ac:dyDescent="0.25">
      <c r="B10" s="2514" t="s">
        <v>85</v>
      </c>
      <c r="C10" s="2514"/>
      <c r="D10" s="2514"/>
    </row>
    <row r="11" spans="1:6" ht="17.25" customHeight="1" x14ac:dyDescent="0.25">
      <c r="B11" s="2453" t="s">
        <v>86</v>
      </c>
      <c r="C11" s="2454"/>
      <c r="D11" s="49" t="s">
        <v>167</v>
      </c>
    </row>
    <row r="12" spans="1:6" ht="37.5" x14ac:dyDescent="0.25">
      <c r="B12" s="2455" t="s">
        <v>88</v>
      </c>
      <c r="C12" s="2455"/>
      <c r="D12" s="169" t="s">
        <v>607</v>
      </c>
    </row>
    <row r="13" spans="1:6" ht="18.75" customHeight="1" x14ac:dyDescent="0.25">
      <c r="B13" s="2445" t="s">
        <v>90</v>
      </c>
      <c r="C13" s="2445"/>
      <c r="D13" s="54" t="s">
        <v>412</v>
      </c>
    </row>
    <row r="14" spans="1:6" ht="15" customHeight="1" x14ac:dyDescent="0.25">
      <c r="B14" s="2445" t="s">
        <v>91</v>
      </c>
      <c r="C14" s="2456"/>
      <c r="D14" s="54" t="s">
        <v>214</v>
      </c>
    </row>
    <row r="15" spans="1:6" ht="409.6" customHeight="1" x14ac:dyDescent="0.25">
      <c r="B15" s="2449" t="s">
        <v>93</v>
      </c>
      <c r="C15" s="2450"/>
      <c r="D15" s="2559" t="s">
        <v>608</v>
      </c>
    </row>
    <row r="16" spans="1:6" ht="409.6" customHeight="1" x14ac:dyDescent="0.25">
      <c r="B16" s="2469"/>
      <c r="C16" s="2470"/>
      <c r="D16" s="2560"/>
    </row>
    <row r="17" spans="2:36" ht="40.9" customHeight="1" x14ac:dyDescent="0.25">
      <c r="B17" s="2445" t="s">
        <v>95</v>
      </c>
      <c r="C17" s="2445"/>
      <c r="D17" s="359"/>
    </row>
    <row r="18" spans="2:36" ht="14.25" customHeight="1" x14ac:dyDescent="0.25">
      <c r="B18" s="2445" t="s">
        <v>97</v>
      </c>
      <c r="C18" s="2445"/>
      <c r="D18" s="56" t="s">
        <v>609</v>
      </c>
    </row>
    <row r="19" spans="2:36" ht="22.5" customHeight="1" x14ac:dyDescent="0.25">
      <c r="B19" s="2446" t="s">
        <v>99</v>
      </c>
      <c r="C19" s="2446"/>
      <c r="D19" s="49"/>
    </row>
    <row r="20" spans="2:36" ht="56.45" customHeight="1" x14ac:dyDescent="0.25">
      <c r="B20" s="2457" t="s">
        <v>100</v>
      </c>
      <c r="C20" s="2458"/>
      <c r="D20" s="56" t="s">
        <v>610</v>
      </c>
    </row>
    <row r="21" spans="2:36" ht="20.25" customHeight="1" x14ac:dyDescent="0.25">
      <c r="B21" s="2445" t="s">
        <v>102</v>
      </c>
      <c r="C21" s="2445"/>
      <c r="D21" s="49" t="s">
        <v>140</v>
      </c>
    </row>
    <row r="22" spans="2:36" ht="15.75" customHeight="1" x14ac:dyDescent="0.25">
      <c r="B22" s="2451" t="s">
        <v>104</v>
      </c>
      <c r="C22" s="95" t="s">
        <v>105</v>
      </c>
      <c r="D22" s="49"/>
    </row>
    <row r="23" spans="2:36" ht="31.5" customHeight="1" x14ac:dyDescent="0.25">
      <c r="B23" s="2452"/>
      <c r="C23" s="96" t="s">
        <v>107</v>
      </c>
      <c r="D23" s="55" t="s">
        <v>611</v>
      </c>
    </row>
    <row r="24" spans="2:36" x14ac:dyDescent="0.25">
      <c r="B24" s="2444" t="s">
        <v>109</v>
      </c>
      <c r="C24" s="2444"/>
      <c r="D24" s="56" t="s">
        <v>612</v>
      </c>
    </row>
    <row r="25" spans="2:36" ht="15.75" customHeight="1" x14ac:dyDescent="0.25">
      <c r="B25" s="2444" t="s">
        <v>111</v>
      </c>
      <c r="C25" s="2444"/>
      <c r="D25" s="59" t="s">
        <v>127</v>
      </c>
    </row>
    <row r="26" spans="2:36" x14ac:dyDescent="0.25">
      <c r="B26" s="2445" t="s">
        <v>113</v>
      </c>
      <c r="C26" s="2445"/>
      <c r="D26" s="56" t="s">
        <v>613</v>
      </c>
    </row>
    <row r="27" spans="2:36" ht="17.25" customHeight="1" x14ac:dyDescent="0.25">
      <c r="B27" s="2446" t="s">
        <v>115</v>
      </c>
      <c r="C27" s="2446"/>
      <c r="D27" s="49" t="s">
        <v>614</v>
      </c>
    </row>
    <row r="28" spans="2:36" ht="17.25" customHeight="1" x14ac:dyDescent="0.25">
      <c r="B28" s="2446" t="s">
        <v>117</v>
      </c>
      <c r="C28" s="2446"/>
      <c r="D28" s="49"/>
    </row>
    <row r="29" spans="2:36" ht="147" customHeight="1" x14ac:dyDescent="0.25">
      <c r="B29" s="2446" t="s">
        <v>118</v>
      </c>
      <c r="C29" s="2446"/>
      <c r="D29" s="49" t="s">
        <v>615</v>
      </c>
    </row>
    <row r="30" spans="2:36" ht="15" customHeight="1" thickBot="1" x14ac:dyDescent="0.3">
      <c r="B30" s="2446" t="s">
        <v>120</v>
      </c>
      <c r="C30" s="2446"/>
      <c r="D30" s="49"/>
      <c r="AH30" s="360"/>
      <c r="AI30" s="360"/>
      <c r="AJ30" s="360"/>
    </row>
    <row r="31" spans="2:36" ht="11.25" customHeight="1" x14ac:dyDescent="0.25">
      <c r="B31" s="63"/>
      <c r="C31" s="63"/>
      <c r="D31" s="64"/>
      <c r="AH31" s="361"/>
      <c r="AI31" s="361"/>
      <c r="AJ31" s="361"/>
    </row>
    <row r="32" spans="2:36" ht="23.25" customHeight="1" x14ac:dyDescent="0.25">
      <c r="B32" s="2514" t="s">
        <v>121</v>
      </c>
      <c r="C32" s="2514"/>
      <c r="D32" s="2514"/>
      <c r="AH32" s="362"/>
      <c r="AI32" s="362"/>
      <c r="AJ32" s="362">
        <v>1891.6424654857146</v>
      </c>
    </row>
    <row r="33" spans="2:4" x14ac:dyDescent="0.25">
      <c r="B33" s="2442" t="s">
        <v>122</v>
      </c>
      <c r="C33" s="2443"/>
      <c r="D33" s="59" t="s">
        <v>8145</v>
      </c>
    </row>
    <row r="34" spans="2:4" x14ac:dyDescent="0.25">
      <c r="B34" s="2442" t="s">
        <v>124</v>
      </c>
      <c r="C34" s="2443"/>
      <c r="D34" s="59" t="s">
        <v>8146</v>
      </c>
    </row>
    <row r="35" spans="2:4" x14ac:dyDescent="0.25">
      <c r="B35" s="2442" t="s">
        <v>126</v>
      </c>
      <c r="C35" s="2443"/>
      <c r="D35" s="59" t="s">
        <v>127</v>
      </c>
    </row>
    <row r="36" spans="2:4" x14ac:dyDescent="0.25">
      <c r="B36" s="2442" t="s">
        <v>128</v>
      </c>
      <c r="C36" s="2443"/>
      <c r="D36" s="59" t="s">
        <v>8147</v>
      </c>
    </row>
    <row r="37" spans="2:4" x14ac:dyDescent="0.25">
      <c r="B37" s="2442" t="s">
        <v>130</v>
      </c>
      <c r="C37" s="2443"/>
      <c r="D37" s="65" t="s">
        <v>8148</v>
      </c>
    </row>
  </sheetData>
  <mergeCells count="32">
    <mergeCell ref="B15:C16"/>
    <mergeCell ref="D15:D16"/>
    <mergeCell ref="B3:D3"/>
    <mergeCell ref="B4:C4"/>
    <mergeCell ref="B5:C5"/>
    <mergeCell ref="B6:C6"/>
    <mergeCell ref="B7:C7"/>
    <mergeCell ref="B8:C8"/>
    <mergeCell ref="B10:D10"/>
    <mergeCell ref="B11:C11"/>
    <mergeCell ref="B12:C12"/>
    <mergeCell ref="B13:C13"/>
    <mergeCell ref="B14:C14"/>
    <mergeCell ref="B29:C29"/>
    <mergeCell ref="B17:C17"/>
    <mergeCell ref="B18:C18"/>
    <mergeCell ref="B19:C19"/>
    <mergeCell ref="B20:C20"/>
    <mergeCell ref="B21:C21"/>
    <mergeCell ref="B22:B23"/>
    <mergeCell ref="B24:C24"/>
    <mergeCell ref="B25:C25"/>
    <mergeCell ref="B26:C26"/>
    <mergeCell ref="B27:C27"/>
    <mergeCell ref="B28:C28"/>
    <mergeCell ref="B37:C37"/>
    <mergeCell ref="B30:C30"/>
    <mergeCell ref="B32:D32"/>
    <mergeCell ref="B33:C33"/>
    <mergeCell ref="B34:C34"/>
    <mergeCell ref="B35:C35"/>
    <mergeCell ref="B36:C36"/>
  </mergeCells>
  <dataValidations count="7">
    <dataValidation type="list" allowBlank="1" showInputMessage="1" showErrorMessage="1" sqref="D26" xr:uid="{C49AFECF-857E-4671-8F0E-701D619BC357}">
      <formula1>Tipo_operación</formula1>
    </dataValidation>
    <dataValidation type="list" allowBlank="1" showInputMessage="1" showErrorMessage="1" sqref="D14" xr:uid="{A1CAB261-18F0-4DC7-A3B1-341DCD0E11E6}">
      <formula1>Tipo_indicador</formula1>
    </dataValidation>
    <dataValidation type="list" allowBlank="1" showInputMessage="1" showErrorMessage="1" sqref="D7" xr:uid="{365360AA-387F-4752-8415-E8E89AF66528}">
      <formula1>Nombre_indicador_ODS</formula1>
    </dataValidation>
    <dataValidation type="list" allowBlank="1" showInputMessage="1" showErrorMessage="1" sqref="D6" xr:uid="{2D2E14F0-973C-40B1-B49B-8E1A2761AAAE}">
      <formula1>Numero_indicador</formula1>
    </dataValidation>
    <dataValidation type="list" allowBlank="1" showInputMessage="1" showErrorMessage="1" sqref="D5" xr:uid="{C13533F3-FFB6-4D7E-AB3A-64A1A19E4EEC}">
      <formula1>Metas_ODS</formula1>
    </dataValidation>
    <dataValidation type="list" allowBlank="1" showInputMessage="1" showErrorMessage="1" sqref="D4" xr:uid="{EE4B6745-39A9-47B6-8314-9E4B9B2B960A}">
      <formula1>ODS</formula1>
    </dataValidation>
    <dataValidation allowBlank="1" showDropDown="1" showInputMessage="1" showErrorMessage="1" sqref="D13" xr:uid="{D5B4455F-E1E0-47BF-AB7A-8BEBFC79925F}"/>
  </dataValidations>
  <hyperlinks>
    <hyperlink ref="B1" location="'2.3.2'!A1" display="REGRESAR" xr:uid="{187A58F8-2B1E-441D-A8BB-D84B66D98ED8}"/>
    <hyperlink ref="D8" r:id="rId1" xr:uid="{711CA6F3-6357-4DF8-B283-91B6750D76DD}"/>
    <hyperlink ref="D37" r:id="rId2" xr:uid="{FA5AE4D7-36EF-45A3-8163-C946B81BC3EB}"/>
  </hyperlinks>
  <pageMargins left="0.7" right="0.7" top="0.75" bottom="0.75" header="0.3" footer="0.3"/>
  <pageSetup orientation="portrait" horizontalDpi="4294967294" verticalDpi="4294967294" r:id="rId3"/>
  <drawing r:id="rId4"/>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FFB9-5E7A-4B0B-B494-925F82CCBE04}">
  <dimension ref="A1:R42"/>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6" style="115" customWidth="1"/>
    <col min="3" max="3" width="11.42578125" style="115"/>
    <col min="4" max="4" width="15.28515625" style="115" customWidth="1"/>
    <col min="5" max="5" width="9.28515625" style="115" customWidth="1"/>
    <col min="6" max="6" width="7.5703125" style="115" customWidth="1"/>
    <col min="7" max="7" width="8" style="115" customWidth="1"/>
    <col min="8" max="8" width="8.28515625" style="115" customWidth="1"/>
    <col min="9" max="9" width="6.7109375" style="115" customWidth="1"/>
    <col min="10" max="10" width="8.7109375" style="115" customWidth="1"/>
    <col min="11" max="11" width="11.7109375" style="115" customWidth="1"/>
    <col min="12" max="12" width="8.7109375" style="115" customWidth="1"/>
    <col min="13" max="13" width="9" style="115" customWidth="1"/>
    <col min="14" max="16384" width="11.42578125" style="115"/>
  </cols>
  <sheetData>
    <row r="1" spans="1:18" x14ac:dyDescent="0.4">
      <c r="A1" s="90" t="s">
        <v>39</v>
      </c>
      <c r="C1" s="2541" t="s">
        <v>149</v>
      </c>
      <c r="D1" s="2541"/>
    </row>
    <row r="2" spans="1:18" ht="16.5" customHeight="1" x14ac:dyDescent="0.4"/>
    <row r="3" spans="1:18" ht="38.450000000000003" customHeight="1" x14ac:dyDescent="0.4">
      <c r="A3" s="3443" t="s">
        <v>41</v>
      </c>
      <c r="B3" s="3449"/>
      <c r="C3" s="3445" t="s">
        <v>6994</v>
      </c>
      <c r="D3" s="3450"/>
      <c r="E3" s="3450"/>
      <c r="F3" s="3450"/>
      <c r="G3" s="3450"/>
      <c r="H3" s="3450"/>
      <c r="I3" s="3450"/>
      <c r="J3" s="3450"/>
      <c r="K3" s="3450"/>
      <c r="L3" s="3450"/>
      <c r="M3" s="3450"/>
      <c r="N3" s="3450"/>
      <c r="O3" s="3450"/>
      <c r="P3" s="3450"/>
      <c r="Q3" s="3450"/>
      <c r="R3" s="3450"/>
    </row>
    <row r="4" spans="1:18" ht="19.899999999999999" customHeight="1" x14ac:dyDescent="0.4">
      <c r="A4" s="3443" t="s">
        <v>42</v>
      </c>
      <c r="B4" s="3444"/>
      <c r="C4" s="3445" t="s">
        <v>7011</v>
      </c>
      <c r="D4" s="3450"/>
      <c r="E4" s="3450"/>
      <c r="F4" s="3450"/>
      <c r="G4" s="3450"/>
      <c r="H4" s="3450"/>
      <c r="I4" s="3450"/>
      <c r="J4" s="3450"/>
      <c r="K4" s="3450"/>
      <c r="L4" s="3450"/>
      <c r="M4" s="3450"/>
      <c r="N4" s="3450"/>
      <c r="O4" s="3450"/>
      <c r="P4" s="3450"/>
      <c r="Q4" s="3450"/>
      <c r="R4" s="3450"/>
    </row>
    <row r="5" spans="1:18" ht="19.5" x14ac:dyDescent="0.4">
      <c r="A5" s="3443" t="s">
        <v>43</v>
      </c>
      <c r="B5" s="3444"/>
      <c r="C5" s="3443" t="s">
        <v>7013</v>
      </c>
      <c r="D5" s="3446"/>
      <c r="E5" s="3446"/>
      <c r="F5" s="3446"/>
      <c r="G5" s="3446"/>
      <c r="H5" s="3446"/>
      <c r="I5" s="3446"/>
      <c r="J5" s="3446"/>
      <c r="K5" s="3446"/>
      <c r="L5" s="3446"/>
      <c r="M5" s="3446"/>
      <c r="N5" s="3446"/>
      <c r="O5" s="3446"/>
      <c r="P5" s="3446"/>
      <c r="Q5" s="3446"/>
      <c r="R5" s="3446"/>
    </row>
    <row r="6" spans="1:18" ht="19.5" x14ac:dyDescent="0.4">
      <c r="A6" s="3443" t="s">
        <v>132</v>
      </c>
      <c r="B6" s="3444"/>
      <c r="C6" s="3443" t="s">
        <v>7197</v>
      </c>
      <c r="D6" s="3446"/>
      <c r="E6" s="3446"/>
      <c r="F6" s="3446"/>
      <c r="G6" s="3446"/>
      <c r="H6" s="3446"/>
      <c r="I6" s="3446"/>
      <c r="J6" s="3446"/>
      <c r="K6" s="3446"/>
      <c r="L6" s="3446"/>
      <c r="M6" s="3446"/>
      <c r="N6" s="3446"/>
      <c r="O6" s="3446"/>
      <c r="P6" s="3446"/>
      <c r="Q6" s="3446"/>
      <c r="R6" s="3446"/>
    </row>
    <row r="9" spans="1:18" ht="19.5" x14ac:dyDescent="0.4">
      <c r="C9" s="2079" t="s">
        <v>7197</v>
      </c>
      <c r="D9" s="2079"/>
      <c r="E9" s="2079"/>
      <c r="F9" s="2079"/>
      <c r="G9" s="2080"/>
      <c r="H9" s="2080"/>
      <c r="I9" s="2079" t="s">
        <v>7198</v>
      </c>
      <c r="J9" s="2079"/>
      <c r="K9" s="2079"/>
      <c r="L9" s="2079"/>
    </row>
    <row r="10" spans="1:18" ht="8.4499999999999993" customHeight="1" x14ac:dyDescent="0.4">
      <c r="C10" s="2081"/>
      <c r="D10" s="2081"/>
      <c r="E10" s="2081"/>
      <c r="F10" s="2081"/>
      <c r="G10" s="2080"/>
      <c r="H10" s="2080"/>
      <c r="I10" s="339"/>
    </row>
    <row r="11" spans="1:18" x14ac:dyDescent="0.4">
      <c r="C11" s="2082" t="s">
        <v>46</v>
      </c>
      <c r="D11" s="2083" t="s">
        <v>7199</v>
      </c>
      <c r="E11" s="2083" t="s">
        <v>7200</v>
      </c>
      <c r="F11" s="2083" t="s">
        <v>7201</v>
      </c>
      <c r="G11" s="2084"/>
      <c r="H11" s="2084"/>
    </row>
    <row r="12" spans="1:18" x14ac:dyDescent="0.4">
      <c r="C12" s="2085">
        <v>1993</v>
      </c>
      <c r="D12" s="1382">
        <v>0.85274000000000005</v>
      </c>
      <c r="E12" s="1382">
        <v>0.85633000000000004</v>
      </c>
      <c r="F12" s="1382">
        <v>0.82499999999999996</v>
      </c>
      <c r="G12" s="2086"/>
      <c r="H12" s="2086"/>
      <c r="K12" s="115">
        <v>30</v>
      </c>
    </row>
    <row r="13" spans="1:18" x14ac:dyDescent="0.4">
      <c r="C13" s="2087">
        <v>1994</v>
      </c>
      <c r="D13" s="1382">
        <v>0.85199999999999998</v>
      </c>
      <c r="E13" s="1382">
        <v>0.85589000000000004</v>
      </c>
      <c r="F13" s="1382">
        <v>0.82467999999999997</v>
      </c>
      <c r="G13" s="2088"/>
      <c r="H13" s="2088"/>
      <c r="K13" s="115">
        <v>143</v>
      </c>
    </row>
    <row r="14" spans="1:18" x14ac:dyDescent="0.4">
      <c r="C14" s="2087">
        <v>1995</v>
      </c>
      <c r="D14" s="1382">
        <v>0.85111999999999999</v>
      </c>
      <c r="E14" s="1382">
        <v>0.85499000000000003</v>
      </c>
      <c r="F14" s="1382">
        <v>0.82393000000000005</v>
      </c>
      <c r="G14" s="2088"/>
      <c r="H14" s="2088"/>
      <c r="K14" s="115">
        <v>1</v>
      </c>
    </row>
    <row r="15" spans="1:18" x14ac:dyDescent="0.4">
      <c r="C15" s="2087">
        <v>1996</v>
      </c>
      <c r="D15" s="1382">
        <v>0.84991000000000005</v>
      </c>
      <c r="E15" s="1382">
        <v>0.85419</v>
      </c>
      <c r="F15" s="1382">
        <v>0.82301000000000002</v>
      </c>
      <c r="G15" s="2088"/>
      <c r="H15" s="2088"/>
    </row>
    <row r="16" spans="1:18" x14ac:dyDescent="0.4">
      <c r="C16" s="2087">
        <v>1997</v>
      </c>
      <c r="D16" s="1382">
        <v>0.84875</v>
      </c>
      <c r="E16" s="1382">
        <v>0.85292999999999997</v>
      </c>
      <c r="F16" s="1382">
        <v>0.82423000000000002</v>
      </c>
      <c r="G16" s="2088"/>
      <c r="H16" s="2088"/>
    </row>
    <row r="17" spans="3:9" x14ac:dyDescent="0.4">
      <c r="C17" s="2087">
        <v>1998</v>
      </c>
      <c r="D17" s="1382">
        <v>0.84694000000000003</v>
      </c>
      <c r="E17" s="1382">
        <v>0.85182000000000002</v>
      </c>
      <c r="F17" s="1382">
        <v>0.82472000000000001</v>
      </c>
      <c r="G17" s="2088"/>
      <c r="H17" s="2088"/>
    </row>
    <row r="18" spans="3:9" x14ac:dyDescent="0.4">
      <c r="C18" s="2087">
        <v>1999</v>
      </c>
      <c r="D18" s="1382">
        <v>0.84523000000000004</v>
      </c>
      <c r="E18" s="1382">
        <v>0.85035000000000005</v>
      </c>
      <c r="F18" s="1382">
        <v>0.82586000000000004</v>
      </c>
      <c r="G18" s="2088"/>
      <c r="H18" s="2088"/>
    </row>
    <row r="19" spans="3:9" x14ac:dyDescent="0.4">
      <c r="C19" s="2087">
        <v>2000</v>
      </c>
      <c r="D19" s="1382">
        <v>0.84386000000000005</v>
      </c>
      <c r="E19" s="1382">
        <v>0.84879000000000004</v>
      </c>
      <c r="F19" s="1382">
        <v>0.82364999999999999</v>
      </c>
      <c r="G19" s="2088"/>
      <c r="H19" s="2088"/>
    </row>
    <row r="20" spans="3:9" x14ac:dyDescent="0.4">
      <c r="C20" s="2087">
        <v>2001</v>
      </c>
      <c r="D20" s="1382">
        <v>0.84182999999999997</v>
      </c>
      <c r="E20" s="1382">
        <v>0.84797999999999996</v>
      </c>
      <c r="F20" s="1382">
        <v>0.82252999999999998</v>
      </c>
      <c r="G20" s="2088"/>
      <c r="H20" s="2088"/>
    </row>
    <row r="21" spans="3:9" x14ac:dyDescent="0.4">
      <c r="C21" s="2087">
        <v>2002</v>
      </c>
      <c r="D21" s="1382">
        <v>0.84053999999999995</v>
      </c>
      <c r="E21" s="1382">
        <v>0.84638999999999998</v>
      </c>
      <c r="F21" s="1382">
        <v>0.81777999999999995</v>
      </c>
      <c r="G21" s="2088"/>
      <c r="H21" s="2088"/>
    </row>
    <row r="22" spans="3:9" x14ac:dyDescent="0.4">
      <c r="C22" s="2087">
        <v>2003</v>
      </c>
      <c r="D22" s="1382">
        <v>0.83877000000000002</v>
      </c>
      <c r="E22" s="1382">
        <v>0.84501000000000004</v>
      </c>
      <c r="F22" s="1382">
        <v>0.81694999999999995</v>
      </c>
      <c r="G22" s="2088"/>
      <c r="H22" s="2088"/>
    </row>
    <row r="23" spans="3:9" x14ac:dyDescent="0.4">
      <c r="C23" s="2087">
        <v>2004</v>
      </c>
      <c r="D23" s="1382">
        <v>0.83740999999999999</v>
      </c>
      <c r="E23" s="1382">
        <v>0.84382000000000001</v>
      </c>
      <c r="F23" s="1382">
        <v>0.81310000000000004</v>
      </c>
      <c r="G23" s="2088"/>
      <c r="H23" s="2088"/>
    </row>
    <row r="24" spans="3:9" x14ac:dyDescent="0.4">
      <c r="C24" s="2087">
        <v>2005</v>
      </c>
      <c r="D24" s="1382">
        <v>0.83582999999999996</v>
      </c>
      <c r="E24" s="1382">
        <v>0.84279000000000004</v>
      </c>
      <c r="F24" s="1382">
        <v>0.80940999999999996</v>
      </c>
      <c r="G24" s="2088"/>
      <c r="H24" s="2088"/>
      <c r="I24" s="2089" t="s">
        <v>7202</v>
      </c>
    </row>
    <row r="25" spans="3:9" x14ac:dyDescent="0.4">
      <c r="C25" s="2087">
        <v>2006</v>
      </c>
      <c r="D25" s="1382">
        <v>0.83455000000000001</v>
      </c>
      <c r="E25" s="1382">
        <v>0.84150000000000003</v>
      </c>
      <c r="F25" s="1382">
        <v>0.80530000000000002</v>
      </c>
      <c r="G25" s="2088"/>
      <c r="H25" s="2088"/>
      <c r="I25" s="115" t="s">
        <v>7203</v>
      </c>
    </row>
    <row r="26" spans="3:9" x14ac:dyDescent="0.4">
      <c r="C26" s="2087">
        <v>2007</v>
      </c>
      <c r="D26" s="1382">
        <v>0.83277999999999996</v>
      </c>
      <c r="E26" s="1382">
        <v>0.84057000000000004</v>
      </c>
      <c r="F26" s="1382">
        <v>0.80242999999999998</v>
      </c>
      <c r="G26" s="2088"/>
      <c r="H26" s="2088"/>
    </row>
    <row r="27" spans="3:9" x14ac:dyDescent="0.4">
      <c r="C27" s="2087">
        <v>2008</v>
      </c>
      <c r="D27" s="1382">
        <v>0.83196999999999999</v>
      </c>
      <c r="E27" s="1382">
        <v>0.83919999999999995</v>
      </c>
      <c r="F27" s="1382">
        <v>0.79591000000000001</v>
      </c>
      <c r="G27" s="2088"/>
      <c r="H27" s="2088"/>
    </row>
    <row r="28" spans="3:9" x14ac:dyDescent="0.4">
      <c r="C28" s="2087">
        <v>2009</v>
      </c>
      <c r="D28" s="1382">
        <v>0.8306</v>
      </c>
      <c r="E28" s="1382">
        <v>0.83850999999999998</v>
      </c>
      <c r="F28" s="1382">
        <v>0.79308000000000001</v>
      </c>
      <c r="G28" s="2088"/>
      <c r="H28" s="2088"/>
    </row>
    <row r="29" spans="3:9" x14ac:dyDescent="0.4">
      <c r="C29" s="2087">
        <v>2010</v>
      </c>
      <c r="D29" s="1382">
        <v>0.82896000000000003</v>
      </c>
      <c r="E29" s="1382">
        <v>0.83789000000000002</v>
      </c>
      <c r="F29" s="1382">
        <v>0.78935</v>
      </c>
      <c r="G29" s="2088"/>
      <c r="H29" s="2088"/>
    </row>
    <row r="30" spans="3:9" x14ac:dyDescent="0.4">
      <c r="C30" s="2087">
        <v>2011</v>
      </c>
      <c r="D30" s="1382">
        <v>0.82767999999999997</v>
      </c>
      <c r="E30" s="1382">
        <v>0.83769000000000005</v>
      </c>
      <c r="F30" s="1382">
        <v>0.78037999999999996</v>
      </c>
      <c r="G30" s="2088"/>
      <c r="H30" s="2088"/>
    </row>
    <row r="31" spans="3:9" x14ac:dyDescent="0.4">
      <c r="C31" s="2087">
        <v>2012</v>
      </c>
      <c r="D31" s="1382">
        <v>0.82530000000000003</v>
      </c>
      <c r="E31" s="1382">
        <v>0.83708000000000005</v>
      </c>
      <c r="F31" s="1382">
        <v>0.77642</v>
      </c>
      <c r="G31" s="2088"/>
      <c r="H31" s="2088"/>
    </row>
    <row r="32" spans="3:9" x14ac:dyDescent="0.4">
      <c r="C32" s="2087">
        <v>2013</v>
      </c>
      <c r="D32" s="1382">
        <v>0.82426999999999995</v>
      </c>
      <c r="E32" s="1382">
        <v>0.83675999999999995</v>
      </c>
      <c r="F32" s="1382">
        <v>0.77125999999999995</v>
      </c>
      <c r="G32" s="2088"/>
      <c r="H32" s="2088"/>
    </row>
    <row r="33" spans="3:13" x14ac:dyDescent="0.4">
      <c r="C33" s="2087">
        <v>2014</v>
      </c>
      <c r="D33" s="1382">
        <v>0.82257000000000002</v>
      </c>
      <c r="E33" s="1382">
        <v>0.83594000000000002</v>
      </c>
      <c r="F33" s="1382">
        <v>0.76722999999999997</v>
      </c>
      <c r="G33" s="2088"/>
      <c r="H33" s="2088"/>
    </row>
    <row r="34" spans="3:13" x14ac:dyDescent="0.4">
      <c r="C34" s="2087">
        <v>2015</v>
      </c>
      <c r="D34" s="1382">
        <v>0.82111999999999996</v>
      </c>
      <c r="E34" s="1382">
        <v>0.83584000000000003</v>
      </c>
      <c r="F34" s="1382">
        <v>0.76165000000000005</v>
      </c>
      <c r="G34" s="2088"/>
      <c r="H34" s="2088"/>
    </row>
    <row r="35" spans="3:13" x14ac:dyDescent="0.4">
      <c r="C35" s="2087">
        <v>2016</v>
      </c>
      <c r="D35" s="1382">
        <v>0.81964000000000004</v>
      </c>
      <c r="E35" s="1382">
        <v>0.83489000000000002</v>
      </c>
      <c r="F35" s="1382">
        <v>0.75734999999999997</v>
      </c>
      <c r="G35" s="2088"/>
      <c r="H35" s="2088"/>
    </row>
    <row r="36" spans="3:13" x14ac:dyDescent="0.4">
      <c r="C36" s="2087">
        <v>2017</v>
      </c>
      <c r="D36" s="1382">
        <v>0.81759000000000004</v>
      </c>
      <c r="E36" s="1382">
        <v>0.83533000000000002</v>
      </c>
      <c r="F36" s="1382">
        <v>0.75077000000000005</v>
      </c>
      <c r="G36" s="2088"/>
      <c r="H36" s="2088"/>
    </row>
    <row r="37" spans="3:13" x14ac:dyDescent="0.4">
      <c r="C37" s="2087">
        <v>2018</v>
      </c>
      <c r="D37" s="1382">
        <v>0.81601000000000001</v>
      </c>
      <c r="E37" s="1382">
        <v>0.83462999999999998</v>
      </c>
      <c r="F37" s="1382">
        <v>0.74504000000000004</v>
      </c>
      <c r="G37" s="2088"/>
      <c r="H37" s="2088"/>
    </row>
    <row r="38" spans="3:13" x14ac:dyDescent="0.4">
      <c r="C38" s="2087">
        <v>2019</v>
      </c>
      <c r="D38" s="1382">
        <v>0.81484000000000001</v>
      </c>
      <c r="E38" s="1382">
        <v>0.83470999999999995</v>
      </c>
      <c r="F38" s="1382">
        <v>0.73802000000000001</v>
      </c>
      <c r="G38" s="2088"/>
      <c r="H38" s="2088"/>
      <c r="I38" s="2088"/>
      <c r="J38" s="2088"/>
      <c r="K38" s="2088"/>
      <c r="L38" s="2088"/>
      <c r="M38" s="2090"/>
    </row>
    <row r="39" spans="3:13" x14ac:dyDescent="0.4">
      <c r="C39" s="2087">
        <v>2020</v>
      </c>
      <c r="D39" s="1382">
        <v>0.81357000000000002</v>
      </c>
      <c r="E39" s="1382">
        <v>0.83457000000000003</v>
      </c>
      <c r="F39" s="1382">
        <v>0.73114999999999997</v>
      </c>
    </row>
    <row r="40" spans="3:13" x14ac:dyDescent="0.4">
      <c r="C40" s="2091">
        <v>2021</v>
      </c>
      <c r="D40" s="1388">
        <v>0.81208999999999998</v>
      </c>
      <c r="E40" s="1388">
        <v>0.83460000000000001</v>
      </c>
      <c r="F40" s="1388">
        <v>0.72870000000000001</v>
      </c>
    </row>
    <row r="41" spans="3:13" x14ac:dyDescent="0.4">
      <c r="C41" s="1311" t="s">
        <v>7202</v>
      </c>
    </row>
    <row r="42" spans="3:13" x14ac:dyDescent="0.4">
      <c r="C42" s="115" t="s">
        <v>7203</v>
      </c>
    </row>
  </sheetData>
  <mergeCells count="9">
    <mergeCell ref="A6:B6"/>
    <mergeCell ref="C6:R6"/>
    <mergeCell ref="C1:D1"/>
    <mergeCell ref="A3:B3"/>
    <mergeCell ref="C3:R3"/>
    <mergeCell ref="A4:B4"/>
    <mergeCell ref="C4:R4"/>
    <mergeCell ref="A5:B5"/>
    <mergeCell ref="C5:R5"/>
  </mergeCells>
  <hyperlinks>
    <hyperlink ref="A1" location="'ODS 15.'!A1" display="REGRESAR" xr:uid="{FC0A0A59-8BCF-4635-9122-A39A5607705E}"/>
    <hyperlink ref="C1:D1" location="'Metadato 15.5.1'!A1" display="VER METADATO" xr:uid="{299D74A5-8A17-4B36-8B3F-444B2A611B50}"/>
    <hyperlink ref="I24" r:id="rId1" xr:uid="{ECE54504-6488-4473-AE69-3A6B28CB88F9}"/>
    <hyperlink ref="C41" r:id="rId2" xr:uid="{3A40796E-35C9-473D-A543-107A59FD0AA4}"/>
  </hyperlinks>
  <pageMargins left="0.7" right="0.7" top="0.75" bottom="0.75" header="0.3" footer="0.3"/>
  <pageSetup orientation="portrait" r:id="rId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05A7-B40E-40DC-8102-A5D2E82703DA}">
  <sheetPr>
    <tabColor theme="0" tint="-0.499984740745262"/>
  </sheetPr>
  <dimension ref="A1:F44"/>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8" style="115" customWidth="1"/>
    <col min="6" max="6" width="7.28515625" style="115" customWidth="1"/>
    <col min="7" max="7" width="6.7109375" style="115" customWidth="1"/>
    <col min="8" max="8" width="8.7109375" style="115" customWidth="1"/>
    <col min="9" max="9" width="11.7109375" style="115" customWidth="1"/>
    <col min="10" max="10" width="8.7109375" style="115" customWidth="1"/>
    <col min="11" max="11" width="9" style="115" customWidth="1"/>
    <col min="12"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76</v>
      </c>
    </row>
    <row r="4" spans="1:6" ht="56.25" x14ac:dyDescent="0.4">
      <c r="A4" s="283"/>
      <c r="B4" s="2425" t="s">
        <v>234</v>
      </c>
      <c r="C4" s="2425"/>
      <c r="D4" s="49" t="s">
        <v>7056</v>
      </c>
    </row>
    <row r="5" spans="1:6" ht="37.5" x14ac:dyDescent="0.4">
      <c r="B5" s="2425" t="s">
        <v>79</v>
      </c>
      <c r="C5" s="2425"/>
      <c r="D5" s="49" t="s">
        <v>7011</v>
      </c>
    </row>
    <row r="6" spans="1:6" x14ac:dyDescent="0.4">
      <c r="B6" s="2425" t="s">
        <v>80</v>
      </c>
      <c r="C6" s="2425"/>
      <c r="D6" s="50" t="s">
        <v>7012</v>
      </c>
    </row>
    <row r="7" spans="1:6" ht="15" customHeight="1" x14ac:dyDescent="0.4">
      <c r="B7" s="2426" t="s">
        <v>81</v>
      </c>
      <c r="C7" s="2426"/>
      <c r="D7" s="93" t="s">
        <v>7013</v>
      </c>
    </row>
    <row r="8" spans="1:6" x14ac:dyDescent="0.4">
      <c r="B8" s="2426" t="s">
        <v>82</v>
      </c>
      <c r="C8" s="2426"/>
      <c r="D8" s="1047" t="s">
        <v>7204</v>
      </c>
    </row>
    <row r="10" spans="1:6" ht="23.25" customHeight="1" x14ac:dyDescent="0.4">
      <c r="B10" s="3454" t="s">
        <v>85</v>
      </c>
      <c r="C10" s="3454"/>
      <c r="D10" s="3454"/>
    </row>
    <row r="11" spans="1:6" x14ac:dyDescent="0.4">
      <c r="B11" s="2427" t="s">
        <v>86</v>
      </c>
      <c r="C11" s="2428"/>
      <c r="D11" s="49" t="s">
        <v>167</v>
      </c>
    </row>
    <row r="12" spans="1:6" ht="15" customHeight="1" x14ac:dyDescent="0.4">
      <c r="B12" s="2426" t="s">
        <v>88</v>
      </c>
      <c r="C12" s="2426"/>
      <c r="D12" s="184" t="s">
        <v>7205</v>
      </c>
    </row>
    <row r="13" spans="1:6" x14ac:dyDescent="0.4">
      <c r="B13" s="2425" t="s">
        <v>90</v>
      </c>
      <c r="C13" s="2425"/>
      <c r="D13" s="55" t="s">
        <v>7012</v>
      </c>
    </row>
    <row r="14" spans="1:6" x14ac:dyDescent="0.4">
      <c r="B14" s="2425" t="s">
        <v>91</v>
      </c>
      <c r="C14" s="2428"/>
      <c r="D14" s="54" t="s">
        <v>92</v>
      </c>
    </row>
    <row r="15" spans="1:6" ht="150" x14ac:dyDescent="0.4">
      <c r="B15" s="2425" t="s">
        <v>93</v>
      </c>
      <c r="C15" s="2425"/>
      <c r="D15" s="55" t="s">
        <v>7206</v>
      </c>
    </row>
    <row r="16" spans="1:6" ht="91.15" customHeight="1" x14ac:dyDescent="0.4">
      <c r="B16" s="2425" t="s">
        <v>95</v>
      </c>
      <c r="C16" s="2425"/>
      <c r="D16" s="594" t="s">
        <v>7207</v>
      </c>
    </row>
    <row r="17" spans="2:4" x14ac:dyDescent="0.4">
      <c r="B17" s="2425" t="s">
        <v>97</v>
      </c>
      <c r="C17" s="2425"/>
      <c r="D17" s="55" t="s">
        <v>7208</v>
      </c>
    </row>
    <row r="18" spans="2:4" x14ac:dyDescent="0.4">
      <c r="B18" s="2426" t="s">
        <v>99</v>
      </c>
      <c r="C18" s="2426"/>
      <c r="D18" s="49"/>
    </row>
    <row r="19" spans="2:4" ht="15" customHeight="1" x14ac:dyDescent="0.4">
      <c r="B19" s="2435" t="s">
        <v>100</v>
      </c>
      <c r="C19" s="2436"/>
      <c r="D19" s="55" t="s">
        <v>7209</v>
      </c>
    </row>
    <row r="20" spans="2:4" x14ac:dyDescent="0.4">
      <c r="B20" s="2425" t="s">
        <v>102</v>
      </c>
      <c r="C20" s="2425"/>
      <c r="D20" s="55" t="s">
        <v>7210</v>
      </c>
    </row>
    <row r="21" spans="2:4" x14ac:dyDescent="0.4">
      <c r="B21" s="2432" t="s">
        <v>104</v>
      </c>
      <c r="C21" s="57" t="s">
        <v>105</v>
      </c>
      <c r="D21" s="55" t="s">
        <v>4657</v>
      </c>
    </row>
    <row r="22" spans="2:4" x14ac:dyDescent="0.4">
      <c r="B22" s="2433"/>
      <c r="C22" s="58" t="s">
        <v>107</v>
      </c>
      <c r="D22" s="55"/>
    </row>
    <row r="23" spans="2:4" ht="19.5" customHeight="1" x14ac:dyDescent="0.4">
      <c r="B23" s="2425" t="s">
        <v>109</v>
      </c>
      <c r="C23" s="2425"/>
      <c r="D23" s="55" t="s">
        <v>143</v>
      </c>
    </row>
    <row r="24" spans="2:4" x14ac:dyDescent="0.4">
      <c r="B24" s="2425" t="s">
        <v>111</v>
      </c>
      <c r="C24" s="2425"/>
      <c r="D24" s="50" t="s">
        <v>7211</v>
      </c>
    </row>
    <row r="25" spans="2:4" x14ac:dyDescent="0.4">
      <c r="B25" s="2425" t="s">
        <v>113</v>
      </c>
      <c r="C25" s="2425"/>
      <c r="D25" s="55" t="s">
        <v>1701</v>
      </c>
    </row>
    <row r="26" spans="2:4" ht="15" customHeight="1" x14ac:dyDescent="0.4">
      <c r="B26" s="2426" t="s">
        <v>115</v>
      </c>
      <c r="C26" s="2426"/>
      <c r="D26" s="50" t="s">
        <v>7212</v>
      </c>
    </row>
    <row r="27" spans="2:4" x14ac:dyDescent="0.4">
      <c r="B27" s="2427" t="s">
        <v>117</v>
      </c>
      <c r="C27" s="2428"/>
      <c r="D27" s="55" t="s">
        <v>7213</v>
      </c>
    </row>
    <row r="28" spans="2:4" ht="93.75" x14ac:dyDescent="0.4">
      <c r="B28" s="60" t="s">
        <v>118</v>
      </c>
      <c r="C28" s="61"/>
      <c r="D28" s="55" t="s">
        <v>7214</v>
      </c>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0" t="s">
        <v>7215</v>
      </c>
    </row>
    <row r="33" spans="2:4" x14ac:dyDescent="0.4">
      <c r="B33" s="2427" t="s">
        <v>124</v>
      </c>
      <c r="C33" s="2428"/>
      <c r="D33" s="50" t="s">
        <v>7130</v>
      </c>
    </row>
    <row r="34" spans="2:4" x14ac:dyDescent="0.4">
      <c r="B34" s="2427" t="s">
        <v>126</v>
      </c>
      <c r="C34" s="2428"/>
      <c r="D34" s="50" t="s">
        <v>4641</v>
      </c>
    </row>
    <row r="35" spans="2:4" x14ac:dyDescent="0.4">
      <c r="B35" s="2427" t="s">
        <v>128</v>
      </c>
      <c r="C35" s="2428"/>
      <c r="D35" s="50" t="s">
        <v>7071</v>
      </c>
    </row>
    <row r="36" spans="2:4" x14ac:dyDescent="0.4">
      <c r="B36" s="2427" t="s">
        <v>130</v>
      </c>
      <c r="C36" s="2428"/>
      <c r="D36" s="460" t="s">
        <v>7216</v>
      </c>
    </row>
    <row r="37" spans="2:4" x14ac:dyDescent="0.4">
      <c r="B37" s="2427" t="s">
        <v>122</v>
      </c>
      <c r="C37" s="2428"/>
      <c r="D37" s="50" t="s">
        <v>7217</v>
      </c>
    </row>
    <row r="38" spans="2:4" x14ac:dyDescent="0.4">
      <c r="B38" s="2427" t="s">
        <v>124</v>
      </c>
      <c r="C38" s="2428"/>
      <c r="D38" s="50" t="s">
        <v>7130</v>
      </c>
    </row>
    <row r="39" spans="2:4" x14ac:dyDescent="0.4">
      <c r="B39" s="2427" t="s">
        <v>126</v>
      </c>
      <c r="C39" s="2428"/>
      <c r="D39" s="50" t="s">
        <v>4641</v>
      </c>
    </row>
    <row r="40" spans="2:4" x14ac:dyDescent="0.4">
      <c r="B40" s="2427" t="s">
        <v>128</v>
      </c>
      <c r="C40" s="2428"/>
      <c r="D40" s="50" t="s">
        <v>7218</v>
      </c>
    </row>
    <row r="41" spans="2:4" x14ac:dyDescent="0.4">
      <c r="B41" s="2427" t="s">
        <v>130</v>
      </c>
      <c r="C41" s="2428"/>
      <c r="D41" s="460" t="s">
        <v>7219</v>
      </c>
    </row>
    <row r="43" spans="2:4" x14ac:dyDescent="0.4">
      <c r="B43" s="245" t="s">
        <v>7220</v>
      </c>
      <c r="C43" s="245" t="s">
        <v>7221</v>
      </c>
      <c r="D43" s="245" t="s">
        <v>7222</v>
      </c>
    </row>
    <row r="44" spans="2:4" x14ac:dyDescent="0.4">
      <c r="B44" s="245" t="s">
        <v>7223</v>
      </c>
      <c r="C44" s="2092">
        <v>43766</v>
      </c>
      <c r="D44" s="245" t="s">
        <v>7224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5C234DD8-C463-4764-8296-4718912AA592}">
      <formula1>Tipo_operación</formula1>
    </dataValidation>
    <dataValidation type="list" allowBlank="1" showInputMessage="1" showErrorMessage="1" sqref="D14" xr:uid="{47827BA1-BBDF-47B3-B13D-0340465BC9A4}">
      <formula1>Tipo_indicador</formula1>
    </dataValidation>
    <dataValidation type="list" allowBlank="1" showInputMessage="1" showErrorMessage="1" sqref="D7" xr:uid="{3F797035-5566-42F8-86EF-10A9D5CE8AFF}">
      <formula1>Nombre_indicador_ODS</formula1>
    </dataValidation>
    <dataValidation type="list" allowBlank="1" showInputMessage="1" showErrorMessage="1" sqref="D6" xr:uid="{EB1F8C07-43A7-44EB-BCD2-A59620F1ECD3}">
      <formula1>Numero_indicador</formula1>
    </dataValidation>
    <dataValidation type="list" allowBlank="1" showInputMessage="1" showErrorMessage="1" sqref="D5" xr:uid="{6064B343-0DDC-4B0F-B041-48D654DFAA93}">
      <formula1>Metas_ODS</formula1>
    </dataValidation>
    <dataValidation type="list" allowBlank="1" showInputMessage="1" showErrorMessage="1" sqref="D4" xr:uid="{F4FB995C-C9AD-465A-B3E3-C0E3792B40DA}">
      <formula1>ODS</formula1>
    </dataValidation>
  </dataValidations>
  <hyperlinks>
    <hyperlink ref="B1" location="'15.5.1'!A1" display="REGRESAR" xr:uid="{C72B9C04-A298-4841-BD2A-E7E8B8D4C78C}"/>
    <hyperlink ref="D8" r:id="rId1" xr:uid="{CA07886A-CE49-4E45-92B6-19635CFD9B2A}"/>
    <hyperlink ref="D36" r:id="rId2" xr:uid="{DA24A2CD-6FE8-4126-9A95-F81BCD249841}"/>
    <hyperlink ref="D41" r:id="rId3" xr:uid="{E65B1FC7-65E6-4E38-B6F6-809D2652CCC5}"/>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08E2-61CD-4AD6-B345-6ECF299BD326}">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8.140625" style="115" customWidth="1"/>
    <col min="3" max="3" width="11.5703125" style="1048" customWidth="1"/>
    <col min="4" max="5" width="11.5703125" style="115" customWidth="1"/>
    <col min="6" max="16384" width="11.42578125" style="115"/>
  </cols>
  <sheetData>
    <row r="1" spans="1:17" x14ac:dyDescent="0.4">
      <c r="A1" s="90" t="s">
        <v>39</v>
      </c>
      <c r="B1" s="1311"/>
      <c r="C1" s="2541" t="s">
        <v>149</v>
      </c>
      <c r="D1" s="2541"/>
    </row>
    <row r="2" spans="1:17" ht="15" customHeight="1" x14ac:dyDescent="0.4"/>
    <row r="3" spans="1:17" ht="37.15" customHeight="1" x14ac:dyDescent="0.4">
      <c r="A3" s="3443" t="s">
        <v>41</v>
      </c>
      <c r="B3" s="3449"/>
      <c r="C3" s="3445" t="s">
        <v>6994</v>
      </c>
      <c r="D3" s="3450"/>
      <c r="E3" s="3450"/>
      <c r="F3" s="3450"/>
      <c r="G3" s="3450"/>
      <c r="H3" s="3450"/>
      <c r="I3" s="3450"/>
      <c r="J3" s="3450"/>
      <c r="K3" s="3450"/>
      <c r="L3" s="3450"/>
      <c r="M3" s="3450"/>
      <c r="N3" s="3450"/>
      <c r="O3" s="3450"/>
      <c r="P3" s="3450"/>
    </row>
    <row r="4" spans="1:17" ht="39.6" customHeight="1" x14ac:dyDescent="0.4">
      <c r="A4" s="3443" t="s">
        <v>42</v>
      </c>
      <c r="B4" s="3444"/>
      <c r="C4" s="3445" t="s">
        <v>7014</v>
      </c>
      <c r="D4" s="3450"/>
      <c r="E4" s="3450"/>
      <c r="F4" s="3450"/>
      <c r="G4" s="3450"/>
      <c r="H4" s="3450"/>
      <c r="I4" s="3450"/>
      <c r="J4" s="3450"/>
      <c r="K4" s="3450"/>
      <c r="L4" s="3450"/>
      <c r="M4" s="3450"/>
      <c r="N4" s="3450"/>
      <c r="O4" s="3450"/>
      <c r="P4" s="3450"/>
    </row>
    <row r="5" spans="1:17" ht="18" customHeight="1" x14ac:dyDescent="0.4">
      <c r="A5" s="3443" t="s">
        <v>43</v>
      </c>
      <c r="B5" s="3444"/>
      <c r="C5" s="3443" t="s">
        <v>7016</v>
      </c>
      <c r="D5" s="3446"/>
      <c r="E5" s="3446"/>
      <c r="F5" s="3446"/>
      <c r="G5" s="3446"/>
      <c r="H5" s="3446"/>
      <c r="I5" s="3446"/>
      <c r="J5" s="3446"/>
      <c r="K5" s="3446"/>
      <c r="L5" s="3446"/>
      <c r="M5" s="3446"/>
      <c r="N5" s="3446"/>
      <c r="O5" s="3446"/>
      <c r="P5" s="3446"/>
    </row>
    <row r="6" spans="1:17" ht="19.5" x14ac:dyDescent="0.4">
      <c r="A6" s="3443" t="s">
        <v>132</v>
      </c>
      <c r="B6" s="3444"/>
      <c r="C6" s="3443" t="s">
        <v>242</v>
      </c>
      <c r="D6" s="3446"/>
      <c r="E6" s="3446"/>
      <c r="F6" s="3446"/>
      <c r="G6" s="3446"/>
      <c r="H6" s="3446"/>
      <c r="I6" s="3446"/>
      <c r="J6" s="3446"/>
      <c r="K6" s="3446"/>
      <c r="L6" s="3446"/>
      <c r="M6" s="3446"/>
      <c r="N6" s="3446"/>
      <c r="O6" s="3446"/>
      <c r="P6" s="3446"/>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2" spans="1:17" x14ac:dyDescent="0.4">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21"/>
      <c r="D17" s="220"/>
      <c r="E17" s="220"/>
      <c r="F17" s="220"/>
      <c r="G17" s="220"/>
      <c r="H17" s="220"/>
      <c r="I17" s="220"/>
      <c r="J17" s="220"/>
      <c r="K17" s="220"/>
      <c r="L17" s="220"/>
      <c r="M17" s="220"/>
      <c r="N17" s="220"/>
      <c r="O17" s="220"/>
      <c r="P17" s="220"/>
      <c r="Q17" s="220"/>
    </row>
    <row r="18" spans="3:17" x14ac:dyDescent="0.4">
      <c r="C18" s="2494" t="s">
        <v>316</v>
      </c>
      <c r="D18" s="2494"/>
      <c r="E18" s="2494"/>
      <c r="F18" s="2494"/>
      <c r="G18" s="2494"/>
      <c r="H18" s="2494"/>
      <c r="I18" s="2494"/>
      <c r="J18" s="2494"/>
      <c r="K18" s="2494"/>
      <c r="L18" s="2494"/>
      <c r="M18" s="2494"/>
      <c r="N18" s="2494"/>
      <c r="O18" s="2494"/>
      <c r="P18" s="2494"/>
      <c r="Q18" s="2494"/>
    </row>
    <row r="19" spans="3:17" x14ac:dyDescent="0.4">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08D5B004-7DB7-452E-8DC0-05ECFCBA721D}"/>
    <hyperlink ref="C1:D1" location="'Metadato 15.6.1'!A1" display="VER METADATO" xr:uid="{D9F9DEC9-016A-43D0-9809-B4154446BE6C}"/>
  </hyperlinks>
  <pageMargins left="0.7" right="0.7" top="0.75" bottom="0.75" header="0.3" footer="0.3"/>
  <drawing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F9FE-06BE-4EE5-A093-C96DB77DFF21}">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317</v>
      </c>
    </row>
    <row r="4" spans="1:6" ht="56.25" x14ac:dyDescent="0.4">
      <c r="A4" s="283"/>
      <c r="B4" s="2425" t="s">
        <v>234</v>
      </c>
      <c r="C4" s="2425"/>
      <c r="D4" s="49" t="s">
        <v>7056</v>
      </c>
    </row>
    <row r="5" spans="1:6" ht="37.5" x14ac:dyDescent="0.4">
      <c r="B5" s="2425" t="s">
        <v>79</v>
      </c>
      <c r="C5" s="2425"/>
      <c r="D5" s="49" t="s">
        <v>7014</v>
      </c>
    </row>
    <row r="6" spans="1:6" ht="16.5" customHeight="1" x14ac:dyDescent="0.4">
      <c r="B6" s="2425" t="s">
        <v>80</v>
      </c>
      <c r="C6" s="2425"/>
      <c r="D6" s="50" t="s">
        <v>7015</v>
      </c>
    </row>
    <row r="7" spans="1:6" ht="37.5" x14ac:dyDescent="0.4">
      <c r="B7" s="2426" t="s">
        <v>81</v>
      </c>
      <c r="C7" s="2426"/>
      <c r="D7" s="93" t="s">
        <v>7016</v>
      </c>
    </row>
    <row r="8" spans="1:6" x14ac:dyDescent="0.4">
      <c r="B8" s="2426" t="s">
        <v>82</v>
      </c>
      <c r="C8" s="2426"/>
      <c r="D8" s="1047" t="s">
        <v>7225</v>
      </c>
    </row>
    <row r="9" spans="1:6" ht="15.75" customHeight="1" x14ac:dyDescent="0.4"/>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9C49CC5-2D69-4F65-8BAF-C1DD2CDF2279}">
      <formula1>Tipo_operación</formula1>
    </dataValidation>
    <dataValidation type="list" allowBlank="1" showInputMessage="1" showErrorMessage="1" sqref="D14" xr:uid="{4692C878-3353-4CC8-AF68-41AF245F14C4}">
      <formula1>Tipo_indicador</formula1>
    </dataValidation>
    <dataValidation type="list" allowBlank="1" showInputMessage="1" showErrorMessage="1" sqref="D7" xr:uid="{5584EFE0-DCFB-4D8B-BFE8-3A0FBCAF0249}">
      <formula1>Nombre_indicador_ODS</formula1>
    </dataValidation>
    <dataValidation type="list" allowBlank="1" showInputMessage="1" showErrorMessage="1" sqref="D6" xr:uid="{9579A2B7-D5F1-404D-9ACE-2CD6DF2454AE}">
      <formula1>Numero_indicador</formula1>
    </dataValidation>
    <dataValidation type="list" allowBlank="1" showInputMessage="1" showErrorMessage="1" sqref="D5" xr:uid="{4DD2F258-2D69-49EB-BD4B-C9436D8D52A1}">
      <formula1>Metas_ODS</formula1>
    </dataValidation>
    <dataValidation type="list" allowBlank="1" showInputMessage="1" showErrorMessage="1" sqref="D4" xr:uid="{0304556E-9221-43E8-8057-1603199A4D9C}">
      <formula1>ODS</formula1>
    </dataValidation>
    <dataValidation allowBlank="1" showDropDown="1" showInputMessage="1" showErrorMessage="1" sqref="D13" xr:uid="{2290A09D-FB78-4BEF-A738-7E5C3BD70F3C}"/>
  </dataValidations>
  <hyperlinks>
    <hyperlink ref="B1" location="'15.6.1'!A1" display="REGRESAR" xr:uid="{8E1BA61E-F56E-423D-97A2-46C324E15C29}"/>
    <hyperlink ref="D8" r:id="rId1" xr:uid="{3962D6FD-7CFD-46B0-81B6-9BBDB1132533}"/>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0C43E-A935-4639-9DE6-59EF431D5D14}">
  <sheetPr>
    <tabColor theme="5"/>
  </sheetPr>
  <dimension ref="A1:P22"/>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7.85546875" style="115" customWidth="1"/>
    <col min="3" max="3" width="11.5703125" style="1048" customWidth="1"/>
    <col min="4" max="5" width="11.5703125" style="115" customWidth="1"/>
    <col min="6" max="16384" width="11.42578125" style="115"/>
  </cols>
  <sheetData>
    <row r="1" spans="1:16" x14ac:dyDescent="0.4">
      <c r="A1" s="90" t="s">
        <v>39</v>
      </c>
      <c r="B1" s="1311"/>
      <c r="C1" s="2541" t="s">
        <v>149</v>
      </c>
      <c r="D1" s="2541"/>
    </row>
    <row r="2" spans="1:16" ht="16.5" customHeight="1" x14ac:dyDescent="0.4"/>
    <row r="3" spans="1:16" ht="37.15" customHeight="1" x14ac:dyDescent="0.4">
      <c r="A3" s="3443" t="s">
        <v>41</v>
      </c>
      <c r="B3" s="3449"/>
      <c r="C3" s="3445" t="s">
        <v>6994</v>
      </c>
      <c r="D3" s="3450"/>
      <c r="E3" s="3450"/>
      <c r="F3" s="3450"/>
      <c r="G3" s="3450"/>
      <c r="H3" s="3450"/>
      <c r="I3" s="3450"/>
      <c r="J3" s="3450"/>
      <c r="K3" s="3450"/>
      <c r="L3" s="3450"/>
      <c r="M3" s="3450"/>
      <c r="N3" s="3450"/>
      <c r="O3" s="3450"/>
      <c r="P3" s="3450"/>
    </row>
    <row r="4" spans="1:16" ht="18.600000000000001" customHeight="1" x14ac:dyDescent="0.4">
      <c r="A4" s="3443" t="s">
        <v>42</v>
      </c>
      <c r="B4" s="3444"/>
      <c r="C4" s="3445" t="s">
        <v>7017</v>
      </c>
      <c r="D4" s="3450"/>
      <c r="E4" s="3450"/>
      <c r="F4" s="3450"/>
      <c r="G4" s="3450"/>
      <c r="H4" s="3450"/>
      <c r="I4" s="3450"/>
      <c r="J4" s="3450"/>
      <c r="K4" s="3450"/>
      <c r="L4" s="3450"/>
      <c r="M4" s="3450"/>
      <c r="N4" s="3450"/>
      <c r="O4" s="3450"/>
      <c r="P4" s="3450"/>
    </row>
    <row r="5" spans="1:16" ht="17.45" customHeight="1" x14ac:dyDescent="0.4">
      <c r="A5" s="3443" t="s">
        <v>43</v>
      </c>
      <c r="B5" s="3444"/>
      <c r="C5" s="3443" t="s">
        <v>7019</v>
      </c>
      <c r="D5" s="3446"/>
      <c r="E5" s="3446"/>
      <c r="F5" s="3446"/>
      <c r="G5" s="3446"/>
      <c r="H5" s="3446"/>
      <c r="I5" s="3446"/>
      <c r="J5" s="3446"/>
      <c r="K5" s="3446"/>
      <c r="L5" s="3446"/>
      <c r="M5" s="3446"/>
      <c r="N5" s="3446"/>
      <c r="O5" s="3446"/>
      <c r="P5" s="3446"/>
    </row>
    <row r="6" spans="1:16" ht="19.5"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x14ac:dyDescent="0.4">
      <c r="A8" s="536"/>
    </row>
    <row r="9" spans="1:16" ht="11.25" customHeight="1" x14ac:dyDescent="0.4">
      <c r="A9" s="536"/>
      <c r="C9" s="2506" t="s">
        <v>243</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row r="11" spans="1:16" x14ac:dyDescent="0.4">
      <c r="A11" s="536"/>
    </row>
    <row r="12" spans="1:16" x14ac:dyDescent="0.4">
      <c r="A12" s="536"/>
    </row>
    <row r="13" spans="1:16" x14ac:dyDescent="0.4">
      <c r="A13" s="536"/>
    </row>
    <row r="14" spans="1:16" x14ac:dyDescent="0.4">
      <c r="A14" s="536"/>
    </row>
    <row r="15" spans="1:16" x14ac:dyDescent="0.4">
      <c r="A15" s="536"/>
    </row>
    <row r="16" spans="1:16" x14ac:dyDescent="0.4">
      <c r="A16" s="536"/>
    </row>
    <row r="17" spans="1:1" x14ac:dyDescent="0.4">
      <c r="A17" s="536"/>
    </row>
    <row r="18" spans="1:1" x14ac:dyDescent="0.4">
      <c r="A18" s="536"/>
    </row>
    <row r="19" spans="1:1" x14ac:dyDescent="0.4">
      <c r="A19" s="536"/>
    </row>
    <row r="20" spans="1:1" x14ac:dyDescent="0.4">
      <c r="A20" s="536"/>
    </row>
    <row r="21" spans="1:1" x14ac:dyDescent="0.4">
      <c r="A21" s="536"/>
    </row>
    <row r="22" spans="1:1" x14ac:dyDescent="0.4">
      <c r="A22" s="53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299E24A6-8F6D-4174-A046-91820F12423B}"/>
    <hyperlink ref="C1:D1" location="'Metadato 15.7.1'!A1" display="VER METADATO" xr:uid="{140E8D4D-303F-4EF6-B011-8C9D85AD9EA3}"/>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0696-BFD1-462C-8A15-8171115AB749}">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244</v>
      </c>
    </row>
    <row r="4" spans="1:6" ht="56.25" x14ac:dyDescent="0.4">
      <c r="A4" s="283"/>
      <c r="B4" s="2425" t="s">
        <v>234</v>
      </c>
      <c r="C4" s="2425"/>
      <c r="D4" s="49" t="s">
        <v>7056</v>
      </c>
    </row>
    <row r="5" spans="1:6" ht="37.5" x14ac:dyDescent="0.4">
      <c r="B5" s="2425" t="s">
        <v>79</v>
      </c>
      <c r="C5" s="2425"/>
      <c r="D5" s="49" t="s">
        <v>7017</v>
      </c>
    </row>
    <row r="6" spans="1:6" x14ac:dyDescent="0.4">
      <c r="B6" s="2425" t="s">
        <v>80</v>
      </c>
      <c r="C6" s="2425"/>
      <c r="D6" s="50" t="s">
        <v>7018</v>
      </c>
    </row>
    <row r="7" spans="1:6" ht="37.5" x14ac:dyDescent="0.4">
      <c r="B7" s="2426" t="s">
        <v>81</v>
      </c>
      <c r="C7" s="2426"/>
      <c r="D7" s="93" t="s">
        <v>7019</v>
      </c>
    </row>
    <row r="8" spans="1:6" x14ac:dyDescent="0.4">
      <c r="B8" s="2426" t="s">
        <v>82</v>
      </c>
      <c r="C8" s="2426"/>
      <c r="D8" s="1047" t="s">
        <v>7226</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7227</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ht="37.5" x14ac:dyDescent="0.4">
      <c r="B32" s="2427" t="s">
        <v>122</v>
      </c>
      <c r="C32" s="2428"/>
      <c r="D32" s="55" t="s">
        <v>7228</v>
      </c>
    </row>
    <row r="33" spans="2:4" x14ac:dyDescent="0.4">
      <c r="B33" s="2427" t="s">
        <v>124</v>
      </c>
      <c r="C33" s="2428"/>
      <c r="D33" s="55" t="s">
        <v>7229</v>
      </c>
    </row>
    <row r="34" spans="2:4" x14ac:dyDescent="0.4">
      <c r="B34" s="2427" t="s">
        <v>126</v>
      </c>
      <c r="C34" s="2428"/>
      <c r="D34" s="55" t="s">
        <v>4641</v>
      </c>
    </row>
    <row r="35" spans="2:4" x14ac:dyDescent="0.4">
      <c r="B35" s="2427" t="s">
        <v>128</v>
      </c>
      <c r="C35" s="2428"/>
      <c r="D35" s="246" t="s">
        <v>7230</v>
      </c>
    </row>
    <row r="36" spans="2:4" x14ac:dyDescent="0.4">
      <c r="B36" s="2427" t="s">
        <v>130</v>
      </c>
      <c r="C36" s="2428"/>
      <c r="D36" s="247" t="s">
        <v>7231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8962331-DFF8-4E82-9241-F22F380F83AB}">
      <formula1>Tipo_operación</formula1>
    </dataValidation>
    <dataValidation type="list" allowBlank="1" showInputMessage="1" showErrorMessage="1" sqref="D14" xr:uid="{E23663EA-9339-4637-9D9A-0652A179950B}">
      <formula1>Tipo_indicador</formula1>
    </dataValidation>
    <dataValidation type="list" allowBlank="1" showInputMessage="1" showErrorMessage="1" sqref="D7" xr:uid="{0130D818-3DCA-4628-A6BB-23CEDBCB7FC0}">
      <formula1>Nombre_indicador_ODS</formula1>
    </dataValidation>
    <dataValidation type="list" allowBlank="1" showInputMessage="1" showErrorMessage="1" sqref="D6" xr:uid="{C690CB53-BDB6-426F-AB1A-9FC8332EAD06}">
      <formula1>Numero_indicador</formula1>
    </dataValidation>
    <dataValidation type="list" allowBlank="1" showInputMessage="1" showErrorMessage="1" sqref="D5" xr:uid="{DBBD2299-F3A2-4DCD-AF78-D1FAB17988AD}">
      <formula1>Metas_ODS</formula1>
    </dataValidation>
    <dataValidation type="list" allowBlank="1" showInputMessage="1" showErrorMessage="1" sqref="D4" xr:uid="{787C5A70-0135-486C-A8A9-4588D66267CE}">
      <formula1>ODS</formula1>
    </dataValidation>
    <dataValidation allowBlank="1" showDropDown="1" showInputMessage="1" showErrorMessage="1" sqref="D13" xr:uid="{19D158E5-C199-4145-A77D-62C0FDF156A9}"/>
  </dataValidations>
  <hyperlinks>
    <hyperlink ref="B1" location="'15.7.1'!A1" display="REGRESAR" xr:uid="{DC7BE17D-8BE0-4A84-9BFF-C2C5624DBBD2}"/>
    <hyperlink ref="D36" r:id="rId1" xr:uid="{4E1404BD-E05A-46B2-BA58-6CAA649E2BBC}"/>
    <hyperlink ref="D8" r:id="rId2" xr:uid="{C9F83C14-F74F-4F69-9444-BE4DE6847E6E}"/>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E464-87F7-48E5-BB68-378442ABD7C6}">
  <dimension ref="A1:Q48"/>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4.28515625" style="115" customWidth="1"/>
    <col min="2" max="2" width="16.42578125" style="115" customWidth="1"/>
    <col min="3" max="3" width="3.85546875" style="1048" customWidth="1"/>
    <col min="4" max="4" width="64.140625" style="115" customWidth="1"/>
    <col min="5" max="5" width="35.85546875" style="115" customWidth="1"/>
    <col min="6" max="8" width="8.7109375" style="115" customWidth="1"/>
    <col min="9" max="9" width="1.7109375" style="115" customWidth="1"/>
    <col min="10" max="12" width="8.7109375" style="115" customWidth="1"/>
    <col min="13" max="13" width="1.7109375" style="115" customWidth="1"/>
    <col min="14" max="16" width="8.7109375" style="115" customWidth="1"/>
    <col min="17" max="16384" width="11.42578125" style="115"/>
  </cols>
  <sheetData>
    <row r="1" spans="1:17" x14ac:dyDescent="0.4">
      <c r="A1" s="90" t="s">
        <v>39</v>
      </c>
      <c r="B1" s="1311"/>
      <c r="C1" s="2541" t="s">
        <v>149</v>
      </c>
      <c r="D1" s="2541"/>
    </row>
    <row r="2" spans="1:17" ht="17.25" customHeight="1" x14ac:dyDescent="0.4"/>
    <row r="3" spans="1:17" ht="36" customHeight="1" x14ac:dyDescent="0.4">
      <c r="A3" s="3443" t="s">
        <v>41</v>
      </c>
      <c r="B3" s="3449"/>
      <c r="C3" s="3445" t="s">
        <v>6994</v>
      </c>
      <c r="D3" s="3450"/>
      <c r="E3" s="3450"/>
      <c r="F3" s="3450"/>
      <c r="G3" s="3450"/>
      <c r="H3" s="3450"/>
      <c r="I3" s="3450"/>
      <c r="J3" s="3450"/>
      <c r="K3" s="3450"/>
      <c r="L3" s="3450"/>
      <c r="M3" s="3450"/>
      <c r="N3" s="3450"/>
      <c r="O3" s="3450"/>
      <c r="P3" s="3450"/>
      <c r="Q3" s="3450"/>
    </row>
    <row r="4" spans="1:17" ht="24.6" customHeight="1" x14ac:dyDescent="0.4">
      <c r="A4" s="3443" t="s">
        <v>42</v>
      </c>
      <c r="B4" s="3444"/>
      <c r="C4" s="3445" t="s">
        <v>7020</v>
      </c>
      <c r="D4" s="3450"/>
      <c r="E4" s="3450"/>
      <c r="F4" s="3450"/>
      <c r="G4" s="3450"/>
      <c r="H4" s="3450"/>
      <c r="I4" s="3450"/>
      <c r="J4" s="3450"/>
      <c r="K4" s="3450"/>
      <c r="L4" s="3450"/>
      <c r="M4" s="3450"/>
      <c r="N4" s="3450"/>
      <c r="O4" s="3450"/>
      <c r="P4" s="3450"/>
      <c r="Q4" s="3450"/>
    </row>
    <row r="5" spans="1:17" ht="22.15" customHeight="1" x14ac:dyDescent="0.4">
      <c r="A5" s="3443" t="s">
        <v>43</v>
      </c>
      <c r="B5" s="3444"/>
      <c r="C5" s="3443" t="s">
        <v>7022</v>
      </c>
      <c r="D5" s="3446"/>
      <c r="E5" s="3446"/>
      <c r="F5" s="3446"/>
      <c r="G5" s="3446"/>
      <c r="H5" s="3446"/>
      <c r="I5" s="3446"/>
      <c r="J5" s="3446"/>
      <c r="K5" s="3446"/>
      <c r="L5" s="3446"/>
      <c r="M5" s="3446"/>
      <c r="N5" s="3446"/>
      <c r="O5" s="3446"/>
      <c r="P5" s="3446"/>
      <c r="Q5" s="3446"/>
    </row>
    <row r="6" spans="1:17" ht="19.149999999999999" customHeight="1" x14ac:dyDescent="0.4">
      <c r="A6" s="3443" t="s">
        <v>132</v>
      </c>
      <c r="B6" s="3444"/>
      <c r="C6" s="3443" t="s">
        <v>7232</v>
      </c>
      <c r="D6" s="3446"/>
      <c r="E6" s="3446"/>
      <c r="F6" s="3446"/>
      <c r="G6" s="3446"/>
      <c r="H6" s="3446"/>
      <c r="I6" s="3446"/>
      <c r="J6" s="3446"/>
      <c r="K6" s="3446"/>
      <c r="L6" s="3446"/>
      <c r="M6" s="3446"/>
      <c r="N6" s="3446"/>
      <c r="O6" s="3446"/>
      <c r="P6" s="3446"/>
      <c r="Q6" s="3446"/>
    </row>
    <row r="7" spans="1:17" x14ac:dyDescent="0.4">
      <c r="A7" s="536"/>
    </row>
    <row r="8" spans="1:17" x14ac:dyDescent="0.4">
      <c r="A8" s="536"/>
    </row>
    <row r="9" spans="1:17" ht="18.600000000000001" customHeight="1" x14ac:dyDescent="0.4">
      <c r="A9" s="536"/>
      <c r="C9" s="163" t="s">
        <v>7232</v>
      </c>
      <c r="D9" s="163"/>
      <c r="E9" s="163"/>
      <c r="F9" s="163"/>
      <c r="G9" s="163"/>
      <c r="H9" s="163"/>
      <c r="I9" s="163"/>
      <c r="J9" s="163"/>
      <c r="K9" s="163"/>
      <c r="L9" s="163"/>
      <c r="M9" s="163"/>
      <c r="N9" s="163"/>
      <c r="O9" s="163"/>
      <c r="P9" s="163"/>
    </row>
    <row r="10" spans="1:17" ht="7.15" customHeight="1" x14ac:dyDescent="0.4">
      <c r="A10" s="536"/>
      <c r="C10" s="533"/>
      <c r="D10" s="533"/>
      <c r="E10" s="533"/>
      <c r="F10" s="533"/>
      <c r="G10" s="533"/>
      <c r="H10" s="533"/>
      <c r="I10" s="2093"/>
      <c r="J10" s="2093"/>
      <c r="K10" s="533"/>
      <c r="L10" s="533"/>
      <c r="M10" s="533"/>
      <c r="N10" s="533"/>
      <c r="O10" s="533"/>
      <c r="P10" s="533"/>
    </row>
    <row r="11" spans="1:17" ht="14.45" customHeight="1" x14ac:dyDescent="0.4">
      <c r="A11" s="536"/>
      <c r="C11" s="3469" t="s">
        <v>7233</v>
      </c>
      <c r="D11" s="3469"/>
      <c r="E11" s="3469"/>
      <c r="F11" s="3468">
        <v>2020</v>
      </c>
      <c r="G11" s="3468"/>
      <c r="H11" s="3468"/>
      <c r="I11" s="2094"/>
      <c r="J11" s="3470">
        <v>2021</v>
      </c>
      <c r="K11" s="3468"/>
      <c r="L11" s="3468"/>
      <c r="M11" s="2095"/>
      <c r="N11" s="3468">
        <v>2022</v>
      </c>
      <c r="O11" s="3468"/>
      <c r="P11" s="3468"/>
    </row>
    <row r="12" spans="1:17" x14ac:dyDescent="0.4">
      <c r="A12" s="536"/>
      <c r="C12" s="3470"/>
      <c r="D12" s="3470"/>
      <c r="E12" s="3470"/>
      <c r="F12" s="2063" t="s">
        <v>4617</v>
      </c>
      <c r="G12" s="2063" t="s">
        <v>4631</v>
      </c>
      <c r="H12" s="2063" t="s">
        <v>7234</v>
      </c>
      <c r="I12" s="2063"/>
      <c r="J12" s="2063" t="s">
        <v>4617</v>
      </c>
      <c r="K12" s="2063" t="s">
        <v>4631</v>
      </c>
      <c r="L12" s="2063" t="s">
        <v>7234</v>
      </c>
      <c r="M12" s="2063"/>
      <c r="N12" s="2063" t="s">
        <v>4617</v>
      </c>
      <c r="O12" s="2063" t="s">
        <v>4631</v>
      </c>
      <c r="P12" s="2063" t="s">
        <v>7234</v>
      </c>
    </row>
    <row r="13" spans="1:17" ht="123.6" customHeight="1" x14ac:dyDescent="0.4">
      <c r="A13" s="536"/>
      <c r="C13" s="1089">
        <v>1</v>
      </c>
      <c r="D13" s="2526" t="s">
        <v>7235</v>
      </c>
      <c r="E13" s="2526"/>
      <c r="F13" s="3498" t="s">
        <v>7236</v>
      </c>
      <c r="G13" s="3498"/>
      <c r="H13" s="3498"/>
      <c r="I13" s="141"/>
      <c r="J13" s="3498" t="s">
        <v>7237</v>
      </c>
      <c r="K13" s="3498"/>
      <c r="L13" s="3498"/>
      <c r="M13" s="141"/>
      <c r="N13" s="3498" t="s">
        <v>7123</v>
      </c>
      <c r="O13" s="3498"/>
      <c r="P13" s="3498"/>
    </row>
    <row r="14" spans="1:17" ht="50.45" customHeight="1" x14ac:dyDescent="0.4">
      <c r="A14" s="536"/>
      <c r="C14" s="2540">
        <v>2</v>
      </c>
      <c r="D14" s="2526" t="s">
        <v>7238</v>
      </c>
      <c r="E14" s="545" t="s">
        <v>7239</v>
      </c>
      <c r="F14" s="141" t="s">
        <v>7240</v>
      </c>
      <c r="G14" s="141"/>
      <c r="H14" s="141"/>
      <c r="I14" s="141"/>
      <c r="J14" s="141" t="s">
        <v>7240</v>
      </c>
      <c r="K14" s="141"/>
      <c r="L14" s="141"/>
      <c r="M14" s="141"/>
      <c r="N14" s="141" t="s">
        <v>7240</v>
      </c>
      <c r="O14" s="141"/>
      <c r="P14" s="141"/>
    </row>
    <row r="15" spans="1:17" x14ac:dyDescent="0.4">
      <c r="A15" s="536"/>
      <c r="C15" s="2540"/>
      <c r="D15" s="2526"/>
      <c r="E15" s="545" t="s">
        <v>7241</v>
      </c>
      <c r="F15" s="141" t="s">
        <v>7240</v>
      </c>
      <c r="G15" s="141"/>
      <c r="H15" s="141"/>
      <c r="I15" s="141"/>
      <c r="J15" s="141" t="s">
        <v>7240</v>
      </c>
      <c r="K15" s="141"/>
      <c r="L15" s="141"/>
      <c r="M15" s="141"/>
      <c r="N15" s="141" t="s">
        <v>7240</v>
      </c>
      <c r="O15" s="141"/>
      <c r="P15" s="141"/>
    </row>
    <row r="16" spans="1:17" ht="52.15" customHeight="1" x14ac:dyDescent="0.4">
      <c r="A16" s="536"/>
      <c r="C16" s="2540">
        <v>3</v>
      </c>
      <c r="D16" s="2526" t="s">
        <v>7242</v>
      </c>
      <c r="E16" s="545" t="s">
        <v>7239</v>
      </c>
      <c r="F16" s="141" t="s">
        <v>7240</v>
      </c>
      <c r="G16" s="141"/>
      <c r="H16" s="141"/>
      <c r="I16" s="141"/>
      <c r="J16" s="141" t="s">
        <v>7240</v>
      </c>
      <c r="K16" s="141"/>
      <c r="L16" s="141"/>
      <c r="M16" s="141"/>
      <c r="N16" s="141" t="s">
        <v>7240</v>
      </c>
      <c r="O16" s="141"/>
      <c r="P16" s="141"/>
    </row>
    <row r="17" spans="3:16" x14ac:dyDescent="0.4">
      <c r="C17" s="2540"/>
      <c r="D17" s="2526"/>
      <c r="E17" s="545" t="s">
        <v>7241</v>
      </c>
      <c r="F17" s="141"/>
      <c r="G17" s="141"/>
      <c r="H17" s="141" t="s">
        <v>7240</v>
      </c>
      <c r="I17" s="141"/>
      <c r="J17" s="141"/>
      <c r="K17" s="141"/>
      <c r="L17" s="141" t="s">
        <v>7240</v>
      </c>
      <c r="M17" s="141"/>
      <c r="N17" s="141" t="s">
        <v>7240</v>
      </c>
      <c r="O17" s="141"/>
      <c r="P17" s="141"/>
    </row>
    <row r="18" spans="3:16" ht="37.5" x14ac:dyDescent="0.4">
      <c r="C18" s="2540">
        <v>4</v>
      </c>
      <c r="D18" s="2526" t="s">
        <v>7243</v>
      </c>
      <c r="E18" s="545" t="s">
        <v>7239</v>
      </c>
      <c r="F18" s="141"/>
      <c r="G18" s="141" t="s">
        <v>7240</v>
      </c>
      <c r="H18" s="141"/>
      <c r="I18" s="141"/>
      <c r="J18" s="141"/>
      <c r="K18" s="141" t="s">
        <v>7240</v>
      </c>
      <c r="L18" s="141"/>
      <c r="M18" s="141"/>
      <c r="N18" s="141" t="s">
        <v>7240</v>
      </c>
      <c r="O18" s="141"/>
      <c r="P18" s="141"/>
    </row>
    <row r="19" spans="3:16" ht="63" customHeight="1" x14ac:dyDescent="0.4">
      <c r="C19" s="2540"/>
      <c r="D19" s="2526"/>
      <c r="E19" s="545" t="s">
        <v>7241</v>
      </c>
      <c r="F19" s="141"/>
      <c r="G19" s="141" t="s">
        <v>7240</v>
      </c>
      <c r="H19" s="141"/>
      <c r="I19" s="141"/>
      <c r="J19" s="141"/>
      <c r="K19" s="141" t="s">
        <v>7240</v>
      </c>
      <c r="L19" s="141"/>
      <c r="M19" s="141"/>
      <c r="N19" s="141" t="s">
        <v>7240</v>
      </c>
      <c r="O19" s="141"/>
      <c r="P19" s="141"/>
    </row>
    <row r="20" spans="3:16" ht="37.5" x14ac:dyDescent="0.4">
      <c r="C20" s="2540">
        <v>5</v>
      </c>
      <c r="D20" s="2526" t="s">
        <v>7244</v>
      </c>
      <c r="E20" s="545" t="s">
        <v>7239</v>
      </c>
      <c r="F20" s="141"/>
      <c r="G20" s="141" t="s">
        <v>7240</v>
      </c>
      <c r="H20" s="141"/>
      <c r="I20" s="141"/>
      <c r="J20" s="141"/>
      <c r="K20" s="141" t="s">
        <v>7240</v>
      </c>
      <c r="L20" s="141"/>
      <c r="M20" s="141"/>
      <c r="N20" s="141" t="s">
        <v>7240</v>
      </c>
      <c r="O20" s="141"/>
      <c r="P20" s="141"/>
    </row>
    <row r="21" spans="3:16" x14ac:dyDescent="0.4">
      <c r="C21" s="2540"/>
      <c r="D21" s="2526"/>
      <c r="E21" s="545" t="s">
        <v>7241</v>
      </c>
      <c r="F21" s="141"/>
      <c r="G21" s="141" t="s">
        <v>7240</v>
      </c>
      <c r="H21" s="141"/>
      <c r="I21" s="141"/>
      <c r="J21" s="141"/>
      <c r="K21" s="141" t="s">
        <v>7240</v>
      </c>
      <c r="L21" s="141"/>
      <c r="M21" s="141"/>
      <c r="N21" s="141" t="s">
        <v>7240</v>
      </c>
      <c r="O21" s="141"/>
      <c r="P21" s="141"/>
    </row>
    <row r="22" spans="3:16" ht="37.5" x14ac:dyDescent="0.4">
      <c r="C22" s="2540">
        <v>6</v>
      </c>
      <c r="D22" s="2526" t="s">
        <v>7245</v>
      </c>
      <c r="E22" s="545" t="s">
        <v>7239</v>
      </c>
      <c r="F22" s="141" t="s">
        <v>7240</v>
      </c>
      <c r="G22" s="141"/>
      <c r="H22" s="141"/>
      <c r="I22" s="141"/>
      <c r="J22" s="141" t="s">
        <v>7240</v>
      </c>
      <c r="K22" s="141"/>
      <c r="L22" s="141"/>
      <c r="M22" s="141"/>
      <c r="N22" s="141" t="s">
        <v>7240</v>
      </c>
      <c r="O22" s="141"/>
      <c r="P22" s="141"/>
    </row>
    <row r="23" spans="3:16" x14ac:dyDescent="0.4">
      <c r="C23" s="2540"/>
      <c r="D23" s="2526"/>
      <c r="E23" s="545" t="s">
        <v>7241</v>
      </c>
      <c r="F23" s="141" t="s">
        <v>7240</v>
      </c>
      <c r="G23" s="141"/>
      <c r="H23" s="141"/>
      <c r="I23" s="141"/>
      <c r="J23" s="141" t="s">
        <v>7240</v>
      </c>
      <c r="K23" s="141"/>
      <c r="L23" s="141"/>
      <c r="M23" s="141"/>
      <c r="N23" s="141" t="s">
        <v>7240</v>
      </c>
      <c r="O23" s="141"/>
      <c r="P23" s="141"/>
    </row>
    <row r="24" spans="3:16" ht="37.5" x14ac:dyDescent="0.4">
      <c r="C24" s="2540">
        <v>7</v>
      </c>
      <c r="D24" s="2526" t="s">
        <v>7246</v>
      </c>
      <c r="E24" s="545" t="s">
        <v>7239</v>
      </c>
      <c r="F24" s="141" t="s">
        <v>7240</v>
      </c>
      <c r="G24" s="141"/>
      <c r="H24" s="141"/>
      <c r="I24" s="141"/>
      <c r="J24" s="141" t="s">
        <v>7240</v>
      </c>
      <c r="K24" s="141"/>
      <c r="L24" s="141"/>
      <c r="M24" s="141"/>
      <c r="N24" s="141" t="s">
        <v>7240</v>
      </c>
      <c r="O24" s="141"/>
      <c r="P24" s="141"/>
    </row>
    <row r="25" spans="3:16" x14ac:dyDescent="0.4">
      <c r="C25" s="2540"/>
      <c r="D25" s="2526"/>
      <c r="E25" s="545" t="s">
        <v>7241</v>
      </c>
      <c r="F25" s="141" t="s">
        <v>7240</v>
      </c>
      <c r="G25" s="141"/>
      <c r="H25" s="141"/>
      <c r="I25" s="141"/>
      <c r="J25" s="141" t="s">
        <v>7240</v>
      </c>
      <c r="K25" s="141"/>
      <c r="L25" s="141"/>
      <c r="M25" s="141"/>
      <c r="N25" s="141" t="s">
        <v>7240</v>
      </c>
      <c r="O25" s="141"/>
      <c r="P25" s="141"/>
    </row>
    <row r="26" spans="3:16" ht="37.5" x14ac:dyDescent="0.4">
      <c r="C26" s="2540">
        <v>8</v>
      </c>
      <c r="D26" s="2526" t="s">
        <v>7247</v>
      </c>
      <c r="E26" s="545" t="s">
        <v>7239</v>
      </c>
      <c r="F26" s="141"/>
      <c r="G26" s="141" t="s">
        <v>7240</v>
      </c>
      <c r="H26" s="141"/>
      <c r="I26" s="141"/>
      <c r="J26" s="141"/>
      <c r="K26" s="141" t="s">
        <v>7240</v>
      </c>
      <c r="L26" s="141"/>
      <c r="M26" s="141"/>
      <c r="N26" s="141" t="s">
        <v>7240</v>
      </c>
      <c r="O26" s="141"/>
      <c r="P26" s="141"/>
    </row>
    <row r="27" spans="3:16" x14ac:dyDescent="0.4">
      <c r="C27" s="2540"/>
      <c r="D27" s="2526"/>
      <c r="E27" s="545" t="s">
        <v>7241</v>
      </c>
      <c r="F27" s="141"/>
      <c r="G27" s="141" t="s">
        <v>7240</v>
      </c>
      <c r="H27" s="141"/>
      <c r="I27" s="141"/>
      <c r="J27" s="141"/>
      <c r="K27" s="141" t="s">
        <v>7240</v>
      </c>
      <c r="L27" s="141"/>
      <c r="M27" s="141"/>
      <c r="N27" s="141" t="s">
        <v>7240</v>
      </c>
      <c r="O27" s="141"/>
      <c r="P27" s="141"/>
    </row>
    <row r="28" spans="3:16" ht="37.5" x14ac:dyDescent="0.4">
      <c r="C28" s="2540">
        <v>9</v>
      </c>
      <c r="D28" s="2526" t="s">
        <v>7248</v>
      </c>
      <c r="E28" s="545" t="s">
        <v>7239</v>
      </c>
      <c r="F28" s="141" t="s">
        <v>7240</v>
      </c>
      <c r="G28" s="141"/>
      <c r="H28" s="141"/>
      <c r="I28" s="141"/>
      <c r="J28" s="141" t="s">
        <v>7240</v>
      </c>
      <c r="K28" s="141"/>
      <c r="L28" s="141"/>
      <c r="M28" s="141"/>
      <c r="N28" s="141" t="s">
        <v>7240</v>
      </c>
      <c r="O28" s="141"/>
      <c r="P28" s="141"/>
    </row>
    <row r="29" spans="3:16" x14ac:dyDescent="0.4">
      <c r="C29" s="2540"/>
      <c r="D29" s="2526"/>
      <c r="E29" s="545" t="s">
        <v>7241</v>
      </c>
      <c r="F29" s="141" t="s">
        <v>7240</v>
      </c>
      <c r="G29" s="141"/>
      <c r="H29" s="141"/>
      <c r="I29" s="141"/>
      <c r="J29" s="141" t="s">
        <v>7240</v>
      </c>
      <c r="K29" s="141"/>
      <c r="L29" s="141"/>
      <c r="M29" s="141"/>
      <c r="N29" s="141" t="s">
        <v>7240</v>
      </c>
      <c r="O29" s="141"/>
      <c r="P29" s="141"/>
    </row>
    <row r="30" spans="3:16" ht="37.5" x14ac:dyDescent="0.4">
      <c r="C30" s="2540">
        <v>10</v>
      </c>
      <c r="D30" s="2526" t="s">
        <v>7249</v>
      </c>
      <c r="E30" s="545" t="s">
        <v>7239</v>
      </c>
      <c r="F30" s="141" t="s">
        <v>7240</v>
      </c>
      <c r="G30" s="141"/>
      <c r="H30" s="141"/>
      <c r="I30" s="141"/>
      <c r="J30" s="141" t="s">
        <v>7240</v>
      </c>
      <c r="K30" s="141"/>
      <c r="L30" s="141"/>
      <c r="M30" s="141"/>
      <c r="N30" s="141" t="s">
        <v>7240</v>
      </c>
      <c r="O30" s="141"/>
      <c r="P30" s="141"/>
    </row>
    <row r="31" spans="3:16" x14ac:dyDescent="0.4">
      <c r="C31" s="2540"/>
      <c r="D31" s="2526"/>
      <c r="E31" s="545" t="s">
        <v>7241</v>
      </c>
      <c r="F31" s="141" t="s">
        <v>7240</v>
      </c>
      <c r="G31" s="141"/>
      <c r="H31" s="141"/>
      <c r="I31" s="141"/>
      <c r="J31" s="141" t="s">
        <v>7240</v>
      </c>
      <c r="K31" s="141"/>
      <c r="L31" s="141"/>
      <c r="M31" s="141"/>
      <c r="N31" s="141" t="s">
        <v>7240</v>
      </c>
      <c r="O31" s="141"/>
      <c r="P31" s="141"/>
    </row>
    <row r="32" spans="3:16" ht="36" customHeight="1" x14ac:dyDescent="0.4">
      <c r="C32" s="1089">
        <v>11</v>
      </c>
      <c r="D32" s="2526" t="s">
        <v>7250</v>
      </c>
      <c r="E32" s="2526"/>
      <c r="F32" s="141" t="s">
        <v>7240</v>
      </c>
      <c r="G32" s="141"/>
      <c r="H32" s="141"/>
      <c r="I32" s="141"/>
      <c r="J32" s="141" t="s">
        <v>7240</v>
      </c>
      <c r="K32" s="141"/>
      <c r="L32" s="141"/>
      <c r="M32" s="141"/>
      <c r="N32" s="141" t="s">
        <v>7240</v>
      </c>
      <c r="O32" s="141"/>
      <c r="P32" s="141"/>
    </row>
    <row r="33" spans="3:16" ht="12" customHeight="1" x14ac:dyDescent="0.4">
      <c r="C33" s="1089">
        <v>12</v>
      </c>
      <c r="D33" s="2526" t="s">
        <v>7251</v>
      </c>
      <c r="E33" s="2526"/>
      <c r="F33" s="141" t="s">
        <v>7240</v>
      </c>
      <c r="G33" s="141"/>
      <c r="H33" s="141"/>
      <c r="I33" s="141"/>
      <c r="J33" s="141" t="s">
        <v>7240</v>
      </c>
      <c r="K33" s="141"/>
      <c r="L33" s="141"/>
      <c r="M33" s="141"/>
      <c r="N33" s="141"/>
      <c r="O33" s="141" t="s">
        <v>7240</v>
      </c>
      <c r="P33" s="141"/>
    </row>
    <row r="34" spans="3:16" ht="14.45" customHeight="1" x14ac:dyDescent="0.4">
      <c r="C34" s="1089">
        <v>13</v>
      </c>
      <c r="D34" s="2526" t="s">
        <v>7252</v>
      </c>
      <c r="E34" s="2526"/>
      <c r="F34" s="3498">
        <v>500000</v>
      </c>
      <c r="G34" s="3498"/>
      <c r="H34" s="3498"/>
      <c r="I34" s="141"/>
      <c r="J34" s="3498">
        <v>500000</v>
      </c>
      <c r="K34" s="3498"/>
      <c r="L34" s="3498"/>
      <c r="M34" s="141"/>
      <c r="N34" s="3498"/>
      <c r="O34" s="3498"/>
      <c r="P34" s="3498"/>
    </row>
    <row r="35" spans="3:16" ht="36" customHeight="1" x14ac:dyDescent="0.4">
      <c r="C35" s="1089">
        <v>14</v>
      </c>
      <c r="D35" s="2526" t="s">
        <v>7253</v>
      </c>
      <c r="E35" s="2526"/>
      <c r="F35" s="141"/>
      <c r="G35" s="141" t="s">
        <v>7240</v>
      </c>
      <c r="H35" s="141"/>
      <c r="I35" s="141"/>
      <c r="J35" s="141"/>
      <c r="K35" s="141" t="s">
        <v>7240</v>
      </c>
      <c r="L35" s="141"/>
      <c r="M35" s="141"/>
      <c r="N35" s="141"/>
      <c r="O35" s="141" t="s">
        <v>7240</v>
      </c>
      <c r="P35" s="141"/>
    </row>
    <row r="36" spans="3:16" x14ac:dyDescent="0.4">
      <c r="C36" s="1089">
        <v>15</v>
      </c>
      <c r="D36" s="2526" t="s">
        <v>7254</v>
      </c>
      <c r="E36" s="2526"/>
      <c r="F36" s="3498"/>
      <c r="G36" s="3498"/>
      <c r="H36" s="3498"/>
      <c r="I36" s="141"/>
      <c r="J36" s="141"/>
      <c r="K36" s="141"/>
      <c r="L36" s="141"/>
      <c r="M36" s="141"/>
      <c r="N36" s="141"/>
      <c r="O36" s="141"/>
      <c r="P36" s="141"/>
    </row>
    <row r="37" spans="3:16" ht="34.9" customHeight="1" x14ac:dyDescent="0.4">
      <c r="C37" s="1089">
        <v>16</v>
      </c>
      <c r="D37" s="2526" t="s">
        <v>7255</v>
      </c>
      <c r="E37" s="2526"/>
      <c r="F37" s="141" t="s">
        <v>7240</v>
      </c>
      <c r="G37" s="141"/>
      <c r="H37" s="141"/>
      <c r="I37" s="141"/>
      <c r="J37" s="141" t="s">
        <v>7240</v>
      </c>
      <c r="K37" s="141"/>
      <c r="L37" s="141"/>
      <c r="M37" s="141"/>
      <c r="N37" s="141" t="s">
        <v>7240</v>
      </c>
      <c r="O37" s="141"/>
      <c r="P37" s="141"/>
    </row>
    <row r="38" spans="3:16" x14ac:dyDescent="0.4">
      <c r="C38" s="1089">
        <v>17</v>
      </c>
      <c r="D38" s="2526" t="s">
        <v>7256</v>
      </c>
      <c r="E38" s="2526"/>
      <c r="F38" s="3498" t="s">
        <v>7257</v>
      </c>
      <c r="G38" s="3498"/>
      <c r="H38" s="3498"/>
      <c r="I38" s="141"/>
      <c r="J38" s="3498" t="s">
        <v>7257</v>
      </c>
      <c r="K38" s="3498"/>
      <c r="L38" s="3498"/>
      <c r="M38" s="141"/>
      <c r="N38" s="3498" t="s">
        <v>7257</v>
      </c>
      <c r="O38" s="3498"/>
      <c r="P38" s="3498"/>
    </row>
    <row r="39" spans="3:16" ht="36" customHeight="1" x14ac:dyDescent="0.4">
      <c r="C39" s="1089">
        <v>18</v>
      </c>
      <c r="D39" s="2526" t="s">
        <v>7258</v>
      </c>
      <c r="E39" s="2526"/>
      <c r="F39" s="141" t="s">
        <v>7240</v>
      </c>
      <c r="G39" s="141"/>
      <c r="H39" s="141"/>
      <c r="I39" s="141"/>
      <c r="J39" s="141" t="s">
        <v>7240</v>
      </c>
      <c r="K39" s="141"/>
      <c r="L39" s="141"/>
      <c r="M39" s="141"/>
      <c r="N39" s="141"/>
      <c r="O39" s="141" t="s">
        <v>7240</v>
      </c>
      <c r="P39" s="141"/>
    </row>
    <row r="40" spans="3:16" x14ac:dyDescent="0.4">
      <c r="C40" s="1089">
        <v>19</v>
      </c>
      <c r="D40" s="2526" t="s">
        <v>7259</v>
      </c>
      <c r="E40" s="2526"/>
      <c r="F40" s="141"/>
      <c r="G40" s="141" t="s">
        <v>7240</v>
      </c>
      <c r="H40" s="141"/>
      <c r="I40" s="141"/>
      <c r="J40" s="141"/>
      <c r="K40" s="141" t="s">
        <v>7240</v>
      </c>
      <c r="L40" s="141"/>
      <c r="M40" s="141"/>
      <c r="N40" s="141"/>
      <c r="O40" s="141" t="s">
        <v>7240</v>
      </c>
      <c r="P40" s="141"/>
    </row>
    <row r="41" spans="3:16" x14ac:dyDescent="0.4">
      <c r="C41" s="1089">
        <v>20</v>
      </c>
      <c r="D41" s="2526" t="s">
        <v>7256</v>
      </c>
      <c r="E41" s="2526"/>
      <c r="F41" s="3498" t="s">
        <v>7257</v>
      </c>
      <c r="G41" s="3498"/>
      <c r="H41" s="3498"/>
      <c r="I41" s="141"/>
      <c r="J41" s="3498" t="s">
        <v>7257</v>
      </c>
      <c r="K41" s="3498"/>
      <c r="L41" s="3498"/>
      <c r="M41" s="141"/>
      <c r="N41" s="3498"/>
      <c r="O41" s="3498"/>
      <c r="P41" s="3498"/>
    </row>
    <row r="42" spans="3:16" ht="36" customHeight="1" x14ac:dyDescent="0.4">
      <c r="C42" s="1089">
        <v>21</v>
      </c>
      <c r="D42" s="2526" t="s">
        <v>7260</v>
      </c>
      <c r="E42" s="2526"/>
      <c r="F42" s="141" t="s">
        <v>7240</v>
      </c>
      <c r="G42" s="141"/>
      <c r="H42" s="141"/>
      <c r="I42" s="141"/>
      <c r="J42" s="141" t="s">
        <v>7240</v>
      </c>
      <c r="K42" s="141"/>
      <c r="L42" s="141"/>
      <c r="M42" s="141"/>
      <c r="N42" s="141"/>
      <c r="O42" s="141" t="s">
        <v>7240</v>
      </c>
      <c r="P42" s="141"/>
    </row>
    <row r="43" spans="3:16" ht="36" customHeight="1" x14ac:dyDescent="0.4">
      <c r="C43" s="1089">
        <v>22</v>
      </c>
      <c r="D43" s="2526" t="s">
        <v>7261</v>
      </c>
      <c r="E43" s="2526"/>
      <c r="F43" s="3498" t="s">
        <v>7262</v>
      </c>
      <c r="G43" s="3498"/>
      <c r="H43" s="3498"/>
      <c r="I43" s="141"/>
      <c r="J43" s="3498" t="s">
        <v>7262</v>
      </c>
      <c r="K43" s="3498"/>
      <c r="L43" s="3498"/>
      <c r="M43" s="141"/>
      <c r="N43" s="3498" t="s">
        <v>7263</v>
      </c>
      <c r="O43" s="3498"/>
      <c r="P43" s="3498"/>
    </row>
    <row r="44" spans="3:16" x14ac:dyDescent="0.4">
      <c r="C44" s="1089">
        <v>23</v>
      </c>
      <c r="D44" s="2526" t="s">
        <v>7264</v>
      </c>
      <c r="E44" s="2526"/>
      <c r="F44" s="141" t="s">
        <v>7240</v>
      </c>
      <c r="G44" s="141"/>
      <c r="H44" s="141"/>
      <c r="I44" s="141"/>
      <c r="J44" s="141" t="s">
        <v>7240</v>
      </c>
      <c r="K44" s="141"/>
      <c r="L44" s="141"/>
      <c r="M44" s="141"/>
      <c r="N44" s="141" t="s">
        <v>7240</v>
      </c>
      <c r="O44" s="141"/>
      <c r="P44" s="141"/>
    </row>
    <row r="45" spans="3:16" x14ac:dyDescent="0.4">
      <c r="C45" s="1089">
        <v>24</v>
      </c>
      <c r="D45" s="2526" t="s">
        <v>7265</v>
      </c>
      <c r="E45" s="2526"/>
      <c r="F45" s="3498" t="s">
        <v>7266</v>
      </c>
      <c r="G45" s="3498"/>
      <c r="H45" s="3498"/>
      <c r="I45" s="141"/>
      <c r="J45" s="3498" t="s">
        <v>7266</v>
      </c>
      <c r="K45" s="3498"/>
      <c r="L45" s="3498"/>
      <c r="M45" s="141"/>
      <c r="N45" s="3498" t="s">
        <v>7266</v>
      </c>
      <c r="O45" s="3498"/>
      <c r="P45" s="3498"/>
    </row>
    <row r="46" spans="3:16" ht="86.45" customHeight="1" x14ac:dyDescent="0.4">
      <c r="C46" s="1089">
        <v>25</v>
      </c>
      <c r="D46" s="2526" t="s">
        <v>7267</v>
      </c>
      <c r="E46" s="2526"/>
      <c r="F46" s="3498" t="s">
        <v>7268</v>
      </c>
      <c r="G46" s="3498"/>
      <c r="H46" s="3498"/>
      <c r="I46" s="141"/>
      <c r="J46" s="3498" t="s">
        <v>7268</v>
      </c>
      <c r="K46" s="3498"/>
      <c r="L46" s="3498"/>
      <c r="M46" s="141"/>
      <c r="N46" s="3498" t="s">
        <v>7269</v>
      </c>
      <c r="O46" s="3498"/>
      <c r="P46" s="3498"/>
    </row>
    <row r="47" spans="3:16" ht="67.900000000000006" customHeight="1" x14ac:dyDescent="0.4">
      <c r="C47" s="657">
        <v>26</v>
      </c>
      <c r="D47" s="2529" t="s">
        <v>7270</v>
      </c>
      <c r="E47" s="2529"/>
      <c r="F47" s="3499" t="s">
        <v>7271</v>
      </c>
      <c r="G47" s="3499"/>
      <c r="H47" s="3499"/>
      <c r="I47" s="694"/>
      <c r="J47" s="3499" t="s">
        <v>7271</v>
      </c>
      <c r="K47" s="3499"/>
      <c r="L47" s="3499"/>
      <c r="M47" s="694"/>
      <c r="N47" s="3499" t="s">
        <v>7272</v>
      </c>
      <c r="O47" s="3499"/>
      <c r="P47" s="3499"/>
    </row>
    <row r="48" spans="3:16" x14ac:dyDescent="0.4">
      <c r="C48" s="3091" t="s">
        <v>7273</v>
      </c>
      <c r="D48" s="3091"/>
      <c r="E48" s="3091"/>
      <c r="F48" s="3091"/>
      <c r="G48" s="3091"/>
      <c r="H48" s="3091"/>
      <c r="I48" s="3091"/>
      <c r="J48" s="3091"/>
      <c r="K48" s="3091"/>
      <c r="L48" s="3091"/>
      <c r="M48" s="3091"/>
      <c r="N48" s="3091"/>
      <c r="O48" s="3091"/>
      <c r="P48" s="3091"/>
    </row>
  </sheetData>
  <mergeCells count="74">
    <mergeCell ref="A5:B5"/>
    <mergeCell ref="C5:Q5"/>
    <mergeCell ref="C1:D1"/>
    <mergeCell ref="A3:B3"/>
    <mergeCell ref="C3:Q3"/>
    <mergeCell ref="A4:B4"/>
    <mergeCell ref="C4:Q4"/>
    <mergeCell ref="A6:B6"/>
    <mergeCell ref="C6:Q6"/>
    <mergeCell ref="C11:E12"/>
    <mergeCell ref="F11:H11"/>
    <mergeCell ref="J11:L11"/>
    <mergeCell ref="N11:P11"/>
    <mergeCell ref="D13:E13"/>
    <mergeCell ref="F13:H13"/>
    <mergeCell ref="J13:L13"/>
    <mergeCell ref="N13:P13"/>
    <mergeCell ref="C14:C15"/>
    <mergeCell ref="D14:D15"/>
    <mergeCell ref="C16:C17"/>
    <mergeCell ref="D16:D17"/>
    <mergeCell ref="C18:C19"/>
    <mergeCell ref="D18:D19"/>
    <mergeCell ref="C20:C21"/>
    <mergeCell ref="D20:D21"/>
    <mergeCell ref="D33:E33"/>
    <mergeCell ref="C22:C23"/>
    <mergeCell ref="D22:D23"/>
    <mergeCell ref="C24:C25"/>
    <mergeCell ref="D24:D25"/>
    <mergeCell ref="C26:C27"/>
    <mergeCell ref="D26:D27"/>
    <mergeCell ref="C28:C29"/>
    <mergeCell ref="D28:D29"/>
    <mergeCell ref="C30:C31"/>
    <mergeCell ref="D30:D31"/>
    <mergeCell ref="D32:E32"/>
    <mergeCell ref="D39:E39"/>
    <mergeCell ref="D34:E34"/>
    <mergeCell ref="F34:H34"/>
    <mergeCell ref="J34:L34"/>
    <mergeCell ref="N34:P34"/>
    <mergeCell ref="D35:E35"/>
    <mergeCell ref="D36:E36"/>
    <mergeCell ref="F36:H36"/>
    <mergeCell ref="D37:E37"/>
    <mergeCell ref="D38:E38"/>
    <mergeCell ref="F38:H38"/>
    <mergeCell ref="J38:L38"/>
    <mergeCell ref="N38:P38"/>
    <mergeCell ref="D45:E45"/>
    <mergeCell ref="F45:H45"/>
    <mergeCell ref="J45:L45"/>
    <mergeCell ref="N45:P45"/>
    <mergeCell ref="D40:E40"/>
    <mergeCell ref="D41:E41"/>
    <mergeCell ref="F41:H41"/>
    <mergeCell ref="J41:L41"/>
    <mergeCell ref="N41:P41"/>
    <mergeCell ref="D42:E42"/>
    <mergeCell ref="D43:E43"/>
    <mergeCell ref="F43:H43"/>
    <mergeCell ref="J43:L43"/>
    <mergeCell ref="N43:P43"/>
    <mergeCell ref="D44:E44"/>
    <mergeCell ref="C48:P48"/>
    <mergeCell ref="D46:E46"/>
    <mergeCell ref="F46:H46"/>
    <mergeCell ref="J46:L46"/>
    <mergeCell ref="N46:P46"/>
    <mergeCell ref="D47:E47"/>
    <mergeCell ref="F47:H47"/>
    <mergeCell ref="J47:L47"/>
    <mergeCell ref="N47:P47"/>
  </mergeCells>
  <hyperlinks>
    <hyperlink ref="A1" location="'ODS 15.'!A1" display="REGRESAR" xr:uid="{4D6DB593-CC03-469E-9894-F30FFE321469}"/>
    <hyperlink ref="C1:D1" location="'Metadato 15.8.1'!A1" display="VER METADATO" xr:uid="{04DD7EE8-53F5-4D4F-958D-070F3BB759A5}"/>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39CC1-918B-4229-947D-43552AA1A3AF}">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317</v>
      </c>
    </row>
    <row r="4" spans="1:6" ht="52.5" customHeight="1" x14ac:dyDescent="0.4">
      <c r="A4" s="283"/>
      <c r="B4" s="2425" t="s">
        <v>234</v>
      </c>
      <c r="C4" s="2425"/>
      <c r="D4" s="49" t="s">
        <v>7056</v>
      </c>
    </row>
    <row r="5" spans="1:6" ht="45.75" customHeight="1" x14ac:dyDescent="0.4">
      <c r="B5" s="2425" t="s">
        <v>79</v>
      </c>
      <c r="C5" s="2425"/>
      <c r="D5" s="49" t="s">
        <v>7020</v>
      </c>
    </row>
    <row r="6" spans="1:6" x14ac:dyDescent="0.4">
      <c r="B6" s="2425" t="s">
        <v>80</v>
      </c>
      <c r="C6" s="2425"/>
      <c r="D6" s="50" t="s">
        <v>7021</v>
      </c>
    </row>
    <row r="7" spans="1:6" ht="38.25" customHeight="1" x14ac:dyDescent="0.4">
      <c r="B7" s="2426" t="s">
        <v>81</v>
      </c>
      <c r="C7" s="2426"/>
      <c r="D7" s="93" t="s">
        <v>7022</v>
      </c>
    </row>
    <row r="8" spans="1:6" x14ac:dyDescent="0.4">
      <c r="B8" s="2426" t="s">
        <v>82</v>
      </c>
      <c r="C8" s="2426"/>
      <c r="D8" s="1047" t="s">
        <v>7274</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B1768369-E79B-492A-A13A-1FFA700B6BF7}">
      <formula1>Tipo_operación</formula1>
    </dataValidation>
    <dataValidation type="list" allowBlank="1" showInputMessage="1" showErrorMessage="1" sqref="D14" xr:uid="{9F7FDCF3-F064-4642-BB63-C4E14AA93B38}">
      <formula1>Tipo_indicador</formula1>
    </dataValidation>
    <dataValidation type="list" allowBlank="1" showInputMessage="1" showErrorMessage="1" sqref="D7" xr:uid="{A7EBB8F0-7B8F-45A2-8E5B-FF593A9DA3FC}">
      <formula1>Nombre_indicador_ODS</formula1>
    </dataValidation>
    <dataValidation type="list" allowBlank="1" showInputMessage="1" showErrorMessage="1" sqref="D6" xr:uid="{D1128463-B8D4-4606-BC13-B3C4C92CEEF7}">
      <formula1>Numero_indicador</formula1>
    </dataValidation>
    <dataValidation type="list" allowBlank="1" showInputMessage="1" showErrorMessage="1" sqref="D5" xr:uid="{910E031E-44FD-4A52-9F86-40BDAEF7F70A}">
      <formula1>Metas_ODS</formula1>
    </dataValidation>
    <dataValidation type="list" allowBlank="1" showInputMessage="1" showErrorMessage="1" sqref="D4" xr:uid="{A5927D1D-EFC0-4A97-A6AF-A2EAD1CA588D}">
      <formula1>ODS</formula1>
    </dataValidation>
    <dataValidation allowBlank="1" showDropDown="1" showInputMessage="1" showErrorMessage="1" sqref="D13" xr:uid="{D7B0C472-2375-4C11-8CD9-A23A32133643}"/>
  </dataValidations>
  <hyperlinks>
    <hyperlink ref="B1" location="'15.8.1'!A1" display="REGRESAR" xr:uid="{E8937B92-9671-4567-B144-5451472C22A3}"/>
    <hyperlink ref="D8" r:id="rId1" xr:uid="{55A7BAA0-0A7D-43EB-BE25-EDB18282F123}"/>
  </hyperlinks>
  <pageMargins left="0.7" right="0.7" top="0.75" bottom="0.75" header="0.3" footer="0.3"/>
  <pageSetup orientation="portrait" r:id="rId2"/>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C6F8-DEB6-4B05-B922-8C2349895DED}">
  <sheetPr>
    <tabColor rgb="FF7030A0"/>
  </sheetPr>
  <dimension ref="A1:Q31"/>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1" width="14.7109375" style="115" customWidth="1"/>
    <col min="2" max="2" width="18.85546875" style="115" customWidth="1"/>
    <col min="3" max="3" width="11.7109375" style="1048" customWidth="1"/>
    <col min="4" max="5" width="11.7109375" style="115" customWidth="1"/>
    <col min="6" max="16384" width="11.42578125" style="115"/>
  </cols>
  <sheetData>
    <row r="1" spans="1:17" x14ac:dyDescent="0.4">
      <c r="A1" s="90" t="s">
        <v>39</v>
      </c>
      <c r="B1" s="1311"/>
      <c r="C1" s="2541" t="s">
        <v>149</v>
      </c>
      <c r="D1" s="2541"/>
    </row>
    <row r="2" spans="1:17" ht="15" customHeight="1" x14ac:dyDescent="0.4"/>
    <row r="3" spans="1:17" ht="36" customHeight="1" x14ac:dyDescent="0.4">
      <c r="A3" s="3443" t="s">
        <v>41</v>
      </c>
      <c r="B3" s="3449"/>
      <c r="C3" s="3445" t="s">
        <v>6994</v>
      </c>
      <c r="D3" s="3450"/>
      <c r="E3" s="3450"/>
      <c r="F3" s="3450"/>
      <c r="G3" s="3450"/>
      <c r="H3" s="3450"/>
      <c r="I3" s="3450"/>
      <c r="J3" s="3450"/>
      <c r="K3" s="3450"/>
      <c r="L3" s="3450"/>
      <c r="M3" s="3450"/>
      <c r="N3" s="3450"/>
      <c r="O3" s="3450"/>
      <c r="P3" s="3450"/>
    </row>
    <row r="4" spans="1:17" ht="36.6" customHeight="1" x14ac:dyDescent="0.4">
      <c r="A4" s="3443" t="s">
        <v>42</v>
      </c>
      <c r="B4" s="3444"/>
      <c r="C4" s="3445" t="s">
        <v>7023</v>
      </c>
      <c r="D4" s="3450"/>
      <c r="E4" s="3450"/>
      <c r="F4" s="3450"/>
      <c r="G4" s="3450"/>
      <c r="H4" s="3450"/>
      <c r="I4" s="3450"/>
      <c r="J4" s="3450"/>
      <c r="K4" s="3450"/>
      <c r="L4" s="3450"/>
      <c r="M4" s="3450"/>
      <c r="N4" s="3450"/>
      <c r="O4" s="3450"/>
      <c r="P4" s="3450"/>
    </row>
    <row r="5" spans="1:17" ht="54.6" customHeight="1" x14ac:dyDescent="0.4">
      <c r="A5" s="3443" t="s">
        <v>43</v>
      </c>
      <c r="B5" s="3444"/>
      <c r="C5" s="3445" t="s">
        <v>7275</v>
      </c>
      <c r="D5" s="3450"/>
      <c r="E5" s="3450"/>
      <c r="F5" s="3450"/>
      <c r="G5" s="3450"/>
      <c r="H5" s="3450"/>
      <c r="I5" s="3450"/>
      <c r="J5" s="3450"/>
      <c r="K5" s="3450"/>
      <c r="L5" s="3450"/>
      <c r="M5" s="3450"/>
      <c r="N5" s="3450"/>
      <c r="O5" s="3450"/>
      <c r="P5" s="3450"/>
    </row>
    <row r="6" spans="1:17" ht="19.5" x14ac:dyDescent="0.4">
      <c r="A6" s="3443" t="s">
        <v>132</v>
      </c>
      <c r="B6" s="3444"/>
      <c r="C6" s="3443" t="s">
        <v>242</v>
      </c>
      <c r="D6" s="3446"/>
      <c r="E6" s="3446"/>
      <c r="F6" s="3446"/>
      <c r="G6" s="3446"/>
      <c r="H6" s="3446"/>
      <c r="I6" s="3446"/>
      <c r="J6" s="3446"/>
      <c r="K6" s="3446"/>
      <c r="L6" s="3446"/>
      <c r="M6" s="3446"/>
      <c r="N6" s="3446"/>
      <c r="O6" s="3446"/>
      <c r="P6" s="3446"/>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21"/>
      <c r="D17" s="220"/>
      <c r="E17" s="220"/>
      <c r="F17" s="220"/>
      <c r="G17" s="220"/>
      <c r="H17" s="220"/>
      <c r="I17" s="220"/>
      <c r="J17" s="220"/>
      <c r="K17" s="220"/>
      <c r="L17" s="220"/>
      <c r="M17" s="220"/>
      <c r="N17" s="220"/>
      <c r="O17" s="220"/>
      <c r="P17" s="220"/>
      <c r="Q17" s="220"/>
    </row>
    <row r="18" spans="1:17" x14ac:dyDescent="0.4">
      <c r="A18" s="536"/>
      <c r="C18" s="2494" t="s">
        <v>316</v>
      </c>
      <c r="D18" s="2494"/>
      <c r="E18" s="2494"/>
      <c r="F18" s="2494"/>
      <c r="G18" s="2494"/>
      <c r="H18" s="2494"/>
      <c r="I18" s="2494"/>
      <c r="J18" s="2494"/>
      <c r="K18" s="2494"/>
      <c r="L18" s="2494"/>
      <c r="M18" s="2494"/>
      <c r="N18" s="2494"/>
      <c r="O18" s="2494"/>
      <c r="P18" s="2494"/>
      <c r="Q18" s="2494"/>
    </row>
    <row r="19" spans="1:17" x14ac:dyDescent="0.4">
      <c r="A19" s="536"/>
      <c r="C19" s="221"/>
      <c r="D19" s="220"/>
      <c r="E19" s="220"/>
      <c r="F19" s="220"/>
      <c r="G19" s="220"/>
      <c r="H19" s="220"/>
      <c r="I19" s="220"/>
      <c r="J19" s="220"/>
      <c r="K19" s="220"/>
      <c r="L19" s="220"/>
      <c r="M19" s="220"/>
      <c r="N19" s="220"/>
      <c r="O19" s="220"/>
      <c r="P19" s="220"/>
      <c r="Q19" s="220"/>
    </row>
    <row r="20" spans="1:17" x14ac:dyDescent="0.4">
      <c r="A20" s="536"/>
    </row>
    <row r="21" spans="1:17" x14ac:dyDescent="0.4">
      <c r="A21" s="536"/>
    </row>
    <row r="22" spans="1:17" x14ac:dyDescent="0.4">
      <c r="A22" s="536"/>
    </row>
    <row r="23" spans="1:17" x14ac:dyDescent="0.4">
      <c r="A23" s="536"/>
    </row>
    <row r="24" spans="1:17" x14ac:dyDescent="0.4">
      <c r="A24" s="536"/>
    </row>
    <row r="25" spans="1:17" x14ac:dyDescent="0.4">
      <c r="A25" s="536"/>
    </row>
    <row r="26" spans="1:17" x14ac:dyDescent="0.4">
      <c r="A26" s="536"/>
    </row>
    <row r="27" spans="1:17" x14ac:dyDescent="0.4">
      <c r="A27" s="536"/>
    </row>
    <row r="28" spans="1:17" x14ac:dyDescent="0.4">
      <c r="A28" s="536"/>
    </row>
    <row r="29" spans="1:17" x14ac:dyDescent="0.4">
      <c r="A29" s="536"/>
    </row>
    <row r="30" spans="1:17" x14ac:dyDescent="0.4">
      <c r="A30" s="536"/>
    </row>
    <row r="31" spans="1:17" x14ac:dyDescent="0.4">
      <c r="A31" s="536"/>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5.'!A1" display="REGRESAR" xr:uid="{6246C13C-AC30-467B-AC2C-29CC0ACC0FD7}"/>
    <hyperlink ref="C1:D1" location="'Metadato 15.9.1'!A1" display="VER METADATO" xr:uid="{A16A2C9F-8F1B-4FC8-A7C1-35DF8DEB7FFA}"/>
  </hyperlinks>
  <pageMargins left="0.7" right="0.7" top="0.75" bottom="0.75" header="0.3" footer="0.3"/>
  <drawing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C939-4D12-42E1-A61F-BBDF75543895}">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76</v>
      </c>
    </row>
    <row r="4" spans="1:6" ht="49.5" customHeight="1" x14ac:dyDescent="0.4">
      <c r="A4" s="283"/>
      <c r="B4" s="2425" t="s">
        <v>234</v>
      </c>
      <c r="C4" s="2425"/>
      <c r="D4" s="49" t="s">
        <v>7056</v>
      </c>
    </row>
    <row r="5" spans="1:6" ht="48" customHeight="1" x14ac:dyDescent="0.4">
      <c r="B5" s="2425" t="s">
        <v>79</v>
      </c>
      <c r="C5" s="2425"/>
      <c r="D5" s="49" t="s">
        <v>7023</v>
      </c>
    </row>
    <row r="6" spans="1:6" ht="20.25" customHeight="1" x14ac:dyDescent="0.4">
      <c r="B6" s="2425" t="s">
        <v>80</v>
      </c>
      <c r="C6" s="2425"/>
      <c r="D6" s="50" t="s">
        <v>7024</v>
      </c>
    </row>
    <row r="7" spans="1:6" ht="99" customHeight="1" x14ac:dyDescent="0.4">
      <c r="B7" s="2426" t="s">
        <v>81</v>
      </c>
      <c r="C7" s="2426"/>
      <c r="D7" s="93" t="s">
        <v>7275</v>
      </c>
    </row>
    <row r="8" spans="1:6" x14ac:dyDescent="0.4">
      <c r="B8" s="2426" t="s">
        <v>82</v>
      </c>
      <c r="C8" s="2426"/>
      <c r="D8" s="1047" t="s">
        <v>353</v>
      </c>
    </row>
    <row r="10" spans="1:6" ht="19.5"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19.5" x14ac:dyDescent="0.4">
      <c r="B31" s="3454" t="s">
        <v>121</v>
      </c>
      <c r="C31" s="3454"/>
      <c r="D31" s="3454"/>
    </row>
    <row r="32" spans="2:4" x14ac:dyDescent="0.4">
      <c r="B32" s="2427" t="s">
        <v>122</v>
      </c>
      <c r="C32" s="2428"/>
      <c r="D32" s="55" t="s">
        <v>7215</v>
      </c>
    </row>
    <row r="33" spans="2:4" x14ac:dyDescent="0.4">
      <c r="B33" s="2427" t="s">
        <v>124</v>
      </c>
      <c r="C33" s="2428"/>
      <c r="D33" s="55" t="s">
        <v>4646</v>
      </c>
    </row>
    <row r="34" spans="2:4" x14ac:dyDescent="0.4">
      <c r="B34" s="2427" t="s">
        <v>126</v>
      </c>
      <c r="C34" s="2428"/>
      <c r="D34" s="55" t="s">
        <v>4641</v>
      </c>
    </row>
    <row r="35" spans="2:4" x14ac:dyDescent="0.4">
      <c r="B35" s="2427" t="s">
        <v>128</v>
      </c>
      <c r="C35" s="2428"/>
      <c r="D35" s="246" t="s">
        <v>7276</v>
      </c>
    </row>
    <row r="36" spans="2:4" x14ac:dyDescent="0.4">
      <c r="B36" s="2427" t="s">
        <v>130</v>
      </c>
      <c r="C36" s="2428"/>
      <c r="D36" s="247" t="s">
        <v>7216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8ABD735-260E-46AB-A7FA-6DD9E157CDCE}">
      <formula1>Tipo_operación</formula1>
    </dataValidation>
    <dataValidation type="list" allowBlank="1" showInputMessage="1" showErrorMessage="1" sqref="D14" xr:uid="{79C54614-8A4D-4212-880E-3B0C5AAA3549}">
      <formula1>Tipo_indicador</formula1>
    </dataValidation>
    <dataValidation type="list" allowBlank="1" showInputMessage="1" showErrorMessage="1" sqref="D7" xr:uid="{214EA2B9-97D4-41B6-95F7-6606AA2BC8C6}">
      <formula1>Nombre_indicador_ODS</formula1>
    </dataValidation>
    <dataValidation type="list" allowBlank="1" showInputMessage="1" showErrorMessage="1" sqref="D6" xr:uid="{477EB90F-B5AB-427B-89B9-547AFA6A1104}">
      <formula1>Numero_indicador</formula1>
    </dataValidation>
    <dataValidation type="list" allowBlank="1" showInputMessage="1" showErrorMessage="1" sqref="D5" xr:uid="{18D54E55-B8FE-408B-9114-3F2D7CD0A7EB}">
      <formula1>Metas_ODS</formula1>
    </dataValidation>
    <dataValidation type="list" allowBlank="1" showInputMessage="1" showErrorMessage="1" sqref="D4" xr:uid="{DCD56FEE-FCD6-4D71-8873-30B4F24FF482}">
      <formula1>ODS</formula1>
    </dataValidation>
    <dataValidation allowBlank="1" showDropDown="1" showInputMessage="1" showErrorMessage="1" sqref="D13" xr:uid="{6AEFBD5E-7975-4470-A7D4-E385DD780036}"/>
  </dataValidations>
  <hyperlinks>
    <hyperlink ref="B1" location="'15.9.1'!A1" display="REGRESAR" xr:uid="{EC899244-DD16-489B-A920-45233D21DB75}"/>
    <hyperlink ref="D36" r:id="rId1" xr:uid="{3314C3ED-0B39-4107-8E0F-8B128FE3AC1F}"/>
    <hyperlink ref="D8" r:id="rId2" xr:uid="{BA3ADD3E-3C6A-429F-824E-18D266C23F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FB19-41B6-4B41-AEE1-9DDDFB7D60D4}">
  <sheetPr>
    <tabColor rgb="FFC00000"/>
  </sheetPr>
  <dimension ref="A1:Q33"/>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1" width="15.42578125" style="16" customWidth="1"/>
    <col min="2" max="2" width="17.5703125" style="16" customWidth="1"/>
    <col min="3" max="3" width="11.7109375" style="218" customWidth="1"/>
    <col min="4" max="5" width="11.7109375" style="16" customWidth="1"/>
    <col min="6" max="16384" width="11.42578125" style="16"/>
  </cols>
  <sheetData>
    <row r="1" spans="1:17" x14ac:dyDescent="0.4">
      <c r="A1" s="15" t="s">
        <v>39</v>
      </c>
      <c r="B1" s="161"/>
      <c r="C1" s="2421" t="s">
        <v>149</v>
      </c>
      <c r="D1" s="2421"/>
    </row>
    <row r="3" spans="1:17" ht="22.9" customHeight="1" x14ac:dyDescent="0.4">
      <c r="A3" s="2508" t="s">
        <v>41</v>
      </c>
      <c r="B3" s="2508"/>
      <c r="C3" s="2508" t="s">
        <v>396</v>
      </c>
      <c r="D3" s="2508"/>
      <c r="E3" s="2508"/>
      <c r="F3" s="2508"/>
      <c r="G3" s="2508"/>
      <c r="H3" s="2508"/>
      <c r="I3" s="2508"/>
      <c r="J3" s="2508"/>
      <c r="K3" s="2508"/>
      <c r="L3" s="2508"/>
      <c r="M3" s="2508"/>
      <c r="N3" s="2508"/>
      <c r="O3" s="2508"/>
      <c r="P3" s="2508"/>
      <c r="Q3" s="2508"/>
    </row>
    <row r="4" spans="1:17" ht="36" customHeight="1" x14ac:dyDescent="0.4">
      <c r="A4" s="2508" t="s">
        <v>42</v>
      </c>
      <c r="B4" s="2508"/>
      <c r="C4" s="2509" t="s">
        <v>414</v>
      </c>
      <c r="D4" s="2509"/>
      <c r="E4" s="2509"/>
      <c r="F4" s="2509"/>
      <c r="G4" s="2509"/>
      <c r="H4" s="2509"/>
      <c r="I4" s="2509"/>
      <c r="J4" s="2509"/>
      <c r="K4" s="2509"/>
      <c r="L4" s="2509"/>
      <c r="M4" s="2509"/>
      <c r="N4" s="2509"/>
      <c r="O4" s="2509"/>
      <c r="P4" s="2509"/>
      <c r="Q4" s="2509"/>
    </row>
    <row r="5" spans="1:17" ht="16.5" customHeight="1" x14ac:dyDescent="0.4">
      <c r="A5" s="2508" t="s">
        <v>43</v>
      </c>
      <c r="B5" s="2508"/>
      <c r="C5" s="2508" t="s">
        <v>416</v>
      </c>
      <c r="D5" s="2508"/>
      <c r="E5" s="2508"/>
      <c r="F5" s="2508"/>
      <c r="G5" s="2508"/>
      <c r="H5" s="2508"/>
      <c r="I5" s="2508"/>
      <c r="J5" s="2508"/>
      <c r="K5" s="2508"/>
      <c r="L5" s="2508"/>
      <c r="M5" s="2508"/>
      <c r="N5" s="2508"/>
      <c r="O5" s="2508"/>
      <c r="P5" s="2508"/>
      <c r="Q5" s="2508"/>
    </row>
    <row r="6" spans="1:17" x14ac:dyDescent="0.4">
      <c r="A6" s="2508" t="s">
        <v>132</v>
      </c>
      <c r="B6" s="2508"/>
      <c r="C6" s="2508" t="s">
        <v>242</v>
      </c>
      <c r="D6" s="2508"/>
      <c r="E6" s="2508"/>
      <c r="F6" s="2508"/>
      <c r="G6" s="2508"/>
      <c r="H6" s="2508"/>
      <c r="I6" s="2508"/>
      <c r="J6" s="2508"/>
      <c r="K6" s="2508"/>
      <c r="L6" s="2508"/>
      <c r="M6" s="2508"/>
      <c r="N6" s="2508"/>
      <c r="O6" s="2508"/>
      <c r="P6" s="2508"/>
      <c r="Q6" s="2508"/>
    </row>
    <row r="7" spans="1:17" x14ac:dyDescent="0.4">
      <c r="A7" s="217"/>
    </row>
    <row r="8" spans="1:17" x14ac:dyDescent="0.4">
      <c r="A8" s="363"/>
    </row>
    <row r="9" spans="1:17" ht="11.25" customHeight="1" x14ac:dyDescent="0.4">
      <c r="A9" s="217"/>
      <c r="C9" s="2506" t="s">
        <v>243</v>
      </c>
      <c r="D9" s="2506"/>
      <c r="E9" s="2506"/>
      <c r="F9" s="2506"/>
      <c r="G9" s="2506"/>
      <c r="H9" s="2506"/>
      <c r="I9" s="2506"/>
      <c r="J9" s="2506"/>
      <c r="K9" s="2506"/>
      <c r="L9" s="2506"/>
      <c r="M9" s="2506"/>
      <c r="N9" s="2506"/>
      <c r="O9" s="2506"/>
      <c r="P9" s="2506"/>
      <c r="Q9" s="2506"/>
    </row>
    <row r="10" spans="1:17" ht="11.25" customHeight="1" x14ac:dyDescent="0.4">
      <c r="A10" s="217"/>
      <c r="C10" s="2506"/>
      <c r="D10" s="2506"/>
      <c r="E10" s="2506"/>
      <c r="F10" s="2506"/>
      <c r="G10" s="2506"/>
      <c r="H10" s="2506"/>
      <c r="I10" s="2506"/>
      <c r="J10" s="2506"/>
      <c r="K10" s="2506"/>
      <c r="L10" s="2506"/>
      <c r="M10" s="2506"/>
      <c r="N10" s="2506"/>
      <c r="O10" s="2506"/>
      <c r="P10" s="2506"/>
      <c r="Q10" s="2506"/>
    </row>
    <row r="11" spans="1:17" x14ac:dyDescent="0.4">
      <c r="A11" s="217"/>
    </row>
    <row r="12" spans="1:17" x14ac:dyDescent="0.4">
      <c r="A12" s="217"/>
    </row>
    <row r="13" spans="1:17" x14ac:dyDescent="0.4">
      <c r="A13" s="217"/>
    </row>
    <row r="14" spans="1:17" x14ac:dyDescent="0.4">
      <c r="A14" s="217"/>
    </row>
    <row r="15" spans="1:17" x14ac:dyDescent="0.4">
      <c r="A15" s="217"/>
    </row>
    <row r="16" spans="1:17" x14ac:dyDescent="0.4">
      <c r="A16" s="217"/>
    </row>
    <row r="17" spans="1:1" x14ac:dyDescent="0.4">
      <c r="A17" s="217"/>
    </row>
    <row r="18" spans="1:1" x14ac:dyDescent="0.4">
      <c r="A18" s="217"/>
    </row>
    <row r="19" spans="1:1" x14ac:dyDescent="0.4">
      <c r="A19" s="217"/>
    </row>
    <row r="20" spans="1:1" x14ac:dyDescent="0.4">
      <c r="A20" s="217"/>
    </row>
    <row r="21" spans="1:1" x14ac:dyDescent="0.4">
      <c r="A21" s="217"/>
    </row>
    <row r="22" spans="1:1" x14ac:dyDescent="0.4">
      <c r="A22" s="217"/>
    </row>
    <row r="23" spans="1:1" x14ac:dyDescent="0.4">
      <c r="A23" s="217"/>
    </row>
    <row r="24" spans="1:1" x14ac:dyDescent="0.4">
      <c r="A24" s="217"/>
    </row>
    <row r="25" spans="1:1" x14ac:dyDescent="0.4">
      <c r="A25" s="217"/>
    </row>
    <row r="26" spans="1:1" x14ac:dyDescent="0.4">
      <c r="A26" s="217"/>
    </row>
    <row r="27" spans="1:1" x14ac:dyDescent="0.4">
      <c r="A27" s="217"/>
    </row>
    <row r="28" spans="1:1" x14ac:dyDescent="0.4">
      <c r="A28" s="217"/>
    </row>
    <row r="29" spans="1:1" x14ac:dyDescent="0.4">
      <c r="A29" s="217"/>
    </row>
    <row r="30" spans="1:1" x14ac:dyDescent="0.4">
      <c r="A30" s="217"/>
    </row>
    <row r="31" spans="1:1" x14ac:dyDescent="0.4">
      <c r="A31" s="217"/>
    </row>
    <row r="32" spans="1:1" x14ac:dyDescent="0.4">
      <c r="A32" s="217"/>
    </row>
    <row r="33" spans="1:1" x14ac:dyDescent="0.4">
      <c r="A33" s="217"/>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3770A684-B44D-407B-9A52-84EBB6A4F312}"/>
    <hyperlink ref="C1" location="'Metadato 2.4.1'!A1" display="VER METADATO" xr:uid="{E030004E-6DFA-48DA-9750-1C0468610491}"/>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30879-3C8F-417D-BE4F-B4703B60A701}">
  <sheetPr>
    <tabColor rgb="FF7030A0"/>
  </sheetPr>
  <dimension ref="A1:Q25"/>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4.7109375" style="115" customWidth="1"/>
    <col min="2" max="2" width="18.28515625" style="115" customWidth="1"/>
    <col min="3" max="3" width="12.7109375" style="1048" customWidth="1"/>
    <col min="4" max="5" width="12.7109375" style="115" customWidth="1"/>
    <col min="6" max="16384" width="11.42578125" style="115"/>
  </cols>
  <sheetData>
    <row r="1" spans="1:16" x14ac:dyDescent="0.4">
      <c r="A1" s="90" t="s">
        <v>39</v>
      </c>
      <c r="B1" s="1311"/>
      <c r="C1" s="2541" t="s">
        <v>149</v>
      </c>
      <c r="D1" s="2541"/>
    </row>
    <row r="3" spans="1:16" ht="36" customHeight="1" x14ac:dyDescent="0.4">
      <c r="A3" s="3443" t="s">
        <v>41</v>
      </c>
      <c r="B3" s="3449"/>
      <c r="C3" s="3445" t="s">
        <v>6994</v>
      </c>
      <c r="D3" s="3450"/>
      <c r="E3" s="3450"/>
      <c r="F3" s="3450"/>
      <c r="G3" s="3450"/>
      <c r="H3" s="3450"/>
      <c r="I3" s="3450"/>
      <c r="J3" s="3450"/>
      <c r="K3" s="3450"/>
      <c r="L3" s="3450"/>
      <c r="M3" s="3450"/>
      <c r="N3" s="3450"/>
      <c r="O3" s="3450"/>
      <c r="P3" s="3450"/>
    </row>
    <row r="4" spans="1:16" ht="19.5" x14ac:dyDescent="0.4">
      <c r="A4" s="3443" t="s">
        <v>42</v>
      </c>
      <c r="B4" s="3444"/>
      <c r="C4" s="3445" t="s">
        <v>7026</v>
      </c>
      <c r="D4" s="3450"/>
      <c r="E4" s="3450"/>
      <c r="F4" s="3450"/>
      <c r="G4" s="3450"/>
      <c r="H4" s="3450"/>
      <c r="I4" s="3450"/>
      <c r="J4" s="3450"/>
      <c r="K4" s="3450"/>
      <c r="L4" s="3450"/>
      <c r="M4" s="3450"/>
      <c r="N4" s="3450"/>
      <c r="O4" s="3450"/>
      <c r="P4" s="3450"/>
    </row>
    <row r="5" spans="1:16" ht="36.6" customHeight="1" x14ac:dyDescent="0.4">
      <c r="A5" s="3443" t="s">
        <v>43</v>
      </c>
      <c r="B5" s="3444"/>
      <c r="C5" s="3445" t="s">
        <v>7028</v>
      </c>
      <c r="D5" s="3450"/>
      <c r="E5" s="3450"/>
      <c r="F5" s="3450"/>
      <c r="G5" s="3450"/>
      <c r="H5" s="3450"/>
      <c r="I5" s="3450"/>
      <c r="J5" s="3450"/>
      <c r="K5" s="3450"/>
      <c r="L5" s="3450"/>
      <c r="M5" s="3450"/>
      <c r="N5" s="3450"/>
      <c r="O5" s="3450"/>
      <c r="P5" s="3450"/>
    </row>
    <row r="6" spans="1:16" ht="19.5"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x14ac:dyDescent="0.4">
      <c r="A8" s="536"/>
    </row>
    <row r="9" spans="1:16" ht="11.25" customHeight="1" x14ac:dyDescent="0.4">
      <c r="A9" s="536"/>
      <c r="C9" s="2506" t="s">
        <v>650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row r="11" spans="1:16" ht="19.5" x14ac:dyDescent="0.4">
      <c r="C11" s="1061"/>
      <c r="D11" s="1032"/>
      <c r="E11" s="1032"/>
      <c r="F11" s="1032"/>
      <c r="G11" s="1032"/>
      <c r="H11" s="1032"/>
      <c r="I11" s="1032"/>
      <c r="J11" s="1032"/>
      <c r="K11" s="1032"/>
      <c r="L11" s="1032"/>
      <c r="M11" s="1032"/>
      <c r="N11" s="1032"/>
      <c r="O11" s="1032"/>
      <c r="P11" s="1032"/>
    </row>
    <row r="12" spans="1:16" ht="19.5" x14ac:dyDescent="0.4">
      <c r="C12" s="1061"/>
      <c r="D12" s="1032"/>
      <c r="E12" s="1032"/>
      <c r="F12" s="1032"/>
      <c r="G12" s="1032"/>
      <c r="H12" s="1032"/>
      <c r="I12" s="1032"/>
      <c r="J12" s="1032"/>
      <c r="K12" s="1032"/>
      <c r="L12" s="1032"/>
      <c r="M12" s="1032"/>
      <c r="N12" s="1032"/>
      <c r="O12" s="1032"/>
      <c r="P12" s="1032"/>
    </row>
    <row r="13" spans="1:16" ht="17.45" customHeight="1" x14ac:dyDescent="0.4">
      <c r="C13" s="2506" t="s">
        <v>5814</v>
      </c>
      <c r="D13" s="2506"/>
      <c r="E13" s="2506"/>
      <c r="F13" s="2506"/>
      <c r="G13" s="2506"/>
      <c r="H13" s="2506"/>
      <c r="I13" s="2506"/>
      <c r="J13" s="2506"/>
      <c r="K13" s="2506"/>
      <c r="L13" s="2506"/>
      <c r="M13" s="2506"/>
      <c r="N13" s="2506"/>
      <c r="O13" s="2506"/>
      <c r="P13" s="2506"/>
    </row>
    <row r="14" spans="1:16" x14ac:dyDescent="0.4">
      <c r="C14" s="2506"/>
      <c r="D14" s="2506"/>
      <c r="E14" s="2506"/>
      <c r="F14" s="2506"/>
      <c r="G14" s="2506"/>
      <c r="H14" s="2506"/>
      <c r="I14" s="2506"/>
      <c r="J14" s="2506"/>
      <c r="K14" s="2506"/>
      <c r="L14" s="2506"/>
      <c r="M14" s="2506"/>
      <c r="N14" s="2506"/>
      <c r="O14" s="2506"/>
      <c r="P14" s="2506"/>
    </row>
    <row r="15" spans="1:16" x14ac:dyDescent="0.4">
      <c r="C15" s="2506"/>
      <c r="D15" s="2506"/>
      <c r="E15" s="2506"/>
      <c r="F15" s="2506"/>
      <c r="G15" s="2506"/>
      <c r="H15" s="2506"/>
      <c r="I15" s="2506"/>
      <c r="J15" s="2506"/>
      <c r="K15" s="2506"/>
      <c r="L15" s="2506"/>
      <c r="M15" s="2506"/>
      <c r="N15" s="2506"/>
      <c r="O15" s="2506"/>
      <c r="P15" s="2506"/>
    </row>
    <row r="16" spans="1:16" x14ac:dyDescent="0.4">
      <c r="C16" s="2506"/>
      <c r="D16" s="2506"/>
      <c r="E16" s="2506"/>
      <c r="F16" s="2506"/>
      <c r="G16" s="2506"/>
      <c r="H16" s="2506"/>
      <c r="I16" s="2506"/>
      <c r="J16" s="2506"/>
      <c r="K16" s="2506"/>
      <c r="L16" s="2506"/>
      <c r="M16" s="2506"/>
      <c r="N16" s="2506"/>
      <c r="O16" s="2506"/>
      <c r="P16" s="2506"/>
    </row>
    <row r="18" spans="3:17" x14ac:dyDescent="0.4">
      <c r="C18" s="221"/>
      <c r="D18" s="220"/>
      <c r="E18" s="220"/>
      <c r="F18" s="220"/>
      <c r="G18" s="220"/>
      <c r="H18" s="220"/>
      <c r="I18" s="220"/>
      <c r="J18" s="220"/>
      <c r="K18" s="220"/>
      <c r="L18" s="220"/>
      <c r="M18" s="220"/>
      <c r="N18" s="220"/>
      <c r="O18" s="220"/>
      <c r="P18" s="220"/>
      <c r="Q18" s="220"/>
    </row>
    <row r="19" spans="3:17" x14ac:dyDescent="0.4">
      <c r="C19" s="221"/>
      <c r="D19" s="220"/>
      <c r="E19" s="220"/>
      <c r="F19" s="220"/>
      <c r="G19" s="220"/>
      <c r="H19" s="220"/>
      <c r="I19" s="220"/>
      <c r="J19" s="220"/>
      <c r="K19" s="220"/>
      <c r="L19" s="220"/>
      <c r="M19" s="220"/>
      <c r="N19" s="220"/>
      <c r="O19" s="220"/>
      <c r="P19" s="220"/>
      <c r="Q19" s="220"/>
    </row>
    <row r="20" spans="3:17" x14ac:dyDescent="0.4">
      <c r="C20" s="221"/>
      <c r="D20" s="220"/>
      <c r="E20" s="220"/>
      <c r="F20" s="220"/>
      <c r="G20" s="220"/>
      <c r="H20" s="220"/>
      <c r="I20" s="220"/>
      <c r="J20" s="220"/>
      <c r="K20" s="220"/>
      <c r="L20" s="220"/>
      <c r="M20" s="220"/>
      <c r="N20" s="220"/>
      <c r="O20" s="220"/>
      <c r="P20" s="220"/>
      <c r="Q20" s="220"/>
    </row>
    <row r="21" spans="3:17" x14ac:dyDescent="0.4">
      <c r="C21" s="221"/>
      <c r="D21" s="220"/>
      <c r="E21" s="220"/>
      <c r="F21" s="220"/>
      <c r="G21" s="220"/>
      <c r="H21" s="220"/>
      <c r="I21" s="220"/>
      <c r="J21" s="220"/>
      <c r="K21" s="220"/>
      <c r="L21" s="220"/>
      <c r="M21" s="220"/>
      <c r="N21" s="220"/>
      <c r="O21" s="220"/>
      <c r="P21" s="220"/>
      <c r="Q21" s="220"/>
    </row>
    <row r="22" spans="3:17" x14ac:dyDescent="0.4">
      <c r="C22" s="221"/>
      <c r="D22" s="220"/>
      <c r="E22" s="220"/>
      <c r="F22" s="220"/>
      <c r="G22" s="220"/>
      <c r="H22" s="220"/>
      <c r="I22" s="220"/>
      <c r="J22" s="220"/>
      <c r="K22" s="220"/>
      <c r="L22" s="220"/>
      <c r="M22" s="220"/>
      <c r="N22" s="220"/>
      <c r="O22" s="220"/>
      <c r="P22" s="220"/>
      <c r="Q22" s="220"/>
    </row>
    <row r="23" spans="3:17" x14ac:dyDescent="0.4">
      <c r="C23" s="221"/>
      <c r="D23" s="220"/>
      <c r="E23" s="220"/>
      <c r="F23" s="220"/>
      <c r="G23" s="220"/>
      <c r="H23" s="220"/>
      <c r="I23" s="220"/>
      <c r="J23" s="220"/>
      <c r="K23" s="220"/>
      <c r="L23" s="220"/>
      <c r="M23" s="220"/>
      <c r="N23" s="220"/>
      <c r="O23" s="220"/>
      <c r="P23" s="220"/>
      <c r="Q23" s="220"/>
    </row>
    <row r="24" spans="3:17" x14ac:dyDescent="0.4">
      <c r="C24" s="2494" t="s">
        <v>316</v>
      </c>
      <c r="D24" s="2494"/>
      <c r="E24" s="2494"/>
      <c r="F24" s="2494"/>
      <c r="G24" s="2494"/>
      <c r="H24" s="2494"/>
      <c r="I24" s="2494"/>
      <c r="J24" s="2494"/>
      <c r="K24" s="2494"/>
      <c r="L24" s="2494"/>
      <c r="M24" s="2494"/>
      <c r="N24" s="2494"/>
      <c r="O24" s="2494"/>
      <c r="P24" s="2494"/>
      <c r="Q24" s="2494"/>
    </row>
    <row r="25" spans="3:17" x14ac:dyDescent="0.4">
      <c r="C25" s="221"/>
      <c r="D25" s="220"/>
      <c r="E25" s="220"/>
      <c r="F25" s="220"/>
      <c r="G25" s="220"/>
      <c r="H25" s="220"/>
      <c r="I25" s="220"/>
      <c r="J25" s="220"/>
      <c r="K25" s="220"/>
      <c r="L25" s="220"/>
      <c r="M25" s="220"/>
      <c r="N25" s="220"/>
      <c r="O25" s="220"/>
      <c r="P25" s="220"/>
      <c r="Q25" s="220"/>
    </row>
  </sheetData>
  <mergeCells count="12">
    <mergeCell ref="A5:B5"/>
    <mergeCell ref="C5:P5"/>
    <mergeCell ref="C1:D1"/>
    <mergeCell ref="A3:B3"/>
    <mergeCell ref="C3:P3"/>
    <mergeCell ref="A4:B4"/>
    <mergeCell ref="C4:P4"/>
    <mergeCell ref="A6:B6"/>
    <mergeCell ref="C6:P6"/>
    <mergeCell ref="C9:P10"/>
    <mergeCell ref="C13:P16"/>
    <mergeCell ref="C24:Q24"/>
  </mergeCells>
  <hyperlinks>
    <hyperlink ref="A1" location="'ODS 15.'!A1" display="REGRESAR" xr:uid="{02B2C9E2-9936-4FB8-8924-B749EB24452A}"/>
    <hyperlink ref="C1:D1" location="'Metadato 15.a.1'!A1" display="VER METADATO" xr:uid="{CB9CE5F7-571D-44D9-BF50-8EE6DC62E3F6}"/>
  </hyperlinks>
  <pageMargins left="0.7" right="0.7" top="0.75" bottom="0.75" header="0.3" footer="0.3"/>
  <drawing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3396-740B-4E8C-9DA6-150FEB718720}">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0.2851562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317</v>
      </c>
    </row>
    <row r="4" spans="1:6" ht="56.25" x14ac:dyDescent="0.4">
      <c r="A4" s="283"/>
      <c r="B4" s="2425" t="s">
        <v>234</v>
      </c>
      <c r="C4" s="2425"/>
      <c r="D4" s="49" t="s">
        <v>7056</v>
      </c>
    </row>
    <row r="5" spans="1:6" ht="37.5" x14ac:dyDescent="0.4">
      <c r="B5" s="2425" t="s">
        <v>79</v>
      </c>
      <c r="C5" s="2425"/>
      <c r="D5" s="49" t="s">
        <v>7026</v>
      </c>
    </row>
    <row r="6" spans="1:6" x14ac:dyDescent="0.4">
      <c r="B6" s="2425" t="s">
        <v>80</v>
      </c>
      <c r="C6" s="2425"/>
      <c r="D6" s="50" t="s">
        <v>7027</v>
      </c>
    </row>
    <row r="7" spans="1:6" ht="56.25" x14ac:dyDescent="0.4">
      <c r="B7" s="2426" t="s">
        <v>81</v>
      </c>
      <c r="C7" s="2426"/>
      <c r="D7" s="93" t="s">
        <v>7028</v>
      </c>
    </row>
    <row r="8" spans="1:6" x14ac:dyDescent="0.4">
      <c r="B8" s="2426" t="s">
        <v>82</v>
      </c>
      <c r="C8" s="2426"/>
      <c r="D8" s="1047" t="s">
        <v>7277</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9969D21-1DFC-4ED2-A9EE-74888AA6066E}">
      <formula1>Tipo_operación</formula1>
    </dataValidation>
    <dataValidation type="list" allowBlank="1" showInputMessage="1" showErrorMessage="1" sqref="D14" xr:uid="{AF117E9B-02AA-4EA2-91BA-D869F1628D89}">
      <formula1>Tipo_indicador</formula1>
    </dataValidation>
    <dataValidation type="list" allowBlank="1" showInputMessage="1" showErrorMessage="1" sqref="D7" xr:uid="{D6648227-E78B-42C5-A871-82DA86BE9BF5}">
      <formula1>Nombre_indicador_ODS</formula1>
    </dataValidation>
    <dataValidation type="list" allowBlank="1" showInputMessage="1" showErrorMessage="1" sqref="D6" xr:uid="{07F0B764-FDC6-4BB0-83D0-D24D0F9E8287}">
      <formula1>Numero_indicador</formula1>
    </dataValidation>
    <dataValidation type="list" allowBlank="1" showInputMessage="1" showErrorMessage="1" sqref="D5" xr:uid="{0F849336-782B-40EE-9816-83BE7042C97A}">
      <formula1>Metas_ODS</formula1>
    </dataValidation>
    <dataValidation type="list" allowBlank="1" showInputMessage="1" showErrorMessage="1" sqref="D4" xr:uid="{62F89986-9398-4F7E-AB6C-EA9FF803CA16}">
      <formula1>ODS</formula1>
    </dataValidation>
    <dataValidation allowBlank="1" showDropDown="1" showInputMessage="1" showErrorMessage="1" sqref="D13" xr:uid="{CDE55BB0-A3C0-424B-A4B2-3EF1CCF9732C}"/>
  </dataValidations>
  <hyperlinks>
    <hyperlink ref="B1" location="'15.a.1'!A1" display="REGRESAR" xr:uid="{F549C644-65BC-48F1-8CF0-EAA8568A36A3}"/>
    <hyperlink ref="D8" r:id="rId1" xr:uid="{8C55C7CF-01BC-4161-9F7E-A337AF7A9664}"/>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5D03-78E9-464B-8777-FAA56BE49F43}">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42578125" style="115" customWidth="1"/>
    <col min="3" max="3" width="11.7109375" style="1048" customWidth="1"/>
    <col min="4" max="5" width="11.7109375" style="115" customWidth="1"/>
    <col min="6" max="16384" width="11.42578125" style="115"/>
  </cols>
  <sheetData>
    <row r="1" spans="1:16" x14ac:dyDescent="0.4">
      <c r="A1" s="90" t="s">
        <v>39</v>
      </c>
      <c r="B1" s="1311"/>
      <c r="C1" s="2541" t="s">
        <v>149</v>
      </c>
      <c r="D1" s="2541"/>
    </row>
    <row r="2" spans="1:16" ht="17.25" customHeight="1" x14ac:dyDescent="0.4"/>
    <row r="3" spans="1:16" ht="36" customHeight="1" x14ac:dyDescent="0.4">
      <c r="A3" s="3443" t="s">
        <v>41</v>
      </c>
      <c r="B3" s="3449"/>
      <c r="C3" s="3445" t="s">
        <v>6994</v>
      </c>
      <c r="D3" s="3450"/>
      <c r="E3" s="3450"/>
      <c r="F3" s="3450"/>
      <c r="G3" s="3450"/>
      <c r="H3" s="3450"/>
      <c r="I3" s="3450"/>
      <c r="J3" s="3450"/>
      <c r="K3" s="3450"/>
      <c r="L3" s="3450"/>
      <c r="M3" s="3450"/>
      <c r="N3" s="3450"/>
      <c r="O3" s="3450"/>
      <c r="P3" s="3450"/>
    </row>
    <row r="4" spans="1:16" ht="36" customHeight="1" x14ac:dyDescent="0.4">
      <c r="A4" s="3443" t="s">
        <v>42</v>
      </c>
      <c r="B4" s="3444"/>
      <c r="C4" s="3445" t="s">
        <v>7029</v>
      </c>
      <c r="D4" s="3450"/>
      <c r="E4" s="3450"/>
      <c r="F4" s="3450"/>
      <c r="G4" s="3450"/>
      <c r="H4" s="3450"/>
      <c r="I4" s="3450"/>
      <c r="J4" s="3450"/>
      <c r="K4" s="3450"/>
      <c r="L4" s="3450"/>
      <c r="M4" s="3450"/>
      <c r="N4" s="3450"/>
      <c r="O4" s="3450"/>
      <c r="P4" s="3450"/>
    </row>
    <row r="5" spans="1:16" ht="35.450000000000003" customHeight="1" x14ac:dyDescent="0.4">
      <c r="A5" s="3443" t="s">
        <v>43</v>
      </c>
      <c r="B5" s="3444"/>
      <c r="C5" s="3445" t="s">
        <v>7278</v>
      </c>
      <c r="D5" s="3450"/>
      <c r="E5" s="3450"/>
      <c r="F5" s="3450"/>
      <c r="G5" s="3450"/>
      <c r="H5" s="3450"/>
      <c r="I5" s="3450"/>
      <c r="J5" s="3450"/>
      <c r="K5" s="3450"/>
      <c r="L5" s="3450"/>
      <c r="M5" s="3450"/>
      <c r="N5" s="3450"/>
      <c r="O5" s="3450"/>
      <c r="P5" s="3450"/>
    </row>
    <row r="6" spans="1:16" ht="19.5"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s="1048" customFormat="1" x14ac:dyDescent="0.4">
      <c r="A8" s="536"/>
      <c r="B8" s="115"/>
      <c r="D8" s="115"/>
      <c r="E8" s="115"/>
    </row>
    <row r="9" spans="1:16" s="1048" customFormat="1" ht="11.25" customHeight="1" x14ac:dyDescent="0.4">
      <c r="A9" s="536"/>
      <c r="B9" s="115"/>
      <c r="C9" s="2506" t="s">
        <v>650</v>
      </c>
      <c r="D9" s="2506"/>
      <c r="E9" s="2506"/>
      <c r="F9" s="2506"/>
      <c r="G9" s="2506"/>
      <c r="H9" s="2506"/>
      <c r="I9" s="2506"/>
      <c r="J9" s="2506"/>
      <c r="K9" s="2506"/>
      <c r="L9" s="2506"/>
      <c r="M9" s="2506"/>
      <c r="N9" s="2506"/>
      <c r="O9" s="2506"/>
      <c r="P9" s="2506"/>
    </row>
    <row r="10" spans="1:16" s="1048" customFormat="1" ht="11.25" customHeight="1" x14ac:dyDescent="0.4">
      <c r="A10" s="536"/>
      <c r="B10" s="115"/>
      <c r="C10" s="2506"/>
      <c r="D10" s="2506"/>
      <c r="E10" s="2506"/>
      <c r="F10" s="2506"/>
      <c r="G10" s="2506"/>
      <c r="H10" s="2506"/>
      <c r="I10" s="2506"/>
      <c r="J10" s="2506"/>
      <c r="K10" s="2506"/>
      <c r="L10" s="2506"/>
      <c r="M10" s="2506"/>
      <c r="N10" s="2506"/>
      <c r="O10" s="2506"/>
      <c r="P10" s="2506"/>
    </row>
    <row r="11" spans="1:16" s="1048" customFormat="1" ht="19.5" x14ac:dyDescent="0.4">
      <c r="A11" s="536"/>
      <c r="B11" s="115"/>
      <c r="C11" s="1061"/>
      <c r="D11" s="1032"/>
      <c r="E11" s="1032"/>
      <c r="F11" s="1032"/>
      <c r="G11" s="1032"/>
      <c r="H11" s="1032"/>
      <c r="I11" s="1032"/>
      <c r="J11" s="1032"/>
      <c r="K11" s="1032"/>
      <c r="L11" s="1032"/>
      <c r="M11" s="1032"/>
      <c r="N11" s="1032"/>
      <c r="O11" s="1032"/>
      <c r="P11" s="1032"/>
    </row>
    <row r="12" spans="1:16" s="1048" customFormat="1" ht="19.5" x14ac:dyDescent="0.4">
      <c r="A12" s="536"/>
      <c r="B12" s="115"/>
      <c r="C12" s="1061"/>
      <c r="D12" s="1032"/>
      <c r="E12" s="1032"/>
      <c r="F12" s="1032"/>
      <c r="G12" s="1032"/>
      <c r="H12" s="1032"/>
      <c r="I12" s="1032"/>
      <c r="J12" s="1032"/>
      <c r="K12" s="1032"/>
      <c r="L12" s="1032"/>
      <c r="M12" s="1032"/>
      <c r="N12" s="1032"/>
      <c r="O12" s="1032"/>
      <c r="P12" s="1032"/>
    </row>
    <row r="13" spans="1:16" s="1048" customFormat="1" ht="18.600000000000001" customHeight="1" x14ac:dyDescent="0.4">
      <c r="A13" s="536"/>
      <c r="B13" s="115"/>
      <c r="C13" s="3500" t="s">
        <v>5814</v>
      </c>
      <c r="D13" s="2506"/>
      <c r="E13" s="2506"/>
      <c r="F13" s="2506"/>
      <c r="G13" s="2506"/>
      <c r="H13" s="2506"/>
      <c r="I13" s="2506"/>
      <c r="J13" s="2506"/>
      <c r="K13" s="2506"/>
      <c r="L13" s="2506"/>
      <c r="M13" s="2506"/>
      <c r="N13" s="2506"/>
      <c r="O13" s="2506"/>
      <c r="P13" s="2506"/>
    </row>
    <row r="14" spans="1:16" s="1048" customFormat="1" ht="18.600000000000001" customHeight="1" x14ac:dyDescent="0.4">
      <c r="A14" s="536"/>
      <c r="B14" s="115"/>
      <c r="C14" s="3500"/>
      <c r="D14" s="2506"/>
      <c r="E14" s="2506"/>
      <c r="F14" s="2506"/>
      <c r="G14" s="2506"/>
      <c r="H14" s="2506"/>
      <c r="I14" s="2506"/>
      <c r="J14" s="2506"/>
      <c r="K14" s="2506"/>
      <c r="L14" s="2506"/>
      <c r="M14" s="2506"/>
      <c r="N14" s="2506"/>
      <c r="O14" s="2506"/>
      <c r="P14" s="2506"/>
    </row>
    <row r="15" spans="1:16" s="1048" customFormat="1" ht="18.600000000000001" customHeight="1" x14ac:dyDescent="0.4">
      <c r="A15" s="536"/>
      <c r="B15" s="115"/>
      <c r="C15" s="3500"/>
      <c r="D15" s="2506"/>
      <c r="E15" s="2506"/>
      <c r="F15" s="2506"/>
      <c r="G15" s="2506"/>
      <c r="H15" s="2506"/>
      <c r="I15" s="2506"/>
      <c r="J15" s="2506"/>
      <c r="K15" s="2506"/>
      <c r="L15" s="2506"/>
      <c r="M15" s="2506"/>
      <c r="N15" s="2506"/>
      <c r="O15" s="2506"/>
      <c r="P15" s="2506"/>
    </row>
    <row r="16" spans="1:16" s="1048" customFormat="1" ht="18.600000000000001" customHeight="1" x14ac:dyDescent="0.4">
      <c r="A16" s="536"/>
      <c r="B16" s="115"/>
      <c r="C16" s="3500"/>
      <c r="D16" s="2506"/>
      <c r="E16" s="2506"/>
      <c r="F16" s="2506"/>
      <c r="G16" s="2506"/>
      <c r="H16" s="2506"/>
      <c r="I16" s="2506"/>
      <c r="J16" s="2506"/>
      <c r="K16" s="2506"/>
      <c r="L16" s="2506"/>
      <c r="M16" s="2506"/>
      <c r="N16" s="2506"/>
      <c r="O16" s="2506"/>
      <c r="P16" s="2506"/>
    </row>
    <row r="17" spans="1:17" s="1048" customFormat="1" x14ac:dyDescent="0.4">
      <c r="A17" s="536"/>
      <c r="B17" s="115"/>
      <c r="D17" s="115"/>
      <c r="E17" s="115"/>
    </row>
    <row r="18" spans="1:17" s="1048" customFormat="1" x14ac:dyDescent="0.4">
      <c r="A18" s="536"/>
      <c r="B18" s="115"/>
      <c r="C18" s="221"/>
      <c r="D18" s="220"/>
      <c r="E18" s="220"/>
      <c r="F18" s="220"/>
      <c r="G18" s="220"/>
      <c r="H18" s="220"/>
      <c r="I18" s="220"/>
      <c r="J18" s="220"/>
      <c r="K18" s="220"/>
      <c r="L18" s="220"/>
      <c r="M18" s="220"/>
      <c r="N18" s="220"/>
      <c r="O18" s="220"/>
      <c r="P18" s="220"/>
      <c r="Q18" s="220"/>
    </row>
    <row r="19" spans="1:17" s="1048" customFormat="1" x14ac:dyDescent="0.4">
      <c r="A19" s="536"/>
      <c r="B19" s="115"/>
      <c r="C19" s="221"/>
      <c r="D19" s="220"/>
      <c r="E19" s="220"/>
      <c r="F19" s="220"/>
      <c r="G19" s="220"/>
      <c r="H19" s="220"/>
      <c r="I19" s="220"/>
      <c r="J19" s="220"/>
      <c r="K19" s="220"/>
      <c r="L19" s="220"/>
      <c r="M19" s="220"/>
      <c r="N19" s="220"/>
      <c r="O19" s="220"/>
      <c r="P19" s="220"/>
      <c r="Q19" s="220"/>
    </row>
    <row r="20" spans="1:17" s="1048" customFormat="1" x14ac:dyDescent="0.4">
      <c r="A20" s="536"/>
      <c r="B20" s="115"/>
      <c r="C20" s="221"/>
      <c r="D20" s="220"/>
      <c r="E20" s="220"/>
      <c r="F20" s="220"/>
      <c r="G20" s="220"/>
      <c r="H20" s="220"/>
      <c r="I20" s="220"/>
      <c r="J20" s="220"/>
      <c r="K20" s="220"/>
      <c r="L20" s="220"/>
      <c r="M20" s="220"/>
      <c r="N20" s="220"/>
      <c r="O20" s="220"/>
      <c r="P20" s="220"/>
      <c r="Q20" s="220"/>
    </row>
    <row r="21" spans="1:17" x14ac:dyDescent="0.4">
      <c r="A21" s="536"/>
      <c r="C21" s="221"/>
      <c r="D21" s="220"/>
      <c r="E21" s="220"/>
      <c r="F21" s="220"/>
      <c r="G21" s="220"/>
      <c r="H21" s="220"/>
      <c r="I21" s="220"/>
      <c r="J21" s="220"/>
      <c r="K21" s="220"/>
      <c r="L21" s="220"/>
      <c r="M21" s="220"/>
      <c r="N21" s="220"/>
      <c r="O21" s="220"/>
      <c r="P21" s="220"/>
      <c r="Q21" s="220"/>
    </row>
    <row r="22" spans="1:17" x14ac:dyDescent="0.4">
      <c r="A22" s="536"/>
      <c r="C22" s="221"/>
      <c r="D22" s="220"/>
      <c r="E22" s="220"/>
      <c r="F22" s="220"/>
      <c r="G22" s="220"/>
      <c r="H22" s="220"/>
      <c r="I22" s="220"/>
      <c r="J22" s="220"/>
      <c r="K22" s="220"/>
      <c r="L22" s="220"/>
      <c r="M22" s="220"/>
      <c r="N22" s="220"/>
      <c r="O22" s="220"/>
      <c r="P22" s="220"/>
      <c r="Q22" s="220"/>
    </row>
    <row r="23" spans="1:17" x14ac:dyDescent="0.4">
      <c r="A23" s="536"/>
      <c r="C23" s="221"/>
      <c r="D23" s="220"/>
      <c r="E23" s="220"/>
      <c r="F23" s="220"/>
      <c r="G23" s="220"/>
      <c r="H23" s="220"/>
      <c r="I23" s="220"/>
      <c r="J23" s="220"/>
      <c r="K23" s="220"/>
      <c r="L23" s="220"/>
      <c r="M23" s="220"/>
      <c r="N23" s="220"/>
      <c r="O23" s="220"/>
      <c r="P23" s="220"/>
      <c r="Q23" s="220"/>
    </row>
    <row r="24" spans="1:17" x14ac:dyDescent="0.4">
      <c r="A24" s="536"/>
      <c r="C24" s="2494" t="s">
        <v>316</v>
      </c>
      <c r="D24" s="2494"/>
      <c r="E24" s="2494"/>
      <c r="F24" s="2494"/>
      <c r="G24" s="2494"/>
      <c r="H24" s="2494"/>
      <c r="I24" s="2494"/>
      <c r="J24" s="2494"/>
      <c r="K24" s="2494"/>
      <c r="L24" s="2494"/>
      <c r="M24" s="2494"/>
      <c r="N24" s="2494"/>
      <c r="O24" s="2494"/>
      <c r="P24" s="2494"/>
      <c r="Q24" s="2494"/>
    </row>
    <row r="25" spans="1:17" x14ac:dyDescent="0.4">
      <c r="A25" s="536"/>
      <c r="C25" s="221"/>
      <c r="D25" s="220"/>
      <c r="E25" s="220"/>
      <c r="F25" s="220"/>
      <c r="G25" s="220"/>
      <c r="H25" s="220"/>
      <c r="I25" s="220"/>
      <c r="J25" s="220"/>
      <c r="K25" s="220"/>
      <c r="L25" s="220"/>
      <c r="M25" s="220"/>
      <c r="N25" s="220"/>
      <c r="O25" s="220"/>
      <c r="P25" s="220"/>
      <c r="Q25" s="220"/>
    </row>
    <row r="26" spans="1:17" x14ac:dyDescent="0.4">
      <c r="A26" s="536"/>
    </row>
    <row r="27" spans="1:17" x14ac:dyDescent="0.4">
      <c r="A27" s="536"/>
    </row>
    <row r="28" spans="1:17" x14ac:dyDescent="0.4">
      <c r="A28" s="536"/>
    </row>
    <row r="29" spans="1:17" x14ac:dyDescent="0.4">
      <c r="A29" s="536"/>
    </row>
  </sheetData>
  <mergeCells count="12">
    <mergeCell ref="A5:B5"/>
    <mergeCell ref="C5:P5"/>
    <mergeCell ref="C1:D1"/>
    <mergeCell ref="A3:B3"/>
    <mergeCell ref="C3:P3"/>
    <mergeCell ref="A4:B4"/>
    <mergeCell ref="C4:P4"/>
    <mergeCell ref="A6:B6"/>
    <mergeCell ref="C6:P6"/>
    <mergeCell ref="C9:P10"/>
    <mergeCell ref="C13:P16"/>
    <mergeCell ref="C24:Q24"/>
  </mergeCells>
  <hyperlinks>
    <hyperlink ref="A1" location="'ODS 15.'!A1" display="REGRESAR" xr:uid="{A0F073DD-2B7C-4729-9E2B-CFA29BFDB495}"/>
    <hyperlink ref="C1:D1" location="'Metadato 15.b.1'!A1" display="VER METADATO" xr:uid="{34A64B83-AE92-450B-9B97-4FAEFDA04A25}"/>
  </hyperlinks>
  <pageMargins left="0.7" right="0.7" top="0.75" bottom="0.75" header="0.3" footer="0.3"/>
  <drawing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8BDC-ACB7-4425-9A5D-CF325C05D4A8}">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317</v>
      </c>
    </row>
    <row r="4" spans="1:6" ht="34.15" customHeight="1" x14ac:dyDescent="0.4">
      <c r="A4" s="283"/>
      <c r="B4" s="2425" t="s">
        <v>234</v>
      </c>
      <c r="C4" s="2425"/>
      <c r="D4" s="49" t="s">
        <v>7056</v>
      </c>
    </row>
    <row r="5" spans="1:6" ht="56.25" x14ac:dyDescent="0.4">
      <c r="B5" s="2425" t="s">
        <v>79</v>
      </c>
      <c r="C5" s="2425"/>
      <c r="D5" s="49" t="s">
        <v>7029</v>
      </c>
    </row>
    <row r="6" spans="1:6" ht="18.75" customHeight="1" x14ac:dyDescent="0.4">
      <c r="B6" s="2425" t="s">
        <v>80</v>
      </c>
      <c r="C6" s="2425"/>
      <c r="D6" s="50" t="s">
        <v>7030</v>
      </c>
    </row>
    <row r="7" spans="1:6" ht="56.25" x14ac:dyDescent="0.4">
      <c r="B7" s="2426" t="s">
        <v>81</v>
      </c>
      <c r="C7" s="2426"/>
      <c r="D7" s="93" t="s">
        <v>7031</v>
      </c>
    </row>
    <row r="8" spans="1:6" x14ac:dyDescent="0.4">
      <c r="B8" s="2426" t="s">
        <v>82</v>
      </c>
      <c r="C8" s="2426"/>
      <c r="D8" s="1047" t="s">
        <v>7279</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CF3ADA9D-40B4-4320-A46A-C42E75860F95}">
      <formula1>Tipo_operación</formula1>
    </dataValidation>
    <dataValidation type="list" allowBlank="1" showInputMessage="1" showErrorMessage="1" sqref="D14" xr:uid="{6F615A35-453F-4A20-A578-CA7C41A21705}">
      <formula1>Tipo_indicador</formula1>
    </dataValidation>
    <dataValidation type="list" allowBlank="1" showInputMessage="1" showErrorMessage="1" sqref="D7" xr:uid="{38EB9D0F-BF5F-4F23-B02A-1F6BF6FB3413}">
      <formula1>Nombre_indicador_ODS</formula1>
    </dataValidation>
    <dataValidation type="list" allowBlank="1" showInputMessage="1" showErrorMessage="1" sqref="D6" xr:uid="{30531626-1F76-40C9-B051-74304648EEA6}">
      <formula1>Numero_indicador</formula1>
    </dataValidation>
    <dataValidation type="list" allowBlank="1" showInputMessage="1" showErrorMessage="1" sqref="D5" xr:uid="{2A059CF1-A56A-4F23-9665-B3876E3C3810}">
      <formula1>Metas_ODS</formula1>
    </dataValidation>
    <dataValidation type="list" allowBlank="1" showInputMessage="1" showErrorMessage="1" sqref="D4" xr:uid="{7A017F48-D03D-47CE-985E-9B4E33D4460D}">
      <formula1>ODS</formula1>
    </dataValidation>
    <dataValidation allowBlank="1" showDropDown="1" showInputMessage="1" showErrorMessage="1" sqref="D13" xr:uid="{429404F0-C1F5-4AA0-B7D4-7A37970225AF}"/>
  </dataValidations>
  <hyperlinks>
    <hyperlink ref="B1" location="'15.b.1'!A1" display="REGRESAR" xr:uid="{8DAEEE6E-866B-4397-86C5-2BD60EEF2BD1}"/>
    <hyperlink ref="D8" r:id="rId1" xr:uid="{6DF9748F-AD27-4851-A506-A3FBDCEE43A2}"/>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5FFA-7F77-490B-B320-1462630CE3EA}">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6.5703125" style="115" customWidth="1"/>
    <col min="3" max="3" width="12.28515625" style="1048" customWidth="1"/>
    <col min="4" max="5" width="12.28515625" style="115" customWidth="1"/>
    <col min="6" max="16384" width="11.42578125" style="115"/>
  </cols>
  <sheetData>
    <row r="1" spans="1:16" x14ac:dyDescent="0.4">
      <c r="A1" s="90" t="s">
        <v>39</v>
      </c>
      <c r="B1" s="1311"/>
      <c r="C1" s="2541" t="s">
        <v>149</v>
      </c>
      <c r="D1" s="2541"/>
    </row>
    <row r="2" spans="1:16" ht="14.25" customHeight="1" x14ac:dyDescent="0.4"/>
    <row r="3" spans="1:16" ht="36.6" customHeight="1" x14ac:dyDescent="0.4">
      <c r="A3" s="3443" t="s">
        <v>41</v>
      </c>
      <c r="B3" s="3449"/>
      <c r="C3" s="3445" t="s">
        <v>6994</v>
      </c>
      <c r="D3" s="3450"/>
      <c r="E3" s="3450"/>
      <c r="F3" s="3450"/>
      <c r="G3" s="3450"/>
      <c r="H3" s="3450"/>
      <c r="I3" s="3450"/>
      <c r="J3" s="3450"/>
      <c r="K3" s="3450"/>
      <c r="L3" s="3450"/>
      <c r="M3" s="3450"/>
      <c r="N3" s="3450"/>
      <c r="O3" s="3450"/>
      <c r="P3" s="3450"/>
    </row>
    <row r="4" spans="1:16" ht="37.9" customHeight="1" x14ac:dyDescent="0.4">
      <c r="A4" s="3443" t="s">
        <v>42</v>
      </c>
      <c r="B4" s="3444"/>
      <c r="C4" s="3445" t="s">
        <v>7032</v>
      </c>
      <c r="D4" s="3450"/>
      <c r="E4" s="3450"/>
      <c r="F4" s="3450"/>
      <c r="G4" s="3450"/>
      <c r="H4" s="3450"/>
      <c r="I4" s="3450"/>
      <c r="J4" s="3450"/>
      <c r="K4" s="3450"/>
      <c r="L4" s="3450"/>
      <c r="M4" s="3450"/>
      <c r="N4" s="3450"/>
      <c r="O4" s="3450"/>
      <c r="P4" s="3450"/>
    </row>
    <row r="5" spans="1:16" ht="20.45" customHeight="1" x14ac:dyDescent="0.4">
      <c r="A5" s="3443" t="s">
        <v>43</v>
      </c>
      <c r="B5" s="3444"/>
      <c r="C5" s="3443" t="s">
        <v>7034</v>
      </c>
      <c r="D5" s="3446"/>
      <c r="E5" s="3446"/>
      <c r="F5" s="3446"/>
      <c r="G5" s="3446"/>
      <c r="H5" s="3446"/>
      <c r="I5" s="3446"/>
      <c r="J5" s="3446"/>
      <c r="K5" s="3446"/>
      <c r="L5" s="3446"/>
      <c r="M5" s="3446"/>
      <c r="N5" s="3446"/>
      <c r="O5" s="3446"/>
      <c r="P5" s="3446"/>
    </row>
    <row r="6" spans="1:16" ht="17.45" customHeight="1" x14ac:dyDescent="0.4">
      <c r="A6" s="3443" t="s">
        <v>132</v>
      </c>
      <c r="B6" s="3444"/>
      <c r="C6" s="3443" t="s">
        <v>242</v>
      </c>
      <c r="D6" s="3446"/>
      <c r="E6" s="3446"/>
      <c r="F6" s="3446"/>
      <c r="G6" s="3446"/>
      <c r="H6" s="3446"/>
      <c r="I6" s="3446"/>
      <c r="J6" s="3446"/>
      <c r="K6" s="3446"/>
      <c r="L6" s="3446"/>
      <c r="M6" s="3446"/>
      <c r="N6" s="3446"/>
      <c r="O6" s="3446"/>
      <c r="P6" s="3446"/>
    </row>
    <row r="7" spans="1:16" x14ac:dyDescent="0.4">
      <c r="A7" s="536"/>
    </row>
    <row r="8" spans="1:16" x14ac:dyDescent="0.4">
      <c r="A8" s="536"/>
    </row>
    <row r="9" spans="1:16" ht="11.25" customHeight="1" x14ac:dyDescent="0.4">
      <c r="A9" s="536"/>
      <c r="C9" s="2506" t="s">
        <v>243</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AB473BC0-EDC3-4DFA-963C-C51DD343325A}"/>
    <hyperlink ref="C1" location="'Metadato 15.c.1'!A1" display="VER METADATO" xr:uid="{D588FF42-B73B-4A3C-B29B-3951E317F354}"/>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D84BF-A343-4006-9FF8-41354383A953}">
  <sheetPr>
    <tabColor theme="0" tint="-0.499984740745262"/>
  </sheetPr>
  <dimension ref="A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1:6" x14ac:dyDescent="0.4">
      <c r="B1" s="90" t="s">
        <v>39</v>
      </c>
    </row>
    <row r="2" spans="1:6" ht="19.5" thickBot="1" x14ac:dyDescent="0.45"/>
    <row r="3" spans="1:6" ht="23.25" customHeight="1" thickBot="1" x14ac:dyDescent="0.45">
      <c r="B3" s="3454" t="s">
        <v>75</v>
      </c>
      <c r="C3" s="3454"/>
      <c r="D3" s="3454"/>
      <c r="F3" s="1046" t="s">
        <v>244</v>
      </c>
    </row>
    <row r="4" spans="1:6" ht="35.450000000000003" customHeight="1" x14ac:dyDescent="0.4">
      <c r="A4" s="283"/>
      <c r="B4" s="2425" t="s">
        <v>234</v>
      </c>
      <c r="C4" s="2425"/>
      <c r="D4" s="49" t="s">
        <v>7056</v>
      </c>
    </row>
    <row r="5" spans="1:6" ht="37.5" x14ac:dyDescent="0.4">
      <c r="B5" s="2425" t="s">
        <v>79</v>
      </c>
      <c r="C5" s="2425"/>
      <c r="D5" s="49" t="s">
        <v>7032</v>
      </c>
    </row>
    <row r="6" spans="1:6" x14ac:dyDescent="0.4">
      <c r="B6" s="2425" t="s">
        <v>80</v>
      </c>
      <c r="C6" s="2425"/>
      <c r="D6" s="50" t="s">
        <v>7033</v>
      </c>
    </row>
    <row r="7" spans="1:6" ht="37.5" x14ac:dyDescent="0.4">
      <c r="B7" s="2426" t="s">
        <v>81</v>
      </c>
      <c r="C7" s="2426"/>
      <c r="D7" s="93" t="s">
        <v>7034</v>
      </c>
    </row>
    <row r="8" spans="1:6" x14ac:dyDescent="0.4">
      <c r="B8" s="2426" t="s">
        <v>82</v>
      </c>
      <c r="C8" s="2426"/>
      <c r="D8" s="1047" t="s">
        <v>7280</v>
      </c>
    </row>
    <row r="10" spans="1:6" ht="23.25" customHeight="1" x14ac:dyDescent="0.4">
      <c r="B10" s="3454" t="s">
        <v>85</v>
      </c>
      <c r="C10" s="3454"/>
      <c r="D10" s="3454"/>
    </row>
    <row r="11" spans="1:6" x14ac:dyDescent="0.4">
      <c r="B11" s="2427" t="s">
        <v>86</v>
      </c>
      <c r="C11" s="2428"/>
      <c r="D11" s="49"/>
    </row>
    <row r="12" spans="1:6" x14ac:dyDescent="0.4">
      <c r="B12" s="2426" t="s">
        <v>88</v>
      </c>
      <c r="C12" s="2426"/>
      <c r="D12" s="184"/>
    </row>
    <row r="13" spans="1:6" x14ac:dyDescent="0.4">
      <c r="B13" s="2425" t="s">
        <v>90</v>
      </c>
      <c r="C13" s="2425"/>
      <c r="D13" s="54"/>
    </row>
    <row r="14" spans="1:6" x14ac:dyDescent="0.4">
      <c r="B14" s="2425" t="s">
        <v>91</v>
      </c>
      <c r="C14" s="2428"/>
      <c r="D14" s="54"/>
    </row>
    <row r="15" spans="1:6" x14ac:dyDescent="0.4">
      <c r="B15" s="2425" t="s">
        <v>93</v>
      </c>
      <c r="C15" s="2425"/>
      <c r="D15" s="49"/>
    </row>
    <row r="16" spans="1: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7227</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454" t="s">
        <v>121</v>
      </c>
      <c r="C31" s="3454"/>
      <c r="D31" s="3454"/>
    </row>
    <row r="32" spans="2:4" ht="37.5" x14ac:dyDescent="0.4">
      <c r="B32" s="2427" t="s">
        <v>122</v>
      </c>
      <c r="C32" s="2428"/>
      <c r="D32" s="55" t="s">
        <v>7228</v>
      </c>
    </row>
    <row r="33" spans="2:4" x14ac:dyDescent="0.4">
      <c r="B33" s="2427" t="s">
        <v>124</v>
      </c>
      <c r="C33" s="2428"/>
      <c r="D33" s="55" t="s">
        <v>7229</v>
      </c>
    </row>
    <row r="34" spans="2:4" x14ac:dyDescent="0.4">
      <c r="B34" s="2427" t="s">
        <v>126</v>
      </c>
      <c r="C34" s="2428"/>
      <c r="D34" s="55" t="s">
        <v>4641</v>
      </c>
    </row>
    <row r="35" spans="2:4" x14ac:dyDescent="0.4">
      <c r="B35" s="2427" t="s">
        <v>128</v>
      </c>
      <c r="C35" s="2428"/>
      <c r="D35" s="246" t="s">
        <v>7230</v>
      </c>
    </row>
    <row r="36" spans="2:4" x14ac:dyDescent="0.4">
      <c r="B36" s="2427" t="s">
        <v>130</v>
      </c>
      <c r="C36" s="2428"/>
      <c r="D36" s="247" t="s">
        <v>7231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242CC555-2EC8-4EB5-A345-C95659AC1E63}">
      <formula1>Tipo_operación</formula1>
    </dataValidation>
    <dataValidation type="list" allowBlank="1" showInputMessage="1" showErrorMessage="1" sqref="D14" xr:uid="{9CDCB34C-E3CB-42B6-817D-3586444A0CD0}">
      <formula1>Tipo_indicador</formula1>
    </dataValidation>
    <dataValidation type="list" allowBlank="1" showInputMessage="1" showErrorMessage="1" sqref="D7" xr:uid="{371F1684-852E-4D48-8BE6-81A90063D240}">
      <formula1>Nombre_indicador_ODS</formula1>
    </dataValidation>
    <dataValidation type="list" allowBlank="1" showInputMessage="1" showErrorMessage="1" sqref="D6" xr:uid="{6D5A2D1F-763D-4D03-89D3-37DAEB6ABD95}">
      <formula1>Numero_indicador</formula1>
    </dataValidation>
    <dataValidation type="list" allowBlank="1" showInputMessage="1" showErrorMessage="1" sqref="D5" xr:uid="{8EB16B73-EECD-4BC4-AFDF-0CC51D34CE96}">
      <formula1>Metas_ODS</formula1>
    </dataValidation>
    <dataValidation type="list" allowBlank="1" showInputMessage="1" showErrorMessage="1" sqref="D4" xr:uid="{08FB25D4-C76B-4EF0-9C41-AEB7767FD141}">
      <formula1>ODS</formula1>
    </dataValidation>
    <dataValidation allowBlank="1" showDropDown="1" showInputMessage="1" showErrorMessage="1" sqref="D13" xr:uid="{03A2DAD5-DBC2-4DA2-BF3E-048F7DA37FA4}"/>
  </dataValidations>
  <hyperlinks>
    <hyperlink ref="B1" location="'15.c.1'!A1" display="REGRESAR" xr:uid="{D824F2BC-AFF4-4DE0-89E6-34BA07BF880B}"/>
    <hyperlink ref="D36" r:id="rId1" xr:uid="{38AEB5A1-6729-4782-809B-6423AC98BF15}"/>
    <hyperlink ref="D8" r:id="rId2" xr:uid="{5F820253-1AD7-4D5F-88A3-E7EA0FD4BABF}"/>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BB34-1374-43E2-95EC-41330085DBB6}">
  <sheetPr>
    <tabColor rgb="FF00689D"/>
  </sheetPr>
  <dimension ref="A1:E28"/>
  <sheetViews>
    <sheetView showGridLines="0" workbookViewId="0">
      <pane ySplit="4" topLeftCell="A5" activePane="bottomLeft" state="frozen"/>
      <selection sqref="A1:B1"/>
      <selection pane="bottomLeft" sqref="A1:B1"/>
    </sheetView>
  </sheetViews>
  <sheetFormatPr baseColWidth="10" defaultColWidth="11.5703125" defaultRowHeight="18.75" x14ac:dyDescent="0.4"/>
  <cols>
    <col min="1" max="2" width="11.5703125" style="5"/>
    <col min="3" max="3" width="72" style="5" customWidth="1"/>
    <col min="4" max="4" width="15" style="5" customWidth="1"/>
    <col min="5" max="5" width="67.42578125" style="5" customWidth="1"/>
    <col min="6" max="16384" width="11.5703125" style="5"/>
  </cols>
  <sheetData>
    <row r="1" spans="1:5" ht="19.5" x14ac:dyDescent="0.4">
      <c r="A1" s="2410" t="s">
        <v>1</v>
      </c>
      <c r="B1" s="2410"/>
    </row>
    <row r="3" spans="1:5" ht="60.75" customHeight="1" x14ac:dyDescent="0.4">
      <c r="C3" s="3501" t="s">
        <v>7281</v>
      </c>
      <c r="D3" s="3501"/>
      <c r="E3" s="3501"/>
    </row>
    <row r="4" spans="1:5" s="3" customFormat="1" ht="45" x14ac:dyDescent="0.25">
      <c r="C4" s="8" t="s">
        <v>3</v>
      </c>
      <c r="D4" s="8" t="s">
        <v>4</v>
      </c>
      <c r="E4" s="8" t="s">
        <v>5</v>
      </c>
    </row>
    <row r="5" spans="1:5" s="3" customFormat="1" ht="43.15" customHeight="1" x14ac:dyDescent="0.25">
      <c r="C5" s="2408" t="s">
        <v>7282</v>
      </c>
      <c r="D5" s="11" t="s">
        <v>7283</v>
      </c>
      <c r="E5" s="12" t="s">
        <v>7284</v>
      </c>
    </row>
    <row r="6" spans="1:5" s="3" customFormat="1" ht="42" customHeight="1" x14ac:dyDescent="0.25">
      <c r="C6" s="2412"/>
      <c r="D6" s="13" t="s">
        <v>7285</v>
      </c>
      <c r="E6" s="14" t="s">
        <v>7286</v>
      </c>
    </row>
    <row r="7" spans="1:5" s="3" customFormat="1" ht="40.15" customHeight="1" x14ac:dyDescent="0.25">
      <c r="C7" s="2412"/>
      <c r="D7" s="11" t="s">
        <v>7287</v>
      </c>
      <c r="E7" s="12" t="s">
        <v>7288</v>
      </c>
    </row>
    <row r="8" spans="1:5" s="3" customFormat="1" ht="39" customHeight="1" x14ac:dyDescent="0.25">
      <c r="C8" s="2409"/>
      <c r="D8" s="13" t="s">
        <v>7289</v>
      </c>
      <c r="E8" s="14" t="s">
        <v>7290</v>
      </c>
    </row>
    <row r="9" spans="1:5" s="3" customFormat="1" ht="58.5" x14ac:dyDescent="0.25">
      <c r="C9" s="2408" t="s">
        <v>7291</v>
      </c>
      <c r="D9" s="11" t="s">
        <v>7292</v>
      </c>
      <c r="E9" s="12" t="s">
        <v>7293</v>
      </c>
    </row>
    <row r="10" spans="1:5" s="3" customFormat="1" ht="58.5" x14ac:dyDescent="0.25">
      <c r="C10" s="2412"/>
      <c r="D10" s="11" t="s">
        <v>7294</v>
      </c>
      <c r="E10" s="12" t="s">
        <v>7295</v>
      </c>
    </row>
    <row r="11" spans="1:5" s="3" customFormat="1" ht="39" x14ac:dyDescent="0.25">
      <c r="C11" s="2409"/>
      <c r="D11" s="11" t="s">
        <v>7296</v>
      </c>
      <c r="E11" s="12" t="s">
        <v>7297</v>
      </c>
    </row>
    <row r="12" spans="1:5" s="3" customFormat="1" ht="78" x14ac:dyDescent="0.25">
      <c r="C12" s="2408" t="s">
        <v>7298</v>
      </c>
      <c r="D12" s="11" t="s">
        <v>7299</v>
      </c>
      <c r="E12" s="12" t="s">
        <v>7300</v>
      </c>
    </row>
    <row r="13" spans="1:5" s="3" customFormat="1" ht="42" customHeight="1" x14ac:dyDescent="0.25">
      <c r="C13" s="2412"/>
      <c r="D13" s="11" t="s">
        <v>7301</v>
      </c>
      <c r="E13" s="12" t="s">
        <v>7302</v>
      </c>
    </row>
    <row r="14" spans="1:5" s="3" customFormat="1" ht="73.900000000000006" customHeight="1" x14ac:dyDescent="0.25">
      <c r="C14" s="2409"/>
      <c r="D14" s="13" t="s">
        <v>7303</v>
      </c>
      <c r="E14" s="14" t="s">
        <v>7304</v>
      </c>
    </row>
    <row r="15" spans="1:5" s="3" customFormat="1" ht="45" customHeight="1" x14ac:dyDescent="0.25">
      <c r="C15" s="2408" t="s">
        <v>7305</v>
      </c>
      <c r="D15" s="13" t="s">
        <v>7306</v>
      </c>
      <c r="E15" s="14" t="s">
        <v>7307</v>
      </c>
    </row>
    <row r="16" spans="1:5" s="3" customFormat="1" ht="78" x14ac:dyDescent="0.25">
      <c r="C16" s="2409"/>
      <c r="D16" s="11" t="s">
        <v>7308</v>
      </c>
      <c r="E16" s="12" t="s">
        <v>7309</v>
      </c>
    </row>
    <row r="17" spans="3:5" s="3" customFormat="1" ht="78" x14ac:dyDescent="0.25">
      <c r="C17" s="2408" t="s">
        <v>7310</v>
      </c>
      <c r="D17" s="13" t="s">
        <v>7311</v>
      </c>
      <c r="E17" s="14" t="s">
        <v>7312</v>
      </c>
    </row>
    <row r="18" spans="3:5" s="3" customFormat="1" ht="78" x14ac:dyDescent="0.25">
      <c r="C18" s="2409"/>
      <c r="D18" s="13" t="s">
        <v>7313</v>
      </c>
      <c r="E18" s="14" t="s">
        <v>7314</v>
      </c>
    </row>
    <row r="19" spans="3:5" s="3" customFormat="1" ht="58.5" x14ac:dyDescent="0.25">
      <c r="C19" s="2408" t="s">
        <v>7315</v>
      </c>
      <c r="D19" s="11" t="s">
        <v>7316</v>
      </c>
      <c r="E19" s="12" t="s">
        <v>7317</v>
      </c>
    </row>
    <row r="20" spans="3:5" s="3" customFormat="1" ht="39" x14ac:dyDescent="0.25">
      <c r="C20" s="2409"/>
      <c r="D20" s="11" t="s">
        <v>7318</v>
      </c>
      <c r="E20" s="12" t="s">
        <v>7319</v>
      </c>
    </row>
    <row r="21" spans="3:5" s="3" customFormat="1" ht="78" x14ac:dyDescent="0.25">
      <c r="C21" s="2408" t="s">
        <v>7320</v>
      </c>
      <c r="D21" s="11" t="s">
        <v>7321</v>
      </c>
      <c r="E21" s="12" t="s">
        <v>7322</v>
      </c>
    </row>
    <row r="22" spans="3:5" s="3" customFormat="1" ht="58.5" x14ac:dyDescent="0.25">
      <c r="C22" s="2409"/>
      <c r="D22" s="13" t="s">
        <v>7323</v>
      </c>
      <c r="E22" s="14" t="s">
        <v>7324</v>
      </c>
    </row>
    <row r="23" spans="3:5" s="3" customFormat="1" ht="39" x14ac:dyDescent="0.25">
      <c r="C23" s="10" t="s">
        <v>7325</v>
      </c>
      <c r="D23" s="13" t="s">
        <v>7326</v>
      </c>
      <c r="E23" s="14" t="s">
        <v>7327</v>
      </c>
    </row>
    <row r="24" spans="3:5" s="3" customFormat="1" ht="41.45" customHeight="1" x14ac:dyDescent="0.25">
      <c r="C24" s="10" t="s">
        <v>7328</v>
      </c>
      <c r="D24" s="11" t="s">
        <v>7329</v>
      </c>
      <c r="E24" s="12" t="s">
        <v>7330</v>
      </c>
    </row>
    <row r="25" spans="3:5" s="3" customFormat="1" ht="78.599999999999994" customHeight="1" x14ac:dyDescent="0.25">
      <c r="C25" s="2408" t="s">
        <v>7331</v>
      </c>
      <c r="D25" s="13" t="s">
        <v>7332</v>
      </c>
      <c r="E25" s="14" t="s">
        <v>7333</v>
      </c>
    </row>
    <row r="26" spans="3:5" s="3" customFormat="1" ht="58.5" x14ac:dyDescent="0.25">
      <c r="C26" s="2409"/>
      <c r="D26" s="13" t="s">
        <v>7334</v>
      </c>
      <c r="E26" s="14" t="s">
        <v>7335</v>
      </c>
    </row>
    <row r="27" spans="3:5" s="3" customFormat="1" ht="78" x14ac:dyDescent="0.25">
      <c r="C27" s="10" t="s">
        <v>7336</v>
      </c>
      <c r="D27" s="13" t="s">
        <v>7337</v>
      </c>
      <c r="E27" s="14" t="s">
        <v>7338</v>
      </c>
    </row>
    <row r="28" spans="3:5" ht="78" x14ac:dyDescent="0.4">
      <c r="C28" s="10" t="s">
        <v>7339</v>
      </c>
      <c r="D28" s="11" t="s">
        <v>7340</v>
      </c>
      <c r="E28" s="12" t="s">
        <v>7341</v>
      </c>
    </row>
  </sheetData>
  <mergeCells count="10">
    <mergeCell ref="C17:C18"/>
    <mergeCell ref="C19:C20"/>
    <mergeCell ref="C21:C22"/>
    <mergeCell ref="C25:C26"/>
    <mergeCell ref="A1:B1"/>
    <mergeCell ref="C3:E3"/>
    <mergeCell ref="C5:C8"/>
    <mergeCell ref="C9:C11"/>
    <mergeCell ref="C12:C14"/>
    <mergeCell ref="C15:C16"/>
  </mergeCells>
  <hyperlinks>
    <hyperlink ref="A1" location="Objetivos!A1" display="REGRESAR A INICIO" xr:uid="{9CB1B0A3-84D8-41CE-9773-3E4185E3E3B7}"/>
    <hyperlink ref="A1:B1" location="'Lista de Objetivos'!A1" display="REGRESAR A INICIO" xr:uid="{D025E5EC-8907-415B-BB9A-5C1C5269FE7B}"/>
    <hyperlink ref="D5" location="'16.1.1'!A1" display="16.1.1" xr:uid="{36846D63-D559-4886-86AD-A9E27F7B43AB}"/>
    <hyperlink ref="E5" location="'16.1.1'!A1" display="16.1.1 Número de víctimas de homicidios intencionales por cada 100.000 habitantes, desglosado por sexo y edad" xr:uid="{3CBE1916-A015-4A1D-8716-8A4C547BFCE8}"/>
    <hyperlink ref="D6" location="'16.1.2'!A1" display="16.1.2" xr:uid="{A3596908-C160-4553-94B1-EE3C9DD20C37}"/>
    <hyperlink ref="E6" location="'16.1.2'!A1" display="16.1.2 Muertes relacionadas con conflictos por cada 100.000 habitantes, desglosadas por sexo, edad y causa" xr:uid="{A51DE2B9-8C50-4615-81B4-63AFA30B4BFA}"/>
    <hyperlink ref="D7" location="'16.1.3'!A1" display="16.1.3" xr:uid="{DB9D0595-A62A-42D7-BD88-4625C39B3F2A}"/>
    <hyperlink ref="E7" location="'16.1.3'!A1" display="16.1.3 Proporción de la población que ha sufrido a) violencia física, b) violencia psicológica y c) violencia sexual en los últimos 12 meses" xr:uid="{C42A784F-4CF4-4E8A-AE8E-3C82A0DAE5F3}"/>
    <hyperlink ref="D8" location="'16.1.4'!A1" display="16.1.4" xr:uid="{4573D826-147D-462E-91FF-9F0818694147}"/>
    <hyperlink ref="E8" location="'16.1.4'!A1" display="16.1.4 Proporción de la población que se siente segura al caminar sola en su zona de residencia" xr:uid="{BF0CF0E5-1DCD-40DB-8589-D3365AEEB68E}"/>
    <hyperlink ref="D9" location="'16.2.1'!A1" display="16.2.1" xr:uid="{CAE36021-2D74-418A-90EE-E02B0A45D1B1}"/>
    <hyperlink ref="E9" location="'16.2.1'!A1" display="16.2.1 Proporción de niños de entre 1 y 17 años que han sufrido algún castigo físico o agresión psicológica a manos de sus cuidadores en el último mes" xr:uid="{CA7555A6-F112-4C19-A8E5-9A24D2C4A618}"/>
    <hyperlink ref="D10" location="'16.2.2'!A1" display="16.2.2" xr:uid="{C83BA9E5-5D04-4F44-81B7-8B11B2C6D530}"/>
    <hyperlink ref="E10" location="'16.2.2'!A1" display="16.2.2 Número de víctimas de la trata de personas por cada 100.000 habitantes, desglosado por sexo, edad y tipo de explotación" xr:uid="{DC37CD5B-01EE-45A5-BF03-617E71989163}"/>
    <hyperlink ref="D11" location="'16.2.3'!A1" display="16.2.3" xr:uid="{7AF7DA71-4B44-4197-98E4-F997BD988CDF}"/>
    <hyperlink ref="E11" location="'16.2.3'!A1" display="16.2.3 Proporción de mujeres y hombres jóvenes de entre 18 y 29 años que sufrieron violencia sexual antes de cumplir los 18 años" xr:uid="{E9986014-12C0-44E6-9DD8-7CEB5EAE820D}"/>
    <hyperlink ref="D12" location="'16.3.1'!A1" display="16.3.1" xr:uid="{3B8B73DF-07FE-46EE-8266-78CDB65B20D6}"/>
    <hyperlink ref="E12" location="'16.3.1'!A1" display="16.3.1 Proporción de víctimas de violencia en los últimos 12 meses que han notificado su victimización a las autoridades competentes u otros mecanismos de resolución de conflictos reconocidos oficialmente" xr:uid="{AC151D14-3565-4168-AFAD-F793B89DE0A9}"/>
    <hyperlink ref="D13" location="'16.3.2'!A1" display="16.3.2" xr:uid="{E79007F3-C6C5-47C8-B916-3D1F6BD4E888}"/>
    <hyperlink ref="E13" location="'16.3.2'!A1" display="16.3.2 Proporción de detenidos que no han sido condenados en el conjunto de la población reclusa total" xr:uid="{793560CE-3600-40CA-9071-ACF60E096B1F}"/>
    <hyperlink ref="D14" location="'16.3.3'!A1" display="16.3.3" xr:uid="{B601A567-034A-48CB-8E58-CC77AF9B4D98}"/>
    <hyperlink ref="E14" location="'16.3.3'!A1" display="16.3.3 Proporción de la población que se ha visto implicada en alguna controversia en los dos últimos años y ha accedido a algún mecanismo oficial u oficioso de solución de controversias, desglosada por tipo de mecanismo" xr:uid="{BBF6F9EC-37BE-42CE-9FCE-0B9A3B718E79}"/>
    <hyperlink ref="D15" location="'16.4.1'!A1" display="16.4.1" xr:uid="{FC63BA8D-1128-4DF7-8B2C-4BB6EDFC7A7C}"/>
    <hyperlink ref="E15" location="'16.4.1'!A1" display="16.4.1 Valor total de las corrientes financieras ilícitas entrantes y salientes (en dólares corrientes de los Estados Unidos)" xr:uid="{45BBEF9C-560C-46C9-AE68-F41C9944D7C8}"/>
    <hyperlink ref="D16" location="'16.4.2'!A1" display="16.4.2" xr:uid="{C0CFC10D-8643-4A1B-AE31-E2A86F42C806}"/>
    <hyperlink ref="E16" location="'16.4.2'!A1" display="16.4.2 Proporción de armas incautadas, encontradas o entregadas cuyo origen o contexto ilícitos han sido determinados o establecidos por una autoridad competente, de conformidad con los instrumentos internacionales" xr:uid="{83EFC01D-6D33-4A15-B348-9C392AFEB7CB}"/>
    <hyperlink ref="D17" location="'16.5.1'!A1" display="16.5.1" xr:uid="{0F0BB141-A7C7-4D50-A4C9-03FF1A68D93B}"/>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8A8AC314-9820-4DA4-8282-44A6FF4BB101}"/>
    <hyperlink ref="D18" location="'16.5.2'!A1" display="16.5.2" xr:uid="{E6FBC42F-EC41-41D0-880D-80C3005A960D}"/>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CD528F22-D659-4813-9E37-290ADB935766}"/>
    <hyperlink ref="D19" location="'16.6.1'!A1" display="16.6.1" xr:uid="{0DE2F939-23A2-4764-9B6C-6501A2094492}"/>
    <hyperlink ref="E19" location="'16.6.1'!A1" display="16.6.1 Gastos primarios del gobierno en proporción al presupuesto aprobado originalmente, desglosados por sector (o por códigos presupuestarios o elementos similares)" xr:uid="{843996C0-A25F-4BD9-BC7A-ECCBEF562983}"/>
    <hyperlink ref="D20" location="'16.6.2'!A1" display="16.6.2" xr:uid="{E0779761-F71F-46C8-A9E3-8EC35B07F134}"/>
    <hyperlink ref="E20" location="'16.6.2'!A1" display="16.6.2 Proporción de la población que se siente satisfecha con su última experiencia de los servicios públicos" xr:uid="{ED73B205-BC11-4517-BA6A-035415AC16E0}"/>
    <hyperlink ref="D21" location="'16.7.1'!A1" display="16.7.1" xr:uid="{263BDB7C-9EF6-4D02-A085-541121CC07AE}"/>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A2D5EE67-1911-413C-A4E2-17B3E58FD6C1}"/>
    <hyperlink ref="D22" location="'16.7.2'!A1" display="16.7.2" xr:uid="{5B012C09-8BE2-4861-8E5E-03E706244DE5}"/>
    <hyperlink ref="E22" location="'16.7.2'!A1" display="16.7.2 Proporción de la población que considera que la adopción de decisiones es inclusiva y responde a sus necesidades, desglosada por sexo, edad, discapacidad y grupo de población" xr:uid="{F3F33605-A9FD-4595-A852-EB28E287FC5E}"/>
    <hyperlink ref="D23" location="'16.8.1'!A1" display="16.8.1" xr:uid="{88A4F2D7-F780-461D-A6B1-7E71D1BB555C}"/>
    <hyperlink ref="E23" location="'16.8.1'!A1" display="16.8.1 Proporción de miembros y derechos de voto de los países en desarrollo en organizaciones internacionales" xr:uid="{2FB2DF7F-6D0B-40C5-9BFC-64F30FF51607}"/>
    <hyperlink ref="D24" location="'16.9.1'!A1" display="16.9.1" xr:uid="{67D0340E-9D19-456D-B760-BE1E6A02EC27}"/>
    <hyperlink ref="E24" location="'16.9.1'!A1" display="16.9.1 Proporción de niños menores de 5 años cuyo nacimiento se ha registrado ante una autoridad civil, desglosada por edad" xr:uid="{FC8E1A26-2689-4B9B-BE44-A474F69246E3}"/>
    <hyperlink ref="D25" location="'16.10.1'!A1" display="16.10.1" xr:uid="{128E141D-40E5-48C5-98E9-FF6AA70E870E}"/>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D3CECE46-3D54-4987-993E-1AA7C74CBA93}"/>
    <hyperlink ref="D26" location="'16.10.2'!A1" display="16.10.2" xr:uid="{3B9002CD-BDF5-40FA-8D77-51BFA4696F52}"/>
    <hyperlink ref="E26" location="'16.10.2'!A1" display="16.10.2 Número de países que adoptan y aplican garantías constitucionales, legales o normativas para el acceso público a la información" xr:uid="{D6D3A93A-A79A-48D9-BECE-F1A1160AE8D9}"/>
    <hyperlink ref="D27" location="'16.a.1'!A1" display="16.a.1" xr:uid="{37FDF41F-40E2-44C7-9C0D-54C0C5823218}"/>
    <hyperlink ref="E27" location="'16.a.1'!A1" display="16.a.1 Existencia de instituciones nacionales independientes de derechos humanos, en cumplimiento de los Principios de París" xr:uid="{6EBF2B1A-C80D-4F62-BC68-2D4E7D713EE1}"/>
    <hyperlink ref="D28" location="'16.b.1'!A1" display="16.b.1" xr:uid="{8D8B73B3-340B-4450-A028-938BFEC4807E}"/>
    <hyperlink ref="E28" location="'16.b.1'!A1" display="16.b.1 Proporción de la población que declara haberse sentido personalmente discriminada o acosada en los últimos 12 meses por motivos de discriminación prohibidos por el derecho internacional de los derechos humanos" xr:uid="{8DAEFB62-DD38-4178-97AA-15BC7CA2A082}"/>
  </hyperlinks>
  <pageMargins left="0.7" right="0.7" top="0.75" bottom="0.75" header="0.3" footer="0.3"/>
  <pageSetup orientation="portrait" r:id="rId1"/>
  <drawing r:id="rId2"/>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D3B7D-FA07-41A0-9B55-76C05AEA72AD}">
  <dimension ref="A1:AJ59"/>
  <sheetViews>
    <sheetView showGridLines="0" zoomScale="85" zoomScaleNormal="85" workbookViewId="0">
      <pane ySplit="1" topLeftCell="A2" activePane="bottomLeft" state="frozen"/>
      <selection pane="bottomLeft"/>
    </sheetView>
  </sheetViews>
  <sheetFormatPr baseColWidth="10" defaultColWidth="11.42578125" defaultRowHeight="18.75" x14ac:dyDescent="0.4"/>
  <cols>
    <col min="1" max="1" width="15.28515625" style="115" customWidth="1"/>
    <col min="2" max="2" width="15.28515625" style="1048" customWidth="1"/>
    <col min="3" max="3" width="4.7109375" style="115" bestFit="1" customWidth="1"/>
    <col min="4" max="4" width="8.28515625" style="115" customWidth="1"/>
    <col min="5" max="5" width="9.28515625" style="115" customWidth="1"/>
    <col min="6" max="7" width="10" style="115" customWidth="1"/>
    <col min="8" max="8" width="4.28515625" style="115" customWidth="1"/>
    <col min="9" max="9" width="10" style="115" customWidth="1"/>
    <col min="10" max="10" width="11" style="115" customWidth="1"/>
    <col min="11" max="11" width="4" style="115" customWidth="1"/>
    <col min="12" max="12" width="12.28515625" style="115" customWidth="1"/>
    <col min="13" max="13" width="3.28515625" style="115" customWidth="1"/>
    <col min="14" max="14" width="12.7109375" style="115" customWidth="1"/>
    <col min="15" max="15" width="9" style="115" customWidth="1"/>
    <col min="16" max="16" width="7.7109375" style="115" customWidth="1"/>
    <col min="17" max="17" width="13.7109375" style="115" customWidth="1"/>
    <col min="18" max="18" width="1.5703125" style="115" customWidth="1"/>
    <col min="19" max="19" width="9.5703125" style="115" customWidth="1"/>
    <col min="20" max="20" width="11.42578125" style="115"/>
    <col min="21" max="21" width="4.28515625" style="115" customWidth="1"/>
    <col min="22" max="22" width="8.28515625" style="115" customWidth="1"/>
    <col min="23" max="23" width="11.42578125" style="115"/>
    <col min="24" max="24" width="9.7109375" style="115" customWidth="1"/>
    <col min="25" max="25" width="8.28515625" style="115" customWidth="1"/>
    <col min="26" max="26" width="11.42578125" style="115"/>
    <col min="27" max="27" width="4.5703125" style="115" customWidth="1"/>
    <col min="28" max="16384" width="11.42578125" style="115"/>
  </cols>
  <sheetData>
    <row r="1" spans="1:36" ht="18.600000000000001" customHeight="1" x14ac:dyDescent="0.4">
      <c r="A1" s="90" t="s">
        <v>39</v>
      </c>
      <c r="C1" s="2541" t="s">
        <v>149</v>
      </c>
      <c r="D1" s="2541"/>
      <c r="E1" s="2541"/>
    </row>
    <row r="2" spans="1:36" ht="18.600000000000001" customHeight="1" x14ac:dyDescent="0.4"/>
    <row r="3" spans="1:36" ht="18.600000000000001" customHeight="1" x14ac:dyDescent="0.4">
      <c r="A3" s="3508" t="s">
        <v>41</v>
      </c>
      <c r="B3" s="3513"/>
      <c r="C3" s="3508" t="s">
        <v>7281</v>
      </c>
      <c r="D3" s="3510"/>
      <c r="E3" s="3510"/>
      <c r="F3" s="3510"/>
      <c r="G3" s="3510"/>
      <c r="H3" s="3510"/>
      <c r="I3" s="3510"/>
      <c r="J3" s="3510"/>
      <c r="K3" s="3510"/>
      <c r="L3" s="3510"/>
      <c r="M3" s="3510"/>
      <c r="N3" s="3510"/>
      <c r="O3" s="3510"/>
      <c r="P3" s="3510"/>
      <c r="Q3" s="3510"/>
      <c r="R3" s="3510"/>
      <c r="S3" s="3510"/>
      <c r="T3" s="3510"/>
      <c r="U3" s="3510"/>
      <c r="V3" s="3510"/>
      <c r="W3" s="3510"/>
      <c r="X3" s="2096"/>
      <c r="Y3" s="2096"/>
      <c r="Z3" s="2096"/>
      <c r="AA3" s="2097"/>
    </row>
    <row r="4" spans="1:36" ht="18.600000000000001" customHeight="1" x14ac:dyDescent="0.4">
      <c r="A4" s="3508" t="s">
        <v>42</v>
      </c>
      <c r="B4" s="3509"/>
      <c r="C4" s="3508" t="s">
        <v>7282</v>
      </c>
      <c r="D4" s="3510"/>
      <c r="E4" s="3510"/>
      <c r="F4" s="3510"/>
      <c r="G4" s="3510"/>
      <c r="H4" s="3510"/>
      <c r="I4" s="3510"/>
      <c r="J4" s="3510"/>
      <c r="K4" s="3510"/>
      <c r="L4" s="3510"/>
      <c r="M4" s="3510"/>
      <c r="N4" s="3510"/>
      <c r="O4" s="3510"/>
      <c r="P4" s="3510"/>
      <c r="Q4" s="3510"/>
      <c r="R4" s="3510"/>
      <c r="S4" s="3510"/>
      <c r="T4" s="3510"/>
      <c r="U4" s="3510"/>
      <c r="V4" s="3510"/>
      <c r="W4" s="3510"/>
      <c r="X4" s="2096"/>
      <c r="Y4" s="2096"/>
      <c r="Z4" s="2096"/>
      <c r="AA4" s="2097"/>
    </row>
    <row r="5" spans="1:36" ht="18.600000000000001" customHeight="1" x14ac:dyDescent="0.4">
      <c r="A5" s="3508" t="s">
        <v>43</v>
      </c>
      <c r="B5" s="3509"/>
      <c r="C5" s="3508" t="s">
        <v>7284</v>
      </c>
      <c r="D5" s="3510"/>
      <c r="E5" s="3510"/>
      <c r="F5" s="3510"/>
      <c r="G5" s="3510"/>
      <c r="H5" s="3510"/>
      <c r="I5" s="3510"/>
      <c r="J5" s="3510"/>
      <c r="K5" s="3510"/>
      <c r="L5" s="3510"/>
      <c r="M5" s="3510"/>
      <c r="N5" s="3510"/>
      <c r="O5" s="3510"/>
      <c r="P5" s="3510"/>
      <c r="Q5" s="3510"/>
      <c r="R5" s="3510"/>
      <c r="S5" s="3510"/>
      <c r="T5" s="3510"/>
      <c r="U5" s="3510"/>
      <c r="V5" s="3510"/>
      <c r="W5" s="3510"/>
      <c r="X5" s="2096"/>
      <c r="Y5" s="2096"/>
      <c r="Z5" s="2096"/>
      <c r="AA5" s="2097"/>
    </row>
    <row r="6" spans="1:36" ht="18.600000000000001" customHeight="1" x14ac:dyDescent="0.4">
      <c r="A6" s="3508" t="s">
        <v>132</v>
      </c>
      <c r="B6" s="3509"/>
      <c r="C6" s="3508" t="s">
        <v>7342</v>
      </c>
      <c r="D6" s="3510"/>
      <c r="E6" s="3510"/>
      <c r="F6" s="3510"/>
      <c r="G6" s="3510"/>
      <c r="H6" s="3510"/>
      <c r="I6" s="3510"/>
      <c r="J6" s="3510"/>
      <c r="K6" s="3510"/>
      <c r="L6" s="3510"/>
      <c r="M6" s="3510"/>
      <c r="N6" s="3510"/>
      <c r="O6" s="3510"/>
      <c r="P6" s="3510"/>
      <c r="Q6" s="3510"/>
      <c r="R6" s="3510"/>
      <c r="S6" s="3510"/>
      <c r="T6" s="3510"/>
      <c r="U6" s="3510"/>
      <c r="V6" s="3510"/>
      <c r="W6" s="3510"/>
      <c r="X6" s="2096"/>
      <c r="Y6" s="2096"/>
      <c r="Z6" s="2096"/>
      <c r="AA6" s="2097"/>
    </row>
    <row r="7" spans="1:36" ht="18.600000000000001" customHeight="1" x14ac:dyDescent="0.4"/>
    <row r="9" spans="1:36" ht="19.5" x14ac:dyDescent="0.4">
      <c r="C9" s="187" t="s">
        <v>7342</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row>
    <row r="10" spans="1:36" ht="12.6" customHeight="1" x14ac:dyDescent="0.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row>
    <row r="11" spans="1:36" x14ac:dyDescent="0.4">
      <c r="C11" s="3502" t="s">
        <v>247</v>
      </c>
      <c r="D11" s="3502" t="s">
        <v>47</v>
      </c>
      <c r="E11" s="3502"/>
      <c r="F11" s="3512" t="s">
        <v>48</v>
      </c>
      <c r="G11" s="3512"/>
      <c r="H11" s="3512"/>
      <c r="I11" s="3512"/>
      <c r="J11" s="3512"/>
      <c r="K11" s="3512"/>
      <c r="L11" s="3512"/>
      <c r="M11" s="2098"/>
      <c r="N11" s="3504" t="s">
        <v>7343</v>
      </c>
      <c r="O11" s="3504"/>
      <c r="P11" s="3504"/>
      <c r="Q11" s="3504"/>
      <c r="R11" s="3504"/>
      <c r="S11" s="3504"/>
      <c r="T11" s="3504"/>
      <c r="U11" s="3504"/>
      <c r="V11" s="3504"/>
      <c r="W11" s="3504"/>
      <c r="X11" s="3504"/>
      <c r="Y11" s="3504"/>
      <c r="Z11" s="3504"/>
      <c r="AA11" s="2099"/>
      <c r="AB11" s="3502" t="s">
        <v>7344</v>
      </c>
      <c r="AC11" s="3502"/>
      <c r="AD11" s="3502"/>
      <c r="AE11" s="3502"/>
      <c r="AF11" s="3502"/>
      <c r="AG11" s="3502"/>
      <c r="AH11" s="3502"/>
      <c r="AI11" s="3502"/>
      <c r="AJ11" s="3502"/>
    </row>
    <row r="12" spans="1:36" ht="30" customHeight="1" x14ac:dyDescent="0.4">
      <c r="C12" s="3511"/>
      <c r="D12" s="3511"/>
      <c r="E12" s="3511"/>
      <c r="F12" s="3504" t="s">
        <v>894</v>
      </c>
      <c r="G12" s="3504"/>
      <c r="H12" s="2100"/>
      <c r="I12" s="3504" t="s">
        <v>895</v>
      </c>
      <c r="J12" s="3504"/>
      <c r="K12" s="2100"/>
      <c r="L12" s="2101" t="s">
        <v>7345</v>
      </c>
      <c r="M12" s="2100"/>
      <c r="N12" s="3505" t="s">
        <v>7346</v>
      </c>
      <c r="O12" s="3505"/>
      <c r="P12" s="3505"/>
      <c r="Q12" s="3505"/>
      <c r="R12" s="2102"/>
      <c r="S12" s="3505" t="s">
        <v>7347</v>
      </c>
      <c r="T12" s="3505"/>
      <c r="U12" s="2102"/>
      <c r="V12" s="3505" t="s">
        <v>7348</v>
      </c>
      <c r="W12" s="3505"/>
      <c r="X12" s="3506" t="s">
        <v>7349</v>
      </c>
      <c r="Y12" s="3506" t="s">
        <v>7350</v>
      </c>
      <c r="Z12" s="3506" t="s">
        <v>7345</v>
      </c>
      <c r="AA12" s="2100"/>
      <c r="AB12" s="3503"/>
      <c r="AC12" s="3503"/>
      <c r="AD12" s="3503"/>
      <c r="AE12" s="3503"/>
      <c r="AF12" s="3503"/>
      <c r="AG12" s="3503"/>
      <c r="AH12" s="3503"/>
      <c r="AI12" s="3503"/>
      <c r="AJ12" s="3503"/>
    </row>
    <row r="13" spans="1:36" ht="75" x14ac:dyDescent="0.4">
      <c r="C13" s="3503"/>
      <c r="D13" s="2103" t="s">
        <v>257</v>
      </c>
      <c r="E13" s="2104" t="s">
        <v>989</v>
      </c>
      <c r="F13" s="2103" t="s">
        <v>257</v>
      </c>
      <c r="G13" s="2104" t="s">
        <v>989</v>
      </c>
      <c r="H13" s="2104"/>
      <c r="I13" s="2103" t="s">
        <v>257</v>
      </c>
      <c r="J13" s="2104" t="s">
        <v>989</v>
      </c>
      <c r="K13" s="2104"/>
      <c r="L13" s="2103" t="s">
        <v>257</v>
      </c>
      <c r="M13" s="2104"/>
      <c r="N13" s="2104" t="s">
        <v>4657</v>
      </c>
      <c r="O13" s="2105" t="s">
        <v>5781</v>
      </c>
      <c r="P13" s="2105" t="s">
        <v>7351</v>
      </c>
      <c r="Q13" s="2104" t="s">
        <v>7352</v>
      </c>
      <c r="R13" s="2104"/>
      <c r="S13" s="2104" t="s">
        <v>5771</v>
      </c>
      <c r="T13" s="2104" t="s">
        <v>7353</v>
      </c>
      <c r="U13" s="2104"/>
      <c r="V13" s="2104" t="s">
        <v>5765</v>
      </c>
      <c r="W13" s="2104" t="s">
        <v>7354</v>
      </c>
      <c r="X13" s="3507"/>
      <c r="Y13" s="3507"/>
      <c r="Z13" s="3507"/>
      <c r="AA13" s="2104"/>
      <c r="AB13" s="2106" t="s">
        <v>7355</v>
      </c>
      <c r="AC13" s="2104" t="s">
        <v>6113</v>
      </c>
      <c r="AD13" s="2104" t="s">
        <v>6114</v>
      </c>
      <c r="AE13" s="2104" t="s">
        <v>7356</v>
      </c>
      <c r="AF13" s="2104" t="s">
        <v>69</v>
      </c>
      <c r="AG13" s="2104" t="s">
        <v>6117</v>
      </c>
      <c r="AH13" s="2104" t="s">
        <v>6118</v>
      </c>
      <c r="AI13" s="2104" t="s">
        <v>7357</v>
      </c>
      <c r="AJ13" s="2104" t="s">
        <v>7358</v>
      </c>
    </row>
    <row r="14" spans="1:36" x14ac:dyDescent="0.4">
      <c r="C14" s="1854">
        <v>2010</v>
      </c>
      <c r="D14" s="1854">
        <v>527</v>
      </c>
      <c r="E14" s="1854">
        <v>11.5</v>
      </c>
      <c r="F14" s="1854">
        <v>466</v>
      </c>
      <c r="G14" s="1854">
        <v>20.100000000000001</v>
      </c>
      <c r="H14" s="1854"/>
      <c r="I14" s="1854">
        <v>61</v>
      </c>
      <c r="J14" s="1854">
        <v>2.7</v>
      </c>
      <c r="K14" s="1854"/>
      <c r="L14" s="1854">
        <v>0</v>
      </c>
      <c r="M14" s="1854"/>
      <c r="N14" s="1854">
        <v>415</v>
      </c>
      <c r="O14" s="1854">
        <v>76</v>
      </c>
      <c r="P14" s="1854">
        <v>6</v>
      </c>
      <c r="Q14" s="1854">
        <v>4</v>
      </c>
      <c r="R14" s="1854"/>
      <c r="S14" s="1854">
        <v>5</v>
      </c>
      <c r="T14" s="1854">
        <v>5</v>
      </c>
      <c r="U14" s="1854"/>
      <c r="V14" s="1854">
        <v>12</v>
      </c>
      <c r="W14" s="1854">
        <v>0</v>
      </c>
      <c r="X14" s="1854">
        <v>5</v>
      </c>
      <c r="Y14" s="1854">
        <v>2</v>
      </c>
      <c r="Z14" s="1854">
        <v>2</v>
      </c>
      <c r="AA14" s="1854"/>
      <c r="AB14" s="1854">
        <v>14</v>
      </c>
      <c r="AC14" s="1854">
        <v>2</v>
      </c>
      <c r="AD14" s="1854">
        <v>8</v>
      </c>
      <c r="AE14" s="1854">
        <v>17</v>
      </c>
      <c r="AF14" s="1854">
        <v>119</v>
      </c>
      <c r="AG14" s="1854">
        <v>158</v>
      </c>
      <c r="AH14" s="1854">
        <v>179</v>
      </c>
      <c r="AI14" s="1854">
        <v>30</v>
      </c>
    </row>
    <row r="15" spans="1:36" x14ac:dyDescent="0.4">
      <c r="C15" s="1854">
        <v>2011</v>
      </c>
      <c r="D15" s="1854">
        <v>474</v>
      </c>
      <c r="E15" s="1854">
        <v>10.3</v>
      </c>
      <c r="F15" s="1854">
        <v>410</v>
      </c>
      <c r="G15" s="1854">
        <v>17.5</v>
      </c>
      <c r="H15" s="1854"/>
      <c r="I15" s="1854">
        <v>64</v>
      </c>
      <c r="J15" s="1854">
        <v>2.8</v>
      </c>
      <c r="K15" s="1854"/>
      <c r="L15" s="1854">
        <v>0</v>
      </c>
      <c r="M15" s="1854"/>
      <c r="N15" s="1854">
        <v>378</v>
      </c>
      <c r="O15" s="1854">
        <v>55</v>
      </c>
      <c r="P15" s="1854">
        <v>6</v>
      </c>
      <c r="Q15" s="1854">
        <v>4</v>
      </c>
      <c r="R15" s="1854"/>
      <c r="S15" s="1854">
        <v>5</v>
      </c>
      <c r="T15" s="1854">
        <v>9</v>
      </c>
      <c r="U15" s="1854"/>
      <c r="V15" s="1854">
        <v>14</v>
      </c>
      <c r="W15" s="1854">
        <v>2</v>
      </c>
      <c r="X15" s="1854">
        <v>1</v>
      </c>
      <c r="Y15" s="1854">
        <v>5</v>
      </c>
      <c r="Z15" s="1854">
        <v>0</v>
      </c>
      <c r="AA15" s="1854"/>
      <c r="AB15" s="1854">
        <v>14</v>
      </c>
      <c r="AC15" s="1854">
        <v>2</v>
      </c>
      <c r="AD15" s="1854">
        <v>6</v>
      </c>
      <c r="AE15" s="1854">
        <v>26</v>
      </c>
      <c r="AF15" s="1854">
        <v>108</v>
      </c>
      <c r="AG15" s="1854">
        <v>127</v>
      </c>
      <c r="AH15" s="1854">
        <v>164</v>
      </c>
      <c r="AI15" s="1854">
        <v>27</v>
      </c>
    </row>
    <row r="16" spans="1:36" x14ac:dyDescent="0.4">
      <c r="C16" s="1854">
        <v>2012</v>
      </c>
      <c r="D16" s="1854">
        <v>407</v>
      </c>
      <c r="E16" s="1854">
        <v>8.8000000000000007</v>
      </c>
      <c r="F16" s="1854">
        <v>357</v>
      </c>
      <c r="G16" s="1854">
        <v>15.2</v>
      </c>
      <c r="H16" s="1854"/>
      <c r="I16" s="1854">
        <v>50</v>
      </c>
      <c r="J16" s="1854">
        <v>2.2000000000000002</v>
      </c>
      <c r="K16" s="1854"/>
      <c r="L16" s="1854">
        <v>0</v>
      </c>
      <c r="M16" s="1854"/>
      <c r="N16" s="1854">
        <v>327</v>
      </c>
      <c r="O16" s="1854">
        <v>60</v>
      </c>
      <c r="P16" s="1854">
        <v>4</v>
      </c>
      <c r="Q16" s="1854">
        <v>2</v>
      </c>
      <c r="R16" s="1854"/>
      <c r="S16" s="1854">
        <v>1</v>
      </c>
      <c r="T16" s="1854">
        <v>2</v>
      </c>
      <c r="U16" s="1854"/>
      <c r="V16" s="1854">
        <v>9</v>
      </c>
      <c r="W16" s="1854">
        <v>1</v>
      </c>
      <c r="X16" s="1854">
        <v>2</v>
      </c>
      <c r="Y16" s="1854">
        <v>0</v>
      </c>
      <c r="Z16" s="1854">
        <v>0</v>
      </c>
      <c r="AA16" s="1854"/>
      <c r="AB16" s="1854">
        <v>7</v>
      </c>
      <c r="AC16" s="1854">
        <v>3</v>
      </c>
      <c r="AD16" s="1854">
        <v>3</v>
      </c>
      <c r="AE16" s="1854">
        <v>15</v>
      </c>
      <c r="AF16" s="1854">
        <v>95</v>
      </c>
      <c r="AG16" s="1854">
        <v>121</v>
      </c>
      <c r="AH16" s="1854">
        <v>149</v>
      </c>
      <c r="AI16" s="1854">
        <v>14</v>
      </c>
    </row>
    <row r="17" spans="3:36" x14ac:dyDescent="0.4">
      <c r="C17" s="1854">
        <v>2013</v>
      </c>
      <c r="D17" s="1854">
        <v>411</v>
      </c>
      <c r="E17" s="1854">
        <v>8.6999999999999993</v>
      </c>
      <c r="F17" s="1854">
        <v>375</v>
      </c>
      <c r="G17" s="1854">
        <v>15.8</v>
      </c>
      <c r="H17" s="1854"/>
      <c r="I17" s="1854">
        <v>36</v>
      </c>
      <c r="J17" s="1854">
        <v>1.5</v>
      </c>
      <c r="K17" s="1854"/>
      <c r="L17" s="1854">
        <v>0</v>
      </c>
      <c r="M17" s="1854"/>
      <c r="N17" s="1854">
        <v>324</v>
      </c>
      <c r="O17" s="1854">
        <v>58</v>
      </c>
      <c r="P17" s="1854">
        <v>8</v>
      </c>
      <c r="Q17" s="1854">
        <v>1</v>
      </c>
      <c r="R17" s="1854"/>
      <c r="S17" s="1854">
        <v>4</v>
      </c>
      <c r="T17" s="1854">
        <v>5</v>
      </c>
      <c r="U17" s="1854"/>
      <c r="V17" s="1854">
        <v>9</v>
      </c>
      <c r="W17" s="1854">
        <v>0</v>
      </c>
      <c r="X17" s="1854">
        <v>0</v>
      </c>
      <c r="Y17" s="1854">
        <v>6</v>
      </c>
      <c r="Z17" s="1854">
        <v>0</v>
      </c>
      <c r="AA17" s="1854"/>
      <c r="AB17" s="1854">
        <v>2</v>
      </c>
      <c r="AC17" s="1854">
        <v>0</v>
      </c>
      <c r="AD17" s="1854">
        <v>3</v>
      </c>
      <c r="AE17" s="1854">
        <v>15</v>
      </c>
      <c r="AF17" s="1854">
        <v>98</v>
      </c>
      <c r="AG17" s="1854">
        <v>114</v>
      </c>
      <c r="AH17" s="1854">
        <v>161</v>
      </c>
      <c r="AI17" s="1854">
        <v>18</v>
      </c>
    </row>
    <row r="18" spans="3:36" x14ac:dyDescent="0.4">
      <c r="C18" s="1854">
        <v>2014</v>
      </c>
      <c r="D18" s="1854">
        <v>477</v>
      </c>
      <c r="E18" s="1854">
        <v>10</v>
      </c>
      <c r="F18" s="1854">
        <v>426</v>
      </c>
      <c r="G18" s="1854">
        <v>17.7</v>
      </c>
      <c r="H18" s="1854"/>
      <c r="I18" s="1854">
        <v>51</v>
      </c>
      <c r="J18" s="1854">
        <v>2.2000000000000002</v>
      </c>
      <c r="K18" s="1854"/>
      <c r="L18" s="1854">
        <v>0</v>
      </c>
      <c r="M18" s="1854"/>
      <c r="N18" s="1854">
        <v>387</v>
      </c>
      <c r="O18" s="1854">
        <v>64</v>
      </c>
      <c r="P18" s="1854">
        <v>4</v>
      </c>
      <c r="Q18" s="1854">
        <v>1</v>
      </c>
      <c r="R18" s="1854"/>
      <c r="S18" s="1854">
        <v>2</v>
      </c>
      <c r="T18" s="1854">
        <v>2</v>
      </c>
      <c r="U18" s="1854"/>
      <c r="V18" s="1854">
        <v>6</v>
      </c>
      <c r="W18" s="1854">
        <v>2</v>
      </c>
      <c r="X18" s="1854">
        <v>5</v>
      </c>
      <c r="Y18" s="1854">
        <v>3</v>
      </c>
      <c r="Z18" s="1854">
        <v>3</v>
      </c>
      <c r="AA18" s="1854"/>
      <c r="AB18" s="1854">
        <v>4</v>
      </c>
      <c r="AC18" s="1854">
        <v>0</v>
      </c>
      <c r="AD18" s="1854">
        <v>2</v>
      </c>
      <c r="AE18" s="1854">
        <v>24</v>
      </c>
      <c r="AF18" s="1854">
        <v>102</v>
      </c>
      <c r="AG18" s="1854">
        <v>154</v>
      </c>
      <c r="AH18" s="1854">
        <v>170</v>
      </c>
      <c r="AI18" s="1854">
        <v>21</v>
      </c>
    </row>
    <row r="19" spans="3:36" x14ac:dyDescent="0.4">
      <c r="C19" s="1854">
        <v>2015</v>
      </c>
      <c r="D19" s="1854">
        <v>557</v>
      </c>
      <c r="E19" s="1854">
        <v>11.5</v>
      </c>
      <c r="F19" s="1854">
        <v>515</v>
      </c>
      <c r="G19" s="1854">
        <v>21.1</v>
      </c>
      <c r="H19" s="1854"/>
      <c r="I19" s="1854">
        <v>42</v>
      </c>
      <c r="J19" s="1854">
        <v>1.8</v>
      </c>
      <c r="K19" s="1854"/>
      <c r="L19" s="1854">
        <v>0</v>
      </c>
      <c r="M19" s="1854"/>
      <c r="N19" s="1854">
        <v>444</v>
      </c>
      <c r="O19" s="1854">
        <v>77</v>
      </c>
      <c r="P19" s="1854">
        <v>9</v>
      </c>
      <c r="Q19" s="1854">
        <v>4</v>
      </c>
      <c r="R19" s="1854"/>
      <c r="S19" s="1854">
        <v>4</v>
      </c>
      <c r="T19" s="1854">
        <v>6</v>
      </c>
      <c r="U19" s="1854"/>
      <c r="V19" s="1854">
        <v>7</v>
      </c>
      <c r="W19" s="1854">
        <v>2</v>
      </c>
      <c r="X19" s="1854">
        <v>1</v>
      </c>
      <c r="Y19" s="1854">
        <v>3</v>
      </c>
      <c r="Z19" s="1854">
        <v>4</v>
      </c>
      <c r="AA19" s="1854"/>
      <c r="AB19" s="1854">
        <v>5</v>
      </c>
      <c r="AC19" s="1854">
        <v>3</v>
      </c>
      <c r="AD19" s="1854">
        <v>5</v>
      </c>
      <c r="AE19" s="1854">
        <v>13</v>
      </c>
      <c r="AF19" s="1854">
        <v>124</v>
      </c>
      <c r="AG19" s="1854">
        <v>182</v>
      </c>
      <c r="AH19" s="1854">
        <v>196</v>
      </c>
      <c r="AI19" s="1854">
        <v>29</v>
      </c>
    </row>
    <row r="20" spans="3:36" x14ac:dyDescent="0.4">
      <c r="C20" s="1854">
        <v>2016</v>
      </c>
      <c r="D20" s="1854">
        <v>578</v>
      </c>
      <c r="E20" s="1854">
        <v>11.8</v>
      </c>
      <c r="F20" s="1854">
        <v>512</v>
      </c>
      <c r="G20" s="1854">
        <v>20.8</v>
      </c>
      <c r="H20" s="1854"/>
      <c r="I20" s="1854">
        <v>66</v>
      </c>
      <c r="J20" s="1854">
        <v>2.6</v>
      </c>
      <c r="K20" s="1854"/>
      <c r="L20" s="1854">
        <v>0</v>
      </c>
      <c r="M20" s="1854"/>
      <c r="N20" s="1854">
        <v>446</v>
      </c>
      <c r="O20" s="1854">
        <v>86</v>
      </c>
      <c r="P20" s="1854">
        <v>6</v>
      </c>
      <c r="Q20" s="1854">
        <v>4</v>
      </c>
      <c r="R20" s="1854"/>
      <c r="S20" s="1854">
        <v>3</v>
      </c>
      <c r="T20" s="1854">
        <v>0</v>
      </c>
      <c r="U20" s="1854"/>
      <c r="V20" s="1854">
        <v>8</v>
      </c>
      <c r="W20" s="1854">
        <v>1</v>
      </c>
      <c r="X20" s="1854">
        <v>4</v>
      </c>
      <c r="Y20" s="1854">
        <v>4</v>
      </c>
      <c r="Z20" s="1854">
        <v>16</v>
      </c>
      <c r="AA20" s="1854"/>
      <c r="AB20" s="1854">
        <v>7</v>
      </c>
      <c r="AC20" s="1854">
        <v>3</v>
      </c>
      <c r="AD20" s="1854">
        <v>6</v>
      </c>
      <c r="AE20" s="1854">
        <v>22</v>
      </c>
      <c r="AF20" s="1854">
        <v>117</v>
      </c>
      <c r="AG20" s="1854">
        <v>200</v>
      </c>
      <c r="AH20" s="1854">
        <v>194</v>
      </c>
      <c r="AI20" s="1854">
        <v>29</v>
      </c>
    </row>
    <row r="21" spans="3:36" x14ac:dyDescent="0.4">
      <c r="C21" s="1854">
        <v>2017</v>
      </c>
      <c r="D21" s="1854">
        <v>603</v>
      </c>
      <c r="E21" s="1471">
        <v>12.2</v>
      </c>
      <c r="F21" s="1854">
        <v>545</v>
      </c>
      <c r="G21" s="1471">
        <v>21.754871694157639</v>
      </c>
      <c r="H21" s="1854"/>
      <c r="I21" s="1854">
        <v>58</v>
      </c>
      <c r="J21" s="1471">
        <v>2.4</v>
      </c>
      <c r="K21" s="1471"/>
      <c r="L21" s="1854">
        <v>0</v>
      </c>
      <c r="M21" s="1854"/>
      <c r="N21" s="1854">
        <v>508</v>
      </c>
      <c r="O21" s="1854">
        <v>61</v>
      </c>
      <c r="P21" s="1854">
        <v>6</v>
      </c>
      <c r="Q21" s="1854">
        <v>1</v>
      </c>
      <c r="R21" s="1854"/>
      <c r="S21" s="1854">
        <v>0</v>
      </c>
      <c r="T21" s="1854">
        <v>2</v>
      </c>
      <c r="U21" s="1854"/>
      <c r="V21" s="1854">
        <v>9</v>
      </c>
      <c r="W21" s="1854">
        <v>0</v>
      </c>
      <c r="X21" s="1854">
        <v>1</v>
      </c>
      <c r="Y21" s="1854">
        <v>4</v>
      </c>
      <c r="Z21" s="1854">
        <v>11</v>
      </c>
      <c r="AA21" s="1854"/>
      <c r="AB21" s="1854">
        <v>5</v>
      </c>
      <c r="AC21" s="1854">
        <v>2</v>
      </c>
      <c r="AD21" s="1854">
        <v>2</v>
      </c>
      <c r="AE21" s="1854">
        <v>17</v>
      </c>
      <c r="AF21" s="1854">
        <v>160</v>
      </c>
      <c r="AG21" s="1854">
        <v>216</v>
      </c>
      <c r="AH21" s="1854">
        <v>178</v>
      </c>
      <c r="AI21" s="1854">
        <v>23</v>
      </c>
    </row>
    <row r="22" spans="3:36" x14ac:dyDescent="0.4">
      <c r="C22" s="1854">
        <v>2018</v>
      </c>
      <c r="D22" s="1854">
        <v>585</v>
      </c>
      <c r="E22" s="1854">
        <v>11.7</v>
      </c>
      <c r="F22" s="1854">
        <v>519</v>
      </c>
      <c r="G22" s="1854">
        <v>20.6</v>
      </c>
      <c r="H22" s="1854"/>
      <c r="I22" s="1854">
        <v>65</v>
      </c>
      <c r="J22" s="1854">
        <v>2.6</v>
      </c>
      <c r="K22" s="1854"/>
      <c r="L22" s="1854">
        <v>1</v>
      </c>
      <c r="M22" s="1854"/>
      <c r="N22" s="1854">
        <v>483</v>
      </c>
      <c r="O22" s="1854">
        <v>63</v>
      </c>
      <c r="P22" s="1854">
        <v>7</v>
      </c>
      <c r="Q22" s="1854">
        <v>0</v>
      </c>
      <c r="R22" s="1854"/>
      <c r="S22" s="1854">
        <v>3</v>
      </c>
      <c r="T22" s="1854">
        <v>2</v>
      </c>
      <c r="U22" s="1854"/>
      <c r="V22" s="1854">
        <v>11</v>
      </c>
      <c r="W22" s="1854">
        <v>3</v>
      </c>
      <c r="X22" s="1854">
        <v>4</v>
      </c>
      <c r="Y22" s="1854">
        <v>6</v>
      </c>
      <c r="Z22" s="1854">
        <v>3</v>
      </c>
      <c r="AA22" s="1854"/>
      <c r="AB22" s="1854">
        <v>4</v>
      </c>
      <c r="AC22" s="1854">
        <v>2</v>
      </c>
      <c r="AD22" s="1854">
        <v>4</v>
      </c>
      <c r="AE22" s="1854">
        <v>19</v>
      </c>
      <c r="AF22" s="1854">
        <v>141</v>
      </c>
      <c r="AG22" s="1854">
        <v>197</v>
      </c>
      <c r="AH22" s="1854">
        <v>187</v>
      </c>
      <c r="AI22" s="1854">
        <v>31</v>
      </c>
    </row>
    <row r="23" spans="3:36" x14ac:dyDescent="0.4">
      <c r="C23" s="1854">
        <v>2019</v>
      </c>
      <c r="D23" s="1854">
        <v>563</v>
      </c>
      <c r="E23" s="1854">
        <v>11.1</v>
      </c>
      <c r="F23" s="1854">
        <v>512</v>
      </c>
      <c r="G23" s="1854">
        <v>20.2</v>
      </c>
      <c r="H23" s="1854"/>
      <c r="I23" s="1854">
        <v>48</v>
      </c>
      <c r="J23" s="1854">
        <v>1.9</v>
      </c>
      <c r="K23" s="1854"/>
      <c r="L23" s="1854">
        <v>3</v>
      </c>
      <c r="M23" s="1854"/>
      <c r="N23" s="1854">
        <v>475</v>
      </c>
      <c r="O23" s="1854">
        <v>59</v>
      </c>
      <c r="P23" s="1854">
        <v>1</v>
      </c>
      <c r="Q23" s="1854">
        <v>3</v>
      </c>
      <c r="R23" s="1854"/>
      <c r="S23" s="1854">
        <v>2</v>
      </c>
      <c r="T23" s="1854">
        <v>2</v>
      </c>
      <c r="U23" s="1854"/>
      <c r="V23" s="1854">
        <v>6</v>
      </c>
      <c r="W23" s="1854">
        <v>0</v>
      </c>
      <c r="X23" s="1854">
        <v>0</v>
      </c>
      <c r="Y23" s="1854">
        <v>2</v>
      </c>
      <c r="Z23" s="1854">
        <v>13</v>
      </c>
      <c r="AA23" s="1854"/>
      <c r="AB23" s="1854">
        <v>5</v>
      </c>
      <c r="AC23" s="1854">
        <v>1</v>
      </c>
      <c r="AD23" s="1854">
        <v>1</v>
      </c>
      <c r="AE23" s="1854">
        <v>12</v>
      </c>
      <c r="AF23" s="1854">
        <v>120</v>
      </c>
      <c r="AG23" s="1854">
        <v>199</v>
      </c>
      <c r="AH23" s="1854">
        <v>197</v>
      </c>
      <c r="AI23" s="1854">
        <v>28</v>
      </c>
    </row>
    <row r="24" spans="3:36" x14ac:dyDescent="0.4">
      <c r="C24" s="1854">
        <v>2020</v>
      </c>
      <c r="D24" s="1854">
        <v>570</v>
      </c>
      <c r="E24" s="1854">
        <v>11.2</v>
      </c>
      <c r="F24" s="1854">
        <v>507</v>
      </c>
      <c r="G24" s="1854">
        <v>19.7</v>
      </c>
      <c r="H24" s="1854"/>
      <c r="I24" s="1854">
        <v>62</v>
      </c>
      <c r="J24" s="1854">
        <v>2.4</v>
      </c>
      <c r="K24" s="1854"/>
      <c r="L24" s="1854">
        <v>1</v>
      </c>
      <c r="M24" s="1854"/>
      <c r="N24" s="1854">
        <v>492</v>
      </c>
      <c r="O24" s="1854">
        <v>61</v>
      </c>
      <c r="P24" s="1854">
        <v>6</v>
      </c>
      <c r="Q24" s="1854">
        <v>2</v>
      </c>
      <c r="R24" s="1854"/>
      <c r="S24" s="1854">
        <v>1</v>
      </c>
      <c r="T24" s="1854">
        <v>0</v>
      </c>
      <c r="U24" s="1854"/>
      <c r="V24" s="1854">
        <v>1</v>
      </c>
      <c r="W24" s="1854">
        <v>1</v>
      </c>
      <c r="X24" s="1854">
        <v>0</v>
      </c>
      <c r="Y24" s="1854">
        <v>3</v>
      </c>
      <c r="Z24" s="1854">
        <v>3</v>
      </c>
      <c r="AA24" s="1854"/>
      <c r="AB24" s="1854">
        <v>3</v>
      </c>
      <c r="AC24" s="1854">
        <v>0</v>
      </c>
      <c r="AD24" s="1854">
        <v>3</v>
      </c>
      <c r="AE24" s="1854">
        <v>19</v>
      </c>
      <c r="AF24" s="1854">
        <v>122</v>
      </c>
      <c r="AG24" s="1854">
        <v>191</v>
      </c>
      <c r="AH24" s="1854">
        <v>206</v>
      </c>
      <c r="AI24" s="1854">
        <v>23</v>
      </c>
    </row>
    <row r="25" spans="3:36" x14ac:dyDescent="0.4">
      <c r="C25" s="1854">
        <v>2021</v>
      </c>
      <c r="D25" s="1854">
        <f>F25+I25+L25</f>
        <v>588</v>
      </c>
      <c r="E25" s="1854">
        <v>11.4</v>
      </c>
      <c r="F25" s="1854">
        <v>531</v>
      </c>
      <c r="G25" s="1854">
        <v>20.5</v>
      </c>
      <c r="H25" s="1854"/>
      <c r="I25" s="1854">
        <v>56</v>
      </c>
      <c r="J25" s="1854">
        <v>2.2000000000000002</v>
      </c>
      <c r="K25" s="1854"/>
      <c r="L25" s="1854">
        <v>1</v>
      </c>
      <c r="M25" s="1854"/>
      <c r="N25" s="1854">
        <v>488</v>
      </c>
      <c r="O25" s="1854">
        <v>62</v>
      </c>
      <c r="P25" s="1854">
        <v>3</v>
      </c>
      <c r="Q25" s="1854">
        <v>0</v>
      </c>
      <c r="R25" s="1854"/>
      <c r="S25" s="1854">
        <v>2</v>
      </c>
      <c r="T25" s="1854">
        <v>2</v>
      </c>
      <c r="U25" s="1854"/>
      <c r="V25" s="1854">
        <v>10</v>
      </c>
      <c r="W25" s="1854">
        <v>1</v>
      </c>
      <c r="X25" s="1854">
        <v>1</v>
      </c>
      <c r="Y25" s="1854">
        <v>6</v>
      </c>
      <c r="Z25" s="1854">
        <v>13</v>
      </c>
      <c r="AA25" s="1854"/>
      <c r="AB25" s="1854">
        <v>1</v>
      </c>
      <c r="AC25" s="1854">
        <v>0</v>
      </c>
      <c r="AD25" s="1854">
        <v>2</v>
      </c>
      <c r="AE25" s="1854">
        <v>11</v>
      </c>
      <c r="AF25" s="1854">
        <v>114</v>
      </c>
      <c r="AG25" s="1854">
        <v>193</v>
      </c>
      <c r="AH25" s="1854">
        <f>250+6</f>
        <v>256</v>
      </c>
      <c r="AI25" s="1854">
        <v>11</v>
      </c>
      <c r="AJ25" s="115">
        <v>0</v>
      </c>
    </row>
    <row r="26" spans="3:36" x14ac:dyDescent="0.4">
      <c r="C26" s="1854">
        <v>2022</v>
      </c>
      <c r="D26" s="1854">
        <f>F26+I26+L26</f>
        <v>656</v>
      </c>
      <c r="E26" s="1471">
        <f>(D26/5213362)*100000</f>
        <v>12.583051013913861</v>
      </c>
      <c r="F26" s="1854">
        <v>609</v>
      </c>
      <c r="G26" s="1471">
        <f>(F26/2624983)*100000</f>
        <v>23.200150248592088</v>
      </c>
      <c r="H26" s="1854"/>
      <c r="I26" s="1854">
        <v>47</v>
      </c>
      <c r="J26" s="1471">
        <f>(I26/2588379)*100000</f>
        <v>1.8158082722816093</v>
      </c>
      <c r="K26" s="1854"/>
      <c r="L26" s="1854">
        <v>0</v>
      </c>
      <c r="M26" s="1854"/>
      <c r="N26" s="1854">
        <v>569</v>
      </c>
      <c r="O26" s="1854">
        <v>62</v>
      </c>
      <c r="P26" s="1854">
        <v>7</v>
      </c>
      <c r="Q26" s="1854">
        <v>0</v>
      </c>
      <c r="R26" s="1854"/>
      <c r="S26" s="1854">
        <v>1</v>
      </c>
      <c r="T26" s="1854">
        <v>0</v>
      </c>
      <c r="U26" s="1854"/>
      <c r="V26" s="1854">
        <v>3</v>
      </c>
      <c r="W26" s="1854">
        <v>3</v>
      </c>
      <c r="X26" s="1854">
        <v>1</v>
      </c>
      <c r="Y26" s="1854">
        <v>2</v>
      </c>
      <c r="Z26" s="1854">
        <v>8</v>
      </c>
      <c r="AA26" s="1854"/>
      <c r="AB26" s="1854">
        <v>4</v>
      </c>
      <c r="AC26" s="1854">
        <v>1</v>
      </c>
      <c r="AD26" s="1854">
        <v>2</v>
      </c>
      <c r="AE26" s="1854">
        <v>15</v>
      </c>
      <c r="AF26" s="1854">
        <v>120</v>
      </c>
      <c r="AG26" s="1854">
        <v>247</v>
      </c>
      <c r="AH26" s="1854">
        <v>237</v>
      </c>
      <c r="AI26" s="1854">
        <v>17</v>
      </c>
      <c r="AJ26" s="115">
        <v>13</v>
      </c>
    </row>
    <row r="27" spans="3:36" x14ac:dyDescent="0.4">
      <c r="C27" s="2107">
        <v>2023</v>
      </c>
      <c r="D27" s="2107">
        <v>905</v>
      </c>
      <c r="E27" s="1583">
        <v>17.2</v>
      </c>
      <c r="F27" s="2107">
        <v>831</v>
      </c>
      <c r="G27" s="1583">
        <v>31.2</v>
      </c>
      <c r="H27" s="2107"/>
      <c r="I27" s="2107">
        <v>71</v>
      </c>
      <c r="J27" s="1583">
        <v>2.7</v>
      </c>
      <c r="K27" s="2107"/>
      <c r="L27" s="2107">
        <v>3</v>
      </c>
      <c r="M27" s="2107"/>
      <c r="N27" s="2107">
        <v>765</v>
      </c>
      <c r="O27" s="2107">
        <v>100</v>
      </c>
      <c r="P27" s="2107">
        <v>6</v>
      </c>
      <c r="Q27" s="2107">
        <v>3</v>
      </c>
      <c r="R27" s="2107"/>
      <c r="S27" s="2107">
        <v>1</v>
      </c>
      <c r="T27" s="2107">
        <v>1</v>
      </c>
      <c r="U27" s="2107"/>
      <c r="V27" s="2107">
        <v>13</v>
      </c>
      <c r="W27" s="2107">
        <v>0</v>
      </c>
      <c r="X27" s="2107">
        <v>3</v>
      </c>
      <c r="Y27" s="2107">
        <v>6</v>
      </c>
      <c r="Z27" s="2107">
        <v>7</v>
      </c>
      <c r="AA27" s="2107"/>
      <c r="AB27" s="2107">
        <v>6</v>
      </c>
      <c r="AC27" s="2107">
        <v>1</v>
      </c>
      <c r="AD27" s="2107">
        <v>2</v>
      </c>
      <c r="AE27" s="2107">
        <v>33</v>
      </c>
      <c r="AF27" s="2107">
        <v>196</v>
      </c>
      <c r="AG27" s="2107">
        <v>311</v>
      </c>
      <c r="AH27" s="2107">
        <v>319</v>
      </c>
      <c r="AI27" s="2107">
        <v>28</v>
      </c>
      <c r="AJ27" s="120">
        <v>9</v>
      </c>
    </row>
    <row r="28" spans="3:36" ht="19.5" x14ac:dyDescent="0.4">
      <c r="C28" s="115" t="s">
        <v>7359</v>
      </c>
    </row>
    <row r="29" spans="3:36" ht="19.5" x14ac:dyDescent="0.4">
      <c r="C29" s="115" t="s">
        <v>7360</v>
      </c>
    </row>
    <row r="30" spans="3:36" ht="19.5" x14ac:dyDescent="0.4">
      <c r="C30" s="115" t="s">
        <v>7361</v>
      </c>
    </row>
    <row r="31" spans="3:36" ht="19.5" x14ac:dyDescent="0.4">
      <c r="C31" s="115" t="s">
        <v>7362</v>
      </c>
    </row>
    <row r="32" spans="3:36" ht="19.5" x14ac:dyDescent="0.4">
      <c r="C32" s="115" t="s">
        <v>7363</v>
      </c>
    </row>
    <row r="33" spans="3:12" x14ac:dyDescent="0.4">
      <c r="C33" s="115" t="s">
        <v>7364</v>
      </c>
    </row>
    <row r="35" spans="3:12" ht="19.5" x14ac:dyDescent="0.4">
      <c r="C35" s="532" t="s">
        <v>7365</v>
      </c>
      <c r="D35" s="1032"/>
      <c r="E35" s="1032"/>
      <c r="F35" s="1032"/>
      <c r="G35" s="1032"/>
      <c r="H35" s="1032"/>
      <c r="I35" s="1032"/>
      <c r="J35" s="1032"/>
      <c r="K35" s="1032"/>
      <c r="L35" s="1032"/>
    </row>
    <row r="37" spans="3:12" x14ac:dyDescent="0.4">
      <c r="C37" s="1675"/>
      <c r="D37" s="1675"/>
      <c r="E37" s="1675"/>
      <c r="F37" s="1675"/>
      <c r="G37" s="649"/>
      <c r="H37" s="649"/>
      <c r="I37" s="649"/>
    </row>
    <row r="57" spans="3:3" x14ac:dyDescent="0.4">
      <c r="C57" s="301" t="s">
        <v>7366</v>
      </c>
    </row>
    <row r="58" spans="3:3" x14ac:dyDescent="0.4">
      <c r="C58" s="301" t="s">
        <v>7367</v>
      </c>
    </row>
    <row r="59" spans="3:3" x14ac:dyDescent="0.4">
      <c r="C59" s="115" t="s">
        <v>7368</v>
      </c>
    </row>
  </sheetData>
  <mergeCells count="22">
    <mergeCell ref="A5:B5"/>
    <mergeCell ref="C5:W5"/>
    <mergeCell ref="C1:E1"/>
    <mergeCell ref="A3:B3"/>
    <mergeCell ref="C3:W3"/>
    <mergeCell ref="A4:B4"/>
    <mergeCell ref="C4:W4"/>
    <mergeCell ref="A6:B6"/>
    <mergeCell ref="C6:W6"/>
    <mergeCell ref="C11:C13"/>
    <mergeCell ref="D11:E12"/>
    <mergeCell ref="F11:L11"/>
    <mergeCell ref="N11:Z11"/>
    <mergeCell ref="AB11:AJ12"/>
    <mergeCell ref="F12:G12"/>
    <mergeCell ref="I12:J12"/>
    <mergeCell ref="N12:Q12"/>
    <mergeCell ref="S12:T12"/>
    <mergeCell ref="V12:W12"/>
    <mergeCell ref="X12:X13"/>
    <mergeCell ref="Y12:Y13"/>
    <mergeCell ref="Z12:Z13"/>
  </mergeCells>
  <hyperlinks>
    <hyperlink ref="A1" location="'ODS 16.'!A1" display="REGRESAR" xr:uid="{9278AC3A-7238-4B1A-9972-7BDC5272297E}"/>
    <hyperlink ref="C1:D1" location="'Metadato 16.1.1'!A1" display="VER METADATO" xr:uid="{AA74F491-78CB-465A-8935-7B250E201D3A}"/>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27FC-C3A5-4382-89DB-B316A96FD9FD}">
  <sheetPr>
    <tabColor theme="0" tint="-0.499984740745262"/>
  </sheetPr>
  <dimension ref="A1:F41"/>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8.42578125" style="1291" customWidth="1"/>
    <col min="2" max="2" width="26.42578125" style="243" customWidth="1"/>
    <col min="3" max="3" width="24" style="243" customWidth="1"/>
    <col min="4" max="4" width="85.7109375" style="243" customWidth="1"/>
    <col min="5" max="5" width="3.28515625" style="243" customWidth="1"/>
    <col min="6" max="6" width="7.28515625" style="243" customWidth="1"/>
    <col min="7" max="7" width="9.42578125" style="243" customWidth="1"/>
    <col min="8" max="8" width="9.28515625" style="243" customWidth="1"/>
    <col min="9" max="9" width="12.7109375" style="243" customWidth="1"/>
    <col min="10" max="10" width="3" style="243" customWidth="1"/>
    <col min="11" max="12" width="11.42578125" style="243"/>
    <col min="13" max="13" width="3.28515625" style="243" customWidth="1"/>
    <col min="14" max="18" width="11.42578125" style="243"/>
    <col min="19" max="19" width="1.7109375" style="243" customWidth="1"/>
    <col min="20" max="16384" width="11.42578125" style="243"/>
  </cols>
  <sheetData>
    <row r="1" spans="1:6" x14ac:dyDescent="0.25">
      <c r="B1" s="223" t="s">
        <v>39</v>
      </c>
    </row>
    <row r="2" spans="1:6" ht="19.5" thickBot="1" x14ac:dyDescent="0.3"/>
    <row r="3" spans="1:6" ht="23.25" customHeight="1" thickBot="1" x14ac:dyDescent="0.3">
      <c r="A3" s="1402"/>
      <c r="B3" s="3514" t="s">
        <v>75</v>
      </c>
      <c r="C3" s="3514"/>
      <c r="D3" s="3514"/>
      <c r="F3" s="1046" t="s">
        <v>76</v>
      </c>
    </row>
    <row r="4" spans="1:6" ht="37.5" x14ac:dyDescent="0.25">
      <c r="B4" s="2425" t="s">
        <v>234</v>
      </c>
      <c r="C4" s="2425"/>
      <c r="D4" s="49" t="s">
        <v>7369</v>
      </c>
    </row>
    <row r="5" spans="1:6" ht="37.5" x14ac:dyDescent="0.25">
      <c r="B5" s="2425" t="s">
        <v>79</v>
      </c>
      <c r="C5" s="2425"/>
      <c r="D5" s="49" t="s">
        <v>7282</v>
      </c>
    </row>
    <row r="6" spans="1:6" x14ac:dyDescent="0.25">
      <c r="A6" s="127"/>
      <c r="B6" s="2425" t="s">
        <v>80</v>
      </c>
      <c r="C6" s="2425"/>
      <c r="D6" s="50" t="s">
        <v>7283</v>
      </c>
    </row>
    <row r="7" spans="1:6" ht="37.5" x14ac:dyDescent="0.25">
      <c r="A7" s="127"/>
      <c r="B7" s="2426" t="s">
        <v>81</v>
      </c>
      <c r="C7" s="2426"/>
      <c r="D7" s="93" t="s">
        <v>7284</v>
      </c>
    </row>
    <row r="8" spans="1:6" x14ac:dyDescent="0.25">
      <c r="A8" s="127"/>
      <c r="B8" s="2426" t="s">
        <v>82</v>
      </c>
      <c r="C8" s="2426"/>
      <c r="D8" s="1047" t="s">
        <v>7370</v>
      </c>
    </row>
    <row r="9" spans="1:6" x14ac:dyDescent="0.4">
      <c r="A9" s="1402"/>
      <c r="B9" s="115"/>
      <c r="C9" s="115"/>
      <c r="D9" s="115"/>
    </row>
    <row r="10" spans="1:6" ht="19.5" x14ac:dyDescent="0.25">
      <c r="B10" s="3514" t="s">
        <v>85</v>
      </c>
      <c r="C10" s="3514"/>
      <c r="D10" s="3514"/>
    </row>
    <row r="11" spans="1:6" s="155" customFormat="1" ht="18.75" customHeight="1" x14ac:dyDescent="0.25">
      <c r="A11" s="1063"/>
      <c r="B11" s="3515" t="s">
        <v>86</v>
      </c>
      <c r="C11" s="3516"/>
      <c r="D11" s="753" t="s">
        <v>167</v>
      </c>
    </row>
    <row r="12" spans="1:6" s="155" customFormat="1" ht="35.25" customHeight="1" x14ac:dyDescent="0.25">
      <c r="A12" s="1063"/>
      <c r="B12" s="3517" t="s">
        <v>88</v>
      </c>
      <c r="C12" s="3518"/>
      <c r="D12" s="755" t="s">
        <v>7371</v>
      </c>
    </row>
    <row r="13" spans="1:6" x14ac:dyDescent="0.25">
      <c r="B13" s="2427" t="s">
        <v>90</v>
      </c>
      <c r="C13" s="2428"/>
      <c r="D13" s="55" t="s">
        <v>7283</v>
      </c>
    </row>
    <row r="14" spans="1:6" x14ac:dyDescent="0.25">
      <c r="B14" s="2427" t="s">
        <v>91</v>
      </c>
      <c r="C14" s="2428"/>
      <c r="D14" s="54" t="s">
        <v>92</v>
      </c>
    </row>
    <row r="15" spans="1:6" ht="48.75" customHeight="1" x14ac:dyDescent="0.25">
      <c r="B15" s="2427" t="s">
        <v>93</v>
      </c>
      <c r="C15" s="2428"/>
      <c r="D15" s="55" t="s">
        <v>7372</v>
      </c>
    </row>
    <row r="16" spans="1:6" ht="43.5" customHeight="1" x14ac:dyDescent="0.25">
      <c r="B16" s="2427" t="s">
        <v>95</v>
      </c>
      <c r="C16" s="2428"/>
      <c r="D16" s="55"/>
    </row>
    <row r="17" spans="1:4" x14ac:dyDescent="0.25">
      <c r="B17" s="2427" t="s">
        <v>97</v>
      </c>
      <c r="C17" s="2428"/>
      <c r="D17" s="55" t="s">
        <v>7373</v>
      </c>
    </row>
    <row r="18" spans="1:4" x14ac:dyDescent="0.25">
      <c r="A18" s="127"/>
      <c r="B18" s="2435" t="s">
        <v>99</v>
      </c>
      <c r="C18" s="2436"/>
      <c r="D18" s="49"/>
    </row>
    <row r="19" spans="1:4" ht="34.9" customHeight="1" x14ac:dyDescent="0.25">
      <c r="A19" s="127"/>
      <c r="B19" s="2435" t="s">
        <v>100</v>
      </c>
      <c r="C19" s="2436"/>
      <c r="D19" s="55" t="s">
        <v>7374</v>
      </c>
    </row>
    <row r="20" spans="1:4" x14ac:dyDescent="0.25">
      <c r="A20" s="127"/>
      <c r="B20" s="2427" t="s">
        <v>102</v>
      </c>
      <c r="C20" s="2428"/>
      <c r="D20" s="55" t="s">
        <v>140</v>
      </c>
    </row>
    <row r="21" spans="1:4" x14ac:dyDescent="0.25">
      <c r="B21" s="2432" t="s">
        <v>104</v>
      </c>
      <c r="C21" s="57" t="s">
        <v>105</v>
      </c>
      <c r="D21" s="49" t="s">
        <v>7343</v>
      </c>
    </row>
    <row r="22" spans="1:4" x14ac:dyDescent="0.25">
      <c r="B22" s="2433"/>
      <c r="C22" s="58" t="s">
        <v>107</v>
      </c>
      <c r="D22" s="55" t="s">
        <v>7375</v>
      </c>
    </row>
    <row r="23" spans="1:4" ht="16.5" customHeight="1" x14ac:dyDescent="0.25">
      <c r="B23" s="2427" t="s">
        <v>109</v>
      </c>
      <c r="C23" s="2428"/>
      <c r="D23" s="55" t="s">
        <v>143</v>
      </c>
    </row>
    <row r="24" spans="1:4" x14ac:dyDescent="0.25">
      <c r="B24" s="2427" t="s">
        <v>111</v>
      </c>
      <c r="C24" s="2428"/>
      <c r="D24" s="50" t="s">
        <v>7376</v>
      </c>
    </row>
    <row r="25" spans="1:4" x14ac:dyDescent="0.25">
      <c r="A25" s="127"/>
      <c r="B25" s="2427" t="s">
        <v>113</v>
      </c>
      <c r="C25" s="2428"/>
      <c r="D25" s="55" t="s">
        <v>220</v>
      </c>
    </row>
    <row r="26" spans="1:4" ht="15" customHeight="1" x14ac:dyDescent="0.25">
      <c r="A26" s="127"/>
      <c r="B26" s="2435" t="s">
        <v>115</v>
      </c>
      <c r="C26" s="2436"/>
      <c r="D26" s="50" t="s">
        <v>7377</v>
      </c>
    </row>
    <row r="27" spans="1:4" x14ac:dyDescent="0.25">
      <c r="A27" s="127"/>
      <c r="B27" s="2427" t="s">
        <v>117</v>
      </c>
      <c r="C27" s="2428"/>
      <c r="D27" s="49"/>
    </row>
    <row r="28" spans="1:4" ht="122.45" customHeight="1" x14ac:dyDescent="0.25">
      <c r="A28" s="127"/>
      <c r="B28" s="60" t="s">
        <v>118</v>
      </c>
      <c r="C28" s="61"/>
      <c r="D28" s="55" t="s">
        <v>7378</v>
      </c>
    </row>
    <row r="29" spans="1:4" x14ac:dyDescent="0.25">
      <c r="A29" s="127"/>
      <c r="B29" s="2427" t="s">
        <v>120</v>
      </c>
      <c r="C29" s="2428"/>
      <c r="D29" s="62"/>
    </row>
    <row r="30" spans="1:4" x14ac:dyDescent="0.25">
      <c r="B30" s="63"/>
      <c r="C30" s="63"/>
      <c r="D30" s="64"/>
    </row>
    <row r="31" spans="1:4" ht="23.25" customHeight="1" x14ac:dyDescent="0.25">
      <c r="B31" s="3514" t="s">
        <v>121</v>
      </c>
      <c r="C31" s="3514"/>
      <c r="D31" s="3514"/>
    </row>
    <row r="32" spans="1:4" x14ac:dyDescent="0.25">
      <c r="B32" s="2427" t="s">
        <v>122</v>
      </c>
      <c r="C32" s="2428"/>
      <c r="D32" s="55" t="s">
        <v>7379</v>
      </c>
    </row>
    <row r="33" spans="2:4" x14ac:dyDescent="0.25">
      <c r="B33" s="2427" t="s">
        <v>124</v>
      </c>
      <c r="C33" s="2428"/>
      <c r="D33" s="55" t="s">
        <v>7380</v>
      </c>
    </row>
    <row r="34" spans="2:4" x14ac:dyDescent="0.25">
      <c r="B34" s="2427" t="s">
        <v>126</v>
      </c>
      <c r="C34" s="2428"/>
      <c r="D34" s="55" t="s">
        <v>7376</v>
      </c>
    </row>
    <row r="35" spans="2:4" x14ac:dyDescent="0.25">
      <c r="B35" s="2427" t="s">
        <v>128</v>
      </c>
      <c r="C35" s="2428"/>
      <c r="D35" s="50" t="s">
        <v>7381</v>
      </c>
    </row>
    <row r="36" spans="2:4" x14ac:dyDescent="0.25">
      <c r="B36" s="2427" t="s">
        <v>130</v>
      </c>
      <c r="C36" s="2428"/>
      <c r="D36" s="1536" t="s">
        <v>7382</v>
      </c>
    </row>
    <row r="37" spans="2:4" x14ac:dyDescent="0.25">
      <c r="B37" s="2427" t="s">
        <v>122</v>
      </c>
      <c r="C37" s="2428"/>
      <c r="D37" s="55" t="s">
        <v>7383</v>
      </c>
    </row>
    <row r="38" spans="2:4" x14ac:dyDescent="0.25">
      <c r="B38" s="2427" t="s">
        <v>124</v>
      </c>
      <c r="C38" s="2428"/>
      <c r="D38" s="55" t="s">
        <v>7384</v>
      </c>
    </row>
    <row r="39" spans="2:4" x14ac:dyDescent="0.25">
      <c r="B39" s="2427" t="s">
        <v>126</v>
      </c>
      <c r="C39" s="2428"/>
      <c r="D39" s="55" t="s">
        <v>7376</v>
      </c>
    </row>
    <row r="40" spans="2:4" x14ac:dyDescent="0.25">
      <c r="B40" s="2427" t="s">
        <v>128</v>
      </c>
      <c r="C40" s="2428"/>
      <c r="D40" s="50" t="s">
        <v>7385</v>
      </c>
    </row>
    <row r="41" spans="2:4" x14ac:dyDescent="0.25">
      <c r="B41" s="2427" t="s">
        <v>130</v>
      </c>
      <c r="C41" s="2428"/>
      <c r="D41" s="1536" t="s">
        <v>7386</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41626193-DE87-41C8-B580-5D43F13466E3}">
      <formula1>ODS</formula1>
    </dataValidation>
    <dataValidation type="list" allowBlank="1" showInputMessage="1" showErrorMessage="1" sqref="D5" xr:uid="{8A94CC8B-C2A3-43D4-AF87-80BEBA275463}">
      <formula1>Metas_ODS</formula1>
    </dataValidation>
    <dataValidation type="list" allowBlank="1" showInputMessage="1" showErrorMessage="1" sqref="D6" xr:uid="{63B8FC4F-AE2F-478F-9671-F85DFB4BFDC5}">
      <formula1>Numero_indicador</formula1>
    </dataValidation>
    <dataValidation type="list" allowBlank="1" showInputMessage="1" showErrorMessage="1" sqref="D7" xr:uid="{4E791C3C-A5FD-4BD5-8C00-9D82234E1CEE}">
      <formula1>Nombre_indicador_ODS</formula1>
    </dataValidation>
    <dataValidation type="list" allowBlank="1" showInputMessage="1" showErrorMessage="1" sqref="D14" xr:uid="{61589510-FCC0-4AA0-9FAE-E5F8DAD653A8}">
      <formula1>Tipo_indicador</formula1>
    </dataValidation>
    <dataValidation type="list" allowBlank="1" showInputMessage="1" showErrorMessage="1" sqref="D25" xr:uid="{4A8C3013-0A95-4132-97EE-14CBFA354828}">
      <formula1>Tipo_operación</formula1>
    </dataValidation>
  </dataValidations>
  <hyperlinks>
    <hyperlink ref="B1" location="'16.1.1'!A1" display="REGRESAR" xr:uid="{6E414821-4F46-4AC9-8C18-2541251E3772}"/>
    <hyperlink ref="D8" r:id="rId1" xr:uid="{38902490-0BC7-4A99-BC10-DB733583759E}"/>
    <hyperlink ref="D36" r:id="rId2" xr:uid="{62D239C8-78F6-4E6F-8B3B-6EC90A34FABC}"/>
    <hyperlink ref="D41" r:id="rId3" xr:uid="{1DCF28DB-BEE6-4CB1-9745-B12B347D030D}"/>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BC04-F2A9-4842-9C2E-C5B57480F601}">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7109375" style="115" customWidth="1"/>
    <col min="3" max="3" width="11.5703125" style="1048" customWidth="1"/>
    <col min="4" max="5" width="11.5703125" style="115" customWidth="1"/>
    <col min="6" max="16384" width="11.42578125" style="115"/>
  </cols>
  <sheetData>
    <row r="1" spans="1:16" x14ac:dyDescent="0.4">
      <c r="A1" s="90" t="s">
        <v>39</v>
      </c>
      <c r="B1" s="1311"/>
      <c r="C1" s="2541" t="s">
        <v>149</v>
      </c>
      <c r="D1" s="2541"/>
    </row>
    <row r="2" spans="1:16" ht="13.5" customHeight="1" x14ac:dyDescent="0.4"/>
    <row r="3" spans="1:16" ht="36" customHeight="1" x14ac:dyDescent="0.4">
      <c r="A3" s="3508" t="s">
        <v>41</v>
      </c>
      <c r="B3" s="3513"/>
      <c r="C3" s="3520" t="s">
        <v>7281</v>
      </c>
      <c r="D3" s="3521"/>
      <c r="E3" s="3521"/>
      <c r="F3" s="3521"/>
      <c r="G3" s="3521"/>
      <c r="H3" s="3521"/>
      <c r="I3" s="3521"/>
      <c r="J3" s="3521"/>
      <c r="K3" s="3521"/>
      <c r="L3" s="3521"/>
      <c r="M3" s="3521"/>
      <c r="N3" s="3521"/>
      <c r="O3" s="3521"/>
      <c r="P3" s="3521"/>
    </row>
    <row r="4" spans="1:16" ht="18" customHeight="1" x14ac:dyDescent="0.4">
      <c r="A4" s="3508" t="s">
        <v>42</v>
      </c>
      <c r="B4" s="3509"/>
      <c r="C4" s="3508" t="s">
        <v>7282</v>
      </c>
      <c r="D4" s="3519"/>
      <c r="E4" s="3519"/>
      <c r="F4" s="3519"/>
      <c r="G4" s="3519"/>
      <c r="H4" s="3519"/>
      <c r="I4" s="3519"/>
      <c r="J4" s="3519"/>
      <c r="K4" s="3519"/>
      <c r="L4" s="3519"/>
      <c r="M4" s="3519"/>
      <c r="N4" s="3519"/>
      <c r="O4" s="3519"/>
      <c r="P4" s="3519"/>
    </row>
    <row r="5" spans="1:16" ht="18.600000000000001" customHeight="1" x14ac:dyDescent="0.4">
      <c r="A5" s="3508" t="s">
        <v>43</v>
      </c>
      <c r="B5" s="3509"/>
      <c r="C5" s="3508" t="s">
        <v>7286</v>
      </c>
      <c r="D5" s="3519"/>
      <c r="E5" s="3519"/>
      <c r="F5" s="3519"/>
      <c r="G5" s="3519"/>
      <c r="H5" s="3519"/>
      <c r="I5" s="3519"/>
      <c r="J5" s="3519"/>
      <c r="K5" s="3519"/>
      <c r="L5" s="3519"/>
      <c r="M5" s="3519"/>
      <c r="N5" s="3519"/>
      <c r="O5" s="3519"/>
      <c r="P5" s="3519"/>
    </row>
    <row r="6" spans="1:16" ht="18" customHeight="1" x14ac:dyDescent="0.4">
      <c r="A6" s="3508" t="s">
        <v>132</v>
      </c>
      <c r="B6" s="3509"/>
      <c r="C6" s="3508" t="s">
        <v>242</v>
      </c>
      <c r="D6" s="3519"/>
      <c r="E6" s="3519"/>
      <c r="F6" s="3519"/>
      <c r="G6" s="3519"/>
      <c r="H6" s="3519"/>
      <c r="I6" s="3519"/>
      <c r="J6" s="3519"/>
      <c r="K6" s="3519"/>
      <c r="L6" s="3519"/>
      <c r="M6" s="3519"/>
      <c r="N6" s="3519"/>
      <c r="O6" s="3519"/>
      <c r="P6" s="3519"/>
    </row>
    <row r="9" spans="1:16" ht="11.25" customHeight="1" x14ac:dyDescent="0.4">
      <c r="C9" s="2506" t="s">
        <v>6990</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97330AC-5EDB-4149-A38B-335B56205671}"/>
    <hyperlink ref="C1:D1" location="'Metadato 16.1.2'!A1" display="VER METADATO" xr:uid="{1C38160A-9FD8-43A4-91E1-62ECE388253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E9476-A947-4032-B4D8-10F86EE1AF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244</v>
      </c>
    </row>
    <row r="4" spans="1:6" ht="15.6" customHeight="1" x14ac:dyDescent="0.25">
      <c r="A4" s="224"/>
      <c r="B4" s="2445" t="s">
        <v>234</v>
      </c>
      <c r="C4" s="2445"/>
      <c r="D4" s="49" t="s">
        <v>396</v>
      </c>
    </row>
    <row r="5" spans="1:6" ht="93.75" x14ac:dyDescent="0.25">
      <c r="B5" s="2445" t="s">
        <v>79</v>
      </c>
      <c r="C5" s="2445"/>
      <c r="D5" s="49" t="s">
        <v>414</v>
      </c>
    </row>
    <row r="6" spans="1:6" x14ac:dyDescent="0.25">
      <c r="B6" s="2445" t="s">
        <v>80</v>
      </c>
      <c r="C6" s="2445"/>
      <c r="D6" s="50" t="s">
        <v>415</v>
      </c>
    </row>
    <row r="7" spans="1:6" ht="37.5" x14ac:dyDescent="0.25">
      <c r="B7" s="2446" t="s">
        <v>81</v>
      </c>
      <c r="C7" s="2446"/>
      <c r="D7" s="93" t="s">
        <v>416</v>
      </c>
    </row>
    <row r="8" spans="1:6" x14ac:dyDescent="0.25">
      <c r="B8" s="2446" t="s">
        <v>82</v>
      </c>
      <c r="C8" s="2446"/>
      <c r="D8" s="94" t="s">
        <v>617</v>
      </c>
    </row>
    <row r="9" spans="1:6" ht="23.25" customHeight="1" x14ac:dyDescent="0.4">
      <c r="B9" s="5"/>
      <c r="C9" s="5"/>
      <c r="D9" s="5"/>
    </row>
    <row r="10" spans="1:6" ht="23.25" customHeight="1" x14ac:dyDescent="0.25">
      <c r="B10" s="2514" t="s">
        <v>85</v>
      </c>
      <c r="C10" s="2514"/>
      <c r="D10" s="2514"/>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ht="37.5" x14ac:dyDescent="0.25">
      <c r="B28" s="97" t="s">
        <v>118</v>
      </c>
      <c r="C28" s="98"/>
      <c r="D28" s="56" t="s">
        <v>618</v>
      </c>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32F210F-470C-4359-B808-052F7C7C9973}">
      <formula1>Tipo_operación</formula1>
    </dataValidation>
    <dataValidation type="list" allowBlank="1" showInputMessage="1" showErrorMessage="1" sqref="D14" xr:uid="{A5AC9EF6-9A41-4CFE-80B1-01C2727FC30B}">
      <formula1>Tipo_indicador</formula1>
    </dataValidation>
    <dataValidation type="list" allowBlank="1" showInputMessage="1" showErrorMessage="1" sqref="D7" xr:uid="{2859D06A-8969-4E63-95F6-CAD1C95C1064}">
      <formula1>Nombre_indicador_ODS</formula1>
    </dataValidation>
    <dataValidation type="list" allowBlank="1" showInputMessage="1" showErrorMessage="1" sqref="D6" xr:uid="{D19C8A52-F736-4418-9ADE-2E723175C049}">
      <formula1>Numero_indicador</formula1>
    </dataValidation>
    <dataValidation type="list" allowBlank="1" showInputMessage="1" showErrorMessage="1" sqref="D5" xr:uid="{D2FE3E94-5828-4319-9E1A-E3C280257C8E}">
      <formula1>Metas_ODS</formula1>
    </dataValidation>
    <dataValidation type="list" allowBlank="1" showInputMessage="1" showErrorMessage="1" sqref="D4" xr:uid="{7C9F1AA7-FB28-4894-8D9E-26881925E326}">
      <formula1>ODS</formula1>
    </dataValidation>
    <dataValidation allowBlank="1" showDropDown="1" showInputMessage="1" showErrorMessage="1" sqref="D13" xr:uid="{4BBF2891-7A4C-4966-A9CB-E1F59BDD72E2}"/>
  </dataValidations>
  <hyperlinks>
    <hyperlink ref="B1" location="'2.4.1'!A1" display="REGRESAR" xr:uid="{D2226CA7-69D4-4D3D-8D05-CB7AA1553D26}"/>
    <hyperlink ref="D8" r:id="rId1" xr:uid="{578BD905-7BB3-44AB-8FA0-BA5EC38230FD}"/>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541C-12CE-4FD5-8D3F-BEC412756F2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317</v>
      </c>
    </row>
    <row r="4" spans="2:6" ht="37.5" x14ac:dyDescent="0.25">
      <c r="B4" s="2425" t="s">
        <v>234</v>
      </c>
      <c r="C4" s="2425"/>
      <c r="D4" s="49" t="s">
        <v>7369</v>
      </c>
    </row>
    <row r="5" spans="2:6" ht="37.5" x14ac:dyDescent="0.25">
      <c r="B5" s="2425" t="s">
        <v>79</v>
      </c>
      <c r="C5" s="2425"/>
      <c r="D5" s="49" t="s">
        <v>7282</v>
      </c>
    </row>
    <row r="6" spans="2:6" x14ac:dyDescent="0.25">
      <c r="B6" s="2425" t="s">
        <v>80</v>
      </c>
      <c r="C6" s="2425"/>
      <c r="D6" s="50" t="s">
        <v>7285</v>
      </c>
    </row>
    <row r="7" spans="2:6" ht="16.5" customHeight="1" x14ac:dyDescent="0.25">
      <c r="B7" s="2426" t="s">
        <v>81</v>
      </c>
      <c r="C7" s="2426"/>
      <c r="D7" s="667" t="s">
        <v>7286</v>
      </c>
    </row>
    <row r="8" spans="2:6" ht="16.5" customHeight="1" x14ac:dyDescent="0.25">
      <c r="B8" s="2426" t="s">
        <v>82</v>
      </c>
      <c r="C8" s="2426"/>
      <c r="D8" s="1345" t="s">
        <v>353</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ht="15" customHeight="1"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ht="15" customHeight="1"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5371</v>
      </c>
    </row>
    <row r="25" spans="2:4" x14ac:dyDescent="0.25">
      <c r="B25" s="2425" t="s">
        <v>113</v>
      </c>
      <c r="C25" s="2425"/>
      <c r="D25" s="55"/>
    </row>
    <row r="26" spans="2:4" ht="15" customHeight="1" x14ac:dyDescent="0.25">
      <c r="B26" s="2426" t="s">
        <v>115</v>
      </c>
      <c r="C26" s="2426"/>
      <c r="D26" s="49"/>
    </row>
    <row r="27" spans="2:4" x14ac:dyDescent="0.25">
      <c r="B27" s="2427" t="s">
        <v>117</v>
      </c>
      <c r="C27" s="2428"/>
      <c r="D27" s="49"/>
    </row>
    <row r="28" spans="2:4" x14ac:dyDescent="0.25">
      <c r="B28" s="60" t="s">
        <v>118</v>
      </c>
      <c r="C28" s="61"/>
      <c r="D28" s="49"/>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BFB4CA7-C0CD-4DBB-A9B4-5BF863AC8C97}"/>
    <dataValidation type="list" allowBlank="1" showInputMessage="1" showErrorMessage="1" sqref="D4" xr:uid="{95DAA905-661A-4695-9CD3-E0E77C7B63F2}">
      <formula1>ODS</formula1>
    </dataValidation>
    <dataValidation type="list" allowBlank="1" showInputMessage="1" showErrorMessage="1" sqref="D5" xr:uid="{B7C9162A-24A6-410D-A40A-3B72CAAA7347}">
      <formula1>Metas_ODS</formula1>
    </dataValidation>
    <dataValidation type="list" allowBlank="1" showInputMessage="1" showErrorMessage="1" sqref="D6" xr:uid="{07CBD60A-4607-408A-A471-CC9AE807393A}">
      <formula1>Numero_indicador</formula1>
    </dataValidation>
    <dataValidation type="list" allowBlank="1" showInputMessage="1" showErrorMessage="1" sqref="D7" xr:uid="{E699CC40-0541-4246-BE67-FF80238F63FC}">
      <formula1>Nombre_indicador_ODS</formula1>
    </dataValidation>
    <dataValidation type="list" allowBlank="1" showInputMessage="1" showErrorMessage="1" sqref="D14" xr:uid="{90AC72BF-7F51-4A14-9468-3C637D8A078E}">
      <formula1>Tipo_indicador</formula1>
    </dataValidation>
    <dataValidation type="list" allowBlank="1" showInputMessage="1" showErrorMessage="1" sqref="D25" xr:uid="{58AE3E1B-AD8C-46C3-B309-E7F460DF5734}">
      <formula1>Tipo_operación</formula1>
    </dataValidation>
  </dataValidations>
  <hyperlinks>
    <hyperlink ref="B1" location="'16.1.2'!A1" display="REGRESAR" xr:uid="{8C651F7B-ED07-4F47-8B64-D7C4C16105DF}"/>
    <hyperlink ref="D8" r:id="rId1" xr:uid="{E35EA193-DDFC-4289-8B0E-85C6798D6CB2}"/>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0F925-B495-413B-9B71-B85432F4D36B}">
  <dimension ref="A1:BW45"/>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7109375" style="115" customWidth="1"/>
    <col min="2" max="2" width="18.5703125" style="115" customWidth="1"/>
    <col min="3" max="3" width="11.42578125" style="115"/>
    <col min="4" max="4" width="10" style="115" customWidth="1"/>
    <col min="5" max="5" width="7.5703125" style="115" customWidth="1"/>
    <col min="6" max="6" width="2.28515625" style="115" customWidth="1"/>
    <col min="7" max="8" width="7.28515625" style="115" customWidth="1"/>
    <col min="9" max="9" width="2.28515625" style="115" customWidth="1"/>
    <col min="10" max="10" width="8.7109375" style="115" customWidth="1"/>
    <col min="11" max="13" width="9.28515625" style="115" customWidth="1"/>
    <col min="14" max="15" width="7.7109375" style="115" customWidth="1"/>
    <col min="16" max="17" width="9.28515625" style="115" customWidth="1"/>
    <col min="18" max="21" width="8.42578125" style="115" customWidth="1"/>
    <col min="22" max="23" width="9.42578125" style="115" customWidth="1"/>
    <col min="24" max="25" width="8.7109375" style="115" customWidth="1"/>
    <col min="26" max="26" width="2.28515625" style="115" customWidth="1"/>
    <col min="27" max="27" width="8.7109375" style="115" customWidth="1"/>
    <col min="28" max="28" width="2.42578125" style="115" customWidth="1"/>
    <col min="29" max="30" width="8.7109375" style="115" customWidth="1"/>
    <col min="31" max="32" width="8.28515625" style="115" customWidth="1"/>
    <col min="33" max="34" width="8.42578125" style="115" customWidth="1"/>
    <col min="35" max="38" width="8.5703125" style="115" customWidth="1"/>
    <col min="39" max="40" width="8.7109375" style="115" customWidth="1"/>
    <col min="41" max="42" width="8.42578125" style="115" customWidth="1"/>
    <col min="43" max="44" width="8.7109375" style="115" customWidth="1"/>
    <col min="45" max="45" width="1.7109375" style="115" customWidth="1"/>
    <col min="46" max="46" width="7.7109375" style="115" customWidth="1"/>
    <col min="47" max="47" width="2.28515625" style="115" customWidth="1"/>
    <col min="48" max="49" width="8.28515625" style="115" customWidth="1"/>
    <col min="50" max="50" width="1.7109375" style="115" customWidth="1"/>
    <col min="51" max="51" width="11.42578125" style="115"/>
    <col min="52" max="52" width="1.42578125" style="115" customWidth="1"/>
    <col min="53" max="54" width="9" style="115" customWidth="1"/>
    <col min="55" max="55" width="11.42578125" style="115"/>
    <col min="56" max="56" width="2.28515625" style="115" customWidth="1"/>
    <col min="57" max="58" width="11.42578125" style="115"/>
    <col min="59" max="59" width="2.5703125" style="115" customWidth="1"/>
    <col min="60" max="60" width="8.7109375" style="115" customWidth="1"/>
    <col min="61" max="63" width="11.42578125" style="115"/>
    <col min="64" max="64" width="2.28515625" style="115" customWidth="1"/>
    <col min="65" max="66" width="11.42578125" style="115"/>
    <col min="67" max="67" width="15.28515625" style="115" customWidth="1"/>
    <col min="68" max="68" width="1.28515625" style="115" customWidth="1"/>
    <col min="69" max="69" width="17.28515625" style="115" customWidth="1"/>
    <col min="70" max="70" width="11.42578125" style="115" customWidth="1"/>
    <col min="71" max="71" width="1.5703125" style="115" customWidth="1"/>
    <col min="72" max="72" width="7.28515625" style="115" customWidth="1"/>
    <col min="73" max="16384" width="11.42578125" style="115"/>
  </cols>
  <sheetData>
    <row r="1" spans="1:75" x14ac:dyDescent="0.4">
      <c r="A1" s="90" t="s">
        <v>39</v>
      </c>
      <c r="C1" s="2541" t="s">
        <v>149</v>
      </c>
      <c r="D1" s="2541"/>
    </row>
    <row r="3" spans="1:75" ht="17.45" customHeight="1" x14ac:dyDescent="0.4">
      <c r="A3" s="3508" t="s">
        <v>41</v>
      </c>
      <c r="B3" s="3513"/>
      <c r="C3" s="3508" t="s">
        <v>7281</v>
      </c>
      <c r="D3" s="3510"/>
      <c r="E3" s="3510"/>
      <c r="F3" s="3510"/>
      <c r="G3" s="3510"/>
      <c r="H3" s="3510"/>
      <c r="I3" s="3510"/>
      <c r="J3" s="3510"/>
      <c r="K3" s="3510"/>
      <c r="L3" s="3510"/>
      <c r="M3" s="3510"/>
      <c r="N3" s="3510"/>
      <c r="O3" s="3510"/>
      <c r="P3" s="3510"/>
      <c r="Q3" s="3510"/>
      <c r="R3" s="3510"/>
      <c r="S3" s="3510"/>
      <c r="T3" s="3510"/>
      <c r="U3" s="3510"/>
      <c r="V3" s="3510"/>
      <c r="W3" s="3510"/>
      <c r="X3" s="3510"/>
      <c r="Y3" s="3510"/>
      <c r="Z3" s="3510"/>
    </row>
    <row r="4" spans="1:75" ht="19.5" x14ac:dyDescent="0.4">
      <c r="A4" s="3508" t="s">
        <v>42</v>
      </c>
      <c r="B4" s="3509"/>
      <c r="C4" s="3508" t="s">
        <v>7282</v>
      </c>
      <c r="D4" s="3519"/>
      <c r="E4" s="3519"/>
      <c r="F4" s="3519"/>
      <c r="G4" s="3519"/>
      <c r="H4" s="3519"/>
      <c r="I4" s="3519"/>
      <c r="J4" s="3519"/>
      <c r="K4" s="3519"/>
      <c r="L4" s="3519"/>
      <c r="M4" s="3519"/>
      <c r="N4" s="3519"/>
      <c r="O4" s="3519"/>
      <c r="P4" s="3519"/>
      <c r="Q4" s="3519"/>
      <c r="R4" s="3519"/>
      <c r="S4" s="3519"/>
      <c r="T4" s="3519"/>
      <c r="U4" s="3519"/>
      <c r="V4" s="3519"/>
      <c r="W4" s="3519"/>
      <c r="X4" s="3519"/>
      <c r="Y4" s="3519"/>
      <c r="Z4" s="3519"/>
    </row>
    <row r="5" spans="1:75" ht="19.5" x14ac:dyDescent="0.4">
      <c r="A5" s="3508" t="s">
        <v>43</v>
      </c>
      <c r="B5" s="3509"/>
      <c r="C5" s="3508" t="s">
        <v>7288</v>
      </c>
      <c r="D5" s="3519"/>
      <c r="E5" s="3519"/>
      <c r="F5" s="3519"/>
      <c r="G5" s="3519"/>
      <c r="H5" s="3519"/>
      <c r="I5" s="3519"/>
      <c r="J5" s="3519"/>
      <c r="K5" s="3519"/>
      <c r="L5" s="3519"/>
      <c r="M5" s="3519"/>
      <c r="N5" s="3519"/>
      <c r="O5" s="3519"/>
      <c r="P5" s="3519"/>
      <c r="Q5" s="3519"/>
      <c r="R5" s="3519"/>
      <c r="S5" s="3519"/>
      <c r="T5" s="3519"/>
      <c r="U5" s="3519"/>
      <c r="V5" s="3519"/>
      <c r="W5" s="3519"/>
      <c r="X5" s="3519"/>
      <c r="Y5" s="3519"/>
      <c r="Z5" s="3519"/>
    </row>
    <row r="6" spans="1:75" ht="20.45" customHeight="1" x14ac:dyDescent="0.4">
      <c r="A6" s="3508" t="s">
        <v>132</v>
      </c>
      <c r="B6" s="3509"/>
      <c r="C6" s="3508" t="s">
        <v>7387</v>
      </c>
      <c r="D6" s="3519"/>
      <c r="E6" s="3519"/>
      <c r="F6" s="3519"/>
      <c r="G6" s="3519"/>
      <c r="H6" s="3519"/>
      <c r="I6" s="3519"/>
      <c r="J6" s="3519"/>
      <c r="K6" s="3519"/>
      <c r="L6" s="3519"/>
      <c r="M6" s="3519"/>
      <c r="N6" s="3519"/>
      <c r="O6" s="3519"/>
      <c r="P6" s="3519"/>
      <c r="Q6" s="3519"/>
      <c r="R6" s="3519"/>
      <c r="S6" s="3519"/>
      <c r="T6" s="3519"/>
      <c r="U6" s="3519"/>
      <c r="V6" s="3519"/>
      <c r="W6" s="3519"/>
      <c r="X6" s="3519"/>
      <c r="Y6" s="3519"/>
      <c r="Z6" s="3519"/>
    </row>
    <row r="9" spans="1:75" ht="19.5" x14ac:dyDescent="0.4">
      <c r="C9" s="187" t="s">
        <v>6102</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row>
    <row r="10" spans="1:75" ht="8.4499999999999993" customHeight="1" x14ac:dyDescent="0.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row>
    <row r="11" spans="1:75" ht="17.45" customHeight="1" x14ac:dyDescent="0.4">
      <c r="C11" s="3502" t="s">
        <v>46</v>
      </c>
      <c r="D11" s="3502" t="s">
        <v>48</v>
      </c>
      <c r="E11" s="3502"/>
      <c r="F11" s="3502"/>
      <c r="G11" s="3502"/>
      <c r="H11" s="3502"/>
      <c r="I11" s="2098"/>
      <c r="J11" s="3526" t="s">
        <v>6103</v>
      </c>
      <c r="K11" s="3526"/>
      <c r="L11" s="3526"/>
      <c r="M11" s="3526"/>
      <c r="N11" s="3526"/>
      <c r="O11" s="3526"/>
      <c r="P11" s="3526"/>
      <c r="Q11" s="3526"/>
      <c r="R11" s="3526"/>
      <c r="S11" s="3526"/>
      <c r="T11" s="3526"/>
      <c r="U11" s="3526"/>
      <c r="V11" s="3526"/>
      <c r="W11" s="3526"/>
      <c r="X11" s="3526"/>
      <c r="Y11" s="3526"/>
      <c r="Z11" s="3526"/>
      <c r="AA11" s="3526"/>
      <c r="AB11" s="2099"/>
      <c r="AC11" s="3502" t="s">
        <v>327</v>
      </c>
      <c r="AD11" s="3502"/>
      <c r="AE11" s="3502"/>
      <c r="AF11" s="3502"/>
      <c r="AG11" s="3502"/>
      <c r="AH11" s="3502"/>
      <c r="AI11" s="3502"/>
      <c r="AJ11" s="3502"/>
      <c r="AK11" s="3502"/>
      <c r="AL11" s="3502"/>
      <c r="AM11" s="3502"/>
      <c r="AN11" s="3502"/>
      <c r="AO11" s="3502"/>
      <c r="AP11" s="3502"/>
      <c r="AQ11" s="3502"/>
      <c r="AR11" s="3502"/>
      <c r="AS11" s="2098"/>
      <c r="AT11" s="3504" t="s">
        <v>6104</v>
      </c>
      <c r="AU11" s="3504"/>
      <c r="AV11" s="3504"/>
      <c r="AW11" s="3504"/>
      <c r="AX11" s="3504"/>
      <c r="AY11" s="3504"/>
      <c r="AZ11" s="3504"/>
      <c r="BA11" s="3504"/>
      <c r="BB11" s="3504"/>
      <c r="BC11" s="3504"/>
      <c r="BD11" s="3504"/>
      <c r="BE11" s="3504"/>
      <c r="BF11" s="3504"/>
      <c r="BG11" s="3504"/>
      <c r="BH11" s="3504"/>
      <c r="BI11" s="3504"/>
      <c r="BJ11" s="3504"/>
      <c r="BK11" s="3504"/>
      <c r="BL11" s="3504"/>
      <c r="BM11" s="3504"/>
      <c r="BN11" s="3504"/>
      <c r="BO11" s="3504"/>
      <c r="BP11" s="3504"/>
      <c r="BQ11" s="3504"/>
      <c r="BR11" s="3504"/>
      <c r="BS11" s="3504"/>
      <c r="BT11" s="3504"/>
      <c r="BU11" s="3504"/>
      <c r="BV11" s="3504"/>
      <c r="BW11" s="3504"/>
    </row>
    <row r="12" spans="1:75" ht="17.45" customHeight="1" x14ac:dyDescent="0.4">
      <c r="C12" s="3511"/>
      <c r="D12" s="3503"/>
      <c r="E12" s="3503"/>
      <c r="F12" s="3503"/>
      <c r="G12" s="3503"/>
      <c r="H12" s="3503"/>
      <c r="I12" s="2108"/>
      <c r="J12" s="3507"/>
      <c r="K12" s="3507"/>
      <c r="L12" s="3507"/>
      <c r="M12" s="3507"/>
      <c r="N12" s="3507"/>
      <c r="O12" s="3507"/>
      <c r="P12" s="3507"/>
      <c r="Q12" s="3507"/>
      <c r="R12" s="3507"/>
      <c r="S12" s="3507"/>
      <c r="T12" s="3507"/>
      <c r="U12" s="3507"/>
      <c r="V12" s="3507"/>
      <c r="W12" s="3507"/>
      <c r="X12" s="3507"/>
      <c r="Y12" s="3507"/>
      <c r="Z12" s="3507"/>
      <c r="AA12" s="3507"/>
      <c r="AB12" s="2100"/>
      <c r="AC12" s="3503"/>
      <c r="AD12" s="3503"/>
      <c r="AE12" s="3503"/>
      <c r="AF12" s="3503"/>
      <c r="AG12" s="3503"/>
      <c r="AH12" s="3503"/>
      <c r="AI12" s="3503"/>
      <c r="AJ12" s="3503"/>
      <c r="AK12" s="3503"/>
      <c r="AL12" s="3503"/>
      <c r="AM12" s="3503"/>
      <c r="AN12" s="3503"/>
      <c r="AO12" s="3503"/>
      <c r="AP12" s="3503"/>
      <c r="AQ12" s="3503"/>
      <c r="AR12" s="3503"/>
      <c r="AS12" s="2108"/>
      <c r="AT12" s="3506" t="s">
        <v>154</v>
      </c>
      <c r="AU12" s="2100"/>
      <c r="AV12" s="3504" t="s">
        <v>6105</v>
      </c>
      <c r="AW12" s="3504"/>
      <c r="AX12" s="3504"/>
      <c r="AY12" s="3504"/>
      <c r="AZ12" s="2100"/>
      <c r="BA12" s="3504" t="s">
        <v>6106</v>
      </c>
      <c r="BB12" s="3504"/>
      <c r="BC12" s="3504"/>
      <c r="BD12" s="2100"/>
      <c r="BE12" s="3504" t="s">
        <v>6107</v>
      </c>
      <c r="BF12" s="3504"/>
      <c r="BG12" s="2100"/>
      <c r="BH12" s="2100"/>
      <c r="BI12" s="3504" t="s">
        <v>6108</v>
      </c>
      <c r="BJ12" s="3504"/>
      <c r="BK12" s="3504"/>
      <c r="BL12" s="2100"/>
      <c r="BM12" s="3504" t="s">
        <v>6109</v>
      </c>
      <c r="BN12" s="3504"/>
      <c r="BO12" s="3504"/>
      <c r="BP12" s="2100"/>
      <c r="BQ12" s="3504" t="s">
        <v>6110</v>
      </c>
      <c r="BR12" s="3504"/>
      <c r="BS12" s="2100"/>
      <c r="BT12" s="2100"/>
      <c r="BU12" s="3504" t="s">
        <v>6111</v>
      </c>
      <c r="BV12" s="3504"/>
      <c r="BW12" s="3504"/>
    </row>
    <row r="13" spans="1:75" x14ac:dyDescent="0.4">
      <c r="C13" s="3511"/>
      <c r="D13" s="3512" t="s">
        <v>894</v>
      </c>
      <c r="E13" s="3512"/>
      <c r="F13" s="2108"/>
      <c r="G13" s="3512" t="s">
        <v>895</v>
      </c>
      <c r="H13" s="3512"/>
      <c r="I13" s="2108"/>
      <c r="J13" s="3512" t="s">
        <v>6112</v>
      </c>
      <c r="K13" s="3512"/>
      <c r="L13" s="3512" t="s">
        <v>6113</v>
      </c>
      <c r="M13" s="3512"/>
      <c r="N13" s="3512" t="s">
        <v>6114</v>
      </c>
      <c r="O13" s="3512"/>
      <c r="P13" s="3512" t="s">
        <v>6115</v>
      </c>
      <c r="Q13" s="3512"/>
      <c r="R13" s="3512" t="s">
        <v>6116</v>
      </c>
      <c r="S13" s="3512"/>
      <c r="T13" s="3512" t="s">
        <v>6117</v>
      </c>
      <c r="U13" s="3512"/>
      <c r="V13" s="3512" t="s">
        <v>6118</v>
      </c>
      <c r="W13" s="3512"/>
      <c r="X13" s="3512" t="s">
        <v>72</v>
      </c>
      <c r="Y13" s="3512"/>
      <c r="Z13" s="2108"/>
      <c r="AA13" s="3522" t="s">
        <v>878</v>
      </c>
      <c r="AB13" s="2108"/>
      <c r="AC13" s="3524" t="s">
        <v>6119</v>
      </c>
      <c r="AD13" s="3524"/>
      <c r="AE13" s="3524" t="s">
        <v>328</v>
      </c>
      <c r="AF13" s="3524"/>
      <c r="AG13" s="3524" t="s">
        <v>329</v>
      </c>
      <c r="AH13" s="3524"/>
      <c r="AI13" s="3524" t="s">
        <v>330</v>
      </c>
      <c r="AJ13" s="3524"/>
      <c r="AK13" s="3524" t="s">
        <v>331</v>
      </c>
      <c r="AL13" s="3524"/>
      <c r="AM13" s="3524" t="s">
        <v>332</v>
      </c>
      <c r="AN13" s="3524"/>
      <c r="AO13" s="3524" t="s">
        <v>533</v>
      </c>
      <c r="AP13" s="3524"/>
      <c r="AQ13" s="3525" t="s">
        <v>334</v>
      </c>
      <c r="AR13" s="3525"/>
      <c r="AS13" s="2109"/>
      <c r="AT13" s="3506"/>
      <c r="AU13" s="2100"/>
      <c r="AV13" s="3504" t="s">
        <v>48</v>
      </c>
      <c r="AW13" s="3504"/>
      <c r="AX13" s="2100"/>
      <c r="AY13" s="3506" t="s">
        <v>47</v>
      </c>
      <c r="AZ13" s="2100"/>
      <c r="BA13" s="3504" t="s">
        <v>48</v>
      </c>
      <c r="BB13" s="3504"/>
      <c r="BC13" s="3506" t="s">
        <v>47</v>
      </c>
      <c r="BD13" s="2100"/>
      <c r="BE13" s="3504" t="s">
        <v>48</v>
      </c>
      <c r="BF13" s="3504"/>
      <c r="BG13" s="2100"/>
      <c r="BH13" s="2100"/>
      <c r="BI13" s="3504" t="s">
        <v>48</v>
      </c>
      <c r="BJ13" s="3504"/>
      <c r="BK13" s="3506" t="s">
        <v>47</v>
      </c>
      <c r="BL13" s="2100"/>
      <c r="BM13" s="3504" t="s">
        <v>48</v>
      </c>
      <c r="BN13" s="3504"/>
      <c r="BO13" s="3506" t="s">
        <v>47</v>
      </c>
      <c r="BP13" s="2100"/>
      <c r="BQ13" s="3504" t="s">
        <v>48</v>
      </c>
      <c r="BR13" s="3504"/>
      <c r="BS13" s="2100"/>
      <c r="BT13" s="2100"/>
      <c r="BU13" s="3504" t="s">
        <v>48</v>
      </c>
      <c r="BV13" s="3504"/>
      <c r="BW13" s="3506" t="s">
        <v>47</v>
      </c>
    </row>
    <row r="14" spans="1:75" ht="37.5" x14ac:dyDescent="0.4">
      <c r="C14" s="3503"/>
      <c r="D14" s="2110" t="s">
        <v>259</v>
      </c>
      <c r="E14" s="2110" t="s">
        <v>258</v>
      </c>
      <c r="F14" s="2110"/>
      <c r="G14" s="2110" t="s">
        <v>259</v>
      </c>
      <c r="H14" s="2110" t="s">
        <v>258</v>
      </c>
      <c r="I14" s="2110"/>
      <c r="J14" s="2110" t="s">
        <v>259</v>
      </c>
      <c r="K14" s="2110" t="s">
        <v>258</v>
      </c>
      <c r="L14" s="2110" t="s">
        <v>259</v>
      </c>
      <c r="M14" s="2110" t="s">
        <v>258</v>
      </c>
      <c r="N14" s="2110" t="s">
        <v>259</v>
      </c>
      <c r="O14" s="2110" t="s">
        <v>258</v>
      </c>
      <c r="P14" s="2110" t="s">
        <v>259</v>
      </c>
      <c r="Q14" s="2110" t="s">
        <v>258</v>
      </c>
      <c r="R14" s="2110" t="s">
        <v>259</v>
      </c>
      <c r="S14" s="2110" t="s">
        <v>258</v>
      </c>
      <c r="T14" s="2111" t="s">
        <v>259</v>
      </c>
      <c r="U14" s="2110" t="s">
        <v>258</v>
      </c>
      <c r="V14" s="2110" t="s">
        <v>259</v>
      </c>
      <c r="W14" s="2110" t="s">
        <v>258</v>
      </c>
      <c r="X14" s="2110" t="s">
        <v>259</v>
      </c>
      <c r="Y14" s="2110" t="s">
        <v>258</v>
      </c>
      <c r="Z14" s="2110"/>
      <c r="AA14" s="3523"/>
      <c r="AB14" s="2110"/>
      <c r="AC14" s="2112" t="s">
        <v>257</v>
      </c>
      <c r="AD14" s="2112" t="s">
        <v>258</v>
      </c>
      <c r="AE14" s="2112" t="s">
        <v>257</v>
      </c>
      <c r="AF14" s="2112" t="s">
        <v>258</v>
      </c>
      <c r="AG14" s="2112" t="s">
        <v>257</v>
      </c>
      <c r="AH14" s="2112" t="s">
        <v>258</v>
      </c>
      <c r="AI14" s="2112" t="s">
        <v>257</v>
      </c>
      <c r="AJ14" s="2112" t="s">
        <v>258</v>
      </c>
      <c r="AK14" s="2112" t="s">
        <v>257</v>
      </c>
      <c r="AL14" s="2112" t="s">
        <v>258</v>
      </c>
      <c r="AM14" s="2112" t="s">
        <v>257</v>
      </c>
      <c r="AN14" s="2112" t="s">
        <v>258</v>
      </c>
      <c r="AO14" s="2112" t="s">
        <v>257</v>
      </c>
      <c r="AP14" s="2112" t="s">
        <v>258</v>
      </c>
      <c r="AQ14" s="2112" t="s">
        <v>257</v>
      </c>
      <c r="AR14" s="2112" t="s">
        <v>258</v>
      </c>
      <c r="AS14" s="2112"/>
      <c r="AT14" s="3507"/>
      <c r="AU14" s="2104"/>
      <c r="AV14" s="2106" t="s">
        <v>894</v>
      </c>
      <c r="AW14" s="2106" t="s">
        <v>895</v>
      </c>
      <c r="AX14" s="2113"/>
      <c r="AY14" s="3507"/>
      <c r="AZ14" s="2104"/>
      <c r="BA14" s="2106" t="s">
        <v>894</v>
      </c>
      <c r="BB14" s="2106" t="s">
        <v>895</v>
      </c>
      <c r="BC14" s="3507"/>
      <c r="BD14" s="2104"/>
      <c r="BE14" s="2106" t="s">
        <v>894</v>
      </c>
      <c r="BF14" s="2106" t="s">
        <v>895</v>
      </c>
      <c r="BG14" s="2113"/>
      <c r="BH14" s="2106" t="s">
        <v>47</v>
      </c>
      <c r="BI14" s="2106" t="s">
        <v>894</v>
      </c>
      <c r="BJ14" s="2106" t="s">
        <v>895</v>
      </c>
      <c r="BK14" s="3507"/>
      <c r="BL14" s="2104"/>
      <c r="BM14" s="2106" t="s">
        <v>894</v>
      </c>
      <c r="BN14" s="2106" t="s">
        <v>895</v>
      </c>
      <c r="BO14" s="3507"/>
      <c r="BP14" s="2104"/>
      <c r="BQ14" s="2106" t="s">
        <v>894</v>
      </c>
      <c r="BR14" s="2106" t="s">
        <v>895</v>
      </c>
      <c r="BS14" s="2113"/>
      <c r="BT14" s="2106" t="s">
        <v>47</v>
      </c>
      <c r="BU14" s="2106" t="s">
        <v>894</v>
      </c>
      <c r="BV14" s="2106" t="s">
        <v>895</v>
      </c>
      <c r="BW14" s="3507"/>
    </row>
    <row r="15" spans="1:75" x14ac:dyDescent="0.4">
      <c r="C15" s="301">
        <v>2012</v>
      </c>
      <c r="D15" s="1739">
        <v>1997</v>
      </c>
      <c r="E15" s="2114">
        <v>84.424574864981992</v>
      </c>
      <c r="F15" s="1841"/>
      <c r="G15" s="1995">
        <v>7894</v>
      </c>
      <c r="H15" s="2114">
        <v>342.96821743854792</v>
      </c>
      <c r="I15" s="2115"/>
      <c r="J15" s="1995">
        <v>675</v>
      </c>
      <c r="K15" s="2114">
        <v>198.00528014080376</v>
      </c>
      <c r="L15" s="1995">
        <v>665</v>
      </c>
      <c r="M15" s="2114">
        <v>183.76866702775598</v>
      </c>
      <c r="N15" s="1995">
        <v>1063</v>
      </c>
      <c r="O15" s="2114">
        <v>270.119864101502</v>
      </c>
      <c r="P15" s="1995">
        <v>1098</v>
      </c>
      <c r="Q15" s="2114">
        <v>261.60484326343703</v>
      </c>
      <c r="R15" s="1995">
        <v>888</v>
      </c>
      <c r="S15" s="2116">
        <v>202.77761902040351</v>
      </c>
      <c r="T15" s="1773">
        <v>1933</v>
      </c>
      <c r="U15" s="729">
        <v>239.26939282761217</v>
      </c>
      <c r="V15" s="1552">
        <v>2717</v>
      </c>
      <c r="W15" s="729">
        <v>171.96899114900856</v>
      </c>
      <c r="X15" s="1773">
        <v>696</v>
      </c>
      <c r="Y15" s="729">
        <v>213.59849007963911</v>
      </c>
      <c r="Z15" s="2115"/>
      <c r="AA15" s="1773">
        <v>157</v>
      </c>
      <c r="AB15" s="2115"/>
      <c r="AC15" s="1995">
        <v>9891</v>
      </c>
      <c r="AD15" s="1382">
        <v>211.92568909595084</v>
      </c>
      <c r="AE15" s="1995">
        <v>3846</v>
      </c>
      <c r="AF15" s="1382">
        <v>228.49198852193132</v>
      </c>
      <c r="AG15" s="2117">
        <v>2033</v>
      </c>
      <c r="AH15" s="1382">
        <v>227.23030512346779</v>
      </c>
      <c r="AI15" s="2117">
        <v>682</v>
      </c>
      <c r="AJ15" s="1382">
        <v>131.17150385628835</v>
      </c>
      <c r="AK15" s="2118">
        <v>581</v>
      </c>
      <c r="AL15" s="1382">
        <v>125.42771715078312</v>
      </c>
      <c r="AM15" s="1854">
        <v>970</v>
      </c>
      <c r="AN15" s="1382">
        <v>346.5238654915816</v>
      </c>
      <c r="AO15" s="1995">
        <v>1067</v>
      </c>
      <c r="AP15" s="1382">
        <v>289.87239637808926</v>
      </c>
      <c r="AQ15" s="1854">
        <v>712</v>
      </c>
      <c r="AR15" s="1382">
        <v>155.40965286023609</v>
      </c>
      <c r="AS15" s="2119"/>
      <c r="AT15" s="1591">
        <v>9891</v>
      </c>
      <c r="AU15" s="2120"/>
      <c r="AV15" s="537">
        <v>699</v>
      </c>
      <c r="AW15" s="2117">
        <v>1813</v>
      </c>
      <c r="AX15" s="537"/>
      <c r="AY15" s="2117">
        <v>2512</v>
      </c>
      <c r="AZ15" s="2120"/>
      <c r="BA15" s="537">
        <v>317</v>
      </c>
      <c r="BB15" s="2117">
        <v>1707</v>
      </c>
      <c r="BC15" s="2117">
        <v>2024</v>
      </c>
      <c r="BD15" s="2120"/>
      <c r="BE15" s="2117">
        <v>160</v>
      </c>
      <c r="BF15" s="2117">
        <v>1155</v>
      </c>
      <c r="BG15" s="2121"/>
      <c r="BH15" s="1747">
        <f>BE15+BF15</f>
        <v>1315</v>
      </c>
      <c r="BI15" s="537">
        <v>254</v>
      </c>
      <c r="BJ15" s="537">
        <v>262</v>
      </c>
      <c r="BK15" s="2117">
        <v>516</v>
      </c>
      <c r="BL15" s="2120"/>
      <c r="BM15" s="2117">
        <v>112</v>
      </c>
      <c r="BN15" s="2117">
        <v>859</v>
      </c>
      <c r="BO15" s="2117">
        <v>971</v>
      </c>
      <c r="BP15" s="2120"/>
      <c r="BQ15" s="2117">
        <v>444</v>
      </c>
      <c r="BR15" s="2117">
        <v>2010</v>
      </c>
      <c r="BS15" s="2117"/>
      <c r="BT15" s="2117">
        <f>BQ15+BR15</f>
        <v>2454</v>
      </c>
      <c r="BU15" s="2117">
        <v>11</v>
      </c>
      <c r="BV15" s="2117">
        <v>88</v>
      </c>
      <c r="BW15" s="2117">
        <v>99</v>
      </c>
    </row>
    <row r="16" spans="1:75" x14ac:dyDescent="0.4">
      <c r="C16" s="301">
        <v>2013</v>
      </c>
      <c r="D16" s="1739">
        <v>2065</v>
      </c>
      <c r="E16" s="2114">
        <v>88.538521100644886</v>
      </c>
      <c r="F16" s="1841"/>
      <c r="G16" s="1995">
        <v>7140</v>
      </c>
      <c r="H16" s="2114">
        <v>299.89289685037005</v>
      </c>
      <c r="I16" s="2115"/>
      <c r="J16" s="1995">
        <v>724</v>
      </c>
      <c r="K16" s="2114">
        <v>197.48252282437636</v>
      </c>
      <c r="L16" s="1995">
        <v>796</v>
      </c>
      <c r="M16" s="2114">
        <v>217.60617379244312</v>
      </c>
      <c r="N16" s="1995">
        <v>1131</v>
      </c>
      <c r="O16" s="2114">
        <v>291.27821838432379</v>
      </c>
      <c r="P16" s="1995">
        <v>1092</v>
      </c>
      <c r="Q16" s="2114">
        <v>261.2690896944269</v>
      </c>
      <c r="R16" s="1995">
        <v>795</v>
      </c>
      <c r="S16" s="2116">
        <v>180.3484200224118</v>
      </c>
      <c r="T16" s="1773">
        <v>1568</v>
      </c>
      <c r="U16" s="729">
        <v>188.64504535830795</v>
      </c>
      <c r="V16" s="1552">
        <v>2374</v>
      </c>
      <c r="W16" s="729">
        <v>150.77334600305053</v>
      </c>
      <c r="X16" s="1773">
        <v>669</v>
      </c>
      <c r="Y16" s="729">
        <v>203.99226856022651</v>
      </c>
      <c r="Z16" s="2115"/>
      <c r="AA16" s="1773">
        <v>56</v>
      </c>
      <c r="AB16" s="2115"/>
      <c r="AC16" s="1995">
        <v>9205</v>
      </c>
      <c r="AD16" s="1382">
        <v>195.85060545602977</v>
      </c>
      <c r="AE16" s="1995">
        <v>3533</v>
      </c>
      <c r="AF16" s="1382">
        <v>230.88636051732135</v>
      </c>
      <c r="AG16" s="2117">
        <v>1702</v>
      </c>
      <c r="AH16" s="1382">
        <v>183.46329548369849</v>
      </c>
      <c r="AI16" s="2117">
        <v>668</v>
      </c>
      <c r="AJ16" s="1382">
        <v>124.91841966978899</v>
      </c>
      <c r="AK16" s="2118">
        <v>610</v>
      </c>
      <c r="AL16" s="1382">
        <v>129.10408117048723</v>
      </c>
      <c r="AM16" s="1854">
        <v>617</v>
      </c>
      <c r="AN16" s="1382">
        <v>172.45282702450396</v>
      </c>
      <c r="AO16" s="1995">
        <v>1262</v>
      </c>
      <c r="AP16" s="1382">
        <v>280.13318534961155</v>
      </c>
      <c r="AQ16" s="1854">
        <v>813</v>
      </c>
      <c r="AR16" s="1382">
        <v>190.57665260196907</v>
      </c>
      <c r="AS16" s="2119"/>
      <c r="AT16" s="1591">
        <v>9205</v>
      </c>
      <c r="AU16" s="2120"/>
      <c r="AV16" s="537">
        <v>795</v>
      </c>
      <c r="AW16" s="2117">
        <v>1875</v>
      </c>
      <c r="AX16" s="537"/>
      <c r="AY16" s="2117">
        <v>2670</v>
      </c>
      <c r="AZ16" s="2120"/>
      <c r="BA16" s="537">
        <v>380</v>
      </c>
      <c r="BB16" s="2117">
        <v>1971</v>
      </c>
      <c r="BC16" s="2117">
        <v>2351</v>
      </c>
      <c r="BD16" s="2120"/>
      <c r="BE16" s="2117">
        <v>218</v>
      </c>
      <c r="BF16" s="2117">
        <v>1267</v>
      </c>
      <c r="BG16" s="2121"/>
      <c r="BH16" s="1747">
        <f>BE16+BF16</f>
        <v>1485</v>
      </c>
      <c r="BI16" s="537">
        <v>302</v>
      </c>
      <c r="BJ16" s="537">
        <v>368</v>
      </c>
      <c r="BK16" s="2117">
        <v>670</v>
      </c>
      <c r="BL16" s="2120"/>
      <c r="BM16" s="2117">
        <v>134</v>
      </c>
      <c r="BN16" s="2117">
        <v>876</v>
      </c>
      <c r="BO16" s="2117">
        <v>1010</v>
      </c>
      <c r="BP16" s="2120"/>
      <c r="BQ16" s="2117">
        <v>203</v>
      </c>
      <c r="BR16" s="2117">
        <v>667</v>
      </c>
      <c r="BS16" s="2117"/>
      <c r="BT16" s="2117">
        <f>BQ16+BR16</f>
        <v>870</v>
      </c>
      <c r="BU16" s="2117">
        <v>33</v>
      </c>
      <c r="BV16" s="2117">
        <v>116</v>
      </c>
      <c r="BW16" s="2117">
        <v>149</v>
      </c>
    </row>
    <row r="17" spans="3:75" x14ac:dyDescent="0.4">
      <c r="C17" s="301">
        <v>2014</v>
      </c>
      <c r="D17" s="1739">
        <v>2840</v>
      </c>
      <c r="E17" s="2114">
        <v>117.82692303703043</v>
      </c>
      <c r="F17" s="1841"/>
      <c r="G17" s="1995">
        <v>8093</v>
      </c>
      <c r="H17" s="2114">
        <v>342.51677244494249</v>
      </c>
      <c r="I17" s="2115"/>
      <c r="J17" s="1995">
        <v>1177</v>
      </c>
      <c r="K17" s="2114">
        <v>321.62160685105937</v>
      </c>
      <c r="L17" s="1995">
        <v>1306</v>
      </c>
      <c r="M17" s="2114">
        <v>354.69853340575776</v>
      </c>
      <c r="N17" s="1995">
        <v>1176</v>
      </c>
      <c r="O17" s="2114">
        <v>306.45430286857908</v>
      </c>
      <c r="P17" s="1995">
        <v>865</v>
      </c>
      <c r="Q17" s="2114">
        <v>209.1053915347369</v>
      </c>
      <c r="R17" s="1995">
        <v>871</v>
      </c>
      <c r="S17" s="2116">
        <v>198.894674777555</v>
      </c>
      <c r="T17" s="1773">
        <v>1570</v>
      </c>
      <c r="U17" s="729">
        <v>185.02913914309116</v>
      </c>
      <c r="V17" s="1552">
        <v>2909</v>
      </c>
      <c r="W17" s="729">
        <v>180.29319180927223</v>
      </c>
      <c r="X17" s="1773">
        <v>872</v>
      </c>
      <c r="Y17" s="729">
        <v>255.62177358125518</v>
      </c>
      <c r="Z17" s="2115"/>
      <c r="AA17" s="1773">
        <v>184</v>
      </c>
      <c r="AB17" s="2115"/>
      <c r="AC17" s="1995">
        <v>10933</v>
      </c>
      <c r="AD17" s="1382">
        <v>229.05358110702875</v>
      </c>
      <c r="AE17" s="1995">
        <v>4865</v>
      </c>
      <c r="AF17" s="1382">
        <v>308.51984039409365</v>
      </c>
      <c r="AG17" s="2117">
        <v>1893</v>
      </c>
      <c r="AH17" s="1382">
        <v>199.97739294131566</v>
      </c>
      <c r="AI17" s="2117">
        <v>1088</v>
      </c>
      <c r="AJ17" s="1382">
        <v>210.51368822690591</v>
      </c>
      <c r="AK17" s="2118">
        <v>731</v>
      </c>
      <c r="AL17" s="1382">
        <v>151.29751590590163</v>
      </c>
      <c r="AM17" s="1854">
        <v>577</v>
      </c>
      <c r="AN17" s="1382">
        <v>160.33612231117434</v>
      </c>
      <c r="AO17" s="1995">
        <v>1076</v>
      </c>
      <c r="AP17" s="1382">
        <v>233.06640443086093</v>
      </c>
      <c r="AQ17" s="1854">
        <v>703</v>
      </c>
      <c r="AR17" s="1382">
        <v>164.21281794334541</v>
      </c>
      <c r="AS17" s="2119"/>
      <c r="AT17" s="1591">
        <v>10933</v>
      </c>
      <c r="AU17" s="2120"/>
      <c r="AV17" s="537">
        <v>918</v>
      </c>
      <c r="AW17" s="2117">
        <v>1779</v>
      </c>
      <c r="AX17" s="537"/>
      <c r="AY17" s="2117">
        <v>2697</v>
      </c>
      <c r="AZ17" s="2120"/>
      <c r="BA17" s="537">
        <v>523</v>
      </c>
      <c r="BB17" s="2117">
        <v>2279</v>
      </c>
      <c r="BC17" s="2117">
        <v>2802</v>
      </c>
      <c r="BD17" s="2120"/>
      <c r="BE17" s="2117">
        <v>194</v>
      </c>
      <c r="BF17" s="2117">
        <v>1352</v>
      </c>
      <c r="BG17" s="2121"/>
      <c r="BH17" s="1747">
        <f>BE17+BF17</f>
        <v>1546</v>
      </c>
      <c r="BI17" s="537">
        <v>474</v>
      </c>
      <c r="BJ17" s="537">
        <v>490</v>
      </c>
      <c r="BK17" s="2117">
        <v>964</v>
      </c>
      <c r="BL17" s="2120"/>
      <c r="BM17" s="2117">
        <v>224</v>
      </c>
      <c r="BN17" s="2117">
        <v>993</v>
      </c>
      <c r="BO17" s="2117">
        <v>1217</v>
      </c>
      <c r="BP17" s="2120"/>
      <c r="BQ17" s="2117">
        <v>467</v>
      </c>
      <c r="BR17" s="2117">
        <v>1090</v>
      </c>
      <c r="BS17" s="2117"/>
      <c r="BT17" s="2117">
        <f>BQ17+BR17</f>
        <v>1557</v>
      </c>
      <c r="BU17" s="2117">
        <v>40</v>
      </c>
      <c r="BV17" s="2117">
        <v>110</v>
      </c>
      <c r="BW17" s="2117">
        <v>150</v>
      </c>
    </row>
    <row r="18" spans="3:75" x14ac:dyDescent="0.4">
      <c r="C18" s="301">
        <v>2015</v>
      </c>
      <c r="D18" s="1739">
        <v>3669</v>
      </c>
      <c r="E18" s="2114">
        <v>150.4105235712845</v>
      </c>
      <c r="F18" s="1841"/>
      <c r="G18" s="1995">
        <v>8822</v>
      </c>
      <c r="H18" s="2114">
        <v>368.673531689333</v>
      </c>
      <c r="I18" s="2115"/>
      <c r="J18" s="1995">
        <v>1537</v>
      </c>
      <c r="K18" s="2122">
        <v>419.25347241164849</v>
      </c>
      <c r="L18" s="1995">
        <v>1480</v>
      </c>
      <c r="M18" s="2122">
        <v>399.4752838163925</v>
      </c>
      <c r="N18" s="1995">
        <v>1736</v>
      </c>
      <c r="O18" s="2122">
        <v>462.19259267147856</v>
      </c>
      <c r="P18" s="1995">
        <v>1274</v>
      </c>
      <c r="Q18" s="2122">
        <v>309.83771216222459</v>
      </c>
      <c r="R18" s="1995">
        <v>812</v>
      </c>
      <c r="S18" s="2116">
        <v>186.44079471536782</v>
      </c>
      <c r="T18" s="1773">
        <v>1779</v>
      </c>
      <c r="U18" s="729">
        <v>205.8041632828714</v>
      </c>
      <c r="V18" s="1552">
        <v>2662</v>
      </c>
      <c r="W18" s="729">
        <v>161.0617734220242</v>
      </c>
      <c r="X18" s="1773">
        <v>971</v>
      </c>
      <c r="Y18" s="729">
        <v>273.03120878873682</v>
      </c>
      <c r="Z18" s="2115"/>
      <c r="AA18" s="1773">
        <v>240</v>
      </c>
      <c r="AB18" s="2115"/>
      <c r="AC18" s="1995">
        <v>12491</v>
      </c>
      <c r="AD18" s="1382">
        <v>258.49365106399182</v>
      </c>
      <c r="AE18" s="1995">
        <v>4784</v>
      </c>
      <c r="AF18" s="1382">
        <v>300.40420189121522</v>
      </c>
      <c r="AG18" s="2117">
        <v>2611</v>
      </c>
      <c r="AH18" s="1382">
        <v>271.76741455615831</v>
      </c>
      <c r="AI18" s="2117">
        <v>1186</v>
      </c>
      <c r="AJ18" s="1382">
        <v>227.41915690004296</v>
      </c>
      <c r="AK18" s="2118">
        <v>673</v>
      </c>
      <c r="AL18" s="1382">
        <v>137.22763475019676</v>
      </c>
      <c r="AM18" s="1854">
        <v>860</v>
      </c>
      <c r="AN18" s="1382">
        <v>235.26708285231246</v>
      </c>
      <c r="AO18" s="1995">
        <v>1515</v>
      </c>
      <c r="AP18" s="1382">
        <v>323.74354382718292</v>
      </c>
      <c r="AQ18" s="1854">
        <v>862</v>
      </c>
      <c r="AR18" s="1382">
        <v>198.83604791441286</v>
      </c>
      <c r="AS18" s="2119"/>
      <c r="AT18" s="1591">
        <v>12491</v>
      </c>
      <c r="AU18" s="2120"/>
      <c r="AV18" s="537">
        <v>907</v>
      </c>
      <c r="AW18" s="2117">
        <v>1498</v>
      </c>
      <c r="AX18" s="537"/>
      <c r="AY18" s="2117">
        <v>2405</v>
      </c>
      <c r="AZ18" s="2120"/>
      <c r="BA18" s="537">
        <v>597</v>
      </c>
      <c r="BB18" s="2117">
        <v>2467</v>
      </c>
      <c r="BC18" s="2117">
        <v>3064</v>
      </c>
      <c r="BD18" s="2120"/>
      <c r="BE18" s="2117">
        <v>290</v>
      </c>
      <c r="BF18" s="2117">
        <v>1523</v>
      </c>
      <c r="BG18" s="2121"/>
      <c r="BH18" s="1747">
        <f>BE18+BF18</f>
        <v>1813</v>
      </c>
      <c r="BI18" s="537">
        <v>960</v>
      </c>
      <c r="BJ18" s="537">
        <v>848</v>
      </c>
      <c r="BK18" s="2117">
        <v>1808</v>
      </c>
      <c r="BL18" s="2120"/>
      <c r="BM18" s="2117">
        <v>341</v>
      </c>
      <c r="BN18" s="2117">
        <v>1224</v>
      </c>
      <c r="BO18" s="2117">
        <v>1565</v>
      </c>
      <c r="BP18" s="2120"/>
      <c r="BQ18" s="2117">
        <v>541</v>
      </c>
      <c r="BR18" s="2117">
        <v>1148</v>
      </c>
      <c r="BS18" s="2117"/>
      <c r="BT18" s="2117">
        <f>BQ18+BR18</f>
        <v>1689</v>
      </c>
      <c r="BU18" s="2117">
        <v>33</v>
      </c>
      <c r="BV18" s="2117">
        <v>115</v>
      </c>
      <c r="BW18" s="2117">
        <v>148</v>
      </c>
    </row>
    <row r="19" spans="3:75" x14ac:dyDescent="0.4">
      <c r="C19" s="301">
        <v>2016</v>
      </c>
      <c r="D19" s="536">
        <v>3695</v>
      </c>
      <c r="E19" s="2114">
        <v>149.72698631385936</v>
      </c>
      <c r="F19" s="1841"/>
      <c r="G19" s="1995">
        <v>9342</v>
      </c>
      <c r="H19" s="2114">
        <v>385.6271931979029</v>
      </c>
      <c r="I19" s="1841"/>
      <c r="J19" s="1995">
        <v>1370</v>
      </c>
      <c r="K19" s="2122">
        <v>369.65384750294783</v>
      </c>
      <c r="L19" s="1995">
        <v>1384</v>
      </c>
      <c r="M19" s="2122">
        <v>374.73668249730588</v>
      </c>
      <c r="N19" s="1995">
        <v>1770</v>
      </c>
      <c r="O19" s="2122">
        <v>479.49</v>
      </c>
      <c r="P19" s="1995">
        <v>1445</v>
      </c>
      <c r="Q19" s="2122">
        <v>354.81890730509514</v>
      </c>
      <c r="R19" s="1995">
        <v>828</v>
      </c>
      <c r="S19" s="2116">
        <v>190.35401709048023</v>
      </c>
      <c r="T19" s="1773">
        <v>1910</v>
      </c>
      <c r="U19" s="729">
        <v>218.12666878321863</v>
      </c>
      <c r="V19" s="1552">
        <v>2944</v>
      </c>
      <c r="W19" s="729">
        <v>174.01028693965318</v>
      </c>
      <c r="X19" s="1773">
        <v>1130</v>
      </c>
      <c r="Y19" s="729">
        <v>304.12151942340716</v>
      </c>
      <c r="Z19" s="1841"/>
      <c r="AA19" s="1773">
        <v>256</v>
      </c>
      <c r="AB19" s="1854"/>
      <c r="AC19" s="1995">
        <v>13037</v>
      </c>
      <c r="AD19" s="1382">
        <v>266.58503688471961</v>
      </c>
      <c r="AE19" s="1995">
        <v>4831</v>
      </c>
      <c r="AF19" s="1382">
        <v>300.59047891635606</v>
      </c>
      <c r="AG19" s="2117">
        <v>2930</v>
      </c>
      <c r="AH19" s="1382">
        <v>300.50573165966341</v>
      </c>
      <c r="AI19" s="2117">
        <v>1152</v>
      </c>
      <c r="AJ19" s="1382">
        <v>219.12638570809017</v>
      </c>
      <c r="AK19" s="2118">
        <v>511</v>
      </c>
      <c r="AL19" s="1382">
        <v>102.65063629332771</v>
      </c>
      <c r="AM19" s="1854">
        <v>830</v>
      </c>
      <c r="AN19" s="1382">
        <v>223.49377314035678</v>
      </c>
      <c r="AO19" s="1995">
        <v>1721</v>
      </c>
      <c r="AP19" s="1382">
        <v>362.87958976262064</v>
      </c>
      <c r="AQ19" s="1854">
        <v>1062</v>
      </c>
      <c r="AR19" s="1382">
        <v>241.90627612394167</v>
      </c>
      <c r="AS19" s="1841"/>
      <c r="AT19" s="2123">
        <v>13037</v>
      </c>
      <c r="AU19" s="2123"/>
      <c r="AV19" s="2123">
        <v>921</v>
      </c>
      <c r="AW19" s="2117">
        <v>1682</v>
      </c>
      <c r="AX19" s="1854"/>
      <c r="AY19" s="2117">
        <v>2603</v>
      </c>
      <c r="AZ19" s="2123"/>
      <c r="BA19" s="2123">
        <v>765</v>
      </c>
      <c r="BB19" s="2117">
        <v>2850</v>
      </c>
      <c r="BC19" s="2117">
        <v>3615</v>
      </c>
      <c r="BD19" s="2123"/>
      <c r="BE19" s="2117">
        <v>246</v>
      </c>
      <c r="BF19" s="2117">
        <v>1620</v>
      </c>
      <c r="BG19" s="1854"/>
      <c r="BH19" s="785">
        <v>1866</v>
      </c>
      <c r="BI19" s="1854">
        <v>1149</v>
      </c>
      <c r="BJ19" s="1854">
        <v>1092</v>
      </c>
      <c r="BK19" s="2117">
        <v>2241</v>
      </c>
      <c r="BL19" s="2123"/>
      <c r="BM19" s="2117">
        <v>285</v>
      </c>
      <c r="BN19" s="2117">
        <v>1250</v>
      </c>
      <c r="BO19" s="2117">
        <v>1490</v>
      </c>
      <c r="BP19" s="2123"/>
      <c r="BQ19" s="2117">
        <v>294</v>
      </c>
      <c r="BR19" s="2117">
        <v>765</v>
      </c>
      <c r="BS19" s="2117"/>
      <c r="BT19" s="2117">
        <v>1059</v>
      </c>
      <c r="BU19" s="2117">
        <v>35</v>
      </c>
      <c r="BV19" s="2117">
        <v>128</v>
      </c>
      <c r="BW19" s="2117">
        <v>163</v>
      </c>
    </row>
    <row r="20" spans="3:75" x14ac:dyDescent="0.4">
      <c r="C20" s="301">
        <v>2019</v>
      </c>
      <c r="D20" s="536">
        <v>2782</v>
      </c>
      <c r="E20" s="2114">
        <v>109.1</v>
      </c>
      <c r="F20" s="1841"/>
      <c r="G20" s="1995">
        <v>8024</v>
      </c>
      <c r="H20" s="2114">
        <v>319.89999999999998</v>
      </c>
      <c r="I20" s="1841"/>
      <c r="J20" s="1995">
        <v>1395</v>
      </c>
      <c r="K20" s="2122">
        <v>379.08</v>
      </c>
      <c r="L20" s="1995">
        <v>1038</v>
      </c>
      <c r="M20" s="2122">
        <v>279.7</v>
      </c>
      <c r="N20" s="1995">
        <v>1325</v>
      </c>
      <c r="O20" s="2122">
        <v>355.8</v>
      </c>
      <c r="P20" s="1995">
        <v>1431</v>
      </c>
      <c r="Q20" s="2122">
        <v>367.3</v>
      </c>
      <c r="R20" s="1995">
        <v>695</v>
      </c>
      <c r="S20" s="2116">
        <v>164.5</v>
      </c>
      <c r="T20" s="1773">
        <v>1438</v>
      </c>
      <c r="U20" s="729">
        <v>160.11000000000001</v>
      </c>
      <c r="V20" s="1552">
        <v>2257</v>
      </c>
      <c r="W20" s="729">
        <v>124.97</v>
      </c>
      <c r="X20" s="1773">
        <v>978</v>
      </c>
      <c r="Y20" s="729">
        <v>227.29</v>
      </c>
      <c r="Z20" s="1841"/>
      <c r="AA20" s="1773">
        <v>230.42699999999999</v>
      </c>
      <c r="AB20" s="1854"/>
      <c r="AC20" s="1995">
        <v>10806</v>
      </c>
      <c r="AD20" s="1382">
        <v>213.6</v>
      </c>
      <c r="AE20" s="1995">
        <v>3641</v>
      </c>
      <c r="AF20" s="1382">
        <v>220.9</v>
      </c>
      <c r="AG20" s="2117">
        <v>2338</v>
      </c>
      <c r="AH20" s="1382">
        <v>230</v>
      </c>
      <c r="AI20" s="2117">
        <v>861</v>
      </c>
      <c r="AJ20" s="1382">
        <v>160.19999999999999</v>
      </c>
      <c r="AK20" s="2118">
        <v>344</v>
      </c>
      <c r="AL20" s="1382">
        <v>66.3</v>
      </c>
      <c r="AM20" s="1854">
        <v>733</v>
      </c>
      <c r="AN20" s="1382">
        <v>188.7</v>
      </c>
      <c r="AO20" s="1995">
        <v>1453</v>
      </c>
      <c r="AP20" s="1382">
        <v>294.8</v>
      </c>
      <c r="AQ20" s="1854">
        <v>1436</v>
      </c>
      <c r="AR20" s="1382">
        <v>315.60000000000002</v>
      </c>
      <c r="AS20" s="1841"/>
      <c r="AT20" s="2123">
        <v>10806</v>
      </c>
      <c r="AU20" s="2123"/>
      <c r="AV20" s="2123">
        <v>414</v>
      </c>
      <c r="AW20" s="2117">
        <v>922</v>
      </c>
      <c r="AX20" s="1854"/>
      <c r="AY20" s="2117">
        <v>1336</v>
      </c>
      <c r="AZ20" s="2123"/>
      <c r="BA20" s="2123">
        <v>298</v>
      </c>
      <c r="BB20" s="2117">
        <v>1472</v>
      </c>
      <c r="BC20" s="2117">
        <v>1770</v>
      </c>
      <c r="BD20" s="2123"/>
      <c r="BE20" s="2117">
        <v>210</v>
      </c>
      <c r="BF20" s="2117">
        <v>1398</v>
      </c>
      <c r="BG20" s="1854"/>
      <c r="BH20" s="785">
        <v>1608</v>
      </c>
      <c r="BI20" s="1854">
        <v>996</v>
      </c>
      <c r="BJ20" s="1854">
        <v>1063</v>
      </c>
      <c r="BK20" s="2117">
        <v>2059</v>
      </c>
      <c r="BL20" s="2123"/>
      <c r="BM20" s="2117">
        <v>392</v>
      </c>
      <c r="BN20" s="2117">
        <v>1543</v>
      </c>
      <c r="BO20" s="2117">
        <v>1935</v>
      </c>
      <c r="BP20" s="2123"/>
      <c r="BQ20" s="2117">
        <v>460</v>
      </c>
      <c r="BR20" s="2117">
        <v>1571</v>
      </c>
      <c r="BS20" s="2117"/>
      <c r="BT20" s="2117">
        <v>2031</v>
      </c>
      <c r="BU20" s="2117">
        <v>12</v>
      </c>
      <c r="BV20" s="2117">
        <v>55</v>
      </c>
      <c r="BW20" s="2117">
        <v>67</v>
      </c>
    </row>
    <row r="21" spans="3:75" x14ac:dyDescent="0.4">
      <c r="C21" s="301">
        <v>2020</v>
      </c>
      <c r="D21" s="536">
        <v>1533</v>
      </c>
      <c r="E21" s="2114">
        <v>59.5</v>
      </c>
      <c r="F21" s="1841"/>
      <c r="G21" s="1995">
        <v>4281</v>
      </c>
      <c r="H21" s="2114">
        <v>168.8</v>
      </c>
      <c r="I21" s="1841"/>
      <c r="J21" s="1995">
        <v>644</v>
      </c>
      <c r="K21" s="2122">
        <v>176.05</v>
      </c>
      <c r="L21" s="1995">
        <v>538</v>
      </c>
      <c r="M21" s="2122">
        <v>144.80000000000001</v>
      </c>
      <c r="N21" s="1995">
        <v>623</v>
      </c>
      <c r="O21" s="2122">
        <v>166.3</v>
      </c>
      <c r="P21" s="1995">
        <v>809</v>
      </c>
      <c r="Q21" s="2122">
        <v>212.1</v>
      </c>
      <c r="R21" s="1995">
        <v>402</v>
      </c>
      <c r="S21" s="2116">
        <v>95.8</v>
      </c>
      <c r="T21" s="1773">
        <v>848</v>
      </c>
      <c r="U21" s="729">
        <v>94.6</v>
      </c>
      <c r="V21" s="1552">
        <v>1349</v>
      </c>
      <c r="W21" s="729">
        <v>72.959999999999994</v>
      </c>
      <c r="X21" s="1773">
        <v>538</v>
      </c>
      <c r="Y21" s="729">
        <v>118.74</v>
      </c>
      <c r="Z21" s="1841"/>
      <c r="AA21" s="1773">
        <v>63</v>
      </c>
      <c r="AB21" s="1854"/>
      <c r="AC21" s="1995">
        <v>5814</v>
      </c>
      <c r="AD21" s="1382">
        <v>113.7</v>
      </c>
      <c r="AE21" s="1995">
        <v>1570</v>
      </c>
      <c r="AF21" s="1382">
        <v>94.5</v>
      </c>
      <c r="AG21" s="2117">
        <v>1282</v>
      </c>
      <c r="AH21" s="1382">
        <v>124.5</v>
      </c>
      <c r="AI21" s="2117">
        <v>431</v>
      </c>
      <c r="AJ21" s="1382">
        <v>79.599999999999994</v>
      </c>
      <c r="AK21" s="2118">
        <v>112</v>
      </c>
      <c r="AL21" s="1382">
        <v>21.3</v>
      </c>
      <c r="AM21" s="1854">
        <v>239</v>
      </c>
      <c r="AN21" s="1382">
        <v>60.7</v>
      </c>
      <c r="AO21" s="1995">
        <v>1484</v>
      </c>
      <c r="AP21" s="1382">
        <v>297.5</v>
      </c>
      <c r="AQ21" s="1854">
        <v>696</v>
      </c>
      <c r="AR21" s="1382">
        <v>151.30000000000001</v>
      </c>
      <c r="AS21" s="1841"/>
      <c r="AT21" s="2123">
        <v>5814</v>
      </c>
      <c r="AU21" s="2123"/>
      <c r="AV21" s="2123">
        <v>326</v>
      </c>
      <c r="AW21" s="2117">
        <v>613</v>
      </c>
      <c r="AX21" s="1854"/>
      <c r="AY21" s="2117">
        <v>939</v>
      </c>
      <c r="AZ21" s="2123"/>
      <c r="BA21" s="2123">
        <v>160</v>
      </c>
      <c r="BB21" s="2117">
        <v>807</v>
      </c>
      <c r="BC21" s="2117">
        <v>967</v>
      </c>
      <c r="BD21" s="2123"/>
      <c r="BE21" s="2117">
        <v>96</v>
      </c>
      <c r="BF21" s="2117">
        <v>734</v>
      </c>
      <c r="BG21" s="1854"/>
      <c r="BH21" s="785">
        <v>830</v>
      </c>
      <c r="BI21" s="1854">
        <v>558</v>
      </c>
      <c r="BJ21" s="1854">
        <v>611</v>
      </c>
      <c r="BK21" s="2117">
        <v>1169</v>
      </c>
      <c r="BL21" s="2123"/>
      <c r="BM21" s="2117">
        <v>184</v>
      </c>
      <c r="BN21" s="2117">
        <v>731</v>
      </c>
      <c r="BO21" s="2117">
        <v>915</v>
      </c>
      <c r="BP21" s="2123"/>
      <c r="BQ21" s="2117">
        <v>198</v>
      </c>
      <c r="BR21" s="2117">
        <v>737</v>
      </c>
      <c r="BS21" s="2117"/>
      <c r="BT21" s="2117">
        <v>935</v>
      </c>
      <c r="BU21" s="2117">
        <v>11</v>
      </c>
      <c r="BV21" s="2117">
        <v>48</v>
      </c>
      <c r="BW21" s="2117">
        <v>59</v>
      </c>
    </row>
    <row r="22" spans="3:75" x14ac:dyDescent="0.4">
      <c r="C22" s="2124">
        <v>2021</v>
      </c>
      <c r="D22" s="1752">
        <v>2334</v>
      </c>
      <c r="E22" s="2125">
        <v>89.746656033443898</v>
      </c>
      <c r="F22" s="2126"/>
      <c r="G22" s="2127">
        <v>7072</v>
      </c>
      <c r="H22" s="2128">
        <v>275.99481260881049</v>
      </c>
      <c r="I22" s="2129"/>
      <c r="J22" s="2130">
        <v>855</v>
      </c>
      <c r="K22" s="2131">
        <v>235.40943344796352</v>
      </c>
      <c r="L22" s="2127">
        <v>756</v>
      </c>
      <c r="M22" s="2128">
        <v>201.3</v>
      </c>
      <c r="N22" s="2127">
        <v>1115</v>
      </c>
      <c r="O22" s="2128">
        <v>298.66658095069727</v>
      </c>
      <c r="P22" s="2127">
        <v>1241</v>
      </c>
      <c r="Q22" s="2128">
        <v>331.18149866966979</v>
      </c>
      <c r="R22" s="2127">
        <v>661</v>
      </c>
      <c r="S22" s="2128">
        <v>159.09845811690968</v>
      </c>
      <c r="T22" s="2127">
        <v>1440</v>
      </c>
      <c r="U22" s="2125">
        <v>161.74</v>
      </c>
      <c r="V22" s="1757">
        <v>2309</v>
      </c>
      <c r="W22" s="2132">
        <v>121.93</v>
      </c>
      <c r="X22" s="2133">
        <v>910</v>
      </c>
      <c r="Y22" s="2132">
        <v>190.87</v>
      </c>
      <c r="Z22" s="2129"/>
      <c r="AA22" s="2133">
        <v>119</v>
      </c>
      <c r="AB22" s="2134"/>
      <c r="AC22" s="2130">
        <v>9406</v>
      </c>
      <c r="AD22" s="1758">
        <v>182.18016157594556</v>
      </c>
      <c r="AE22" s="2130">
        <v>2609</v>
      </c>
      <c r="AF22" s="1758">
        <v>155.88376054485826</v>
      </c>
      <c r="AG22" s="2135">
        <v>1958</v>
      </c>
      <c r="AH22" s="1758">
        <v>187.77865902253441</v>
      </c>
      <c r="AI22" s="2135">
        <v>823</v>
      </c>
      <c r="AJ22" s="1758">
        <v>151.1336862846639</v>
      </c>
      <c r="AK22" s="2136">
        <v>106</v>
      </c>
      <c r="AL22" s="1758">
        <v>19.889146155202887</v>
      </c>
      <c r="AM22" s="2134">
        <v>536</v>
      </c>
      <c r="AN22" s="1758">
        <v>134.19827795567952</v>
      </c>
      <c r="AO22" s="2130">
        <v>2254</v>
      </c>
      <c r="AP22" s="1758">
        <v>446.5877840211129</v>
      </c>
      <c r="AQ22" s="2134">
        <v>1120</v>
      </c>
      <c r="AR22" s="1758">
        <v>240.86487695460772</v>
      </c>
      <c r="AS22" s="2129"/>
      <c r="AT22" s="2137">
        <v>9406</v>
      </c>
      <c r="AU22" s="2137"/>
      <c r="AV22" s="2137">
        <v>429</v>
      </c>
      <c r="AW22" s="2135">
        <v>980</v>
      </c>
      <c r="AX22" s="2134"/>
      <c r="AY22" s="2135">
        <f>SUM(AV22:AX22)</f>
        <v>1409</v>
      </c>
      <c r="AZ22" s="2137"/>
      <c r="BA22" s="2137">
        <v>427</v>
      </c>
      <c r="BB22" s="2135">
        <v>1937</v>
      </c>
      <c r="BC22" s="2135">
        <f>SUM(BA22:BB22)</f>
        <v>2364</v>
      </c>
      <c r="BD22" s="2137"/>
      <c r="BE22" s="2135">
        <v>161</v>
      </c>
      <c r="BF22" s="2135">
        <v>1084</v>
      </c>
      <c r="BG22" s="2134"/>
      <c r="BH22" s="1760">
        <f>SUM(BE22:BG22)</f>
        <v>1245</v>
      </c>
      <c r="BI22" s="2134">
        <v>840</v>
      </c>
      <c r="BJ22" s="2134">
        <v>954</v>
      </c>
      <c r="BK22" s="2135">
        <f>SUM(BI22:BJ22)</f>
        <v>1794</v>
      </c>
      <c r="BL22" s="2137"/>
      <c r="BM22" s="2135">
        <v>247</v>
      </c>
      <c r="BN22" s="2135">
        <v>1281</v>
      </c>
      <c r="BO22" s="2135">
        <f>SUM(BM22:BN22)</f>
        <v>1528</v>
      </c>
      <c r="BP22" s="2137"/>
      <c r="BQ22" s="2135">
        <v>201</v>
      </c>
      <c r="BR22" s="2135">
        <v>757</v>
      </c>
      <c r="BS22" s="2135"/>
      <c r="BT22" s="2135">
        <f>SUM(BQ22:BS22)</f>
        <v>958</v>
      </c>
      <c r="BU22" s="2135">
        <v>29</v>
      </c>
      <c r="BV22" s="2135">
        <v>79</v>
      </c>
      <c r="BW22" s="2135">
        <f>SUM(BU22:BV22)</f>
        <v>108</v>
      </c>
    </row>
    <row r="23" spans="3:75" x14ac:dyDescent="0.4">
      <c r="C23" s="2124">
        <v>2022</v>
      </c>
      <c r="D23" s="1752">
        <v>2940</v>
      </c>
      <c r="E23" s="2125">
        <v>112.00072533803075</v>
      </c>
      <c r="F23" s="2126"/>
      <c r="G23" s="2127">
        <v>8182</v>
      </c>
      <c r="H23" s="2128">
        <v>316.1051762512368</v>
      </c>
      <c r="I23" s="2129"/>
      <c r="J23" s="2130">
        <v>931</v>
      </c>
      <c r="K23" s="2131">
        <v>258.43</v>
      </c>
      <c r="L23" s="2127">
        <v>1099</v>
      </c>
      <c r="M23" s="2128">
        <v>292.37743559183156</v>
      </c>
      <c r="N23" s="2127">
        <v>1637</v>
      </c>
      <c r="O23" s="2128">
        <v>436.49724956070304</v>
      </c>
      <c r="P23" s="2127">
        <v>1392</v>
      </c>
      <c r="Q23" s="2128">
        <v>374.54695155913237</v>
      </c>
      <c r="R23" s="2127">
        <v>689</v>
      </c>
      <c r="S23" s="2128">
        <v>168.03074791973543</v>
      </c>
      <c r="T23" s="2127">
        <v>1682</v>
      </c>
      <c r="U23" s="2128">
        <v>189.54761003227495</v>
      </c>
      <c r="V23" s="1757">
        <v>2595</v>
      </c>
      <c r="W23" s="2132">
        <v>134.32</v>
      </c>
      <c r="X23" s="2133">
        <v>1035</v>
      </c>
      <c r="Y23" s="2132">
        <v>206.52787727255495</v>
      </c>
      <c r="Z23" s="2129"/>
      <c r="AA23" s="2133">
        <v>62</v>
      </c>
      <c r="AB23" s="2134"/>
      <c r="AC23" s="2130">
        <v>11122</v>
      </c>
      <c r="AD23" s="1758">
        <v>213.33642283041155</v>
      </c>
      <c r="AE23" s="2130">
        <v>3013</v>
      </c>
      <c r="AF23" s="1758">
        <v>178.78133197729304</v>
      </c>
      <c r="AG23" s="2135">
        <v>2983</v>
      </c>
      <c r="AH23" s="1758">
        <v>282.57819686123167</v>
      </c>
      <c r="AI23" s="2135">
        <v>838</v>
      </c>
      <c r="AJ23" s="1758">
        <v>153.00598330080282</v>
      </c>
      <c r="AK23" s="2136">
        <v>339</v>
      </c>
      <c r="AL23" s="1758">
        <v>62.824547162887932</v>
      </c>
      <c r="AM23" s="2134">
        <v>719</v>
      </c>
      <c r="AN23" s="1758">
        <v>177.62998611570902</v>
      </c>
      <c r="AO23" s="2130">
        <v>2124</v>
      </c>
      <c r="AP23" s="1758">
        <v>416.00889992674797</v>
      </c>
      <c r="AQ23" s="2134">
        <v>1106</v>
      </c>
      <c r="AR23" s="1758">
        <v>235.42083069921691</v>
      </c>
      <c r="AS23" s="2129"/>
      <c r="AT23" s="2137">
        <v>11122</v>
      </c>
      <c r="AU23" s="2137"/>
      <c r="AV23" s="2137">
        <v>609</v>
      </c>
      <c r="AW23" s="2135">
        <v>1067</v>
      </c>
      <c r="AX23" s="2134"/>
      <c r="AY23" s="2135">
        <v>1676</v>
      </c>
      <c r="AZ23" s="2137"/>
      <c r="BA23" s="2137">
        <v>444</v>
      </c>
      <c r="BB23" s="2135">
        <v>2019</v>
      </c>
      <c r="BC23" s="2135">
        <v>2463</v>
      </c>
      <c r="BD23" s="2137"/>
      <c r="BE23" s="2135">
        <v>151</v>
      </c>
      <c r="BF23" s="2135">
        <v>1249</v>
      </c>
      <c r="BG23" s="2134"/>
      <c r="BH23" s="1760">
        <v>1400</v>
      </c>
      <c r="BI23" s="2134">
        <v>1219</v>
      </c>
      <c r="BJ23" s="2134">
        <v>1510</v>
      </c>
      <c r="BK23" s="2135">
        <v>2729</v>
      </c>
      <c r="BL23" s="2137"/>
      <c r="BM23" s="2135">
        <v>284</v>
      </c>
      <c r="BN23" s="2135">
        <v>1590</v>
      </c>
      <c r="BO23" s="2135">
        <v>1874</v>
      </c>
      <c r="BP23" s="2137"/>
      <c r="BQ23" s="2135">
        <v>208</v>
      </c>
      <c r="BR23" s="2135">
        <v>661</v>
      </c>
      <c r="BS23" s="2135"/>
      <c r="BT23" s="2135">
        <v>869</v>
      </c>
      <c r="BU23" s="2135">
        <v>25</v>
      </c>
      <c r="BV23" s="2135">
        <v>86</v>
      </c>
      <c r="BW23" s="2135">
        <v>111</v>
      </c>
    </row>
    <row r="24" spans="3:75" x14ac:dyDescent="0.4">
      <c r="C24" s="2138">
        <v>2023</v>
      </c>
      <c r="D24" s="1762">
        <v>5742</v>
      </c>
      <c r="E24" s="2139">
        <v>216.79983507807736</v>
      </c>
      <c r="F24" s="2140"/>
      <c r="G24" s="2141">
        <v>13191</v>
      </c>
      <c r="H24" s="2142">
        <v>504.68703550026231</v>
      </c>
      <c r="I24" s="2143"/>
      <c r="J24" s="2144">
        <v>1912</v>
      </c>
      <c r="K24" s="2145">
        <v>535.47973326835881</v>
      </c>
      <c r="L24" s="2141">
        <v>1802</v>
      </c>
      <c r="M24" s="2142">
        <v>481.27770952406388</v>
      </c>
      <c r="N24" s="2141">
        <v>2929</v>
      </c>
      <c r="O24" s="2142">
        <v>779.76497899506421</v>
      </c>
      <c r="P24" s="2141">
        <v>2697</v>
      </c>
      <c r="Q24" s="2142">
        <v>718.63275920873127</v>
      </c>
      <c r="R24" s="2141">
        <v>1119</v>
      </c>
      <c r="S24" s="2142">
        <v>278.31043925296404</v>
      </c>
      <c r="T24" s="2141">
        <v>1408</v>
      </c>
      <c r="U24" s="2142">
        <v>159.36922385603344</v>
      </c>
      <c r="V24" s="1767">
        <v>4137</v>
      </c>
      <c r="W24" s="2146">
        <v>210.2</v>
      </c>
      <c r="X24" s="2147">
        <v>1882</v>
      </c>
      <c r="Y24" s="2146">
        <v>357.71374917081499</v>
      </c>
      <c r="Z24" s="2143"/>
      <c r="AA24" s="2147">
        <v>47</v>
      </c>
      <c r="AB24" s="2148"/>
      <c r="AC24" s="2144">
        <v>18933</v>
      </c>
      <c r="AD24" s="1768">
        <v>359.79077291449909</v>
      </c>
      <c r="AE24" s="2144">
        <v>5432</v>
      </c>
      <c r="AF24" s="1768">
        <v>320.23298246441448</v>
      </c>
      <c r="AG24" s="2149">
        <v>5050</v>
      </c>
      <c r="AH24" s="1768">
        <v>472.73224258559259</v>
      </c>
      <c r="AI24" s="2149">
        <v>1557</v>
      </c>
      <c r="AJ24" s="1768">
        <v>282.75417457391649</v>
      </c>
      <c r="AK24" s="2150">
        <v>847</v>
      </c>
      <c r="AL24" s="1768">
        <v>155.08872283429676</v>
      </c>
      <c r="AM24" s="2148">
        <v>1264</v>
      </c>
      <c r="AN24" s="1768">
        <v>308.25133213837165</v>
      </c>
      <c r="AO24" s="2144">
        <v>2952</v>
      </c>
      <c r="AP24" s="1768">
        <v>571.73181284692225</v>
      </c>
      <c r="AQ24" s="2148">
        <v>1831</v>
      </c>
      <c r="AR24" s="1768">
        <v>385.85791746307376</v>
      </c>
      <c r="AS24" s="2143"/>
      <c r="AT24" s="2151">
        <v>18933</v>
      </c>
      <c r="AU24" s="2151"/>
      <c r="AV24" s="2151">
        <v>1778</v>
      </c>
      <c r="AW24" s="2149">
        <v>2416</v>
      </c>
      <c r="AX24" s="2148"/>
      <c r="AY24" s="2149">
        <v>4194</v>
      </c>
      <c r="AZ24" s="2151"/>
      <c r="BA24" s="2151">
        <v>869</v>
      </c>
      <c r="BB24" s="2149">
        <v>3364</v>
      </c>
      <c r="BC24" s="2149">
        <v>4233</v>
      </c>
      <c r="BD24" s="2151"/>
      <c r="BE24" s="2149">
        <v>410</v>
      </c>
      <c r="BF24" s="2149">
        <v>2786</v>
      </c>
      <c r="BG24" s="2148"/>
      <c r="BH24" s="1772">
        <v>3196</v>
      </c>
      <c r="BI24" s="2148">
        <v>2196</v>
      </c>
      <c r="BJ24" s="2148">
        <v>2436</v>
      </c>
      <c r="BK24" s="2149">
        <v>4632</v>
      </c>
      <c r="BL24" s="2151"/>
      <c r="BM24" s="2149">
        <v>270</v>
      </c>
      <c r="BN24" s="2149">
        <v>1558</v>
      </c>
      <c r="BO24" s="2149">
        <v>1828</v>
      </c>
      <c r="BP24" s="2151"/>
      <c r="BQ24" s="2149">
        <v>171</v>
      </c>
      <c r="BR24" s="2149">
        <v>414</v>
      </c>
      <c r="BS24" s="2149"/>
      <c r="BT24" s="2149">
        <v>585</v>
      </c>
      <c r="BU24" s="2149">
        <v>48</v>
      </c>
      <c r="BV24" s="2149">
        <v>217</v>
      </c>
      <c r="BW24" s="2149">
        <v>265</v>
      </c>
    </row>
    <row r="25" spans="3:75" x14ac:dyDescent="0.4">
      <c r="C25" s="155" t="s">
        <v>6120</v>
      </c>
      <c r="T25" s="1773"/>
      <c r="AA25" s="1773"/>
    </row>
    <row r="26" spans="3:75" ht="16.5" customHeight="1" x14ac:dyDescent="0.4">
      <c r="C26" s="155"/>
    </row>
    <row r="27" spans="3:75" ht="16.5" customHeight="1" x14ac:dyDescent="0.4">
      <c r="C27" s="155"/>
    </row>
    <row r="28" spans="3:75" ht="19.5" x14ac:dyDescent="0.4">
      <c r="C28" s="532" t="s">
        <v>7388</v>
      </c>
      <c r="D28" s="1032"/>
      <c r="E28" s="1032"/>
      <c r="F28" s="1032"/>
      <c r="G28" s="1032"/>
      <c r="H28" s="1032"/>
      <c r="I28" s="1032"/>
      <c r="J28" s="1032"/>
      <c r="K28" s="1032"/>
      <c r="L28" s="1032"/>
    </row>
    <row r="29" spans="3:75" ht="19.5" x14ac:dyDescent="0.4">
      <c r="C29" s="532" t="s">
        <v>7389</v>
      </c>
      <c r="D29" s="1032"/>
      <c r="E29" s="1032"/>
      <c r="F29" s="1032"/>
      <c r="G29" s="1032"/>
      <c r="H29" s="1032"/>
      <c r="I29" s="1032"/>
      <c r="J29" s="1032"/>
      <c r="K29" s="1032"/>
      <c r="L29" s="1032"/>
      <c r="P29" s="123" t="s">
        <v>7390</v>
      </c>
      <c r="Q29" s="123" t="s">
        <v>894</v>
      </c>
      <c r="R29" s="123" t="s">
        <v>895</v>
      </c>
    </row>
    <row r="30" spans="3:75" x14ac:dyDescent="0.4">
      <c r="P30" s="2152">
        <v>2012</v>
      </c>
      <c r="Q30" s="2153">
        <v>84.424574864981992</v>
      </c>
      <c r="R30" s="2153">
        <v>342.96821743854792</v>
      </c>
    </row>
    <row r="31" spans="3:75" x14ac:dyDescent="0.4">
      <c r="P31" s="2152">
        <v>2013</v>
      </c>
      <c r="Q31" s="2153">
        <v>88.538521100644886</v>
      </c>
      <c r="R31" s="2153">
        <v>299.89289685037005</v>
      </c>
    </row>
    <row r="32" spans="3:75" x14ac:dyDescent="0.4">
      <c r="P32" s="2152">
        <v>2014</v>
      </c>
      <c r="Q32" s="2153">
        <v>117.82692303703043</v>
      </c>
      <c r="R32" s="2153">
        <v>342.51677244494249</v>
      </c>
    </row>
    <row r="33" spans="3:18" x14ac:dyDescent="0.4">
      <c r="P33" s="2152">
        <v>2015</v>
      </c>
      <c r="Q33" s="2153">
        <v>150.4105235712845</v>
      </c>
      <c r="R33" s="2153">
        <v>368.673531689333</v>
      </c>
    </row>
    <row r="34" spans="3:18" x14ac:dyDescent="0.4">
      <c r="P34" s="2152">
        <v>2016</v>
      </c>
      <c r="Q34" s="2153">
        <v>149.72698631385936</v>
      </c>
      <c r="R34" s="2153">
        <v>385.6271931979029</v>
      </c>
    </row>
    <row r="35" spans="3:18" x14ac:dyDescent="0.4">
      <c r="P35" s="2152">
        <v>2019</v>
      </c>
      <c r="Q35" s="2153">
        <v>109.1</v>
      </c>
      <c r="R35" s="2153">
        <v>319.89999999999998</v>
      </c>
    </row>
    <row r="36" spans="3:18" x14ac:dyDescent="0.4">
      <c r="P36" s="2152">
        <v>2020</v>
      </c>
      <c r="Q36" s="2153">
        <v>59.5</v>
      </c>
      <c r="R36" s="2153">
        <v>168.8</v>
      </c>
    </row>
    <row r="37" spans="3:18" x14ac:dyDescent="0.4">
      <c r="P37" s="2154">
        <v>2021</v>
      </c>
      <c r="Q37" s="2155">
        <v>89.746656033443898</v>
      </c>
      <c r="R37" s="2156">
        <v>275.99481260881049</v>
      </c>
    </row>
    <row r="38" spans="3:18" x14ac:dyDescent="0.4">
      <c r="P38" s="2154">
        <v>2022</v>
      </c>
      <c r="Q38" s="2155">
        <v>112.00072533803075</v>
      </c>
      <c r="R38" s="2156">
        <v>316.1051762512368</v>
      </c>
    </row>
    <row r="39" spans="3:18" x14ac:dyDescent="0.4">
      <c r="P39" s="2154">
        <v>2023</v>
      </c>
      <c r="Q39" s="2155">
        <v>216.79983507807736</v>
      </c>
      <c r="R39" s="2156">
        <v>504.68703550026231</v>
      </c>
    </row>
    <row r="45" spans="3:18" x14ac:dyDescent="0.4">
      <c r="C45" s="155" t="s">
        <v>6120</v>
      </c>
    </row>
  </sheetData>
  <mergeCells count="53">
    <mergeCell ref="A5:B5"/>
    <mergeCell ref="C5:Z5"/>
    <mergeCell ref="C1:D1"/>
    <mergeCell ref="A3:B3"/>
    <mergeCell ref="C3:Z3"/>
    <mergeCell ref="A4:B4"/>
    <mergeCell ref="C4:Z4"/>
    <mergeCell ref="A6:B6"/>
    <mergeCell ref="C6:Z6"/>
    <mergeCell ref="C11:C14"/>
    <mergeCell ref="D11:H12"/>
    <mergeCell ref="J11:AA12"/>
    <mergeCell ref="D13:E13"/>
    <mergeCell ref="G13:H13"/>
    <mergeCell ref="J13:K13"/>
    <mergeCell ref="L13:M13"/>
    <mergeCell ref="X13:Y13"/>
    <mergeCell ref="AT11:BW11"/>
    <mergeCell ref="AT12:AT14"/>
    <mergeCell ref="AV12:AY12"/>
    <mergeCell ref="BA12:BC12"/>
    <mergeCell ref="BE12:BF12"/>
    <mergeCell ref="BI12:BK12"/>
    <mergeCell ref="BM12:BO12"/>
    <mergeCell ref="BQ12:BR12"/>
    <mergeCell ref="BU12:BW12"/>
    <mergeCell ref="BC13:BC14"/>
    <mergeCell ref="BA13:BB13"/>
    <mergeCell ref="AV13:AW13"/>
    <mergeCell ref="AY13:AY14"/>
    <mergeCell ref="BU13:BV13"/>
    <mergeCell ref="BW13:BW14"/>
    <mergeCell ref="BE13:BF13"/>
    <mergeCell ref="AC11:AR12"/>
    <mergeCell ref="N13:O13"/>
    <mergeCell ref="P13:Q13"/>
    <mergeCell ref="R13:S13"/>
    <mergeCell ref="T13:U13"/>
    <mergeCell ref="V13:W13"/>
    <mergeCell ref="AA13:AA14"/>
    <mergeCell ref="AC13:AD13"/>
    <mergeCell ref="AE13:AF13"/>
    <mergeCell ref="AG13:AH13"/>
    <mergeCell ref="AI13:AJ13"/>
    <mergeCell ref="AK13:AL13"/>
    <mergeCell ref="AM13:AN13"/>
    <mergeCell ref="AO13:AP13"/>
    <mergeCell ref="AQ13:AR13"/>
    <mergeCell ref="BI13:BJ13"/>
    <mergeCell ref="BK13:BK14"/>
    <mergeCell ref="BM13:BN13"/>
    <mergeCell ref="BO13:BO14"/>
    <mergeCell ref="BQ13:BR13"/>
  </mergeCells>
  <hyperlinks>
    <hyperlink ref="A1" location="'ODS 16.'!A1" display="REGRESAR" xr:uid="{6F53732B-4761-4592-903B-649B99CEFF9B}"/>
    <hyperlink ref="C1:D1" location="'Metadato 16.1.3'!A1" display="VER METADATO" xr:uid="{DA5A7F52-35A8-4943-9D11-1D4846B443A2}"/>
  </hyperlinks>
  <pageMargins left="0.7" right="0.7" top="0.75" bottom="0.75" header="0.3" footer="0.3"/>
  <pageSetup orientation="portrait" r:id="rId1"/>
  <drawing r:id="rId2"/>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FF51-E79E-4A8A-9B58-2F2FA9FD06AD}">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7.5703125" style="243" customWidth="1"/>
    <col min="6" max="6" width="7.28515625" style="243" customWidth="1"/>
    <col min="7" max="7" width="2.28515625" style="243" customWidth="1"/>
    <col min="8" max="9" width="7.28515625" style="243" customWidth="1"/>
    <col min="10" max="10" width="2.5703125" style="243" customWidth="1"/>
    <col min="11" max="12" width="8.28515625" style="243" customWidth="1"/>
    <col min="13" max="14" width="9.28515625" style="243" customWidth="1"/>
    <col min="15" max="16" width="7.7109375" style="243" customWidth="1"/>
    <col min="17" max="18" width="9.28515625" style="243" customWidth="1"/>
    <col min="19" max="22" width="8.42578125" style="243" customWidth="1"/>
    <col min="23" max="24" width="9.42578125" style="243" customWidth="1"/>
    <col min="25" max="26" width="8.7109375" style="243" customWidth="1"/>
    <col min="27" max="27" width="2.28515625" style="243" customWidth="1"/>
    <col min="28" max="28" width="8.7109375" style="243" customWidth="1"/>
    <col min="29" max="29" width="2.42578125" style="243" customWidth="1"/>
    <col min="30" max="31" width="8.7109375" style="243" customWidth="1"/>
    <col min="32" max="33" width="8.28515625" style="243" customWidth="1"/>
    <col min="34" max="35" width="8.42578125" style="243" customWidth="1"/>
    <col min="36" max="39" width="8.5703125" style="243" customWidth="1"/>
    <col min="40" max="41" width="8.7109375" style="243" customWidth="1"/>
    <col min="42" max="43" width="8.42578125" style="243" customWidth="1"/>
    <col min="44" max="45" width="8.7109375" style="243" customWidth="1"/>
    <col min="46" max="46" width="1.7109375" style="243" customWidth="1"/>
    <col min="47" max="47" width="7.7109375" style="243" customWidth="1"/>
    <col min="48" max="48" width="2.28515625" style="243" customWidth="1"/>
    <col min="49" max="50" width="8.28515625" style="243" customWidth="1"/>
    <col min="51" max="51" width="1.28515625" style="243" customWidth="1"/>
    <col min="52" max="52" width="11.42578125" style="243"/>
    <col min="53" max="53" width="2.7109375" style="243" customWidth="1"/>
    <col min="54" max="55" width="9" style="243" customWidth="1"/>
    <col min="56" max="56" width="11.42578125" style="243"/>
    <col min="57" max="57" width="2.28515625" style="243" customWidth="1"/>
    <col min="58" max="59" width="11.42578125" style="243"/>
    <col min="60" max="60" width="2.5703125" style="243" customWidth="1"/>
    <col min="61" max="63" width="11.42578125" style="243"/>
    <col min="64" max="64" width="2.28515625" style="243" customWidth="1"/>
    <col min="65" max="66" width="11.42578125" style="243"/>
    <col min="67" max="67" width="11.42578125" style="243" customWidth="1"/>
    <col min="68" max="68" width="1.28515625" style="243" customWidth="1"/>
    <col min="69" max="69" width="11.42578125" style="243"/>
    <col min="70" max="70" width="11.42578125" style="243" customWidth="1"/>
    <col min="71" max="71" width="1.5703125" style="243" customWidth="1"/>
    <col min="72" max="16384" width="11.42578125" style="243"/>
  </cols>
  <sheetData>
    <row r="1" spans="1:6" x14ac:dyDescent="0.25">
      <c r="B1" s="223" t="s">
        <v>39</v>
      </c>
    </row>
    <row r="2" spans="1:6" ht="19.5" thickBot="1" x14ac:dyDescent="0.3"/>
    <row r="3" spans="1:6" ht="23.25" customHeight="1" thickBot="1" x14ac:dyDescent="0.3">
      <c r="B3" s="3514" t="s">
        <v>75</v>
      </c>
      <c r="C3" s="3514"/>
      <c r="D3" s="3514"/>
      <c r="F3" s="1046" t="s">
        <v>265</v>
      </c>
    </row>
    <row r="4" spans="1:6" ht="37.5" x14ac:dyDescent="0.25">
      <c r="B4" s="2425" t="s">
        <v>234</v>
      </c>
      <c r="C4" s="2425"/>
      <c r="D4" s="49" t="s">
        <v>7369</v>
      </c>
    </row>
    <row r="5" spans="1:6" ht="37.5" x14ac:dyDescent="0.25">
      <c r="B5" s="2425" t="s">
        <v>79</v>
      </c>
      <c r="C5" s="2425"/>
      <c r="D5" s="49" t="s">
        <v>7282</v>
      </c>
    </row>
    <row r="6" spans="1:6" x14ac:dyDescent="0.25">
      <c r="B6" s="2425" t="s">
        <v>80</v>
      </c>
      <c r="C6" s="2425"/>
      <c r="D6" s="50" t="s">
        <v>7391</v>
      </c>
    </row>
    <row r="7" spans="1:6" ht="33" customHeight="1" x14ac:dyDescent="0.25">
      <c r="B7" s="2426" t="s">
        <v>81</v>
      </c>
      <c r="C7" s="2426"/>
      <c r="D7" s="93" t="s">
        <v>7288</v>
      </c>
    </row>
    <row r="8" spans="1:6" x14ac:dyDescent="0.25">
      <c r="B8" s="2426" t="s">
        <v>82</v>
      </c>
      <c r="C8" s="2426"/>
      <c r="D8" s="1047" t="s">
        <v>7392</v>
      </c>
    </row>
    <row r="9" spans="1:6" x14ac:dyDescent="0.4">
      <c r="B9" s="115"/>
      <c r="C9" s="115"/>
      <c r="D9" s="115"/>
    </row>
    <row r="10" spans="1:6" ht="23.25" customHeight="1" x14ac:dyDescent="0.25">
      <c r="B10" s="3514" t="s">
        <v>85</v>
      </c>
      <c r="C10" s="3514"/>
      <c r="D10" s="3514"/>
    </row>
    <row r="11" spans="1:6" ht="15.75" customHeight="1" x14ac:dyDescent="0.25">
      <c r="B11" s="2427" t="s">
        <v>86</v>
      </c>
      <c r="C11" s="2428"/>
      <c r="D11" s="49" t="s">
        <v>167</v>
      </c>
    </row>
    <row r="12" spans="1:6" ht="35.25" customHeight="1" x14ac:dyDescent="0.25">
      <c r="A12" s="1079"/>
      <c r="B12" s="2426" t="s">
        <v>88</v>
      </c>
      <c r="C12" s="2426"/>
      <c r="D12" s="184" t="s">
        <v>7393</v>
      </c>
    </row>
    <row r="13" spans="1:6" x14ac:dyDescent="0.25">
      <c r="B13" s="2425" t="s">
        <v>90</v>
      </c>
      <c r="C13" s="2425"/>
      <c r="D13" s="55" t="s">
        <v>7287</v>
      </c>
    </row>
    <row r="14" spans="1:6" x14ac:dyDescent="0.25">
      <c r="B14" s="2425" t="s">
        <v>91</v>
      </c>
      <c r="C14" s="2428"/>
      <c r="D14" s="54" t="s">
        <v>214</v>
      </c>
    </row>
    <row r="15" spans="1:6" ht="240.75" customHeight="1" x14ac:dyDescent="0.25">
      <c r="B15" s="2425" t="s">
        <v>93</v>
      </c>
      <c r="C15" s="2425"/>
      <c r="D15" s="55" t="s">
        <v>7394</v>
      </c>
    </row>
    <row r="16" spans="1:6" ht="48" customHeight="1" x14ac:dyDescent="0.25">
      <c r="B16" s="2425" t="s">
        <v>95</v>
      </c>
      <c r="C16" s="2425"/>
      <c r="D16" s="55"/>
    </row>
    <row r="17" spans="2:4" x14ac:dyDescent="0.25">
      <c r="B17" s="2425" t="s">
        <v>97</v>
      </c>
      <c r="C17" s="2425"/>
      <c r="D17" s="55" t="s">
        <v>7395</v>
      </c>
    </row>
    <row r="18" spans="2:4" x14ac:dyDescent="0.25">
      <c r="B18" s="2426" t="s">
        <v>99</v>
      </c>
      <c r="C18" s="2426"/>
      <c r="D18" s="49"/>
    </row>
    <row r="19" spans="2:4" ht="47.25" customHeight="1" x14ac:dyDescent="0.25">
      <c r="B19" s="2435" t="s">
        <v>100</v>
      </c>
      <c r="C19" s="2436"/>
      <c r="D19" s="55" t="s">
        <v>6125</v>
      </c>
    </row>
    <row r="20" spans="2:4" x14ac:dyDescent="0.25">
      <c r="B20" s="2425" t="s">
        <v>102</v>
      </c>
      <c r="C20" s="2425"/>
      <c r="D20" s="55" t="s">
        <v>140</v>
      </c>
    </row>
    <row r="21" spans="2:4" x14ac:dyDescent="0.25">
      <c r="B21" s="2432" t="s">
        <v>104</v>
      </c>
      <c r="C21" s="57" t="s">
        <v>105</v>
      </c>
      <c r="D21" s="49" t="s">
        <v>7396</v>
      </c>
    </row>
    <row r="22" spans="2:4" x14ac:dyDescent="0.25">
      <c r="B22" s="2433"/>
      <c r="C22" s="58" t="s">
        <v>107</v>
      </c>
      <c r="D22" s="55" t="s">
        <v>6127</v>
      </c>
    </row>
    <row r="23" spans="2:4" x14ac:dyDescent="0.25">
      <c r="B23" s="2425" t="s">
        <v>109</v>
      </c>
      <c r="C23" s="2425"/>
      <c r="D23" s="55" t="s">
        <v>6087</v>
      </c>
    </row>
    <row r="24" spans="2:4" x14ac:dyDescent="0.25">
      <c r="B24" s="2425" t="s">
        <v>111</v>
      </c>
      <c r="C24" s="2425"/>
      <c r="D24" s="50" t="s">
        <v>522</v>
      </c>
    </row>
    <row r="25" spans="2:4" x14ac:dyDescent="0.25">
      <c r="B25" s="2425" t="s">
        <v>113</v>
      </c>
      <c r="C25" s="2425"/>
      <c r="D25" s="55" t="s">
        <v>220</v>
      </c>
    </row>
    <row r="26" spans="2:4" ht="15" customHeight="1" x14ac:dyDescent="0.25">
      <c r="B26" s="2426" t="s">
        <v>115</v>
      </c>
      <c r="C26" s="2426"/>
      <c r="D26" s="50" t="s">
        <v>6128</v>
      </c>
    </row>
    <row r="27" spans="2:4" x14ac:dyDescent="0.25">
      <c r="B27" s="2427" t="s">
        <v>117</v>
      </c>
      <c r="C27" s="2428"/>
      <c r="D27" s="49"/>
    </row>
    <row r="28" spans="2:4" x14ac:dyDescent="0.25">
      <c r="B28" s="60" t="s">
        <v>118</v>
      </c>
      <c r="C28" s="61"/>
      <c r="D28" s="55" t="s">
        <v>7397</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6130</v>
      </c>
    </row>
    <row r="33" spans="2:4" x14ac:dyDescent="0.25">
      <c r="B33" s="2427" t="s">
        <v>124</v>
      </c>
      <c r="C33" s="2428"/>
      <c r="D33" s="50" t="s">
        <v>7398</v>
      </c>
    </row>
    <row r="34" spans="2:4" x14ac:dyDescent="0.25">
      <c r="B34" s="2427" t="s">
        <v>126</v>
      </c>
      <c r="C34" s="2428"/>
      <c r="D34" s="50" t="s">
        <v>522</v>
      </c>
    </row>
    <row r="35" spans="2:4" x14ac:dyDescent="0.25">
      <c r="B35" s="2427" t="s">
        <v>128</v>
      </c>
      <c r="C35" s="2428"/>
      <c r="D35" s="50" t="s">
        <v>6132</v>
      </c>
    </row>
    <row r="36" spans="2:4" x14ac:dyDescent="0.25">
      <c r="B36" s="2427" t="s">
        <v>130</v>
      </c>
      <c r="C36" s="2428"/>
      <c r="D36" s="460" t="s">
        <v>6133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EE1A0B42-5731-4C6A-8BA3-7B86110695F5}">
      <formula1>ODS</formula1>
    </dataValidation>
    <dataValidation type="list" allowBlank="1" showInputMessage="1" showErrorMessage="1" sqref="D5" xr:uid="{58F345AD-4771-4220-AEE8-0C5B77D239E3}">
      <formula1>Metas_ODS</formula1>
    </dataValidation>
    <dataValidation type="list" allowBlank="1" showInputMessage="1" showErrorMessage="1" sqref="D6" xr:uid="{E2AB7517-0ED0-4659-A549-A4D08FB308DA}">
      <formula1>Numero_indicador</formula1>
    </dataValidation>
    <dataValidation type="list" allowBlank="1" showInputMessage="1" showErrorMessage="1" sqref="D7" xr:uid="{252C4FF1-2206-4F4F-8DBE-099C46F15012}">
      <formula1>Nombre_indicador_ODS</formula1>
    </dataValidation>
    <dataValidation type="list" allowBlank="1" showInputMessage="1" showErrorMessage="1" sqref="D14" xr:uid="{8A6F66BA-5F39-4BD5-8B2C-BBB8793BA2D7}">
      <formula1>Tipo_indicador</formula1>
    </dataValidation>
    <dataValidation type="list" allowBlank="1" showInputMessage="1" showErrorMessage="1" sqref="D25" xr:uid="{2AF3CA0B-1899-4847-8812-6D69039750E5}">
      <formula1>Tipo_operación</formula1>
    </dataValidation>
  </dataValidations>
  <hyperlinks>
    <hyperlink ref="B1" location="'16.1.3'!A1" display="REGRESAR" xr:uid="{1D86EF1F-A943-4A53-8B67-44BEA73ABBE0}"/>
    <hyperlink ref="D8" r:id="rId1" xr:uid="{B2B9DDF5-2570-4855-9990-DE751914B280}"/>
    <hyperlink ref="D36" r:id="rId2" xr:uid="{C746FC29-F111-4D45-90E9-93417D499869}"/>
  </hyperlinks>
  <pageMargins left="0.7" right="0.7" top="0.75" bottom="0.75" header="0.3" footer="0.3"/>
  <pageSetup orientation="portrait" r:id="rId3"/>
  <drawing r:id="rId4"/>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96A-7FC7-4110-BAB3-48BF7FD30660}">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7.85546875" style="115" customWidth="1"/>
    <col min="3" max="3" width="11.7109375" style="1048" customWidth="1"/>
    <col min="4" max="5" width="11.7109375" style="115" customWidth="1"/>
    <col min="6" max="16384" width="11.42578125" style="115"/>
  </cols>
  <sheetData>
    <row r="1" spans="1:16" x14ac:dyDescent="0.4">
      <c r="A1" s="90" t="s">
        <v>39</v>
      </c>
      <c r="B1" s="1311"/>
      <c r="C1" s="2541" t="s">
        <v>149</v>
      </c>
      <c r="D1" s="2541"/>
    </row>
    <row r="2" spans="1:16" ht="15.75" customHeight="1" x14ac:dyDescent="0.4"/>
    <row r="3" spans="1:16" ht="19.5" x14ac:dyDescent="0.4">
      <c r="A3" s="3508" t="s">
        <v>41</v>
      </c>
      <c r="B3" s="3513"/>
      <c r="C3" s="3508" t="s">
        <v>7281</v>
      </c>
      <c r="D3" s="3510"/>
      <c r="E3" s="3510"/>
      <c r="F3" s="3510"/>
      <c r="G3" s="3510"/>
      <c r="H3" s="3510"/>
      <c r="I3" s="3510"/>
      <c r="J3" s="3510"/>
      <c r="K3" s="3510"/>
      <c r="L3" s="3510"/>
      <c r="M3" s="3510"/>
      <c r="N3" s="3510"/>
      <c r="O3" s="3510"/>
      <c r="P3" s="3510"/>
    </row>
    <row r="4" spans="1:16" ht="16.149999999999999" customHeight="1" x14ac:dyDescent="0.4">
      <c r="A4" s="3508" t="s">
        <v>42</v>
      </c>
      <c r="B4" s="3509"/>
      <c r="C4" s="3508" t="s">
        <v>7282</v>
      </c>
      <c r="D4" s="3519"/>
      <c r="E4" s="3519"/>
      <c r="F4" s="3519"/>
      <c r="G4" s="3519"/>
      <c r="H4" s="3519"/>
      <c r="I4" s="3519"/>
      <c r="J4" s="3519"/>
      <c r="K4" s="3519"/>
      <c r="L4" s="3519"/>
      <c r="M4" s="3519"/>
      <c r="N4" s="3519"/>
      <c r="O4" s="3519"/>
      <c r="P4" s="3519"/>
    </row>
    <row r="5" spans="1:16" ht="16.899999999999999" customHeight="1" x14ac:dyDescent="0.4">
      <c r="A5" s="3508" t="s">
        <v>43</v>
      </c>
      <c r="B5" s="3509"/>
      <c r="C5" s="3508" t="s">
        <v>7290</v>
      </c>
      <c r="D5" s="3519"/>
      <c r="E5" s="3519"/>
      <c r="F5" s="3519"/>
      <c r="G5" s="3519"/>
      <c r="H5" s="3519"/>
      <c r="I5" s="3519"/>
      <c r="J5" s="3519"/>
      <c r="K5" s="3519"/>
      <c r="L5" s="3519"/>
      <c r="M5" s="3519"/>
      <c r="N5" s="3519"/>
      <c r="O5" s="3519"/>
      <c r="P5" s="3519"/>
    </row>
    <row r="6" spans="1:16" ht="19.5" x14ac:dyDescent="0.4">
      <c r="A6" s="3508" t="s">
        <v>132</v>
      </c>
      <c r="B6" s="3509"/>
      <c r="C6" s="3508" t="s">
        <v>242</v>
      </c>
      <c r="D6" s="3519"/>
      <c r="E6" s="3519"/>
      <c r="F6" s="3519"/>
      <c r="G6" s="3519"/>
      <c r="H6" s="3519"/>
      <c r="I6" s="3519"/>
      <c r="J6" s="3519"/>
      <c r="K6" s="3519"/>
      <c r="L6" s="3519"/>
      <c r="M6" s="3519"/>
      <c r="N6" s="3519"/>
      <c r="O6" s="3519"/>
      <c r="P6" s="3519"/>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DCDB2739-1061-465C-AA4C-24996366C22C}"/>
    <hyperlink ref="C1:D1" location="'Metadato 16.1.4'!A1" display="VER METADATO" xr:uid="{D394DC7A-93EB-4AC7-B391-82CB6962B5EF}"/>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FC708-3889-44B2-AD92-5C285EC47D9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286" t="s">
        <v>244</v>
      </c>
    </row>
    <row r="4" spans="2:6" ht="52.5" customHeight="1" x14ac:dyDescent="0.25">
      <c r="B4" s="2425" t="s">
        <v>234</v>
      </c>
      <c r="C4" s="2425"/>
      <c r="D4" s="49" t="s">
        <v>7369</v>
      </c>
    </row>
    <row r="5" spans="2:6" ht="37.5" x14ac:dyDescent="0.25">
      <c r="B5" s="2425" t="s">
        <v>79</v>
      </c>
      <c r="C5" s="2425"/>
      <c r="D5" s="49" t="s">
        <v>7282</v>
      </c>
    </row>
    <row r="6" spans="2:6" x14ac:dyDescent="0.25">
      <c r="B6" s="2425" t="s">
        <v>80</v>
      </c>
      <c r="C6" s="2425"/>
      <c r="D6" s="50" t="s">
        <v>7289</v>
      </c>
    </row>
    <row r="7" spans="2:6" ht="17.25" customHeight="1" x14ac:dyDescent="0.25">
      <c r="B7" s="2426" t="s">
        <v>81</v>
      </c>
      <c r="C7" s="2426"/>
      <c r="D7" s="93" t="s">
        <v>7399</v>
      </c>
    </row>
    <row r="8" spans="2:6" ht="17.25" customHeight="1" x14ac:dyDescent="0.25">
      <c r="B8" s="2426" t="s">
        <v>82</v>
      </c>
      <c r="C8" s="2426"/>
      <c r="D8" s="1047" t="s">
        <v>7400</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5371</v>
      </c>
    </row>
    <row r="25" spans="2:4" x14ac:dyDescent="0.25">
      <c r="B25" s="2425" t="s">
        <v>113</v>
      </c>
      <c r="C25" s="2425"/>
      <c r="D25" s="55"/>
    </row>
    <row r="26" spans="2:4" x14ac:dyDescent="0.25">
      <c r="B26" s="2426" t="s">
        <v>115</v>
      </c>
      <c r="C26" s="2426"/>
      <c r="D26" s="49"/>
    </row>
    <row r="27" spans="2:4" x14ac:dyDescent="0.25">
      <c r="B27" s="2427" t="s">
        <v>117</v>
      </c>
      <c r="C27" s="2428"/>
      <c r="D27" s="49"/>
    </row>
    <row r="28" spans="2:4" x14ac:dyDescent="0.25">
      <c r="B28" s="60" t="s">
        <v>118</v>
      </c>
      <c r="C28" s="61"/>
      <c r="D28" s="49"/>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66EA4E0-5157-4492-937C-71C3E4866F62}"/>
    <dataValidation type="list" allowBlank="1" showInputMessage="1" showErrorMessage="1" sqref="D4" xr:uid="{CAB89A0C-AE24-4376-A057-C1F425017D53}">
      <formula1>ODS</formula1>
    </dataValidation>
    <dataValidation type="list" allowBlank="1" showInputMessage="1" showErrorMessage="1" sqref="D5" xr:uid="{FBD89456-DD46-460C-9225-555A409F0D7D}">
      <formula1>Metas_ODS</formula1>
    </dataValidation>
    <dataValidation type="list" allowBlank="1" showInputMessage="1" showErrorMessage="1" sqref="D6" xr:uid="{8B463BE1-D123-42BC-AE9C-9694D4D58EC7}">
      <formula1>Numero_indicador</formula1>
    </dataValidation>
    <dataValidation type="list" allowBlank="1" showInputMessage="1" showErrorMessage="1" sqref="D7" xr:uid="{780A40CD-C362-49BD-9259-E375B823ACBB}">
      <formula1>Nombre_indicador_ODS</formula1>
    </dataValidation>
    <dataValidation type="list" allowBlank="1" showInputMessage="1" showErrorMessage="1" sqref="D14" xr:uid="{E32D0445-A8E3-44CB-A15F-6FAD4A10EB05}">
      <formula1>Tipo_indicador</formula1>
    </dataValidation>
    <dataValidation type="list" allowBlank="1" showInputMessage="1" showErrorMessage="1" sqref="D25" xr:uid="{D476B02F-0620-42BA-B5C9-A4171773A3FA}">
      <formula1>Tipo_operación</formula1>
    </dataValidation>
  </dataValidations>
  <hyperlinks>
    <hyperlink ref="B1" location="'16.1.4'!A1" display="REGRESAR" xr:uid="{670741E2-F6DB-441E-8E9C-880645B1DFC1}"/>
    <hyperlink ref="D8" r:id="rId1" xr:uid="{1535BCAF-784B-4662-9566-B8E96886F4C4}"/>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8404-D4F3-4642-B8CB-7177F11A0306}">
  <dimension ref="A1:U5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2" width="15.28515625" style="115" customWidth="1"/>
    <col min="3" max="3" width="5.7109375" style="198" customWidth="1"/>
    <col min="4" max="4" width="10.28515625" style="115" customWidth="1"/>
    <col min="5" max="5" width="8.7109375" style="115" customWidth="1"/>
    <col min="6" max="6" width="12" style="115" customWidth="1"/>
    <col min="7" max="7" width="12.5703125" style="115" customWidth="1"/>
    <col min="8" max="8" width="16.85546875" style="115" customWidth="1"/>
    <col min="9" max="9" width="11.7109375" style="115" customWidth="1"/>
    <col min="10" max="11" width="10.5703125" style="115" customWidth="1"/>
    <col min="12" max="12" width="7.5703125" style="115" customWidth="1"/>
    <col min="13" max="13" width="11.5703125" style="115" customWidth="1"/>
    <col min="14" max="14" width="13" style="115" customWidth="1"/>
    <col min="15" max="15" width="9.7109375" style="115" customWidth="1"/>
    <col min="16" max="18" width="11.42578125" style="115"/>
    <col min="19" max="19" width="1.7109375" style="115" customWidth="1"/>
    <col min="20" max="35" width="11.42578125" style="115"/>
    <col min="36" max="36" width="7.42578125" style="115" customWidth="1"/>
    <col min="37" max="37" width="11.42578125" style="115"/>
    <col min="38" max="38" width="16.42578125" style="115" customWidth="1"/>
    <col min="39" max="39" width="8.28515625" style="115" customWidth="1"/>
    <col min="40" max="40" width="15.5703125" style="115" customWidth="1"/>
    <col min="41" max="41" width="11.42578125" style="115"/>
    <col min="42" max="42" width="1.42578125" style="115" customWidth="1"/>
    <col min="43" max="43" width="16.42578125" style="115" customWidth="1"/>
    <col min="44" max="50" width="17" style="115" customWidth="1"/>
    <col min="51" max="51" width="11.42578125" style="115"/>
    <col min="52" max="52" width="1.5703125" style="115" customWidth="1"/>
    <col min="53" max="54" width="11.42578125" style="115"/>
    <col min="55" max="55" width="1.42578125" style="115" customWidth="1"/>
    <col min="56" max="58" width="11.42578125" style="115"/>
    <col min="59" max="59" width="1.7109375" style="115" customWidth="1"/>
    <col min="60" max="60" width="11.42578125" style="115"/>
    <col min="61" max="61" width="1.5703125" style="115" customWidth="1"/>
    <col min="62" max="62" width="16.28515625" style="115" customWidth="1"/>
    <col min="63" max="16384" width="11.42578125" style="115"/>
  </cols>
  <sheetData>
    <row r="1" spans="1:21" x14ac:dyDescent="0.4">
      <c r="A1" s="90" t="s">
        <v>39</v>
      </c>
      <c r="C1" s="2541" t="s">
        <v>149</v>
      </c>
      <c r="D1" s="2541"/>
    </row>
    <row r="3" spans="1:21" ht="19.5" x14ac:dyDescent="0.4">
      <c r="A3" s="3508" t="s">
        <v>41</v>
      </c>
      <c r="B3" s="3513"/>
      <c r="C3" s="3508" t="s">
        <v>7281</v>
      </c>
      <c r="D3" s="3510"/>
      <c r="E3" s="3510"/>
      <c r="F3" s="3510"/>
      <c r="G3" s="3510"/>
      <c r="H3" s="3510"/>
      <c r="I3" s="3510"/>
      <c r="J3" s="3510"/>
      <c r="K3" s="3510"/>
      <c r="L3" s="3510"/>
      <c r="M3" s="3510"/>
      <c r="N3" s="3510"/>
      <c r="O3" s="3510"/>
      <c r="P3" s="3510"/>
      <c r="Q3" s="3510"/>
      <c r="R3" s="3510"/>
      <c r="S3" s="3510"/>
      <c r="T3" s="3513"/>
      <c r="U3" s="2157"/>
    </row>
    <row r="4" spans="1:21" ht="19.5" x14ac:dyDescent="0.4">
      <c r="A4" s="3508" t="s">
        <v>42</v>
      </c>
      <c r="B4" s="3509"/>
      <c r="C4" s="3508" t="s">
        <v>7291</v>
      </c>
      <c r="D4" s="3519"/>
      <c r="E4" s="3519"/>
      <c r="F4" s="3519"/>
      <c r="G4" s="3519"/>
      <c r="H4" s="3519"/>
      <c r="I4" s="3519"/>
      <c r="J4" s="3519"/>
      <c r="K4" s="3519"/>
      <c r="L4" s="3519"/>
      <c r="M4" s="3519"/>
      <c r="N4" s="3519"/>
      <c r="O4" s="3519"/>
      <c r="P4" s="3519"/>
      <c r="Q4" s="3519"/>
      <c r="R4" s="3519"/>
      <c r="S4" s="3519"/>
      <c r="T4" s="3509"/>
      <c r="U4" s="2158"/>
    </row>
    <row r="5" spans="1:21" ht="19.5" x14ac:dyDescent="0.4">
      <c r="A5" s="3508" t="s">
        <v>43</v>
      </c>
      <c r="B5" s="3509"/>
      <c r="C5" s="3508" t="s">
        <v>7293</v>
      </c>
      <c r="D5" s="3519"/>
      <c r="E5" s="3519"/>
      <c r="F5" s="3519"/>
      <c r="G5" s="3519"/>
      <c r="H5" s="3519"/>
      <c r="I5" s="3519"/>
      <c r="J5" s="3519"/>
      <c r="K5" s="3519"/>
      <c r="L5" s="3519"/>
      <c r="M5" s="3519"/>
      <c r="N5" s="3519"/>
      <c r="O5" s="3519"/>
      <c r="P5" s="3519"/>
      <c r="Q5" s="3519"/>
      <c r="R5" s="3519"/>
      <c r="S5" s="3519"/>
      <c r="T5" s="3509"/>
      <c r="U5" s="2158"/>
    </row>
    <row r="6" spans="1:21" ht="19.5" x14ac:dyDescent="0.4">
      <c r="A6" s="3508" t="s">
        <v>132</v>
      </c>
      <c r="B6" s="3509"/>
      <c r="C6" s="3508" t="s">
        <v>7401</v>
      </c>
      <c r="D6" s="3519"/>
      <c r="E6" s="3519"/>
      <c r="F6" s="3519"/>
      <c r="G6" s="3519"/>
      <c r="H6" s="3519"/>
      <c r="I6" s="3519"/>
      <c r="J6" s="3519"/>
      <c r="K6" s="3519"/>
      <c r="L6" s="3519"/>
      <c r="M6" s="3519"/>
      <c r="N6" s="3519"/>
      <c r="O6" s="3519"/>
      <c r="P6" s="3519"/>
      <c r="Q6" s="3519"/>
      <c r="R6" s="3519"/>
      <c r="S6" s="3519"/>
      <c r="T6" s="3509"/>
      <c r="U6" s="2158"/>
    </row>
    <row r="9" spans="1:21" ht="19.5" x14ac:dyDescent="0.4">
      <c r="C9" s="163" t="s">
        <v>7402</v>
      </c>
      <c r="D9" s="163"/>
      <c r="E9" s="163"/>
      <c r="F9" s="163"/>
      <c r="G9" s="163"/>
      <c r="H9" s="163"/>
    </row>
    <row r="10" spans="1:21" ht="19.5" x14ac:dyDescent="0.4">
      <c r="C10" s="138" t="s">
        <v>7403</v>
      </c>
      <c r="D10" s="138"/>
      <c r="E10" s="138"/>
      <c r="F10" s="138"/>
      <c r="G10" s="138"/>
      <c r="H10" s="138"/>
    </row>
    <row r="11" spans="1:21" ht="10.9" customHeight="1" x14ac:dyDescent="0.4">
      <c r="C11" s="533"/>
      <c r="D11" s="533"/>
      <c r="E11" s="533"/>
      <c r="F11" s="533"/>
      <c r="G11" s="533"/>
      <c r="H11" s="533"/>
    </row>
    <row r="12" spans="1:21" ht="36.75" customHeight="1" x14ac:dyDescent="0.4">
      <c r="C12" s="2159"/>
      <c r="D12" s="2159"/>
      <c r="E12" s="2159"/>
      <c r="F12" s="2160"/>
      <c r="G12" s="2160"/>
      <c r="H12" s="2161" t="s">
        <v>7404</v>
      </c>
    </row>
    <row r="13" spans="1:21" x14ac:dyDescent="0.4">
      <c r="C13" s="141"/>
      <c r="D13" s="762"/>
      <c r="E13" s="762"/>
      <c r="F13" s="762"/>
      <c r="G13" s="762"/>
      <c r="H13" s="762"/>
    </row>
    <row r="14" spans="1:21" x14ac:dyDescent="0.4">
      <c r="C14" s="226" t="s">
        <v>47</v>
      </c>
      <c r="D14" s="1629"/>
      <c r="E14" s="1629"/>
      <c r="F14" s="1629"/>
      <c r="G14" s="1629"/>
      <c r="H14" s="1629">
        <v>49.285926247806159</v>
      </c>
    </row>
    <row r="15" spans="1:21" x14ac:dyDescent="0.4">
      <c r="C15" s="155"/>
      <c r="D15" s="1631"/>
      <c r="E15" s="1631"/>
      <c r="F15" s="1631"/>
      <c r="G15" s="1631"/>
      <c r="H15" s="1631"/>
    </row>
    <row r="16" spans="1:21" x14ac:dyDescent="0.4">
      <c r="C16" s="2545" t="s">
        <v>48</v>
      </c>
      <c r="D16" s="2545"/>
      <c r="E16" s="2545"/>
      <c r="F16" s="2545"/>
      <c r="G16" s="2545"/>
      <c r="H16" s="1631"/>
    </row>
    <row r="17" spans="3:8" x14ac:dyDescent="0.4">
      <c r="C17" s="341" t="s">
        <v>53</v>
      </c>
      <c r="D17" s="1631"/>
      <c r="E17" s="1631"/>
      <c r="F17" s="1631"/>
      <c r="G17" s="1631"/>
      <c r="H17" s="1631">
        <v>49.638837606773464</v>
      </c>
    </row>
    <row r="18" spans="3:8" x14ac:dyDescent="0.4">
      <c r="C18" s="341" t="s">
        <v>54</v>
      </c>
      <c r="D18" s="1631"/>
      <c r="E18" s="1631"/>
      <c r="F18" s="1631"/>
      <c r="G18" s="1631"/>
      <c r="H18" s="1631">
        <v>48.897945693307577</v>
      </c>
    </row>
    <row r="19" spans="3:8" x14ac:dyDescent="0.4">
      <c r="C19" s="2545" t="s">
        <v>49</v>
      </c>
      <c r="D19" s="2545"/>
      <c r="E19" s="2545"/>
      <c r="F19" s="2545"/>
      <c r="G19" s="2545"/>
      <c r="H19" s="1631"/>
    </row>
    <row r="20" spans="3:8" x14ac:dyDescent="0.4">
      <c r="C20" s="341" t="s">
        <v>55</v>
      </c>
      <c r="D20" s="1631"/>
      <c r="E20" s="1631"/>
      <c r="F20" s="1631"/>
      <c r="G20" s="1631"/>
      <c r="H20" s="1631">
        <v>48.431755833915069</v>
      </c>
    </row>
    <row r="21" spans="3:8" x14ac:dyDescent="0.4">
      <c r="C21" s="341" t="s">
        <v>56</v>
      </c>
      <c r="D21" s="1631"/>
      <c r="E21" s="1631"/>
      <c r="F21" s="1631"/>
      <c r="G21" s="1631"/>
      <c r="H21" s="1631">
        <v>51.142110067199546</v>
      </c>
    </row>
    <row r="22" spans="3:8" x14ac:dyDescent="0.4">
      <c r="C22" s="2545" t="s">
        <v>327</v>
      </c>
      <c r="D22" s="2545"/>
      <c r="E22" s="2545"/>
      <c r="F22" s="2545"/>
      <c r="G22" s="2545"/>
      <c r="H22" s="1631"/>
    </row>
    <row r="23" spans="3:8" x14ac:dyDescent="0.4">
      <c r="C23" s="341" t="s">
        <v>328</v>
      </c>
      <c r="D23" s="1631"/>
      <c r="E23" s="1631"/>
      <c r="F23" s="1631"/>
      <c r="G23" s="1631"/>
      <c r="H23" s="1631">
        <v>46.790526408799195</v>
      </c>
    </row>
    <row r="24" spans="3:8" x14ac:dyDescent="0.4">
      <c r="C24" s="341" t="s">
        <v>329</v>
      </c>
      <c r="D24" s="1631"/>
      <c r="E24" s="1631"/>
      <c r="F24" s="1631"/>
      <c r="G24" s="1631"/>
      <c r="H24" s="1631">
        <v>54.33763493228922</v>
      </c>
    </row>
    <row r="25" spans="3:8" x14ac:dyDescent="0.4">
      <c r="C25" s="341" t="s">
        <v>330</v>
      </c>
      <c r="D25" s="1631"/>
      <c r="E25" s="1631"/>
      <c r="F25" s="1631"/>
      <c r="G25" s="1631"/>
      <c r="H25" s="1631">
        <v>44.722620625446183</v>
      </c>
    </row>
    <row r="26" spans="3:8" x14ac:dyDescent="0.4">
      <c r="C26" s="341" t="s">
        <v>331</v>
      </c>
      <c r="D26" s="1631"/>
      <c r="E26" s="1631"/>
      <c r="F26" s="1631"/>
      <c r="G26" s="1631"/>
      <c r="H26" s="1631">
        <v>45.732923500762219</v>
      </c>
    </row>
    <row r="27" spans="3:8" x14ac:dyDescent="0.4">
      <c r="C27" s="341" t="s">
        <v>332</v>
      </c>
      <c r="D27" s="1631"/>
      <c r="E27" s="1631"/>
      <c r="F27" s="1631"/>
      <c r="G27" s="1631"/>
      <c r="H27" s="1631">
        <v>60.901697576590735</v>
      </c>
    </row>
    <row r="28" spans="3:8" x14ac:dyDescent="0.4">
      <c r="C28" s="341" t="s">
        <v>533</v>
      </c>
      <c r="D28" s="1631"/>
      <c r="E28" s="1631"/>
      <c r="F28" s="1631"/>
      <c r="G28" s="1631"/>
      <c r="H28" s="1631">
        <v>44.510517262855139</v>
      </c>
    </row>
    <row r="29" spans="3:8" x14ac:dyDescent="0.4">
      <c r="C29" s="341" t="s">
        <v>334</v>
      </c>
      <c r="D29" s="1631"/>
      <c r="E29" s="1631"/>
      <c r="F29" s="1631"/>
      <c r="G29" s="1631"/>
      <c r="H29" s="1631">
        <v>49.436073332277509</v>
      </c>
    </row>
    <row r="30" spans="3:8" x14ac:dyDescent="0.4">
      <c r="C30" s="2545" t="s">
        <v>1389</v>
      </c>
      <c r="D30" s="2545"/>
      <c r="E30" s="2545"/>
      <c r="F30" s="2545"/>
      <c r="G30" s="2545"/>
      <c r="H30" s="1631"/>
    </row>
    <row r="31" spans="3:8" x14ac:dyDescent="0.4">
      <c r="C31" s="2162" t="s">
        <v>7405</v>
      </c>
      <c r="D31" s="1631"/>
      <c r="E31" s="1631"/>
      <c r="F31" s="1631"/>
      <c r="G31" s="1631"/>
      <c r="H31" s="1631">
        <v>50.609228503692293</v>
      </c>
    </row>
    <row r="32" spans="3:8" x14ac:dyDescent="0.4">
      <c r="C32" s="2162" t="s">
        <v>7406</v>
      </c>
      <c r="D32" s="1631"/>
      <c r="E32" s="1631"/>
      <c r="F32" s="1631"/>
      <c r="G32" s="1631"/>
      <c r="H32" s="1631">
        <v>56.158720863061987</v>
      </c>
    </row>
    <row r="33" spans="3:8" x14ac:dyDescent="0.4">
      <c r="C33" s="342" t="s">
        <v>5749</v>
      </c>
      <c r="D33" s="1631"/>
      <c r="E33" s="1631"/>
      <c r="F33" s="1631"/>
      <c r="G33" s="1631"/>
      <c r="H33" s="1631">
        <v>50.978764405137923</v>
      </c>
    </row>
    <row r="34" spans="3:8" x14ac:dyDescent="0.4">
      <c r="C34" s="342" t="s">
        <v>5750</v>
      </c>
      <c r="D34" s="1631"/>
      <c r="E34" s="1631"/>
      <c r="F34" s="1631"/>
      <c r="G34" s="1631"/>
      <c r="H34" s="1631">
        <v>44.208163870857767</v>
      </c>
    </row>
    <row r="35" spans="3:8" x14ac:dyDescent="0.4">
      <c r="C35" s="2545" t="s">
        <v>542</v>
      </c>
      <c r="D35" s="2545"/>
      <c r="E35" s="2545"/>
      <c r="F35" s="2545"/>
      <c r="G35" s="2545"/>
      <c r="H35" s="1631"/>
    </row>
    <row r="36" spans="3:8" x14ac:dyDescent="0.4">
      <c r="C36" s="341" t="s">
        <v>543</v>
      </c>
      <c r="D36" s="1631"/>
      <c r="E36" s="1631"/>
      <c r="F36" s="1631"/>
      <c r="G36" s="1631"/>
      <c r="H36" s="1631">
        <v>40.935724881194915</v>
      </c>
    </row>
    <row r="37" spans="3:8" x14ac:dyDescent="0.4">
      <c r="C37" s="341" t="s">
        <v>544</v>
      </c>
      <c r="D37" s="1631"/>
      <c r="E37" s="1631"/>
      <c r="F37" s="1631"/>
      <c r="G37" s="1631"/>
      <c r="H37" s="1631">
        <v>45.922334979377453</v>
      </c>
    </row>
    <row r="38" spans="3:8" x14ac:dyDescent="0.4">
      <c r="C38" s="341" t="s">
        <v>545</v>
      </c>
      <c r="D38" s="1631"/>
      <c r="E38" s="1631"/>
      <c r="F38" s="1631"/>
      <c r="G38" s="1631"/>
      <c r="H38" s="1631">
        <v>52.892799817757918</v>
      </c>
    </row>
    <row r="39" spans="3:8" x14ac:dyDescent="0.4">
      <c r="C39" s="341" t="s">
        <v>546</v>
      </c>
      <c r="D39" s="1631"/>
      <c r="E39" s="1631"/>
      <c r="F39" s="1631"/>
      <c r="G39" s="1631"/>
      <c r="H39" s="1631">
        <v>47.579809758280675</v>
      </c>
    </row>
    <row r="40" spans="3:8" x14ac:dyDescent="0.4">
      <c r="C40" s="341" t="s">
        <v>547</v>
      </c>
      <c r="D40" s="1631"/>
      <c r="E40" s="1631"/>
      <c r="F40" s="1631"/>
      <c r="G40" s="1631"/>
      <c r="H40" s="1631" t="s">
        <v>548</v>
      </c>
    </row>
    <row r="41" spans="3:8" ht="19.5" x14ac:dyDescent="0.4">
      <c r="C41" s="2545" t="s">
        <v>7407</v>
      </c>
      <c r="D41" s="2545"/>
      <c r="E41" s="2545"/>
      <c r="F41" s="2545"/>
      <c r="G41" s="2545"/>
      <c r="H41" s="1631"/>
    </row>
    <row r="42" spans="3:8" x14ac:dyDescent="0.4">
      <c r="C42" s="341" t="s">
        <v>2127</v>
      </c>
      <c r="D42" s="1631"/>
      <c r="E42" s="1631"/>
      <c r="F42" s="1631"/>
      <c r="G42" s="1631"/>
      <c r="H42" s="1631">
        <v>56.888741925890052</v>
      </c>
    </row>
    <row r="43" spans="3:8" x14ac:dyDescent="0.4">
      <c r="C43" s="341" t="s">
        <v>2128</v>
      </c>
      <c r="D43" s="1631"/>
      <c r="E43" s="1631"/>
      <c r="F43" s="1631"/>
      <c r="G43" s="1631"/>
      <c r="H43" s="1631">
        <v>48.538113138642416</v>
      </c>
    </row>
    <row r="44" spans="3:8" x14ac:dyDescent="0.4">
      <c r="C44" s="2545" t="s">
        <v>7408</v>
      </c>
      <c r="D44" s="2545"/>
      <c r="E44" s="2545"/>
      <c r="F44" s="2545"/>
      <c r="G44" s="2545"/>
      <c r="H44" s="1631"/>
    </row>
    <row r="45" spans="3:8" x14ac:dyDescent="0.4">
      <c r="C45" s="341" t="s">
        <v>2127</v>
      </c>
      <c r="D45" s="1631"/>
      <c r="E45" s="1631"/>
      <c r="F45" s="1631"/>
      <c r="G45" s="1631"/>
      <c r="H45" s="1631">
        <v>52.934768571841218</v>
      </c>
    </row>
    <row r="46" spans="3:8" x14ac:dyDescent="0.4">
      <c r="C46" s="341" t="s">
        <v>2128</v>
      </c>
      <c r="D46" s="1631"/>
      <c r="E46" s="1631"/>
      <c r="F46" s="1631"/>
      <c r="G46" s="1631"/>
      <c r="H46" s="1631">
        <v>50.042152262207047</v>
      </c>
    </row>
    <row r="47" spans="3:8" x14ac:dyDescent="0.4">
      <c r="C47" s="341" t="s">
        <v>7409</v>
      </c>
      <c r="D47" s="1631"/>
      <c r="E47" s="1631"/>
      <c r="F47" s="1631"/>
      <c r="G47" s="1631"/>
      <c r="H47" s="1631">
        <v>38.0225138544087</v>
      </c>
    </row>
    <row r="48" spans="3:8" x14ac:dyDescent="0.4">
      <c r="C48" s="2545" t="s">
        <v>558</v>
      </c>
      <c r="D48" s="2545"/>
      <c r="E48" s="2545"/>
      <c r="F48" s="2545"/>
      <c r="G48" s="2545"/>
      <c r="H48" s="1631"/>
    </row>
    <row r="49" spans="1:8" x14ac:dyDescent="0.4">
      <c r="C49" s="341" t="s">
        <v>559</v>
      </c>
      <c r="D49" s="1631"/>
      <c r="E49" s="1631"/>
      <c r="F49" s="1631"/>
      <c r="G49" s="1631"/>
      <c r="H49" s="1631">
        <v>48.435219244052249</v>
      </c>
    </row>
    <row r="50" spans="1:8" x14ac:dyDescent="0.4">
      <c r="C50" s="341" t="s">
        <v>560</v>
      </c>
      <c r="D50" s="1631"/>
      <c r="E50" s="1631"/>
      <c r="F50" s="1631"/>
      <c r="G50" s="1631"/>
      <c r="H50" s="1631">
        <v>50.190780254614523</v>
      </c>
    </row>
    <row r="51" spans="1:8" x14ac:dyDescent="0.4">
      <c r="C51" s="341" t="s">
        <v>561</v>
      </c>
      <c r="D51" s="1631"/>
      <c r="E51" s="1631"/>
      <c r="F51" s="1631"/>
      <c r="G51" s="1631"/>
      <c r="H51" s="1631">
        <v>50.137426748152372</v>
      </c>
    </row>
    <row r="52" spans="1:8" x14ac:dyDescent="0.4">
      <c r="C52" s="341" t="s">
        <v>562</v>
      </c>
      <c r="D52" s="1631"/>
      <c r="E52" s="1631"/>
      <c r="F52" s="1631"/>
      <c r="G52" s="1631"/>
      <c r="H52" s="1631">
        <v>50.740519111498223</v>
      </c>
    </row>
    <row r="53" spans="1:8" x14ac:dyDescent="0.4">
      <c r="C53" s="650" t="s">
        <v>563</v>
      </c>
      <c r="D53" s="1634"/>
      <c r="E53" s="1634"/>
      <c r="F53" s="1634"/>
      <c r="G53" s="1634"/>
      <c r="H53" s="1634">
        <v>46.678859789034753</v>
      </c>
    </row>
    <row r="54" spans="1:8" x14ac:dyDescent="0.4">
      <c r="A54" s="2163"/>
      <c r="B54" s="1063"/>
      <c r="C54" s="155" t="s">
        <v>7410</v>
      </c>
      <c r="D54" s="155"/>
      <c r="E54" s="155"/>
      <c r="F54" s="155"/>
      <c r="G54" s="155"/>
      <c r="H54" s="155"/>
    </row>
    <row r="55" spans="1:8" x14ac:dyDescent="0.4">
      <c r="A55" s="1063"/>
      <c r="B55" s="1063"/>
      <c r="C55" s="155" t="s">
        <v>1739</v>
      </c>
      <c r="D55" s="155"/>
      <c r="E55" s="155"/>
      <c r="F55" s="155"/>
      <c r="G55" s="155"/>
      <c r="H55" s="155"/>
    </row>
    <row r="56" spans="1:8" x14ac:dyDescent="0.4">
      <c r="C56" s="198" t="s">
        <v>7411</v>
      </c>
    </row>
  </sheetData>
  <mergeCells count="17">
    <mergeCell ref="A5:B5"/>
    <mergeCell ref="C5:T5"/>
    <mergeCell ref="C1:D1"/>
    <mergeCell ref="A3:B3"/>
    <mergeCell ref="C3:T3"/>
    <mergeCell ref="A4:B4"/>
    <mergeCell ref="C4:T4"/>
    <mergeCell ref="C35:G35"/>
    <mergeCell ref="C41:G41"/>
    <mergeCell ref="C44:G44"/>
    <mergeCell ref="C48:G48"/>
    <mergeCell ref="A6:B6"/>
    <mergeCell ref="C6:T6"/>
    <mergeCell ref="C16:G16"/>
    <mergeCell ref="C19:G19"/>
    <mergeCell ref="C22:G22"/>
    <mergeCell ref="C30:G30"/>
  </mergeCells>
  <hyperlinks>
    <hyperlink ref="A1" location="'ODS 16.'!A1" display="REGRESAR" xr:uid="{930C3EEF-0C3A-47F4-8444-77884BD649ED}"/>
    <hyperlink ref="C1:D1" location="'Metadato 16.2.1'!A1" display="VER METADATO" xr:uid="{F17D3839-2D9F-476B-810E-A46E2F912C42}"/>
  </hyperlink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5EE1-E7BC-4675-B2C7-91468ADFCF7F}">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0.7109375" style="1487" customWidth="1"/>
    <col min="2" max="2" width="26.42578125" style="1487" customWidth="1"/>
    <col min="3" max="3" width="24" style="1487" customWidth="1"/>
    <col min="4" max="4" width="85.7109375" style="1487" customWidth="1"/>
    <col min="5" max="5" width="7.42578125" style="1487" customWidth="1"/>
    <col min="6" max="6" width="7.28515625" style="1487" customWidth="1"/>
    <col min="7" max="7" width="8.42578125" style="1487" customWidth="1"/>
    <col min="8" max="8" width="7.28515625" style="1487" customWidth="1"/>
    <col min="9" max="9" width="10.5703125" style="1487" customWidth="1"/>
    <col min="10" max="10" width="13.42578125" style="1487" customWidth="1"/>
    <col min="11" max="11" width="11.42578125" style="1487"/>
    <col min="12" max="12" width="7.28515625" style="1487" customWidth="1"/>
    <col min="13" max="13" width="1" style="1487" customWidth="1"/>
    <col min="14" max="14" width="9.7109375" style="1487" customWidth="1"/>
    <col min="15" max="34" width="11.42578125" style="1487"/>
    <col min="35" max="35" width="3.28515625" style="1487" customWidth="1"/>
    <col min="36" max="36" width="11.42578125" style="1487"/>
    <col min="37" max="37" width="16.42578125" style="1487" customWidth="1"/>
    <col min="38" max="38" width="8.28515625" style="1487" customWidth="1"/>
    <col min="39" max="39" width="2.42578125" style="1487" customWidth="1"/>
    <col min="40" max="40" width="11.42578125" style="1487"/>
    <col min="41" max="41" width="14.28515625" style="1487" customWidth="1"/>
    <col min="42" max="42" width="2.5703125" style="1487" customWidth="1"/>
    <col min="43" max="45" width="11.42578125" style="1487"/>
    <col min="46" max="46" width="2" style="1487" customWidth="1"/>
    <col min="47" max="47" width="11.42578125" style="1487"/>
    <col min="48" max="48" width="2.42578125" style="1487" customWidth="1"/>
    <col min="49" max="49" width="12.7109375" style="1487" customWidth="1"/>
    <col min="50" max="16384" width="11.42578125" style="1487"/>
  </cols>
  <sheetData>
    <row r="1" spans="2:6" x14ac:dyDescent="0.25">
      <c r="B1" s="223" t="s">
        <v>39</v>
      </c>
    </row>
    <row r="2" spans="2:6" ht="19.5" thickBot="1" x14ac:dyDescent="0.3"/>
    <row r="3" spans="2:6" ht="23.25" customHeight="1" thickBot="1" x14ac:dyDescent="0.3">
      <c r="B3" s="3514" t="s">
        <v>75</v>
      </c>
      <c r="C3" s="3514"/>
      <c r="D3" s="3514"/>
      <c r="F3" s="1046" t="s">
        <v>244</v>
      </c>
    </row>
    <row r="4" spans="2:6" ht="37.5" x14ac:dyDescent="0.25">
      <c r="B4" s="2425" t="s">
        <v>234</v>
      </c>
      <c r="C4" s="2425"/>
      <c r="D4" s="49" t="s">
        <v>7369</v>
      </c>
    </row>
    <row r="5" spans="2:6" x14ac:dyDescent="0.25">
      <c r="B5" s="2425" t="s">
        <v>79</v>
      </c>
      <c r="C5" s="2425"/>
      <c r="D5" s="49" t="s">
        <v>7291</v>
      </c>
    </row>
    <row r="6" spans="2:6" x14ac:dyDescent="0.25">
      <c r="B6" s="2425" t="s">
        <v>80</v>
      </c>
      <c r="C6" s="2425"/>
      <c r="D6" s="50" t="s">
        <v>7292</v>
      </c>
    </row>
    <row r="7" spans="2:6" ht="32.25" customHeight="1" x14ac:dyDescent="0.25">
      <c r="B7" s="2426" t="s">
        <v>81</v>
      </c>
      <c r="C7" s="2426"/>
      <c r="D7" s="93" t="s">
        <v>7293</v>
      </c>
    </row>
    <row r="8" spans="2:6" x14ac:dyDescent="0.25">
      <c r="B8" s="2426" t="s">
        <v>82</v>
      </c>
      <c r="C8" s="2426"/>
      <c r="D8" s="1047" t="s">
        <v>7412</v>
      </c>
    </row>
    <row r="9" spans="2:6" x14ac:dyDescent="0.4">
      <c r="B9" s="115"/>
      <c r="C9" s="115"/>
      <c r="D9" s="115"/>
    </row>
    <row r="10" spans="2:6" ht="23.25" customHeight="1" x14ac:dyDescent="0.25">
      <c r="B10" s="3514" t="s">
        <v>85</v>
      </c>
      <c r="C10" s="3514"/>
      <c r="D10" s="3514"/>
    </row>
    <row r="11" spans="2:6" x14ac:dyDescent="0.25">
      <c r="B11" s="2427" t="s">
        <v>86</v>
      </c>
      <c r="C11" s="2428"/>
      <c r="D11" s="49" t="s">
        <v>1754</v>
      </c>
    </row>
    <row r="12" spans="2:6" ht="34.9" customHeight="1" x14ac:dyDescent="0.25">
      <c r="B12" s="2426" t="s">
        <v>88</v>
      </c>
      <c r="C12" s="2426"/>
      <c r="D12" s="877" t="s">
        <v>7413</v>
      </c>
    </row>
    <row r="13" spans="2:6" ht="17.25" customHeight="1" x14ac:dyDescent="0.25">
      <c r="B13" s="2425" t="s">
        <v>90</v>
      </c>
      <c r="C13" s="2425"/>
      <c r="D13" s="50" t="s">
        <v>7292</v>
      </c>
    </row>
    <row r="14" spans="2:6" x14ac:dyDescent="0.25">
      <c r="B14" s="2425" t="s">
        <v>91</v>
      </c>
      <c r="C14" s="2428"/>
      <c r="D14" s="54" t="s">
        <v>92</v>
      </c>
    </row>
    <row r="15" spans="2:6" x14ac:dyDescent="0.25">
      <c r="B15" s="2429" t="s">
        <v>93</v>
      </c>
      <c r="C15" s="2430"/>
      <c r="D15" s="2471"/>
    </row>
    <row r="16" spans="2:6" x14ac:dyDescent="0.25">
      <c r="B16" s="3456"/>
      <c r="C16" s="3457"/>
      <c r="D16" s="2473"/>
    </row>
    <row r="17" spans="2:4" x14ac:dyDescent="0.25">
      <c r="B17" s="2425" t="s">
        <v>95</v>
      </c>
      <c r="C17" s="2425"/>
      <c r="D17" s="55"/>
    </row>
    <row r="18" spans="2:4" x14ac:dyDescent="0.25">
      <c r="B18" s="2425" t="s">
        <v>97</v>
      </c>
      <c r="C18" s="2425"/>
      <c r="D18" s="50" t="s">
        <v>98</v>
      </c>
    </row>
    <row r="19" spans="2:4" x14ac:dyDescent="0.25">
      <c r="B19" s="2426" t="s">
        <v>99</v>
      </c>
      <c r="C19" s="2426"/>
      <c r="D19" s="55"/>
    </row>
    <row r="20" spans="2:4" ht="34.5" customHeight="1" x14ac:dyDescent="0.25">
      <c r="B20" s="2435" t="s">
        <v>100</v>
      </c>
      <c r="C20" s="2436"/>
      <c r="D20" s="50" t="s">
        <v>7414</v>
      </c>
    </row>
    <row r="21" spans="2:4" x14ac:dyDescent="0.25">
      <c r="B21" s="2425" t="s">
        <v>102</v>
      </c>
      <c r="C21" s="2425"/>
      <c r="D21" s="50" t="s">
        <v>140</v>
      </c>
    </row>
    <row r="22" spans="2:4" x14ac:dyDescent="0.25">
      <c r="B22" s="2432" t="s">
        <v>104</v>
      </c>
      <c r="C22" s="57" t="s">
        <v>105</v>
      </c>
      <c r="D22" s="50" t="s">
        <v>7415</v>
      </c>
    </row>
    <row r="23" spans="2:4" ht="37.5" x14ac:dyDescent="0.25">
      <c r="B23" s="2433"/>
      <c r="C23" s="58" t="s">
        <v>107</v>
      </c>
      <c r="D23" s="50" t="s">
        <v>7416</v>
      </c>
    </row>
    <row r="24" spans="2:4" x14ac:dyDescent="0.25">
      <c r="B24" s="2425" t="s">
        <v>109</v>
      </c>
      <c r="C24" s="2425"/>
      <c r="D24" s="50" t="s">
        <v>515</v>
      </c>
    </row>
    <row r="25" spans="2:4" x14ac:dyDescent="0.25">
      <c r="B25" s="2425" t="s">
        <v>111</v>
      </c>
      <c r="C25" s="2425"/>
      <c r="D25" s="55" t="s">
        <v>127</v>
      </c>
    </row>
    <row r="26" spans="2:4" x14ac:dyDescent="0.25">
      <c r="B26" s="2425" t="s">
        <v>113</v>
      </c>
      <c r="C26" s="2425"/>
      <c r="D26" s="55" t="s">
        <v>144</v>
      </c>
    </row>
    <row r="27" spans="2:4" ht="15" customHeight="1" x14ac:dyDescent="0.25">
      <c r="B27" s="2426" t="s">
        <v>115</v>
      </c>
      <c r="C27" s="2426"/>
      <c r="D27" s="55" t="s">
        <v>7417</v>
      </c>
    </row>
    <row r="28" spans="2:4" x14ac:dyDescent="0.25">
      <c r="B28" s="2427" t="s">
        <v>117</v>
      </c>
      <c r="C28" s="2428"/>
      <c r="D28" s="55"/>
    </row>
    <row r="29" spans="2:4" x14ac:dyDescent="0.25">
      <c r="B29" s="60" t="s">
        <v>118</v>
      </c>
      <c r="C29" s="61"/>
      <c r="D29" s="55"/>
    </row>
    <row r="30" spans="2:4" x14ac:dyDescent="0.25">
      <c r="B30" s="2429" t="s">
        <v>120</v>
      </c>
      <c r="C30" s="2430"/>
      <c r="D30" s="160"/>
    </row>
    <row r="31" spans="2:4" x14ac:dyDescent="0.25">
      <c r="B31" s="63"/>
      <c r="C31" s="63"/>
      <c r="D31" s="64"/>
    </row>
    <row r="32" spans="2:4" ht="23.25" customHeight="1" x14ac:dyDescent="0.25">
      <c r="B32" s="3514" t="s">
        <v>121</v>
      </c>
      <c r="C32" s="3514"/>
      <c r="D32" s="3514"/>
    </row>
    <row r="33" spans="2:4" x14ac:dyDescent="0.25">
      <c r="B33" s="2427" t="s">
        <v>122</v>
      </c>
      <c r="C33" s="2428"/>
      <c r="D33" s="50"/>
    </row>
    <row r="34" spans="2:4" x14ac:dyDescent="0.25">
      <c r="B34" s="2427" t="s">
        <v>124</v>
      </c>
      <c r="C34" s="2428"/>
      <c r="D34" s="50"/>
    </row>
    <row r="35" spans="2:4" x14ac:dyDescent="0.25">
      <c r="B35" s="2427" t="s">
        <v>126</v>
      </c>
      <c r="C35" s="2428"/>
      <c r="D35" s="50"/>
    </row>
    <row r="36" spans="2:4" x14ac:dyDescent="0.25">
      <c r="B36" s="2427" t="s">
        <v>128</v>
      </c>
      <c r="C36" s="2428"/>
      <c r="D36" s="50"/>
    </row>
    <row r="37" spans="2:4" x14ac:dyDescent="0.25">
      <c r="B37" s="2427" t="s">
        <v>130</v>
      </c>
      <c r="C37" s="2428"/>
      <c r="D37" s="1312"/>
    </row>
  </sheetData>
  <mergeCells count="31">
    <mergeCell ref="B8:C8"/>
    <mergeCell ref="B3:D3"/>
    <mergeCell ref="B4:C4"/>
    <mergeCell ref="B5:C5"/>
    <mergeCell ref="B6:C6"/>
    <mergeCell ref="B7:C7"/>
    <mergeCell ref="B22:B23"/>
    <mergeCell ref="B10:D10"/>
    <mergeCell ref="B11:C11"/>
    <mergeCell ref="B12:C12"/>
    <mergeCell ref="B13:C13"/>
    <mergeCell ref="B14:C14"/>
    <mergeCell ref="B15:C16"/>
    <mergeCell ref="D15:D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4" xr:uid="{BBAC1F8C-1E2D-491E-A87C-1A37275B777C}">
      <formula1>ODS</formula1>
    </dataValidation>
    <dataValidation type="list" allowBlank="1" showInputMessage="1" showErrorMessage="1" sqref="D5" xr:uid="{F904DD7A-203F-4FD3-995F-531755677349}">
      <formula1>Metas_ODS</formula1>
    </dataValidation>
    <dataValidation type="list" allowBlank="1" showInputMessage="1" showErrorMessage="1" sqref="D6" xr:uid="{83934E10-FDE6-4F5D-90AA-7203F84B749D}">
      <formula1>Numero_indicador</formula1>
    </dataValidation>
    <dataValidation type="list" allowBlank="1" showInputMessage="1" showErrorMessage="1" sqref="D7" xr:uid="{5331D67F-117E-4155-9D95-EAD228F26F48}">
      <formula1>Nombre_indicador_ODS</formula1>
    </dataValidation>
    <dataValidation type="list" allowBlank="1" showInputMessage="1" showErrorMessage="1" sqref="D14" xr:uid="{5B6764DA-B3D9-4589-8ECC-050EBFC3828C}">
      <formula1>Tipo_indicador</formula1>
    </dataValidation>
    <dataValidation type="list" allowBlank="1" showInputMessage="1" showErrorMessage="1" sqref="D26" xr:uid="{8DFFEE26-AFBF-4D79-B106-037C22ECE005}">
      <formula1>Tipo_operación</formula1>
    </dataValidation>
  </dataValidations>
  <hyperlinks>
    <hyperlink ref="B1" location="'16.2.1'!A1" display="REGRESAR" xr:uid="{191E7DD6-2B79-46FC-9F82-07BE5208D339}"/>
    <hyperlink ref="D8" r:id="rId1" xr:uid="{7D2CFFE0-8D27-4A4E-A8B9-D173B512CE1B}"/>
  </hyperlinks>
  <pageMargins left="0.7" right="0.7" top="0.75" bottom="0.75" header="0.3" footer="0.3"/>
  <pageSetup paperSize="9" orientation="portrait"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48389-805E-44C9-AC9E-FB92BFFA4420}">
  <dimension ref="A1:DW71"/>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5" style="115" customWidth="1"/>
    <col min="2" max="2" width="18.140625" style="115" customWidth="1"/>
    <col min="3" max="6" width="7.7109375" style="115" customWidth="1"/>
    <col min="7" max="7" width="3" style="115" customWidth="1"/>
    <col min="8" max="10" width="7.7109375" style="115" customWidth="1"/>
    <col min="11" max="11" width="1.7109375" style="115" customWidth="1"/>
    <col min="12" max="14" width="7.7109375" style="115" customWidth="1"/>
    <col min="15" max="15" width="1.7109375" style="115" customWidth="1"/>
    <col min="16" max="18" width="7.7109375" style="115" customWidth="1"/>
    <col min="19" max="19" width="1.7109375" style="115" customWidth="1"/>
    <col min="20" max="22" width="7.7109375" style="115" customWidth="1"/>
    <col min="23" max="23" width="1.7109375" style="115" customWidth="1"/>
    <col min="24" max="26" width="7.7109375" style="115" customWidth="1"/>
    <col min="27" max="27" width="1.140625" style="115" customWidth="1"/>
    <col min="28" max="28" width="4.7109375" style="115" customWidth="1"/>
    <col min="29" max="31" width="7.7109375" style="115" customWidth="1"/>
    <col min="32" max="32" width="5.28515625" style="115" customWidth="1"/>
    <col min="33" max="35" width="7.7109375" style="115" customWidth="1"/>
    <col min="36" max="36" width="4.5703125" style="115" customWidth="1"/>
    <col min="37" max="39" width="7.7109375" style="115" customWidth="1"/>
    <col min="40" max="40" width="4.28515625" style="115" customWidth="1"/>
    <col min="41" max="127" width="7.7109375" style="115" customWidth="1"/>
    <col min="128" max="16384" width="11.42578125" style="115"/>
  </cols>
  <sheetData>
    <row r="1" spans="1:127" x14ac:dyDescent="0.4">
      <c r="A1" s="90" t="s">
        <v>39</v>
      </c>
      <c r="C1" s="2541" t="s">
        <v>149</v>
      </c>
      <c r="D1" s="2541"/>
      <c r="E1" s="2541"/>
    </row>
    <row r="3" spans="1:127" ht="36.6" customHeight="1" x14ac:dyDescent="0.4">
      <c r="A3" s="3508" t="s">
        <v>41</v>
      </c>
      <c r="B3" s="3513"/>
      <c r="C3" s="3527" t="s">
        <v>7281</v>
      </c>
      <c r="D3" s="3527"/>
      <c r="E3" s="3527"/>
      <c r="F3" s="3527"/>
      <c r="G3" s="3527"/>
      <c r="H3" s="3527"/>
      <c r="I3" s="3527"/>
      <c r="J3" s="3527"/>
      <c r="K3" s="3527"/>
      <c r="L3" s="3527"/>
      <c r="M3" s="3527"/>
      <c r="N3" s="3527"/>
      <c r="O3" s="3527"/>
      <c r="P3" s="3527"/>
      <c r="Q3" s="3527"/>
      <c r="R3" s="3527"/>
      <c r="S3" s="3527"/>
      <c r="T3" s="3527"/>
      <c r="U3" s="3527"/>
      <c r="V3" s="3527"/>
      <c r="W3" s="3527"/>
      <c r="X3" s="3527"/>
    </row>
    <row r="4" spans="1:127" ht="19.5" x14ac:dyDescent="0.4">
      <c r="A4" s="3508" t="s">
        <v>42</v>
      </c>
      <c r="B4" s="3509"/>
      <c r="C4" s="3528" t="s">
        <v>7291</v>
      </c>
      <c r="D4" s="3528"/>
      <c r="E4" s="3528"/>
      <c r="F4" s="3528"/>
      <c r="G4" s="3528"/>
      <c r="H4" s="3528"/>
      <c r="I4" s="3528"/>
      <c r="J4" s="3528"/>
      <c r="K4" s="3528"/>
      <c r="L4" s="3528"/>
      <c r="M4" s="3528"/>
      <c r="N4" s="3528"/>
      <c r="O4" s="3528"/>
      <c r="P4" s="3528"/>
      <c r="Q4" s="3528"/>
      <c r="R4" s="3528"/>
      <c r="S4" s="3528"/>
      <c r="T4" s="3528"/>
      <c r="U4" s="3528"/>
      <c r="V4" s="3528"/>
      <c r="W4" s="3528"/>
      <c r="X4" s="3528"/>
    </row>
    <row r="5" spans="1:127" ht="17.45" customHeight="1" x14ac:dyDescent="0.4">
      <c r="A5" s="3508" t="s">
        <v>43</v>
      </c>
      <c r="B5" s="3509"/>
      <c r="C5" s="3528" t="s">
        <v>7295</v>
      </c>
      <c r="D5" s="3528"/>
      <c r="E5" s="3528"/>
      <c r="F5" s="3528"/>
      <c r="G5" s="3528"/>
      <c r="H5" s="3528"/>
      <c r="I5" s="3528"/>
      <c r="J5" s="3528"/>
      <c r="K5" s="3528"/>
      <c r="L5" s="3528"/>
      <c r="M5" s="3528"/>
      <c r="N5" s="3528"/>
      <c r="O5" s="3528"/>
      <c r="P5" s="3528"/>
      <c r="Q5" s="3528"/>
      <c r="R5" s="3528"/>
      <c r="S5" s="3528"/>
      <c r="T5" s="3528"/>
      <c r="U5" s="3528"/>
      <c r="V5" s="3528"/>
      <c r="W5" s="3528"/>
      <c r="X5" s="3528"/>
    </row>
    <row r="6" spans="1:127" ht="35.450000000000003" customHeight="1" x14ac:dyDescent="0.4">
      <c r="A6" s="3508" t="s">
        <v>132</v>
      </c>
      <c r="B6" s="3509"/>
      <c r="C6" s="3527" t="s">
        <v>7418</v>
      </c>
      <c r="D6" s="3527"/>
      <c r="E6" s="3527"/>
      <c r="F6" s="3527"/>
      <c r="G6" s="3527"/>
      <c r="H6" s="3527"/>
      <c r="I6" s="3527"/>
      <c r="J6" s="3527"/>
      <c r="K6" s="3527"/>
      <c r="L6" s="3527"/>
      <c r="M6" s="3527"/>
      <c r="N6" s="3527"/>
      <c r="O6" s="3527"/>
      <c r="P6" s="3527"/>
      <c r="Q6" s="3527"/>
      <c r="R6" s="3527"/>
      <c r="S6" s="3527"/>
      <c r="T6" s="3527"/>
      <c r="U6" s="3527"/>
      <c r="V6" s="3527"/>
      <c r="W6" s="3527"/>
      <c r="X6" s="3527"/>
    </row>
    <row r="9" spans="1:127" ht="19.5" x14ac:dyDescent="0.4">
      <c r="C9" s="187" t="s">
        <v>7419</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row>
    <row r="10" spans="1:127" ht="12" customHeight="1" x14ac:dyDescent="0.4">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row>
    <row r="11" spans="1:127" x14ac:dyDescent="0.4">
      <c r="C11" s="3502" t="s">
        <v>46</v>
      </c>
      <c r="D11" s="3502" t="s">
        <v>47</v>
      </c>
      <c r="E11" s="3502"/>
      <c r="F11" s="3502"/>
      <c r="G11" s="2098"/>
      <c r="H11" s="3512" t="s">
        <v>7420</v>
      </c>
      <c r="I11" s="3512"/>
      <c r="J11" s="3512"/>
      <c r="K11" s="3512"/>
      <c r="L11" s="3512"/>
      <c r="M11" s="3512"/>
      <c r="N11" s="3512"/>
      <c r="O11" s="3512"/>
      <c r="P11" s="3512"/>
      <c r="Q11" s="3512"/>
      <c r="R11" s="3512"/>
      <c r="S11" s="3512"/>
      <c r="T11" s="3512"/>
      <c r="U11" s="3512"/>
      <c r="V11" s="3512"/>
      <c r="W11" s="3512"/>
      <c r="X11" s="3512"/>
      <c r="Y11" s="3512"/>
      <c r="Z11" s="3512"/>
      <c r="AA11" s="3512"/>
      <c r="AB11" s="3512"/>
      <c r="AC11" s="3512"/>
      <c r="AD11" s="3512"/>
      <c r="AE11" s="3512"/>
      <c r="AF11" s="3512"/>
      <c r="AG11" s="3512"/>
      <c r="AH11" s="3512"/>
      <c r="AI11" s="3512"/>
      <c r="AJ11" s="3512"/>
      <c r="AK11" s="3512"/>
      <c r="AL11" s="3512"/>
      <c r="AM11" s="3512"/>
      <c r="AN11" s="3512"/>
      <c r="AO11" s="3512"/>
      <c r="AP11" s="3512"/>
      <c r="AQ11" s="3512"/>
      <c r="AR11" s="3512"/>
      <c r="AS11" s="3512"/>
      <c r="AT11" s="3512"/>
      <c r="AU11" s="3512"/>
      <c r="AV11" s="3512"/>
      <c r="AW11" s="3512"/>
      <c r="AX11" s="3512"/>
      <c r="AY11" s="3512"/>
      <c r="AZ11" s="3512"/>
      <c r="BA11" s="3512"/>
      <c r="BB11" s="3512"/>
      <c r="BC11" s="3512"/>
      <c r="BD11" s="3512"/>
      <c r="BE11" s="3512"/>
      <c r="BF11" s="3512"/>
      <c r="BG11" s="3512"/>
      <c r="BH11" s="3512"/>
      <c r="BI11" s="3512"/>
      <c r="BJ11" s="3512"/>
      <c r="BK11" s="3512"/>
      <c r="BL11" s="3512"/>
      <c r="BM11" s="3512"/>
      <c r="BN11" s="3512"/>
      <c r="BO11" s="3512"/>
      <c r="BP11" s="3512"/>
      <c r="BQ11" s="3512"/>
      <c r="BR11" s="3512"/>
      <c r="BS11" s="3512"/>
      <c r="BT11" s="3512"/>
      <c r="BU11" s="3512"/>
      <c r="BV11" s="3512"/>
      <c r="BW11" s="3512"/>
      <c r="BX11" s="3512"/>
      <c r="BY11" s="3512"/>
      <c r="BZ11" s="3512"/>
      <c r="CA11" s="3512"/>
      <c r="CB11" s="3512"/>
      <c r="CC11" s="3512"/>
      <c r="CD11" s="3512"/>
      <c r="CE11" s="3512"/>
      <c r="CF11" s="3512"/>
      <c r="CG11" s="3512"/>
      <c r="CH11" s="3512"/>
      <c r="CI11" s="3512"/>
      <c r="CJ11" s="3512"/>
      <c r="CK11" s="3512"/>
      <c r="CL11" s="3512"/>
      <c r="CM11" s="3512"/>
      <c r="CN11" s="3512"/>
      <c r="CO11" s="3512"/>
      <c r="CP11" s="3512"/>
      <c r="CQ11" s="3512"/>
      <c r="CR11" s="3512"/>
      <c r="CS11" s="3512"/>
      <c r="CT11" s="3512"/>
      <c r="CU11" s="3512"/>
      <c r="CV11" s="3512"/>
      <c r="CW11" s="3512"/>
      <c r="CX11" s="3512"/>
      <c r="CY11" s="3512"/>
      <c r="CZ11" s="3512"/>
      <c r="DA11" s="3512"/>
      <c r="DB11" s="3512"/>
      <c r="DC11" s="3512"/>
      <c r="DD11" s="3512"/>
      <c r="DE11" s="3512"/>
      <c r="DF11" s="3512"/>
      <c r="DG11" s="3512"/>
      <c r="DH11" s="3512"/>
      <c r="DI11" s="3512"/>
      <c r="DJ11" s="3512"/>
      <c r="DK11" s="3512"/>
      <c r="DL11" s="3512"/>
      <c r="DM11" s="3512"/>
      <c r="DN11" s="3512"/>
      <c r="DO11" s="3512"/>
      <c r="DP11" s="3512"/>
      <c r="DQ11" s="3512"/>
      <c r="DR11" s="3512"/>
      <c r="DS11" s="3512"/>
      <c r="DT11" s="3512"/>
      <c r="DU11" s="3512"/>
      <c r="DV11" s="3512"/>
      <c r="DW11" s="3512"/>
    </row>
    <row r="12" spans="1:127" ht="17.45" customHeight="1" x14ac:dyDescent="0.4">
      <c r="C12" s="3511"/>
      <c r="D12" s="3503"/>
      <c r="E12" s="3503"/>
      <c r="F12" s="3503"/>
      <c r="G12" s="2108"/>
      <c r="H12" s="3512" t="s">
        <v>7421</v>
      </c>
      <c r="I12" s="3512"/>
      <c r="J12" s="3512"/>
      <c r="K12" s="2108"/>
      <c r="L12" s="3512" t="s">
        <v>7422</v>
      </c>
      <c r="M12" s="3512"/>
      <c r="N12" s="3512"/>
      <c r="O12" s="2108"/>
      <c r="P12" s="3512" t="s">
        <v>7423</v>
      </c>
      <c r="Q12" s="3512"/>
      <c r="R12" s="3512"/>
      <c r="S12" s="2108"/>
      <c r="T12" s="3512" t="s">
        <v>7424</v>
      </c>
      <c r="U12" s="3512"/>
      <c r="V12" s="3512"/>
      <c r="W12" s="2108"/>
      <c r="X12" s="3512" t="s">
        <v>7425</v>
      </c>
      <c r="Y12" s="3512"/>
      <c r="Z12" s="3512"/>
      <c r="AA12" s="2108"/>
      <c r="AB12" s="2108"/>
      <c r="AC12" s="3512" t="s">
        <v>7426</v>
      </c>
      <c r="AD12" s="3512"/>
      <c r="AE12" s="3512"/>
      <c r="AF12" s="2108"/>
      <c r="AG12" s="3512" t="s">
        <v>7427</v>
      </c>
      <c r="AH12" s="3512"/>
      <c r="AI12" s="3512"/>
      <c r="AJ12" s="2108"/>
      <c r="AK12" s="3512" t="s">
        <v>7428</v>
      </c>
      <c r="AL12" s="3512"/>
      <c r="AM12" s="3512"/>
      <c r="AN12" s="2108"/>
      <c r="AO12" s="3512" t="s">
        <v>7429</v>
      </c>
      <c r="AP12" s="3512"/>
      <c r="AQ12" s="3512"/>
      <c r="AR12" s="3504" t="s">
        <v>7430</v>
      </c>
      <c r="AS12" s="3504"/>
      <c r="AT12" s="3504"/>
      <c r="AU12" s="3504" t="s">
        <v>7431</v>
      </c>
      <c r="AV12" s="3504"/>
      <c r="AW12" s="3504"/>
      <c r="AX12" s="3504" t="s">
        <v>7432</v>
      </c>
      <c r="AY12" s="3504"/>
      <c r="AZ12" s="3504"/>
      <c r="BA12" s="3504" t="s">
        <v>7433</v>
      </c>
      <c r="BB12" s="3504"/>
      <c r="BC12" s="2101"/>
      <c r="BD12" s="3504" t="s">
        <v>7434</v>
      </c>
      <c r="BE12" s="3504"/>
      <c r="BF12" s="3504"/>
      <c r="BG12" s="3504" t="s">
        <v>7435</v>
      </c>
      <c r="BH12" s="3504"/>
      <c r="BI12" s="3504"/>
      <c r="BJ12" s="3504" t="s">
        <v>7435</v>
      </c>
      <c r="BK12" s="3504"/>
      <c r="BL12" s="3504"/>
      <c r="BM12" s="2164" t="s">
        <v>7436</v>
      </c>
      <c r="BN12" s="2164"/>
      <c r="BO12" s="2161"/>
      <c r="BP12" s="2164" t="s">
        <v>7437</v>
      </c>
      <c r="BQ12" s="2164"/>
      <c r="BR12" s="2161"/>
      <c r="BS12" s="2164" t="s">
        <v>7438</v>
      </c>
      <c r="BT12" s="2164"/>
      <c r="BU12" s="2161"/>
      <c r="BV12" s="3504" t="s">
        <v>7425</v>
      </c>
      <c r="BW12" s="3504"/>
      <c r="BX12" s="3504"/>
      <c r="BY12" s="3504" t="s">
        <v>7439</v>
      </c>
      <c r="BZ12" s="3504"/>
      <c r="CA12" s="3504"/>
      <c r="CB12" s="3504" t="s">
        <v>7440</v>
      </c>
      <c r="CC12" s="3504"/>
      <c r="CD12" s="3504"/>
      <c r="CE12" s="3504" t="s">
        <v>7441</v>
      </c>
      <c r="CF12" s="3504"/>
      <c r="CG12" s="3504"/>
      <c r="CH12" s="3504" t="s">
        <v>7442</v>
      </c>
      <c r="CI12" s="3504"/>
      <c r="CJ12" s="3504"/>
      <c r="CK12" s="3504" t="s">
        <v>7443</v>
      </c>
      <c r="CL12" s="3504"/>
      <c r="CM12" s="3504"/>
      <c r="CN12" s="3504" t="s">
        <v>7444</v>
      </c>
      <c r="CO12" s="3504"/>
      <c r="CP12" s="3504"/>
      <c r="CQ12" s="3504" t="s">
        <v>7445</v>
      </c>
      <c r="CR12" s="3504"/>
      <c r="CS12" s="3504"/>
      <c r="CT12" s="3504" t="s">
        <v>7446</v>
      </c>
      <c r="CU12" s="3504"/>
      <c r="CV12" s="3504"/>
      <c r="CW12" s="3504" t="s">
        <v>7447</v>
      </c>
      <c r="CX12" s="3504"/>
      <c r="CY12" s="3504"/>
      <c r="CZ12" s="3504" t="s">
        <v>7448</v>
      </c>
      <c r="DA12" s="3504"/>
      <c r="DB12" s="3504"/>
      <c r="DC12" s="3504" t="s">
        <v>7449</v>
      </c>
      <c r="DD12" s="3504"/>
      <c r="DE12" s="3504"/>
      <c r="DF12" s="3504" t="s">
        <v>7450</v>
      </c>
      <c r="DG12" s="3504"/>
      <c r="DH12" s="3504"/>
      <c r="DI12" s="3504" t="s">
        <v>7451</v>
      </c>
      <c r="DJ12" s="3504"/>
      <c r="DK12" s="3504"/>
      <c r="DL12" s="3504" t="s">
        <v>7452</v>
      </c>
      <c r="DM12" s="3504"/>
      <c r="DN12" s="3504"/>
      <c r="DO12" s="3504" t="s">
        <v>7453</v>
      </c>
      <c r="DP12" s="3504"/>
      <c r="DQ12" s="3504"/>
      <c r="DR12" s="3504" t="s">
        <v>7454</v>
      </c>
      <c r="DS12" s="3504"/>
      <c r="DT12" s="3504"/>
      <c r="DU12" s="3504" t="s">
        <v>7455</v>
      </c>
      <c r="DV12" s="3504"/>
      <c r="DW12" s="3504"/>
    </row>
    <row r="13" spans="1:127" x14ac:dyDescent="0.4">
      <c r="C13" s="3511"/>
      <c r="D13" s="3511" t="s">
        <v>47</v>
      </c>
      <c r="E13" s="3512" t="s">
        <v>48</v>
      </c>
      <c r="F13" s="3512"/>
      <c r="G13" s="2108"/>
      <c r="H13" s="3511" t="s">
        <v>47</v>
      </c>
      <c r="I13" s="3512" t="s">
        <v>48</v>
      </c>
      <c r="J13" s="3512"/>
      <c r="K13" s="2108"/>
      <c r="L13" s="3511" t="s">
        <v>47</v>
      </c>
      <c r="M13" s="3512" t="s">
        <v>48</v>
      </c>
      <c r="N13" s="3512"/>
      <c r="O13" s="2108"/>
      <c r="P13" s="3511" t="s">
        <v>47</v>
      </c>
      <c r="Q13" s="3512" t="s">
        <v>48</v>
      </c>
      <c r="R13" s="3512"/>
      <c r="S13" s="2108"/>
      <c r="T13" s="3511" t="s">
        <v>47</v>
      </c>
      <c r="U13" s="3512" t="s">
        <v>48</v>
      </c>
      <c r="V13" s="3512"/>
      <c r="W13" s="2108"/>
      <c r="X13" s="3511" t="s">
        <v>47</v>
      </c>
      <c r="Y13" s="3512" t="s">
        <v>48</v>
      </c>
      <c r="Z13" s="3512"/>
      <c r="AA13" s="2108"/>
      <c r="AB13" s="2108"/>
      <c r="AC13" s="3511" t="s">
        <v>47</v>
      </c>
      <c r="AD13" s="3512" t="s">
        <v>48</v>
      </c>
      <c r="AE13" s="3512"/>
      <c r="AF13" s="2108"/>
      <c r="AG13" s="3511" t="s">
        <v>47</v>
      </c>
      <c r="AH13" s="3512" t="s">
        <v>48</v>
      </c>
      <c r="AI13" s="3512"/>
      <c r="AJ13" s="2108"/>
      <c r="AK13" s="3511" t="s">
        <v>47</v>
      </c>
      <c r="AL13" s="3512" t="s">
        <v>48</v>
      </c>
      <c r="AM13" s="3512"/>
      <c r="AN13" s="2108"/>
      <c r="AO13" s="3511" t="s">
        <v>47</v>
      </c>
      <c r="AP13" s="3512" t="s">
        <v>48</v>
      </c>
      <c r="AQ13" s="3512"/>
      <c r="AR13" s="3511" t="s">
        <v>47</v>
      </c>
      <c r="AS13" s="3512" t="s">
        <v>48</v>
      </c>
      <c r="AT13" s="3512"/>
      <c r="AU13" s="3511" t="s">
        <v>47</v>
      </c>
      <c r="AV13" s="3512" t="s">
        <v>48</v>
      </c>
      <c r="AW13" s="3512"/>
      <c r="AX13" s="3511" t="s">
        <v>47</v>
      </c>
      <c r="AY13" s="3512" t="s">
        <v>48</v>
      </c>
      <c r="AZ13" s="3512"/>
      <c r="BA13" s="3511" t="s">
        <v>47</v>
      </c>
      <c r="BB13" s="3512" t="s">
        <v>48</v>
      </c>
      <c r="BC13" s="3512"/>
      <c r="BD13" s="3511" t="s">
        <v>47</v>
      </c>
      <c r="BE13" s="3512" t="s">
        <v>48</v>
      </c>
      <c r="BF13" s="3512"/>
      <c r="BG13" s="3511" t="s">
        <v>47</v>
      </c>
      <c r="BH13" s="3512" t="s">
        <v>48</v>
      </c>
      <c r="BI13" s="3512"/>
      <c r="BJ13" s="3511" t="s">
        <v>47</v>
      </c>
      <c r="BK13" s="3512" t="s">
        <v>7456</v>
      </c>
      <c r="BL13" s="3512"/>
      <c r="BM13" s="3511" t="s">
        <v>47</v>
      </c>
      <c r="BN13" s="3512"/>
      <c r="BO13" s="3512"/>
      <c r="BP13" s="3511" t="s">
        <v>47</v>
      </c>
      <c r="BQ13" s="3512"/>
      <c r="BR13" s="3512"/>
      <c r="BS13" s="3511" t="s">
        <v>47</v>
      </c>
      <c r="BT13" s="3512"/>
      <c r="BU13" s="3512"/>
      <c r="BV13" s="3511" t="s">
        <v>47</v>
      </c>
      <c r="BW13" s="3512"/>
      <c r="BX13" s="3512"/>
      <c r="BY13" s="3511" t="s">
        <v>47</v>
      </c>
      <c r="BZ13" s="3512"/>
      <c r="CA13" s="3512"/>
      <c r="CB13" s="2108" t="s">
        <v>47</v>
      </c>
      <c r="CC13" s="2165"/>
      <c r="CD13" s="2165"/>
      <c r="CE13" s="2108" t="s">
        <v>47</v>
      </c>
      <c r="CF13" s="2165"/>
      <c r="CG13" s="2165"/>
      <c r="CH13" s="2108" t="s">
        <v>47</v>
      </c>
      <c r="CI13" s="2165"/>
      <c r="CJ13" s="2165"/>
      <c r="CK13" s="2108" t="s">
        <v>47</v>
      </c>
      <c r="CL13" s="2165"/>
      <c r="CM13" s="2165"/>
      <c r="CN13" s="2108" t="s">
        <v>47</v>
      </c>
      <c r="CO13" s="2165"/>
      <c r="CP13" s="2165"/>
      <c r="CQ13" s="2108" t="s">
        <v>47</v>
      </c>
      <c r="CR13" s="2165"/>
      <c r="CS13" s="2165"/>
      <c r="CT13" s="2108" t="s">
        <v>47</v>
      </c>
      <c r="CU13" s="2165"/>
      <c r="CV13" s="2165"/>
      <c r="CW13" s="2108" t="s">
        <v>47</v>
      </c>
      <c r="CX13" s="2165"/>
      <c r="CY13" s="2165"/>
      <c r="CZ13" s="2108" t="s">
        <v>47</v>
      </c>
      <c r="DA13" s="2165"/>
      <c r="DB13" s="2165"/>
      <c r="DC13" s="2108" t="s">
        <v>47</v>
      </c>
      <c r="DD13" s="2165"/>
      <c r="DE13" s="2165"/>
      <c r="DF13" s="2108" t="s">
        <v>47</v>
      </c>
      <c r="DG13" s="2165"/>
      <c r="DH13" s="2165"/>
      <c r="DI13" s="2108" t="s">
        <v>47</v>
      </c>
      <c r="DJ13" s="2165"/>
      <c r="DK13" s="2165"/>
      <c r="DL13" s="2108" t="s">
        <v>47</v>
      </c>
      <c r="DM13" s="2165"/>
      <c r="DN13" s="2165"/>
      <c r="DO13" s="2108" t="s">
        <v>47</v>
      </c>
      <c r="DP13" s="2165"/>
      <c r="DQ13" s="2165"/>
      <c r="DR13" s="2108" t="s">
        <v>47</v>
      </c>
      <c r="DS13" s="2165"/>
      <c r="DT13" s="2165"/>
      <c r="DU13" s="2108" t="s">
        <v>47</v>
      </c>
      <c r="DV13" s="2165"/>
      <c r="DW13" s="2165"/>
    </row>
    <row r="14" spans="1:127" x14ac:dyDescent="0.4">
      <c r="C14" s="3503"/>
      <c r="D14" s="3503"/>
      <c r="E14" s="2110" t="s">
        <v>894</v>
      </c>
      <c r="F14" s="2110" t="s">
        <v>895</v>
      </c>
      <c r="G14" s="2110"/>
      <c r="H14" s="3503"/>
      <c r="I14" s="2110" t="s">
        <v>894</v>
      </c>
      <c r="J14" s="2110" t="s">
        <v>895</v>
      </c>
      <c r="K14" s="2110"/>
      <c r="L14" s="3503"/>
      <c r="M14" s="2110" t="s">
        <v>894</v>
      </c>
      <c r="N14" s="2110" t="s">
        <v>895</v>
      </c>
      <c r="O14" s="2110"/>
      <c r="P14" s="3503"/>
      <c r="Q14" s="2110" t="s">
        <v>894</v>
      </c>
      <c r="R14" s="2110" t="s">
        <v>895</v>
      </c>
      <c r="S14" s="2110"/>
      <c r="T14" s="3503"/>
      <c r="U14" s="2110" t="s">
        <v>894</v>
      </c>
      <c r="V14" s="2110" t="s">
        <v>895</v>
      </c>
      <c r="W14" s="2110"/>
      <c r="X14" s="3503"/>
      <c r="Y14" s="2110" t="s">
        <v>894</v>
      </c>
      <c r="Z14" s="2110" t="s">
        <v>895</v>
      </c>
      <c r="AA14" s="2110"/>
      <c r="AB14" s="2110"/>
      <c r="AC14" s="3503"/>
      <c r="AD14" s="2110" t="s">
        <v>894</v>
      </c>
      <c r="AE14" s="2110" t="s">
        <v>895</v>
      </c>
      <c r="AF14" s="2110"/>
      <c r="AG14" s="3503"/>
      <c r="AH14" s="2110" t="s">
        <v>894</v>
      </c>
      <c r="AI14" s="2110" t="s">
        <v>895</v>
      </c>
      <c r="AJ14" s="2110"/>
      <c r="AK14" s="3503"/>
      <c r="AL14" s="2110" t="s">
        <v>894</v>
      </c>
      <c r="AM14" s="2110" t="s">
        <v>895</v>
      </c>
      <c r="AN14" s="2110"/>
      <c r="AO14" s="3503"/>
      <c r="AP14" s="2110" t="s">
        <v>894</v>
      </c>
      <c r="AQ14" s="2110" t="s">
        <v>895</v>
      </c>
      <c r="AR14" s="3503"/>
      <c r="AS14" s="2110" t="s">
        <v>894</v>
      </c>
      <c r="AT14" s="2110" t="s">
        <v>895</v>
      </c>
      <c r="AU14" s="3503"/>
      <c r="AV14" s="2110" t="s">
        <v>894</v>
      </c>
      <c r="AW14" s="2110" t="s">
        <v>895</v>
      </c>
      <c r="AX14" s="3503"/>
      <c r="AY14" s="2110" t="s">
        <v>894</v>
      </c>
      <c r="AZ14" s="2110" t="s">
        <v>895</v>
      </c>
      <c r="BA14" s="3503"/>
      <c r="BB14" s="2110" t="s">
        <v>894</v>
      </c>
      <c r="BC14" s="2110" t="s">
        <v>895</v>
      </c>
      <c r="BD14" s="3503"/>
      <c r="BE14" s="2110" t="s">
        <v>894</v>
      </c>
      <c r="BF14" s="2110" t="s">
        <v>895</v>
      </c>
      <c r="BG14" s="3503"/>
      <c r="BH14" s="2110" t="s">
        <v>894</v>
      </c>
      <c r="BI14" s="2110" t="s">
        <v>895</v>
      </c>
      <c r="BJ14" s="3503"/>
      <c r="BK14" s="2110" t="s">
        <v>894</v>
      </c>
      <c r="BL14" s="2110" t="s">
        <v>895</v>
      </c>
      <c r="BM14" s="3503"/>
      <c r="BN14" s="2110" t="s">
        <v>894</v>
      </c>
      <c r="BO14" s="2110" t="s">
        <v>895</v>
      </c>
      <c r="BP14" s="3503"/>
      <c r="BQ14" s="2110" t="s">
        <v>894</v>
      </c>
      <c r="BR14" s="2110" t="s">
        <v>895</v>
      </c>
      <c r="BS14" s="3503"/>
      <c r="BT14" s="2110" t="s">
        <v>894</v>
      </c>
      <c r="BU14" s="2110" t="s">
        <v>895</v>
      </c>
      <c r="BV14" s="3503"/>
      <c r="BW14" s="2110" t="s">
        <v>894</v>
      </c>
      <c r="BX14" s="2110" t="s">
        <v>895</v>
      </c>
      <c r="BY14" s="3503"/>
      <c r="BZ14" s="2110" t="s">
        <v>894</v>
      </c>
      <c r="CA14" s="2110" t="s">
        <v>895</v>
      </c>
      <c r="CB14" s="2110"/>
      <c r="CC14" s="2110" t="s">
        <v>894</v>
      </c>
      <c r="CD14" s="2110" t="s">
        <v>895</v>
      </c>
      <c r="CE14" s="2110"/>
      <c r="CF14" s="2110" t="s">
        <v>894</v>
      </c>
      <c r="CG14" s="2110" t="s">
        <v>895</v>
      </c>
      <c r="CH14" s="2110"/>
      <c r="CI14" s="2110" t="s">
        <v>894</v>
      </c>
      <c r="CJ14" s="2110" t="s">
        <v>895</v>
      </c>
      <c r="CK14" s="2110"/>
      <c r="CL14" s="2110" t="s">
        <v>894</v>
      </c>
      <c r="CM14" s="2110" t="s">
        <v>895</v>
      </c>
      <c r="CN14" s="2110"/>
      <c r="CO14" s="2110" t="s">
        <v>894</v>
      </c>
      <c r="CP14" s="2110" t="s">
        <v>895</v>
      </c>
      <c r="CQ14" s="2110"/>
      <c r="CR14" s="2110" t="s">
        <v>894</v>
      </c>
      <c r="CS14" s="2110" t="s">
        <v>895</v>
      </c>
      <c r="CT14" s="2110"/>
      <c r="CU14" s="2110" t="s">
        <v>894</v>
      </c>
      <c r="CV14" s="2110" t="s">
        <v>895</v>
      </c>
      <c r="CW14" s="2110"/>
      <c r="CX14" s="2110" t="s">
        <v>894</v>
      </c>
      <c r="CY14" s="2110" t="s">
        <v>895</v>
      </c>
      <c r="CZ14" s="2110"/>
      <c r="DA14" s="2110" t="s">
        <v>894</v>
      </c>
      <c r="DB14" s="2110" t="s">
        <v>895</v>
      </c>
      <c r="DC14" s="2110"/>
      <c r="DD14" s="2110" t="s">
        <v>894</v>
      </c>
      <c r="DE14" s="2110" t="s">
        <v>895</v>
      </c>
      <c r="DF14" s="2110"/>
      <c r="DG14" s="2110" t="s">
        <v>894</v>
      </c>
      <c r="DH14" s="2110" t="s">
        <v>895</v>
      </c>
      <c r="DI14" s="2110"/>
      <c r="DJ14" s="2110" t="s">
        <v>894</v>
      </c>
      <c r="DK14" s="2110" t="s">
        <v>895</v>
      </c>
      <c r="DL14" s="2110"/>
      <c r="DM14" s="2110" t="s">
        <v>894</v>
      </c>
      <c r="DN14" s="2110" t="s">
        <v>895</v>
      </c>
      <c r="DO14" s="2110"/>
      <c r="DP14" s="2110" t="s">
        <v>894</v>
      </c>
      <c r="DQ14" s="2110" t="s">
        <v>895</v>
      </c>
      <c r="DR14" s="2110"/>
      <c r="DS14" s="2110" t="s">
        <v>894</v>
      </c>
      <c r="DT14" s="2110" t="s">
        <v>895</v>
      </c>
      <c r="DU14" s="2110"/>
      <c r="DV14" s="2110" t="s">
        <v>894</v>
      </c>
      <c r="DW14" s="2110" t="s">
        <v>895</v>
      </c>
    </row>
    <row r="15" spans="1:127" x14ac:dyDescent="0.4">
      <c r="C15" s="301">
        <v>2015</v>
      </c>
      <c r="D15" s="1854">
        <v>5</v>
      </c>
      <c r="E15" s="1854">
        <v>0</v>
      </c>
      <c r="F15" s="1854">
        <v>5</v>
      </c>
      <c r="G15" s="1854"/>
      <c r="H15" s="1854">
        <v>1</v>
      </c>
      <c r="I15" s="1854">
        <v>0</v>
      </c>
      <c r="J15" s="1854">
        <v>1</v>
      </c>
      <c r="K15" s="1854"/>
      <c r="L15" s="1854">
        <v>0</v>
      </c>
      <c r="M15" s="1854">
        <v>0</v>
      </c>
      <c r="N15" s="1854">
        <v>0</v>
      </c>
      <c r="O15" s="1854"/>
      <c r="P15" s="1854">
        <v>0</v>
      </c>
      <c r="Q15" s="1854">
        <v>0</v>
      </c>
      <c r="R15" s="1854">
        <v>0</v>
      </c>
      <c r="S15" s="1854"/>
      <c r="T15" s="1854">
        <v>4</v>
      </c>
      <c r="U15" s="1854">
        <v>0</v>
      </c>
      <c r="V15" s="1854">
        <v>4</v>
      </c>
      <c r="W15" s="1854"/>
      <c r="X15" s="1854">
        <v>0</v>
      </c>
      <c r="Y15" s="1854">
        <v>0</v>
      </c>
      <c r="Z15" s="1854">
        <v>0</v>
      </c>
      <c r="AA15" s="1854"/>
      <c r="AB15" s="1854"/>
      <c r="AC15" s="1854">
        <v>0</v>
      </c>
      <c r="AD15" s="1854">
        <v>0</v>
      </c>
      <c r="AE15" s="1854">
        <v>0</v>
      </c>
      <c r="AF15" s="1854"/>
      <c r="AG15" s="1854">
        <v>0</v>
      </c>
      <c r="AH15" s="1854">
        <v>0</v>
      </c>
      <c r="AI15" s="1854">
        <v>0</v>
      </c>
      <c r="AJ15" s="1854"/>
      <c r="AK15" s="1854">
        <v>0</v>
      </c>
      <c r="AL15" s="1854">
        <v>0</v>
      </c>
      <c r="AM15" s="1854">
        <v>0</v>
      </c>
      <c r="AN15" s="1854"/>
      <c r="AO15" s="1854">
        <v>0</v>
      </c>
      <c r="AP15" s="1854">
        <v>0</v>
      </c>
      <c r="AQ15" s="1854">
        <v>0</v>
      </c>
      <c r="AR15" s="1854">
        <v>0</v>
      </c>
      <c r="AS15" s="1854">
        <v>0</v>
      </c>
      <c r="AT15" s="1854">
        <v>0</v>
      </c>
      <c r="AU15" s="1854">
        <v>0</v>
      </c>
      <c r="AV15" s="1854">
        <v>0</v>
      </c>
      <c r="AW15" s="1854">
        <v>0</v>
      </c>
      <c r="AX15" s="115">
        <v>0</v>
      </c>
      <c r="AY15" s="115">
        <v>0</v>
      </c>
      <c r="AZ15" s="115">
        <v>0</v>
      </c>
      <c r="BA15" s="115">
        <v>0</v>
      </c>
      <c r="BB15" s="115">
        <v>0</v>
      </c>
      <c r="BC15" s="115">
        <v>0</v>
      </c>
      <c r="BD15" s="115">
        <v>0</v>
      </c>
      <c r="BE15" s="115">
        <v>0</v>
      </c>
      <c r="BF15" s="115">
        <v>0</v>
      </c>
      <c r="BG15" s="115">
        <v>0</v>
      </c>
      <c r="BH15" s="115">
        <v>0</v>
      </c>
      <c r="BI15" s="115">
        <v>0</v>
      </c>
      <c r="BJ15" s="115">
        <v>0</v>
      </c>
      <c r="BK15" s="115">
        <v>0</v>
      </c>
      <c r="BL15" s="115">
        <v>0</v>
      </c>
      <c r="BM15" s="115">
        <v>0</v>
      </c>
      <c r="BN15" s="115">
        <v>0</v>
      </c>
      <c r="BO15" s="115">
        <v>0</v>
      </c>
      <c r="BP15" s="115">
        <v>0</v>
      </c>
      <c r="BQ15" s="115">
        <v>0</v>
      </c>
      <c r="BR15" s="115">
        <v>0</v>
      </c>
      <c r="BS15" s="115">
        <v>0</v>
      </c>
      <c r="BT15" s="115">
        <v>0</v>
      </c>
      <c r="BU15" s="115">
        <v>0</v>
      </c>
      <c r="BV15" s="115">
        <v>0</v>
      </c>
      <c r="BW15" s="115">
        <v>0</v>
      </c>
      <c r="BX15" s="115">
        <v>0</v>
      </c>
      <c r="BY15" s="115">
        <v>0</v>
      </c>
      <c r="BZ15" s="115">
        <v>0</v>
      </c>
      <c r="CA15" s="115">
        <v>0</v>
      </c>
      <c r="CB15" s="115">
        <v>0</v>
      </c>
      <c r="CC15" s="115">
        <v>0</v>
      </c>
      <c r="CD15" s="115">
        <v>0</v>
      </c>
    </row>
    <row r="16" spans="1:127" x14ac:dyDescent="0.4">
      <c r="C16" s="301">
        <v>2016</v>
      </c>
      <c r="D16" s="1854">
        <v>20</v>
      </c>
      <c r="E16" s="1854">
        <v>2</v>
      </c>
      <c r="F16" s="1854">
        <v>18</v>
      </c>
      <c r="G16" s="1854"/>
      <c r="H16" s="1854">
        <v>0</v>
      </c>
      <c r="I16" s="1854">
        <v>0</v>
      </c>
      <c r="J16" s="1854">
        <v>0</v>
      </c>
      <c r="K16" s="1854"/>
      <c r="L16" s="1854">
        <v>3</v>
      </c>
      <c r="M16" s="1854">
        <v>1</v>
      </c>
      <c r="N16" s="1854">
        <v>2</v>
      </c>
      <c r="O16" s="1854"/>
      <c r="P16" s="1854">
        <v>3</v>
      </c>
      <c r="Q16" s="1854">
        <v>1</v>
      </c>
      <c r="R16" s="1854">
        <v>2</v>
      </c>
      <c r="S16" s="1854"/>
      <c r="T16" s="1854">
        <v>12</v>
      </c>
      <c r="U16" s="1854">
        <v>0</v>
      </c>
      <c r="V16" s="1854">
        <v>12</v>
      </c>
      <c r="W16" s="1854"/>
      <c r="X16" s="1854">
        <v>2</v>
      </c>
      <c r="Y16" s="1854">
        <v>0</v>
      </c>
      <c r="Z16" s="1854">
        <v>2</v>
      </c>
      <c r="AA16" s="1854"/>
      <c r="AB16" s="1854"/>
      <c r="AC16" s="1854">
        <v>0</v>
      </c>
      <c r="AD16" s="1854">
        <v>0</v>
      </c>
      <c r="AE16" s="1854">
        <v>0</v>
      </c>
      <c r="AF16" s="1854"/>
      <c r="AG16" s="1854">
        <v>0</v>
      </c>
      <c r="AH16" s="1854">
        <v>0</v>
      </c>
      <c r="AI16" s="1854">
        <v>0</v>
      </c>
      <c r="AJ16" s="1854"/>
      <c r="AK16" s="1854">
        <v>0</v>
      </c>
      <c r="AL16" s="1854">
        <v>0</v>
      </c>
      <c r="AM16" s="1854">
        <v>0</v>
      </c>
      <c r="AN16" s="1854"/>
      <c r="AO16" s="1854">
        <v>0</v>
      </c>
      <c r="AP16" s="1854">
        <v>0</v>
      </c>
      <c r="AQ16" s="1854">
        <v>0</v>
      </c>
      <c r="AR16" s="1854">
        <v>0</v>
      </c>
      <c r="AS16" s="1854">
        <v>0</v>
      </c>
      <c r="AT16" s="1854">
        <v>0</v>
      </c>
      <c r="AU16" s="1854">
        <v>0</v>
      </c>
      <c r="AV16" s="1854">
        <v>0</v>
      </c>
      <c r="AW16" s="1854">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row>
    <row r="17" spans="3:127" x14ac:dyDescent="0.4">
      <c r="C17" s="301">
        <v>2017</v>
      </c>
      <c r="D17" s="1854">
        <v>39</v>
      </c>
      <c r="E17" s="1854">
        <v>7</v>
      </c>
      <c r="F17" s="1854">
        <v>32</v>
      </c>
      <c r="G17" s="1854"/>
      <c r="H17" s="115">
        <v>0</v>
      </c>
      <c r="I17" s="1854">
        <v>0</v>
      </c>
      <c r="J17" s="1854">
        <v>0</v>
      </c>
      <c r="K17" s="1854"/>
      <c r="L17" s="115">
        <v>9</v>
      </c>
      <c r="M17" s="1854">
        <v>4</v>
      </c>
      <c r="N17" s="1854">
        <v>5</v>
      </c>
      <c r="O17" s="1854"/>
      <c r="P17" s="115">
        <v>1</v>
      </c>
      <c r="Q17" s="1854">
        <v>0</v>
      </c>
      <c r="R17" s="1854">
        <v>1</v>
      </c>
      <c r="S17" s="1854"/>
      <c r="T17" s="115">
        <v>21</v>
      </c>
      <c r="U17" s="1854">
        <v>0</v>
      </c>
      <c r="V17" s="1854">
        <v>21</v>
      </c>
      <c r="W17" s="1854"/>
      <c r="X17" s="115">
        <v>1</v>
      </c>
      <c r="Y17" s="1854">
        <v>0</v>
      </c>
      <c r="Z17" s="1854">
        <v>1</v>
      </c>
      <c r="AA17" s="1854"/>
      <c r="AB17" s="1854"/>
      <c r="AC17" s="115">
        <v>1</v>
      </c>
      <c r="AD17" s="1854">
        <v>0</v>
      </c>
      <c r="AE17" s="1854">
        <v>1</v>
      </c>
      <c r="AF17" s="1854"/>
      <c r="AG17" s="115">
        <v>1</v>
      </c>
      <c r="AH17" s="1854">
        <v>0</v>
      </c>
      <c r="AI17" s="1854">
        <v>1</v>
      </c>
      <c r="AJ17" s="1854"/>
      <c r="AK17" s="115">
        <v>1</v>
      </c>
      <c r="AL17" s="1854">
        <v>0</v>
      </c>
      <c r="AM17" s="1854">
        <v>1</v>
      </c>
      <c r="AN17" s="1854"/>
      <c r="AO17" s="115">
        <v>4</v>
      </c>
      <c r="AP17" s="1854">
        <v>3</v>
      </c>
      <c r="AQ17" s="1854">
        <v>1</v>
      </c>
      <c r="AR17" s="115">
        <v>0</v>
      </c>
      <c r="AS17" s="1854">
        <v>0</v>
      </c>
      <c r="AT17" s="1854">
        <v>0</v>
      </c>
      <c r="AU17" s="115">
        <v>0</v>
      </c>
      <c r="AV17" s="1854">
        <v>0</v>
      </c>
      <c r="AW17" s="1854">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row>
    <row r="18" spans="3:127" x14ac:dyDescent="0.4">
      <c r="C18" s="301">
        <v>2018</v>
      </c>
      <c r="D18" s="1854">
        <v>30</v>
      </c>
      <c r="E18" s="1854">
        <v>10</v>
      </c>
      <c r="F18" s="1854">
        <v>20</v>
      </c>
      <c r="G18" s="1854"/>
      <c r="H18" s="115">
        <v>3</v>
      </c>
      <c r="I18" s="1854">
        <v>2</v>
      </c>
      <c r="J18" s="1854">
        <v>1</v>
      </c>
      <c r="K18" s="1854"/>
      <c r="L18" s="115">
        <v>4</v>
      </c>
      <c r="M18" s="1854">
        <v>2</v>
      </c>
      <c r="N18" s="1854">
        <v>2</v>
      </c>
      <c r="O18" s="1854"/>
      <c r="P18" s="115">
        <v>8</v>
      </c>
      <c r="Q18" s="1854">
        <v>3</v>
      </c>
      <c r="R18" s="1854">
        <v>5</v>
      </c>
      <c r="S18" s="1854"/>
      <c r="T18" s="115">
        <v>0</v>
      </c>
      <c r="U18" s="1854">
        <v>0</v>
      </c>
      <c r="V18" s="1854">
        <v>0</v>
      </c>
      <c r="W18" s="1854"/>
      <c r="X18" s="115">
        <v>0</v>
      </c>
      <c r="Y18" s="1854">
        <v>0</v>
      </c>
      <c r="Z18" s="1854">
        <v>0</v>
      </c>
      <c r="AA18" s="1854"/>
      <c r="AB18" s="1854"/>
      <c r="AC18" s="115">
        <v>1</v>
      </c>
      <c r="AD18" s="1854">
        <v>0</v>
      </c>
      <c r="AE18" s="1854">
        <v>1</v>
      </c>
      <c r="AF18" s="1854"/>
      <c r="AG18" s="115">
        <v>0</v>
      </c>
      <c r="AH18" s="1854">
        <v>0</v>
      </c>
      <c r="AI18" s="1854">
        <v>0</v>
      </c>
      <c r="AJ18" s="1854"/>
      <c r="AK18" s="115">
        <v>0</v>
      </c>
      <c r="AL18" s="1854">
        <v>0</v>
      </c>
      <c r="AM18" s="1854">
        <v>0</v>
      </c>
      <c r="AN18" s="1854"/>
      <c r="AO18" s="115">
        <v>10</v>
      </c>
      <c r="AP18" s="1854">
        <v>3</v>
      </c>
      <c r="AQ18" s="1854">
        <v>7</v>
      </c>
      <c r="AR18" s="115">
        <v>3</v>
      </c>
      <c r="AS18" s="1854">
        <v>0</v>
      </c>
      <c r="AT18" s="1854">
        <v>3</v>
      </c>
      <c r="AU18" s="115">
        <v>1</v>
      </c>
      <c r="AV18" s="1854">
        <v>0</v>
      </c>
      <c r="AW18" s="1854">
        <v>1</v>
      </c>
      <c r="AX18" s="115">
        <v>0</v>
      </c>
      <c r="AY18" s="115">
        <v>0</v>
      </c>
      <c r="AZ18" s="115">
        <v>0</v>
      </c>
      <c r="BA18" s="115">
        <v>0</v>
      </c>
      <c r="BB18" s="115">
        <v>0</v>
      </c>
      <c r="BC18" s="115">
        <v>0</v>
      </c>
      <c r="BD18" s="115">
        <v>0</v>
      </c>
      <c r="BE18" s="115">
        <v>0</v>
      </c>
      <c r="BF18" s="115">
        <v>0</v>
      </c>
      <c r="BG18" s="115">
        <v>0</v>
      </c>
      <c r="BH18" s="115">
        <v>0</v>
      </c>
      <c r="BI18" s="115">
        <v>0</v>
      </c>
      <c r="BJ18" s="115">
        <v>0</v>
      </c>
      <c r="BK18" s="115">
        <v>0</v>
      </c>
      <c r="BL18" s="115">
        <v>0</v>
      </c>
      <c r="BM18" s="115">
        <v>0</v>
      </c>
      <c r="BN18" s="115">
        <v>0</v>
      </c>
      <c r="BO18" s="115">
        <v>0</v>
      </c>
      <c r="BP18" s="115">
        <v>0</v>
      </c>
      <c r="BQ18" s="115">
        <v>0</v>
      </c>
      <c r="BR18" s="115">
        <v>0</v>
      </c>
      <c r="BS18" s="115">
        <v>0</v>
      </c>
      <c r="BT18" s="115">
        <v>0</v>
      </c>
      <c r="BU18" s="115">
        <v>0</v>
      </c>
      <c r="BV18" s="115">
        <v>0</v>
      </c>
      <c r="BW18" s="115">
        <v>0</v>
      </c>
      <c r="BX18" s="115">
        <v>0</v>
      </c>
      <c r="BY18" s="115">
        <v>0</v>
      </c>
      <c r="BZ18" s="115">
        <v>0</v>
      </c>
      <c r="CA18" s="115">
        <v>0</v>
      </c>
      <c r="CB18" s="115">
        <v>0</v>
      </c>
      <c r="CC18" s="115">
        <v>0</v>
      </c>
      <c r="CD18" s="115">
        <v>0</v>
      </c>
    </row>
    <row r="19" spans="3:127" x14ac:dyDescent="0.4">
      <c r="C19" s="301">
        <v>2019</v>
      </c>
      <c r="D19" s="1854">
        <v>53</v>
      </c>
      <c r="E19" s="1854">
        <v>22</v>
      </c>
      <c r="F19" s="1854">
        <v>31</v>
      </c>
      <c r="G19" s="1854"/>
      <c r="H19" s="115">
        <v>0</v>
      </c>
      <c r="I19" s="1854">
        <v>0</v>
      </c>
      <c r="J19" s="1854">
        <v>0</v>
      </c>
      <c r="K19" s="1854"/>
      <c r="L19" s="115">
        <v>8</v>
      </c>
      <c r="M19" s="115">
        <v>7</v>
      </c>
      <c r="N19" s="115">
        <v>1</v>
      </c>
      <c r="P19" s="115">
        <v>0</v>
      </c>
      <c r="Q19" s="1854">
        <v>0</v>
      </c>
      <c r="R19" s="1854">
        <v>0</v>
      </c>
      <c r="S19" s="1854"/>
      <c r="T19" s="115">
        <v>10</v>
      </c>
      <c r="U19" s="1854">
        <v>0</v>
      </c>
      <c r="V19" s="1854">
        <v>10</v>
      </c>
      <c r="W19" s="1854"/>
      <c r="X19" s="115">
        <v>0</v>
      </c>
      <c r="Y19" s="1854">
        <v>0</v>
      </c>
      <c r="Z19" s="1854">
        <v>0</v>
      </c>
      <c r="AA19" s="1854"/>
      <c r="AB19" s="1854"/>
      <c r="AC19" s="115">
        <v>0</v>
      </c>
      <c r="AD19" s="1854">
        <v>0</v>
      </c>
      <c r="AE19" s="1854">
        <v>0</v>
      </c>
      <c r="AF19" s="1854"/>
      <c r="AG19" s="115">
        <v>1</v>
      </c>
      <c r="AH19" s="1854">
        <v>0</v>
      </c>
      <c r="AI19" s="1854">
        <v>1</v>
      </c>
      <c r="AJ19" s="1854"/>
      <c r="AK19" s="115">
        <v>0</v>
      </c>
      <c r="AL19" s="1854">
        <v>0</v>
      </c>
      <c r="AM19" s="1854">
        <v>0</v>
      </c>
      <c r="AN19" s="1854"/>
      <c r="AO19" s="115">
        <v>25</v>
      </c>
      <c r="AP19" s="1854">
        <v>14</v>
      </c>
      <c r="AQ19" s="1854">
        <v>11</v>
      </c>
      <c r="AR19" s="115">
        <v>4</v>
      </c>
      <c r="AS19" s="1854">
        <v>0</v>
      </c>
      <c r="AT19" s="1854">
        <v>4</v>
      </c>
      <c r="AU19" s="115">
        <v>0</v>
      </c>
      <c r="AV19" s="1854">
        <v>0</v>
      </c>
      <c r="AW19" s="1854">
        <v>0</v>
      </c>
      <c r="AX19" s="115">
        <v>2</v>
      </c>
      <c r="AY19" s="115">
        <v>1</v>
      </c>
      <c r="AZ19" s="115">
        <v>1</v>
      </c>
      <c r="BA19" s="115">
        <v>1</v>
      </c>
      <c r="BB19" s="115">
        <v>0</v>
      </c>
      <c r="BC19" s="115">
        <v>1</v>
      </c>
      <c r="BD19" s="115">
        <v>2</v>
      </c>
      <c r="BE19" s="115">
        <v>0</v>
      </c>
      <c r="BF19" s="115">
        <v>2</v>
      </c>
      <c r="BG19" s="115">
        <v>0</v>
      </c>
      <c r="BH19" s="115">
        <v>0</v>
      </c>
      <c r="BI19" s="115">
        <v>0</v>
      </c>
      <c r="BJ19" s="115">
        <v>0</v>
      </c>
      <c r="BK19" s="115">
        <v>0</v>
      </c>
      <c r="BL19" s="115">
        <v>0</v>
      </c>
      <c r="BM19" s="115">
        <v>0</v>
      </c>
      <c r="BN19" s="115">
        <v>0</v>
      </c>
      <c r="BO19" s="115">
        <v>0</v>
      </c>
      <c r="BP19" s="115">
        <v>0</v>
      </c>
      <c r="BQ19" s="115">
        <v>0</v>
      </c>
      <c r="BR19" s="115">
        <v>0</v>
      </c>
      <c r="BS19" s="115">
        <v>0</v>
      </c>
      <c r="BT19" s="115">
        <v>0</v>
      </c>
      <c r="BU19" s="115">
        <v>0</v>
      </c>
      <c r="BV19" s="115">
        <v>0</v>
      </c>
      <c r="BW19" s="115">
        <v>0</v>
      </c>
      <c r="BX19" s="115">
        <v>0</v>
      </c>
      <c r="BY19" s="115">
        <v>0</v>
      </c>
      <c r="BZ19" s="115">
        <v>0</v>
      </c>
      <c r="CA19" s="115">
        <v>0</v>
      </c>
      <c r="CB19" s="115">
        <v>0</v>
      </c>
      <c r="CC19" s="115">
        <v>0</v>
      </c>
      <c r="CD19" s="115">
        <v>0</v>
      </c>
    </row>
    <row r="20" spans="3:127" x14ac:dyDescent="0.4">
      <c r="C20" s="301">
        <v>2020</v>
      </c>
      <c r="D20" s="115">
        <v>51</v>
      </c>
      <c r="E20" s="1854">
        <v>6</v>
      </c>
      <c r="F20" s="1854">
        <v>45</v>
      </c>
      <c r="G20" s="1854"/>
      <c r="H20" s="115">
        <v>10</v>
      </c>
      <c r="I20" s="1854">
        <v>3</v>
      </c>
      <c r="J20" s="1854">
        <v>7</v>
      </c>
      <c r="K20" s="1854"/>
      <c r="L20" s="115">
        <v>3</v>
      </c>
      <c r="M20" s="115">
        <v>3</v>
      </c>
      <c r="N20" s="115">
        <v>0</v>
      </c>
      <c r="P20" s="115">
        <v>0</v>
      </c>
      <c r="Q20" s="1854">
        <v>0</v>
      </c>
      <c r="R20" s="1854">
        <v>0</v>
      </c>
      <c r="S20" s="1854"/>
      <c r="T20" s="115">
        <v>15</v>
      </c>
      <c r="U20" s="1854">
        <v>0</v>
      </c>
      <c r="V20" s="1854">
        <v>15</v>
      </c>
      <c r="W20" s="1854"/>
      <c r="X20" s="115">
        <v>1</v>
      </c>
      <c r="Y20" s="1854">
        <v>0</v>
      </c>
      <c r="Z20" s="1854">
        <v>1</v>
      </c>
      <c r="AA20" s="1854"/>
      <c r="AB20" s="1854"/>
      <c r="AC20" s="115">
        <v>0</v>
      </c>
      <c r="AD20" s="1854">
        <v>0</v>
      </c>
      <c r="AE20" s="1854">
        <v>0</v>
      </c>
      <c r="AF20" s="1854"/>
      <c r="AG20" s="115">
        <v>0</v>
      </c>
      <c r="AH20" s="1854">
        <v>0</v>
      </c>
      <c r="AI20" s="1854">
        <v>0</v>
      </c>
      <c r="AJ20" s="1854"/>
      <c r="AK20" s="115">
        <v>1</v>
      </c>
      <c r="AL20" s="1854">
        <v>0</v>
      </c>
      <c r="AM20" s="1854">
        <v>0</v>
      </c>
      <c r="AN20" s="1854"/>
      <c r="AO20" s="115">
        <v>14</v>
      </c>
      <c r="AP20" s="1854">
        <v>4</v>
      </c>
      <c r="AQ20" s="1854">
        <v>10</v>
      </c>
      <c r="AR20" s="115">
        <v>0</v>
      </c>
      <c r="AS20" s="1854">
        <v>0</v>
      </c>
      <c r="AT20" s="1854">
        <v>0</v>
      </c>
      <c r="AU20" s="115">
        <v>0</v>
      </c>
      <c r="AV20" s="1854">
        <v>0</v>
      </c>
      <c r="AW20" s="1854">
        <v>0</v>
      </c>
      <c r="AX20" s="115">
        <v>0</v>
      </c>
      <c r="AY20" s="115">
        <v>0</v>
      </c>
      <c r="AZ20" s="115">
        <v>0</v>
      </c>
      <c r="BA20" s="115">
        <v>0</v>
      </c>
      <c r="BB20" s="115">
        <v>0</v>
      </c>
      <c r="BC20" s="115">
        <v>0</v>
      </c>
      <c r="BD20" s="115">
        <v>1</v>
      </c>
      <c r="BE20" s="115">
        <v>0</v>
      </c>
      <c r="BF20" s="115">
        <v>1</v>
      </c>
      <c r="BG20" s="115">
        <v>6</v>
      </c>
      <c r="BH20" s="115">
        <v>1</v>
      </c>
      <c r="BI20" s="115">
        <v>5</v>
      </c>
      <c r="BJ20" s="115">
        <v>0</v>
      </c>
      <c r="BK20" s="115">
        <v>0</v>
      </c>
      <c r="BL20" s="115">
        <v>0</v>
      </c>
      <c r="BM20" s="115">
        <v>0</v>
      </c>
      <c r="BN20" s="115">
        <v>0</v>
      </c>
      <c r="BO20" s="115">
        <v>0</v>
      </c>
      <c r="BP20" s="115">
        <v>0</v>
      </c>
      <c r="BQ20" s="115">
        <v>0</v>
      </c>
      <c r="BR20" s="115">
        <v>0</v>
      </c>
      <c r="BS20" s="115">
        <v>0</v>
      </c>
      <c r="BT20" s="115">
        <v>0</v>
      </c>
      <c r="BU20" s="115">
        <v>0</v>
      </c>
      <c r="BV20" s="115">
        <v>0</v>
      </c>
      <c r="BW20" s="115">
        <v>0</v>
      </c>
      <c r="BX20" s="115">
        <v>0</v>
      </c>
      <c r="BY20" s="115">
        <v>0</v>
      </c>
      <c r="BZ20" s="115">
        <v>0</v>
      </c>
      <c r="CA20" s="115">
        <v>0</v>
      </c>
      <c r="CB20" s="115">
        <v>0</v>
      </c>
      <c r="CC20" s="115">
        <v>0</v>
      </c>
      <c r="CD20" s="115">
        <v>0</v>
      </c>
    </row>
    <row r="21" spans="3:127" x14ac:dyDescent="0.4">
      <c r="C21" s="301">
        <v>2021</v>
      </c>
      <c r="D21" s="115">
        <f>E21+F21</f>
        <v>16</v>
      </c>
      <c r="E21" s="115">
        <f>I21+M21+Q21+U21+Y21+AD21+AH21+AL21+AP21+AS21+AV21+AY21+BB21+BE21+BH21+BK21+BN21+BQ21+BT21+BW21+BZ21+CC21</f>
        <v>0</v>
      </c>
      <c r="F21" s="115">
        <f t="shared" ref="F21:F22" si="0">J21+N21+R21+V21+Z21+AE21+AI21+AM21+AQ21+AT21+AW21+AZ21+BC21+BF21+BI21+BL21+BO21+BR21+BU21+BX21+CA21+CD21</f>
        <v>16</v>
      </c>
      <c r="H21" s="115">
        <f ca="1">H21:V233</f>
        <v>0</v>
      </c>
      <c r="I21" s="1854">
        <v>0</v>
      </c>
      <c r="J21" s="1854">
        <v>0</v>
      </c>
      <c r="K21" s="1854"/>
      <c r="L21" s="115">
        <v>1</v>
      </c>
      <c r="M21" s="1854">
        <v>0</v>
      </c>
      <c r="N21" s="1854">
        <v>1</v>
      </c>
      <c r="P21" s="115">
        <v>0</v>
      </c>
      <c r="Q21" s="1854">
        <v>0</v>
      </c>
      <c r="R21" s="1854">
        <v>0</v>
      </c>
      <c r="S21" s="1854"/>
      <c r="T21" s="115">
        <v>8</v>
      </c>
      <c r="U21" s="1854">
        <v>0</v>
      </c>
      <c r="V21" s="1854">
        <v>8</v>
      </c>
      <c r="W21" s="1854"/>
      <c r="X21" s="115">
        <v>1</v>
      </c>
      <c r="Y21" s="1854">
        <v>0</v>
      </c>
      <c r="Z21" s="1854">
        <v>1</v>
      </c>
      <c r="AA21" s="1854"/>
      <c r="AB21" s="1854"/>
      <c r="AC21" s="115">
        <v>1</v>
      </c>
      <c r="AD21" s="1854">
        <v>0</v>
      </c>
      <c r="AE21" s="1854">
        <v>1</v>
      </c>
      <c r="AF21" s="1854"/>
      <c r="AG21" s="115">
        <v>0</v>
      </c>
      <c r="AH21" s="1854">
        <v>0</v>
      </c>
      <c r="AI21" s="1854">
        <v>0</v>
      </c>
      <c r="AJ21" s="1854"/>
      <c r="AK21" s="115">
        <v>0</v>
      </c>
      <c r="AL21" s="1854">
        <v>0</v>
      </c>
      <c r="AM21" s="1854">
        <v>0</v>
      </c>
      <c r="AN21" s="1854"/>
      <c r="AO21" s="115">
        <v>1</v>
      </c>
      <c r="AP21" s="1854">
        <v>0</v>
      </c>
      <c r="AQ21" s="1854">
        <v>1</v>
      </c>
      <c r="AR21" s="115">
        <v>1</v>
      </c>
      <c r="AS21" s="1854">
        <v>0</v>
      </c>
      <c r="AT21" s="1854">
        <v>1</v>
      </c>
      <c r="AU21" s="115">
        <v>0</v>
      </c>
      <c r="AV21" s="1854">
        <v>0</v>
      </c>
      <c r="AW21" s="1854">
        <v>0</v>
      </c>
      <c r="AX21" s="115">
        <v>0</v>
      </c>
      <c r="AY21" s="115">
        <v>0</v>
      </c>
      <c r="AZ21" s="115">
        <v>0</v>
      </c>
      <c r="BA21" s="115">
        <v>0</v>
      </c>
      <c r="BB21" s="115">
        <v>0</v>
      </c>
      <c r="BC21" s="115">
        <v>0</v>
      </c>
      <c r="BD21" s="115">
        <v>0</v>
      </c>
      <c r="BE21" s="115">
        <v>0</v>
      </c>
      <c r="BF21" s="115">
        <v>0</v>
      </c>
      <c r="BG21" s="115">
        <v>3</v>
      </c>
      <c r="BH21" s="115">
        <v>0</v>
      </c>
      <c r="BI21" s="115">
        <v>3</v>
      </c>
      <c r="BJ21" s="115">
        <v>0</v>
      </c>
      <c r="BK21" s="115">
        <v>0</v>
      </c>
      <c r="BL21" s="115">
        <v>0</v>
      </c>
      <c r="BM21" s="115">
        <v>0</v>
      </c>
      <c r="BN21" s="115">
        <v>0</v>
      </c>
      <c r="BO21" s="115">
        <v>0</v>
      </c>
      <c r="BP21" s="115">
        <v>0</v>
      </c>
      <c r="BQ21" s="115">
        <v>0</v>
      </c>
      <c r="BR21" s="115">
        <v>0</v>
      </c>
      <c r="BS21" s="115">
        <v>0</v>
      </c>
      <c r="BT21" s="115">
        <v>0</v>
      </c>
      <c r="BU21" s="115">
        <v>0</v>
      </c>
      <c r="BV21" s="115">
        <v>0</v>
      </c>
      <c r="BW21" s="115">
        <v>0</v>
      </c>
      <c r="BX21" s="115">
        <v>0</v>
      </c>
      <c r="BY21" s="115">
        <v>0</v>
      </c>
      <c r="BZ21" s="115">
        <v>0</v>
      </c>
      <c r="CA21" s="115">
        <v>0</v>
      </c>
      <c r="CB21" s="115">
        <v>0</v>
      </c>
      <c r="CC21" s="115">
        <v>0</v>
      </c>
      <c r="CD21" s="115">
        <v>0</v>
      </c>
    </row>
    <row r="22" spans="3:127" ht="15" customHeight="1" x14ac:dyDescent="0.4">
      <c r="C22" s="301">
        <v>2022</v>
      </c>
      <c r="D22" s="115">
        <f t="shared" ref="D22" si="1">E22+F22</f>
        <v>43</v>
      </c>
      <c r="E22" s="115">
        <f t="shared" ref="E22" si="2">I22+M22+Q22+U22+Y22+AD22+AH22+AL22+AP22+AS22+AV22+AY22+BB22+BE22+BH22+BK22+BN22+BQ22+BT22+BW22+BZ22+CC22</f>
        <v>9</v>
      </c>
      <c r="F22" s="115">
        <f t="shared" si="0"/>
        <v>34</v>
      </c>
      <c r="H22" s="115">
        <v>0</v>
      </c>
      <c r="I22" s="1854">
        <v>0</v>
      </c>
      <c r="J22" s="1854">
        <v>0</v>
      </c>
      <c r="K22" s="1854"/>
      <c r="L22" s="115">
        <v>8</v>
      </c>
      <c r="M22" s="1854">
        <v>0</v>
      </c>
      <c r="N22" s="1854">
        <v>8</v>
      </c>
      <c r="P22" s="115">
        <v>0</v>
      </c>
      <c r="Q22" s="1854">
        <v>0</v>
      </c>
      <c r="R22" s="1854">
        <v>0</v>
      </c>
      <c r="S22" s="1854"/>
      <c r="T22" s="115">
        <v>13</v>
      </c>
      <c r="U22" s="1854">
        <v>0</v>
      </c>
      <c r="V22" s="1854">
        <v>13</v>
      </c>
      <c r="W22" s="1854"/>
      <c r="X22" s="115">
        <v>0</v>
      </c>
      <c r="Y22" s="1854">
        <v>0</v>
      </c>
      <c r="Z22" s="1854">
        <v>0</v>
      </c>
      <c r="AA22" s="1854"/>
      <c r="AB22" s="1854"/>
      <c r="AC22" s="115">
        <v>2</v>
      </c>
      <c r="AD22" s="1854">
        <v>0</v>
      </c>
      <c r="AE22" s="1854">
        <v>2</v>
      </c>
      <c r="AF22" s="1854"/>
      <c r="AG22" s="115">
        <v>0</v>
      </c>
      <c r="AH22" s="1854">
        <v>0</v>
      </c>
      <c r="AI22" s="1854">
        <v>0</v>
      </c>
      <c r="AJ22" s="1854"/>
      <c r="AK22" s="115">
        <v>0</v>
      </c>
      <c r="AL22" s="1854">
        <v>0</v>
      </c>
      <c r="AM22" s="1854">
        <v>0</v>
      </c>
      <c r="AN22" s="1854"/>
      <c r="AO22" s="115">
        <v>0</v>
      </c>
      <c r="AP22" s="1854">
        <v>0</v>
      </c>
      <c r="AQ22" s="1854">
        <v>0</v>
      </c>
      <c r="AR22" s="115">
        <v>1</v>
      </c>
      <c r="AS22" s="1854">
        <v>0</v>
      </c>
      <c r="AT22" s="1854">
        <v>1</v>
      </c>
      <c r="AU22" s="115">
        <v>0</v>
      </c>
      <c r="AV22" s="1854">
        <v>0</v>
      </c>
      <c r="AW22" s="1854">
        <v>0</v>
      </c>
      <c r="AX22" s="115">
        <v>0</v>
      </c>
      <c r="AY22" s="115">
        <v>0</v>
      </c>
      <c r="AZ22" s="115">
        <v>0</v>
      </c>
      <c r="BA22" s="115">
        <v>0</v>
      </c>
      <c r="BB22" s="115">
        <v>0</v>
      </c>
      <c r="BC22" s="115">
        <v>0</v>
      </c>
      <c r="BD22" s="115">
        <v>0</v>
      </c>
      <c r="BE22" s="115">
        <v>0</v>
      </c>
      <c r="BF22" s="115">
        <v>0</v>
      </c>
      <c r="BG22" s="115">
        <v>1</v>
      </c>
      <c r="BH22" s="115">
        <v>1</v>
      </c>
      <c r="BI22" s="115">
        <v>0</v>
      </c>
      <c r="BJ22" s="115">
        <v>1</v>
      </c>
      <c r="BK22" s="115">
        <v>0</v>
      </c>
      <c r="BL22" s="115">
        <v>1</v>
      </c>
      <c r="BM22" s="115">
        <v>1</v>
      </c>
      <c r="BN22" s="115">
        <v>0</v>
      </c>
      <c r="BO22" s="115">
        <v>1</v>
      </c>
      <c r="BP22" s="115">
        <v>1</v>
      </c>
      <c r="BQ22" s="115">
        <v>0</v>
      </c>
      <c r="BR22" s="115">
        <v>1</v>
      </c>
      <c r="BS22" s="115">
        <v>1</v>
      </c>
      <c r="BT22" s="115">
        <v>0</v>
      </c>
      <c r="BU22" s="115">
        <v>1</v>
      </c>
      <c r="BV22" s="115">
        <v>1</v>
      </c>
      <c r="BW22" s="115">
        <v>0</v>
      </c>
      <c r="BX22" s="115">
        <v>1</v>
      </c>
      <c r="BY22" s="115">
        <v>9</v>
      </c>
      <c r="BZ22" s="115">
        <v>5</v>
      </c>
      <c r="CA22" s="115">
        <v>4</v>
      </c>
      <c r="CB22" s="115">
        <v>4</v>
      </c>
      <c r="CC22" s="115">
        <v>3</v>
      </c>
      <c r="CD22" s="115">
        <v>1</v>
      </c>
    </row>
    <row r="23" spans="3:127" ht="15" customHeight="1" x14ac:dyDescent="0.4">
      <c r="C23" s="301">
        <v>2023</v>
      </c>
      <c r="D23" s="115">
        <f>SUM(E23:F23)</f>
        <v>56</v>
      </c>
      <c r="E23" s="115">
        <f>I23+M23+Q23+U23+Y23+AD23+AH23+AL23+AP23+AS23+AV23+AY23+BB23+BE23+BH23+BK23+BN23+BQ23+BT23+BW23+BZ23+CC23+CF23+CI23+CL23+CO23+CR23+CU23+CX23+DA23+DD23</f>
        <v>11</v>
      </c>
      <c r="F23" s="115">
        <f>SUM(J23+N23+R23+V23+Z23+AE23+AI23+AM23+AQ23+AT23+AW23+AZ23+BC23+BF23+BI23+BF23+BL23+BL23+BO23+BR23+BU23+BX23+CA23+CD23+CG23+CJ23+CP23+CS23+CV23+CY23+DB23+DE23+DH23+DK23+DN23+DQ23+DT23+DW23)</f>
        <v>45</v>
      </c>
      <c r="G23" s="1854"/>
      <c r="H23" s="115">
        <v>0</v>
      </c>
      <c r="I23" s="1854">
        <v>0</v>
      </c>
      <c r="J23" s="1854">
        <v>0</v>
      </c>
      <c r="K23" s="1854"/>
      <c r="L23" s="115">
        <f>N23+M23</f>
        <v>1</v>
      </c>
      <c r="M23" s="1854">
        <v>0</v>
      </c>
      <c r="N23" s="1854">
        <v>1</v>
      </c>
      <c r="P23" s="115">
        <v>0</v>
      </c>
      <c r="Q23" s="1854">
        <v>0</v>
      </c>
      <c r="R23" s="1854">
        <v>0</v>
      </c>
      <c r="S23" s="1854"/>
      <c r="T23" s="115">
        <f>V23+U23</f>
        <v>15</v>
      </c>
      <c r="U23" s="1854">
        <v>0</v>
      </c>
      <c r="V23" s="1854">
        <v>15</v>
      </c>
      <c r="W23" s="1854"/>
      <c r="X23" s="115">
        <v>0</v>
      </c>
      <c r="Y23" s="1854">
        <v>0</v>
      </c>
      <c r="Z23" s="1854">
        <v>0</v>
      </c>
      <c r="AA23" s="1854"/>
      <c r="AB23" s="1854"/>
      <c r="AC23" s="115">
        <f>AE23+AD23</f>
        <v>3</v>
      </c>
      <c r="AD23" s="115">
        <v>0</v>
      </c>
      <c r="AE23" s="115">
        <v>3</v>
      </c>
      <c r="AF23" s="1854"/>
      <c r="AG23" s="115">
        <v>0</v>
      </c>
      <c r="AH23" s="1854">
        <v>0</v>
      </c>
      <c r="AI23" s="1854">
        <v>0</v>
      </c>
      <c r="AJ23" s="1854"/>
      <c r="AK23" s="115">
        <v>0</v>
      </c>
      <c r="AL23" s="1854">
        <v>0</v>
      </c>
      <c r="AM23" s="1854">
        <v>0</v>
      </c>
      <c r="AN23" s="1854"/>
      <c r="AO23" s="115">
        <f>AQ23+AP23</f>
        <v>3</v>
      </c>
      <c r="AP23" s="1854">
        <v>1</v>
      </c>
      <c r="AQ23" s="1854">
        <v>2</v>
      </c>
      <c r="AR23" s="115">
        <v>0</v>
      </c>
      <c r="AS23" s="1854">
        <v>0</v>
      </c>
      <c r="AT23" s="1854">
        <v>0</v>
      </c>
      <c r="AU23" s="115">
        <v>0</v>
      </c>
      <c r="AV23" s="1854">
        <v>0</v>
      </c>
      <c r="AW23" s="1854">
        <v>0</v>
      </c>
      <c r="AX23" s="115">
        <v>0</v>
      </c>
      <c r="AY23" s="115">
        <v>0</v>
      </c>
      <c r="AZ23" s="115">
        <v>0</v>
      </c>
      <c r="BA23" s="115">
        <v>0</v>
      </c>
      <c r="BB23" s="115">
        <v>0</v>
      </c>
      <c r="BC23" s="115">
        <v>0</v>
      </c>
      <c r="BD23" s="115">
        <f>BF23+BE23</f>
        <v>2</v>
      </c>
      <c r="BE23" s="115">
        <v>0</v>
      </c>
      <c r="BF23" s="115">
        <v>2</v>
      </c>
      <c r="BG23" s="115">
        <v>0</v>
      </c>
      <c r="BH23" s="115">
        <v>0</v>
      </c>
      <c r="BI23" s="115">
        <v>0</v>
      </c>
      <c r="BJ23" s="115">
        <v>0</v>
      </c>
      <c r="BK23" s="115">
        <v>0</v>
      </c>
      <c r="BL23" s="115">
        <v>0</v>
      </c>
      <c r="BM23" s="115">
        <f>BO23+BN23</f>
        <v>1</v>
      </c>
      <c r="BN23" s="115">
        <v>1</v>
      </c>
      <c r="BO23" s="115">
        <v>0</v>
      </c>
      <c r="BP23" s="115">
        <v>0</v>
      </c>
      <c r="BQ23" s="115">
        <v>0</v>
      </c>
      <c r="BR23" s="115">
        <v>0</v>
      </c>
      <c r="BS23" s="115">
        <v>0</v>
      </c>
      <c r="BT23" s="115">
        <v>0</v>
      </c>
      <c r="BU23" s="115">
        <v>0</v>
      </c>
      <c r="BV23" s="115">
        <v>0</v>
      </c>
      <c r="BW23" s="115">
        <v>0</v>
      </c>
      <c r="BX23" s="115">
        <v>0</v>
      </c>
      <c r="BY23" s="115">
        <f>CA23+BZ23</f>
        <v>17</v>
      </c>
      <c r="BZ23" s="115">
        <v>9</v>
      </c>
      <c r="CA23" s="115">
        <v>8</v>
      </c>
      <c r="CB23" s="115">
        <v>0</v>
      </c>
      <c r="CC23" s="115">
        <v>0</v>
      </c>
      <c r="CD23" s="115">
        <v>0</v>
      </c>
      <c r="CE23" s="115">
        <f>CG23+CF23</f>
        <v>1</v>
      </c>
      <c r="CF23" s="115">
        <v>0</v>
      </c>
      <c r="CG23" s="115">
        <v>1</v>
      </c>
      <c r="CH23" s="115">
        <f>CJ23+CI23</f>
        <v>4</v>
      </c>
      <c r="CI23" s="115">
        <v>0</v>
      </c>
      <c r="CJ23" s="115">
        <v>4</v>
      </c>
      <c r="CK23" s="115">
        <f>CM23+CL23</f>
        <v>1</v>
      </c>
      <c r="CL23" s="115">
        <v>0</v>
      </c>
      <c r="CM23" s="115">
        <v>1</v>
      </c>
      <c r="CN23" s="115">
        <f>CP23+CO23</f>
        <v>1</v>
      </c>
      <c r="CO23" s="115">
        <v>0</v>
      </c>
      <c r="CP23" s="115">
        <v>1</v>
      </c>
      <c r="CQ23" s="115">
        <f>CS23+CR23</f>
        <v>2</v>
      </c>
      <c r="CR23" s="115">
        <v>0</v>
      </c>
      <c r="CS23" s="115">
        <v>2</v>
      </c>
      <c r="CT23" s="115">
        <f>CV23+CU23</f>
        <v>1</v>
      </c>
      <c r="CU23" s="115">
        <v>0</v>
      </c>
      <c r="CV23" s="115">
        <v>1</v>
      </c>
      <c r="CW23" s="115">
        <f>CY23+CX23</f>
        <v>1</v>
      </c>
      <c r="CX23" s="115">
        <v>0</v>
      </c>
      <c r="CY23" s="115">
        <v>1</v>
      </c>
      <c r="CZ23" s="115">
        <f>DB23+DA23</f>
        <v>1</v>
      </c>
      <c r="DA23" s="115">
        <v>0</v>
      </c>
      <c r="DB23" s="115">
        <v>1</v>
      </c>
      <c r="DC23" s="115">
        <f>DE23+DD23</f>
        <v>1</v>
      </c>
      <c r="DD23" s="115">
        <v>0</v>
      </c>
      <c r="DE23" s="115">
        <v>1</v>
      </c>
      <c r="DF23" s="115">
        <v>0</v>
      </c>
      <c r="DG23" s="115">
        <v>0</v>
      </c>
      <c r="DH23" s="115">
        <v>0</v>
      </c>
      <c r="DI23" s="115">
        <v>0</v>
      </c>
      <c r="DJ23" s="115">
        <v>0</v>
      </c>
      <c r="DK23" s="115">
        <v>0</v>
      </c>
      <c r="DL23" s="115">
        <v>0</v>
      </c>
      <c r="DM23" s="115">
        <v>0</v>
      </c>
      <c r="DN23" s="115">
        <v>0</v>
      </c>
      <c r="DO23" s="115">
        <v>0</v>
      </c>
      <c r="DP23" s="115">
        <v>0</v>
      </c>
      <c r="DQ23" s="115">
        <v>0</v>
      </c>
      <c r="DR23" s="115">
        <v>0</v>
      </c>
      <c r="DS23" s="115">
        <v>0</v>
      </c>
      <c r="DT23" s="115">
        <v>0</v>
      </c>
      <c r="DU23" s="115">
        <v>0</v>
      </c>
      <c r="DV23" s="115">
        <v>0</v>
      </c>
      <c r="DW23" s="115">
        <v>0</v>
      </c>
    </row>
    <row r="24" spans="3:127" ht="12.75" customHeight="1" x14ac:dyDescent="0.4">
      <c r="C24" s="732" t="s">
        <v>7457</v>
      </c>
      <c r="D24" s="120">
        <f>F24+E24</f>
        <v>45</v>
      </c>
      <c r="E24" s="120">
        <f>I24+M24+Q24+U24+Y24+AD24+AH24+AL24+AP24+AS24+AV24+AY24+BB24+BE24+BH24+BK24+BN24+BQ24+BT24+BW24+BZ24+CC24+CF24+CI24+CL24+CO24+CR24+CU24+CX24+DA24+DD24+DG24+DJ24+DM24+DP24+DS24+DV24</f>
        <v>10</v>
      </c>
      <c r="F24" s="120">
        <f>J24+N24+R24+V24+Z24+AE24+AI24+AM24+AQ24+AT24+AW24+AZ24+BC24+BF24+BI24+BL24+BO24+BR24+BU24+BX24+CA24+CD24+CG24+CJ24+CM24+CP24+CS24+CV24+CY24+DB24+DE24+DH24+DK24+DN24+DQ24+DT24+DW24</f>
        <v>35</v>
      </c>
      <c r="G24" s="2107"/>
      <c r="H24" s="120">
        <v>0</v>
      </c>
      <c r="I24" s="2107">
        <v>0</v>
      </c>
      <c r="J24" s="2107">
        <v>0</v>
      </c>
      <c r="K24" s="2107"/>
      <c r="L24" s="120">
        <f>N24+M24</f>
        <v>5</v>
      </c>
      <c r="M24" s="2107">
        <v>0</v>
      </c>
      <c r="N24" s="2107">
        <v>5</v>
      </c>
      <c r="O24" s="120"/>
      <c r="P24" s="120">
        <v>0</v>
      </c>
      <c r="Q24" s="2107">
        <v>0</v>
      </c>
      <c r="R24" s="2107">
        <v>0</v>
      </c>
      <c r="S24" s="2107"/>
      <c r="T24" s="120">
        <f>V24+U24</f>
        <v>11</v>
      </c>
      <c r="U24" s="2107">
        <v>1</v>
      </c>
      <c r="V24" s="2107">
        <v>10</v>
      </c>
      <c r="W24" s="2107"/>
      <c r="X24" s="120">
        <v>0</v>
      </c>
      <c r="Y24" s="2107">
        <v>0</v>
      </c>
      <c r="Z24" s="2107">
        <v>0</v>
      </c>
      <c r="AA24" s="2107"/>
      <c r="AB24" s="2107"/>
      <c r="AC24" s="120">
        <f>AE24+AD24</f>
        <v>2</v>
      </c>
      <c r="AD24" s="120">
        <v>0</v>
      </c>
      <c r="AE24" s="120">
        <v>2</v>
      </c>
      <c r="AF24" s="2107"/>
      <c r="AG24" s="120">
        <v>0</v>
      </c>
      <c r="AH24" s="2107">
        <v>0</v>
      </c>
      <c r="AI24" s="2107">
        <v>0</v>
      </c>
      <c r="AJ24" s="2107"/>
      <c r="AK24" s="120">
        <v>0</v>
      </c>
      <c r="AL24" s="2107">
        <v>0</v>
      </c>
      <c r="AM24" s="2107">
        <v>0</v>
      </c>
      <c r="AN24" s="2107"/>
      <c r="AO24" s="120">
        <f>AQ24+AP24</f>
        <v>7</v>
      </c>
      <c r="AP24" s="2107">
        <v>6</v>
      </c>
      <c r="AQ24" s="2107">
        <v>1</v>
      </c>
      <c r="AR24" s="120">
        <f>AT24+AS24</f>
        <v>1</v>
      </c>
      <c r="AS24" s="2107">
        <v>0</v>
      </c>
      <c r="AT24" s="2107">
        <v>1</v>
      </c>
      <c r="AU24" s="120">
        <v>0</v>
      </c>
      <c r="AV24" s="2107">
        <v>0</v>
      </c>
      <c r="AW24" s="2107">
        <v>0</v>
      </c>
      <c r="AX24" s="120">
        <v>0</v>
      </c>
      <c r="AY24" s="120">
        <v>0</v>
      </c>
      <c r="AZ24" s="120">
        <v>0</v>
      </c>
      <c r="BA24" s="120">
        <v>0</v>
      </c>
      <c r="BB24" s="120">
        <v>0</v>
      </c>
      <c r="BC24" s="120">
        <v>0</v>
      </c>
      <c r="BD24" s="120">
        <v>0</v>
      </c>
      <c r="BE24" s="120">
        <v>0</v>
      </c>
      <c r="BF24" s="120">
        <v>0</v>
      </c>
      <c r="BG24" s="120">
        <v>0</v>
      </c>
      <c r="BH24" s="120">
        <v>0</v>
      </c>
      <c r="BI24" s="120">
        <v>0</v>
      </c>
      <c r="BJ24" s="120">
        <v>0</v>
      </c>
      <c r="BK24" s="120">
        <v>0</v>
      </c>
      <c r="BL24" s="120">
        <v>0</v>
      </c>
      <c r="BM24" s="120">
        <f>BO24+BN24</f>
        <v>2</v>
      </c>
      <c r="BN24" s="120">
        <v>1</v>
      </c>
      <c r="BO24" s="120">
        <v>1</v>
      </c>
      <c r="BP24" s="120">
        <v>0</v>
      </c>
      <c r="BQ24" s="120">
        <v>0</v>
      </c>
      <c r="BR24" s="120">
        <v>0</v>
      </c>
      <c r="BS24" s="120">
        <v>0</v>
      </c>
      <c r="BT24" s="120">
        <v>0</v>
      </c>
      <c r="BU24" s="120">
        <v>0</v>
      </c>
      <c r="BV24" s="120">
        <v>0</v>
      </c>
      <c r="BW24" s="120">
        <v>0</v>
      </c>
      <c r="BX24" s="120">
        <v>0</v>
      </c>
      <c r="BY24" s="120">
        <f>CA24+BZ24</f>
        <v>7</v>
      </c>
      <c r="BZ24" s="120">
        <v>2</v>
      </c>
      <c r="CA24" s="120">
        <v>5</v>
      </c>
      <c r="CB24" s="120">
        <v>0</v>
      </c>
      <c r="CC24" s="120">
        <v>0</v>
      </c>
      <c r="CD24" s="120">
        <v>0</v>
      </c>
      <c r="CE24" s="120">
        <v>0</v>
      </c>
      <c r="CF24" s="120">
        <v>0</v>
      </c>
      <c r="CG24" s="120">
        <v>0</v>
      </c>
      <c r="CH24" s="120">
        <v>0</v>
      </c>
      <c r="CI24" s="120">
        <v>0</v>
      </c>
      <c r="CJ24" s="120">
        <v>0</v>
      </c>
      <c r="CK24" s="120">
        <v>0</v>
      </c>
      <c r="CL24" s="120">
        <v>0</v>
      </c>
      <c r="CM24" s="120">
        <v>0</v>
      </c>
      <c r="CN24" s="120">
        <f>CP24+CO24</f>
        <v>1</v>
      </c>
      <c r="CO24" s="120">
        <v>0</v>
      </c>
      <c r="CP24" s="120">
        <v>1</v>
      </c>
      <c r="CQ24" s="120">
        <v>0</v>
      </c>
      <c r="CR24" s="120">
        <v>0</v>
      </c>
      <c r="CS24" s="120">
        <v>0</v>
      </c>
      <c r="CT24" s="120">
        <v>0</v>
      </c>
      <c r="CU24" s="120">
        <v>0</v>
      </c>
      <c r="CV24" s="120">
        <v>0</v>
      </c>
      <c r="CW24" s="120">
        <f>CY24+CX24</f>
        <v>1</v>
      </c>
      <c r="CX24" s="120">
        <v>0</v>
      </c>
      <c r="CY24" s="120">
        <v>1</v>
      </c>
      <c r="CZ24" s="120">
        <f>DB24+DA24</f>
        <v>1</v>
      </c>
      <c r="DA24" s="120">
        <v>0</v>
      </c>
      <c r="DB24" s="120">
        <v>1</v>
      </c>
      <c r="DC24" s="120">
        <f>DE24+DD24</f>
        <v>1</v>
      </c>
      <c r="DD24" s="120">
        <v>0</v>
      </c>
      <c r="DE24" s="120">
        <v>1</v>
      </c>
      <c r="DF24" s="120">
        <f>DH24+DG24</f>
        <v>1</v>
      </c>
      <c r="DG24" s="120">
        <v>0</v>
      </c>
      <c r="DH24" s="120">
        <v>1</v>
      </c>
      <c r="DI24" s="120">
        <f>DK24+DJ24</f>
        <v>1</v>
      </c>
      <c r="DJ24" s="120">
        <v>0</v>
      </c>
      <c r="DK24" s="120">
        <v>1</v>
      </c>
      <c r="DL24" s="120">
        <f>DN24+DM24</f>
        <v>1</v>
      </c>
      <c r="DM24" s="120">
        <v>0</v>
      </c>
      <c r="DN24" s="120">
        <v>1</v>
      </c>
      <c r="DO24" s="120">
        <f>DQ24+DP24</f>
        <v>1</v>
      </c>
      <c r="DP24" s="120">
        <v>0</v>
      </c>
      <c r="DQ24" s="120">
        <v>1</v>
      </c>
      <c r="DR24" s="120">
        <f>DT24+DS24</f>
        <v>1</v>
      </c>
      <c r="DS24" s="120">
        <v>0</v>
      </c>
      <c r="DT24" s="120">
        <v>1</v>
      </c>
      <c r="DU24" s="120">
        <f>DW24+DV24</f>
        <v>1</v>
      </c>
      <c r="DV24" s="120">
        <v>0</v>
      </c>
      <c r="DW24" s="120">
        <v>1</v>
      </c>
    </row>
    <row r="25" spans="3:127" x14ac:dyDescent="0.4">
      <c r="C25" s="115" t="s">
        <v>195</v>
      </c>
    </row>
    <row r="26" spans="3:127" x14ac:dyDescent="0.4">
      <c r="C26" s="155" t="s">
        <v>7458</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row>
    <row r="27" spans="3:127" x14ac:dyDescent="0.4">
      <c r="C27" s="115" t="s">
        <v>7459</v>
      </c>
      <c r="AR27" s="3133"/>
      <c r="AS27" s="3133"/>
      <c r="AT27" s="3133"/>
      <c r="AU27" s="3133"/>
      <c r="AV27" s="3133"/>
      <c r="AW27" s="3133"/>
      <c r="AX27" s="3133"/>
      <c r="AY27" s="3133"/>
      <c r="AZ27" s="3133"/>
      <c r="BA27" s="3133"/>
      <c r="BB27" s="3133"/>
      <c r="BC27" s="3133"/>
      <c r="BD27" s="3133"/>
      <c r="BE27" s="3133"/>
      <c r="BF27" s="3133"/>
      <c r="BG27" s="243"/>
      <c r="BH27" s="243"/>
      <c r="BI27" s="243"/>
    </row>
    <row r="28" spans="3:127" ht="19.5" x14ac:dyDescent="0.4">
      <c r="C28" s="115" t="s">
        <v>7460</v>
      </c>
    </row>
    <row r="29" spans="3:127" ht="12.75" customHeight="1" x14ac:dyDescent="0.4">
      <c r="C29" s="155" t="s">
        <v>7461</v>
      </c>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row>
    <row r="30" spans="3:127" ht="12.75" customHeight="1" x14ac:dyDescent="0.4">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row>
    <row r="31" spans="3:127" ht="12.75" customHeight="1" x14ac:dyDescent="0.4">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row>
    <row r="32" spans="3:127" ht="19.5" x14ac:dyDescent="0.4">
      <c r="C32" s="138" t="s">
        <v>7462</v>
      </c>
      <c r="D32" s="138"/>
      <c r="E32" s="138"/>
      <c r="F32" s="138"/>
      <c r="G32" s="138"/>
      <c r="H32" s="138"/>
      <c r="I32" s="138"/>
      <c r="J32" s="138"/>
      <c r="K32" s="138"/>
      <c r="L32" s="138"/>
      <c r="M32" s="138"/>
    </row>
    <row r="33" spans="3:13" ht="19.5" x14ac:dyDescent="0.4">
      <c r="C33" s="138" t="s">
        <v>7463</v>
      </c>
      <c r="D33" s="138"/>
      <c r="E33" s="138"/>
      <c r="F33" s="138"/>
      <c r="G33" s="138"/>
      <c r="H33" s="138"/>
      <c r="I33" s="138"/>
      <c r="J33" s="138"/>
      <c r="K33" s="138"/>
      <c r="L33" s="138"/>
      <c r="M33" s="138"/>
    </row>
    <row r="49" spans="3:67" x14ac:dyDescent="0.4">
      <c r="C49" s="115" t="s">
        <v>7461</v>
      </c>
    </row>
    <row r="53" spans="3:67" ht="19.5" x14ac:dyDescent="0.4">
      <c r="C53" s="187" t="s">
        <v>7464</v>
      </c>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row>
    <row r="54" spans="3:67" ht="12" customHeight="1" x14ac:dyDescent="0.4">
      <c r="C54" s="1440"/>
      <c r="D54" s="1440"/>
      <c r="E54" s="1440"/>
      <c r="F54" s="1440"/>
      <c r="G54" s="1440"/>
      <c r="H54" s="1440"/>
      <c r="I54" s="1440"/>
      <c r="J54" s="1440"/>
      <c r="K54" s="1440"/>
      <c r="L54" s="1440"/>
      <c r="M54" s="1440"/>
      <c r="N54" s="1440"/>
      <c r="O54" s="1440"/>
      <c r="P54" s="1440"/>
      <c r="Q54" s="1440"/>
      <c r="R54" s="1440"/>
      <c r="S54" s="1440"/>
      <c r="T54" s="1440"/>
      <c r="U54" s="1440"/>
      <c r="V54" s="1440"/>
      <c r="W54" s="1440"/>
      <c r="X54" s="1440"/>
      <c r="Y54" s="1440"/>
      <c r="Z54" s="1440"/>
      <c r="AA54" s="1440"/>
      <c r="AB54" s="1440"/>
      <c r="AC54" s="1440"/>
      <c r="AD54" s="1440"/>
      <c r="AE54" s="1440"/>
      <c r="AF54" s="1440"/>
      <c r="AG54" s="1440"/>
      <c r="AH54" s="1440"/>
      <c r="AI54" s="1440"/>
      <c r="AJ54" s="1440"/>
      <c r="AK54" s="1440"/>
      <c r="AL54" s="1440"/>
      <c r="AM54" s="1440"/>
      <c r="AN54" s="1440"/>
      <c r="AO54" s="1440"/>
      <c r="AP54" s="1440"/>
      <c r="AQ54" s="1440"/>
      <c r="AR54" s="1440"/>
      <c r="AS54" s="1440"/>
      <c r="AT54" s="1440"/>
      <c r="AU54" s="1440"/>
      <c r="AV54" s="1440"/>
      <c r="AW54" s="1440"/>
      <c r="AX54" s="1440"/>
      <c r="AY54" s="1440"/>
      <c r="AZ54" s="1440"/>
      <c r="BA54" s="1440"/>
      <c r="BB54" s="1440"/>
      <c r="BC54" s="1440"/>
      <c r="BD54" s="1440"/>
      <c r="BE54" s="1440"/>
      <c r="BF54" s="1440"/>
      <c r="BG54" s="1440"/>
      <c r="BH54" s="1440"/>
      <c r="BI54" s="1440"/>
      <c r="BJ54" s="1440"/>
      <c r="BK54" s="1440"/>
    </row>
    <row r="55" spans="3:67" x14ac:dyDescent="0.4">
      <c r="C55" s="3502" t="s">
        <v>46</v>
      </c>
      <c r="D55" s="2164"/>
      <c r="E55" s="2164"/>
      <c r="F55" s="2164"/>
      <c r="G55" s="2166"/>
      <c r="H55" s="3512" t="s">
        <v>7343</v>
      </c>
      <c r="I55" s="3512"/>
      <c r="J55" s="3512"/>
      <c r="K55" s="3512"/>
      <c r="L55" s="3512"/>
      <c r="M55" s="3512"/>
      <c r="N55" s="3512"/>
      <c r="O55" s="3512"/>
      <c r="P55" s="3512"/>
      <c r="Q55" s="3512"/>
      <c r="R55" s="3512"/>
      <c r="S55" s="3512"/>
      <c r="T55" s="3512"/>
      <c r="U55" s="3512"/>
      <c r="V55" s="3512"/>
      <c r="W55" s="3512"/>
      <c r="X55" s="3512"/>
      <c r="Y55" s="3512"/>
      <c r="Z55" s="3512"/>
      <c r="AA55" s="3512"/>
      <c r="AB55" s="3512"/>
      <c r="AC55" s="3512"/>
      <c r="AD55" s="3512"/>
      <c r="AE55" s="3512"/>
      <c r="AF55" s="3512"/>
      <c r="AG55" s="3512"/>
      <c r="AH55" s="3512"/>
      <c r="AI55" s="3512"/>
      <c r="AJ55" s="3512"/>
      <c r="AK55" s="3512"/>
      <c r="AL55" s="3512"/>
      <c r="AM55" s="3512"/>
      <c r="AN55" s="3512"/>
      <c r="AO55" s="3512"/>
      <c r="AP55" s="3512"/>
      <c r="AQ55" s="3512"/>
      <c r="AR55" s="3512"/>
      <c r="AS55" s="3512"/>
      <c r="AT55" s="3512"/>
      <c r="AU55" s="3512"/>
      <c r="AV55" s="3512"/>
      <c r="AW55" s="3512"/>
      <c r="AX55" s="3512"/>
      <c r="AY55" s="3512"/>
      <c r="AZ55" s="3512"/>
      <c r="BA55" s="3512"/>
      <c r="BB55" s="3512"/>
      <c r="BC55" s="3512"/>
      <c r="BD55" s="3512"/>
      <c r="BE55" s="3512"/>
      <c r="BF55" s="3512"/>
      <c r="BG55" s="3512"/>
      <c r="BH55" s="3512"/>
      <c r="BI55" s="3512"/>
      <c r="BJ55" s="3512"/>
      <c r="BK55" s="3512"/>
      <c r="BL55" s="3512"/>
      <c r="BM55" s="3512"/>
      <c r="BN55" s="3512"/>
      <c r="BO55" s="3512"/>
    </row>
    <row r="56" spans="3:67" x14ac:dyDescent="0.4">
      <c r="C56" s="3511"/>
      <c r="D56" s="3512" t="s">
        <v>47</v>
      </c>
      <c r="E56" s="3512"/>
      <c r="F56" s="3512"/>
      <c r="G56" s="2108"/>
      <c r="H56" s="3503" t="s">
        <v>7465</v>
      </c>
      <c r="I56" s="3503"/>
      <c r="J56" s="3503"/>
      <c r="K56" s="2108"/>
      <c r="L56" s="3503" t="s">
        <v>5765</v>
      </c>
      <c r="M56" s="3503"/>
      <c r="N56" s="3503"/>
      <c r="O56" s="2108"/>
      <c r="P56" s="3503" t="s">
        <v>4657</v>
      </c>
      <c r="Q56" s="3503"/>
      <c r="R56" s="3503"/>
      <c r="S56" s="2108"/>
      <c r="T56" s="3503" t="s">
        <v>5770</v>
      </c>
      <c r="U56" s="3503"/>
      <c r="V56" s="3503"/>
      <c r="W56" s="2108"/>
      <c r="X56" s="3503" t="s">
        <v>5771</v>
      </c>
      <c r="Y56" s="3503"/>
      <c r="Z56" s="3503"/>
      <c r="AA56" s="2108"/>
      <c r="AB56" s="3503" t="s">
        <v>5773</v>
      </c>
      <c r="AC56" s="3503"/>
      <c r="AD56" s="3503"/>
      <c r="AE56" s="2108"/>
      <c r="AF56" s="3503" t="s">
        <v>5774</v>
      </c>
      <c r="AG56" s="3503"/>
      <c r="AH56" s="3503"/>
      <c r="AI56" s="2108"/>
      <c r="AJ56" s="3503" t="s">
        <v>5776</v>
      </c>
      <c r="AK56" s="3503"/>
      <c r="AL56" s="3503"/>
      <c r="AM56" s="2108"/>
      <c r="AN56" s="3503" t="s">
        <v>5775</v>
      </c>
      <c r="AO56" s="3503"/>
      <c r="AP56" s="3503"/>
      <c r="AQ56" s="2108"/>
      <c r="AR56" s="3503" t="s">
        <v>5781</v>
      </c>
      <c r="AS56" s="3503"/>
      <c r="AT56" s="3503"/>
      <c r="AU56" s="2108"/>
      <c r="AV56" s="3503" t="s">
        <v>7351</v>
      </c>
      <c r="AW56" s="3503"/>
      <c r="AX56" s="3503"/>
      <c r="AY56" s="2108"/>
      <c r="AZ56" s="3503" t="s">
        <v>7466</v>
      </c>
      <c r="BA56" s="3503"/>
      <c r="BB56" s="3503"/>
      <c r="BC56" s="2108"/>
      <c r="BD56" s="2108"/>
      <c r="BE56" s="3503" t="s">
        <v>7467</v>
      </c>
      <c r="BF56" s="3503"/>
      <c r="BG56" s="3503"/>
      <c r="BH56" s="2108"/>
      <c r="BI56" s="3503" t="s">
        <v>5795</v>
      </c>
      <c r="BJ56" s="3503"/>
      <c r="BK56" s="3503"/>
      <c r="BM56" s="3503" t="s">
        <v>5768</v>
      </c>
      <c r="BN56" s="3503"/>
      <c r="BO56" s="3503"/>
    </row>
    <row r="57" spans="3:67" x14ac:dyDescent="0.4">
      <c r="C57" s="3511"/>
      <c r="D57" s="3511" t="s">
        <v>47</v>
      </c>
      <c r="E57" s="3512" t="s">
        <v>48</v>
      </c>
      <c r="F57" s="3512"/>
      <c r="G57" s="2108"/>
      <c r="H57" s="3511" t="s">
        <v>47</v>
      </c>
      <c r="I57" s="3512" t="s">
        <v>48</v>
      </c>
      <c r="J57" s="3512"/>
      <c r="K57" s="2108"/>
      <c r="L57" s="3511" t="s">
        <v>47</v>
      </c>
      <c r="M57" s="3512" t="s">
        <v>48</v>
      </c>
      <c r="N57" s="3512"/>
      <c r="O57" s="2108"/>
      <c r="P57" s="3511" t="s">
        <v>47</v>
      </c>
      <c r="Q57" s="3512" t="s">
        <v>48</v>
      </c>
      <c r="R57" s="3512"/>
      <c r="S57" s="2108"/>
      <c r="T57" s="3511" t="s">
        <v>47</v>
      </c>
      <c r="U57" s="3512" t="s">
        <v>48</v>
      </c>
      <c r="V57" s="3512"/>
      <c r="W57" s="2108"/>
      <c r="X57" s="3511" t="s">
        <v>47</v>
      </c>
      <c r="Y57" s="3512" t="s">
        <v>48</v>
      </c>
      <c r="Z57" s="3512"/>
      <c r="AA57" s="2108"/>
      <c r="AB57" s="3511" t="s">
        <v>47</v>
      </c>
      <c r="AC57" s="3512" t="s">
        <v>48</v>
      </c>
      <c r="AD57" s="3512"/>
      <c r="AE57" s="2108"/>
      <c r="AF57" s="3511" t="s">
        <v>47</v>
      </c>
      <c r="AG57" s="3512" t="s">
        <v>48</v>
      </c>
      <c r="AH57" s="3512"/>
      <c r="AI57" s="2108"/>
      <c r="AJ57" s="3511" t="s">
        <v>47</v>
      </c>
      <c r="AK57" s="3512" t="s">
        <v>48</v>
      </c>
      <c r="AL57" s="3512"/>
      <c r="AM57" s="2108"/>
      <c r="AN57" s="3511" t="s">
        <v>47</v>
      </c>
      <c r="AO57" s="3512" t="s">
        <v>48</v>
      </c>
      <c r="AP57" s="3512"/>
      <c r="AQ57" s="2108"/>
      <c r="AR57" s="3511" t="s">
        <v>47</v>
      </c>
      <c r="AS57" s="3512" t="s">
        <v>48</v>
      </c>
      <c r="AT57" s="3512"/>
      <c r="AU57" s="2108"/>
      <c r="AV57" s="3511" t="s">
        <v>47</v>
      </c>
      <c r="AW57" s="3512" t="s">
        <v>48</v>
      </c>
      <c r="AX57" s="3512"/>
      <c r="AY57" s="2108"/>
      <c r="AZ57" s="3511" t="s">
        <v>47</v>
      </c>
      <c r="BA57" s="3512" t="s">
        <v>48</v>
      </c>
      <c r="BB57" s="3512"/>
      <c r="BC57" s="2108"/>
      <c r="BD57" s="2108"/>
      <c r="BE57" s="3511" t="s">
        <v>47</v>
      </c>
      <c r="BF57" s="3512" t="s">
        <v>48</v>
      </c>
      <c r="BG57" s="3512"/>
      <c r="BH57" s="2108"/>
      <c r="BI57" s="3511" t="s">
        <v>47</v>
      </c>
      <c r="BJ57" s="3512" t="s">
        <v>48</v>
      </c>
      <c r="BK57" s="3512"/>
      <c r="BM57" s="3511" t="s">
        <v>47</v>
      </c>
      <c r="BN57" s="3512" t="s">
        <v>48</v>
      </c>
      <c r="BO57" s="3512"/>
    </row>
    <row r="58" spans="3:67" x14ac:dyDescent="0.4">
      <c r="C58" s="3503"/>
      <c r="D58" s="3503"/>
      <c r="E58" s="2110" t="s">
        <v>894</v>
      </c>
      <c r="F58" s="2110" t="s">
        <v>895</v>
      </c>
      <c r="G58" s="2110"/>
      <c r="H58" s="3503"/>
      <c r="I58" s="2110" t="s">
        <v>894</v>
      </c>
      <c r="J58" s="2110" t="s">
        <v>895</v>
      </c>
      <c r="K58" s="2110"/>
      <c r="L58" s="3503"/>
      <c r="M58" s="2110" t="s">
        <v>894</v>
      </c>
      <c r="N58" s="2110" t="s">
        <v>895</v>
      </c>
      <c r="O58" s="2110"/>
      <c r="P58" s="3503"/>
      <c r="Q58" s="2110" t="s">
        <v>894</v>
      </c>
      <c r="R58" s="2110" t="s">
        <v>895</v>
      </c>
      <c r="S58" s="2110"/>
      <c r="T58" s="3503"/>
      <c r="U58" s="2110" t="s">
        <v>894</v>
      </c>
      <c r="V58" s="2110" t="s">
        <v>895</v>
      </c>
      <c r="W58" s="2110"/>
      <c r="X58" s="3503"/>
      <c r="Y58" s="2110" t="s">
        <v>894</v>
      </c>
      <c r="Z58" s="2110" t="s">
        <v>895</v>
      </c>
      <c r="AA58" s="2110"/>
      <c r="AB58" s="3503"/>
      <c r="AC58" s="2110" t="s">
        <v>894</v>
      </c>
      <c r="AD58" s="2110" t="s">
        <v>895</v>
      </c>
      <c r="AE58" s="2110"/>
      <c r="AF58" s="3503"/>
      <c r="AG58" s="2110" t="s">
        <v>894</v>
      </c>
      <c r="AH58" s="2110" t="s">
        <v>895</v>
      </c>
      <c r="AI58" s="2110"/>
      <c r="AJ58" s="3503"/>
      <c r="AK58" s="2110" t="s">
        <v>894</v>
      </c>
      <c r="AL58" s="2110" t="s">
        <v>895</v>
      </c>
      <c r="AM58" s="2110"/>
      <c r="AN58" s="3503"/>
      <c r="AO58" s="2110" t="s">
        <v>894</v>
      </c>
      <c r="AP58" s="2110" t="s">
        <v>895</v>
      </c>
      <c r="AQ58" s="2110"/>
      <c r="AR58" s="3503"/>
      <c r="AS58" s="2110" t="s">
        <v>894</v>
      </c>
      <c r="AT58" s="2110" t="s">
        <v>895</v>
      </c>
      <c r="AU58" s="2110"/>
      <c r="AV58" s="3503"/>
      <c r="AW58" s="2110" t="s">
        <v>894</v>
      </c>
      <c r="AX58" s="2110" t="s">
        <v>895</v>
      </c>
      <c r="AY58" s="2110"/>
      <c r="AZ58" s="3503"/>
      <c r="BA58" s="2110" t="s">
        <v>894</v>
      </c>
      <c r="BB58" s="2110" t="s">
        <v>895</v>
      </c>
      <c r="BC58" s="2110"/>
      <c r="BD58" s="2110"/>
      <c r="BE58" s="3503"/>
      <c r="BF58" s="2110" t="s">
        <v>894</v>
      </c>
      <c r="BG58" s="2110" t="s">
        <v>895</v>
      </c>
      <c r="BH58" s="2110"/>
      <c r="BI58" s="3503"/>
      <c r="BJ58" s="2110" t="s">
        <v>894</v>
      </c>
      <c r="BK58" s="2110" t="s">
        <v>895</v>
      </c>
      <c r="BM58" s="3503"/>
      <c r="BN58" s="2110" t="s">
        <v>894</v>
      </c>
      <c r="BO58" s="2110" t="s">
        <v>895</v>
      </c>
    </row>
    <row r="59" spans="3:67" x14ac:dyDescent="0.4">
      <c r="C59" s="301">
        <v>2015</v>
      </c>
      <c r="D59" s="115">
        <v>5</v>
      </c>
      <c r="E59" s="115">
        <v>0</v>
      </c>
      <c r="F59" s="115">
        <v>5</v>
      </c>
      <c r="H59" s="115">
        <v>0</v>
      </c>
      <c r="I59" s="115">
        <v>0</v>
      </c>
      <c r="J59" s="115">
        <v>0</v>
      </c>
      <c r="L59" s="115">
        <v>0</v>
      </c>
      <c r="M59" s="115">
        <v>0</v>
      </c>
      <c r="N59" s="115">
        <v>0</v>
      </c>
      <c r="P59" s="115">
        <v>3</v>
      </c>
      <c r="Q59" s="115">
        <v>0</v>
      </c>
      <c r="R59" s="115">
        <v>3</v>
      </c>
      <c r="T59" s="115">
        <v>0</v>
      </c>
      <c r="U59" s="115">
        <v>0</v>
      </c>
      <c r="V59" s="115">
        <v>0</v>
      </c>
      <c r="X59" s="115">
        <v>0</v>
      </c>
      <c r="Y59" s="115">
        <v>0</v>
      </c>
      <c r="Z59" s="115">
        <v>0</v>
      </c>
      <c r="AB59" s="115">
        <v>0</v>
      </c>
      <c r="AC59" s="115">
        <v>0</v>
      </c>
      <c r="AD59" s="115">
        <v>0</v>
      </c>
      <c r="AF59" s="115">
        <v>2</v>
      </c>
      <c r="AG59" s="115">
        <v>0</v>
      </c>
      <c r="AH59" s="115">
        <v>2</v>
      </c>
      <c r="AJ59" s="115">
        <v>0</v>
      </c>
      <c r="AK59" s="115">
        <v>0</v>
      </c>
      <c r="AL59" s="115">
        <v>0</v>
      </c>
      <c r="AN59" s="115">
        <v>0</v>
      </c>
      <c r="AO59" s="115">
        <v>0</v>
      </c>
      <c r="AP59" s="115">
        <v>0</v>
      </c>
      <c r="AR59" s="1433">
        <v>0</v>
      </c>
      <c r="AS59" s="1433">
        <v>0</v>
      </c>
      <c r="AT59" s="1433">
        <v>0</v>
      </c>
      <c r="AU59" s="1433"/>
      <c r="AV59" s="115">
        <v>0</v>
      </c>
      <c r="AW59" s="115">
        <v>0</v>
      </c>
      <c r="AX59" s="115">
        <v>0</v>
      </c>
      <c r="AZ59" s="115">
        <v>0</v>
      </c>
      <c r="BA59" s="115">
        <v>0</v>
      </c>
      <c r="BB59" s="115">
        <v>0</v>
      </c>
      <c r="BE59" s="115">
        <v>0</v>
      </c>
      <c r="BF59" s="115">
        <v>0</v>
      </c>
      <c r="BG59" s="115">
        <v>0</v>
      </c>
      <c r="BI59" s="115">
        <v>0</v>
      </c>
      <c r="BJ59" s="115">
        <v>0</v>
      </c>
      <c r="BK59" s="115">
        <v>0</v>
      </c>
      <c r="BM59" s="115">
        <v>0</v>
      </c>
      <c r="BN59" s="115">
        <v>0</v>
      </c>
      <c r="BO59" s="115">
        <v>0</v>
      </c>
    </row>
    <row r="60" spans="3:67" x14ac:dyDescent="0.4">
      <c r="C60" s="301">
        <v>2016</v>
      </c>
      <c r="D60" s="115">
        <v>20</v>
      </c>
      <c r="E60" s="115">
        <v>2</v>
      </c>
      <c r="F60" s="115">
        <v>18</v>
      </c>
      <c r="H60" s="115">
        <v>0</v>
      </c>
      <c r="I60" s="1854">
        <v>0</v>
      </c>
      <c r="J60" s="115">
        <v>0</v>
      </c>
      <c r="L60" s="115">
        <v>0</v>
      </c>
      <c r="M60" s="1854">
        <v>0</v>
      </c>
      <c r="N60" s="115">
        <v>0</v>
      </c>
      <c r="P60" s="115">
        <v>5</v>
      </c>
      <c r="Q60" s="1854">
        <v>1</v>
      </c>
      <c r="R60" s="115">
        <v>4</v>
      </c>
      <c r="T60" s="115">
        <v>0</v>
      </c>
      <c r="U60" s="1854">
        <v>0</v>
      </c>
      <c r="V60" s="115">
        <v>0</v>
      </c>
      <c r="X60" s="115">
        <v>0</v>
      </c>
      <c r="Y60" s="1854">
        <v>0</v>
      </c>
      <c r="Z60" s="115">
        <v>0</v>
      </c>
      <c r="AB60" s="115">
        <v>0</v>
      </c>
      <c r="AC60" s="1854">
        <v>0</v>
      </c>
      <c r="AD60" s="115">
        <v>0</v>
      </c>
      <c r="AF60" s="115">
        <v>0</v>
      </c>
      <c r="AG60" s="1854">
        <v>0</v>
      </c>
      <c r="AH60" s="115">
        <v>0</v>
      </c>
      <c r="AJ60" s="115">
        <v>0</v>
      </c>
      <c r="AK60" s="1854">
        <v>0</v>
      </c>
      <c r="AL60" s="115">
        <v>0</v>
      </c>
      <c r="AN60" s="115">
        <v>2</v>
      </c>
      <c r="AO60" s="1854">
        <v>1</v>
      </c>
      <c r="AP60" s="115">
        <v>1</v>
      </c>
      <c r="AR60" s="1433">
        <v>12</v>
      </c>
      <c r="AS60" s="1720">
        <v>0</v>
      </c>
      <c r="AT60" s="1433">
        <v>12</v>
      </c>
      <c r="AU60" s="1433"/>
      <c r="AV60" s="115">
        <v>1</v>
      </c>
      <c r="AW60" s="1854">
        <v>0</v>
      </c>
      <c r="AX60" s="115">
        <v>1</v>
      </c>
      <c r="AZ60" s="115">
        <v>0</v>
      </c>
      <c r="BA60" s="1854">
        <v>0</v>
      </c>
      <c r="BB60" s="115">
        <v>0</v>
      </c>
      <c r="BE60" s="115">
        <v>0</v>
      </c>
      <c r="BF60" s="1854">
        <v>0</v>
      </c>
      <c r="BG60" s="115">
        <v>0</v>
      </c>
      <c r="BI60" s="115">
        <v>0</v>
      </c>
      <c r="BJ60" s="115">
        <v>0</v>
      </c>
      <c r="BK60" s="115">
        <v>0</v>
      </c>
      <c r="BM60" s="115">
        <v>0</v>
      </c>
      <c r="BN60" s="115">
        <v>0</v>
      </c>
      <c r="BO60" s="115">
        <v>0</v>
      </c>
    </row>
    <row r="61" spans="3:67" x14ac:dyDescent="0.4">
      <c r="C61" s="301">
        <v>2017</v>
      </c>
      <c r="D61" s="115">
        <v>39</v>
      </c>
      <c r="E61" s="115">
        <v>7</v>
      </c>
      <c r="F61" s="115">
        <v>32</v>
      </c>
      <c r="H61" s="1854">
        <v>2</v>
      </c>
      <c r="I61" s="1854">
        <v>0</v>
      </c>
      <c r="J61" s="1854">
        <v>2</v>
      </c>
      <c r="K61" s="1854"/>
      <c r="L61" s="1854">
        <v>1</v>
      </c>
      <c r="M61" s="1854">
        <v>0</v>
      </c>
      <c r="N61" s="1854">
        <v>1</v>
      </c>
      <c r="O61" s="1854"/>
      <c r="P61" s="1854">
        <v>20</v>
      </c>
      <c r="Q61" s="1854">
        <v>2</v>
      </c>
      <c r="R61" s="1854">
        <v>18</v>
      </c>
      <c r="S61" s="1854"/>
      <c r="T61" s="1854">
        <v>2</v>
      </c>
      <c r="U61" s="1854">
        <v>0</v>
      </c>
      <c r="V61" s="1854">
        <v>2</v>
      </c>
      <c r="W61" s="1854"/>
      <c r="X61" s="1854">
        <v>2</v>
      </c>
      <c r="Y61" s="1854">
        <v>0</v>
      </c>
      <c r="Z61" s="1854">
        <v>0</v>
      </c>
      <c r="AA61" s="1854"/>
      <c r="AB61" s="1854">
        <v>1</v>
      </c>
      <c r="AC61" s="1854">
        <v>0</v>
      </c>
      <c r="AD61" s="1854">
        <v>1</v>
      </c>
      <c r="AE61" s="1854"/>
      <c r="AF61" s="1854">
        <v>1</v>
      </c>
      <c r="AG61" s="1854">
        <v>0</v>
      </c>
      <c r="AH61" s="1854">
        <v>1</v>
      </c>
      <c r="AI61" s="1854"/>
      <c r="AJ61" s="1854">
        <v>0</v>
      </c>
      <c r="AK61" s="1854">
        <v>0</v>
      </c>
      <c r="AL61" s="1854">
        <v>0</v>
      </c>
      <c r="AM61" s="1854"/>
      <c r="AN61" s="1854">
        <v>0</v>
      </c>
      <c r="AO61" s="1854">
        <v>0</v>
      </c>
      <c r="AP61" s="1854">
        <v>0</v>
      </c>
      <c r="AQ61" s="1854"/>
      <c r="AR61" s="1720">
        <v>8</v>
      </c>
      <c r="AS61" s="1720">
        <v>4</v>
      </c>
      <c r="AT61" s="1720">
        <v>4</v>
      </c>
      <c r="AU61" s="1720"/>
      <c r="AV61" s="1854">
        <v>1</v>
      </c>
      <c r="AW61" s="1854">
        <v>1</v>
      </c>
      <c r="AX61" s="1854">
        <v>0</v>
      </c>
      <c r="AY61" s="1854"/>
      <c r="AZ61" s="1854">
        <v>0</v>
      </c>
      <c r="BA61" s="1854">
        <v>0</v>
      </c>
      <c r="BB61" s="1854">
        <v>0</v>
      </c>
      <c r="BC61" s="1854"/>
      <c r="BD61" s="1854"/>
      <c r="BE61" s="1854">
        <v>1</v>
      </c>
      <c r="BF61" s="1854">
        <v>0</v>
      </c>
      <c r="BG61" s="1854">
        <v>1</v>
      </c>
      <c r="BH61" s="1854"/>
      <c r="BI61" s="1854">
        <v>1</v>
      </c>
      <c r="BJ61" s="115">
        <v>0</v>
      </c>
      <c r="BK61" s="115">
        <v>1</v>
      </c>
      <c r="BM61" s="1854">
        <v>0</v>
      </c>
      <c r="BN61" s="115">
        <v>0</v>
      </c>
      <c r="BO61" s="115">
        <v>0</v>
      </c>
    </row>
    <row r="62" spans="3:67" x14ac:dyDescent="0.4">
      <c r="C62" s="301">
        <v>2018</v>
      </c>
      <c r="D62" s="1433">
        <v>30</v>
      </c>
      <c r="E62" s="1433">
        <v>5</v>
      </c>
      <c r="F62" s="1433">
        <v>25</v>
      </c>
      <c r="G62" s="1433"/>
      <c r="H62" s="1854">
        <v>0</v>
      </c>
      <c r="I62" s="1854">
        <v>0</v>
      </c>
      <c r="J62" s="1854">
        <v>0</v>
      </c>
      <c r="K62" s="1854"/>
      <c r="L62" s="1854">
        <v>2</v>
      </c>
      <c r="M62" s="1854">
        <v>0</v>
      </c>
      <c r="N62" s="1854">
        <v>2</v>
      </c>
      <c r="O62" s="1854"/>
      <c r="P62" s="1854">
        <v>12</v>
      </c>
      <c r="Q62" s="1854">
        <v>4</v>
      </c>
      <c r="R62" s="1854">
        <v>8</v>
      </c>
      <c r="S62" s="1854"/>
      <c r="T62" s="1854">
        <v>0</v>
      </c>
      <c r="U62" s="1854">
        <v>0</v>
      </c>
      <c r="V62" s="1854">
        <v>0</v>
      </c>
      <c r="W62" s="1854"/>
      <c r="X62" s="1854">
        <v>1</v>
      </c>
      <c r="Y62" s="1854">
        <v>1</v>
      </c>
      <c r="Z62" s="1854">
        <v>0</v>
      </c>
      <c r="AA62" s="1854"/>
      <c r="AB62" s="1854">
        <v>0</v>
      </c>
      <c r="AC62" s="1854">
        <v>0</v>
      </c>
      <c r="AD62" s="1854">
        <v>0</v>
      </c>
      <c r="AE62" s="1854"/>
      <c r="AF62" s="1854">
        <v>0</v>
      </c>
      <c r="AG62" s="1854">
        <v>0</v>
      </c>
      <c r="AH62" s="1854">
        <v>0</v>
      </c>
      <c r="AI62" s="1854"/>
      <c r="AJ62" s="1854">
        <v>4</v>
      </c>
      <c r="AK62" s="1854">
        <v>0</v>
      </c>
      <c r="AL62" s="1854">
        <v>4</v>
      </c>
      <c r="AM62" s="1854"/>
      <c r="AN62" s="1854">
        <v>0</v>
      </c>
      <c r="AO62" s="1854">
        <v>0</v>
      </c>
      <c r="AP62" s="1854">
        <v>0</v>
      </c>
      <c r="AQ62" s="1854"/>
      <c r="AR62" s="1720">
        <v>6</v>
      </c>
      <c r="AS62" s="1720">
        <v>0</v>
      </c>
      <c r="AT62" s="1720">
        <v>6</v>
      </c>
      <c r="AU62" s="1720"/>
      <c r="AV62" s="1854">
        <v>1</v>
      </c>
      <c r="AW62" s="1854">
        <v>0</v>
      </c>
      <c r="AX62" s="1854">
        <v>1</v>
      </c>
      <c r="AY62" s="1854"/>
      <c r="AZ62" s="1854">
        <v>2</v>
      </c>
      <c r="BA62" s="1854">
        <v>0</v>
      </c>
      <c r="BB62" s="1854">
        <v>2</v>
      </c>
      <c r="BC62" s="1854"/>
      <c r="BD62" s="1854"/>
      <c r="BE62" s="1854">
        <v>1</v>
      </c>
      <c r="BF62" s="1854">
        <v>0</v>
      </c>
      <c r="BG62" s="1854">
        <v>1</v>
      </c>
      <c r="BH62" s="1854"/>
      <c r="BI62" s="1854">
        <v>1</v>
      </c>
      <c r="BJ62" s="115">
        <v>0</v>
      </c>
      <c r="BK62" s="115">
        <v>1</v>
      </c>
      <c r="BM62" s="1854">
        <v>0</v>
      </c>
      <c r="BN62" s="115">
        <v>0</v>
      </c>
      <c r="BO62" s="115">
        <v>0</v>
      </c>
    </row>
    <row r="63" spans="3:67" x14ac:dyDescent="0.4">
      <c r="C63" s="301">
        <v>2019</v>
      </c>
      <c r="D63" s="1433">
        <v>53</v>
      </c>
      <c r="E63" s="1433">
        <v>22</v>
      </c>
      <c r="F63" s="1433">
        <v>31</v>
      </c>
      <c r="H63" s="1854">
        <v>0</v>
      </c>
      <c r="I63" s="1854">
        <v>0</v>
      </c>
      <c r="J63" s="1854">
        <v>0</v>
      </c>
      <c r="L63" s="1854">
        <v>0</v>
      </c>
      <c r="M63" s="115">
        <v>0</v>
      </c>
      <c r="N63" s="115">
        <v>0</v>
      </c>
      <c r="P63" s="1854">
        <v>43</v>
      </c>
      <c r="Q63" s="115">
        <v>19</v>
      </c>
      <c r="R63" s="115">
        <v>24</v>
      </c>
      <c r="T63" s="1854">
        <v>0</v>
      </c>
      <c r="U63" s="1854">
        <v>0</v>
      </c>
      <c r="V63" s="1854">
        <v>0</v>
      </c>
      <c r="X63" s="1854">
        <v>0</v>
      </c>
      <c r="Y63" s="1854">
        <v>0</v>
      </c>
      <c r="Z63" s="1854">
        <v>0</v>
      </c>
      <c r="AA63" s="1854"/>
      <c r="AB63" s="1854">
        <v>0</v>
      </c>
      <c r="AC63" s="1854">
        <v>0</v>
      </c>
      <c r="AD63" s="1854">
        <v>0</v>
      </c>
      <c r="AF63" s="1854">
        <v>0</v>
      </c>
      <c r="AG63" s="1854">
        <v>0</v>
      </c>
      <c r="AH63" s="1854">
        <v>0</v>
      </c>
      <c r="AJ63" s="1854">
        <v>0</v>
      </c>
      <c r="AK63" s="115">
        <v>0</v>
      </c>
      <c r="AL63" s="1854">
        <v>0</v>
      </c>
      <c r="AN63" s="115">
        <v>0</v>
      </c>
      <c r="AO63" s="1854">
        <v>0</v>
      </c>
      <c r="AP63" s="1854">
        <v>0</v>
      </c>
      <c r="AR63" s="1720">
        <v>8</v>
      </c>
      <c r="AS63" s="1854">
        <v>2</v>
      </c>
      <c r="AT63" s="115">
        <v>6</v>
      </c>
      <c r="AV63" s="1854">
        <v>0</v>
      </c>
      <c r="AW63" s="1854">
        <v>0</v>
      </c>
      <c r="AX63" s="1854">
        <v>0</v>
      </c>
      <c r="AZ63" s="1854">
        <v>1</v>
      </c>
      <c r="BA63" s="1854">
        <v>0</v>
      </c>
      <c r="BB63" s="115">
        <v>1</v>
      </c>
      <c r="BE63" s="1854">
        <v>0</v>
      </c>
      <c r="BF63" s="1854">
        <v>0</v>
      </c>
      <c r="BG63" s="115">
        <v>0</v>
      </c>
      <c r="BI63" s="1854">
        <v>1</v>
      </c>
      <c r="BJ63" s="115">
        <v>1</v>
      </c>
      <c r="BK63" s="115">
        <v>0</v>
      </c>
      <c r="BM63" s="1854">
        <v>0</v>
      </c>
      <c r="BN63" s="115">
        <v>0</v>
      </c>
      <c r="BO63" s="115">
        <v>0</v>
      </c>
    </row>
    <row r="64" spans="3:67" x14ac:dyDescent="0.4">
      <c r="C64" s="301">
        <v>2020</v>
      </c>
      <c r="D64" s="1433">
        <v>51</v>
      </c>
      <c r="E64" s="1433">
        <v>6</v>
      </c>
      <c r="F64" s="1433">
        <v>45</v>
      </c>
      <c r="H64" s="1854">
        <v>0</v>
      </c>
      <c r="I64" s="1854">
        <v>0</v>
      </c>
      <c r="J64" s="1854">
        <v>0</v>
      </c>
      <c r="L64" s="1854">
        <v>0</v>
      </c>
      <c r="M64" s="115">
        <v>0</v>
      </c>
      <c r="N64" s="115">
        <v>0</v>
      </c>
      <c r="P64" s="1854">
        <v>33</v>
      </c>
      <c r="Q64" s="115">
        <v>5</v>
      </c>
      <c r="R64" s="115">
        <v>28</v>
      </c>
      <c r="T64" s="1854">
        <v>0</v>
      </c>
      <c r="U64" s="1854">
        <v>0</v>
      </c>
      <c r="V64" s="1854">
        <v>0</v>
      </c>
      <c r="X64" s="1854">
        <v>0</v>
      </c>
      <c r="Y64" s="1854">
        <v>0</v>
      </c>
      <c r="Z64" s="1854">
        <v>0</v>
      </c>
      <c r="AA64" s="1854"/>
      <c r="AB64" s="1854">
        <v>0</v>
      </c>
      <c r="AC64" s="1854">
        <v>0</v>
      </c>
      <c r="AD64" s="1854">
        <v>0</v>
      </c>
      <c r="AF64" s="1854">
        <v>0</v>
      </c>
      <c r="AG64" s="1854">
        <v>0</v>
      </c>
      <c r="AH64" s="1854">
        <v>0</v>
      </c>
      <c r="AJ64" s="1854">
        <v>0</v>
      </c>
      <c r="AK64" s="115">
        <v>0</v>
      </c>
      <c r="AL64" s="1854">
        <v>0</v>
      </c>
      <c r="AN64" s="115">
        <v>0</v>
      </c>
      <c r="AO64" s="1854">
        <v>0</v>
      </c>
      <c r="AP64" s="1854">
        <v>0</v>
      </c>
      <c r="AR64" s="1720">
        <v>17</v>
      </c>
      <c r="AS64" s="1854">
        <v>1</v>
      </c>
      <c r="AT64" s="115">
        <v>16</v>
      </c>
      <c r="AV64" s="1854">
        <v>1</v>
      </c>
      <c r="AW64" s="1854">
        <v>0</v>
      </c>
      <c r="AX64" s="1854">
        <v>1</v>
      </c>
      <c r="AZ64" s="1854">
        <v>0</v>
      </c>
      <c r="BA64" s="1854">
        <v>0</v>
      </c>
      <c r="BB64" s="115">
        <v>0</v>
      </c>
      <c r="BE64" s="1854">
        <v>0</v>
      </c>
      <c r="BF64" s="1854">
        <v>0</v>
      </c>
      <c r="BG64" s="115">
        <v>0</v>
      </c>
      <c r="BI64" s="1854">
        <v>0</v>
      </c>
      <c r="BJ64" s="115">
        <v>0</v>
      </c>
      <c r="BK64" s="115">
        <v>0</v>
      </c>
      <c r="BM64" s="1854">
        <v>0</v>
      </c>
      <c r="BN64" s="115">
        <v>0</v>
      </c>
      <c r="BO64" s="115">
        <v>0</v>
      </c>
    </row>
    <row r="65" spans="3:67" x14ac:dyDescent="0.4">
      <c r="C65" s="301">
        <v>2021</v>
      </c>
      <c r="D65" s="1433">
        <f>P65+AR65+AZ65</f>
        <v>21</v>
      </c>
      <c r="E65" s="1433">
        <f>Q65+AS65+BA65</f>
        <v>1</v>
      </c>
      <c r="F65" s="1433">
        <f>R65+AT65+BB65</f>
        <v>20</v>
      </c>
      <c r="H65" s="1854">
        <v>0</v>
      </c>
      <c r="I65" s="1854">
        <v>0</v>
      </c>
      <c r="J65" s="1854">
        <v>0</v>
      </c>
      <c r="L65" s="1854">
        <v>0</v>
      </c>
      <c r="M65" s="115">
        <v>0</v>
      </c>
      <c r="N65" s="115">
        <v>0</v>
      </c>
      <c r="P65" s="1854">
        <v>13</v>
      </c>
      <c r="Q65" s="115">
        <v>1</v>
      </c>
      <c r="R65" s="115">
        <v>12</v>
      </c>
      <c r="T65" s="1854">
        <v>0</v>
      </c>
      <c r="U65" s="1854">
        <v>0</v>
      </c>
      <c r="V65" s="1854">
        <v>0</v>
      </c>
      <c r="X65" s="1854">
        <v>0</v>
      </c>
      <c r="Y65" s="1854">
        <v>0</v>
      </c>
      <c r="Z65" s="1854">
        <v>0</v>
      </c>
      <c r="AA65" s="1854"/>
      <c r="AB65" s="1854">
        <v>0</v>
      </c>
      <c r="AC65" s="1854">
        <v>0</v>
      </c>
      <c r="AD65" s="1854">
        <v>0</v>
      </c>
      <c r="AF65" s="1854">
        <v>0</v>
      </c>
      <c r="AG65" s="1854">
        <v>0</v>
      </c>
      <c r="AH65" s="1854">
        <v>0</v>
      </c>
      <c r="AJ65" s="1854">
        <v>0</v>
      </c>
      <c r="AK65" s="115">
        <v>0</v>
      </c>
      <c r="AL65" s="1854">
        <v>0</v>
      </c>
      <c r="AN65" s="115">
        <v>0</v>
      </c>
      <c r="AO65" s="1854">
        <v>0</v>
      </c>
      <c r="AP65" s="1854">
        <v>0</v>
      </c>
      <c r="AR65" s="1720">
        <v>8</v>
      </c>
      <c r="AS65" s="1854">
        <v>0</v>
      </c>
      <c r="AT65" s="115">
        <v>8</v>
      </c>
      <c r="AV65" s="1854">
        <v>0</v>
      </c>
      <c r="AW65" s="1854">
        <v>0</v>
      </c>
      <c r="AX65" s="1854">
        <v>0</v>
      </c>
      <c r="AZ65" s="1854">
        <v>0</v>
      </c>
      <c r="BA65" s="1854">
        <v>0</v>
      </c>
      <c r="BB65" s="115">
        <v>0</v>
      </c>
      <c r="BE65" s="1854">
        <v>0</v>
      </c>
      <c r="BF65" s="1854">
        <v>0</v>
      </c>
      <c r="BG65" s="115">
        <v>0</v>
      </c>
      <c r="BI65" s="1854">
        <v>0</v>
      </c>
      <c r="BJ65" s="115">
        <v>0</v>
      </c>
      <c r="BK65" s="115">
        <v>0</v>
      </c>
      <c r="BM65" s="1854">
        <v>0</v>
      </c>
      <c r="BN65" s="115">
        <v>0</v>
      </c>
      <c r="BO65" s="115">
        <v>0</v>
      </c>
    </row>
    <row r="66" spans="3:67" x14ac:dyDescent="0.4">
      <c r="C66" s="301">
        <v>2022</v>
      </c>
      <c r="D66" s="1433">
        <f>H66+L66+P66+T66+X66+AB66+AF66+AJ66+AN66+AR66+AV66+AZ66+BE66+BI66</f>
        <v>43</v>
      </c>
      <c r="E66" s="1433">
        <f t="shared" ref="E66:F66" si="3">I66+M66+Q66+U66+Y66+AC66+AG66+AK66+AO66+AS66+AW66+BA66+BF66+BJ66</f>
        <v>9</v>
      </c>
      <c r="F66" s="1433">
        <f t="shared" si="3"/>
        <v>34</v>
      </c>
      <c r="H66" s="1854">
        <v>0</v>
      </c>
      <c r="I66" s="1854">
        <v>0</v>
      </c>
      <c r="J66" s="1854">
        <v>0</v>
      </c>
      <c r="L66" s="1854">
        <v>1</v>
      </c>
      <c r="M66" s="115">
        <v>0</v>
      </c>
      <c r="N66" s="115">
        <v>1</v>
      </c>
      <c r="P66" s="1854">
        <v>24</v>
      </c>
      <c r="Q66" s="115">
        <v>3</v>
      </c>
      <c r="R66" s="115">
        <v>21</v>
      </c>
      <c r="T66" s="1854">
        <v>0</v>
      </c>
      <c r="U66" s="1854">
        <v>0</v>
      </c>
      <c r="V66" s="1854">
        <v>0</v>
      </c>
      <c r="X66" s="1854">
        <v>0</v>
      </c>
      <c r="Y66" s="1854">
        <v>0</v>
      </c>
      <c r="Z66" s="1854">
        <v>0</v>
      </c>
      <c r="AA66" s="1854"/>
      <c r="AB66" s="1854">
        <v>0</v>
      </c>
      <c r="AC66" s="1854">
        <v>0</v>
      </c>
      <c r="AD66" s="1854">
        <v>0</v>
      </c>
      <c r="AF66" s="1854">
        <v>0</v>
      </c>
      <c r="AG66" s="1854">
        <v>0</v>
      </c>
      <c r="AH66" s="1854">
        <v>0</v>
      </c>
      <c r="AJ66" s="1854">
        <v>3</v>
      </c>
      <c r="AK66" s="115">
        <v>2</v>
      </c>
      <c r="AL66" s="1854">
        <v>1</v>
      </c>
      <c r="AN66" s="115">
        <v>0</v>
      </c>
      <c r="AO66" s="1854">
        <v>0</v>
      </c>
      <c r="AP66" s="1854">
        <v>0</v>
      </c>
      <c r="AR66" s="1720">
        <v>12</v>
      </c>
      <c r="AS66" s="1854">
        <v>3</v>
      </c>
      <c r="AT66" s="115">
        <v>9</v>
      </c>
      <c r="AV66" s="1854">
        <v>1</v>
      </c>
      <c r="AW66" s="1854">
        <v>0</v>
      </c>
      <c r="AX66" s="1854">
        <v>1</v>
      </c>
      <c r="AZ66" s="1854">
        <v>1</v>
      </c>
      <c r="BA66" s="1854">
        <v>0</v>
      </c>
      <c r="BB66" s="115">
        <v>1</v>
      </c>
      <c r="BE66" s="1854">
        <v>0</v>
      </c>
      <c r="BF66" s="1854">
        <v>0</v>
      </c>
      <c r="BG66" s="115">
        <v>0</v>
      </c>
      <c r="BI66" s="1854">
        <v>1</v>
      </c>
      <c r="BJ66" s="115">
        <v>1</v>
      </c>
      <c r="BK66" s="115">
        <v>0</v>
      </c>
      <c r="BM66" s="1854">
        <v>0</v>
      </c>
      <c r="BN66" s="115">
        <v>0</v>
      </c>
      <c r="BO66" s="115">
        <v>0</v>
      </c>
    </row>
    <row r="67" spans="3:67" x14ac:dyDescent="0.4">
      <c r="C67" s="301">
        <v>2023</v>
      </c>
      <c r="D67" s="1433">
        <f>SUM(E67+F67)</f>
        <v>56</v>
      </c>
      <c r="E67" s="1433">
        <v>11</v>
      </c>
      <c r="F67" s="1433">
        <f>SUM(N67+R67+AT67+AX67)</f>
        <v>45</v>
      </c>
      <c r="G67" s="1433"/>
      <c r="H67" s="1854">
        <v>0</v>
      </c>
      <c r="I67" s="1854">
        <v>0</v>
      </c>
      <c r="J67" s="1854">
        <v>0</v>
      </c>
      <c r="L67" s="1854">
        <f>SUM(M67+N67)</f>
        <v>0</v>
      </c>
      <c r="M67" s="115">
        <v>0</v>
      </c>
      <c r="N67" s="115">
        <v>0</v>
      </c>
      <c r="P67" s="1854">
        <f>SUM(Q67+R67)</f>
        <v>49</v>
      </c>
      <c r="Q67" s="115">
        <v>11</v>
      </c>
      <c r="R67" s="115">
        <v>38</v>
      </c>
      <c r="T67" s="1854">
        <v>0</v>
      </c>
      <c r="U67" s="1854">
        <v>0</v>
      </c>
      <c r="V67" s="1854">
        <v>0</v>
      </c>
      <c r="X67" s="1854">
        <v>0</v>
      </c>
      <c r="Y67" s="1854">
        <v>0</v>
      </c>
      <c r="Z67" s="1854">
        <v>0</v>
      </c>
      <c r="AA67" s="1854"/>
      <c r="AB67" s="1854">
        <v>0</v>
      </c>
      <c r="AC67" s="1854">
        <v>0</v>
      </c>
      <c r="AD67" s="1854">
        <v>0</v>
      </c>
      <c r="AF67" s="1854">
        <v>0</v>
      </c>
      <c r="AG67" s="1854">
        <v>0</v>
      </c>
      <c r="AH67" s="1854">
        <v>0</v>
      </c>
      <c r="AJ67" s="1854">
        <v>0</v>
      </c>
      <c r="AK67" s="115">
        <v>0</v>
      </c>
      <c r="AL67" s="1854">
        <v>0</v>
      </c>
      <c r="AN67" s="115">
        <v>0</v>
      </c>
      <c r="AO67" s="1854">
        <v>0</v>
      </c>
      <c r="AP67" s="1854">
        <v>0</v>
      </c>
      <c r="AR67" s="1720">
        <f>SUM(AS67+AT67)</f>
        <v>6</v>
      </c>
      <c r="AS67" s="1854">
        <v>0</v>
      </c>
      <c r="AT67" s="115">
        <v>6</v>
      </c>
      <c r="AV67" s="1854">
        <v>1</v>
      </c>
      <c r="AW67" s="1854">
        <v>0</v>
      </c>
      <c r="AX67" s="1854">
        <v>1</v>
      </c>
      <c r="AZ67" s="1854">
        <v>0</v>
      </c>
      <c r="BA67" s="1854">
        <v>0</v>
      </c>
      <c r="BB67" s="115">
        <v>0</v>
      </c>
      <c r="BE67" s="1854">
        <v>0</v>
      </c>
      <c r="BF67" s="1854">
        <v>0</v>
      </c>
      <c r="BG67" s="115">
        <v>0</v>
      </c>
      <c r="BI67" s="1854">
        <v>0</v>
      </c>
      <c r="BJ67" s="115">
        <v>0</v>
      </c>
      <c r="BK67" s="115">
        <v>0</v>
      </c>
      <c r="BM67" s="1854">
        <v>0</v>
      </c>
      <c r="BN67" s="1854">
        <v>0</v>
      </c>
      <c r="BO67" s="1854">
        <v>0</v>
      </c>
    </row>
    <row r="68" spans="3:67" ht="19.5" x14ac:dyDescent="0.4">
      <c r="C68" s="732" t="s">
        <v>7457</v>
      </c>
      <c r="D68" s="1465">
        <f>SUM(E68+F68)</f>
        <v>45</v>
      </c>
      <c r="E68" s="1465">
        <f>Q68+AG68+AS68</f>
        <v>10</v>
      </c>
      <c r="F68" s="1465">
        <f>SUM(R68+AH68+AL68+AT68+BK68+BO68)</f>
        <v>35</v>
      </c>
      <c r="G68" s="1465"/>
      <c r="H68" s="2107">
        <v>0</v>
      </c>
      <c r="I68" s="2107">
        <v>0</v>
      </c>
      <c r="J68" s="2107">
        <v>0</v>
      </c>
      <c r="K68" s="120"/>
      <c r="L68" s="2107">
        <v>0</v>
      </c>
      <c r="M68" s="2107">
        <v>0</v>
      </c>
      <c r="N68" s="2107">
        <v>0</v>
      </c>
      <c r="O68" s="120"/>
      <c r="P68" s="2107">
        <f>SUM(Q68+R68)</f>
        <v>27</v>
      </c>
      <c r="Q68" s="120">
        <v>6</v>
      </c>
      <c r="R68" s="120">
        <v>21</v>
      </c>
      <c r="S68" s="120"/>
      <c r="T68" s="2107">
        <v>0</v>
      </c>
      <c r="U68" s="2107">
        <v>0</v>
      </c>
      <c r="V68" s="2107">
        <v>0</v>
      </c>
      <c r="W68" s="120"/>
      <c r="X68" s="2107">
        <v>0</v>
      </c>
      <c r="Y68" s="2107">
        <v>0</v>
      </c>
      <c r="Z68" s="2107">
        <v>0</v>
      </c>
      <c r="AA68" s="2107"/>
      <c r="AB68" s="2107">
        <v>0</v>
      </c>
      <c r="AC68" s="2107">
        <v>0</v>
      </c>
      <c r="AD68" s="2107">
        <v>0</v>
      </c>
      <c r="AE68" s="120"/>
      <c r="AF68" s="2107">
        <f>SUM(AG68+AH68)</f>
        <v>3</v>
      </c>
      <c r="AG68" s="2107">
        <v>1</v>
      </c>
      <c r="AH68" s="2107">
        <v>2</v>
      </c>
      <c r="AI68" s="120"/>
      <c r="AJ68" s="2107">
        <f>AK68+AL68</f>
        <v>2</v>
      </c>
      <c r="AK68" s="120">
        <v>0</v>
      </c>
      <c r="AL68" s="2107">
        <v>2</v>
      </c>
      <c r="AM68" s="120"/>
      <c r="AN68" s="2107">
        <v>0</v>
      </c>
      <c r="AO68" s="2107">
        <v>0</v>
      </c>
      <c r="AP68" s="2107">
        <v>0</v>
      </c>
      <c r="AQ68" s="120"/>
      <c r="AR68" s="1727">
        <f>SUM(AS68+AT68)</f>
        <v>9</v>
      </c>
      <c r="AS68" s="2107">
        <v>3</v>
      </c>
      <c r="AT68" s="120">
        <v>6</v>
      </c>
      <c r="AU68" s="120"/>
      <c r="AV68" s="2107">
        <v>0</v>
      </c>
      <c r="AW68" s="2107">
        <v>0</v>
      </c>
      <c r="AX68" s="2107">
        <v>0</v>
      </c>
      <c r="AY68" s="120"/>
      <c r="AZ68" s="2107">
        <v>0</v>
      </c>
      <c r="BA68" s="2107">
        <v>0</v>
      </c>
      <c r="BB68" s="2107">
        <v>0</v>
      </c>
      <c r="BC68" s="120"/>
      <c r="BD68" s="120"/>
      <c r="BE68" s="2107">
        <v>0</v>
      </c>
      <c r="BF68" s="2107">
        <v>0</v>
      </c>
      <c r="BG68" s="2107">
        <v>0</v>
      </c>
      <c r="BH68" s="120"/>
      <c r="BI68" s="2107">
        <f>SUM(BJ68+BK68)</f>
        <v>3</v>
      </c>
      <c r="BJ68" s="120">
        <v>0</v>
      </c>
      <c r="BK68" s="120">
        <v>3</v>
      </c>
      <c r="BL68" s="120"/>
      <c r="BM68" s="2107">
        <f>SUM(BN68+BO68)</f>
        <v>1</v>
      </c>
      <c r="BN68" s="120">
        <v>0</v>
      </c>
      <c r="BO68" s="120">
        <v>1</v>
      </c>
    </row>
    <row r="69" spans="3:67" ht="17.45" customHeight="1" x14ac:dyDescent="0.4">
      <c r="C69" s="115" t="s">
        <v>7468</v>
      </c>
    </row>
    <row r="70" spans="3:67" x14ac:dyDescent="0.4">
      <c r="C70" s="155" t="s">
        <v>7469</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row>
    <row r="71" spans="3:67" x14ac:dyDescent="0.4">
      <c r="C71" s="155" t="s">
        <v>7470</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row>
  </sheetData>
  <mergeCells count="141">
    <mergeCell ref="C1:E1"/>
    <mergeCell ref="A3:B3"/>
    <mergeCell ref="C3:X3"/>
    <mergeCell ref="A4:B4"/>
    <mergeCell ref="C4:X4"/>
    <mergeCell ref="A5:B5"/>
    <mergeCell ref="C5:X5"/>
    <mergeCell ref="A6:B6"/>
    <mergeCell ref="C6:X6"/>
    <mergeCell ref="C11:C14"/>
    <mergeCell ref="D11:F12"/>
    <mergeCell ref="H11:DW11"/>
    <mergeCell ref="H12:J12"/>
    <mergeCell ref="L12:N12"/>
    <mergeCell ref="P12:R12"/>
    <mergeCell ref="T12:V12"/>
    <mergeCell ref="X12:Z12"/>
    <mergeCell ref="BD12:BF12"/>
    <mergeCell ref="BG12:BI12"/>
    <mergeCell ref="BJ12:BL12"/>
    <mergeCell ref="BV12:BX12"/>
    <mergeCell ref="AC12:AE12"/>
    <mergeCell ref="AG12:AI12"/>
    <mergeCell ref="AK12:AM12"/>
    <mergeCell ref="AO12:AQ12"/>
    <mergeCell ref="AR12:AT12"/>
    <mergeCell ref="AU12:AW12"/>
    <mergeCell ref="DI12:DK12"/>
    <mergeCell ref="DL12:DN12"/>
    <mergeCell ref="DO12:DQ12"/>
    <mergeCell ref="DR12:DT12"/>
    <mergeCell ref="DU12:DW12"/>
    <mergeCell ref="D13:D14"/>
    <mergeCell ref="E13:F13"/>
    <mergeCell ref="H13:H14"/>
    <mergeCell ref="I13:J13"/>
    <mergeCell ref="L13:L14"/>
    <mergeCell ref="CQ12:CS12"/>
    <mergeCell ref="CT12:CV12"/>
    <mergeCell ref="CW12:CY12"/>
    <mergeCell ref="CZ12:DB12"/>
    <mergeCell ref="DC12:DE12"/>
    <mergeCell ref="Y13:Z13"/>
    <mergeCell ref="AC13:AC14"/>
    <mergeCell ref="AD13:AE13"/>
    <mergeCell ref="AG13:AG14"/>
    <mergeCell ref="AH13:AI13"/>
    <mergeCell ref="AK13:AK14"/>
    <mergeCell ref="M13:N13"/>
    <mergeCell ref="P13:P14"/>
    <mergeCell ref="Q13:R13"/>
    <mergeCell ref="T13:T14"/>
    <mergeCell ref="U13:V13"/>
    <mergeCell ref="X13:X14"/>
    <mergeCell ref="AY13:AZ13"/>
    <mergeCell ref="BA13:BA14"/>
    <mergeCell ref="BB13:BC13"/>
    <mergeCell ref="DF12:DH12"/>
    <mergeCell ref="BY12:CA12"/>
    <mergeCell ref="CB12:CD12"/>
    <mergeCell ref="CE12:CG12"/>
    <mergeCell ref="CH12:CJ12"/>
    <mergeCell ref="CK12:CM12"/>
    <mergeCell ref="CN12:CP12"/>
    <mergeCell ref="AX12:AZ12"/>
    <mergeCell ref="BA12:BB12"/>
    <mergeCell ref="BD13:BD14"/>
    <mergeCell ref="AL13:AM13"/>
    <mergeCell ref="AO13:AO14"/>
    <mergeCell ref="AP13:AQ13"/>
    <mergeCell ref="AR13:AR14"/>
    <mergeCell ref="AS13:AT13"/>
    <mergeCell ref="AU13:AU14"/>
    <mergeCell ref="BW13:BX13"/>
    <mergeCell ref="BY13:BY14"/>
    <mergeCell ref="BZ13:CA13"/>
    <mergeCell ref="AR27:BF27"/>
    <mergeCell ref="C55:C58"/>
    <mergeCell ref="H55:BO55"/>
    <mergeCell ref="D56:F56"/>
    <mergeCell ref="H56:J56"/>
    <mergeCell ref="L56:N56"/>
    <mergeCell ref="P56:R56"/>
    <mergeCell ref="BN13:BO13"/>
    <mergeCell ref="BP13:BP14"/>
    <mergeCell ref="BQ13:BR13"/>
    <mergeCell ref="BS13:BS14"/>
    <mergeCell ref="BT13:BU13"/>
    <mergeCell ref="BV13:BV14"/>
    <mergeCell ref="BE13:BF13"/>
    <mergeCell ref="BG13:BG14"/>
    <mergeCell ref="BH13:BI13"/>
    <mergeCell ref="BJ13:BJ14"/>
    <mergeCell ref="BK13:BL13"/>
    <mergeCell ref="BM13:BM14"/>
    <mergeCell ref="AV13:AW13"/>
    <mergeCell ref="AX13:AX14"/>
    <mergeCell ref="BE56:BG56"/>
    <mergeCell ref="BI56:BK56"/>
    <mergeCell ref="BM56:BO56"/>
    <mergeCell ref="T56:V56"/>
    <mergeCell ref="X56:Z56"/>
    <mergeCell ref="AB56:AD56"/>
    <mergeCell ref="AF56:AH56"/>
    <mergeCell ref="AJ56:AL56"/>
    <mergeCell ref="AN56:AP56"/>
    <mergeCell ref="D57:D58"/>
    <mergeCell ref="E57:F57"/>
    <mergeCell ref="H57:H58"/>
    <mergeCell ref="I57:J57"/>
    <mergeCell ref="L57:L58"/>
    <mergeCell ref="M57:N57"/>
    <mergeCell ref="AR56:AT56"/>
    <mergeCell ref="AV56:AX56"/>
    <mergeCell ref="AZ56:BB56"/>
    <mergeCell ref="AB57:AB58"/>
    <mergeCell ref="AC57:AD57"/>
    <mergeCell ref="AF57:AF58"/>
    <mergeCell ref="AG57:AH57"/>
    <mergeCell ref="AJ57:AJ58"/>
    <mergeCell ref="AK57:AL57"/>
    <mergeCell ref="P57:P58"/>
    <mergeCell ref="Q57:R57"/>
    <mergeCell ref="T57:T58"/>
    <mergeCell ref="U57:V57"/>
    <mergeCell ref="X57:X58"/>
    <mergeCell ref="Y57:Z57"/>
    <mergeCell ref="BM57:BM58"/>
    <mergeCell ref="BN57:BO57"/>
    <mergeCell ref="AZ57:AZ58"/>
    <mergeCell ref="BA57:BB57"/>
    <mergeCell ref="BE57:BE58"/>
    <mergeCell ref="BF57:BG57"/>
    <mergeCell ref="BI57:BI58"/>
    <mergeCell ref="BJ57:BK57"/>
    <mergeCell ref="AN57:AN58"/>
    <mergeCell ref="AO57:AP57"/>
    <mergeCell ref="AR57:AR58"/>
    <mergeCell ref="AS57:AT57"/>
    <mergeCell ref="AV57:AV58"/>
    <mergeCell ref="AW57:AX57"/>
  </mergeCells>
  <hyperlinks>
    <hyperlink ref="A1" location="'ODS 16.'!A1" display="REGRESAR" xr:uid="{23C70F26-AE8F-467E-8844-EF183559952A}"/>
    <hyperlink ref="C1:D1" location="'Metadato 16.2.2'!A1" display="VER METADATO" xr:uid="{E6C5B7E0-325E-46B6-B3A5-1774EC2D7254}"/>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DF5D-E4D0-477B-81FA-14CA9D56EFE0}">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7.7109375" style="243" customWidth="1"/>
    <col min="2" max="2" width="26.42578125" style="243" customWidth="1"/>
    <col min="3" max="3" width="24" style="243" customWidth="1"/>
    <col min="4" max="4" width="85.7109375" style="243" customWidth="1"/>
    <col min="5" max="5" width="3.42578125" style="243" customWidth="1"/>
    <col min="6" max="6" width="7.28515625" style="243" customWidth="1"/>
    <col min="7" max="7" width="9.28515625" style="243" customWidth="1"/>
    <col min="8"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x14ac:dyDescent="0.25">
      <c r="B5" s="2425" t="s">
        <v>79</v>
      </c>
      <c r="C5" s="2425"/>
      <c r="D5" s="49" t="s">
        <v>7291</v>
      </c>
    </row>
    <row r="6" spans="2:6" x14ac:dyDescent="0.25">
      <c r="B6" s="2425" t="s">
        <v>80</v>
      </c>
      <c r="C6" s="2425"/>
      <c r="D6" s="50" t="s">
        <v>7294</v>
      </c>
    </row>
    <row r="7" spans="2:6" ht="35.25" customHeight="1" x14ac:dyDescent="0.25">
      <c r="B7" s="2426" t="s">
        <v>81</v>
      </c>
      <c r="C7" s="2426"/>
      <c r="D7" s="93" t="s">
        <v>7295</v>
      </c>
    </row>
    <row r="8" spans="2:6" ht="15" customHeight="1" x14ac:dyDescent="0.25">
      <c r="B8" s="2426" t="s">
        <v>82</v>
      </c>
      <c r="C8" s="2426"/>
      <c r="D8" s="1047" t="s">
        <v>7471</v>
      </c>
    </row>
    <row r="9" spans="2:6" x14ac:dyDescent="0.4">
      <c r="B9" s="115"/>
      <c r="C9" s="115"/>
      <c r="D9" s="115"/>
    </row>
    <row r="10" spans="2:6" ht="19.5" x14ac:dyDescent="0.25">
      <c r="B10" s="3514" t="s">
        <v>85</v>
      </c>
      <c r="C10" s="3514"/>
      <c r="D10" s="3514"/>
    </row>
    <row r="11" spans="2:6" ht="15" customHeight="1" x14ac:dyDescent="0.25">
      <c r="B11" s="2427" t="s">
        <v>86</v>
      </c>
      <c r="C11" s="2428"/>
      <c r="D11" s="49" t="s">
        <v>167</v>
      </c>
    </row>
    <row r="12" spans="2:6" ht="32.25" customHeight="1" x14ac:dyDescent="0.25">
      <c r="B12" s="2426" t="s">
        <v>88</v>
      </c>
      <c r="C12" s="2426"/>
      <c r="D12" s="184" t="s">
        <v>7472</v>
      </c>
    </row>
    <row r="13" spans="2:6" x14ac:dyDescent="0.25">
      <c r="B13" s="2425" t="s">
        <v>90</v>
      </c>
      <c r="C13" s="2425"/>
      <c r="D13" s="55" t="s">
        <v>7294</v>
      </c>
    </row>
    <row r="14" spans="2:6" x14ac:dyDescent="0.25">
      <c r="B14" s="2425" t="s">
        <v>91</v>
      </c>
      <c r="C14" s="2428"/>
      <c r="D14" s="54" t="s">
        <v>92</v>
      </c>
    </row>
    <row r="15" spans="2:6" ht="232.5" customHeight="1" x14ac:dyDescent="0.25">
      <c r="B15" s="2425" t="s">
        <v>93</v>
      </c>
      <c r="C15" s="2425"/>
      <c r="D15" s="55" t="s">
        <v>7473</v>
      </c>
    </row>
    <row r="16" spans="2:6" ht="42.75" customHeight="1" x14ac:dyDescent="0.25">
      <c r="B16" s="2425" t="s">
        <v>95</v>
      </c>
      <c r="C16" s="2425"/>
      <c r="D16" s="55"/>
    </row>
    <row r="17" spans="2:4" x14ac:dyDescent="0.25">
      <c r="B17" s="2425" t="s">
        <v>97</v>
      </c>
      <c r="C17" s="2425"/>
      <c r="D17" s="55" t="s">
        <v>270</v>
      </c>
    </row>
    <row r="18" spans="2:4" x14ac:dyDescent="0.25">
      <c r="B18" s="2426" t="s">
        <v>99</v>
      </c>
      <c r="C18" s="2426"/>
      <c r="D18" s="49"/>
    </row>
    <row r="19" spans="2:4" ht="15" customHeight="1" x14ac:dyDescent="0.25">
      <c r="B19" s="2435" t="s">
        <v>100</v>
      </c>
      <c r="C19" s="2436"/>
      <c r="D19" s="55" t="s">
        <v>7474</v>
      </c>
    </row>
    <row r="20" spans="2:4" x14ac:dyDescent="0.25">
      <c r="B20" s="2425" t="s">
        <v>102</v>
      </c>
      <c r="C20" s="2425"/>
      <c r="D20" s="55" t="s">
        <v>140</v>
      </c>
    </row>
    <row r="21" spans="2:4" x14ac:dyDescent="0.25">
      <c r="B21" s="2432" t="s">
        <v>104</v>
      </c>
      <c r="C21" s="57" t="s">
        <v>105</v>
      </c>
      <c r="D21" s="49"/>
    </row>
    <row r="22" spans="2:4" ht="20.25" customHeight="1" x14ac:dyDescent="0.25">
      <c r="B22" s="2433"/>
      <c r="C22" s="58" t="s">
        <v>107</v>
      </c>
      <c r="D22" s="55" t="s">
        <v>7475</v>
      </c>
    </row>
    <row r="23" spans="2:4" x14ac:dyDescent="0.25">
      <c r="B23" s="2425" t="s">
        <v>109</v>
      </c>
      <c r="C23" s="2425"/>
      <c r="D23" s="55" t="s">
        <v>143</v>
      </c>
    </row>
    <row r="24" spans="2:4" x14ac:dyDescent="0.25">
      <c r="B24" s="2425" t="s">
        <v>111</v>
      </c>
      <c r="C24" s="2425"/>
      <c r="D24" s="50" t="s">
        <v>7476</v>
      </c>
    </row>
    <row r="25" spans="2:4" x14ac:dyDescent="0.25">
      <c r="B25" s="2425" t="s">
        <v>113</v>
      </c>
      <c r="C25" s="2425"/>
      <c r="D25" s="55" t="s">
        <v>220</v>
      </c>
    </row>
    <row r="26" spans="2:4" ht="15" customHeight="1" x14ac:dyDescent="0.25">
      <c r="B26" s="2426" t="s">
        <v>115</v>
      </c>
      <c r="C26" s="2426"/>
      <c r="D26" s="49"/>
    </row>
    <row r="27" spans="2:4" x14ac:dyDescent="0.25">
      <c r="B27" s="2427" t="s">
        <v>117</v>
      </c>
      <c r="C27" s="2428"/>
      <c r="D27" s="49"/>
    </row>
    <row r="28" spans="2:4" ht="93.75" x14ac:dyDescent="0.25">
      <c r="B28" s="60" t="s">
        <v>118</v>
      </c>
      <c r="C28" s="61"/>
      <c r="D28" s="55" t="s">
        <v>7477</v>
      </c>
    </row>
    <row r="29" spans="2:4" ht="18" customHeight="1" x14ac:dyDescent="0.25">
      <c r="B29" s="2429" t="s">
        <v>120</v>
      </c>
      <c r="C29" s="2430"/>
      <c r="D29" s="55"/>
    </row>
    <row r="30" spans="2:4" x14ac:dyDescent="0.25">
      <c r="B30" s="63"/>
      <c r="C30" s="63"/>
      <c r="D30" s="64"/>
    </row>
    <row r="31" spans="2:4" ht="19.5" x14ac:dyDescent="0.25">
      <c r="B31" s="3514" t="s">
        <v>121</v>
      </c>
      <c r="C31" s="3514"/>
      <c r="D31" s="3514"/>
    </row>
    <row r="32" spans="2:4" x14ac:dyDescent="0.25">
      <c r="B32" s="2427" t="s">
        <v>122</v>
      </c>
      <c r="C32" s="2428"/>
      <c r="D32" s="55" t="s">
        <v>7478</v>
      </c>
    </row>
    <row r="33" spans="2:4" x14ac:dyDescent="0.25">
      <c r="B33" s="2427" t="s">
        <v>124</v>
      </c>
      <c r="C33" s="2428"/>
      <c r="D33" s="55" t="s">
        <v>7479</v>
      </c>
    </row>
    <row r="34" spans="2:4" x14ac:dyDescent="0.25">
      <c r="B34" s="2427" t="s">
        <v>126</v>
      </c>
      <c r="C34" s="2428"/>
      <c r="D34" s="55" t="s">
        <v>5806</v>
      </c>
    </row>
    <row r="35" spans="2:4" x14ac:dyDescent="0.25">
      <c r="B35" s="2427" t="s">
        <v>128</v>
      </c>
      <c r="C35" s="2428"/>
      <c r="D35" s="55" t="s">
        <v>7480</v>
      </c>
    </row>
    <row r="36" spans="2:4" x14ac:dyDescent="0.25">
      <c r="B36" s="2427" t="s">
        <v>130</v>
      </c>
      <c r="C36" s="2428"/>
      <c r="D36" s="247" t="s">
        <v>7481</v>
      </c>
    </row>
    <row r="37" spans="2:4" x14ac:dyDescent="0.25">
      <c r="B37" s="2427" t="s">
        <v>122</v>
      </c>
      <c r="C37" s="2428"/>
      <c r="D37" s="55" t="s">
        <v>5809</v>
      </c>
    </row>
    <row r="38" spans="2:4" x14ac:dyDescent="0.25">
      <c r="B38" s="2427" t="s">
        <v>124</v>
      </c>
      <c r="C38" s="2428"/>
      <c r="D38" s="55" t="s">
        <v>7482</v>
      </c>
    </row>
    <row r="39" spans="2:4" x14ac:dyDescent="0.25">
      <c r="B39" s="2427" t="s">
        <v>126</v>
      </c>
      <c r="C39" s="2428"/>
      <c r="D39" s="55" t="s">
        <v>7480</v>
      </c>
    </row>
    <row r="40" spans="2:4" x14ac:dyDescent="0.25">
      <c r="B40" s="2427" t="s">
        <v>128</v>
      </c>
      <c r="C40" s="2428"/>
      <c r="D40" s="55" t="s">
        <v>1760</v>
      </c>
    </row>
    <row r="41" spans="2:4" x14ac:dyDescent="0.25">
      <c r="B41" s="2427" t="s">
        <v>130</v>
      </c>
      <c r="C41" s="2428"/>
      <c r="D41" s="247" t="s">
        <v>7483</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09AD73C3-4C6B-45D0-85A0-AFACC1D32F86}">
      <formula1>Tipo_operación</formula1>
    </dataValidation>
    <dataValidation type="list" allowBlank="1" showInputMessage="1" showErrorMessage="1" sqref="D14" xr:uid="{7A85E59D-ACDB-4DD7-97FB-FB1CD18B86D0}">
      <formula1>Tipo_indicador</formula1>
    </dataValidation>
    <dataValidation type="list" allowBlank="1" showInputMessage="1" showErrorMessage="1" sqref="D7" xr:uid="{BE3FB207-3638-4AAE-8657-51246519096A}">
      <formula1>Nombre_indicador_ODS</formula1>
    </dataValidation>
    <dataValidation type="list" allowBlank="1" showInputMessage="1" showErrorMessage="1" sqref="D6" xr:uid="{DE188B59-7966-4D83-89E2-4BB1069C1644}">
      <formula1>Numero_indicador</formula1>
    </dataValidation>
    <dataValidation type="list" allowBlank="1" showInputMessage="1" showErrorMessage="1" sqref="D5" xr:uid="{71479EB0-7157-42F4-B1EA-92AF0E552D30}">
      <formula1>Metas_ODS</formula1>
    </dataValidation>
    <dataValidation type="list" allowBlank="1" showInputMessage="1" showErrorMessage="1" sqref="D4" xr:uid="{57171739-9DAF-4423-99AE-E5515BF8234C}">
      <formula1>ODS</formula1>
    </dataValidation>
  </dataValidations>
  <hyperlinks>
    <hyperlink ref="B1" location="'16.2.2'!A1" display="REGRESAR" xr:uid="{63E9CC36-DCC7-4465-8398-D9F9B98D47EE}"/>
    <hyperlink ref="D8" r:id="rId1" xr:uid="{89B2DC01-A935-4190-83B1-054A8C348A32}"/>
    <hyperlink ref="D41" r:id="rId2" xr:uid="{93D268FE-3992-453E-BC24-BD87F35DC0A1}"/>
    <hyperlink ref="D36" r:id="rId3" xr:uid="{E3203087-070D-4FA5-A554-65CCA57B7EE5}"/>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6AC87-C710-4412-8DFE-802BF16EA4D8}">
  <dimension ref="A1:R41"/>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1.42578125" style="115"/>
    <col min="4" max="4" width="11" style="115" customWidth="1"/>
    <col min="5" max="16384" width="11.42578125" style="115"/>
  </cols>
  <sheetData>
    <row r="1" spans="1:18" x14ac:dyDescent="0.4">
      <c r="A1" s="90" t="s">
        <v>39</v>
      </c>
      <c r="C1" s="2541" t="s">
        <v>149</v>
      </c>
      <c r="D1" s="2541"/>
    </row>
    <row r="3" spans="1:18" ht="20.45" customHeight="1" x14ac:dyDescent="0.4">
      <c r="A3" s="3508" t="s">
        <v>41</v>
      </c>
      <c r="B3" s="3513"/>
      <c r="C3" s="3508" t="s">
        <v>7281</v>
      </c>
      <c r="D3" s="3510"/>
      <c r="E3" s="3510"/>
      <c r="F3" s="3510"/>
      <c r="G3" s="3510"/>
      <c r="H3" s="3510"/>
      <c r="I3" s="3510"/>
      <c r="J3" s="3510"/>
      <c r="K3" s="3510"/>
      <c r="L3" s="3510"/>
      <c r="M3" s="3510"/>
      <c r="N3" s="3510"/>
      <c r="O3" s="3510"/>
      <c r="P3" s="3510"/>
      <c r="Q3" s="3510"/>
      <c r="R3" s="3510"/>
    </row>
    <row r="4" spans="1:18" ht="20.45" customHeight="1" x14ac:dyDescent="0.4">
      <c r="A4" s="3508" t="s">
        <v>42</v>
      </c>
      <c r="B4" s="3509"/>
      <c r="C4" s="3508" t="s">
        <v>7291</v>
      </c>
      <c r="D4" s="3519"/>
      <c r="E4" s="3519"/>
      <c r="F4" s="3519"/>
      <c r="G4" s="3519"/>
      <c r="H4" s="3519"/>
      <c r="I4" s="3519"/>
      <c r="J4" s="3519"/>
      <c r="K4" s="3519"/>
      <c r="L4" s="3519"/>
      <c r="M4" s="3519"/>
      <c r="N4" s="3519"/>
      <c r="O4" s="3519"/>
      <c r="P4" s="3519"/>
      <c r="Q4" s="3519"/>
      <c r="R4" s="3519"/>
    </row>
    <row r="5" spans="1:18" ht="20.45" customHeight="1" x14ac:dyDescent="0.4">
      <c r="A5" s="3508" t="s">
        <v>43</v>
      </c>
      <c r="B5" s="3509"/>
      <c r="C5" s="3508" t="s">
        <v>7297</v>
      </c>
      <c r="D5" s="3519"/>
      <c r="E5" s="3519"/>
      <c r="F5" s="3519"/>
      <c r="G5" s="3519"/>
      <c r="H5" s="3519"/>
      <c r="I5" s="3519"/>
      <c r="J5" s="3519"/>
      <c r="K5" s="3519"/>
      <c r="L5" s="3519"/>
      <c r="M5" s="3519"/>
      <c r="N5" s="3519"/>
      <c r="O5" s="3519"/>
      <c r="P5" s="3519"/>
      <c r="Q5" s="3519"/>
      <c r="R5" s="3519"/>
    </row>
    <row r="6" spans="1:18" ht="19.5" x14ac:dyDescent="0.4">
      <c r="A6" s="3508" t="s">
        <v>132</v>
      </c>
      <c r="B6" s="3509"/>
      <c r="C6" s="3508" t="s">
        <v>7484</v>
      </c>
      <c r="D6" s="3519"/>
      <c r="E6" s="3519"/>
      <c r="F6" s="3519"/>
      <c r="G6" s="3519"/>
      <c r="H6" s="3519"/>
      <c r="I6" s="3519"/>
      <c r="J6" s="3519"/>
      <c r="K6" s="3519"/>
      <c r="L6" s="3519"/>
      <c r="M6" s="3519"/>
      <c r="N6" s="3519"/>
      <c r="O6" s="3519"/>
      <c r="P6" s="3519"/>
      <c r="Q6" s="3519"/>
      <c r="R6" s="3519"/>
    </row>
    <row r="9" spans="1:18" ht="18.600000000000001" customHeight="1" x14ac:dyDescent="0.4">
      <c r="C9" s="163" t="s">
        <v>7485</v>
      </c>
      <c r="D9" s="163"/>
      <c r="E9" s="163"/>
      <c r="F9" s="163"/>
      <c r="G9" s="163"/>
      <c r="H9" s="163"/>
      <c r="I9" s="163"/>
      <c r="J9" s="163"/>
      <c r="K9" s="163"/>
      <c r="L9" s="163"/>
      <c r="M9" s="163"/>
      <c r="N9" s="163"/>
      <c r="O9" s="163"/>
      <c r="P9" s="163"/>
      <c r="Q9" s="163"/>
      <c r="R9" s="163"/>
    </row>
    <row r="10" spans="1:18" ht="12" customHeight="1" x14ac:dyDescent="0.4">
      <c r="C10" s="533"/>
      <c r="D10" s="533"/>
      <c r="E10" s="533"/>
      <c r="F10" s="533"/>
      <c r="G10" s="533"/>
      <c r="H10" s="533"/>
      <c r="I10" s="533"/>
      <c r="J10" s="533"/>
      <c r="K10" s="533"/>
      <c r="L10" s="533"/>
      <c r="M10" s="533"/>
      <c r="N10" s="533"/>
      <c r="O10" s="533"/>
      <c r="P10" s="533"/>
      <c r="Q10" s="533"/>
      <c r="R10" s="533"/>
    </row>
    <row r="11" spans="1:18" ht="24" customHeight="1" x14ac:dyDescent="0.4">
      <c r="C11" s="3502" t="s">
        <v>46</v>
      </c>
      <c r="D11" s="3504" t="s">
        <v>7486</v>
      </c>
      <c r="E11" s="3504"/>
      <c r="F11" s="3504"/>
      <c r="G11" s="3504" t="s">
        <v>7487</v>
      </c>
      <c r="H11" s="3504"/>
      <c r="I11" s="3504"/>
      <c r="J11" s="3504" t="s">
        <v>969</v>
      </c>
      <c r="K11" s="3504"/>
      <c r="L11" s="3504"/>
      <c r="M11" s="3504" t="s">
        <v>53</v>
      </c>
      <c r="N11" s="3504"/>
      <c r="O11" s="3504"/>
      <c r="P11" s="3504" t="s">
        <v>54</v>
      </c>
      <c r="Q11" s="3504"/>
      <c r="R11" s="3504"/>
    </row>
    <row r="12" spans="1:18" ht="88.15" customHeight="1" x14ac:dyDescent="0.4">
      <c r="A12" s="141"/>
      <c r="C12" s="3503"/>
      <c r="D12" s="2104" t="s">
        <v>47</v>
      </c>
      <c r="E12" s="2104" t="s">
        <v>7488</v>
      </c>
      <c r="F12" s="2104" t="s">
        <v>7489</v>
      </c>
      <c r="G12" s="2104" t="s">
        <v>47</v>
      </c>
      <c r="H12" s="2104" t="s">
        <v>7488</v>
      </c>
      <c r="I12" s="2104" t="s">
        <v>7489</v>
      </c>
      <c r="J12" s="2104" t="s">
        <v>47</v>
      </c>
      <c r="K12" s="2104" t="s">
        <v>7488</v>
      </c>
      <c r="L12" s="2104" t="s">
        <v>7489</v>
      </c>
      <c r="M12" s="2104" t="s">
        <v>47</v>
      </c>
      <c r="N12" s="2104" t="s">
        <v>7488</v>
      </c>
      <c r="O12" s="2104" t="s">
        <v>7489</v>
      </c>
      <c r="P12" s="2104" t="s">
        <v>47</v>
      </c>
      <c r="Q12" s="2104" t="s">
        <v>7488</v>
      </c>
      <c r="R12" s="2104" t="s">
        <v>7489</v>
      </c>
    </row>
    <row r="13" spans="1:18" x14ac:dyDescent="0.4">
      <c r="A13" s="835"/>
      <c r="C13" s="198">
        <v>2013</v>
      </c>
      <c r="D13" s="2167">
        <v>1058880</v>
      </c>
      <c r="E13" s="2167">
        <v>367755</v>
      </c>
      <c r="F13" s="2168">
        <f>+E13/D13*100</f>
        <v>34.730564369900272</v>
      </c>
      <c r="G13" s="2167">
        <v>638115.62380152568</v>
      </c>
      <c r="H13" s="2167">
        <v>194530.38908685415</v>
      </c>
      <c r="I13" s="2169">
        <f>+H13/G13*100</f>
        <v>30.485131821088164</v>
      </c>
      <c r="J13" s="2167">
        <v>420764.51147554215</v>
      </c>
      <c r="K13" s="2167">
        <v>173224.95990697216</v>
      </c>
      <c r="L13" s="2169">
        <f>+K13/J13*100</f>
        <v>41.169099385189298</v>
      </c>
      <c r="M13" s="2167">
        <v>519069.00360083219</v>
      </c>
      <c r="N13" s="2167">
        <v>155000.50701978334</v>
      </c>
      <c r="O13" s="2169">
        <f>+N13/M13*100</f>
        <v>29.861252732205106</v>
      </c>
      <c r="P13" s="2167">
        <v>539811.13167623582</v>
      </c>
      <c r="Q13" s="2167">
        <v>212754.84197404282</v>
      </c>
      <c r="R13" s="2169">
        <f>+Q13/P13*100</f>
        <v>39.412829689782583</v>
      </c>
    </row>
    <row r="14" spans="1:18" x14ac:dyDescent="0.4">
      <c r="A14" s="536"/>
      <c r="C14" s="606">
        <v>2018</v>
      </c>
      <c r="D14" s="2170">
        <v>1009506</v>
      </c>
      <c r="E14" s="2170">
        <v>453258</v>
      </c>
      <c r="F14" s="2171">
        <f>+E14/D14*100</f>
        <v>44.898990199166718</v>
      </c>
      <c r="G14" s="2170">
        <v>603184.21381981776</v>
      </c>
      <c r="H14" s="2170">
        <v>253855.10966949124</v>
      </c>
      <c r="I14" s="2172">
        <f>+H14/G14*100</f>
        <v>42.085834452113566</v>
      </c>
      <c r="J14" s="2170">
        <v>406322.43740794709</v>
      </c>
      <c r="K14" s="2170">
        <v>199402.87245227999</v>
      </c>
      <c r="L14" s="2172">
        <f>+K14/J14*100</f>
        <v>49.075033543392486</v>
      </c>
      <c r="M14" s="2170">
        <v>500759</v>
      </c>
      <c r="N14" s="2170">
        <v>228688.92813886973</v>
      </c>
      <c r="O14" s="2172">
        <f>+N14/M14*100</f>
        <v>45.668460904121488</v>
      </c>
      <c r="P14" s="2170">
        <v>508748</v>
      </c>
      <c r="Q14" s="2170">
        <v>224569.05398290177</v>
      </c>
      <c r="R14" s="2172">
        <f>+Q14/P14*100</f>
        <v>44.141510921497826</v>
      </c>
    </row>
    <row r="15" spans="1:18" ht="17.45" customHeight="1" x14ac:dyDescent="0.4">
      <c r="A15" s="536"/>
      <c r="C15" s="1534" t="s">
        <v>7490</v>
      </c>
      <c r="D15" s="1534"/>
      <c r="E15" s="1534"/>
      <c r="F15" s="1534"/>
      <c r="G15" s="1534"/>
      <c r="H15" s="1534"/>
      <c r="I15" s="1534"/>
      <c r="J15" s="1534"/>
      <c r="K15" s="1534"/>
      <c r="L15" s="1534"/>
      <c r="M15" s="1534"/>
      <c r="N15" s="1534"/>
      <c r="O15" s="1534"/>
      <c r="P15" s="1534"/>
      <c r="Q15" s="1534"/>
      <c r="R15" s="1534"/>
    </row>
    <row r="16" spans="1:18" x14ac:dyDescent="0.4">
      <c r="A16" s="536"/>
    </row>
    <row r="17" spans="1:10" x14ac:dyDescent="0.4">
      <c r="A17" s="536"/>
    </row>
    <row r="18" spans="1:10" x14ac:dyDescent="0.4">
      <c r="A18" s="536"/>
      <c r="C18" s="1089"/>
    </row>
    <row r="19" spans="1:10" x14ac:dyDescent="0.4">
      <c r="A19" s="536"/>
    </row>
    <row r="20" spans="1:10" ht="21" customHeight="1" x14ac:dyDescent="0.4">
      <c r="A20" s="536"/>
      <c r="C20" s="138" t="s">
        <v>7491</v>
      </c>
      <c r="D20" s="2173"/>
      <c r="E20" s="2173"/>
      <c r="F20" s="2174"/>
      <c r="G20" s="1032"/>
      <c r="H20" s="1032"/>
      <c r="I20" s="1032"/>
      <c r="J20" s="1032"/>
    </row>
    <row r="21" spans="1:10" x14ac:dyDescent="0.4">
      <c r="A21" s="536"/>
    </row>
    <row r="22" spans="1:10" x14ac:dyDescent="0.4">
      <c r="A22" s="536"/>
    </row>
    <row r="23" spans="1:10" x14ac:dyDescent="0.4">
      <c r="A23" s="536"/>
    </row>
    <row r="24" spans="1:10" x14ac:dyDescent="0.4">
      <c r="A24" s="536"/>
    </row>
    <row r="25" spans="1:10" x14ac:dyDescent="0.4">
      <c r="A25" s="536"/>
      <c r="C25" s="2175"/>
    </row>
    <row r="26" spans="1:10" x14ac:dyDescent="0.4">
      <c r="A26" s="536"/>
      <c r="C26" s="2176"/>
    </row>
    <row r="27" spans="1:10" x14ac:dyDescent="0.4">
      <c r="A27" s="536"/>
      <c r="C27" s="2176"/>
    </row>
    <row r="28" spans="1:10" x14ac:dyDescent="0.4">
      <c r="A28" s="536"/>
      <c r="C28" s="2176"/>
    </row>
    <row r="29" spans="1:10" x14ac:dyDescent="0.4">
      <c r="A29" s="536"/>
    </row>
    <row r="30" spans="1:10" x14ac:dyDescent="0.4">
      <c r="A30" s="536"/>
    </row>
    <row r="31" spans="1:10" x14ac:dyDescent="0.4">
      <c r="A31" s="536"/>
    </row>
    <row r="32" spans="1:10" x14ac:dyDescent="0.4">
      <c r="A32" s="536"/>
    </row>
    <row r="33" spans="1:3" x14ac:dyDescent="0.4">
      <c r="A33" s="536"/>
    </row>
    <row r="34" spans="1:3" x14ac:dyDescent="0.4">
      <c r="A34" s="536"/>
    </row>
    <row r="35" spans="1:3" x14ac:dyDescent="0.4">
      <c r="A35" s="536"/>
    </row>
    <row r="36" spans="1:3" x14ac:dyDescent="0.4">
      <c r="A36" s="536"/>
    </row>
    <row r="37" spans="1:3" x14ac:dyDescent="0.4">
      <c r="A37" s="536"/>
    </row>
    <row r="38" spans="1:3" x14ac:dyDescent="0.4">
      <c r="A38" s="536"/>
    </row>
    <row r="39" spans="1:3" x14ac:dyDescent="0.4">
      <c r="A39" s="536"/>
    </row>
    <row r="41" spans="1:3" x14ac:dyDescent="0.4">
      <c r="C41" s="115" t="s">
        <v>7490</v>
      </c>
    </row>
  </sheetData>
  <mergeCells count="15">
    <mergeCell ref="A5:B5"/>
    <mergeCell ref="C5:R5"/>
    <mergeCell ref="C1:D1"/>
    <mergeCell ref="A3:B3"/>
    <mergeCell ref="C3:R3"/>
    <mergeCell ref="A4:B4"/>
    <mergeCell ref="C4:R4"/>
    <mergeCell ref="A6:B6"/>
    <mergeCell ref="C6:R6"/>
    <mergeCell ref="C11:C12"/>
    <mergeCell ref="D11:F11"/>
    <mergeCell ref="G11:I11"/>
    <mergeCell ref="J11:L11"/>
    <mergeCell ref="M11:O11"/>
    <mergeCell ref="P11:R11"/>
  </mergeCells>
  <hyperlinks>
    <hyperlink ref="A1" location="'ODS 16.'!A1" display="REGRESAR" xr:uid="{64A41A28-2FDE-4428-A087-755F640EC6F7}"/>
    <hyperlink ref="C1:D1" location="'Metadato 16.2.3'!A1" display="VER METADATO" xr:uid="{C5BD4325-94C2-487B-BCF0-7A7DE87776AB}"/>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7BA-5DEA-47D3-ABF0-F891D0C0CFD3}">
  <sheetPr>
    <tabColor theme="5"/>
  </sheetPr>
  <dimension ref="A1:P29"/>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42578125" style="16" customWidth="1"/>
    <col min="3" max="3" width="11.7109375" style="218" customWidth="1"/>
    <col min="4" max="5" width="11.7109375" style="16" customWidth="1"/>
    <col min="6" max="16384" width="11.42578125" style="16"/>
  </cols>
  <sheetData>
    <row r="1" spans="1:16" x14ac:dyDescent="0.4">
      <c r="A1" s="68" t="s">
        <v>39</v>
      </c>
      <c r="B1" s="161"/>
      <c r="C1" s="2421" t="s">
        <v>149</v>
      </c>
      <c r="D1" s="2421"/>
    </row>
    <row r="3" spans="1:16" x14ac:dyDescent="0.4">
      <c r="A3" s="2508" t="s">
        <v>41</v>
      </c>
      <c r="B3" s="2508"/>
      <c r="C3" s="2508" t="s">
        <v>396</v>
      </c>
      <c r="D3" s="2508"/>
      <c r="E3" s="2508"/>
      <c r="F3" s="2508"/>
      <c r="G3" s="2508"/>
      <c r="H3" s="2508"/>
      <c r="I3" s="2508"/>
      <c r="J3" s="2508"/>
      <c r="K3" s="2508"/>
      <c r="L3" s="2508"/>
      <c r="M3" s="2508"/>
      <c r="N3" s="2508"/>
      <c r="O3" s="2508"/>
      <c r="P3" s="2508"/>
    </row>
    <row r="4" spans="1:16" ht="55.9" customHeight="1" x14ac:dyDescent="0.4">
      <c r="A4" s="2508" t="s">
        <v>42</v>
      </c>
      <c r="B4" s="2508"/>
      <c r="C4" s="2509" t="s">
        <v>417</v>
      </c>
      <c r="D4" s="2509"/>
      <c r="E4" s="2509"/>
      <c r="F4" s="2509"/>
      <c r="G4" s="2509"/>
      <c r="H4" s="2509"/>
      <c r="I4" s="2509"/>
      <c r="J4" s="2509"/>
      <c r="K4" s="2509"/>
      <c r="L4" s="2509"/>
      <c r="M4" s="2509"/>
      <c r="N4" s="2509"/>
      <c r="O4" s="2509"/>
      <c r="P4" s="2509"/>
    </row>
    <row r="5" spans="1:16" x14ac:dyDescent="0.4">
      <c r="A5" s="2508" t="s">
        <v>43</v>
      </c>
      <c r="B5" s="2508"/>
      <c r="C5" s="2508" t="s">
        <v>619</v>
      </c>
      <c r="D5" s="2508"/>
      <c r="E5" s="2508"/>
      <c r="F5" s="2508"/>
      <c r="G5" s="2508"/>
      <c r="H5" s="2508"/>
      <c r="I5" s="2508"/>
      <c r="J5" s="2508"/>
      <c r="K5" s="2508"/>
      <c r="L5" s="2508"/>
      <c r="M5" s="2508"/>
      <c r="N5" s="2508"/>
      <c r="O5" s="2508"/>
      <c r="P5" s="2508"/>
    </row>
    <row r="6" spans="1:16" x14ac:dyDescent="0.4">
      <c r="A6" s="2508" t="s">
        <v>132</v>
      </c>
      <c r="B6" s="2508"/>
      <c r="C6" s="2508" t="s">
        <v>242</v>
      </c>
      <c r="D6" s="2508"/>
      <c r="E6" s="2508"/>
      <c r="F6" s="2508"/>
      <c r="G6" s="2508"/>
      <c r="H6" s="2508"/>
      <c r="I6" s="2508"/>
      <c r="J6" s="2508"/>
      <c r="K6" s="2508"/>
      <c r="L6" s="2508"/>
      <c r="M6" s="2508"/>
      <c r="N6" s="2508"/>
      <c r="O6" s="2508"/>
      <c r="P6" s="2508"/>
    </row>
    <row r="7" spans="1:16" x14ac:dyDescent="0.4">
      <c r="A7" s="217"/>
    </row>
    <row r="8" spans="1:16" x14ac:dyDescent="0.4">
      <c r="A8" s="217"/>
    </row>
    <row r="9" spans="1:16" ht="11.25" customHeight="1" x14ac:dyDescent="0.4">
      <c r="A9" s="217"/>
      <c r="C9" s="2506" t="s">
        <v>243</v>
      </c>
      <c r="D9" s="2506"/>
      <c r="E9" s="2506"/>
      <c r="F9" s="2506"/>
      <c r="G9" s="2506"/>
      <c r="H9" s="2506"/>
      <c r="I9" s="2506"/>
      <c r="J9" s="2506"/>
      <c r="K9" s="2506"/>
      <c r="L9" s="2506"/>
      <c r="M9" s="2506"/>
      <c r="N9" s="2506"/>
      <c r="O9" s="2506"/>
      <c r="P9" s="2506"/>
    </row>
    <row r="10" spans="1:16" ht="11.25" customHeight="1" x14ac:dyDescent="0.4">
      <c r="A10" s="217"/>
      <c r="C10" s="2506"/>
      <c r="D10" s="2506"/>
      <c r="E10" s="2506"/>
      <c r="F10" s="2506"/>
      <c r="G10" s="2506"/>
      <c r="H10" s="2506"/>
      <c r="I10" s="2506"/>
      <c r="J10" s="2506"/>
      <c r="K10" s="2506"/>
      <c r="L10" s="2506"/>
      <c r="M10" s="2506"/>
      <c r="N10" s="2506"/>
      <c r="O10" s="2506"/>
      <c r="P10" s="2506"/>
    </row>
    <row r="11" spans="1:16" x14ac:dyDescent="0.4">
      <c r="A11" s="217"/>
    </row>
    <row r="12" spans="1:16" x14ac:dyDescent="0.4">
      <c r="A12" s="217"/>
    </row>
    <row r="13" spans="1:16" x14ac:dyDescent="0.4">
      <c r="A13" s="217"/>
    </row>
    <row r="14" spans="1:16" x14ac:dyDescent="0.4">
      <c r="A14" s="217"/>
    </row>
    <row r="15" spans="1:16" x14ac:dyDescent="0.4">
      <c r="A15" s="217"/>
    </row>
    <row r="16" spans="1:16" x14ac:dyDescent="0.4">
      <c r="A16" s="217"/>
    </row>
    <row r="17" spans="1:1" x14ac:dyDescent="0.4">
      <c r="A17" s="217"/>
    </row>
    <row r="18" spans="1:1" x14ac:dyDescent="0.4">
      <c r="A18" s="217"/>
    </row>
    <row r="19" spans="1:1" x14ac:dyDescent="0.4">
      <c r="A19" s="217"/>
    </row>
    <row r="20" spans="1:1" x14ac:dyDescent="0.4">
      <c r="A20" s="217"/>
    </row>
    <row r="21" spans="1:1" x14ac:dyDescent="0.4">
      <c r="A21" s="217"/>
    </row>
    <row r="22" spans="1:1" x14ac:dyDescent="0.4">
      <c r="A22" s="217"/>
    </row>
    <row r="23" spans="1:1" x14ac:dyDescent="0.4">
      <c r="A23" s="217"/>
    </row>
    <row r="24" spans="1:1" x14ac:dyDescent="0.4">
      <c r="A24" s="217"/>
    </row>
    <row r="25" spans="1:1" x14ac:dyDescent="0.4">
      <c r="A25" s="217"/>
    </row>
    <row r="26" spans="1:1" x14ac:dyDescent="0.4">
      <c r="A26" s="217"/>
    </row>
    <row r="27" spans="1:1" x14ac:dyDescent="0.4">
      <c r="A27" s="217"/>
    </row>
    <row r="28" spans="1:1" x14ac:dyDescent="0.4">
      <c r="A28" s="217"/>
    </row>
    <row r="29" spans="1:1" x14ac:dyDescent="0.4">
      <c r="A29" s="217"/>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A1DA3F07-578B-44E3-A170-C49189142026}"/>
    <hyperlink ref="C1" location="'Metadato 2.5.1'!A1" display="VER METADATO" xr:uid="{686CD26D-DBE5-4934-8596-9E3946B7F453}"/>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5F7C-8700-4C9B-8B6F-67D483AFC52E}">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286" t="s">
        <v>265</v>
      </c>
    </row>
    <row r="4" spans="2:6" ht="37.5" x14ac:dyDescent="0.25">
      <c r="B4" s="2425" t="s">
        <v>234</v>
      </c>
      <c r="C4" s="2425"/>
      <c r="D4" s="49" t="s">
        <v>7369</v>
      </c>
    </row>
    <row r="5" spans="2:6" x14ac:dyDescent="0.25">
      <c r="B5" s="2425" t="s">
        <v>79</v>
      </c>
      <c r="C5" s="2425"/>
      <c r="D5" s="49" t="s">
        <v>7291</v>
      </c>
    </row>
    <row r="6" spans="2:6" x14ac:dyDescent="0.25">
      <c r="B6" s="2425" t="s">
        <v>80</v>
      </c>
      <c r="C6" s="2425"/>
      <c r="D6" s="50" t="s">
        <v>7296</v>
      </c>
    </row>
    <row r="7" spans="2:6" ht="37.5" x14ac:dyDescent="0.25">
      <c r="B7" s="2426" t="s">
        <v>81</v>
      </c>
      <c r="C7" s="2426"/>
      <c r="D7" s="93" t="s">
        <v>7297</v>
      </c>
    </row>
    <row r="8" spans="2:6" x14ac:dyDescent="0.25">
      <c r="B8" s="2426" t="s">
        <v>82</v>
      </c>
      <c r="C8" s="2426"/>
      <c r="D8" s="1047" t="s">
        <v>7492</v>
      </c>
    </row>
    <row r="9" spans="2:6" x14ac:dyDescent="0.4">
      <c r="B9" s="115"/>
      <c r="C9" s="115"/>
      <c r="D9" s="115"/>
    </row>
    <row r="10" spans="2:6" ht="23.25" customHeight="1" x14ac:dyDescent="0.25">
      <c r="B10" s="3514" t="s">
        <v>85</v>
      </c>
      <c r="C10" s="3514"/>
      <c r="D10" s="3514"/>
    </row>
    <row r="11" spans="2:6" ht="15.75" customHeight="1" x14ac:dyDescent="0.25">
      <c r="B11" s="2427" t="s">
        <v>86</v>
      </c>
      <c r="C11" s="2428"/>
      <c r="D11" s="49" t="s">
        <v>167</v>
      </c>
    </row>
    <row r="12" spans="2:6" ht="18.75" customHeight="1" x14ac:dyDescent="0.25">
      <c r="B12" s="2426" t="s">
        <v>88</v>
      </c>
      <c r="C12" s="2426"/>
      <c r="D12" s="184" t="s">
        <v>7493</v>
      </c>
    </row>
    <row r="13" spans="2:6" x14ac:dyDescent="0.25">
      <c r="B13" s="2425" t="s">
        <v>90</v>
      </c>
      <c r="C13" s="2425"/>
      <c r="D13" s="55" t="s">
        <v>7296</v>
      </c>
    </row>
    <row r="14" spans="2:6" x14ac:dyDescent="0.25">
      <c r="B14" s="2425" t="s">
        <v>91</v>
      </c>
      <c r="C14" s="2428"/>
      <c r="D14" s="54" t="s">
        <v>214</v>
      </c>
    </row>
    <row r="15" spans="2:6" ht="168.75" customHeight="1" x14ac:dyDescent="0.25">
      <c r="B15" s="2425" t="s">
        <v>93</v>
      </c>
      <c r="C15" s="2425"/>
      <c r="D15" s="55" t="s">
        <v>7494</v>
      </c>
    </row>
    <row r="16" spans="2:6" ht="59.25" customHeight="1" x14ac:dyDescent="0.25">
      <c r="B16" s="2425" t="s">
        <v>95</v>
      </c>
      <c r="C16" s="2425"/>
      <c r="D16" s="55"/>
    </row>
    <row r="17" spans="2:4" x14ac:dyDescent="0.25">
      <c r="B17" s="2425" t="s">
        <v>97</v>
      </c>
      <c r="C17" s="2425"/>
      <c r="D17" s="55" t="s">
        <v>98</v>
      </c>
    </row>
    <row r="18" spans="2:4" x14ac:dyDescent="0.25">
      <c r="B18" s="2426" t="s">
        <v>99</v>
      </c>
      <c r="C18" s="2426"/>
      <c r="D18" s="49"/>
    </row>
    <row r="19" spans="2:4" ht="56.25" x14ac:dyDescent="0.25">
      <c r="B19" s="2435" t="s">
        <v>100</v>
      </c>
      <c r="C19" s="2436"/>
      <c r="D19" s="55" t="s">
        <v>7495</v>
      </c>
    </row>
    <row r="20" spans="2:4" x14ac:dyDescent="0.25">
      <c r="B20" s="2425" t="s">
        <v>102</v>
      </c>
      <c r="C20" s="2425"/>
      <c r="D20" s="55" t="s">
        <v>140</v>
      </c>
    </row>
    <row r="21" spans="2:4" x14ac:dyDescent="0.25">
      <c r="B21" s="2432" t="s">
        <v>104</v>
      </c>
      <c r="C21" s="57" t="s">
        <v>105</v>
      </c>
      <c r="D21" s="55" t="s">
        <v>313</v>
      </c>
    </row>
    <row r="22" spans="2:4" x14ac:dyDescent="0.25">
      <c r="B22" s="2433"/>
      <c r="C22" s="58" t="s">
        <v>107</v>
      </c>
      <c r="D22" s="55"/>
    </row>
    <row r="23" spans="2:4" x14ac:dyDescent="0.25">
      <c r="B23" s="2425" t="s">
        <v>109</v>
      </c>
      <c r="C23" s="2425"/>
      <c r="D23" s="55" t="s">
        <v>574</v>
      </c>
    </row>
    <row r="24" spans="2:4" x14ac:dyDescent="0.25">
      <c r="B24" s="2425" t="s">
        <v>111</v>
      </c>
      <c r="C24" s="2425"/>
      <c r="D24" s="50" t="s">
        <v>7496</v>
      </c>
    </row>
    <row r="25" spans="2:4" x14ac:dyDescent="0.25">
      <c r="B25" s="2425" t="s">
        <v>113</v>
      </c>
      <c r="C25" s="2425"/>
      <c r="D25" s="55" t="s">
        <v>144</v>
      </c>
    </row>
    <row r="26" spans="2:4" ht="15" customHeight="1" x14ac:dyDescent="0.25">
      <c r="B26" s="2426" t="s">
        <v>115</v>
      </c>
      <c r="C26" s="2426"/>
      <c r="D26" s="50" t="s">
        <v>7497</v>
      </c>
    </row>
    <row r="27" spans="2:4" x14ac:dyDescent="0.25">
      <c r="B27" s="2427" t="s">
        <v>117</v>
      </c>
      <c r="C27" s="2428"/>
      <c r="D27" s="49"/>
    </row>
    <row r="28" spans="2:4" ht="37.5" x14ac:dyDescent="0.25">
      <c r="B28" s="60" t="s">
        <v>118</v>
      </c>
      <c r="C28" s="61"/>
      <c r="D28" s="55" t="s">
        <v>7498</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7499</v>
      </c>
    </row>
    <row r="33" spans="2:4" x14ac:dyDescent="0.25">
      <c r="B33" s="2427" t="s">
        <v>124</v>
      </c>
      <c r="C33" s="2428"/>
      <c r="D33" s="50" t="s">
        <v>7500</v>
      </c>
    </row>
    <row r="34" spans="2:4" x14ac:dyDescent="0.25">
      <c r="B34" s="2427" t="s">
        <v>126</v>
      </c>
      <c r="C34" s="2428"/>
      <c r="D34" s="50" t="s">
        <v>7501</v>
      </c>
    </row>
    <row r="35" spans="2:4" ht="56.25" x14ac:dyDescent="0.25">
      <c r="B35" s="2427" t="s">
        <v>128</v>
      </c>
      <c r="C35" s="2428"/>
      <c r="D35" s="50" t="s">
        <v>7502</v>
      </c>
    </row>
    <row r="36" spans="2:4" x14ac:dyDescent="0.25">
      <c r="B36" s="2427" t="s">
        <v>130</v>
      </c>
      <c r="C36" s="2428"/>
      <c r="D36" s="1312" t="s">
        <v>7503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26065ECB-CB64-41F6-B9BA-27EBEAD418D7}">
      <formula1>Tipo_operación</formula1>
    </dataValidation>
    <dataValidation type="list" allowBlank="1" showInputMessage="1" showErrorMessage="1" sqref="D14" xr:uid="{66F7690C-B4AB-455F-9AC8-49F489D2EA7F}">
      <formula1>Tipo_indicador</formula1>
    </dataValidation>
    <dataValidation type="list" allowBlank="1" showInputMessage="1" showErrorMessage="1" sqref="D7" xr:uid="{256FE23A-027B-40D4-BEBD-B9D562EC046E}">
      <formula1>Nombre_indicador_ODS</formula1>
    </dataValidation>
    <dataValidation type="list" allowBlank="1" showInputMessage="1" showErrorMessage="1" sqref="D6" xr:uid="{AE3F1EAA-FED8-431A-B214-54C1EEDAE101}">
      <formula1>Numero_indicador</formula1>
    </dataValidation>
    <dataValidation type="list" allowBlank="1" showInputMessage="1" showErrorMessage="1" sqref="D5" xr:uid="{DB8CD2C3-1F12-48F3-835D-3F8647828B6C}">
      <formula1>Metas_ODS</formula1>
    </dataValidation>
    <dataValidation type="list" allowBlank="1" showInputMessage="1" showErrorMessage="1" sqref="D4" xr:uid="{5C68DBA2-2476-45A0-B8B8-B70CAA47290A}">
      <formula1>ODS</formula1>
    </dataValidation>
  </dataValidations>
  <hyperlinks>
    <hyperlink ref="B1" location="'16.2.3'!A1" display="REGRESAR" xr:uid="{4BCA5D6B-E7E7-4FC1-8F97-858E24FF2CFF}"/>
    <hyperlink ref="D8" r:id="rId1" xr:uid="{53474302-7DC1-4288-B3B8-9D0D542CDF47}"/>
    <hyperlink ref="D36" r:id="rId2" xr:uid="{37BFC7F4-08E7-406B-A3D7-BDC53B4B2398}"/>
  </hyperlinks>
  <pageMargins left="0.7" right="0.7" top="0.75" bottom="0.75" header="0.3" footer="0.3"/>
  <pageSetup orientation="portrait" horizontalDpi="4294967293" r:id="rId3"/>
  <drawing r:id="rId4"/>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3D7C7-DB8E-44A0-B421-FE63C2B2ED96}">
  <dimension ref="A1:Q43"/>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7109375" style="115" customWidth="1"/>
    <col min="2" max="2" width="17.85546875" style="115" customWidth="1"/>
    <col min="3" max="3" width="10.5703125" style="115" customWidth="1"/>
    <col min="4" max="4" width="10.7109375" style="115" customWidth="1"/>
    <col min="5" max="5" width="3.28515625" style="115" customWidth="1"/>
    <col min="6" max="7" width="11.42578125" style="115"/>
    <col min="8" max="8" width="14" style="115" customWidth="1"/>
    <col min="9" max="9" width="11.42578125" style="115"/>
    <col min="10" max="10" width="14.7109375" style="115" customWidth="1"/>
    <col min="11" max="16384" width="11.42578125" style="115"/>
  </cols>
  <sheetData>
    <row r="1" spans="1:17" x14ac:dyDescent="0.4">
      <c r="A1" s="90" t="s">
        <v>39</v>
      </c>
      <c r="C1" s="2541" t="s">
        <v>149</v>
      </c>
      <c r="D1" s="2541"/>
    </row>
    <row r="3" spans="1:17" ht="36" customHeight="1" x14ac:dyDescent="0.4">
      <c r="A3" s="3508" t="s">
        <v>41</v>
      </c>
      <c r="B3" s="3513"/>
      <c r="C3" s="3520" t="s">
        <v>7281</v>
      </c>
      <c r="D3" s="3529"/>
      <c r="E3" s="3529"/>
      <c r="F3" s="3529"/>
      <c r="G3" s="3529"/>
      <c r="H3" s="3529"/>
      <c r="I3" s="3529"/>
      <c r="J3" s="3529"/>
      <c r="K3" s="3529"/>
      <c r="L3" s="3529"/>
      <c r="M3" s="3529"/>
      <c r="N3" s="3529"/>
      <c r="O3" s="3529"/>
      <c r="P3" s="3529"/>
      <c r="Q3" s="3529"/>
    </row>
    <row r="4" spans="1:17" ht="19.5" x14ac:dyDescent="0.4">
      <c r="A4" s="3508" t="s">
        <v>42</v>
      </c>
      <c r="B4" s="3509"/>
      <c r="C4" s="3508" t="s">
        <v>7298</v>
      </c>
      <c r="D4" s="3519"/>
      <c r="E4" s="3519"/>
      <c r="F4" s="3519"/>
      <c r="G4" s="3519"/>
      <c r="H4" s="3519"/>
      <c r="I4" s="3519"/>
      <c r="J4" s="3519"/>
      <c r="K4" s="3519"/>
      <c r="L4" s="3519"/>
      <c r="M4" s="3519"/>
      <c r="N4" s="3519"/>
      <c r="O4" s="3519"/>
      <c r="P4" s="3519"/>
      <c r="Q4" s="3519"/>
    </row>
    <row r="5" spans="1:17" ht="34.9" customHeight="1" x14ac:dyDescent="0.4">
      <c r="A5" s="3508" t="s">
        <v>43</v>
      </c>
      <c r="B5" s="3509"/>
      <c r="C5" s="3520" t="s">
        <v>7300</v>
      </c>
      <c r="D5" s="3521"/>
      <c r="E5" s="3521"/>
      <c r="F5" s="3521"/>
      <c r="G5" s="3521"/>
      <c r="H5" s="3521"/>
      <c r="I5" s="3521"/>
      <c r="J5" s="3521"/>
      <c r="K5" s="3521"/>
      <c r="L5" s="3521"/>
      <c r="M5" s="3521"/>
      <c r="N5" s="3521"/>
      <c r="O5" s="3521"/>
      <c r="P5" s="3521"/>
      <c r="Q5" s="3521"/>
    </row>
    <row r="6" spans="1:17" ht="19.5" x14ac:dyDescent="0.4">
      <c r="A6" s="3508" t="s">
        <v>132</v>
      </c>
      <c r="B6" s="3509"/>
      <c r="C6" s="3508" t="s">
        <v>7504</v>
      </c>
      <c r="D6" s="3519"/>
      <c r="E6" s="3519"/>
      <c r="F6" s="3519"/>
      <c r="G6" s="3519"/>
      <c r="H6" s="3519"/>
      <c r="I6" s="3519"/>
      <c r="J6" s="3519"/>
      <c r="K6" s="3519"/>
      <c r="L6" s="3519"/>
      <c r="M6" s="3519"/>
      <c r="N6" s="3519"/>
      <c r="O6" s="3519"/>
      <c r="P6" s="3519"/>
      <c r="Q6" s="3519"/>
    </row>
    <row r="9" spans="1:17" ht="19.5" x14ac:dyDescent="0.4">
      <c r="C9" s="1062" t="s">
        <v>7505</v>
      </c>
      <c r="D9" s="1062"/>
      <c r="E9" s="1062"/>
      <c r="F9" s="1062"/>
      <c r="G9" s="1062"/>
      <c r="H9" s="1062"/>
      <c r="I9" s="1062"/>
      <c r="J9" s="1062"/>
      <c r="K9" s="1062"/>
    </row>
    <row r="10" spans="1:17" ht="19.5" x14ac:dyDescent="0.4">
      <c r="C10" s="1062" t="s">
        <v>7506</v>
      </c>
      <c r="D10" s="1062"/>
      <c r="E10" s="1062"/>
      <c r="F10" s="1062"/>
      <c r="G10" s="1062"/>
      <c r="H10" s="1062"/>
      <c r="I10" s="1062"/>
      <c r="J10" s="1062"/>
      <c r="K10" s="1062"/>
    </row>
    <row r="11" spans="1:17" ht="10.15" customHeight="1" x14ac:dyDescent="0.4">
      <c r="C11" s="867"/>
      <c r="D11" s="867"/>
      <c r="E11" s="867"/>
      <c r="F11" s="867"/>
      <c r="G11" s="867"/>
      <c r="H11" s="867"/>
      <c r="I11" s="867"/>
      <c r="J11" s="867"/>
      <c r="K11" s="867"/>
    </row>
    <row r="12" spans="1:17" ht="25.15" customHeight="1" x14ac:dyDescent="0.4">
      <c r="C12" s="2165" t="s">
        <v>247</v>
      </c>
      <c r="D12" s="2165" t="s">
        <v>47</v>
      </c>
      <c r="E12" s="2165"/>
      <c r="F12" s="2101" t="s">
        <v>57</v>
      </c>
      <c r="G12" s="2101" t="s">
        <v>58</v>
      </c>
      <c r="H12" s="2101" t="s">
        <v>59</v>
      </c>
      <c r="I12" s="2101" t="s">
        <v>60</v>
      </c>
      <c r="J12" s="2101" t="s">
        <v>7507</v>
      </c>
      <c r="K12" s="2101" t="s">
        <v>62</v>
      </c>
    </row>
    <row r="13" spans="1:17" x14ac:dyDescent="0.4">
      <c r="C13" s="198">
        <v>1989</v>
      </c>
      <c r="D13" s="1446">
        <v>28.6</v>
      </c>
      <c r="E13" s="1446"/>
      <c r="F13" s="1446">
        <v>28.5</v>
      </c>
      <c r="G13" s="1446">
        <v>21.6</v>
      </c>
      <c r="H13" s="1446">
        <v>40.9</v>
      </c>
      <c r="I13" s="1446">
        <v>30.2</v>
      </c>
      <c r="J13" s="1446">
        <v>19</v>
      </c>
      <c r="K13" s="1446">
        <v>37.5</v>
      </c>
    </row>
    <row r="14" spans="1:17" x14ac:dyDescent="0.4">
      <c r="C14" s="198">
        <v>1992</v>
      </c>
      <c r="D14" s="1446">
        <v>26.6</v>
      </c>
      <c r="E14" s="1446"/>
      <c r="F14" s="1446">
        <v>26.2</v>
      </c>
      <c r="G14" s="1446">
        <v>33.9</v>
      </c>
      <c r="H14" s="1446">
        <v>27.7</v>
      </c>
      <c r="I14" s="1446">
        <v>27.6</v>
      </c>
      <c r="J14" s="1446">
        <v>23</v>
      </c>
      <c r="K14" s="1446">
        <v>36.200000000000003</v>
      </c>
    </row>
    <row r="15" spans="1:17" x14ac:dyDescent="0.4">
      <c r="C15" s="198">
        <v>1994</v>
      </c>
      <c r="D15" s="1446">
        <v>20.5</v>
      </c>
      <c r="E15" s="1446"/>
      <c r="F15" s="1446">
        <v>19.5</v>
      </c>
      <c r="G15" s="1446">
        <v>36.6</v>
      </c>
      <c r="H15" s="1446">
        <v>17.5</v>
      </c>
      <c r="I15" s="1446">
        <v>28.8</v>
      </c>
      <c r="J15" s="1446">
        <v>21</v>
      </c>
      <c r="K15" s="1446">
        <v>18.399999999999999</v>
      </c>
    </row>
    <row r="16" spans="1:17" x14ac:dyDescent="0.4">
      <c r="C16" s="198">
        <v>1997</v>
      </c>
      <c r="D16" s="1446">
        <v>26.9</v>
      </c>
      <c r="E16" s="1446"/>
      <c r="F16" s="1446">
        <v>24.9</v>
      </c>
      <c r="G16" s="1446">
        <v>38.799999999999997</v>
      </c>
      <c r="H16" s="1446">
        <v>33.9</v>
      </c>
      <c r="I16" s="1446">
        <v>27.8</v>
      </c>
      <c r="J16" s="1446">
        <v>35.9</v>
      </c>
      <c r="K16" s="1446">
        <v>34.9</v>
      </c>
    </row>
    <row r="17" spans="3:11" x14ac:dyDescent="0.4">
      <c r="C17" s="198">
        <v>2008</v>
      </c>
      <c r="D17" s="1446">
        <v>23.1</v>
      </c>
      <c r="E17" s="1446"/>
      <c r="F17" s="1446">
        <v>23.3</v>
      </c>
      <c r="G17" s="1446">
        <v>28</v>
      </c>
      <c r="H17" s="1446">
        <v>19.899999999999999</v>
      </c>
      <c r="I17" s="1446">
        <v>22.1</v>
      </c>
      <c r="J17" s="1446">
        <v>18.7</v>
      </c>
      <c r="K17" s="1446">
        <v>33.4</v>
      </c>
    </row>
    <row r="18" spans="3:11" x14ac:dyDescent="0.4">
      <c r="C18" s="198">
        <v>2010</v>
      </c>
      <c r="D18" s="1446">
        <v>23.7</v>
      </c>
      <c r="E18" s="1446"/>
      <c r="F18" s="1446">
        <v>24.2</v>
      </c>
      <c r="G18" s="1446">
        <v>26.1</v>
      </c>
      <c r="H18" s="1446">
        <v>15.7</v>
      </c>
      <c r="I18" s="1446">
        <v>23.8</v>
      </c>
      <c r="J18" s="1446">
        <v>21.9</v>
      </c>
      <c r="K18" s="1446">
        <v>28.5</v>
      </c>
    </row>
    <row r="19" spans="3:11" x14ac:dyDescent="0.4">
      <c r="C19" s="198">
        <v>2014</v>
      </c>
      <c r="D19" s="1446">
        <v>29.65682665406004</v>
      </c>
      <c r="E19" s="1446"/>
      <c r="F19" s="1446">
        <v>29.768872489219429</v>
      </c>
      <c r="G19" s="1446">
        <v>35.488582049920311</v>
      </c>
      <c r="H19" s="1446">
        <v>21.794389509888195</v>
      </c>
      <c r="I19" s="1446">
        <v>29.449570474069326</v>
      </c>
      <c r="J19" s="1446">
        <v>32.327758662078942</v>
      </c>
      <c r="K19" s="1446">
        <v>31.987660054401911</v>
      </c>
    </row>
    <row r="20" spans="3:11" x14ac:dyDescent="0.4">
      <c r="C20" s="198">
        <v>2018</v>
      </c>
      <c r="D20" s="1446">
        <v>25.975524704558584</v>
      </c>
      <c r="E20" s="1446"/>
      <c r="F20" s="1446">
        <v>27.166928753585207</v>
      </c>
      <c r="G20" s="1446">
        <v>25.707854519606709</v>
      </c>
      <c r="H20" s="1446">
        <v>27.037300371909851</v>
      </c>
      <c r="I20" s="1446">
        <v>23.731870986362665</v>
      </c>
      <c r="J20" s="1446">
        <v>21.507113684304997</v>
      </c>
      <c r="K20" s="1446">
        <v>21.280520889853531</v>
      </c>
    </row>
    <row r="21" spans="3:11" x14ac:dyDescent="0.4">
      <c r="C21" s="606">
        <v>2022</v>
      </c>
      <c r="D21" s="2177">
        <v>16.856958375659854</v>
      </c>
      <c r="E21" s="2177"/>
      <c r="F21" s="2177">
        <v>16.033727329056337</v>
      </c>
      <c r="G21" s="2177">
        <v>25.496344747979993</v>
      </c>
      <c r="H21" s="2177">
        <v>10.967387656731443</v>
      </c>
      <c r="I21" s="2177">
        <v>32.387264899161565</v>
      </c>
      <c r="J21" s="2177">
        <v>19.850628014820686</v>
      </c>
      <c r="K21" s="2177">
        <v>23.740900311989304</v>
      </c>
    </row>
    <row r="22" spans="3:11" x14ac:dyDescent="0.4">
      <c r="C22" s="243" t="s">
        <v>7508</v>
      </c>
      <c r="D22" s="243"/>
      <c r="E22" s="243"/>
      <c r="F22" s="243"/>
      <c r="G22" s="243"/>
      <c r="H22" s="243"/>
      <c r="I22" s="243"/>
      <c r="J22" s="243"/>
      <c r="K22" s="243"/>
    </row>
    <row r="23" spans="3:11" x14ac:dyDescent="0.4">
      <c r="C23" s="243" t="s">
        <v>7509</v>
      </c>
      <c r="D23" s="243"/>
      <c r="E23" s="243"/>
      <c r="F23" s="243"/>
      <c r="G23" s="243"/>
      <c r="H23" s="243"/>
      <c r="I23" s="243"/>
      <c r="J23" s="243"/>
      <c r="K23" s="243"/>
    </row>
    <row r="26" spans="3:11" ht="19.5" x14ac:dyDescent="0.4">
      <c r="C26" s="1062" t="s">
        <v>7510</v>
      </c>
      <c r="D26" s="1062"/>
      <c r="E26" s="1062"/>
      <c r="F26" s="1062"/>
      <c r="G26" s="1062"/>
      <c r="H26" s="1062"/>
      <c r="I26" s="1062"/>
      <c r="J26" s="1062"/>
    </row>
    <row r="30" spans="3:11" x14ac:dyDescent="0.4">
      <c r="K30" s="1402"/>
    </row>
    <row r="42" spans="3:9" x14ac:dyDescent="0.4">
      <c r="C42" s="243" t="s">
        <v>7511</v>
      </c>
      <c r="D42" s="243"/>
      <c r="E42" s="243"/>
      <c r="F42" s="243"/>
      <c r="G42" s="243"/>
      <c r="H42" s="243"/>
      <c r="I42" s="243"/>
    </row>
    <row r="43" spans="3:9" x14ac:dyDescent="0.4">
      <c r="C43" s="115" t="s">
        <v>7512</v>
      </c>
    </row>
  </sheetData>
  <mergeCells count="9">
    <mergeCell ref="A6:B6"/>
    <mergeCell ref="C6:Q6"/>
    <mergeCell ref="C1:D1"/>
    <mergeCell ref="A3:B3"/>
    <mergeCell ref="C3:Q3"/>
    <mergeCell ref="A4:B4"/>
    <mergeCell ref="C4:Q4"/>
    <mergeCell ref="A5:B5"/>
    <mergeCell ref="C5:Q5"/>
  </mergeCells>
  <hyperlinks>
    <hyperlink ref="A1" location="'ODS 16.'!A1" display="REGRESAR" xr:uid="{CD45DE03-FBAF-45A1-8D4D-20A35B755401}"/>
    <hyperlink ref="C1:D1" location="'Metadato 16.3.1'!A1" display="VER METADATO" xr:uid="{11AB6D79-B5F2-48DC-AEF5-F8E34DB4AA44}"/>
  </hyperlinks>
  <pageMargins left="0.7" right="0.7" top="0.75" bottom="0.75" header="0.3" footer="0.3"/>
  <pageSetup orientation="portrait" r:id="rId1"/>
  <drawing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5212-7681-477B-8E55-AA22F87E680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0"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77</v>
      </c>
      <c r="C4" s="2425"/>
      <c r="D4" s="49" t="s">
        <v>7369</v>
      </c>
    </row>
    <row r="5" spans="2:6" ht="37.5" x14ac:dyDescent="0.25">
      <c r="B5" s="2425" t="s">
        <v>79</v>
      </c>
      <c r="C5" s="2425"/>
      <c r="D5" s="49" t="s">
        <v>7298</v>
      </c>
    </row>
    <row r="6" spans="2:6" x14ac:dyDescent="0.25">
      <c r="B6" s="2425" t="s">
        <v>80</v>
      </c>
      <c r="C6" s="2425"/>
      <c r="D6" s="50" t="s">
        <v>7299</v>
      </c>
    </row>
    <row r="7" spans="2:6" ht="56.25" x14ac:dyDescent="0.25">
      <c r="B7" s="2426" t="s">
        <v>81</v>
      </c>
      <c r="C7" s="2426"/>
      <c r="D7" s="93" t="s">
        <v>7300</v>
      </c>
    </row>
    <row r="8" spans="2:6" x14ac:dyDescent="0.25">
      <c r="B8" s="2426" t="s">
        <v>82</v>
      </c>
      <c r="C8" s="2426"/>
      <c r="D8" s="1047" t="s">
        <v>7513</v>
      </c>
    </row>
    <row r="9" spans="2:6" x14ac:dyDescent="0.4">
      <c r="B9" s="115"/>
      <c r="C9" s="115"/>
      <c r="D9" s="115"/>
    </row>
    <row r="10" spans="2:6" ht="23.25" customHeight="1" x14ac:dyDescent="0.25">
      <c r="B10" s="3514" t="s">
        <v>85</v>
      </c>
      <c r="C10" s="3514"/>
      <c r="D10" s="3514"/>
    </row>
    <row r="11" spans="2:6" ht="19.5" customHeight="1" x14ac:dyDescent="0.25">
      <c r="B11" s="2427" t="s">
        <v>86</v>
      </c>
      <c r="C11" s="2428"/>
      <c r="D11" s="49" t="s">
        <v>167</v>
      </c>
    </row>
    <row r="12" spans="2:6" ht="41.25" customHeight="1" x14ac:dyDescent="0.25">
      <c r="B12" s="2426" t="s">
        <v>88</v>
      </c>
      <c r="C12" s="2426"/>
      <c r="D12" s="184" t="s">
        <v>7514</v>
      </c>
    </row>
    <row r="13" spans="2:6" x14ac:dyDescent="0.25">
      <c r="B13" s="2425" t="s">
        <v>90</v>
      </c>
      <c r="C13" s="2425"/>
      <c r="D13" s="55" t="s">
        <v>7299</v>
      </c>
    </row>
    <row r="14" spans="2:6" x14ac:dyDescent="0.25">
      <c r="B14" s="2425" t="s">
        <v>91</v>
      </c>
      <c r="C14" s="2428"/>
      <c r="D14" s="54" t="s">
        <v>214</v>
      </c>
    </row>
    <row r="15" spans="2:6" ht="409.5" customHeight="1" x14ac:dyDescent="0.25">
      <c r="B15" s="2425" t="s">
        <v>93</v>
      </c>
      <c r="C15" s="2425"/>
      <c r="D15" s="55" t="s">
        <v>7515</v>
      </c>
    </row>
    <row r="16" spans="2:6" ht="58.5" customHeight="1" x14ac:dyDescent="0.25">
      <c r="B16" s="2425" t="s">
        <v>95</v>
      </c>
      <c r="C16" s="2425"/>
      <c r="D16" s="55"/>
    </row>
    <row r="17" spans="2:4" x14ac:dyDescent="0.25">
      <c r="B17" s="2425" t="s">
        <v>97</v>
      </c>
      <c r="C17" s="2425"/>
      <c r="D17" s="55" t="s">
        <v>387</v>
      </c>
    </row>
    <row r="18" spans="2:4" x14ac:dyDescent="0.25">
      <c r="B18" s="3530" t="s">
        <v>99</v>
      </c>
      <c r="C18" s="3530"/>
      <c r="D18" s="359" t="s">
        <v>7516</v>
      </c>
    </row>
    <row r="19" spans="2:4" ht="37.5" x14ac:dyDescent="0.25">
      <c r="B19" s="2435" t="s">
        <v>100</v>
      </c>
      <c r="C19" s="2436"/>
      <c r="D19" s="55" t="s">
        <v>7517</v>
      </c>
    </row>
    <row r="20" spans="2:4" x14ac:dyDescent="0.25">
      <c r="B20" s="2425" t="s">
        <v>102</v>
      </c>
      <c r="C20" s="2425"/>
      <c r="D20" s="55" t="s">
        <v>1521</v>
      </c>
    </row>
    <row r="21" spans="2:4" x14ac:dyDescent="0.25">
      <c r="B21" s="2432" t="s">
        <v>104</v>
      </c>
      <c r="C21" s="57" t="s">
        <v>105</v>
      </c>
      <c r="D21" s="55" t="s">
        <v>50</v>
      </c>
    </row>
    <row r="22" spans="2:4" x14ac:dyDescent="0.25">
      <c r="B22" s="2433"/>
      <c r="C22" s="58" t="s">
        <v>107</v>
      </c>
      <c r="D22" s="55"/>
    </row>
    <row r="23" spans="2:4" x14ac:dyDescent="0.25">
      <c r="B23" s="2425" t="s">
        <v>109</v>
      </c>
      <c r="C23" s="2425"/>
      <c r="D23" s="55" t="s">
        <v>7518</v>
      </c>
    </row>
    <row r="24" spans="2:4" x14ac:dyDescent="0.25">
      <c r="B24" s="2425" t="s">
        <v>111</v>
      </c>
      <c r="C24" s="2425"/>
      <c r="D24" s="50" t="s">
        <v>127</v>
      </c>
    </row>
    <row r="25" spans="2:4" x14ac:dyDescent="0.25">
      <c r="B25" s="2425" t="s">
        <v>113</v>
      </c>
      <c r="C25" s="2425"/>
      <c r="D25" s="55" t="s">
        <v>144</v>
      </c>
    </row>
    <row r="26" spans="2:4" x14ac:dyDescent="0.25">
      <c r="B26" s="2426" t="s">
        <v>115</v>
      </c>
      <c r="C26" s="2426"/>
      <c r="D26" s="50" t="s">
        <v>145</v>
      </c>
    </row>
    <row r="27" spans="2:4" ht="15" customHeight="1" x14ac:dyDescent="0.25">
      <c r="B27" s="2427" t="s">
        <v>117</v>
      </c>
      <c r="C27" s="2428"/>
      <c r="D27" s="49"/>
    </row>
    <row r="28" spans="2:4" ht="131.25" x14ac:dyDescent="0.25">
      <c r="B28" s="60" t="s">
        <v>118</v>
      </c>
      <c r="C28" s="61"/>
      <c r="D28" s="55" t="s">
        <v>7519</v>
      </c>
    </row>
    <row r="29" spans="2:4" ht="108" customHeight="1" x14ac:dyDescent="0.25">
      <c r="B29" s="2429" t="s">
        <v>120</v>
      </c>
      <c r="C29" s="2430"/>
      <c r="D29" s="62"/>
    </row>
    <row r="30" spans="2:4" x14ac:dyDescent="0.25">
      <c r="B30" s="63"/>
      <c r="C30" s="63"/>
      <c r="D30" s="64"/>
    </row>
    <row r="31" spans="2:4" ht="19.5" x14ac:dyDescent="0.25">
      <c r="B31" s="3514" t="s">
        <v>121</v>
      </c>
      <c r="C31" s="3514"/>
      <c r="D31" s="3514"/>
    </row>
    <row r="32" spans="2:4" ht="23.25" customHeight="1" x14ac:dyDescent="0.25">
      <c r="B32" s="2427" t="s">
        <v>122</v>
      </c>
      <c r="C32" s="2428"/>
      <c r="D32" s="50" t="s">
        <v>7520</v>
      </c>
    </row>
    <row r="33" spans="2:4" x14ac:dyDescent="0.25">
      <c r="B33" s="2427" t="s">
        <v>124</v>
      </c>
      <c r="C33" s="2428"/>
      <c r="D33" s="50" t="s">
        <v>1790</v>
      </c>
    </row>
    <row r="34" spans="2:4" x14ac:dyDescent="0.25">
      <c r="B34" s="2427" t="s">
        <v>126</v>
      </c>
      <c r="C34" s="2428"/>
      <c r="D34" s="50" t="s">
        <v>127</v>
      </c>
    </row>
    <row r="35" spans="2:4" x14ac:dyDescent="0.25">
      <c r="B35" s="2427" t="s">
        <v>128</v>
      </c>
      <c r="C35" s="2428"/>
      <c r="D35" s="50" t="s">
        <v>1791</v>
      </c>
    </row>
    <row r="36" spans="2:4" x14ac:dyDescent="0.25">
      <c r="B36" s="2427" t="s">
        <v>130</v>
      </c>
      <c r="C36" s="2428"/>
      <c r="D36" s="50" t="s">
        <v>1792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6" xr:uid="{5F01D1A4-DA9E-4309-AE19-326C05A4D18B}">
      <formula1>Tipo_operación</formula1>
    </dataValidation>
    <dataValidation type="list" allowBlank="1" showInputMessage="1" showErrorMessage="1" sqref="D14" xr:uid="{2E2401A7-35EF-4603-A76D-57739AA5290B}">
      <formula1>Tipo_indicador</formula1>
    </dataValidation>
    <dataValidation type="list" allowBlank="1" showInputMessage="1" showErrorMessage="1" sqref="D7" xr:uid="{0166EE19-EBEE-4FF6-B6B3-E70890F0AAB8}">
      <formula1>Nombre_indicador_ODS</formula1>
    </dataValidation>
    <dataValidation type="list" allowBlank="1" showInputMessage="1" showErrorMessage="1" sqref="D6" xr:uid="{F12A0E11-6EEA-471B-B53D-794F8F48DA99}">
      <formula1>Numero_indicador</formula1>
    </dataValidation>
    <dataValidation type="list" allowBlank="1" showInputMessage="1" showErrorMessage="1" sqref="D5" xr:uid="{9AF22CCD-FDDC-40D7-993C-B5F74ABE2BDC}">
      <formula1>Metas_ODS</formula1>
    </dataValidation>
    <dataValidation type="list" allowBlank="1" showInputMessage="1" showErrorMessage="1" sqref="D4" xr:uid="{06E3FBE4-7581-4362-9785-9B5524C1FB07}">
      <formula1>ODS</formula1>
    </dataValidation>
  </dataValidations>
  <hyperlinks>
    <hyperlink ref="B1" location="'16.3.1'!A1" display="REGRESAR" xr:uid="{DC954B4A-D1F2-480A-8261-D74CC671F6EC}"/>
    <hyperlink ref="D8" r:id="rId1" xr:uid="{C262D9EF-8E21-4D0C-94B0-DE6EA2294F78}"/>
  </hyperlinks>
  <pageMargins left="0.7" right="0.7" top="0.75" bottom="0.75" header="0.3" footer="0.3"/>
  <pageSetup orientation="portrait" r:id="rId2"/>
  <drawing r:id="rId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F5F9-2094-41DF-B693-6BBD02D2483A}">
  <dimension ref="A1:R51"/>
  <sheetViews>
    <sheetView showGridLines="0" workbookViewId="0">
      <pane ySplit="1" topLeftCell="A5" activePane="bottomLeft" state="frozen"/>
      <selection activeCell="B1" sqref="B1"/>
      <selection pane="bottomLeft"/>
    </sheetView>
  </sheetViews>
  <sheetFormatPr baseColWidth="10" defaultColWidth="11.42578125" defaultRowHeight="18.75" x14ac:dyDescent="0.4"/>
  <cols>
    <col min="1" max="1" width="15.5703125" style="115" customWidth="1"/>
    <col min="2" max="2" width="17.85546875" style="115" customWidth="1"/>
    <col min="3" max="4" width="8.28515625" style="115" customWidth="1"/>
    <col min="5" max="6" width="11.42578125" style="115"/>
    <col min="7" max="7" width="2.42578125" style="115" customWidth="1"/>
    <col min="8" max="17" width="11.42578125" style="115"/>
    <col min="18" max="18" width="13.42578125" style="115" customWidth="1"/>
    <col min="19" max="16384" width="11.42578125" style="115"/>
  </cols>
  <sheetData>
    <row r="1" spans="1:18" x14ac:dyDescent="0.4">
      <c r="A1" s="90" t="s">
        <v>39</v>
      </c>
      <c r="C1" s="2541" t="s">
        <v>149</v>
      </c>
      <c r="D1" s="2541"/>
    </row>
    <row r="3" spans="1:18" ht="19.5" x14ac:dyDescent="0.4">
      <c r="A3" s="3508" t="s">
        <v>41</v>
      </c>
      <c r="B3" s="3510"/>
      <c r="C3" s="3528" t="s">
        <v>7281</v>
      </c>
      <c r="D3" s="3528"/>
      <c r="E3" s="3528"/>
      <c r="F3" s="3528"/>
      <c r="G3" s="3528"/>
      <c r="H3" s="3528"/>
      <c r="I3" s="3528"/>
      <c r="J3" s="3528"/>
      <c r="K3" s="3528"/>
      <c r="L3" s="3528"/>
      <c r="M3" s="3528"/>
      <c r="N3" s="3528"/>
      <c r="O3" s="3528"/>
      <c r="P3" s="3528"/>
      <c r="Q3" s="3528"/>
      <c r="R3" s="3528"/>
    </row>
    <row r="4" spans="1:18" ht="19.899999999999999" customHeight="1" x14ac:dyDescent="0.4">
      <c r="A4" s="3508" t="s">
        <v>42</v>
      </c>
      <c r="B4" s="3519"/>
      <c r="C4" s="3528" t="s">
        <v>7298</v>
      </c>
      <c r="D4" s="3531"/>
      <c r="E4" s="3531"/>
      <c r="F4" s="3531"/>
      <c r="G4" s="3531"/>
      <c r="H4" s="3531"/>
      <c r="I4" s="3531"/>
      <c r="J4" s="3531"/>
      <c r="K4" s="3531"/>
      <c r="L4" s="3531"/>
      <c r="M4" s="3531"/>
      <c r="N4" s="3531"/>
      <c r="O4" s="3531"/>
      <c r="P4" s="3531"/>
      <c r="Q4" s="3531"/>
      <c r="R4" s="3531"/>
    </row>
    <row r="5" spans="1:18" ht="19.899999999999999" customHeight="1" x14ac:dyDescent="0.4">
      <c r="A5" s="3508" t="s">
        <v>43</v>
      </c>
      <c r="B5" s="3519"/>
      <c r="C5" s="3528" t="s">
        <v>7302</v>
      </c>
      <c r="D5" s="3531"/>
      <c r="E5" s="3531"/>
      <c r="F5" s="3531"/>
      <c r="G5" s="3531"/>
      <c r="H5" s="3531"/>
      <c r="I5" s="3531"/>
      <c r="J5" s="3531"/>
      <c r="K5" s="3531"/>
      <c r="L5" s="3531"/>
      <c r="M5" s="3531"/>
      <c r="N5" s="3531"/>
      <c r="O5" s="3531"/>
      <c r="P5" s="3531"/>
      <c r="Q5" s="3531"/>
      <c r="R5" s="3531"/>
    </row>
    <row r="6" spans="1:18" ht="19.899999999999999" customHeight="1" x14ac:dyDescent="0.4">
      <c r="A6" s="3508" t="s">
        <v>132</v>
      </c>
      <c r="B6" s="3519"/>
      <c r="C6" s="3528" t="s">
        <v>7521</v>
      </c>
      <c r="D6" s="3531"/>
      <c r="E6" s="3531"/>
      <c r="F6" s="3531"/>
      <c r="G6" s="3531"/>
      <c r="H6" s="3531"/>
      <c r="I6" s="3531"/>
      <c r="J6" s="3531"/>
      <c r="K6" s="3531"/>
      <c r="L6" s="3531"/>
      <c r="M6" s="3531"/>
      <c r="N6" s="3531"/>
      <c r="O6" s="3531"/>
      <c r="P6" s="3531"/>
      <c r="Q6" s="3531"/>
      <c r="R6" s="3531"/>
    </row>
    <row r="9" spans="1:18" ht="19.5" x14ac:dyDescent="0.4">
      <c r="C9" s="187" t="s">
        <v>7521</v>
      </c>
      <c r="D9" s="187"/>
      <c r="E9" s="187"/>
      <c r="F9" s="187"/>
      <c r="G9" s="187"/>
      <c r="H9" s="187"/>
      <c r="I9" s="187"/>
      <c r="J9" s="187"/>
      <c r="K9" s="187"/>
      <c r="L9" s="187"/>
      <c r="M9" s="187"/>
      <c r="N9" s="187"/>
      <c r="O9" s="187"/>
      <c r="P9" s="187"/>
      <c r="Q9" s="187"/>
    </row>
    <row r="10" spans="1:18" ht="8.4499999999999993" customHeight="1" x14ac:dyDescent="0.4">
      <c r="C10" s="1440"/>
      <c r="D10" s="1440"/>
      <c r="E10" s="1440"/>
      <c r="F10" s="1440"/>
      <c r="G10" s="1440"/>
      <c r="H10" s="1440"/>
      <c r="I10" s="1440"/>
      <c r="J10" s="1440"/>
      <c r="K10" s="1440"/>
      <c r="L10" s="1440"/>
      <c r="M10" s="1440"/>
      <c r="N10" s="1440"/>
      <c r="O10" s="1440"/>
      <c r="P10" s="1440"/>
      <c r="Q10" s="1440"/>
    </row>
    <row r="11" spans="1:18" x14ac:dyDescent="0.4">
      <c r="C11" s="3502" t="s">
        <v>46</v>
      </c>
      <c r="D11" s="3512" t="s">
        <v>48</v>
      </c>
      <c r="E11" s="3512"/>
      <c r="F11" s="3512"/>
      <c r="G11" s="2098"/>
      <c r="H11" s="3512" t="s">
        <v>7522</v>
      </c>
      <c r="I11" s="3512"/>
      <c r="J11" s="3512"/>
      <c r="K11" s="3512"/>
      <c r="L11" s="3512"/>
      <c r="M11" s="3512"/>
      <c r="N11" s="3512"/>
      <c r="O11" s="3512"/>
      <c r="P11" s="3512"/>
      <c r="Q11" s="3512"/>
    </row>
    <row r="12" spans="1:18" ht="75" x14ac:dyDescent="0.4">
      <c r="C12" s="3503"/>
      <c r="D12" s="2110" t="s">
        <v>47</v>
      </c>
      <c r="E12" s="2110" t="s">
        <v>5161</v>
      </c>
      <c r="F12" s="2110" t="s">
        <v>5160</v>
      </c>
      <c r="G12" s="2103"/>
      <c r="H12" s="2104" t="s">
        <v>7523</v>
      </c>
      <c r="I12" s="2104" t="s">
        <v>7524</v>
      </c>
      <c r="J12" s="2104" t="s">
        <v>7525</v>
      </c>
      <c r="K12" s="2104" t="s">
        <v>7526</v>
      </c>
      <c r="L12" s="2104" t="s">
        <v>7527</v>
      </c>
      <c r="M12" s="2104" t="s">
        <v>7528</v>
      </c>
      <c r="N12" s="2104" t="s">
        <v>7529</v>
      </c>
      <c r="O12" s="2104" t="s">
        <v>7530</v>
      </c>
      <c r="P12" s="2104" t="s">
        <v>7531</v>
      </c>
      <c r="Q12" s="2104" t="s">
        <v>7532</v>
      </c>
    </row>
    <row r="13" spans="1:18" x14ac:dyDescent="0.4">
      <c r="C13" s="301">
        <v>2010</v>
      </c>
      <c r="D13" s="1739">
        <v>1658</v>
      </c>
      <c r="E13" s="1995">
        <v>1577</v>
      </c>
      <c r="F13" s="1995">
        <v>81</v>
      </c>
      <c r="G13" s="1995"/>
      <c r="H13" s="1995">
        <v>254</v>
      </c>
      <c r="I13" s="1995">
        <v>281</v>
      </c>
      <c r="J13" s="1995">
        <v>226</v>
      </c>
      <c r="K13" s="1995">
        <v>407</v>
      </c>
      <c r="L13" s="1995">
        <v>200</v>
      </c>
      <c r="M13" s="1995">
        <v>113</v>
      </c>
      <c r="N13" s="1995">
        <v>87</v>
      </c>
      <c r="O13" s="1995">
        <v>54</v>
      </c>
      <c r="P13" s="1995">
        <v>15</v>
      </c>
      <c r="Q13" s="1995">
        <v>21</v>
      </c>
    </row>
    <row r="14" spans="1:18" x14ac:dyDescent="0.4">
      <c r="C14" s="301">
        <v>2011</v>
      </c>
      <c r="D14" s="1739">
        <v>1808</v>
      </c>
      <c r="E14" s="1995">
        <v>1694</v>
      </c>
      <c r="F14" s="1995">
        <v>114</v>
      </c>
      <c r="G14" s="1995"/>
      <c r="H14" s="1995">
        <v>358</v>
      </c>
      <c r="I14" s="1995">
        <v>234</v>
      </c>
      <c r="J14" s="1995">
        <v>232</v>
      </c>
      <c r="K14" s="1995">
        <v>488</v>
      </c>
      <c r="L14" s="1995">
        <v>224</v>
      </c>
      <c r="M14" s="1995">
        <v>122</v>
      </c>
      <c r="N14" s="1995">
        <v>80</v>
      </c>
      <c r="O14" s="1995">
        <v>44</v>
      </c>
      <c r="P14" s="1995">
        <v>13</v>
      </c>
      <c r="Q14" s="1995">
        <v>13</v>
      </c>
    </row>
    <row r="15" spans="1:18" x14ac:dyDescent="0.4">
      <c r="C15" s="301">
        <v>2012</v>
      </c>
      <c r="D15" s="1739">
        <v>1769</v>
      </c>
      <c r="E15" s="1995">
        <v>1664</v>
      </c>
      <c r="F15" s="1995">
        <v>105</v>
      </c>
      <c r="G15" s="1995"/>
      <c r="H15" s="1995">
        <v>288</v>
      </c>
      <c r="I15" s="1995">
        <v>286</v>
      </c>
      <c r="J15" s="1995">
        <v>225</v>
      </c>
      <c r="K15" s="1995">
        <v>477</v>
      </c>
      <c r="L15" s="1995">
        <v>243</v>
      </c>
      <c r="M15" s="1995">
        <v>128</v>
      </c>
      <c r="N15" s="1995">
        <v>93</v>
      </c>
      <c r="O15" s="1995">
        <v>15</v>
      </c>
      <c r="P15" s="1995">
        <v>14</v>
      </c>
      <c r="Q15" s="1854">
        <v>0</v>
      </c>
    </row>
    <row r="16" spans="1:18" x14ac:dyDescent="0.4">
      <c r="C16" s="301">
        <v>2013</v>
      </c>
      <c r="D16" s="1739">
        <v>1536</v>
      </c>
      <c r="E16" s="1995">
        <v>1453</v>
      </c>
      <c r="F16" s="1995">
        <v>83</v>
      </c>
      <c r="G16" s="1995"/>
      <c r="H16" s="1995">
        <v>225</v>
      </c>
      <c r="I16" s="1995">
        <v>232</v>
      </c>
      <c r="J16" s="1995">
        <v>251</v>
      </c>
      <c r="K16" s="1995">
        <v>414</v>
      </c>
      <c r="L16" s="1995">
        <v>241</v>
      </c>
      <c r="M16" s="1995">
        <v>87</v>
      </c>
      <c r="N16" s="1995">
        <v>48</v>
      </c>
      <c r="O16" s="1995">
        <v>33</v>
      </c>
      <c r="P16" s="1854">
        <v>0</v>
      </c>
      <c r="Q16" s="1995">
        <v>5</v>
      </c>
    </row>
    <row r="17" spans="3:17" x14ac:dyDescent="0.4">
      <c r="C17" s="301">
        <v>2014</v>
      </c>
      <c r="D17" s="1739">
        <v>1775</v>
      </c>
      <c r="E17" s="1995">
        <v>1676</v>
      </c>
      <c r="F17" s="1995">
        <v>99</v>
      </c>
      <c r="G17" s="1995"/>
      <c r="H17" s="1995">
        <v>285</v>
      </c>
      <c r="I17" s="1995">
        <v>257</v>
      </c>
      <c r="J17" s="1995">
        <v>239</v>
      </c>
      <c r="K17" s="1995">
        <v>474</v>
      </c>
      <c r="L17" s="1995">
        <v>286</v>
      </c>
      <c r="M17" s="1995">
        <v>87</v>
      </c>
      <c r="N17" s="1995">
        <v>91</v>
      </c>
      <c r="O17" s="1995">
        <v>26</v>
      </c>
      <c r="P17" s="1995">
        <v>2</v>
      </c>
      <c r="Q17" s="1995">
        <v>28</v>
      </c>
    </row>
    <row r="18" spans="3:17" x14ac:dyDescent="0.4">
      <c r="C18" s="301">
        <v>2015</v>
      </c>
      <c r="D18" s="1739">
        <v>1586</v>
      </c>
      <c r="E18" s="1995">
        <v>1488</v>
      </c>
      <c r="F18" s="1995">
        <v>98</v>
      </c>
      <c r="G18" s="1995"/>
      <c r="H18" s="1995">
        <v>237</v>
      </c>
      <c r="I18" s="1995">
        <v>239</v>
      </c>
      <c r="J18" s="1995">
        <v>211</v>
      </c>
      <c r="K18" s="1995">
        <v>432</v>
      </c>
      <c r="L18" s="1995">
        <v>243</v>
      </c>
      <c r="M18" s="1995">
        <v>123</v>
      </c>
      <c r="N18" s="1995">
        <v>61</v>
      </c>
      <c r="O18" s="1995">
        <v>20</v>
      </c>
      <c r="P18" s="1995">
        <v>18</v>
      </c>
      <c r="Q18" s="1995">
        <v>2</v>
      </c>
    </row>
    <row r="19" spans="3:17" x14ac:dyDescent="0.4">
      <c r="C19" s="301">
        <v>2016</v>
      </c>
      <c r="D19" s="1739">
        <v>1588</v>
      </c>
      <c r="E19" s="1995">
        <v>1489</v>
      </c>
      <c r="F19" s="1995">
        <v>99</v>
      </c>
      <c r="G19" s="1995"/>
      <c r="H19" s="1995">
        <v>292</v>
      </c>
      <c r="I19" s="1995">
        <v>256</v>
      </c>
      <c r="J19" s="1995">
        <v>190</v>
      </c>
      <c r="K19" s="1995">
        <v>413</v>
      </c>
      <c r="L19" s="1995">
        <v>218</v>
      </c>
      <c r="M19" s="1995">
        <v>97</v>
      </c>
      <c r="N19" s="1995">
        <v>93</v>
      </c>
      <c r="O19" s="1995">
        <v>24</v>
      </c>
      <c r="P19" s="1995">
        <v>5</v>
      </c>
      <c r="Q19" s="1854">
        <v>0</v>
      </c>
    </row>
    <row r="20" spans="3:17" x14ac:dyDescent="0.4">
      <c r="C20" s="301">
        <v>2017</v>
      </c>
      <c r="D20" s="1739">
        <v>1865</v>
      </c>
      <c r="E20" s="1995">
        <v>1727</v>
      </c>
      <c r="F20" s="1995">
        <v>138</v>
      </c>
      <c r="G20" s="1995"/>
      <c r="H20" s="1995">
        <v>304</v>
      </c>
      <c r="I20" s="1995">
        <v>278</v>
      </c>
      <c r="J20" s="1995">
        <v>196</v>
      </c>
      <c r="K20" s="1995">
        <v>459</v>
      </c>
      <c r="L20" s="1995">
        <v>282</v>
      </c>
      <c r="M20" s="1995">
        <v>163</v>
      </c>
      <c r="N20" s="1995">
        <v>141</v>
      </c>
      <c r="O20" s="1995">
        <v>31</v>
      </c>
      <c r="P20" s="1854">
        <v>0</v>
      </c>
      <c r="Q20" s="1995">
        <v>11</v>
      </c>
    </row>
    <row r="21" spans="3:17" x14ac:dyDescent="0.4">
      <c r="C21" s="301">
        <v>2018</v>
      </c>
      <c r="D21" s="1739">
        <v>2293</v>
      </c>
      <c r="E21" s="1995">
        <v>2125</v>
      </c>
      <c r="F21" s="1995">
        <v>168</v>
      </c>
      <c r="G21" s="1995"/>
      <c r="H21" s="1995">
        <v>348</v>
      </c>
      <c r="I21" s="1995">
        <v>280</v>
      </c>
      <c r="J21" s="1995">
        <v>261</v>
      </c>
      <c r="K21" s="1995">
        <v>554</v>
      </c>
      <c r="L21" s="1995">
        <v>347</v>
      </c>
      <c r="M21" s="1995">
        <v>159</v>
      </c>
      <c r="N21" s="1995">
        <v>161</v>
      </c>
      <c r="O21" s="1995">
        <v>56</v>
      </c>
      <c r="P21" s="1995">
        <v>22</v>
      </c>
      <c r="Q21" s="1995">
        <v>5</v>
      </c>
    </row>
    <row r="22" spans="3:17" x14ac:dyDescent="0.4">
      <c r="C22" s="301">
        <v>2019</v>
      </c>
      <c r="D22" s="1739">
        <v>2440</v>
      </c>
      <c r="E22" s="1995">
        <v>2245</v>
      </c>
      <c r="F22" s="1995">
        <v>195</v>
      </c>
      <c r="G22" s="1995"/>
      <c r="H22" s="1995">
        <v>331</v>
      </c>
      <c r="I22" s="1995">
        <v>295</v>
      </c>
      <c r="J22" s="1995">
        <v>233</v>
      </c>
      <c r="K22" s="1995">
        <v>603</v>
      </c>
      <c r="L22" s="1995">
        <v>376</v>
      </c>
      <c r="M22" s="1995">
        <v>210</v>
      </c>
      <c r="N22" s="1995">
        <v>271</v>
      </c>
      <c r="O22" s="1995">
        <v>73</v>
      </c>
      <c r="P22" s="1995">
        <v>29</v>
      </c>
      <c r="Q22" s="1995">
        <v>19</v>
      </c>
    </row>
    <row r="23" spans="3:17" x14ac:dyDescent="0.4">
      <c r="C23" s="301">
        <v>2020</v>
      </c>
      <c r="D23" s="1739">
        <v>2178</v>
      </c>
      <c r="E23" s="1995">
        <v>2052</v>
      </c>
      <c r="F23" s="1995">
        <v>126</v>
      </c>
      <c r="G23" s="1995"/>
      <c r="H23" s="1995">
        <v>302</v>
      </c>
      <c r="I23" s="1995">
        <v>267</v>
      </c>
      <c r="J23" s="1995">
        <v>232</v>
      </c>
      <c r="K23" s="1995">
        <v>471</v>
      </c>
      <c r="L23" s="1995">
        <v>271</v>
      </c>
      <c r="M23" s="1995">
        <v>220</v>
      </c>
      <c r="N23" s="1995">
        <v>252</v>
      </c>
      <c r="O23" s="1995">
        <v>97</v>
      </c>
      <c r="P23" s="1995">
        <v>57</v>
      </c>
      <c r="Q23" s="1995">
        <v>9</v>
      </c>
    </row>
    <row r="24" spans="3:17" x14ac:dyDescent="0.4">
      <c r="C24" s="301">
        <v>2021</v>
      </c>
      <c r="D24" s="1739">
        <f>E24+F24</f>
        <v>1789</v>
      </c>
      <c r="E24" s="1995">
        <v>1670</v>
      </c>
      <c r="F24" s="1995">
        <v>119</v>
      </c>
      <c r="G24" s="1995"/>
      <c r="H24" s="1995">
        <v>192</v>
      </c>
      <c r="I24" s="1995">
        <v>220</v>
      </c>
      <c r="J24" s="1995">
        <v>146</v>
      </c>
      <c r="K24" s="1995">
        <v>352</v>
      </c>
      <c r="L24" s="1995">
        <v>293</v>
      </c>
      <c r="M24" s="1995">
        <v>177</v>
      </c>
      <c r="N24" s="1995">
        <v>205</v>
      </c>
      <c r="O24" s="1995">
        <v>94</v>
      </c>
      <c r="P24" s="1995">
        <v>66</v>
      </c>
      <c r="Q24" s="1995">
        <v>44</v>
      </c>
    </row>
    <row r="25" spans="3:17" x14ac:dyDescent="0.4">
      <c r="C25" s="301">
        <v>2022</v>
      </c>
      <c r="D25" s="1739">
        <f t="shared" ref="D25" si="0">E25+F25</f>
        <v>2038</v>
      </c>
      <c r="E25" s="1995">
        <v>1905</v>
      </c>
      <c r="F25" s="1995">
        <v>133</v>
      </c>
      <c r="G25" s="1995"/>
      <c r="H25" s="1995">
        <v>320</v>
      </c>
      <c r="I25" s="1995">
        <v>224</v>
      </c>
      <c r="J25" s="1995">
        <v>214</v>
      </c>
      <c r="K25" s="1995">
        <v>515</v>
      </c>
      <c r="L25" s="1995">
        <v>276</v>
      </c>
      <c r="M25" s="1995">
        <v>135</v>
      </c>
      <c r="N25" s="1995">
        <v>169</v>
      </c>
      <c r="O25" s="1995">
        <v>104</v>
      </c>
      <c r="P25" s="1995">
        <v>55</v>
      </c>
      <c r="Q25" s="1995">
        <v>26</v>
      </c>
    </row>
    <row r="26" spans="3:17" x14ac:dyDescent="0.4">
      <c r="C26" s="732">
        <v>2023</v>
      </c>
      <c r="D26" s="2178">
        <v>1712</v>
      </c>
      <c r="E26" s="2179">
        <v>1581</v>
      </c>
      <c r="F26" s="2179">
        <v>131</v>
      </c>
      <c r="G26" s="2179"/>
      <c r="H26" s="2179">
        <v>256</v>
      </c>
      <c r="I26" s="2179">
        <v>224</v>
      </c>
      <c r="J26" s="2179">
        <v>180</v>
      </c>
      <c r="K26" s="2179">
        <v>380</v>
      </c>
      <c r="L26" s="2179">
        <v>323</v>
      </c>
      <c r="M26" s="2179">
        <v>143</v>
      </c>
      <c r="N26" s="2179">
        <v>132</v>
      </c>
      <c r="O26" s="2179">
        <v>38</v>
      </c>
      <c r="P26" s="2179">
        <v>13</v>
      </c>
      <c r="Q26" s="2179">
        <v>23</v>
      </c>
    </row>
    <row r="27" spans="3:17" x14ac:dyDescent="0.4">
      <c r="C27" s="115" t="s">
        <v>7533</v>
      </c>
    </row>
    <row r="29" spans="3:17" ht="19.5" x14ac:dyDescent="0.4">
      <c r="C29" s="800" t="s">
        <v>7534</v>
      </c>
    </row>
    <row r="50" spans="3:3" x14ac:dyDescent="0.4">
      <c r="C50" s="115" t="s">
        <v>7535</v>
      </c>
    </row>
    <row r="51" spans="3:3" x14ac:dyDescent="0.4">
      <c r="C51" s="115" t="s">
        <v>7536</v>
      </c>
    </row>
  </sheetData>
  <mergeCells count="12">
    <mergeCell ref="A5:B5"/>
    <mergeCell ref="C5:R5"/>
    <mergeCell ref="C1:D1"/>
    <mergeCell ref="A3:B3"/>
    <mergeCell ref="C3:R3"/>
    <mergeCell ref="A4:B4"/>
    <mergeCell ref="C4:R4"/>
    <mergeCell ref="A6:B6"/>
    <mergeCell ref="C6:R6"/>
    <mergeCell ref="C11:C12"/>
    <mergeCell ref="D11:F11"/>
    <mergeCell ref="H11:Q11"/>
  </mergeCells>
  <hyperlinks>
    <hyperlink ref="A1" location="'ODS 16.'!A1" display="REGRESAR" xr:uid="{7EE1FB9C-6CEF-4357-9399-FCBDF36F7FE5}"/>
    <hyperlink ref="C1:D1" location="'Metadato 16.3.2'!A1" display="VER METADATO" xr:uid="{5CA65382-0706-41E5-9358-D5C3F1F800AB}"/>
  </hyperlinks>
  <pageMargins left="0.7" right="0.7" top="0.75" bottom="0.75" header="0.3" footer="0.3"/>
  <pageSetup orientation="portrait" r:id="rId1"/>
  <drawing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ABF2-820B-4EF8-8C62-2A8446E8CDF6}">
  <sheetPr>
    <tabColor theme="0" tint="-0.499984740745262"/>
  </sheetPr>
  <dimension ref="B1:F41"/>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7" style="243" customWidth="1"/>
    <col min="2" max="2" width="26.42578125" style="243" customWidth="1"/>
    <col min="3" max="3" width="24" style="243" customWidth="1"/>
    <col min="4" max="4" width="85.7109375" style="243" customWidth="1"/>
    <col min="5" max="5" width="2.42578125" style="243" customWidth="1"/>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76</v>
      </c>
    </row>
    <row r="4" spans="2:6" ht="37.5" x14ac:dyDescent="0.25">
      <c r="B4" s="2425" t="s">
        <v>234</v>
      </c>
      <c r="C4" s="2425"/>
      <c r="D4" s="49" t="s">
        <v>7369</v>
      </c>
    </row>
    <row r="5" spans="2:6" ht="37.5" x14ac:dyDescent="0.25">
      <c r="B5" s="2425" t="s">
        <v>79</v>
      </c>
      <c r="C5" s="2425"/>
      <c r="D5" s="49" t="s">
        <v>7298</v>
      </c>
    </row>
    <row r="6" spans="2:6" x14ac:dyDescent="0.25">
      <c r="B6" s="2425" t="s">
        <v>80</v>
      </c>
      <c r="C6" s="2425"/>
      <c r="D6" s="50" t="s">
        <v>7301</v>
      </c>
    </row>
    <row r="7" spans="2:6" ht="30.75" customHeight="1" x14ac:dyDescent="0.25">
      <c r="B7" s="2426" t="s">
        <v>81</v>
      </c>
      <c r="C7" s="2426"/>
      <c r="D7" s="93" t="s">
        <v>7302</v>
      </c>
    </row>
    <row r="8" spans="2:6" ht="15" customHeight="1" x14ac:dyDescent="0.25">
      <c r="B8" s="2426" t="s">
        <v>82</v>
      </c>
      <c r="C8" s="2426"/>
      <c r="D8" s="1047" t="s">
        <v>7537</v>
      </c>
    </row>
    <row r="9" spans="2:6" x14ac:dyDescent="0.4">
      <c r="B9" s="115"/>
      <c r="C9" s="115"/>
      <c r="D9" s="115"/>
    </row>
    <row r="10" spans="2:6" ht="23.25" customHeight="1" x14ac:dyDescent="0.25">
      <c r="B10" s="3514" t="s">
        <v>85</v>
      </c>
      <c r="C10" s="3514"/>
      <c r="D10" s="3514"/>
    </row>
    <row r="11" spans="2:6" ht="16.5" customHeight="1" x14ac:dyDescent="0.25">
      <c r="B11" s="2427" t="s">
        <v>86</v>
      </c>
      <c r="C11" s="2428"/>
      <c r="D11" s="49" t="s">
        <v>167</v>
      </c>
    </row>
    <row r="12" spans="2:6" ht="33.75" customHeight="1" x14ac:dyDescent="0.25">
      <c r="B12" s="2426" t="s">
        <v>88</v>
      </c>
      <c r="C12" s="2426"/>
      <c r="D12" s="184" t="s">
        <v>7538</v>
      </c>
    </row>
    <row r="13" spans="2:6" x14ac:dyDescent="0.25">
      <c r="B13" s="2425" t="s">
        <v>90</v>
      </c>
      <c r="C13" s="2425"/>
      <c r="D13" s="55" t="s">
        <v>7301</v>
      </c>
    </row>
    <row r="14" spans="2:6" x14ac:dyDescent="0.25">
      <c r="B14" s="2425" t="s">
        <v>91</v>
      </c>
      <c r="C14" s="2428"/>
      <c r="D14" s="54" t="s">
        <v>92</v>
      </c>
    </row>
    <row r="15" spans="2:6" ht="56.25" x14ac:dyDescent="0.25">
      <c r="B15" s="2425" t="s">
        <v>93</v>
      </c>
      <c r="C15" s="2425"/>
      <c r="D15" s="55" t="s">
        <v>7539</v>
      </c>
    </row>
    <row r="16" spans="2:6" ht="40.5" customHeight="1" x14ac:dyDescent="0.25">
      <c r="B16" s="2425" t="s">
        <v>95</v>
      </c>
      <c r="C16" s="2425"/>
      <c r="D16" s="55"/>
    </row>
    <row r="17" spans="2:4" x14ac:dyDescent="0.25">
      <c r="B17" s="2425" t="s">
        <v>97</v>
      </c>
      <c r="C17" s="2425"/>
      <c r="D17" s="55" t="s">
        <v>90</v>
      </c>
    </row>
    <row r="18" spans="2:4" x14ac:dyDescent="0.25">
      <c r="B18" s="2426" t="s">
        <v>99</v>
      </c>
      <c r="C18" s="2426"/>
      <c r="D18" s="49"/>
    </row>
    <row r="19" spans="2:4" ht="32.25" customHeight="1" x14ac:dyDescent="0.25">
      <c r="B19" s="2435" t="s">
        <v>100</v>
      </c>
      <c r="C19" s="2436"/>
      <c r="D19" s="55" t="s">
        <v>7540</v>
      </c>
    </row>
    <row r="20" spans="2:4" x14ac:dyDescent="0.25">
      <c r="B20" s="2425" t="s">
        <v>102</v>
      </c>
      <c r="C20" s="2425"/>
      <c r="D20" s="55" t="s">
        <v>140</v>
      </c>
    </row>
    <row r="21" spans="2:4" x14ac:dyDescent="0.25">
      <c r="B21" s="2432" t="s">
        <v>104</v>
      </c>
      <c r="C21" s="57" t="s">
        <v>105</v>
      </c>
      <c r="D21" s="49"/>
    </row>
    <row r="22" spans="2:4" x14ac:dyDescent="0.25">
      <c r="B22" s="2433"/>
      <c r="C22" s="58" t="s">
        <v>107</v>
      </c>
      <c r="D22" s="55" t="s">
        <v>7541</v>
      </c>
    </row>
    <row r="23" spans="2:4" ht="12.75" customHeight="1" x14ac:dyDescent="0.25">
      <c r="B23" s="2425" t="s">
        <v>109</v>
      </c>
      <c r="C23" s="2425"/>
      <c r="D23" s="55" t="s">
        <v>143</v>
      </c>
    </row>
    <row r="24" spans="2:4" x14ac:dyDescent="0.25">
      <c r="B24" s="2425" t="s">
        <v>111</v>
      </c>
      <c r="C24" s="2425"/>
      <c r="D24" s="50" t="s">
        <v>7376</v>
      </c>
    </row>
    <row r="25" spans="2:4" x14ac:dyDescent="0.25">
      <c r="B25" s="2425" t="s">
        <v>113</v>
      </c>
      <c r="C25" s="2425"/>
      <c r="D25" s="55" t="s">
        <v>220</v>
      </c>
    </row>
    <row r="26" spans="2:4" ht="15" customHeight="1" x14ac:dyDescent="0.25">
      <c r="B26" s="2426" t="s">
        <v>115</v>
      </c>
      <c r="C26" s="2426"/>
      <c r="D26" s="50" t="s">
        <v>7542</v>
      </c>
    </row>
    <row r="27" spans="2:4" x14ac:dyDescent="0.25">
      <c r="B27" s="2427" t="s">
        <v>117</v>
      </c>
      <c r="C27" s="2428"/>
      <c r="D27" s="49"/>
    </row>
    <row r="28" spans="2:4" ht="75" x14ac:dyDescent="0.25">
      <c r="B28" s="60" t="s">
        <v>118</v>
      </c>
      <c r="C28" s="61"/>
      <c r="D28" s="55" t="s">
        <v>7543</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t="s">
        <v>7379</v>
      </c>
    </row>
    <row r="33" spans="2:4" x14ac:dyDescent="0.25">
      <c r="B33" s="2427" t="s">
        <v>124</v>
      </c>
      <c r="C33" s="2428"/>
      <c r="D33" s="55" t="s">
        <v>7380</v>
      </c>
    </row>
    <row r="34" spans="2:4" x14ac:dyDescent="0.25">
      <c r="B34" s="2427" t="s">
        <v>126</v>
      </c>
      <c r="C34" s="2428"/>
      <c r="D34" s="55" t="s">
        <v>7376</v>
      </c>
    </row>
    <row r="35" spans="2:4" x14ac:dyDescent="0.25">
      <c r="B35" s="2427" t="s">
        <v>128</v>
      </c>
      <c r="C35" s="2428"/>
      <c r="D35" s="50" t="s">
        <v>7381</v>
      </c>
    </row>
    <row r="36" spans="2:4" x14ac:dyDescent="0.25">
      <c r="B36" s="2427" t="s">
        <v>130</v>
      </c>
      <c r="C36" s="2428"/>
      <c r="D36" s="1536" t="s">
        <v>7382</v>
      </c>
    </row>
    <row r="37" spans="2:4" x14ac:dyDescent="0.25">
      <c r="B37" s="2427" t="s">
        <v>122</v>
      </c>
      <c r="C37" s="2428"/>
      <c r="D37" s="55" t="s">
        <v>7383</v>
      </c>
    </row>
    <row r="38" spans="2:4" x14ac:dyDescent="0.25">
      <c r="B38" s="2427" t="s">
        <v>124</v>
      </c>
      <c r="C38" s="2428"/>
      <c r="D38" s="55" t="s">
        <v>7384</v>
      </c>
    </row>
    <row r="39" spans="2:4" x14ac:dyDescent="0.25">
      <c r="B39" s="2427" t="s">
        <v>126</v>
      </c>
      <c r="C39" s="2428"/>
      <c r="D39" s="55" t="s">
        <v>7376</v>
      </c>
    </row>
    <row r="40" spans="2:4" x14ac:dyDescent="0.25">
      <c r="B40" s="2427" t="s">
        <v>128</v>
      </c>
      <c r="C40" s="2428"/>
      <c r="D40" s="50" t="s">
        <v>7385</v>
      </c>
    </row>
    <row r="41" spans="2:4" x14ac:dyDescent="0.25">
      <c r="B41" s="2427" t="s">
        <v>130</v>
      </c>
      <c r="C41" s="2428"/>
      <c r="D41" s="1536" t="s">
        <v>7386</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377FCE17-C700-4A85-9E55-3514186643DA}">
      <formula1>ODS</formula1>
    </dataValidation>
    <dataValidation type="list" allowBlank="1" showInputMessage="1" showErrorMessage="1" sqref="D5" xr:uid="{BBEB342E-89AA-4EC5-B68C-E2EFC0C87700}">
      <formula1>Metas_ODS</formula1>
    </dataValidation>
    <dataValidation type="list" allowBlank="1" showInputMessage="1" showErrorMessage="1" sqref="D6" xr:uid="{EEC8907E-30AD-4DED-A604-78D5EE5F3008}">
      <formula1>Numero_indicador</formula1>
    </dataValidation>
    <dataValidation type="list" allowBlank="1" showInputMessage="1" showErrorMessage="1" sqref="D7" xr:uid="{D01970E8-13C8-478A-960A-CC037030139D}">
      <formula1>Nombre_indicador_ODS</formula1>
    </dataValidation>
    <dataValidation type="list" allowBlank="1" showInputMessage="1" showErrorMessage="1" sqref="D14" xr:uid="{82A8F99D-E3B0-46A7-B484-AB605387E7B1}">
      <formula1>Tipo_indicador</formula1>
    </dataValidation>
    <dataValidation type="list" allowBlank="1" showInputMessage="1" showErrorMessage="1" sqref="D25" xr:uid="{8D70C1D6-2647-4495-A421-1BC6E8C9D9A8}">
      <formula1>Tipo_operación</formula1>
    </dataValidation>
  </dataValidations>
  <hyperlinks>
    <hyperlink ref="B1" location="'16.3.2'!A1" display="REGRESAR" xr:uid="{D3BB7F0A-AAE9-4AC7-861F-046230AB7459}"/>
    <hyperlink ref="D8" r:id="rId1" xr:uid="{6D5A6A14-5919-4D7D-A0A4-DDB56B955586}"/>
    <hyperlink ref="D36" r:id="rId2" xr:uid="{B8EE330B-4A13-4FFE-BF6E-08E35DFDBA77}"/>
    <hyperlink ref="D41" r:id="rId3" xr:uid="{B276826E-E29C-4DE7-B179-1D722146E024}"/>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0E36-6CE7-40DE-B621-17A81B4072C6}">
  <sheetPr>
    <tabColor theme="5"/>
  </sheetPr>
  <dimension ref="A1:Q11"/>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8.28515625" style="115" customWidth="1"/>
    <col min="3" max="4" width="8.28515625" style="115" customWidth="1"/>
    <col min="5" max="6" width="11.42578125" style="115"/>
    <col min="7" max="7" width="2.42578125" style="115" customWidth="1"/>
    <col min="8" max="16384" width="11.42578125" style="115"/>
  </cols>
  <sheetData>
    <row r="1" spans="1:17" x14ac:dyDescent="0.4">
      <c r="A1" s="90" t="s">
        <v>39</v>
      </c>
      <c r="C1" s="2541" t="s">
        <v>149</v>
      </c>
      <c r="D1" s="2541"/>
    </row>
    <row r="3" spans="1:17" ht="19.149999999999999" customHeight="1" x14ac:dyDescent="0.4">
      <c r="A3" s="3508" t="s">
        <v>41</v>
      </c>
      <c r="B3" s="3510"/>
      <c r="C3" s="3528" t="s">
        <v>7281</v>
      </c>
      <c r="D3" s="3528"/>
      <c r="E3" s="3528"/>
      <c r="F3" s="3528"/>
      <c r="G3" s="3528"/>
      <c r="H3" s="3528"/>
      <c r="I3" s="3528"/>
      <c r="J3" s="3528"/>
      <c r="K3" s="3528"/>
      <c r="L3" s="3528"/>
      <c r="M3" s="3528"/>
      <c r="N3" s="3528"/>
      <c r="O3" s="3528"/>
      <c r="P3" s="3528"/>
      <c r="Q3" s="3528"/>
    </row>
    <row r="4" spans="1:17" ht="19.899999999999999" customHeight="1" x14ac:dyDescent="0.4">
      <c r="A4" s="3508" t="s">
        <v>42</v>
      </c>
      <c r="B4" s="3519"/>
      <c r="C4" s="3528" t="s">
        <v>7298</v>
      </c>
      <c r="D4" s="3531"/>
      <c r="E4" s="3531"/>
      <c r="F4" s="3531"/>
      <c r="G4" s="3531"/>
      <c r="H4" s="3531"/>
      <c r="I4" s="3531"/>
      <c r="J4" s="3531"/>
      <c r="K4" s="3531"/>
      <c r="L4" s="3531"/>
      <c r="M4" s="3531"/>
      <c r="N4" s="3531"/>
      <c r="O4" s="3531"/>
      <c r="P4" s="3531"/>
      <c r="Q4" s="3531"/>
    </row>
    <row r="5" spans="1:17" ht="20.45" customHeight="1" x14ac:dyDescent="0.4">
      <c r="A5" s="3508" t="s">
        <v>43</v>
      </c>
      <c r="B5" s="3519"/>
      <c r="C5" s="3528" t="s">
        <v>7304</v>
      </c>
      <c r="D5" s="3531"/>
      <c r="E5" s="3531"/>
      <c r="F5" s="3531"/>
      <c r="G5" s="3531"/>
      <c r="H5" s="3531"/>
      <c r="I5" s="3531"/>
      <c r="J5" s="3531"/>
      <c r="K5" s="3531"/>
      <c r="L5" s="3531"/>
      <c r="M5" s="3531"/>
      <c r="N5" s="3531"/>
      <c r="O5" s="3531"/>
      <c r="P5" s="3531"/>
      <c r="Q5" s="3531"/>
    </row>
    <row r="6" spans="1:17" ht="19.5" x14ac:dyDescent="0.4">
      <c r="A6" s="3508" t="s">
        <v>132</v>
      </c>
      <c r="B6" s="3519"/>
      <c r="C6" s="3528"/>
      <c r="D6" s="3531"/>
      <c r="E6" s="3531"/>
      <c r="F6" s="3531"/>
      <c r="G6" s="3531"/>
      <c r="H6" s="3531"/>
      <c r="I6" s="3531"/>
      <c r="J6" s="3531"/>
      <c r="K6" s="3531"/>
      <c r="L6" s="3531"/>
      <c r="M6" s="3531"/>
      <c r="N6" s="3531"/>
      <c r="O6" s="3531"/>
      <c r="P6" s="3531"/>
      <c r="Q6" s="3531"/>
    </row>
    <row r="10" spans="1:17" ht="17.45" customHeight="1" x14ac:dyDescent="0.4">
      <c r="C10" s="2506" t="s">
        <v>243</v>
      </c>
      <c r="D10" s="2506"/>
      <c r="E10" s="2506"/>
      <c r="F10" s="2506"/>
      <c r="G10" s="2506"/>
      <c r="H10" s="2506"/>
      <c r="I10" s="2506"/>
      <c r="J10" s="2506"/>
      <c r="K10" s="2506"/>
      <c r="L10" s="2506"/>
      <c r="M10" s="2506"/>
      <c r="N10" s="2506"/>
      <c r="O10" s="2506"/>
      <c r="P10" s="2506"/>
      <c r="Q10" s="2506"/>
    </row>
    <row r="11" spans="1:17" ht="17.45" customHeight="1" x14ac:dyDescent="0.4">
      <c r="C11" s="2506"/>
      <c r="D11" s="2506"/>
      <c r="E11" s="2506"/>
      <c r="F11" s="2506"/>
      <c r="G11" s="2506"/>
      <c r="H11" s="2506"/>
      <c r="I11" s="2506"/>
      <c r="J11" s="2506"/>
      <c r="K11" s="2506"/>
      <c r="L11" s="2506"/>
      <c r="M11" s="2506"/>
      <c r="N11" s="2506"/>
      <c r="O11" s="2506"/>
      <c r="P11" s="2506"/>
      <c r="Q11" s="2506"/>
    </row>
  </sheetData>
  <mergeCells count="10">
    <mergeCell ref="A6:B6"/>
    <mergeCell ref="C6:Q6"/>
    <mergeCell ref="C10:Q11"/>
    <mergeCell ref="C1:D1"/>
    <mergeCell ref="A3:B3"/>
    <mergeCell ref="C3:Q3"/>
    <mergeCell ref="A4:B4"/>
    <mergeCell ref="C4:Q4"/>
    <mergeCell ref="A5:B5"/>
    <mergeCell ref="C5:Q5"/>
  </mergeCells>
  <hyperlinks>
    <hyperlink ref="A1" location="'ODS 16.'!A1" display="REGRESAR" xr:uid="{71186A7E-3EB3-485E-B32E-49A0CED235F9}"/>
    <hyperlink ref="C1:D1" location="'Metadato 16.3.3'!A1" display="VER METADATO" xr:uid="{59259387-956F-4D82-80A1-708483897413}"/>
  </hyperlinks>
  <pageMargins left="0.7" right="0.7" top="0.75" bottom="0.75" header="0.3" footer="0.3"/>
  <pageSetup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6CB-8EEE-4708-AECF-D6393850A8C6}">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7" style="243" customWidth="1"/>
    <col min="2" max="2" width="26.42578125" style="243" customWidth="1"/>
    <col min="3" max="3" width="24" style="243" customWidth="1"/>
    <col min="4" max="4" width="85.7109375" style="243" customWidth="1"/>
    <col min="5" max="5" width="2.42578125" style="243" customWidth="1"/>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76</v>
      </c>
    </row>
    <row r="4" spans="2:6" ht="37.5" x14ac:dyDescent="0.25">
      <c r="B4" s="2425" t="s">
        <v>234</v>
      </c>
      <c r="C4" s="2425"/>
      <c r="D4" s="49" t="s">
        <v>7369</v>
      </c>
    </row>
    <row r="5" spans="2:6" ht="37.5" x14ac:dyDescent="0.25">
      <c r="B5" s="2425" t="s">
        <v>79</v>
      </c>
      <c r="C5" s="2425"/>
      <c r="D5" s="49" t="s">
        <v>7298</v>
      </c>
    </row>
    <row r="6" spans="2:6" x14ac:dyDescent="0.25">
      <c r="B6" s="2425" t="s">
        <v>80</v>
      </c>
      <c r="C6" s="2425"/>
      <c r="D6" s="50" t="s">
        <v>7303</v>
      </c>
    </row>
    <row r="7" spans="2:6" ht="46.5" customHeight="1" x14ac:dyDescent="0.25">
      <c r="B7" s="2426" t="s">
        <v>81</v>
      </c>
      <c r="C7" s="2426"/>
      <c r="D7" s="93" t="s">
        <v>7304</v>
      </c>
    </row>
    <row r="8" spans="2:6" ht="15" customHeight="1" x14ac:dyDescent="0.25">
      <c r="B8" s="2426" t="s">
        <v>82</v>
      </c>
      <c r="C8" s="2426"/>
      <c r="D8" s="1047"/>
    </row>
    <row r="9" spans="2:6" x14ac:dyDescent="0.4">
      <c r="B9" s="115"/>
      <c r="C9" s="115"/>
      <c r="D9" s="115"/>
    </row>
    <row r="10" spans="2:6" ht="23.25" customHeight="1" x14ac:dyDescent="0.25">
      <c r="B10" s="3514" t="s">
        <v>85</v>
      </c>
      <c r="C10" s="3514"/>
      <c r="D10" s="3514"/>
    </row>
    <row r="11" spans="2:6" ht="16.5" customHeight="1" x14ac:dyDescent="0.25">
      <c r="B11" s="2427" t="s">
        <v>86</v>
      </c>
      <c r="C11" s="2428"/>
      <c r="D11" s="49"/>
    </row>
    <row r="12" spans="2:6" ht="33.75" customHeight="1" x14ac:dyDescent="0.25">
      <c r="B12" s="2426" t="s">
        <v>88</v>
      </c>
      <c r="C12" s="2426"/>
      <c r="D12" s="184"/>
    </row>
    <row r="13" spans="2:6" x14ac:dyDescent="0.25">
      <c r="B13" s="2425" t="s">
        <v>90</v>
      </c>
      <c r="C13" s="2425"/>
      <c r="D13" s="55"/>
    </row>
    <row r="14" spans="2:6" x14ac:dyDescent="0.25">
      <c r="B14" s="2425" t="s">
        <v>91</v>
      </c>
      <c r="C14" s="2428"/>
      <c r="D14" s="54"/>
    </row>
    <row r="15" spans="2:6" x14ac:dyDescent="0.25">
      <c r="B15" s="2425" t="s">
        <v>93</v>
      </c>
      <c r="C15" s="2425"/>
      <c r="D15" s="55"/>
    </row>
    <row r="16" spans="2:6" ht="40.5" customHeight="1" x14ac:dyDescent="0.25">
      <c r="B16" s="2425" t="s">
        <v>95</v>
      </c>
      <c r="C16" s="2425"/>
      <c r="D16" s="55"/>
    </row>
    <row r="17" spans="2:4" x14ac:dyDescent="0.25">
      <c r="B17" s="2425" t="s">
        <v>97</v>
      </c>
      <c r="C17" s="2425"/>
      <c r="D17" s="55"/>
    </row>
    <row r="18" spans="2:4" x14ac:dyDescent="0.25">
      <c r="B18" s="2426" t="s">
        <v>99</v>
      </c>
      <c r="C18" s="2426"/>
      <c r="D18" s="49"/>
    </row>
    <row r="19" spans="2:4" ht="32.25" customHeight="1" x14ac:dyDescent="0.25">
      <c r="B19" s="2435" t="s">
        <v>100</v>
      </c>
      <c r="C19" s="2436"/>
      <c r="D19" s="55"/>
    </row>
    <row r="20" spans="2:4" x14ac:dyDescent="0.25">
      <c r="B20" s="2425" t="s">
        <v>102</v>
      </c>
      <c r="C20" s="2425"/>
      <c r="D20" s="55"/>
    </row>
    <row r="21" spans="2:4" x14ac:dyDescent="0.25">
      <c r="B21" s="2432" t="s">
        <v>104</v>
      </c>
      <c r="C21" s="57" t="s">
        <v>105</v>
      </c>
      <c r="D21" s="49"/>
    </row>
    <row r="22" spans="2:4" x14ac:dyDescent="0.25">
      <c r="B22" s="2433"/>
      <c r="C22" s="58" t="s">
        <v>107</v>
      </c>
      <c r="D22" s="55"/>
    </row>
    <row r="23" spans="2:4" ht="12.75" customHeight="1" x14ac:dyDescent="0.25">
      <c r="B23" s="2425" t="s">
        <v>109</v>
      </c>
      <c r="C23" s="2425"/>
      <c r="D23" s="55"/>
    </row>
    <row r="24" spans="2:4" x14ac:dyDescent="0.25">
      <c r="B24" s="2425" t="s">
        <v>111</v>
      </c>
      <c r="C24" s="2425"/>
      <c r="D24" s="50"/>
    </row>
    <row r="25" spans="2:4" x14ac:dyDescent="0.25">
      <c r="B25" s="2425" t="s">
        <v>113</v>
      </c>
      <c r="C25" s="2425"/>
      <c r="D25" s="55"/>
    </row>
    <row r="26" spans="2:4" ht="15" customHeight="1" x14ac:dyDescent="0.25">
      <c r="B26" s="2426" t="s">
        <v>115</v>
      </c>
      <c r="C26" s="2426"/>
      <c r="D26" s="50"/>
    </row>
    <row r="27" spans="2:4" x14ac:dyDescent="0.25">
      <c r="B27" s="2427" t="s">
        <v>117</v>
      </c>
      <c r="C27" s="2428"/>
      <c r="D27" s="49"/>
    </row>
    <row r="28" spans="2:4" x14ac:dyDescent="0.25">
      <c r="B28" s="60" t="s">
        <v>118</v>
      </c>
      <c r="C28" s="61"/>
      <c r="D28" s="55"/>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50"/>
    </row>
    <row r="36" spans="2:4" x14ac:dyDescent="0.25">
      <c r="B36" s="2427" t="s">
        <v>130</v>
      </c>
      <c r="C36" s="2428"/>
      <c r="D36" s="1536"/>
    </row>
    <row r="37" spans="2:4" x14ac:dyDescent="0.25">
      <c r="B37" s="2427" t="s">
        <v>122</v>
      </c>
      <c r="C37" s="2428"/>
      <c r="D37" s="55"/>
    </row>
    <row r="38" spans="2:4" x14ac:dyDescent="0.25">
      <c r="B38" s="2427" t="s">
        <v>124</v>
      </c>
      <c r="C38" s="2428"/>
      <c r="D38" s="55"/>
    </row>
    <row r="39" spans="2:4" x14ac:dyDescent="0.25">
      <c r="B39" s="2427" t="s">
        <v>126</v>
      </c>
      <c r="C39" s="2428"/>
      <c r="D39" s="55"/>
    </row>
    <row r="40" spans="2:4" x14ac:dyDescent="0.25">
      <c r="B40" s="2427" t="s">
        <v>128</v>
      </c>
      <c r="C40" s="2428"/>
      <c r="D40" s="50"/>
    </row>
    <row r="41" spans="2:4" x14ac:dyDescent="0.25">
      <c r="B41" s="2427" t="s">
        <v>130</v>
      </c>
      <c r="C41" s="2428"/>
      <c r="D41" s="1536"/>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25" xr:uid="{B4AC8135-9030-4AE3-A617-BD6CD21F0347}">
      <formula1>Tipo_operación</formula1>
    </dataValidation>
    <dataValidation type="list" allowBlank="1" showInputMessage="1" showErrorMessage="1" sqref="D14" xr:uid="{C7FAD122-43D5-4697-901F-8177549F3615}">
      <formula1>Tipo_indicador</formula1>
    </dataValidation>
    <dataValidation type="list" allowBlank="1" showInputMessage="1" showErrorMessage="1" sqref="D7" xr:uid="{9C9D3998-2C74-4E46-81B8-9530C2AC651F}">
      <formula1>Nombre_indicador_ODS</formula1>
    </dataValidation>
    <dataValidation type="list" allowBlank="1" showInputMessage="1" showErrorMessage="1" sqref="D6" xr:uid="{3339516B-7B23-4935-B02D-E9B570545989}">
      <formula1>Numero_indicador</formula1>
    </dataValidation>
    <dataValidation type="list" allowBlank="1" showInputMessage="1" showErrorMessage="1" sqref="D5" xr:uid="{37E1311F-3592-443B-BF84-BC9F33AD22C5}">
      <formula1>Metas_ODS</formula1>
    </dataValidation>
    <dataValidation type="list" allowBlank="1" showInputMessage="1" showErrorMessage="1" sqref="D4" xr:uid="{B1F76104-E92D-4580-AD71-D51B2A91BBEF}">
      <formula1>ODS</formula1>
    </dataValidation>
  </dataValidations>
  <hyperlinks>
    <hyperlink ref="B1" location="'16.3.3'!A1" display="REGRESAR" xr:uid="{3C6528F3-B286-4C1B-8EB2-3E45A0B4CA66}"/>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0787A-D7EE-4BE3-A730-CE53AEEB22DC}">
  <sheetPr>
    <tabColor theme="5"/>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9.5" x14ac:dyDescent="0.4"/>
  <cols>
    <col min="1" max="1" width="15.28515625" style="1032" customWidth="1"/>
    <col min="2" max="2" width="17.7109375" style="1032" customWidth="1"/>
    <col min="3" max="3" width="12.28515625" style="1061" customWidth="1"/>
    <col min="4" max="5" width="12.28515625" style="1032" customWidth="1"/>
    <col min="6" max="16384" width="11.42578125" style="1032"/>
  </cols>
  <sheetData>
    <row r="1" spans="1:16" x14ac:dyDescent="0.4">
      <c r="A1" s="15" t="s">
        <v>39</v>
      </c>
      <c r="B1" s="1080"/>
      <c r="C1" s="2421" t="s">
        <v>149</v>
      </c>
      <c r="D1" s="2421"/>
    </row>
    <row r="2" spans="1:16" ht="14.25" customHeight="1" x14ac:dyDescent="0.4"/>
    <row r="3" spans="1:16" ht="39.6" customHeight="1" x14ac:dyDescent="0.4">
      <c r="A3" s="3508" t="s">
        <v>41</v>
      </c>
      <c r="B3" s="3510"/>
      <c r="C3" s="3520" t="s">
        <v>7281</v>
      </c>
      <c r="D3" s="3529"/>
      <c r="E3" s="3529"/>
      <c r="F3" s="3529"/>
      <c r="G3" s="3529"/>
      <c r="H3" s="3529"/>
      <c r="I3" s="3529"/>
      <c r="J3" s="3529"/>
      <c r="K3" s="3529"/>
      <c r="L3" s="3529"/>
      <c r="M3" s="3529"/>
      <c r="N3" s="3529"/>
      <c r="O3" s="3529"/>
      <c r="P3" s="3532"/>
    </row>
    <row r="4" spans="1:16" ht="36" customHeight="1" x14ac:dyDescent="0.4">
      <c r="A4" s="3508" t="s">
        <v>42</v>
      </c>
      <c r="B4" s="3519"/>
      <c r="C4" s="3520" t="s">
        <v>7305</v>
      </c>
      <c r="D4" s="3521"/>
      <c r="E4" s="3521"/>
      <c r="F4" s="3521"/>
      <c r="G4" s="3521"/>
      <c r="H4" s="3521"/>
      <c r="I4" s="3521"/>
      <c r="J4" s="3521"/>
      <c r="K4" s="3521"/>
      <c r="L4" s="3521"/>
      <c r="M4" s="3521"/>
      <c r="N4" s="3521"/>
      <c r="O4" s="3521"/>
      <c r="P4" s="3533"/>
    </row>
    <row r="5" spans="1:16" ht="18.600000000000001" customHeight="1" x14ac:dyDescent="0.4">
      <c r="A5" s="3508" t="s">
        <v>43</v>
      </c>
      <c r="B5" s="3519"/>
      <c r="C5" s="3528" t="s">
        <v>7307</v>
      </c>
      <c r="D5" s="3531"/>
      <c r="E5" s="3531"/>
      <c r="F5" s="3531"/>
      <c r="G5" s="3531"/>
      <c r="H5" s="3531"/>
      <c r="I5" s="3531"/>
      <c r="J5" s="3531"/>
      <c r="K5" s="3531"/>
      <c r="L5" s="3531"/>
      <c r="M5" s="3531"/>
      <c r="N5" s="3531"/>
      <c r="O5" s="3531"/>
      <c r="P5" s="3531"/>
    </row>
    <row r="6" spans="1:16" x14ac:dyDescent="0.4">
      <c r="A6" s="3508" t="s">
        <v>132</v>
      </c>
      <c r="B6" s="3519"/>
      <c r="C6" s="3528" t="s">
        <v>242</v>
      </c>
      <c r="D6" s="3531"/>
      <c r="E6" s="3531"/>
      <c r="F6" s="3531"/>
      <c r="G6" s="3531"/>
      <c r="H6" s="3531"/>
      <c r="I6" s="3531"/>
      <c r="J6" s="3531"/>
      <c r="K6" s="3531"/>
      <c r="L6" s="3531"/>
      <c r="M6" s="3531"/>
      <c r="N6" s="3531"/>
      <c r="O6" s="3531"/>
      <c r="P6" s="3531"/>
    </row>
    <row r="7" spans="1:16" x14ac:dyDescent="0.4">
      <c r="A7" s="1084"/>
    </row>
    <row r="8" spans="1:16" x14ac:dyDescent="0.4">
      <c r="A8" s="1084"/>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B9979D2F-9777-412B-BD78-1CB2210D7787}"/>
    <hyperlink ref="C1:D1" location="'Metadato 16.4.1'!A1" display="VER METADATO" xr:uid="{827D98C4-3D88-4F04-AE6D-FDF6BDB68388}"/>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C613-623A-4848-B41F-094D379709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ht="37.5" x14ac:dyDescent="0.25">
      <c r="B5" s="2425" t="s">
        <v>79</v>
      </c>
      <c r="C5" s="2425"/>
      <c r="D5" s="49" t="s">
        <v>7305</v>
      </c>
    </row>
    <row r="6" spans="2:6" x14ac:dyDescent="0.25">
      <c r="B6" s="2425" t="s">
        <v>80</v>
      </c>
      <c r="C6" s="2425"/>
      <c r="D6" s="50" t="s">
        <v>7306</v>
      </c>
    </row>
    <row r="7" spans="2:6" ht="37.5" x14ac:dyDescent="0.25">
      <c r="B7" s="2426" t="s">
        <v>81</v>
      </c>
      <c r="C7" s="2426"/>
      <c r="D7" s="93" t="s">
        <v>7307</v>
      </c>
    </row>
    <row r="8" spans="2:6" x14ac:dyDescent="0.25">
      <c r="B8" s="2426" t="s">
        <v>82</v>
      </c>
      <c r="C8" s="2426"/>
      <c r="D8" s="1047" t="s">
        <v>353</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7376</v>
      </c>
    </row>
    <row r="25" spans="2:4" x14ac:dyDescent="0.25">
      <c r="B25" s="2425" t="s">
        <v>113</v>
      </c>
      <c r="C25" s="2425"/>
      <c r="D25" s="55"/>
    </row>
    <row r="26" spans="2:4" x14ac:dyDescent="0.25">
      <c r="B26" s="2426" t="s">
        <v>115</v>
      </c>
      <c r="C26" s="2426"/>
      <c r="D26" s="49"/>
    </row>
    <row r="27" spans="2:4" x14ac:dyDescent="0.25">
      <c r="B27" s="2427" t="s">
        <v>117</v>
      </c>
      <c r="C27" s="2428"/>
      <c r="D27" s="49"/>
    </row>
    <row r="28" spans="2:4" ht="56.25" x14ac:dyDescent="0.25">
      <c r="B28" s="60" t="s">
        <v>118</v>
      </c>
      <c r="C28" s="61"/>
      <c r="D28" s="55" t="s">
        <v>7544</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7545</v>
      </c>
    </row>
    <row r="33" spans="2:4" x14ac:dyDescent="0.25">
      <c r="B33" s="2427" t="s">
        <v>124</v>
      </c>
      <c r="C33" s="2428"/>
      <c r="D33" s="50" t="s">
        <v>7546</v>
      </c>
    </row>
    <row r="34" spans="2:4" x14ac:dyDescent="0.25">
      <c r="B34" s="2427" t="s">
        <v>126</v>
      </c>
      <c r="C34" s="2428"/>
      <c r="D34" s="50" t="s">
        <v>7376</v>
      </c>
    </row>
    <row r="35" spans="2:4" x14ac:dyDescent="0.25">
      <c r="B35" s="2427" t="s">
        <v>128</v>
      </c>
      <c r="C35" s="2428"/>
      <c r="D35" s="50" t="s">
        <v>7547</v>
      </c>
    </row>
    <row r="36" spans="2:4" x14ac:dyDescent="0.25">
      <c r="B36" s="2427" t="s">
        <v>130</v>
      </c>
      <c r="C36" s="2428"/>
      <c r="D36" s="1312" t="s">
        <v>7548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8C719A4-A0C5-4FC0-81CC-976E52EEB2EE}"/>
    <dataValidation type="list" allowBlank="1" showInputMessage="1" showErrorMessage="1" sqref="D4" xr:uid="{D60CB8CE-BAF4-4CFA-BA7C-25FC7F1BDC19}">
      <formula1>ODS</formula1>
    </dataValidation>
    <dataValidation type="list" allowBlank="1" showInputMessage="1" showErrorMessage="1" sqref="D5" xr:uid="{448B1101-C8FE-464B-9AD0-4FF287FFE923}">
      <formula1>Metas_ODS</formula1>
    </dataValidation>
    <dataValidation type="list" allowBlank="1" showInputMessage="1" showErrorMessage="1" sqref="D6" xr:uid="{76CF0E6D-AF2E-41A3-9B0A-A23913553433}">
      <formula1>Numero_indicador</formula1>
    </dataValidation>
    <dataValidation type="list" allowBlank="1" showInputMessage="1" showErrorMessage="1" sqref="D7" xr:uid="{75FDCD80-0D5C-412E-9CC5-DF599622EA3F}">
      <formula1>Nombre_indicador_ODS</formula1>
    </dataValidation>
    <dataValidation type="list" allowBlank="1" showInputMessage="1" showErrorMessage="1" sqref="D14" xr:uid="{9DAF5371-5503-4730-9FB5-37DF93F9150D}">
      <formula1>Tipo_indicador</formula1>
    </dataValidation>
    <dataValidation type="list" allowBlank="1" showInputMessage="1" showErrorMessage="1" sqref="D25" xr:uid="{CB699DA6-EA4D-433B-AC32-11EAF7E1840A}">
      <formula1>Tipo_operación</formula1>
    </dataValidation>
  </dataValidations>
  <hyperlinks>
    <hyperlink ref="B1" location="'16.4.1'!A1" display="REGRESAR" xr:uid="{405E4A65-CA68-4598-BAD7-C67AC35901F7}"/>
    <hyperlink ref="D36" r:id="rId1" xr:uid="{8D67955F-ED62-42F7-8ACC-1D9DB158A4F6}"/>
    <hyperlink ref="D8" r:id="rId2" xr:uid="{E376ACEE-38C2-4872-BDAB-0751A856433C}"/>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132A-29B8-45B7-9083-54FA58E2537A}">
  <dimension ref="A1:P46"/>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1" width="15.5703125" style="115" customWidth="1"/>
    <col min="2" max="2" width="19.7109375" style="115" customWidth="1"/>
    <col min="3" max="3" width="7.28515625" style="115" customWidth="1"/>
    <col min="4" max="4" width="8.28515625" style="115" customWidth="1"/>
    <col min="5" max="10" width="11.42578125" style="115"/>
    <col min="11" max="11" width="14.42578125" style="115" customWidth="1"/>
    <col min="12" max="12" width="11.42578125" style="115"/>
    <col min="13" max="15" width="11.5703125" style="115" customWidth="1"/>
    <col min="16" max="16384" width="11.42578125" style="115"/>
  </cols>
  <sheetData>
    <row r="1" spans="1:16" x14ac:dyDescent="0.4">
      <c r="A1" s="90" t="s">
        <v>39</v>
      </c>
      <c r="C1" s="2541" t="s">
        <v>149</v>
      </c>
      <c r="D1" s="2541"/>
    </row>
    <row r="3" spans="1:16" ht="19.149999999999999" customHeight="1" x14ac:dyDescent="0.4">
      <c r="A3" s="3508" t="s">
        <v>41</v>
      </c>
      <c r="B3" s="3510"/>
      <c r="C3" s="3528" t="s">
        <v>7281</v>
      </c>
      <c r="D3" s="3528"/>
      <c r="E3" s="3528"/>
      <c r="F3" s="3528"/>
      <c r="G3" s="3528"/>
      <c r="H3" s="3528"/>
      <c r="I3" s="3528"/>
      <c r="J3" s="3528"/>
      <c r="K3" s="3528"/>
      <c r="L3" s="3528"/>
      <c r="M3" s="3528"/>
      <c r="N3" s="3528"/>
      <c r="O3" s="3528"/>
      <c r="P3" s="3528"/>
    </row>
    <row r="4" spans="1:16" ht="19.5" x14ac:dyDescent="0.4">
      <c r="A4" s="3508" t="s">
        <v>42</v>
      </c>
      <c r="B4" s="3519"/>
      <c r="C4" s="3528" t="s">
        <v>7305</v>
      </c>
      <c r="D4" s="3531"/>
      <c r="E4" s="3531"/>
      <c r="F4" s="3531"/>
      <c r="G4" s="3531"/>
      <c r="H4" s="3531"/>
      <c r="I4" s="3531"/>
      <c r="J4" s="3531"/>
      <c r="K4" s="3531"/>
      <c r="L4" s="3531"/>
      <c r="M4" s="3531"/>
      <c r="N4" s="3531"/>
      <c r="O4" s="3531"/>
      <c r="P4" s="3531"/>
    </row>
    <row r="5" spans="1:16" ht="19.899999999999999" customHeight="1" x14ac:dyDescent="0.4">
      <c r="A5" s="3508" t="s">
        <v>43</v>
      </c>
      <c r="B5" s="3519"/>
      <c r="C5" s="3528" t="s">
        <v>7309</v>
      </c>
      <c r="D5" s="3531"/>
      <c r="E5" s="3531"/>
      <c r="F5" s="3531"/>
      <c r="G5" s="3531"/>
      <c r="H5" s="3531"/>
      <c r="I5" s="3531"/>
      <c r="J5" s="3531"/>
      <c r="K5" s="3531"/>
      <c r="L5" s="3531"/>
      <c r="M5" s="3531"/>
      <c r="N5" s="3531"/>
      <c r="O5" s="3531"/>
      <c r="P5" s="3531"/>
    </row>
    <row r="6" spans="1:16" ht="19.5" x14ac:dyDescent="0.4">
      <c r="A6" s="3508" t="s">
        <v>132</v>
      </c>
      <c r="B6" s="3519"/>
      <c r="C6" s="3528" t="s">
        <v>7549</v>
      </c>
      <c r="D6" s="3531"/>
      <c r="E6" s="3531"/>
      <c r="F6" s="3531"/>
      <c r="G6" s="3531"/>
      <c r="H6" s="3531"/>
      <c r="I6" s="3531"/>
      <c r="J6" s="3531"/>
      <c r="K6" s="3531"/>
      <c r="L6" s="3531"/>
      <c r="M6" s="3531"/>
      <c r="N6" s="3531"/>
      <c r="O6" s="3531"/>
      <c r="P6" s="3531"/>
    </row>
    <row r="9" spans="1:16" ht="18.600000000000001" customHeight="1" x14ac:dyDescent="0.4">
      <c r="C9" s="187" t="s">
        <v>7550</v>
      </c>
      <c r="D9" s="187"/>
      <c r="E9" s="187"/>
      <c r="F9" s="187"/>
      <c r="G9" s="187"/>
      <c r="H9" s="187"/>
      <c r="I9" s="187"/>
      <c r="J9" s="187"/>
      <c r="K9" s="187"/>
      <c r="L9" s="187"/>
    </row>
    <row r="10" spans="1:16" ht="7.9" customHeight="1" x14ac:dyDescent="0.4">
      <c r="C10" s="1034"/>
      <c r="D10" s="1034"/>
      <c r="E10" s="1034"/>
      <c r="F10" s="1034"/>
      <c r="G10" s="1034"/>
      <c r="H10" s="1034"/>
      <c r="I10" s="1034"/>
      <c r="J10" s="1034"/>
      <c r="K10" s="1034"/>
      <c r="L10" s="1034"/>
    </row>
    <row r="11" spans="1:16" ht="28.9" customHeight="1" x14ac:dyDescent="0.4">
      <c r="A11" s="536"/>
      <c r="C11" s="2180" t="s">
        <v>46</v>
      </c>
      <c r="D11" s="2180" t="s">
        <v>47</v>
      </c>
      <c r="E11" s="2180" t="s">
        <v>7551</v>
      </c>
      <c r="F11" s="2180" t="s">
        <v>7552</v>
      </c>
      <c r="G11" s="2180" t="s">
        <v>7553</v>
      </c>
      <c r="H11" s="2180" t="s">
        <v>7554</v>
      </c>
      <c r="I11" s="2180" t="s">
        <v>7555</v>
      </c>
      <c r="J11" s="2180" t="s">
        <v>7556</v>
      </c>
      <c r="K11" s="2181" t="s">
        <v>7557</v>
      </c>
      <c r="L11" s="2165" t="s">
        <v>7558</v>
      </c>
    </row>
    <row r="12" spans="1:16" x14ac:dyDescent="0.4">
      <c r="A12" s="536"/>
      <c r="C12" s="1854">
        <v>2010</v>
      </c>
      <c r="D12" s="2123">
        <v>2765</v>
      </c>
      <c r="E12" s="2123">
        <v>911</v>
      </c>
      <c r="F12" s="2123">
        <v>1261</v>
      </c>
      <c r="G12" s="2123">
        <v>197</v>
      </c>
      <c r="H12" s="2123">
        <v>90</v>
      </c>
      <c r="I12" s="2123">
        <v>90</v>
      </c>
      <c r="J12" s="2123">
        <v>92</v>
      </c>
      <c r="K12" s="2123">
        <v>6</v>
      </c>
      <c r="L12" s="2123">
        <v>118</v>
      </c>
    </row>
    <row r="13" spans="1:16" x14ac:dyDescent="0.4">
      <c r="A13" s="536"/>
      <c r="C13" s="1854">
        <v>2011</v>
      </c>
      <c r="D13" s="2123">
        <v>2275</v>
      </c>
      <c r="E13" s="2123">
        <v>775</v>
      </c>
      <c r="F13" s="2123">
        <v>888</v>
      </c>
      <c r="G13" s="2123">
        <v>232</v>
      </c>
      <c r="H13" s="2123">
        <v>98</v>
      </c>
      <c r="I13" s="2123">
        <v>83</v>
      </c>
      <c r="J13" s="2123">
        <v>81</v>
      </c>
      <c r="K13" s="2123">
        <v>3</v>
      </c>
      <c r="L13" s="2123">
        <v>115</v>
      </c>
    </row>
    <row r="14" spans="1:16" x14ac:dyDescent="0.4">
      <c r="A14" s="536"/>
      <c r="C14" s="1854">
        <v>2012</v>
      </c>
      <c r="D14" s="2123">
        <v>2047</v>
      </c>
      <c r="E14" s="2123">
        <v>733</v>
      </c>
      <c r="F14" s="2123">
        <v>804</v>
      </c>
      <c r="G14" s="2123">
        <v>182</v>
      </c>
      <c r="H14" s="2123">
        <v>93</v>
      </c>
      <c r="I14" s="2123">
        <v>79</v>
      </c>
      <c r="J14" s="2123">
        <v>67</v>
      </c>
      <c r="K14" s="2123">
        <v>8</v>
      </c>
      <c r="L14" s="2123">
        <v>81</v>
      </c>
    </row>
    <row r="15" spans="1:16" x14ac:dyDescent="0.4">
      <c r="A15" s="536"/>
      <c r="C15" s="1854">
        <v>2013</v>
      </c>
      <c r="D15" s="2123">
        <v>2032</v>
      </c>
      <c r="E15" s="2123">
        <v>802</v>
      </c>
      <c r="F15" s="2123">
        <v>713</v>
      </c>
      <c r="G15" s="2123">
        <v>225</v>
      </c>
      <c r="H15" s="2123">
        <v>86</v>
      </c>
      <c r="I15" s="2123">
        <v>75</v>
      </c>
      <c r="J15" s="2123">
        <v>83</v>
      </c>
      <c r="K15" s="2123">
        <v>5</v>
      </c>
      <c r="L15" s="2123">
        <v>43</v>
      </c>
    </row>
    <row r="16" spans="1:16" x14ac:dyDescent="0.4">
      <c r="A16" s="536"/>
      <c r="C16" s="1854">
        <v>2014</v>
      </c>
      <c r="D16" s="2123">
        <v>1976</v>
      </c>
      <c r="E16" s="2123">
        <v>878</v>
      </c>
      <c r="F16" s="2123">
        <v>660</v>
      </c>
      <c r="G16" s="2123">
        <v>178</v>
      </c>
      <c r="H16" s="2123">
        <v>76</v>
      </c>
      <c r="I16" s="2123">
        <v>57</v>
      </c>
      <c r="J16" s="2123">
        <v>66</v>
      </c>
      <c r="K16" s="2123">
        <v>10</v>
      </c>
      <c r="L16" s="2123">
        <v>51</v>
      </c>
    </row>
    <row r="17" spans="1:12" x14ac:dyDescent="0.4">
      <c r="A17" s="536"/>
      <c r="C17" s="1854">
        <v>2015</v>
      </c>
      <c r="D17" s="2123">
        <v>1712</v>
      </c>
      <c r="E17" s="2123">
        <v>762</v>
      </c>
      <c r="F17" s="2123">
        <v>617</v>
      </c>
      <c r="G17" s="2123">
        <v>130</v>
      </c>
      <c r="H17" s="2123">
        <v>69</v>
      </c>
      <c r="I17" s="2123">
        <v>50</v>
      </c>
      <c r="J17" s="2123">
        <v>45</v>
      </c>
      <c r="K17" s="2123">
        <v>9</v>
      </c>
      <c r="L17" s="2123">
        <v>30</v>
      </c>
    </row>
    <row r="18" spans="1:12" x14ac:dyDescent="0.4">
      <c r="A18" s="536"/>
      <c r="C18" s="1854">
        <v>2016</v>
      </c>
      <c r="D18" s="2123">
        <v>2010</v>
      </c>
      <c r="E18" s="2123">
        <v>950</v>
      </c>
      <c r="F18" s="2123">
        <v>672</v>
      </c>
      <c r="G18" s="2123">
        <v>149</v>
      </c>
      <c r="H18" s="2123">
        <v>69</v>
      </c>
      <c r="I18" s="2123">
        <v>54</v>
      </c>
      <c r="J18" s="2123">
        <v>52</v>
      </c>
      <c r="K18" s="2123">
        <v>25</v>
      </c>
      <c r="L18" s="2123">
        <v>39</v>
      </c>
    </row>
    <row r="19" spans="1:12" x14ac:dyDescent="0.4">
      <c r="A19" s="536"/>
      <c r="C19" s="1854">
        <v>2017</v>
      </c>
      <c r="D19" s="2123">
        <f t="shared" ref="D19:D25" si="0">SUM(E19:L19)</f>
        <v>2056</v>
      </c>
      <c r="E19" s="2123">
        <v>947</v>
      </c>
      <c r="F19" s="2123">
        <v>687</v>
      </c>
      <c r="G19" s="2123">
        <v>154</v>
      </c>
      <c r="H19" s="2123">
        <v>84</v>
      </c>
      <c r="I19" s="2123">
        <v>59</v>
      </c>
      <c r="J19" s="2123">
        <v>55</v>
      </c>
      <c r="K19" s="2123">
        <v>39</v>
      </c>
      <c r="L19" s="2123">
        <v>31</v>
      </c>
    </row>
    <row r="20" spans="1:12" x14ac:dyDescent="0.4">
      <c r="A20" s="536"/>
      <c r="C20" s="1854">
        <v>2018</v>
      </c>
      <c r="D20" s="2123">
        <f t="shared" si="0"/>
        <v>2321</v>
      </c>
      <c r="E20" s="2123">
        <v>1106</v>
      </c>
      <c r="F20" s="2123">
        <v>792</v>
      </c>
      <c r="G20" s="2123">
        <v>156</v>
      </c>
      <c r="H20" s="2123">
        <v>91</v>
      </c>
      <c r="I20" s="2123" t="s">
        <v>7559</v>
      </c>
      <c r="J20" s="2123">
        <v>100</v>
      </c>
      <c r="K20" s="2123">
        <v>18</v>
      </c>
      <c r="L20" s="2123">
        <v>58</v>
      </c>
    </row>
    <row r="21" spans="1:12" x14ac:dyDescent="0.4">
      <c r="A21" s="536"/>
      <c r="C21" s="1854">
        <v>2019</v>
      </c>
      <c r="D21" s="2123">
        <f t="shared" si="0"/>
        <v>2498</v>
      </c>
      <c r="E21" s="2123">
        <v>1173</v>
      </c>
      <c r="F21" s="2123">
        <v>907</v>
      </c>
      <c r="G21" s="2123">
        <v>121</v>
      </c>
      <c r="H21" s="2123">
        <v>111</v>
      </c>
      <c r="I21" s="2123">
        <v>62</v>
      </c>
      <c r="J21" s="2123">
        <v>66</v>
      </c>
      <c r="K21" s="2123">
        <v>23</v>
      </c>
      <c r="L21" s="2123">
        <v>35</v>
      </c>
    </row>
    <row r="22" spans="1:12" x14ac:dyDescent="0.4">
      <c r="A22" s="536"/>
      <c r="C22" s="1854">
        <v>2020</v>
      </c>
      <c r="D22" s="2123">
        <f t="shared" si="0"/>
        <v>2087</v>
      </c>
      <c r="E22" s="2123">
        <v>1028</v>
      </c>
      <c r="F22" s="2123">
        <v>673</v>
      </c>
      <c r="G22" s="2123">
        <v>104</v>
      </c>
      <c r="H22" s="2123">
        <v>106</v>
      </c>
      <c r="I22" s="2123">
        <v>78</v>
      </c>
      <c r="J22" s="2123">
        <v>61</v>
      </c>
      <c r="K22" s="2123">
        <v>26</v>
      </c>
      <c r="L22" s="2123">
        <v>11</v>
      </c>
    </row>
    <row r="23" spans="1:12" x14ac:dyDescent="0.4">
      <c r="A23" s="536"/>
      <c r="C23" s="1854">
        <v>2021</v>
      </c>
      <c r="D23" s="2123">
        <f t="shared" si="0"/>
        <v>2037</v>
      </c>
      <c r="E23" s="2123">
        <v>938</v>
      </c>
      <c r="F23" s="2123">
        <v>708</v>
      </c>
      <c r="G23" s="2123">
        <v>141</v>
      </c>
      <c r="H23" s="2123">
        <v>90</v>
      </c>
      <c r="I23" s="2123">
        <v>58</v>
      </c>
      <c r="J23" s="2123">
        <v>43</v>
      </c>
      <c r="K23" s="2123">
        <v>33</v>
      </c>
      <c r="L23" s="2123">
        <v>26</v>
      </c>
    </row>
    <row r="24" spans="1:12" x14ac:dyDescent="0.4">
      <c r="A24" s="536"/>
      <c r="C24" s="1854">
        <v>2022</v>
      </c>
      <c r="D24" s="2123">
        <f t="shared" si="0"/>
        <v>2082</v>
      </c>
      <c r="E24" s="2123">
        <v>1075</v>
      </c>
      <c r="F24" s="2123">
        <v>658</v>
      </c>
      <c r="G24" s="2123">
        <v>153</v>
      </c>
      <c r="H24" s="2123">
        <v>73</v>
      </c>
      <c r="I24" s="2123">
        <v>57</v>
      </c>
      <c r="J24" s="2123">
        <v>24</v>
      </c>
      <c r="K24" s="2123">
        <v>36</v>
      </c>
      <c r="L24" s="2123">
        <v>6</v>
      </c>
    </row>
    <row r="25" spans="1:12" x14ac:dyDescent="0.4">
      <c r="A25" s="536"/>
      <c r="C25" s="2107">
        <v>2023</v>
      </c>
      <c r="D25" s="2182">
        <f t="shared" si="0"/>
        <v>2411</v>
      </c>
      <c r="E25" s="2182">
        <v>1234</v>
      </c>
      <c r="F25" s="2182">
        <v>715</v>
      </c>
      <c r="G25" s="2182">
        <v>144</v>
      </c>
      <c r="H25" s="2182">
        <v>97</v>
      </c>
      <c r="I25" s="2182">
        <v>51</v>
      </c>
      <c r="J25" s="2182">
        <v>45</v>
      </c>
      <c r="K25" s="2182">
        <v>94</v>
      </c>
      <c r="L25" s="2182">
        <v>31</v>
      </c>
    </row>
    <row r="26" spans="1:12" x14ac:dyDescent="0.4">
      <c r="A26" s="536"/>
      <c r="C26" s="155" t="s">
        <v>7560</v>
      </c>
      <c r="D26" s="2183"/>
      <c r="E26" s="2183"/>
      <c r="F26" s="2183"/>
      <c r="G26" s="2183"/>
      <c r="H26" s="2184"/>
      <c r="I26" s="2184"/>
      <c r="J26" s="2184"/>
      <c r="K26" s="2184"/>
      <c r="L26" s="2184"/>
    </row>
    <row r="27" spans="1:12" x14ac:dyDescent="0.4">
      <c r="A27" s="536"/>
      <c r="C27" s="155" t="s">
        <v>7561</v>
      </c>
      <c r="D27" s="536"/>
      <c r="E27" s="536"/>
      <c r="F27" s="536"/>
      <c r="G27" s="536"/>
      <c r="H27" s="536"/>
      <c r="I27" s="536"/>
      <c r="J27" s="536"/>
      <c r="K27" s="536"/>
      <c r="L27" s="536"/>
    </row>
    <row r="28" spans="1:12" x14ac:dyDescent="0.4">
      <c r="A28" s="536"/>
    </row>
    <row r="29" spans="1:12" x14ac:dyDescent="0.4">
      <c r="A29" s="536"/>
    </row>
    <row r="30" spans="1:12" ht="19.5" x14ac:dyDescent="0.4">
      <c r="A30" s="536"/>
      <c r="C30" s="532" t="s">
        <v>7562</v>
      </c>
    </row>
    <row r="31" spans="1:12" x14ac:dyDescent="0.4">
      <c r="A31" s="536"/>
    </row>
    <row r="32" spans="1:12" x14ac:dyDescent="0.4">
      <c r="A32" s="536"/>
    </row>
    <row r="33" spans="1:3" x14ac:dyDescent="0.4">
      <c r="A33" s="536"/>
    </row>
    <row r="34" spans="1:3" x14ac:dyDescent="0.4">
      <c r="A34" s="536"/>
    </row>
    <row r="35" spans="1:3" x14ac:dyDescent="0.4">
      <c r="A35" s="536"/>
    </row>
    <row r="36" spans="1:3" x14ac:dyDescent="0.4">
      <c r="A36" s="536"/>
    </row>
    <row r="46" spans="1:3" x14ac:dyDescent="0.4">
      <c r="C46" s="155" t="s">
        <v>7563</v>
      </c>
    </row>
  </sheetData>
  <mergeCells count="9">
    <mergeCell ref="A6:B6"/>
    <mergeCell ref="C6:P6"/>
    <mergeCell ref="C1:D1"/>
    <mergeCell ref="A3:B3"/>
    <mergeCell ref="C3:P3"/>
    <mergeCell ref="A4:B4"/>
    <mergeCell ref="C4:P4"/>
    <mergeCell ref="A5:B5"/>
    <mergeCell ref="C5:P5"/>
  </mergeCells>
  <hyperlinks>
    <hyperlink ref="A1" location="'ODS 16.'!A1" display="REGRESAR" xr:uid="{7B38208A-50DC-4EE5-88ED-C5B9E83E76DD}"/>
    <hyperlink ref="C1:D1" location="'Metadato 16.4.2'!A1" display="VER METADATO" xr:uid="{5C70722A-0DAD-4D5D-A967-F4AD51316D99}"/>
  </hyperlinks>
  <pageMargins left="0.7" right="0.7" top="0.75" bottom="0.75" header="0.3" footer="0.3"/>
  <pageSetup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5028-412E-4723-88EF-4C197AB2698C}">
  <sheetPr>
    <tabColor theme="0" tint="-0.499984740745262"/>
  </sheetPr>
  <dimension ref="A1:F3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244</v>
      </c>
    </row>
    <row r="4" spans="1:6" ht="37.5" x14ac:dyDescent="0.25">
      <c r="A4" s="224"/>
      <c r="B4" s="2445" t="s">
        <v>234</v>
      </c>
      <c r="C4" s="2445"/>
      <c r="D4" s="49" t="s">
        <v>396</v>
      </c>
    </row>
    <row r="5" spans="1:6" ht="93.75" x14ac:dyDescent="0.25">
      <c r="B5" s="2445" t="s">
        <v>79</v>
      </c>
      <c r="C5" s="2445"/>
      <c r="D5" s="49" t="s">
        <v>417</v>
      </c>
    </row>
    <row r="6" spans="1:6" x14ac:dyDescent="0.25">
      <c r="B6" s="2445" t="s">
        <v>80</v>
      </c>
      <c r="C6" s="2445"/>
      <c r="D6" s="50" t="s">
        <v>418</v>
      </c>
    </row>
    <row r="7" spans="1:6" ht="37.5" x14ac:dyDescent="0.25">
      <c r="B7" s="2446" t="s">
        <v>81</v>
      </c>
      <c r="C7" s="2446"/>
      <c r="D7" s="93" t="s">
        <v>419</v>
      </c>
    </row>
    <row r="8" spans="1:6" x14ac:dyDescent="0.25">
      <c r="B8" s="2446" t="s">
        <v>210</v>
      </c>
      <c r="C8" s="2446"/>
      <c r="D8" s="94" t="s">
        <v>620</v>
      </c>
    </row>
    <row r="9" spans="1:6" x14ac:dyDescent="0.4">
      <c r="B9" s="5"/>
      <c r="C9" s="5"/>
      <c r="D9" s="5"/>
    </row>
    <row r="10" spans="1:6" ht="23.25" customHeight="1" x14ac:dyDescent="0.25">
      <c r="B10" s="2514" t="s">
        <v>85</v>
      </c>
      <c r="C10" s="2514"/>
      <c r="D10" s="2514"/>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t="s">
        <v>621</v>
      </c>
    </row>
    <row r="33" spans="2:4" x14ac:dyDescent="0.25">
      <c r="B33" s="2442" t="s">
        <v>124</v>
      </c>
      <c r="C33" s="2443"/>
      <c r="D33" s="55" t="s">
        <v>622</v>
      </c>
    </row>
    <row r="34" spans="2:4" x14ac:dyDescent="0.25">
      <c r="B34" s="2442" t="s">
        <v>126</v>
      </c>
      <c r="C34" s="2443"/>
      <c r="D34" s="185" t="s">
        <v>623</v>
      </c>
    </row>
    <row r="35" spans="2:4" x14ac:dyDescent="0.25">
      <c r="B35" s="2442" t="s">
        <v>128</v>
      </c>
      <c r="C35" s="2443"/>
      <c r="D35" s="186" t="s">
        <v>624</v>
      </c>
    </row>
    <row r="36" spans="2:4" x14ac:dyDescent="0.25">
      <c r="B36" s="2442" t="s">
        <v>130</v>
      </c>
      <c r="C36" s="2443"/>
      <c r="D36" s="364" t="s">
        <v>625</v>
      </c>
    </row>
    <row r="39" spans="2:4" x14ac:dyDescent="0.25">
      <c r="D39" s="222" t="s">
        <v>626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475E393-E958-46B6-96E7-45EBAF5252F7}">
      <formula1>Tipo_operación</formula1>
    </dataValidation>
    <dataValidation type="list" allowBlank="1" showInputMessage="1" showErrorMessage="1" sqref="D14" xr:uid="{2C1D6843-7EBA-4FCC-BD8A-DD5351223002}">
      <formula1>Tipo_indicador</formula1>
    </dataValidation>
    <dataValidation type="list" allowBlank="1" showInputMessage="1" showErrorMessage="1" sqref="D7" xr:uid="{B369878E-B9C7-4811-9325-34C2B78F423D}">
      <formula1>Nombre_indicador_ODS</formula1>
    </dataValidation>
    <dataValidation type="list" allowBlank="1" showInputMessage="1" showErrorMessage="1" sqref="D6" xr:uid="{08024FAD-6B84-4EB7-B5CB-F42CD4D76B0D}">
      <formula1>Numero_indicador</formula1>
    </dataValidation>
    <dataValidation type="list" allowBlank="1" showInputMessage="1" showErrorMessage="1" sqref="D5" xr:uid="{9DB538A7-353C-42FF-B287-1B7E2C8D469C}">
      <formula1>Metas_ODS</formula1>
    </dataValidation>
    <dataValidation type="list" allowBlank="1" showInputMessage="1" showErrorMessage="1" sqref="D4" xr:uid="{3537C274-3077-404E-A05A-7CB0E00386FD}">
      <formula1>ODS</formula1>
    </dataValidation>
    <dataValidation allowBlank="1" showDropDown="1" showInputMessage="1" showErrorMessage="1" sqref="D13" xr:uid="{F0618AD8-4834-48F8-BE5C-F8652C67EF65}"/>
  </dataValidations>
  <hyperlinks>
    <hyperlink ref="B1" location="'2.5.1'!A1" display="REGRESAR" xr:uid="{6FC5C7F8-D257-4AAE-8E85-A5223947C56A}"/>
    <hyperlink ref="D36" r:id="rId1" xr:uid="{7A1860C5-23B4-4BFA-95C2-9BA200E886E3}"/>
    <hyperlink ref="D8" r:id="rId2" xr:uid="{549953D0-7F24-4670-914B-FF364F1C5ADD}"/>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8404-74C7-4DCE-9A15-30938A74B7FA}">
  <sheetPr>
    <tabColor theme="0" tint="-0.499984740745262"/>
  </sheetPr>
  <dimension ref="B1:F39"/>
  <sheetViews>
    <sheetView showGridLines="0" zoomScaleNormal="100" zoomScaleSheetLayoutView="100" workbookViewId="0">
      <pane ySplit="1" topLeftCell="A2" activePane="bottomLeft" state="frozen"/>
      <selection pane="bottomLeft"/>
    </sheetView>
  </sheetViews>
  <sheetFormatPr baseColWidth="10" defaultColWidth="11.42578125" defaultRowHeight="18.75" x14ac:dyDescent="0.25"/>
  <cols>
    <col min="1" max="1" width="7.28515625"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76</v>
      </c>
    </row>
    <row r="4" spans="2:6" ht="37.5" x14ac:dyDescent="0.25">
      <c r="B4" s="2425" t="s">
        <v>234</v>
      </c>
      <c r="C4" s="2425"/>
      <c r="D4" s="49" t="s">
        <v>7369</v>
      </c>
    </row>
    <row r="5" spans="2:6" ht="37.5" x14ac:dyDescent="0.25">
      <c r="B5" s="2425" t="s">
        <v>79</v>
      </c>
      <c r="C5" s="2425"/>
      <c r="D5" s="49" t="s">
        <v>7305</v>
      </c>
    </row>
    <row r="6" spans="2:6" ht="15.75" customHeight="1" x14ac:dyDescent="0.25">
      <c r="B6" s="2425" t="s">
        <v>80</v>
      </c>
      <c r="C6" s="2425"/>
      <c r="D6" s="50" t="s">
        <v>7308</v>
      </c>
    </row>
    <row r="7" spans="2:6" ht="56.25" x14ac:dyDescent="0.25">
      <c r="B7" s="2426" t="s">
        <v>81</v>
      </c>
      <c r="C7" s="2426"/>
      <c r="D7" s="93" t="s">
        <v>7309</v>
      </c>
    </row>
    <row r="8" spans="2:6" x14ac:dyDescent="0.25">
      <c r="B8" s="2426" t="s">
        <v>82</v>
      </c>
      <c r="C8" s="2426"/>
      <c r="D8" s="1047" t="s">
        <v>7564</v>
      </c>
    </row>
    <row r="9" spans="2:6" x14ac:dyDescent="0.4">
      <c r="B9" s="115"/>
      <c r="C9" s="115"/>
      <c r="D9" s="115"/>
    </row>
    <row r="10" spans="2:6" ht="19.5" x14ac:dyDescent="0.25">
      <c r="B10" s="3514" t="s">
        <v>85</v>
      </c>
      <c r="C10" s="3514"/>
      <c r="D10" s="3514"/>
    </row>
    <row r="11" spans="2:6" ht="20.25" customHeight="1" x14ac:dyDescent="0.25">
      <c r="B11" s="2427" t="s">
        <v>86</v>
      </c>
      <c r="C11" s="2428"/>
      <c r="D11" s="49" t="s">
        <v>167</v>
      </c>
    </row>
    <row r="12" spans="2:6" ht="14.25" customHeight="1" x14ac:dyDescent="0.25">
      <c r="B12" s="2426" t="s">
        <v>88</v>
      </c>
      <c r="C12" s="2426"/>
      <c r="D12" s="184" t="s">
        <v>7565</v>
      </c>
    </row>
    <row r="13" spans="2:6" x14ac:dyDescent="0.25">
      <c r="B13" s="2425" t="s">
        <v>90</v>
      </c>
      <c r="C13" s="2425"/>
      <c r="D13" s="55" t="s">
        <v>7308</v>
      </c>
    </row>
    <row r="14" spans="2:6" x14ac:dyDescent="0.25">
      <c r="B14" s="2425" t="s">
        <v>91</v>
      </c>
      <c r="C14" s="2428"/>
      <c r="D14" s="54" t="s">
        <v>214</v>
      </c>
    </row>
    <row r="15" spans="2:6" ht="75" x14ac:dyDescent="0.25">
      <c r="B15" s="2425" t="s">
        <v>93</v>
      </c>
      <c r="C15" s="2425"/>
      <c r="D15" s="55" t="s">
        <v>7566</v>
      </c>
    </row>
    <row r="16" spans="2:6" ht="32.25" customHeight="1" x14ac:dyDescent="0.25">
      <c r="B16" s="2425" t="s">
        <v>95</v>
      </c>
      <c r="C16" s="2425"/>
      <c r="D16" s="55"/>
    </row>
    <row r="17" spans="2:4" x14ac:dyDescent="0.25">
      <c r="B17" s="2425" t="s">
        <v>97</v>
      </c>
      <c r="C17" s="2425"/>
      <c r="D17" s="55" t="s">
        <v>270</v>
      </c>
    </row>
    <row r="18" spans="2:4" x14ac:dyDescent="0.25">
      <c r="B18" s="2426" t="s">
        <v>99</v>
      </c>
      <c r="C18" s="2426"/>
      <c r="D18" s="49"/>
    </row>
    <row r="19" spans="2:4" ht="40.15" customHeight="1" x14ac:dyDescent="0.25">
      <c r="B19" s="2435" t="s">
        <v>100</v>
      </c>
      <c r="C19" s="2436"/>
      <c r="D19" s="55" t="s">
        <v>7567</v>
      </c>
    </row>
    <row r="20" spans="2:4" x14ac:dyDescent="0.25">
      <c r="B20" s="2425" t="s">
        <v>102</v>
      </c>
      <c r="C20" s="2425"/>
      <c r="D20" s="55" t="s">
        <v>140</v>
      </c>
    </row>
    <row r="21" spans="2:4" x14ac:dyDescent="0.25">
      <c r="B21" s="2432" t="s">
        <v>104</v>
      </c>
      <c r="C21" s="57" t="s">
        <v>105</v>
      </c>
      <c r="D21" s="49"/>
    </row>
    <row r="22" spans="2:4" x14ac:dyDescent="0.25">
      <c r="B22" s="2433"/>
      <c r="C22" s="58" t="s">
        <v>107</v>
      </c>
      <c r="D22" s="55" t="s">
        <v>7568</v>
      </c>
    </row>
    <row r="23" spans="2:4" x14ac:dyDescent="0.25">
      <c r="B23" s="2425" t="s">
        <v>109</v>
      </c>
      <c r="C23" s="2425"/>
      <c r="D23" s="55" t="s">
        <v>7569</v>
      </c>
    </row>
    <row r="24" spans="2:4" x14ac:dyDescent="0.25">
      <c r="B24" s="2425" t="s">
        <v>111</v>
      </c>
      <c r="C24" s="2425"/>
      <c r="D24" s="50" t="s">
        <v>7570</v>
      </c>
    </row>
    <row r="25" spans="2:4" x14ac:dyDescent="0.25">
      <c r="B25" s="2425" t="s">
        <v>113</v>
      </c>
      <c r="C25" s="2425"/>
      <c r="D25" s="55" t="s">
        <v>220</v>
      </c>
    </row>
    <row r="26" spans="2:4" ht="15" customHeight="1" x14ac:dyDescent="0.25">
      <c r="B26" s="2426" t="s">
        <v>115</v>
      </c>
      <c r="C26" s="2426"/>
      <c r="D26" s="50" t="s">
        <v>7571</v>
      </c>
    </row>
    <row r="27" spans="2:4" x14ac:dyDescent="0.25">
      <c r="B27" s="2427" t="s">
        <v>117</v>
      </c>
      <c r="C27" s="2428"/>
      <c r="D27" s="49"/>
    </row>
    <row r="28" spans="2:4" x14ac:dyDescent="0.25">
      <c r="B28" s="60" t="s">
        <v>118</v>
      </c>
      <c r="C28" s="61"/>
      <c r="D28" s="49"/>
    </row>
    <row r="29" spans="2:4" x14ac:dyDescent="0.25">
      <c r="B29" s="2429" t="s">
        <v>120</v>
      </c>
      <c r="C29" s="2430"/>
      <c r="D29" s="62"/>
    </row>
    <row r="30" spans="2:4" x14ac:dyDescent="0.25">
      <c r="B30" s="63"/>
      <c r="C30" s="63"/>
      <c r="D30" s="64"/>
    </row>
    <row r="31" spans="2:4" ht="19.5" x14ac:dyDescent="0.25">
      <c r="B31" s="3514" t="s">
        <v>121</v>
      </c>
      <c r="C31" s="3514"/>
      <c r="D31" s="3514"/>
    </row>
    <row r="32" spans="2:4" x14ac:dyDescent="0.25">
      <c r="B32" s="2427" t="s">
        <v>122</v>
      </c>
      <c r="C32" s="2428"/>
      <c r="D32" s="50" t="s">
        <v>7572</v>
      </c>
    </row>
    <row r="33" spans="2:4" x14ac:dyDescent="0.25">
      <c r="B33" s="2427" t="s">
        <v>124</v>
      </c>
      <c r="C33" s="2428"/>
      <c r="D33" s="50" t="s">
        <v>7573</v>
      </c>
    </row>
    <row r="34" spans="2:4" x14ac:dyDescent="0.25">
      <c r="B34" s="2427" t="s">
        <v>126</v>
      </c>
      <c r="C34" s="2428"/>
      <c r="D34" s="50" t="s">
        <v>7574</v>
      </c>
    </row>
    <row r="35" spans="2:4" x14ac:dyDescent="0.25">
      <c r="B35" s="2427" t="s">
        <v>128</v>
      </c>
      <c r="C35" s="2428"/>
      <c r="D35" s="50" t="s">
        <v>7575</v>
      </c>
    </row>
    <row r="36" spans="2:4" x14ac:dyDescent="0.25">
      <c r="B36" s="2427" t="s">
        <v>130</v>
      </c>
      <c r="C36" s="2428"/>
      <c r="D36" s="1312" t="s">
        <v>7576</v>
      </c>
    </row>
    <row r="39" spans="2:4" x14ac:dyDescent="0.25">
      <c r="B39" s="3068"/>
      <c r="C39" s="3068"/>
      <c r="D39" s="3068"/>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B39:D39"/>
    <mergeCell ref="B31:D31"/>
    <mergeCell ref="B32:C32"/>
    <mergeCell ref="B33:C33"/>
    <mergeCell ref="B34:C34"/>
    <mergeCell ref="B35:C35"/>
    <mergeCell ref="B36:C36"/>
  </mergeCells>
  <dataValidations count="6">
    <dataValidation type="list" allowBlank="1" showInputMessage="1" showErrorMessage="1" sqref="D4" xr:uid="{20BD2927-DC1D-4709-A7E0-2123D945564C}">
      <formula1>ODS</formula1>
    </dataValidation>
    <dataValidation type="list" allowBlank="1" showInputMessage="1" showErrorMessage="1" sqref="D5" xr:uid="{4DE70068-A279-466F-83C1-249B98CE331A}">
      <formula1>Metas_ODS</formula1>
    </dataValidation>
    <dataValidation type="list" allowBlank="1" showInputMessage="1" showErrorMessage="1" sqref="D6" xr:uid="{2F18E3A1-B9FA-46CF-BE35-C44D0B0DE27C}">
      <formula1>Numero_indicador</formula1>
    </dataValidation>
    <dataValidation type="list" allowBlank="1" showInputMessage="1" showErrorMessage="1" sqref="D7" xr:uid="{B1060D53-8A37-41B4-B862-018B7F6D78CD}">
      <formula1>Nombre_indicador_ODS</formula1>
    </dataValidation>
    <dataValidation type="list" allowBlank="1" showInputMessage="1" showErrorMessage="1" sqref="D14" xr:uid="{AD4B8DCB-7E79-4A86-8993-EDED2CEFEEA0}">
      <formula1>Tipo_indicador</formula1>
    </dataValidation>
    <dataValidation type="list" allowBlank="1" showInputMessage="1" showErrorMessage="1" sqref="D25" xr:uid="{0EEC5D7A-DC2A-48E8-A7C7-3BB7100F6408}">
      <formula1>Tipo_operación</formula1>
    </dataValidation>
  </dataValidations>
  <hyperlinks>
    <hyperlink ref="B1" location="'16.4.2'!A1" display="REGRESAR" xr:uid="{FEA45B6A-9DB9-42B1-9D40-0EC6DE9CFFD5}"/>
    <hyperlink ref="D8" r:id="rId1" xr:uid="{D642141D-CD1F-4CAA-90AA-DE8491AE714D}"/>
    <hyperlink ref="D36" r:id="rId2" xr:uid="{1BC3015C-3C94-404D-838B-40AFACCF6EF3}"/>
  </hyperlinks>
  <pageMargins left="0.7" right="0.7" top="0.75" bottom="0.75" header="0.3" footer="0.3"/>
  <pageSetup orientation="portrait" verticalDpi="300" r:id="rId3"/>
  <drawing r:id="rId4"/>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7ADB-AD91-451F-8DFF-E8F27743AE3F}">
  <sheetPr>
    <tabColor theme="5"/>
  </sheetPr>
  <dimension ref="A1:Q15"/>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8" style="115" customWidth="1"/>
    <col min="3" max="3" width="6.42578125" style="115" customWidth="1"/>
    <col min="4" max="4" width="9" style="115" customWidth="1"/>
    <col min="5" max="16384" width="11.42578125" style="115"/>
  </cols>
  <sheetData>
    <row r="1" spans="1:17" x14ac:dyDescent="0.4">
      <c r="A1" s="90" t="s">
        <v>39</v>
      </c>
      <c r="C1" s="2541" t="s">
        <v>149</v>
      </c>
      <c r="D1" s="2541"/>
    </row>
    <row r="3" spans="1:17" ht="37.15" customHeight="1" x14ac:dyDescent="0.4">
      <c r="A3" s="3508" t="s">
        <v>41</v>
      </c>
      <c r="B3" s="3510"/>
      <c r="C3" s="3520" t="s">
        <v>7281</v>
      </c>
      <c r="D3" s="3529"/>
      <c r="E3" s="3529"/>
      <c r="F3" s="3529"/>
      <c r="G3" s="3529"/>
      <c r="H3" s="3529"/>
      <c r="I3" s="3529"/>
      <c r="J3" s="3529"/>
      <c r="K3" s="3529"/>
      <c r="L3" s="3529"/>
      <c r="M3" s="3529"/>
      <c r="N3" s="3529"/>
      <c r="O3" s="3529"/>
      <c r="P3" s="3529"/>
      <c r="Q3" s="3532"/>
    </row>
    <row r="4" spans="1:17" ht="19.5" x14ac:dyDescent="0.4">
      <c r="A4" s="3508" t="s">
        <v>42</v>
      </c>
      <c r="B4" s="3519"/>
      <c r="C4" s="3528" t="s">
        <v>7577</v>
      </c>
      <c r="D4" s="3531"/>
      <c r="E4" s="3531"/>
      <c r="F4" s="3531"/>
      <c r="G4" s="3531"/>
      <c r="H4" s="3531"/>
      <c r="I4" s="3531"/>
      <c r="J4" s="3531"/>
      <c r="K4" s="3531"/>
      <c r="L4" s="3531"/>
      <c r="M4" s="3531"/>
      <c r="N4" s="3531"/>
      <c r="O4" s="3531"/>
      <c r="P4" s="3531"/>
      <c r="Q4" s="3531"/>
    </row>
    <row r="5" spans="1:17" ht="34.15" customHeight="1" x14ac:dyDescent="0.4">
      <c r="A5" s="3508" t="s">
        <v>43</v>
      </c>
      <c r="B5" s="3519"/>
      <c r="C5" s="3527" t="s">
        <v>7312</v>
      </c>
      <c r="D5" s="3534"/>
      <c r="E5" s="3534"/>
      <c r="F5" s="3534"/>
      <c r="G5" s="3534"/>
      <c r="H5" s="3534"/>
      <c r="I5" s="3534"/>
      <c r="J5" s="3534"/>
      <c r="K5" s="3534"/>
      <c r="L5" s="3534"/>
      <c r="M5" s="3534"/>
      <c r="N5" s="3534"/>
      <c r="O5" s="3534"/>
      <c r="P5" s="3534"/>
      <c r="Q5" s="3534"/>
    </row>
    <row r="6" spans="1:17" ht="19.5" x14ac:dyDescent="0.4">
      <c r="A6" s="3508" t="s">
        <v>132</v>
      </c>
      <c r="B6" s="3519"/>
      <c r="C6" s="3528"/>
      <c r="D6" s="3531"/>
      <c r="E6" s="3531"/>
      <c r="F6" s="3531"/>
      <c r="G6" s="3531"/>
      <c r="H6" s="3531"/>
      <c r="I6" s="3531"/>
      <c r="J6" s="3531"/>
      <c r="K6" s="3531"/>
      <c r="L6" s="3531"/>
      <c r="M6" s="3531"/>
      <c r="N6" s="3531"/>
      <c r="O6" s="3531"/>
      <c r="P6" s="3531"/>
      <c r="Q6" s="3531"/>
    </row>
    <row r="8" spans="1:17" x14ac:dyDescent="0.4">
      <c r="A8" s="536"/>
    </row>
    <row r="9" spans="1:17" x14ac:dyDescent="0.4">
      <c r="A9" s="536"/>
      <c r="C9" s="2506" t="s">
        <v>243</v>
      </c>
      <c r="D9" s="2506"/>
      <c r="E9" s="2506"/>
      <c r="F9" s="2506"/>
      <c r="G9" s="2506"/>
      <c r="H9" s="2506"/>
      <c r="I9" s="2506"/>
      <c r="J9" s="2506"/>
      <c r="K9" s="2506"/>
      <c r="L9" s="2506"/>
      <c r="M9" s="2506"/>
      <c r="N9" s="2506"/>
      <c r="O9" s="2506"/>
      <c r="P9" s="2506"/>
      <c r="Q9" s="2506"/>
    </row>
    <row r="10" spans="1:17" x14ac:dyDescent="0.4">
      <c r="A10" s="536"/>
      <c r="C10" s="2506"/>
      <c r="D10" s="2506"/>
      <c r="E10" s="2506"/>
      <c r="F10" s="2506"/>
      <c r="G10" s="2506"/>
      <c r="H10" s="2506"/>
      <c r="I10" s="2506"/>
      <c r="J10" s="2506"/>
      <c r="K10" s="2506"/>
      <c r="L10" s="2506"/>
      <c r="M10" s="2506"/>
      <c r="N10" s="2506"/>
      <c r="O10" s="2506"/>
      <c r="P10" s="2506"/>
      <c r="Q10" s="2506"/>
    </row>
    <row r="11" spans="1:17" x14ac:dyDescent="0.4">
      <c r="A11" s="536"/>
    </row>
    <row r="12" spans="1:17" x14ac:dyDescent="0.4">
      <c r="A12" s="536"/>
    </row>
    <row r="13" spans="1:17" x14ac:dyDescent="0.4">
      <c r="A13" s="536"/>
    </row>
    <row r="14" spans="1:17" x14ac:dyDescent="0.4">
      <c r="A14" s="536"/>
    </row>
    <row r="15" spans="1:17" x14ac:dyDescent="0.4">
      <c r="A15" s="536"/>
    </row>
  </sheetData>
  <mergeCells count="10">
    <mergeCell ref="A6:B6"/>
    <mergeCell ref="C6:Q6"/>
    <mergeCell ref="C9:Q10"/>
    <mergeCell ref="C1:D1"/>
    <mergeCell ref="A3:B3"/>
    <mergeCell ref="C3:Q3"/>
    <mergeCell ref="A4:B4"/>
    <mergeCell ref="C4:Q4"/>
    <mergeCell ref="A5:B5"/>
    <mergeCell ref="C5:Q5"/>
  </mergeCells>
  <hyperlinks>
    <hyperlink ref="A1" location="'ODS 16.'!A1" display="REGRESAR" xr:uid="{96675216-43E4-4935-B4AF-62A75A9DFDFE}"/>
    <hyperlink ref="C1:D1" location="'Metadato 16.5.1'!A1" display="VER METADATO" xr:uid="{26B0D575-51E2-40CC-9FFF-4585941B2226}"/>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D5665-C476-4B91-9C48-7CBACF2100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6.42578125"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244</v>
      </c>
    </row>
    <row r="4" spans="2:6" ht="37.5" x14ac:dyDescent="0.25">
      <c r="B4" s="2425" t="s">
        <v>234</v>
      </c>
      <c r="C4" s="2425"/>
      <c r="D4" s="49" t="s">
        <v>7369</v>
      </c>
    </row>
    <row r="5" spans="2:6" x14ac:dyDescent="0.25">
      <c r="B5" s="2425" t="s">
        <v>79</v>
      </c>
      <c r="C5" s="2425"/>
      <c r="D5" s="49" t="s">
        <v>7310</v>
      </c>
    </row>
    <row r="6" spans="2:6" x14ac:dyDescent="0.25">
      <c r="B6" s="2425" t="s">
        <v>80</v>
      </c>
      <c r="C6" s="2425"/>
      <c r="D6" s="50" t="s">
        <v>7311</v>
      </c>
    </row>
    <row r="7" spans="2:6" ht="56.25" x14ac:dyDescent="0.25">
      <c r="B7" s="2426" t="s">
        <v>81</v>
      </c>
      <c r="C7" s="2426"/>
      <c r="D7" s="93" t="s">
        <v>7312</v>
      </c>
    </row>
    <row r="8" spans="2:6" x14ac:dyDescent="0.25">
      <c r="B8" s="2426" t="s">
        <v>82</v>
      </c>
      <c r="C8" s="2426"/>
      <c r="D8" s="1047" t="s">
        <v>7578</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ht="15" customHeight="1"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7376</v>
      </c>
    </row>
    <row r="25" spans="2:4" x14ac:dyDescent="0.25">
      <c r="B25" s="2425" t="s">
        <v>113</v>
      </c>
      <c r="C25" s="2425"/>
      <c r="D25" s="55"/>
    </row>
    <row r="26" spans="2:4" x14ac:dyDescent="0.25">
      <c r="B26" s="2426" t="s">
        <v>115</v>
      </c>
      <c r="C26" s="2426"/>
      <c r="D26" s="50" t="s">
        <v>7579</v>
      </c>
    </row>
    <row r="27" spans="2:4" x14ac:dyDescent="0.25">
      <c r="B27" s="2427" t="s">
        <v>117</v>
      </c>
      <c r="C27" s="2428"/>
      <c r="D27" s="49"/>
    </row>
    <row r="28" spans="2:4" ht="75" x14ac:dyDescent="0.25">
      <c r="B28" s="60" t="s">
        <v>118</v>
      </c>
      <c r="C28" s="61"/>
      <c r="D28" s="55" t="s">
        <v>7580</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t="s">
        <v>7379</v>
      </c>
    </row>
    <row r="33" spans="2:4" x14ac:dyDescent="0.25">
      <c r="B33" s="2427" t="s">
        <v>124</v>
      </c>
      <c r="C33" s="2428"/>
      <c r="D33" s="55" t="s">
        <v>7380</v>
      </c>
    </row>
    <row r="34" spans="2:4" x14ac:dyDescent="0.25">
      <c r="B34" s="2427" t="s">
        <v>126</v>
      </c>
      <c r="C34" s="2428"/>
      <c r="D34" s="55" t="s">
        <v>7376</v>
      </c>
    </row>
    <row r="35" spans="2:4" x14ac:dyDescent="0.25">
      <c r="B35" s="2427" t="s">
        <v>128</v>
      </c>
      <c r="C35" s="2428"/>
      <c r="D35" s="50" t="s">
        <v>7381</v>
      </c>
    </row>
    <row r="36" spans="2:4" x14ac:dyDescent="0.25">
      <c r="B36" s="2427" t="s">
        <v>130</v>
      </c>
      <c r="C36" s="2428"/>
      <c r="D36" s="1536" t="s">
        <v>7382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A15D5A60-C376-4130-8320-0D5CFC2516FE}"/>
    <dataValidation type="list" allowBlank="1" showInputMessage="1" showErrorMessage="1" sqref="D4" xr:uid="{5A0350B0-EE3A-4908-9B1C-6EEAFAD0A6A7}">
      <formula1>ODS</formula1>
    </dataValidation>
    <dataValidation type="list" allowBlank="1" showInputMessage="1" showErrorMessage="1" sqref="D5" xr:uid="{C507471F-6EE7-40FA-9134-F20054EA7B65}">
      <formula1>Metas_ODS</formula1>
    </dataValidation>
    <dataValidation type="list" allowBlank="1" showInputMessage="1" showErrorMessage="1" sqref="D6" xr:uid="{FC80C0ED-3642-442F-9AF0-25E3F3D916DD}">
      <formula1>Numero_indicador</formula1>
    </dataValidation>
    <dataValidation type="list" allowBlank="1" showInputMessage="1" showErrorMessage="1" sqref="D7" xr:uid="{7D2C5933-8B6D-4BF7-BBEF-472A67218F2B}">
      <formula1>Nombre_indicador_ODS</formula1>
    </dataValidation>
    <dataValidation type="list" allowBlank="1" showInputMessage="1" showErrorMessage="1" sqref="D14" xr:uid="{3603DB05-39D8-4269-8447-B3D5581C8AAB}">
      <formula1>Tipo_indicador</formula1>
    </dataValidation>
    <dataValidation type="list" allowBlank="1" showInputMessage="1" showErrorMessage="1" sqref="D25" xr:uid="{F6A74958-77B1-4101-8D80-DEFE0C651340}">
      <formula1>Tipo_operación</formula1>
    </dataValidation>
  </dataValidations>
  <hyperlinks>
    <hyperlink ref="B1" location="'16.5.1'!A1" display="REGRESAR" xr:uid="{81BF7A69-9FCC-41BB-BFAE-817D3873BE07}"/>
    <hyperlink ref="D36" r:id="rId1" xr:uid="{69CE963E-5FC5-4AA1-BFCF-52DF78C2AE87}"/>
    <hyperlink ref="D8" r:id="rId2" xr:uid="{00FC79AD-6611-4AAE-A84B-67B09FFDFEC0}"/>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2B00-B75A-4901-9690-3E588010478C}">
  <sheetPr>
    <tabColor theme="5"/>
  </sheetPr>
  <dimension ref="A1:P15"/>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7.7109375" style="115" customWidth="1"/>
    <col min="3" max="3" width="11.28515625" style="1048" customWidth="1"/>
    <col min="4" max="5" width="11.28515625" style="115" customWidth="1"/>
    <col min="6" max="16384" width="11.42578125" style="115"/>
  </cols>
  <sheetData>
    <row r="1" spans="1:16" x14ac:dyDescent="0.4">
      <c r="A1" s="90" t="s">
        <v>39</v>
      </c>
      <c r="B1" s="1311"/>
      <c r="C1" s="2541" t="s">
        <v>149</v>
      </c>
      <c r="D1" s="2541"/>
    </row>
    <row r="3" spans="1:16" ht="42.6" customHeight="1" x14ac:dyDescent="0.4">
      <c r="A3" s="3508" t="s">
        <v>41</v>
      </c>
      <c r="B3" s="3510"/>
      <c r="C3" s="3520" t="s">
        <v>7281</v>
      </c>
      <c r="D3" s="3529"/>
      <c r="E3" s="3529"/>
      <c r="F3" s="3529"/>
      <c r="G3" s="3529"/>
      <c r="H3" s="3529"/>
      <c r="I3" s="3529"/>
      <c r="J3" s="3529"/>
      <c r="K3" s="3529"/>
      <c r="L3" s="3529"/>
      <c r="M3" s="3529"/>
      <c r="N3" s="3529"/>
      <c r="O3" s="3529"/>
      <c r="P3" s="3529"/>
    </row>
    <row r="4" spans="1:16" ht="21" customHeight="1" x14ac:dyDescent="0.4">
      <c r="A4" s="3508" t="s">
        <v>42</v>
      </c>
      <c r="B4" s="3519"/>
      <c r="C4" s="3528" t="s">
        <v>7310</v>
      </c>
      <c r="D4" s="3531"/>
      <c r="E4" s="3531"/>
      <c r="F4" s="3531"/>
      <c r="G4" s="3531"/>
      <c r="H4" s="3531"/>
      <c r="I4" s="3531"/>
      <c r="J4" s="3531"/>
      <c r="K4" s="3531"/>
      <c r="L4" s="3531"/>
      <c r="M4" s="3531"/>
      <c r="N4" s="3531"/>
      <c r="O4" s="3531"/>
      <c r="P4" s="3531"/>
    </row>
    <row r="5" spans="1:16" ht="41.45" customHeight="1" x14ac:dyDescent="0.4">
      <c r="A5" s="3508" t="s">
        <v>43</v>
      </c>
      <c r="B5" s="3519"/>
      <c r="C5" s="3527" t="s">
        <v>7314</v>
      </c>
      <c r="D5" s="3534"/>
      <c r="E5" s="3534"/>
      <c r="F5" s="3534"/>
      <c r="G5" s="3534"/>
      <c r="H5" s="3534"/>
      <c r="I5" s="3534"/>
      <c r="J5" s="3534"/>
      <c r="K5" s="3534"/>
      <c r="L5" s="3534"/>
      <c r="M5" s="3534"/>
      <c r="N5" s="3534"/>
      <c r="O5" s="3534"/>
      <c r="P5" s="3534"/>
    </row>
    <row r="6" spans="1:16" ht="19.5" x14ac:dyDescent="0.4">
      <c r="A6" s="3508" t="s">
        <v>132</v>
      </c>
      <c r="B6" s="3519"/>
      <c r="C6" s="3528" t="s">
        <v>242</v>
      </c>
      <c r="D6" s="3531"/>
      <c r="E6" s="3531"/>
      <c r="F6" s="3531"/>
      <c r="G6" s="3531"/>
      <c r="H6" s="3531"/>
      <c r="I6" s="3531"/>
      <c r="J6" s="3531"/>
      <c r="K6" s="3531"/>
      <c r="L6" s="3531"/>
      <c r="M6" s="3531"/>
      <c r="N6" s="3531"/>
      <c r="O6" s="3531"/>
      <c r="P6" s="3531"/>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row r="15" spans="1:16" x14ac:dyDescent="0.4">
      <c r="C15" s="1939" t="s">
        <v>7581</v>
      </c>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CA733F9A-401A-4622-BEBB-B39859BB77DE}"/>
    <hyperlink ref="C1:D1" location="'Metadato 16.5.2'!A1" display="VER METADATO" xr:uid="{825C01BC-BC06-4F6F-83EB-5F43378E37EB}"/>
    <hyperlink ref="C15" r:id="rId1" location="corruption" xr:uid="{800CE7F6-5622-4DA5-AC8A-D01578F4A8C8}"/>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1E10-29B1-4832-9773-10A9502BD1F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ht="18" customHeight="1" x14ac:dyDescent="0.25">
      <c r="B5" s="2425" t="s">
        <v>79</v>
      </c>
      <c r="C5" s="2425"/>
      <c r="D5" s="49" t="s">
        <v>7310</v>
      </c>
    </row>
    <row r="6" spans="2:6" x14ac:dyDescent="0.25">
      <c r="B6" s="2425" t="s">
        <v>80</v>
      </c>
      <c r="C6" s="2425"/>
      <c r="D6" s="50" t="s">
        <v>7313</v>
      </c>
    </row>
    <row r="7" spans="2:6" ht="56.25" x14ac:dyDescent="0.25">
      <c r="B7" s="2426" t="s">
        <v>81</v>
      </c>
      <c r="C7" s="2426"/>
      <c r="D7" s="93" t="s">
        <v>7314</v>
      </c>
    </row>
    <row r="8" spans="2:6" x14ac:dyDescent="0.25">
      <c r="B8" s="2435" t="s">
        <v>82</v>
      </c>
      <c r="C8" s="2436"/>
      <c r="D8" s="1047" t="s">
        <v>7582</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7376</v>
      </c>
    </row>
    <row r="25" spans="2:4" x14ac:dyDescent="0.25">
      <c r="B25" s="2425" t="s">
        <v>113</v>
      </c>
      <c r="C25" s="2425"/>
      <c r="D25" s="55"/>
    </row>
    <row r="26" spans="2:4" x14ac:dyDescent="0.25">
      <c r="B26" s="2426" t="s">
        <v>115</v>
      </c>
      <c r="C26" s="2426"/>
      <c r="D26" s="49"/>
    </row>
    <row r="27" spans="2:4" x14ac:dyDescent="0.25">
      <c r="B27" s="2427" t="s">
        <v>117</v>
      </c>
      <c r="C27" s="2428"/>
      <c r="D27" s="49"/>
    </row>
    <row r="28" spans="2:4" x14ac:dyDescent="0.25">
      <c r="B28" s="60" t="s">
        <v>118</v>
      </c>
      <c r="C28" s="61"/>
      <c r="D28" s="49"/>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t="s">
        <v>7379</v>
      </c>
    </row>
    <row r="33" spans="2:4" x14ac:dyDescent="0.25">
      <c r="B33" s="2427" t="s">
        <v>124</v>
      </c>
      <c r="C33" s="2428"/>
      <c r="D33" s="55" t="s">
        <v>7380</v>
      </c>
    </row>
    <row r="34" spans="2:4" x14ac:dyDescent="0.25">
      <c r="B34" s="2427" t="s">
        <v>126</v>
      </c>
      <c r="C34" s="2428"/>
      <c r="D34" s="55" t="s">
        <v>7376</v>
      </c>
    </row>
    <row r="35" spans="2:4" x14ac:dyDescent="0.25">
      <c r="B35" s="2427" t="s">
        <v>128</v>
      </c>
      <c r="C35" s="2428"/>
      <c r="D35" s="50" t="s">
        <v>7381</v>
      </c>
    </row>
    <row r="36" spans="2:4" x14ac:dyDescent="0.25">
      <c r="B36" s="2427" t="s">
        <v>130</v>
      </c>
      <c r="C36" s="2428"/>
      <c r="D36" s="1536" t="s">
        <v>7382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C24050E1-68CB-459B-97BA-08CB297CD258}"/>
    <dataValidation type="list" allowBlank="1" showInputMessage="1" showErrorMessage="1" sqref="D4" xr:uid="{BA396F7D-A4E8-476F-96D5-22A9476D8807}">
      <formula1>ODS</formula1>
    </dataValidation>
    <dataValidation type="list" allowBlank="1" showInputMessage="1" showErrorMessage="1" sqref="D5" xr:uid="{9A855E15-C6E7-4C12-B49D-0E73DD533F54}">
      <formula1>Metas_ODS</formula1>
    </dataValidation>
    <dataValidation type="list" allowBlank="1" showInputMessage="1" showErrorMessage="1" sqref="D6" xr:uid="{31AC6236-839C-476B-AFDD-436CD9DF3F1E}">
      <formula1>Numero_indicador</formula1>
    </dataValidation>
    <dataValidation type="list" allowBlank="1" showInputMessage="1" showErrorMessage="1" sqref="D7" xr:uid="{48B6D773-FFBF-4F5C-91D8-777C0DD8FAFD}">
      <formula1>Nombre_indicador_ODS</formula1>
    </dataValidation>
    <dataValidation type="list" allowBlank="1" showInputMessage="1" showErrorMessage="1" sqref="D14" xr:uid="{4FE52B14-E92F-43C7-ACB8-DE0DDB92DCE5}">
      <formula1>Tipo_indicador</formula1>
    </dataValidation>
    <dataValidation type="list" allowBlank="1" showInputMessage="1" showErrorMessage="1" sqref="D25" xr:uid="{D79E8A27-F68E-4EC9-9D15-C2F8646D4AFE}">
      <formula1>Tipo_operación</formula1>
    </dataValidation>
  </dataValidations>
  <hyperlinks>
    <hyperlink ref="B1" location="'16.5.2'!A1" display="REGRESAR" xr:uid="{86FC3116-08F2-4A51-A309-9D6DFFA29A8C}"/>
    <hyperlink ref="D36" r:id="rId1" xr:uid="{97ADA1C9-4A22-4569-A315-501C33E80F3D}"/>
    <hyperlink ref="D8" r:id="rId2" xr:uid="{2BD80B58-085A-4028-8F70-0F0F35ADA0DC}"/>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FCD1-52DB-4ED5-A8C8-D19144EE99B5}">
  <dimension ref="A1:Q32"/>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7.5703125" style="115" customWidth="1"/>
    <col min="4" max="4" width="9.28515625" style="115" customWidth="1"/>
    <col min="5" max="16384" width="11.42578125" style="115"/>
  </cols>
  <sheetData>
    <row r="1" spans="1:17" x14ac:dyDescent="0.4">
      <c r="A1" s="90" t="s">
        <v>39</v>
      </c>
      <c r="C1" s="2541" t="s">
        <v>149</v>
      </c>
      <c r="D1" s="2541"/>
    </row>
    <row r="3" spans="1:17" ht="35.450000000000003" customHeight="1" x14ac:dyDescent="0.4">
      <c r="A3" s="3508" t="s">
        <v>41</v>
      </c>
      <c r="B3" s="3510"/>
      <c r="C3" s="3520" t="s">
        <v>7281</v>
      </c>
      <c r="D3" s="3529"/>
      <c r="E3" s="3529"/>
      <c r="F3" s="3529"/>
      <c r="G3" s="3529"/>
      <c r="H3" s="3529"/>
      <c r="I3" s="3529"/>
      <c r="J3" s="3529"/>
      <c r="K3" s="3529"/>
      <c r="L3" s="3529"/>
      <c r="M3" s="3529"/>
      <c r="N3" s="3529"/>
      <c r="O3" s="3529"/>
      <c r="P3" s="3529"/>
      <c r="Q3" s="3535"/>
    </row>
    <row r="4" spans="1:17" ht="20.45" customHeight="1" x14ac:dyDescent="0.4">
      <c r="A4" s="3508" t="s">
        <v>42</v>
      </c>
      <c r="B4" s="3519"/>
      <c r="C4" s="3528" t="s">
        <v>7583</v>
      </c>
      <c r="D4" s="3531"/>
      <c r="E4" s="3531"/>
      <c r="F4" s="3531"/>
      <c r="G4" s="3531"/>
      <c r="H4" s="3531"/>
      <c r="I4" s="3531"/>
      <c r="J4" s="3531"/>
      <c r="K4" s="3531"/>
      <c r="L4" s="3531"/>
      <c r="M4" s="3531"/>
      <c r="N4" s="3531"/>
      <c r="O4" s="3531"/>
      <c r="P4" s="3531"/>
      <c r="Q4" s="3531"/>
    </row>
    <row r="5" spans="1:17" ht="19.149999999999999" customHeight="1" x14ac:dyDescent="0.4">
      <c r="A5" s="3508" t="s">
        <v>43</v>
      </c>
      <c r="B5" s="3519"/>
      <c r="C5" s="3527" t="s">
        <v>7317</v>
      </c>
      <c r="D5" s="3534"/>
      <c r="E5" s="3534"/>
      <c r="F5" s="3534"/>
      <c r="G5" s="3534"/>
      <c r="H5" s="3534"/>
      <c r="I5" s="3534"/>
      <c r="J5" s="3534"/>
      <c r="K5" s="3534"/>
      <c r="L5" s="3534"/>
      <c r="M5" s="3534"/>
      <c r="N5" s="3534"/>
      <c r="O5" s="3534"/>
      <c r="P5" s="3534"/>
      <c r="Q5" s="3534"/>
    </row>
    <row r="6" spans="1:17" ht="19.5" x14ac:dyDescent="0.4">
      <c r="A6" s="3508" t="s">
        <v>132</v>
      </c>
      <c r="B6" s="3519"/>
      <c r="C6" s="3528" t="s">
        <v>7584</v>
      </c>
      <c r="D6" s="3531"/>
      <c r="E6" s="3531"/>
      <c r="F6" s="3531"/>
      <c r="G6" s="3531"/>
      <c r="H6" s="3531"/>
      <c r="I6" s="3531"/>
      <c r="J6" s="3531"/>
      <c r="K6" s="3531"/>
      <c r="L6" s="3531"/>
      <c r="M6" s="3531"/>
      <c r="N6" s="3531"/>
      <c r="O6" s="3531"/>
      <c r="P6" s="3531"/>
      <c r="Q6" s="3531"/>
    </row>
    <row r="9" spans="1:17" ht="19.5" x14ac:dyDescent="0.4">
      <c r="C9" s="163" t="s">
        <v>7585</v>
      </c>
      <c r="D9" s="163"/>
      <c r="E9" s="163"/>
      <c r="I9" s="138" t="s">
        <v>7586</v>
      </c>
      <c r="J9" s="1032"/>
      <c r="K9" s="1032"/>
      <c r="L9" s="1032"/>
      <c r="M9" s="1032"/>
      <c r="N9" s="1032"/>
    </row>
    <row r="10" spans="1:17" ht="19.5" x14ac:dyDescent="0.4">
      <c r="C10" s="138" t="s">
        <v>7587</v>
      </c>
      <c r="D10" s="138"/>
      <c r="E10" s="138"/>
      <c r="I10" s="138"/>
      <c r="J10" s="1032"/>
      <c r="K10" s="1032"/>
      <c r="L10" s="1032"/>
      <c r="M10" s="1032"/>
      <c r="N10" s="1032"/>
    </row>
    <row r="11" spans="1:17" ht="10.9" customHeight="1" x14ac:dyDescent="0.4">
      <c r="C11" s="533"/>
      <c r="D11" s="533"/>
      <c r="E11" s="533"/>
      <c r="I11" s="226"/>
    </row>
    <row r="12" spans="1:17" x14ac:dyDescent="0.4">
      <c r="C12" s="3502" t="s">
        <v>247</v>
      </c>
      <c r="D12" s="3504" t="s">
        <v>5973</v>
      </c>
      <c r="E12" s="3504"/>
    </row>
    <row r="13" spans="1:17" ht="56.25" x14ac:dyDescent="0.4">
      <c r="C13" s="3503"/>
      <c r="D13" s="2185" t="s">
        <v>7588</v>
      </c>
      <c r="E13" s="2186" t="s">
        <v>7589</v>
      </c>
    </row>
    <row r="14" spans="1:17" x14ac:dyDescent="0.4">
      <c r="C14" s="301">
        <v>2006</v>
      </c>
      <c r="D14" s="729">
        <v>96.0273724181733</v>
      </c>
      <c r="E14" s="729">
        <v>97.105995657836559</v>
      </c>
    </row>
    <row r="15" spans="1:17" x14ac:dyDescent="0.4">
      <c r="C15" s="301">
        <v>2007</v>
      </c>
      <c r="D15" s="729">
        <v>92.620796195876835</v>
      </c>
      <c r="E15" s="729">
        <v>95.178415808972844</v>
      </c>
    </row>
    <row r="16" spans="1:17" x14ac:dyDescent="0.4">
      <c r="C16" s="301">
        <v>2008</v>
      </c>
      <c r="D16" s="729">
        <v>97.417395542241906</v>
      </c>
      <c r="E16" s="729">
        <v>99.846050278218954</v>
      </c>
    </row>
    <row r="17" spans="3:9" x14ac:dyDescent="0.4">
      <c r="C17" s="301">
        <v>2009</v>
      </c>
      <c r="D17" s="729">
        <v>89.952276834959278</v>
      </c>
      <c r="E17" s="729">
        <v>89.099491508513864</v>
      </c>
    </row>
    <row r="18" spans="3:9" x14ac:dyDescent="0.4">
      <c r="C18" s="301">
        <v>2010</v>
      </c>
      <c r="D18" s="729">
        <v>99.642539019328979</v>
      </c>
      <c r="E18" s="729">
        <v>102.23403887364462</v>
      </c>
    </row>
    <row r="19" spans="3:9" x14ac:dyDescent="0.4">
      <c r="C19" s="301">
        <v>2011</v>
      </c>
      <c r="D19" s="729">
        <v>94.088030529055843</v>
      </c>
      <c r="E19" s="729">
        <v>94.01394560457922</v>
      </c>
    </row>
    <row r="20" spans="3:9" x14ac:dyDescent="0.4">
      <c r="C20" s="301">
        <v>2012</v>
      </c>
      <c r="D20" s="729">
        <v>95.326071796598541</v>
      </c>
      <c r="E20" s="729">
        <v>96.33204776760131</v>
      </c>
    </row>
    <row r="21" spans="3:9" x14ac:dyDescent="0.4">
      <c r="C21" s="301">
        <v>2013</v>
      </c>
      <c r="D21" s="729">
        <v>98.194483742475995</v>
      </c>
      <c r="E21" s="729">
        <v>98.031068342070995</v>
      </c>
    </row>
    <row r="22" spans="3:9" x14ac:dyDescent="0.4">
      <c r="C22" s="301">
        <v>2014</v>
      </c>
      <c r="D22" s="729">
        <v>96.980491077160153</v>
      </c>
      <c r="E22" s="729">
        <v>98.140897421048663</v>
      </c>
    </row>
    <row r="23" spans="3:9" x14ac:dyDescent="0.4">
      <c r="C23" s="301">
        <v>2015</v>
      </c>
      <c r="D23" s="729">
        <v>94.301637484781367</v>
      </c>
      <c r="E23" s="729">
        <v>95.692275680384412</v>
      </c>
    </row>
    <row r="24" spans="3:9" x14ac:dyDescent="0.4">
      <c r="C24" s="301">
        <v>2016</v>
      </c>
      <c r="D24" s="729">
        <v>96.224141756357469</v>
      </c>
      <c r="E24" s="729">
        <v>96.8</v>
      </c>
      <c r="I24" s="115" t="s">
        <v>382</v>
      </c>
    </row>
    <row r="25" spans="3:9" x14ac:dyDescent="0.4">
      <c r="C25" s="301">
        <v>2017</v>
      </c>
      <c r="D25" s="729">
        <v>95.24</v>
      </c>
      <c r="E25" s="729">
        <v>95.5</v>
      </c>
    </row>
    <row r="26" spans="3:9" x14ac:dyDescent="0.4">
      <c r="C26" s="301">
        <v>2018</v>
      </c>
      <c r="D26" s="729">
        <v>89.9</v>
      </c>
      <c r="E26" s="729">
        <v>90.11</v>
      </c>
    </row>
    <row r="27" spans="3:9" x14ac:dyDescent="0.4">
      <c r="C27" s="301">
        <v>2019</v>
      </c>
      <c r="D27" s="729">
        <v>97.91</v>
      </c>
      <c r="E27" s="729">
        <v>99.72</v>
      </c>
    </row>
    <row r="28" spans="3:9" x14ac:dyDescent="0.4">
      <c r="C28" s="301">
        <v>2020</v>
      </c>
      <c r="D28" s="729">
        <v>90.6</v>
      </c>
      <c r="E28" s="729">
        <v>92.3</v>
      </c>
    </row>
    <row r="29" spans="3:9" x14ac:dyDescent="0.4">
      <c r="C29" s="301">
        <v>2021</v>
      </c>
      <c r="D29" s="729">
        <v>97.32</v>
      </c>
      <c r="E29" s="729">
        <v>100.13</v>
      </c>
    </row>
    <row r="30" spans="3:9" x14ac:dyDescent="0.4">
      <c r="C30" s="301">
        <v>2022</v>
      </c>
      <c r="D30" s="729">
        <v>96.8</v>
      </c>
      <c r="E30" s="729">
        <v>98.4</v>
      </c>
    </row>
    <row r="31" spans="3:9" x14ac:dyDescent="0.4">
      <c r="C31" s="732">
        <v>2023</v>
      </c>
      <c r="D31" s="736">
        <v>96.84</v>
      </c>
      <c r="E31" s="736">
        <v>97.768176135127803</v>
      </c>
    </row>
    <row r="32" spans="3:9" x14ac:dyDescent="0.4">
      <c r="C32" s="115" t="s">
        <v>380</v>
      </c>
    </row>
  </sheetData>
  <mergeCells count="11">
    <mergeCell ref="A6:B6"/>
    <mergeCell ref="C6:Q6"/>
    <mergeCell ref="C12:C13"/>
    <mergeCell ref="D12:E12"/>
    <mergeCell ref="C1:D1"/>
    <mergeCell ref="A3:B3"/>
    <mergeCell ref="C3:Q3"/>
    <mergeCell ref="A4:B4"/>
    <mergeCell ref="C4:Q4"/>
    <mergeCell ref="A5:B5"/>
    <mergeCell ref="C5:Q5"/>
  </mergeCells>
  <hyperlinks>
    <hyperlink ref="A1" location="'ODS 16.'!A1" display="REGRESAR" xr:uid="{524811FC-8667-4BE8-87F0-C5A2DA3C0D57}"/>
    <hyperlink ref="C1:D1" location="'Metadato 16.6.1'!A1" display="VER METADATO" xr:uid="{2BF78C1B-67D4-4345-9423-1A3EC2736185}"/>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2165-AAE1-46EC-ABFB-48E5919D43C5}">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7.5703125"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x14ac:dyDescent="0.25">
      <c r="B5" s="2425" t="s">
        <v>79</v>
      </c>
      <c r="C5" s="2425"/>
      <c r="D5" s="49" t="s">
        <v>7315</v>
      </c>
    </row>
    <row r="6" spans="2:6" x14ac:dyDescent="0.25">
      <c r="B6" s="2425" t="s">
        <v>80</v>
      </c>
      <c r="C6" s="2425"/>
      <c r="D6" s="50" t="s">
        <v>7316</v>
      </c>
    </row>
    <row r="7" spans="2:6" ht="37.5" x14ac:dyDescent="0.25">
      <c r="B7" s="2426" t="s">
        <v>81</v>
      </c>
      <c r="C7" s="2426"/>
      <c r="D7" s="93" t="s">
        <v>7317</v>
      </c>
    </row>
    <row r="8" spans="2:6" x14ac:dyDescent="0.25">
      <c r="B8" s="2426" t="s">
        <v>82</v>
      </c>
      <c r="C8" s="2426"/>
      <c r="D8" s="1047" t="s">
        <v>7590</v>
      </c>
    </row>
    <row r="9" spans="2:6" x14ac:dyDescent="0.4">
      <c r="B9" s="115"/>
      <c r="C9" s="115"/>
      <c r="D9" s="115"/>
    </row>
    <row r="10" spans="2:6" ht="23.25" customHeight="1" x14ac:dyDescent="0.25">
      <c r="B10" s="3514" t="s">
        <v>85</v>
      </c>
      <c r="C10" s="3514"/>
      <c r="D10" s="3514"/>
    </row>
    <row r="11" spans="2:6" x14ac:dyDescent="0.25">
      <c r="B11" s="2427" t="s">
        <v>86</v>
      </c>
      <c r="C11" s="2428"/>
      <c r="D11" s="49" t="s">
        <v>167</v>
      </c>
    </row>
    <row r="12" spans="2:6" ht="16.5" customHeight="1" x14ac:dyDescent="0.25">
      <c r="B12" s="2426" t="s">
        <v>88</v>
      </c>
      <c r="C12" s="2426"/>
      <c r="D12" s="184" t="s">
        <v>7591</v>
      </c>
    </row>
    <row r="13" spans="2:6" x14ac:dyDescent="0.25">
      <c r="B13" s="2425" t="s">
        <v>90</v>
      </c>
      <c r="C13" s="2425"/>
      <c r="D13" s="55" t="s">
        <v>7316</v>
      </c>
    </row>
    <row r="14" spans="2:6" x14ac:dyDescent="0.25">
      <c r="B14" s="2425" t="s">
        <v>91</v>
      </c>
      <c r="C14" s="2428"/>
      <c r="D14" s="54" t="s">
        <v>214</v>
      </c>
    </row>
    <row r="15" spans="2:6" ht="320.25" customHeight="1" x14ac:dyDescent="0.25">
      <c r="B15" s="2425" t="s">
        <v>93</v>
      </c>
      <c r="C15" s="2425"/>
      <c r="D15" s="55" t="s">
        <v>7592</v>
      </c>
    </row>
    <row r="16" spans="2:6" ht="36.75" customHeight="1" x14ac:dyDescent="0.25">
      <c r="B16" s="2425" t="s">
        <v>95</v>
      </c>
      <c r="C16" s="2425"/>
      <c r="D16" s="55"/>
    </row>
    <row r="17" spans="2:4" x14ac:dyDescent="0.25">
      <c r="B17" s="2425" t="s">
        <v>97</v>
      </c>
      <c r="C17" s="2425"/>
      <c r="D17" s="55" t="s">
        <v>98</v>
      </c>
    </row>
    <row r="18" spans="2:4" x14ac:dyDescent="0.25">
      <c r="B18" s="2426" t="s">
        <v>99</v>
      </c>
      <c r="C18" s="2426"/>
      <c r="D18" s="49"/>
    </row>
    <row r="19" spans="2:4" ht="37.5" x14ac:dyDescent="0.25">
      <c r="B19" s="2435" t="s">
        <v>100</v>
      </c>
      <c r="C19" s="2436"/>
      <c r="D19" s="55" t="s">
        <v>7593</v>
      </c>
    </row>
    <row r="20" spans="2:4" x14ac:dyDescent="0.25">
      <c r="B20" s="2425" t="s">
        <v>102</v>
      </c>
      <c r="C20" s="2425"/>
      <c r="D20" s="55" t="s">
        <v>140</v>
      </c>
    </row>
    <row r="21" spans="2:4" x14ac:dyDescent="0.25">
      <c r="B21" s="2432" t="s">
        <v>104</v>
      </c>
      <c r="C21" s="57" t="s">
        <v>105</v>
      </c>
      <c r="D21" s="49"/>
    </row>
    <row r="22" spans="2:4" x14ac:dyDescent="0.25">
      <c r="B22" s="2433"/>
      <c r="C22" s="58" t="s">
        <v>107</v>
      </c>
      <c r="D22" s="55"/>
    </row>
    <row r="23" spans="2:4" ht="18" customHeight="1" x14ac:dyDescent="0.25">
      <c r="B23" s="2425" t="s">
        <v>109</v>
      </c>
      <c r="C23" s="2425"/>
      <c r="D23" s="55" t="s">
        <v>143</v>
      </c>
    </row>
    <row r="24" spans="2:4" x14ac:dyDescent="0.25">
      <c r="B24" s="2425" t="s">
        <v>111</v>
      </c>
      <c r="C24" s="2425"/>
      <c r="D24" s="50" t="s">
        <v>647</v>
      </c>
    </row>
    <row r="25" spans="2:4" x14ac:dyDescent="0.25">
      <c r="B25" s="2425" t="s">
        <v>113</v>
      </c>
      <c r="C25" s="2425"/>
      <c r="D25" s="55" t="s">
        <v>220</v>
      </c>
    </row>
    <row r="26" spans="2:4" ht="15" customHeight="1" x14ac:dyDescent="0.25">
      <c r="B26" s="2426" t="s">
        <v>115</v>
      </c>
      <c r="C26" s="2426"/>
      <c r="D26" s="50" t="s">
        <v>7594</v>
      </c>
    </row>
    <row r="27" spans="2:4" x14ac:dyDescent="0.25">
      <c r="B27" s="2427" t="s">
        <v>117</v>
      </c>
      <c r="C27" s="2428"/>
      <c r="D27" s="49"/>
    </row>
    <row r="28" spans="2:4" ht="50.25" customHeight="1" x14ac:dyDescent="0.25">
      <c r="B28" s="60" t="s">
        <v>118</v>
      </c>
      <c r="C28" s="61"/>
      <c r="D28" s="55" t="s">
        <v>7595</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7596</v>
      </c>
    </row>
    <row r="33" spans="2:4" x14ac:dyDescent="0.25">
      <c r="B33" s="2427" t="s">
        <v>124</v>
      </c>
      <c r="C33" s="2428"/>
      <c r="D33" s="50" t="s">
        <v>7597</v>
      </c>
    </row>
    <row r="34" spans="2:4" x14ac:dyDescent="0.25">
      <c r="B34" s="2427" t="s">
        <v>126</v>
      </c>
      <c r="C34" s="2428"/>
      <c r="D34" s="50" t="s">
        <v>647</v>
      </c>
    </row>
    <row r="35" spans="2:4" x14ac:dyDescent="0.25">
      <c r="B35" s="2427" t="s">
        <v>128</v>
      </c>
      <c r="C35" s="2428"/>
      <c r="D35" s="50" t="s">
        <v>7598</v>
      </c>
    </row>
    <row r="36" spans="2:4" x14ac:dyDescent="0.25">
      <c r="B36" s="2427" t="s">
        <v>130</v>
      </c>
      <c r="C36" s="2428"/>
      <c r="D36" s="1312" t="s">
        <v>7599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5880C9C9-0D4B-4916-9ABE-96418874FB3F}">
      <formula1>ODS</formula1>
    </dataValidation>
    <dataValidation type="list" allowBlank="1" showInputMessage="1" showErrorMessage="1" sqref="D5" xr:uid="{ABFAC031-27A0-472D-9F4F-E13DFBA9216F}">
      <formula1>Metas_ODS</formula1>
    </dataValidation>
    <dataValidation type="list" allowBlank="1" showInputMessage="1" showErrorMessage="1" sqref="D6" xr:uid="{0C53B08F-B7CF-4DFB-9252-901D391BA032}">
      <formula1>Numero_indicador</formula1>
    </dataValidation>
    <dataValidation type="list" allowBlank="1" showInputMessage="1" showErrorMessage="1" sqref="D7" xr:uid="{E1699532-E6B1-4B26-979B-618F8903666C}">
      <formula1>Nombre_indicador_ODS</formula1>
    </dataValidation>
    <dataValidation type="list" allowBlank="1" showInputMessage="1" showErrorMessage="1" sqref="D14" xr:uid="{B740C69A-6EEA-4572-A7F6-25DBE44B0688}">
      <formula1>Tipo_indicador</formula1>
    </dataValidation>
    <dataValidation type="list" allowBlank="1" showInputMessage="1" showErrorMessage="1" sqref="D25" xr:uid="{C3B1CBBC-8832-4A93-A915-AD3CCEF9DA2F}">
      <formula1>Tipo_operación</formula1>
    </dataValidation>
  </dataValidations>
  <hyperlinks>
    <hyperlink ref="B1" location="'16.6.1'!A1" display="REGRESAR" xr:uid="{20FA5752-FEEF-4323-84B3-9C718C622F11}"/>
    <hyperlink ref="D8" r:id="rId1" xr:uid="{5432F738-3375-45CE-8E3A-EC834F2A1B0F}"/>
    <hyperlink ref="D36" r:id="rId2" xr:uid="{AD27C1E2-6AC3-4F15-AD95-C9FBA4A2585B}"/>
  </hyperlinks>
  <pageMargins left="0.7" right="0.7" top="0.75" bottom="0.75" header="0.3" footer="0.3"/>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EFCA-7F98-4AEB-8469-FD3F32821759}">
  <dimension ref="A1:P101"/>
  <sheetViews>
    <sheetView showGridLines="0" workbookViewId="0">
      <pane ySplit="1" topLeftCell="A4" activePane="bottomLeft" state="frozen"/>
      <selection activeCell="B1" sqref="B1"/>
      <selection pane="bottomLeft"/>
    </sheetView>
  </sheetViews>
  <sheetFormatPr baseColWidth="10" defaultColWidth="11.42578125" defaultRowHeight="18.75" x14ac:dyDescent="0.4"/>
  <cols>
    <col min="1" max="2" width="15.28515625" style="115" customWidth="1"/>
    <col min="3" max="3" width="12" style="1048" customWidth="1"/>
    <col min="4" max="5" width="12" style="115" customWidth="1"/>
    <col min="6" max="16384" width="11.42578125" style="115"/>
  </cols>
  <sheetData>
    <row r="1" spans="1:16" x14ac:dyDescent="0.4">
      <c r="A1" s="90" t="s">
        <v>39</v>
      </c>
      <c r="B1" s="1311"/>
      <c r="C1" s="2541" t="s">
        <v>149</v>
      </c>
      <c r="D1" s="2541"/>
    </row>
    <row r="2" spans="1:16" ht="14.25" customHeight="1" x14ac:dyDescent="0.4"/>
    <row r="3" spans="1:16" ht="39" customHeight="1" x14ac:dyDescent="0.4">
      <c r="A3" s="3508" t="s">
        <v>41</v>
      </c>
      <c r="B3" s="3510"/>
      <c r="C3" s="3520" t="s">
        <v>7281</v>
      </c>
      <c r="D3" s="3529"/>
      <c r="E3" s="3529"/>
      <c r="F3" s="3529"/>
      <c r="G3" s="3529"/>
      <c r="H3" s="3529"/>
      <c r="I3" s="3529"/>
      <c r="J3" s="3529"/>
      <c r="K3" s="3529"/>
      <c r="L3" s="3529"/>
      <c r="M3" s="3529"/>
      <c r="N3" s="3529"/>
      <c r="O3" s="3529"/>
      <c r="P3" s="3532"/>
    </row>
    <row r="4" spans="1:16" ht="21.6" customHeight="1" x14ac:dyDescent="0.4">
      <c r="A4" s="3508" t="s">
        <v>42</v>
      </c>
      <c r="B4" s="3519"/>
      <c r="C4" s="3528" t="s">
        <v>7315</v>
      </c>
      <c r="D4" s="3531"/>
      <c r="E4" s="3531"/>
      <c r="F4" s="3531"/>
      <c r="G4" s="3531"/>
      <c r="H4" s="3531"/>
      <c r="I4" s="3531"/>
      <c r="J4" s="3531"/>
      <c r="K4" s="3531"/>
      <c r="L4" s="3531"/>
      <c r="M4" s="3531"/>
      <c r="N4" s="3531"/>
      <c r="O4" s="3531"/>
      <c r="P4" s="3531"/>
    </row>
    <row r="5" spans="1:16" ht="19.149999999999999" customHeight="1" x14ac:dyDescent="0.4">
      <c r="A5" s="3508" t="s">
        <v>43</v>
      </c>
      <c r="B5" s="3519"/>
      <c r="C5" s="3527" t="s">
        <v>7319</v>
      </c>
      <c r="D5" s="3534"/>
      <c r="E5" s="3534"/>
      <c r="F5" s="3534"/>
      <c r="G5" s="3534"/>
      <c r="H5" s="3534"/>
      <c r="I5" s="3534"/>
      <c r="J5" s="3534"/>
      <c r="K5" s="3534"/>
      <c r="L5" s="3534"/>
      <c r="M5" s="3534"/>
      <c r="N5" s="3534"/>
      <c r="O5" s="3534"/>
      <c r="P5" s="3534"/>
    </row>
    <row r="6" spans="1:16" ht="39.6" customHeight="1" x14ac:dyDescent="0.4">
      <c r="A6" s="3508" t="s">
        <v>132</v>
      </c>
      <c r="B6" s="3519"/>
      <c r="C6" s="3527" t="s">
        <v>7600</v>
      </c>
      <c r="D6" s="3534"/>
      <c r="E6" s="3534"/>
      <c r="F6" s="3534"/>
      <c r="G6" s="3534"/>
      <c r="H6" s="3534"/>
      <c r="I6" s="3534"/>
      <c r="J6" s="3534"/>
      <c r="K6" s="3534"/>
      <c r="L6" s="3534"/>
      <c r="M6" s="3534"/>
      <c r="N6" s="3534"/>
      <c r="O6" s="3534"/>
      <c r="P6" s="3534"/>
    </row>
    <row r="7" spans="1:16" x14ac:dyDescent="0.4">
      <c r="A7" s="536"/>
    </row>
    <row r="8" spans="1:16" x14ac:dyDescent="0.4">
      <c r="A8" s="536"/>
    </row>
    <row r="9" spans="1:16" x14ac:dyDescent="0.4">
      <c r="A9" s="536"/>
      <c r="C9" s="470" t="s">
        <v>7601</v>
      </c>
    </row>
    <row r="10" spans="1:16" x14ac:dyDescent="0.4">
      <c r="A10" s="536"/>
      <c r="C10" s="470" t="s">
        <v>7602</v>
      </c>
    </row>
    <row r="11" spans="1:16" ht="17.45" customHeight="1" x14ac:dyDescent="0.4">
      <c r="A11" s="536"/>
      <c r="C11" s="3526" t="s">
        <v>7603</v>
      </c>
      <c r="D11" s="3504" t="s">
        <v>7604</v>
      </c>
      <c r="E11" s="3504"/>
      <c r="F11" s="3504"/>
      <c r="G11" s="3504"/>
      <c r="H11" s="2161"/>
      <c r="I11" s="3504" t="s">
        <v>7605</v>
      </c>
      <c r="J11" s="3504"/>
      <c r="K11" s="3504"/>
      <c r="L11" s="3504"/>
      <c r="M11" s="2161"/>
      <c r="N11" s="3504" t="s">
        <v>7606</v>
      </c>
      <c r="O11" s="3504"/>
      <c r="P11" s="3504"/>
    </row>
    <row r="12" spans="1:16" ht="131.25" x14ac:dyDescent="0.4">
      <c r="A12" s="536"/>
      <c r="C12" s="3507"/>
      <c r="D12" s="2105" t="s">
        <v>7607</v>
      </c>
      <c r="E12" s="2105" t="s">
        <v>7608</v>
      </c>
      <c r="F12" s="2105" t="s">
        <v>7609</v>
      </c>
      <c r="G12" s="2105" t="s">
        <v>7610</v>
      </c>
      <c r="H12" s="2105"/>
      <c r="I12" s="2105" t="s">
        <v>7607</v>
      </c>
      <c r="J12" s="2105" t="s">
        <v>7608</v>
      </c>
      <c r="K12" s="2105" t="s">
        <v>7609</v>
      </c>
      <c r="L12" s="2105" t="s">
        <v>7610</v>
      </c>
      <c r="M12" s="2105"/>
      <c r="N12" s="2105" t="s">
        <v>7611</v>
      </c>
      <c r="O12" s="2105" t="s">
        <v>7612</v>
      </c>
      <c r="P12" s="2105" t="s">
        <v>7613</v>
      </c>
    </row>
    <row r="13" spans="1:16" x14ac:dyDescent="0.4">
      <c r="C13" s="41" t="s">
        <v>7376</v>
      </c>
      <c r="D13" s="41">
        <v>8361</v>
      </c>
      <c r="E13" s="41">
        <v>8361</v>
      </c>
      <c r="F13" s="41">
        <v>0</v>
      </c>
      <c r="G13" s="41">
        <v>0</v>
      </c>
      <c r="H13" s="2187"/>
      <c r="I13" s="41">
        <v>188</v>
      </c>
      <c r="J13" s="41">
        <v>188</v>
      </c>
      <c r="K13" s="41">
        <v>0</v>
      </c>
      <c r="L13" s="41">
        <v>0</v>
      </c>
      <c r="M13" s="41"/>
      <c r="N13" s="41">
        <f>+D13+I13</f>
        <v>8549</v>
      </c>
      <c r="O13" s="41">
        <f>+E13+J13</f>
        <v>8549</v>
      </c>
      <c r="P13" s="474">
        <f>+O13/N13*100</f>
        <v>100</v>
      </c>
    </row>
    <row r="14" spans="1:16" x14ac:dyDescent="0.4">
      <c r="C14" s="41" t="s">
        <v>7614</v>
      </c>
      <c r="D14" s="41">
        <v>389</v>
      </c>
      <c r="E14" s="41">
        <v>389</v>
      </c>
      <c r="F14" s="41">
        <v>0</v>
      </c>
      <c r="G14" s="41">
        <v>0</v>
      </c>
      <c r="H14" s="2187"/>
      <c r="I14" s="41"/>
      <c r="J14" s="41"/>
      <c r="K14" s="41"/>
      <c r="L14" s="41"/>
      <c r="M14" s="41"/>
      <c r="N14" s="41">
        <f t="shared" ref="N14:O24" si="0">+D14+I14</f>
        <v>389</v>
      </c>
      <c r="O14" s="41">
        <f t="shared" si="0"/>
        <v>389</v>
      </c>
      <c r="P14" s="474">
        <f t="shared" ref="P14:P24" si="1">+O14/N14*100</f>
        <v>100</v>
      </c>
    </row>
    <row r="15" spans="1:16" x14ac:dyDescent="0.4">
      <c r="C15" s="41" t="s">
        <v>7615</v>
      </c>
      <c r="D15" s="41">
        <v>8126</v>
      </c>
      <c r="E15" s="41">
        <v>7800</v>
      </c>
      <c r="F15" s="41">
        <v>326</v>
      </c>
      <c r="G15" s="41">
        <v>0</v>
      </c>
      <c r="H15" s="2187"/>
      <c r="I15" s="41">
        <v>696</v>
      </c>
      <c r="J15" s="41">
        <v>483</v>
      </c>
      <c r="K15" s="41">
        <v>213</v>
      </c>
      <c r="L15" s="41">
        <v>0</v>
      </c>
      <c r="M15" s="41"/>
      <c r="N15" s="41">
        <f t="shared" si="0"/>
        <v>8822</v>
      </c>
      <c r="O15" s="41">
        <f t="shared" si="0"/>
        <v>8283</v>
      </c>
      <c r="P15" s="474">
        <f t="shared" si="1"/>
        <v>93.890274314214466</v>
      </c>
    </row>
    <row r="16" spans="1:16" x14ac:dyDescent="0.4">
      <c r="C16" s="41" t="s">
        <v>7616</v>
      </c>
      <c r="D16" s="41">
        <v>4360</v>
      </c>
      <c r="E16" s="41">
        <v>4319</v>
      </c>
      <c r="F16" s="41">
        <v>21</v>
      </c>
      <c r="G16" s="41">
        <v>20</v>
      </c>
      <c r="H16" s="2187"/>
      <c r="I16" s="41">
        <v>19</v>
      </c>
      <c r="J16" s="41">
        <v>17</v>
      </c>
      <c r="K16" s="41">
        <v>1</v>
      </c>
      <c r="L16" s="41">
        <v>1</v>
      </c>
      <c r="M16" s="41"/>
      <c r="N16" s="41">
        <f t="shared" si="0"/>
        <v>4379</v>
      </c>
      <c r="O16" s="41">
        <f t="shared" si="0"/>
        <v>4336</v>
      </c>
      <c r="P16" s="474">
        <f t="shared" si="1"/>
        <v>99.018040648549899</v>
      </c>
    </row>
    <row r="17" spans="3:16" x14ac:dyDescent="0.4">
      <c r="C17" s="41" t="s">
        <v>7617</v>
      </c>
      <c r="D17" s="41">
        <v>106</v>
      </c>
      <c r="E17" s="41">
        <v>106</v>
      </c>
      <c r="F17" s="41">
        <v>0</v>
      </c>
      <c r="G17" s="41">
        <v>0</v>
      </c>
      <c r="H17" s="2187"/>
      <c r="I17" s="41"/>
      <c r="J17" s="41"/>
      <c r="K17" s="41"/>
      <c r="L17" s="41"/>
      <c r="M17" s="41"/>
      <c r="N17" s="41">
        <f t="shared" si="0"/>
        <v>106</v>
      </c>
      <c r="O17" s="41">
        <f t="shared" si="0"/>
        <v>106</v>
      </c>
      <c r="P17" s="474">
        <f t="shared" si="1"/>
        <v>100</v>
      </c>
    </row>
    <row r="18" spans="3:16" x14ac:dyDescent="0.4">
      <c r="C18" s="41" t="s">
        <v>7618</v>
      </c>
      <c r="D18" s="41">
        <v>45557</v>
      </c>
      <c r="E18" s="41">
        <v>41123</v>
      </c>
      <c r="F18" s="41">
        <v>3981</v>
      </c>
      <c r="G18" s="41">
        <v>453</v>
      </c>
      <c r="H18" s="2187"/>
      <c r="I18" s="41">
        <v>185</v>
      </c>
      <c r="J18" s="41">
        <v>185</v>
      </c>
      <c r="K18" s="41">
        <v>0</v>
      </c>
      <c r="L18" s="41">
        <v>0</v>
      </c>
      <c r="M18" s="41"/>
      <c r="N18" s="41">
        <f t="shared" si="0"/>
        <v>45742</v>
      </c>
      <c r="O18" s="41">
        <f t="shared" si="0"/>
        <v>41308</v>
      </c>
      <c r="P18" s="474">
        <f t="shared" si="1"/>
        <v>90.306501683354469</v>
      </c>
    </row>
    <row r="19" spans="3:16" x14ac:dyDescent="0.4">
      <c r="C19" s="41" t="s">
        <v>7619</v>
      </c>
      <c r="D19" s="41">
        <v>784</v>
      </c>
      <c r="E19" s="41">
        <v>773</v>
      </c>
      <c r="F19" s="41">
        <v>0</v>
      </c>
      <c r="G19" s="41">
        <v>11</v>
      </c>
      <c r="H19" s="2187"/>
      <c r="I19" s="41">
        <v>33</v>
      </c>
      <c r="J19" s="41">
        <v>30</v>
      </c>
      <c r="K19" s="41">
        <v>1</v>
      </c>
      <c r="L19" s="41">
        <v>2</v>
      </c>
      <c r="M19" s="41"/>
      <c r="N19" s="41">
        <f t="shared" si="0"/>
        <v>817</v>
      </c>
      <c r="O19" s="41">
        <f t="shared" si="0"/>
        <v>803</v>
      </c>
      <c r="P19" s="474">
        <f t="shared" si="1"/>
        <v>98.286413708690333</v>
      </c>
    </row>
    <row r="20" spans="3:16" x14ac:dyDescent="0.4">
      <c r="C20" s="41" t="s">
        <v>7620</v>
      </c>
      <c r="D20" s="41">
        <v>51</v>
      </c>
      <c r="E20" s="41">
        <v>50</v>
      </c>
      <c r="F20" s="41">
        <v>1</v>
      </c>
      <c r="G20" s="41">
        <v>0</v>
      </c>
      <c r="H20" s="2187"/>
      <c r="I20" s="41">
        <v>7</v>
      </c>
      <c r="J20" s="41">
        <v>7</v>
      </c>
      <c r="K20" s="41">
        <v>0</v>
      </c>
      <c r="L20" s="41">
        <v>0</v>
      </c>
      <c r="M20" s="41"/>
      <c r="N20" s="41">
        <f t="shared" si="0"/>
        <v>58</v>
      </c>
      <c r="O20" s="41">
        <f t="shared" si="0"/>
        <v>57</v>
      </c>
      <c r="P20" s="474">
        <f t="shared" si="1"/>
        <v>98.275862068965509</v>
      </c>
    </row>
    <row r="21" spans="3:16" x14ac:dyDescent="0.4">
      <c r="C21" s="41" t="s">
        <v>7621</v>
      </c>
      <c r="D21" s="41">
        <v>4152</v>
      </c>
      <c r="E21" s="41">
        <v>4152</v>
      </c>
      <c r="F21" s="41">
        <v>0</v>
      </c>
      <c r="G21" s="41">
        <v>0</v>
      </c>
      <c r="H21" s="2187"/>
      <c r="I21" s="41"/>
      <c r="J21" s="41"/>
      <c r="K21" s="41"/>
      <c r="L21" s="41"/>
      <c r="M21" s="41"/>
      <c r="N21" s="41">
        <f t="shared" si="0"/>
        <v>4152</v>
      </c>
      <c r="O21" s="41">
        <f t="shared" si="0"/>
        <v>4152</v>
      </c>
      <c r="P21" s="474">
        <f t="shared" si="1"/>
        <v>100</v>
      </c>
    </row>
    <row r="22" spans="3:16" x14ac:dyDescent="0.4">
      <c r="C22" s="41" t="s">
        <v>7622</v>
      </c>
      <c r="D22" s="41">
        <v>8699</v>
      </c>
      <c r="E22" s="41">
        <v>7139</v>
      </c>
      <c r="F22" s="41">
        <v>791</v>
      </c>
      <c r="G22" s="41">
        <v>769</v>
      </c>
      <c r="H22" s="2187"/>
      <c r="I22" s="41">
        <v>4</v>
      </c>
      <c r="J22" s="41">
        <v>3</v>
      </c>
      <c r="K22" s="41">
        <v>1</v>
      </c>
      <c r="L22" s="41">
        <v>0</v>
      </c>
      <c r="M22" s="41"/>
      <c r="N22" s="41">
        <f t="shared" si="0"/>
        <v>8703</v>
      </c>
      <c r="O22" s="41">
        <f t="shared" si="0"/>
        <v>7142</v>
      </c>
      <c r="P22" s="474">
        <f t="shared" si="1"/>
        <v>82.063656210502117</v>
      </c>
    </row>
    <row r="23" spans="3:16" x14ac:dyDescent="0.4">
      <c r="C23" s="41" t="s">
        <v>7623</v>
      </c>
      <c r="D23" s="41">
        <v>564</v>
      </c>
      <c r="E23" s="41">
        <v>564</v>
      </c>
      <c r="F23" s="41">
        <v>0</v>
      </c>
      <c r="G23" s="41">
        <v>0</v>
      </c>
      <c r="H23" s="2187"/>
      <c r="I23" s="41"/>
      <c r="J23" s="41"/>
      <c r="K23" s="41"/>
      <c r="L23" s="41"/>
      <c r="M23" s="41"/>
      <c r="N23" s="41">
        <f t="shared" si="0"/>
        <v>564</v>
      </c>
      <c r="O23" s="41">
        <f t="shared" si="0"/>
        <v>564</v>
      </c>
      <c r="P23" s="474">
        <f t="shared" si="1"/>
        <v>100</v>
      </c>
    </row>
    <row r="24" spans="3:16" x14ac:dyDescent="0.4">
      <c r="C24" s="2188" t="s">
        <v>7606</v>
      </c>
      <c r="D24" s="2188">
        <f>SUM(D13:D23)</f>
        <v>81149</v>
      </c>
      <c r="E24" s="2188">
        <f t="shared" ref="E24:G24" si="2">SUM(E13:E23)</f>
        <v>74776</v>
      </c>
      <c r="F24" s="2188">
        <f t="shared" si="2"/>
        <v>5120</v>
      </c>
      <c r="G24" s="2188">
        <f t="shared" si="2"/>
        <v>1253</v>
      </c>
      <c r="H24" s="2188"/>
      <c r="I24" s="2188">
        <v>1132</v>
      </c>
      <c r="J24" s="2188">
        <v>913</v>
      </c>
      <c r="K24" s="2188">
        <v>216</v>
      </c>
      <c r="L24" s="2188">
        <v>3</v>
      </c>
      <c r="M24" s="2188"/>
      <c r="N24" s="2188">
        <f t="shared" si="0"/>
        <v>82281</v>
      </c>
      <c r="O24" s="2188">
        <f t="shared" si="0"/>
        <v>75689</v>
      </c>
      <c r="P24" s="2189">
        <f t="shared" si="1"/>
        <v>91.98842989268482</v>
      </c>
    </row>
    <row r="25" spans="3:16" x14ac:dyDescent="0.4">
      <c r="C25" s="41" t="s">
        <v>7624</v>
      </c>
      <c r="D25" s="41"/>
      <c r="E25" s="41"/>
      <c r="F25" s="41"/>
      <c r="G25" s="41"/>
      <c r="H25" s="41"/>
      <c r="I25" s="41"/>
      <c r="J25" s="41"/>
      <c r="K25" s="41"/>
      <c r="L25" s="41"/>
      <c r="M25" s="41"/>
      <c r="N25" s="41"/>
      <c r="O25" s="41"/>
      <c r="P25" s="41"/>
    </row>
    <row r="26" spans="3:16" x14ac:dyDescent="0.4">
      <c r="C26" s="41"/>
      <c r="D26" s="41"/>
      <c r="E26" s="41"/>
      <c r="F26" s="41"/>
      <c r="G26" s="41"/>
      <c r="H26" s="41"/>
      <c r="I26" s="41"/>
      <c r="J26" s="41"/>
      <c r="K26" s="41"/>
      <c r="L26" s="41"/>
      <c r="M26" s="41"/>
      <c r="N26" s="41"/>
      <c r="O26" s="41"/>
      <c r="P26" s="41"/>
    </row>
    <row r="27" spans="3:16" x14ac:dyDescent="0.4">
      <c r="C27" s="41"/>
      <c r="D27" s="41"/>
      <c r="E27" s="41"/>
      <c r="F27" s="41"/>
      <c r="G27" s="41"/>
      <c r="H27" s="41"/>
      <c r="I27" s="41"/>
      <c r="J27" s="41"/>
      <c r="K27" s="41"/>
      <c r="L27" s="41"/>
      <c r="M27" s="41"/>
      <c r="N27" s="41"/>
      <c r="O27" s="41"/>
      <c r="P27" s="41"/>
    </row>
    <row r="28" spans="3:16" x14ac:dyDescent="0.4">
      <c r="C28" s="470" t="s">
        <v>7625</v>
      </c>
    </row>
    <row r="29" spans="3:16" x14ac:dyDescent="0.4">
      <c r="C29" s="470" t="s">
        <v>7626</v>
      </c>
    </row>
    <row r="30" spans="3:16" x14ac:dyDescent="0.4">
      <c r="C30" s="3526" t="s">
        <v>7603</v>
      </c>
      <c r="D30" s="3504" t="s">
        <v>7604</v>
      </c>
      <c r="E30" s="3504"/>
      <c r="F30" s="3504"/>
      <c r="G30" s="3504"/>
      <c r="H30" s="2161"/>
      <c r="I30" s="3504" t="s">
        <v>7605</v>
      </c>
      <c r="J30" s="3504"/>
      <c r="K30" s="3504"/>
      <c r="L30" s="3504"/>
      <c r="M30" s="2161"/>
      <c r="N30" s="3504" t="s">
        <v>7606</v>
      </c>
      <c r="O30" s="3504"/>
      <c r="P30" s="3504"/>
    </row>
    <row r="31" spans="3:16" ht="131.25" x14ac:dyDescent="0.4">
      <c r="C31" s="3507"/>
      <c r="D31" s="2105" t="s">
        <v>7607</v>
      </c>
      <c r="E31" s="2105" t="s">
        <v>7608</v>
      </c>
      <c r="F31" s="2105" t="s">
        <v>7609</v>
      </c>
      <c r="G31" s="2105" t="s">
        <v>7610</v>
      </c>
      <c r="H31" s="2105"/>
      <c r="I31" s="2105" t="s">
        <v>7607</v>
      </c>
      <c r="J31" s="2105" t="s">
        <v>7608</v>
      </c>
      <c r="K31" s="2105" t="s">
        <v>7609</v>
      </c>
      <c r="L31" s="2105" t="s">
        <v>7610</v>
      </c>
      <c r="M31" s="2105"/>
      <c r="N31" s="2105" t="s">
        <v>7611</v>
      </c>
      <c r="O31" s="2105" t="s">
        <v>7612</v>
      </c>
      <c r="P31" s="2105" t="s">
        <v>7613</v>
      </c>
    </row>
    <row r="32" spans="3:16" x14ac:dyDescent="0.4">
      <c r="C32" s="41" t="s">
        <v>7376</v>
      </c>
      <c r="D32" s="41">
        <v>8955</v>
      </c>
      <c r="E32" s="41">
        <v>8955</v>
      </c>
      <c r="F32" s="41">
        <v>0</v>
      </c>
      <c r="G32" s="41">
        <v>0</v>
      </c>
      <c r="H32" s="41"/>
      <c r="I32" s="41">
        <v>205</v>
      </c>
      <c r="J32" s="41">
        <v>205</v>
      </c>
      <c r="K32" s="41">
        <v>0</v>
      </c>
      <c r="L32" s="41">
        <v>0</v>
      </c>
      <c r="M32" s="41"/>
      <c r="N32" s="41">
        <f>+D32+I32</f>
        <v>9160</v>
      </c>
      <c r="O32" s="41">
        <f>+E32+J32</f>
        <v>9160</v>
      </c>
      <c r="P32" s="474">
        <f>+O32/N32*100</f>
        <v>100</v>
      </c>
    </row>
    <row r="33" spans="3:16" x14ac:dyDescent="0.4">
      <c r="C33" s="41" t="s">
        <v>7614</v>
      </c>
      <c r="D33" s="41">
        <v>485</v>
      </c>
      <c r="E33" s="41">
        <v>485</v>
      </c>
      <c r="F33" s="41">
        <v>0</v>
      </c>
      <c r="G33" s="41">
        <v>0</v>
      </c>
      <c r="H33" s="41"/>
      <c r="I33" s="41"/>
      <c r="J33" s="41"/>
      <c r="K33" s="41"/>
      <c r="L33" s="41"/>
      <c r="M33" s="41"/>
      <c r="N33" s="41">
        <f t="shared" ref="N33:O43" si="3">+D33+I33</f>
        <v>485</v>
      </c>
      <c r="O33" s="41">
        <f t="shared" si="3"/>
        <v>485</v>
      </c>
      <c r="P33" s="474">
        <f t="shared" ref="P33:P43" si="4">+O33/N33*100</f>
        <v>100</v>
      </c>
    </row>
    <row r="34" spans="3:16" x14ac:dyDescent="0.4">
      <c r="C34" s="41" t="s">
        <v>7615</v>
      </c>
      <c r="D34" s="41">
        <v>9522</v>
      </c>
      <c r="E34" s="41">
        <v>9224</v>
      </c>
      <c r="F34" s="41">
        <v>296</v>
      </c>
      <c r="G34" s="41">
        <v>2</v>
      </c>
      <c r="H34" s="41"/>
      <c r="I34" s="41">
        <v>385</v>
      </c>
      <c r="J34" s="41">
        <v>380</v>
      </c>
      <c r="K34" s="41">
        <v>4</v>
      </c>
      <c r="L34" s="41">
        <v>1</v>
      </c>
      <c r="M34" s="41"/>
      <c r="N34" s="41">
        <f t="shared" si="3"/>
        <v>9907</v>
      </c>
      <c r="O34" s="41">
        <f t="shared" si="3"/>
        <v>9604</v>
      </c>
      <c r="P34" s="474">
        <f t="shared" si="4"/>
        <v>96.941556475219542</v>
      </c>
    </row>
    <row r="35" spans="3:16" x14ac:dyDescent="0.4">
      <c r="C35" s="41" t="s">
        <v>7616</v>
      </c>
      <c r="D35" s="41">
        <v>1113</v>
      </c>
      <c r="E35" s="41">
        <v>1101</v>
      </c>
      <c r="F35" s="41">
        <v>9</v>
      </c>
      <c r="G35" s="41">
        <v>3</v>
      </c>
      <c r="H35" s="41"/>
      <c r="I35" s="41">
        <v>22</v>
      </c>
      <c r="J35" s="41">
        <v>20</v>
      </c>
      <c r="K35" s="41">
        <v>2</v>
      </c>
      <c r="L35" s="41">
        <v>0</v>
      </c>
      <c r="M35" s="41"/>
      <c r="N35" s="41">
        <f t="shared" si="3"/>
        <v>1135</v>
      </c>
      <c r="O35" s="41">
        <f t="shared" si="3"/>
        <v>1121</v>
      </c>
      <c r="P35" s="474">
        <f t="shared" si="4"/>
        <v>98.766519823788542</v>
      </c>
    </row>
    <row r="36" spans="3:16" x14ac:dyDescent="0.4">
      <c r="C36" s="41" t="s">
        <v>7617</v>
      </c>
      <c r="D36" s="41">
        <v>196</v>
      </c>
      <c r="E36" s="41">
        <v>196</v>
      </c>
      <c r="F36" s="41">
        <v>0</v>
      </c>
      <c r="G36" s="41">
        <v>0</v>
      </c>
      <c r="H36" s="41"/>
      <c r="I36" s="41"/>
      <c r="J36" s="41"/>
      <c r="K36" s="41"/>
      <c r="L36" s="41"/>
      <c r="M36" s="41"/>
      <c r="N36" s="41">
        <f t="shared" si="3"/>
        <v>196</v>
      </c>
      <c r="O36" s="41">
        <f t="shared" si="3"/>
        <v>196</v>
      </c>
      <c r="P36" s="474">
        <f t="shared" si="4"/>
        <v>100</v>
      </c>
    </row>
    <row r="37" spans="3:16" x14ac:dyDescent="0.4">
      <c r="C37" s="41" t="s">
        <v>7618</v>
      </c>
      <c r="D37" s="41">
        <v>43253</v>
      </c>
      <c r="E37" s="41">
        <v>38598</v>
      </c>
      <c r="F37" s="41">
        <v>4317</v>
      </c>
      <c r="G37" s="41">
        <v>338</v>
      </c>
      <c r="H37" s="41"/>
      <c r="I37" s="41">
        <v>123</v>
      </c>
      <c r="J37" s="41">
        <v>114</v>
      </c>
      <c r="K37" s="41">
        <v>9</v>
      </c>
      <c r="L37" s="41">
        <v>0</v>
      </c>
      <c r="M37" s="41"/>
      <c r="N37" s="41">
        <f t="shared" si="3"/>
        <v>43376</v>
      </c>
      <c r="O37" s="41">
        <f t="shared" si="3"/>
        <v>38712</v>
      </c>
      <c r="P37" s="474">
        <f t="shared" si="4"/>
        <v>89.247510143858349</v>
      </c>
    </row>
    <row r="38" spans="3:16" x14ac:dyDescent="0.4">
      <c r="C38" s="41" t="s">
        <v>7619</v>
      </c>
      <c r="D38" s="41">
        <v>269</v>
      </c>
      <c r="E38" s="41">
        <v>264</v>
      </c>
      <c r="F38" s="41">
        <v>4</v>
      </c>
      <c r="G38" s="41">
        <v>1</v>
      </c>
      <c r="H38" s="41"/>
      <c r="I38" s="41">
        <v>15</v>
      </c>
      <c r="J38" s="41">
        <v>13</v>
      </c>
      <c r="K38" s="41">
        <v>0</v>
      </c>
      <c r="L38" s="41">
        <v>2</v>
      </c>
      <c r="M38" s="41"/>
      <c r="N38" s="41">
        <f t="shared" si="3"/>
        <v>284</v>
      </c>
      <c r="O38" s="41">
        <f t="shared" si="3"/>
        <v>277</v>
      </c>
      <c r="P38" s="474">
        <f t="shared" si="4"/>
        <v>97.535211267605632</v>
      </c>
    </row>
    <row r="39" spans="3:16" x14ac:dyDescent="0.4">
      <c r="C39" s="41" t="s">
        <v>7620</v>
      </c>
      <c r="D39" s="41">
        <v>62</v>
      </c>
      <c r="E39" s="41">
        <v>61</v>
      </c>
      <c r="F39" s="41">
        <v>1</v>
      </c>
      <c r="G39" s="41">
        <v>0</v>
      </c>
      <c r="H39" s="41"/>
      <c r="I39" s="41">
        <v>9</v>
      </c>
      <c r="J39" s="41">
        <v>9</v>
      </c>
      <c r="K39" s="41">
        <v>0</v>
      </c>
      <c r="L39" s="41">
        <v>0</v>
      </c>
      <c r="M39" s="41"/>
      <c r="N39" s="41">
        <f t="shared" si="3"/>
        <v>71</v>
      </c>
      <c r="O39" s="41">
        <f t="shared" si="3"/>
        <v>70</v>
      </c>
      <c r="P39" s="474">
        <f t="shared" si="4"/>
        <v>98.591549295774655</v>
      </c>
    </row>
    <row r="40" spans="3:16" x14ac:dyDescent="0.4">
      <c r="C40" s="41" t="s">
        <v>7621</v>
      </c>
      <c r="D40" s="41">
        <v>104</v>
      </c>
      <c r="E40" s="41">
        <v>104</v>
      </c>
      <c r="F40" s="41">
        <v>0</v>
      </c>
      <c r="G40" s="41">
        <v>0</v>
      </c>
      <c r="H40" s="41"/>
      <c r="I40" s="41"/>
      <c r="J40" s="41"/>
      <c r="K40" s="41"/>
      <c r="L40" s="41"/>
      <c r="M40" s="41"/>
      <c r="N40" s="41">
        <f t="shared" si="3"/>
        <v>104</v>
      </c>
      <c r="O40" s="41">
        <f t="shared" si="3"/>
        <v>104</v>
      </c>
      <c r="P40" s="474">
        <f t="shared" si="4"/>
        <v>100</v>
      </c>
    </row>
    <row r="41" spans="3:16" x14ac:dyDescent="0.4">
      <c r="C41" s="41" t="s">
        <v>7622</v>
      </c>
      <c r="D41" s="41">
        <v>5730</v>
      </c>
      <c r="E41" s="41">
        <v>4430</v>
      </c>
      <c r="F41" s="41">
        <v>354</v>
      </c>
      <c r="G41" s="41">
        <v>946</v>
      </c>
      <c r="H41" s="41"/>
      <c r="I41" s="41">
        <v>2</v>
      </c>
      <c r="J41" s="41">
        <v>0</v>
      </c>
      <c r="K41" s="41">
        <v>0</v>
      </c>
      <c r="L41" s="41">
        <v>2</v>
      </c>
      <c r="M41" s="41"/>
      <c r="N41" s="41">
        <f t="shared" si="3"/>
        <v>5732</v>
      </c>
      <c r="O41" s="41">
        <f t="shared" si="3"/>
        <v>4430</v>
      </c>
      <c r="P41" s="474">
        <f t="shared" si="4"/>
        <v>77.285415212840192</v>
      </c>
    </row>
    <row r="42" spans="3:16" x14ac:dyDescent="0.4">
      <c r="C42" s="41" t="s">
        <v>7623</v>
      </c>
      <c r="D42" s="41">
        <v>115</v>
      </c>
      <c r="E42" s="41">
        <v>109</v>
      </c>
      <c r="F42" s="41">
        <v>6</v>
      </c>
      <c r="G42" s="41">
        <v>0</v>
      </c>
      <c r="H42" s="41"/>
      <c r="I42" s="41"/>
      <c r="J42" s="41"/>
      <c r="K42" s="41"/>
      <c r="L42" s="41"/>
      <c r="M42" s="41"/>
      <c r="N42" s="41">
        <f t="shared" si="3"/>
        <v>115</v>
      </c>
      <c r="O42" s="41">
        <f t="shared" si="3"/>
        <v>109</v>
      </c>
      <c r="P42" s="474">
        <f t="shared" si="4"/>
        <v>94.782608695652172</v>
      </c>
    </row>
    <row r="43" spans="3:16" x14ac:dyDescent="0.4">
      <c r="C43" s="2188" t="s">
        <v>7606</v>
      </c>
      <c r="D43" s="2188">
        <f>SUM(D32:D42)</f>
        <v>69804</v>
      </c>
      <c r="E43" s="2188">
        <f t="shared" ref="E43:G43" si="5">SUM(E32:E42)</f>
        <v>63527</v>
      </c>
      <c r="F43" s="2188">
        <f t="shared" si="5"/>
        <v>4987</v>
      </c>
      <c r="G43" s="2188">
        <f t="shared" si="5"/>
        <v>1290</v>
      </c>
      <c r="H43" s="2188"/>
      <c r="I43" s="2188">
        <v>761</v>
      </c>
      <c r="J43" s="2188">
        <v>741</v>
      </c>
      <c r="K43" s="2188">
        <v>15</v>
      </c>
      <c r="L43" s="2188">
        <v>5</v>
      </c>
      <c r="M43" s="2188"/>
      <c r="N43" s="2188">
        <f t="shared" si="3"/>
        <v>70565</v>
      </c>
      <c r="O43" s="2188">
        <f t="shared" si="3"/>
        <v>64268</v>
      </c>
      <c r="P43" s="2189">
        <f t="shared" si="4"/>
        <v>91.076312619570615</v>
      </c>
    </row>
    <row r="44" spans="3:16" x14ac:dyDescent="0.4">
      <c r="C44" s="41" t="s">
        <v>7624</v>
      </c>
      <c r="D44" s="41"/>
      <c r="E44" s="41"/>
      <c r="F44" s="41"/>
      <c r="G44" s="41"/>
      <c r="H44" s="41"/>
      <c r="I44" s="41"/>
      <c r="J44" s="41"/>
      <c r="K44" s="41"/>
      <c r="L44" s="41"/>
      <c r="M44" s="41"/>
      <c r="N44" s="41"/>
      <c r="O44" s="41"/>
      <c r="P44" s="41"/>
    </row>
    <row r="45" spans="3:16" x14ac:dyDescent="0.4">
      <c r="C45" s="41"/>
      <c r="D45" s="41"/>
      <c r="E45" s="41"/>
      <c r="F45" s="41"/>
      <c r="G45" s="41"/>
      <c r="H45" s="41"/>
      <c r="I45" s="41"/>
      <c r="J45" s="41"/>
      <c r="K45" s="41"/>
      <c r="L45" s="41"/>
      <c r="M45" s="41"/>
      <c r="N45" s="41"/>
      <c r="O45" s="41"/>
      <c r="P45" s="41"/>
    </row>
    <row r="46" spans="3:16" x14ac:dyDescent="0.4">
      <c r="C46" s="41"/>
      <c r="D46" s="41"/>
      <c r="E46" s="41"/>
      <c r="F46" s="41"/>
      <c r="G46" s="41"/>
      <c r="H46" s="41"/>
      <c r="I46" s="41"/>
      <c r="J46" s="41"/>
      <c r="K46" s="41"/>
      <c r="L46" s="41"/>
      <c r="M46" s="41"/>
      <c r="N46" s="41"/>
      <c r="O46" s="41"/>
      <c r="P46" s="41"/>
    </row>
    <row r="47" spans="3:16" x14ac:dyDescent="0.4">
      <c r="C47" s="470" t="s">
        <v>7601</v>
      </c>
    </row>
    <row r="48" spans="3:16" x14ac:dyDescent="0.4">
      <c r="C48" s="470" t="s">
        <v>7627</v>
      </c>
    </row>
    <row r="49" spans="3:16" x14ac:dyDescent="0.4">
      <c r="C49" s="3526" t="s">
        <v>7603</v>
      </c>
      <c r="D49" s="3504" t="s">
        <v>7604</v>
      </c>
      <c r="E49" s="3504"/>
      <c r="F49" s="3504"/>
      <c r="G49" s="3504"/>
      <c r="H49" s="2161"/>
      <c r="I49" s="3504" t="s">
        <v>7605</v>
      </c>
      <c r="J49" s="3504"/>
      <c r="K49" s="3504"/>
      <c r="L49" s="3504"/>
      <c r="M49" s="2161"/>
      <c r="N49" s="3504" t="s">
        <v>7606</v>
      </c>
      <c r="O49" s="3504"/>
      <c r="P49" s="3504"/>
    </row>
    <row r="50" spans="3:16" ht="131.25" x14ac:dyDescent="0.4">
      <c r="C50" s="3507"/>
      <c r="D50" s="2105" t="s">
        <v>7607</v>
      </c>
      <c r="E50" s="2105" t="s">
        <v>7608</v>
      </c>
      <c r="F50" s="2105" t="s">
        <v>7609</v>
      </c>
      <c r="G50" s="2105" t="s">
        <v>7610</v>
      </c>
      <c r="H50" s="2105"/>
      <c r="I50" s="2105" t="s">
        <v>7607</v>
      </c>
      <c r="J50" s="2105" t="s">
        <v>7608</v>
      </c>
      <c r="K50" s="2105" t="s">
        <v>7609</v>
      </c>
      <c r="L50" s="2105" t="s">
        <v>7610</v>
      </c>
      <c r="M50" s="2105"/>
      <c r="N50" s="2105" t="s">
        <v>7611</v>
      </c>
      <c r="O50" s="2105" t="s">
        <v>7612</v>
      </c>
      <c r="P50" s="2105" t="s">
        <v>7613</v>
      </c>
    </row>
    <row r="51" spans="3:16" x14ac:dyDescent="0.4">
      <c r="C51" s="41" t="s">
        <v>7376</v>
      </c>
      <c r="D51" s="41">
        <v>8018</v>
      </c>
      <c r="E51" s="41">
        <v>5967</v>
      </c>
      <c r="F51" s="41">
        <v>1391</v>
      </c>
      <c r="G51" s="41">
        <v>660</v>
      </c>
      <c r="H51" s="41"/>
      <c r="I51" s="41">
        <v>213</v>
      </c>
      <c r="J51" s="41">
        <v>194</v>
      </c>
      <c r="K51" s="41">
        <v>9</v>
      </c>
      <c r="L51" s="41">
        <v>10</v>
      </c>
      <c r="M51" s="41"/>
      <c r="N51" s="41">
        <f>+D51+I51</f>
        <v>8231</v>
      </c>
      <c r="O51" s="41">
        <f>+E51+J51</f>
        <v>6161</v>
      </c>
      <c r="P51" s="474">
        <f>+O51/N51*100</f>
        <v>74.851172397035597</v>
      </c>
    </row>
    <row r="52" spans="3:16" x14ac:dyDescent="0.4">
      <c r="C52" s="41" t="s">
        <v>7614</v>
      </c>
      <c r="D52" s="41">
        <v>211</v>
      </c>
      <c r="E52" s="41">
        <v>211</v>
      </c>
      <c r="F52" s="41">
        <v>0</v>
      </c>
      <c r="G52" s="41">
        <v>0</v>
      </c>
      <c r="H52" s="41"/>
      <c r="I52" s="41"/>
      <c r="J52" s="41"/>
      <c r="K52" s="41"/>
      <c r="L52" s="41"/>
      <c r="M52" s="41"/>
      <c r="N52" s="41">
        <f t="shared" ref="N52:O62" si="6">+D52+I52</f>
        <v>211</v>
      </c>
      <c r="O52" s="41">
        <f t="shared" si="6"/>
        <v>211</v>
      </c>
      <c r="P52" s="474">
        <f t="shared" ref="P52:P62" si="7">+O52/N52*100</f>
        <v>100</v>
      </c>
    </row>
    <row r="53" spans="3:16" x14ac:dyDescent="0.4">
      <c r="C53" s="41" t="s">
        <v>7615</v>
      </c>
      <c r="D53" s="41">
        <v>9970</v>
      </c>
      <c r="E53" s="41">
        <v>8941</v>
      </c>
      <c r="F53" s="41">
        <v>1023</v>
      </c>
      <c r="G53" s="41">
        <v>6</v>
      </c>
      <c r="H53" s="41"/>
      <c r="I53" s="41">
        <v>698</v>
      </c>
      <c r="J53" s="41">
        <v>502</v>
      </c>
      <c r="K53" s="41">
        <v>103</v>
      </c>
      <c r="L53" s="41">
        <v>93</v>
      </c>
      <c r="M53" s="41"/>
      <c r="N53" s="41">
        <f t="shared" si="6"/>
        <v>10668</v>
      </c>
      <c r="O53" s="41">
        <f t="shared" si="6"/>
        <v>9443</v>
      </c>
      <c r="P53" s="474">
        <f t="shared" si="7"/>
        <v>88.517060367454064</v>
      </c>
    </row>
    <row r="54" spans="3:16" x14ac:dyDescent="0.4">
      <c r="C54" s="41" t="s">
        <v>7616</v>
      </c>
      <c r="D54" s="41">
        <v>2273</v>
      </c>
      <c r="E54" s="41">
        <v>2261</v>
      </c>
      <c r="F54" s="41">
        <v>12</v>
      </c>
      <c r="G54" s="41">
        <v>0</v>
      </c>
      <c r="H54" s="41"/>
      <c r="I54" s="41">
        <v>65</v>
      </c>
      <c r="J54" s="41">
        <v>61</v>
      </c>
      <c r="K54" s="41">
        <v>4</v>
      </c>
      <c r="L54" s="41">
        <v>0</v>
      </c>
      <c r="M54" s="41"/>
      <c r="N54" s="41">
        <f t="shared" si="6"/>
        <v>2338</v>
      </c>
      <c r="O54" s="41">
        <f t="shared" si="6"/>
        <v>2322</v>
      </c>
      <c r="P54" s="474">
        <f t="shared" si="7"/>
        <v>99.31565440547476</v>
      </c>
    </row>
    <row r="55" spans="3:16" x14ac:dyDescent="0.4">
      <c r="C55" s="41" t="s">
        <v>7617</v>
      </c>
      <c r="D55" s="41">
        <v>35</v>
      </c>
      <c r="E55" s="41">
        <v>35</v>
      </c>
      <c r="F55" s="41">
        <v>0</v>
      </c>
      <c r="G55" s="41">
        <v>0</v>
      </c>
      <c r="H55" s="41"/>
      <c r="I55" s="41"/>
      <c r="J55" s="41"/>
      <c r="K55" s="41"/>
      <c r="L55" s="41"/>
      <c r="M55" s="41"/>
      <c r="N55" s="41">
        <f t="shared" si="6"/>
        <v>35</v>
      </c>
      <c r="O55" s="41">
        <f t="shared" si="6"/>
        <v>35</v>
      </c>
      <c r="P55" s="474">
        <f t="shared" si="7"/>
        <v>100</v>
      </c>
    </row>
    <row r="56" spans="3:16" x14ac:dyDescent="0.4">
      <c r="C56" s="41" t="s">
        <v>7618</v>
      </c>
      <c r="D56" s="41">
        <v>42398</v>
      </c>
      <c r="E56" s="41">
        <v>32959</v>
      </c>
      <c r="F56" s="41">
        <v>9345</v>
      </c>
      <c r="G56" s="41">
        <v>94</v>
      </c>
      <c r="H56" s="41"/>
      <c r="I56" s="41">
        <v>96</v>
      </c>
      <c r="J56" s="41">
        <v>95</v>
      </c>
      <c r="K56" s="41">
        <v>1</v>
      </c>
      <c r="L56" s="41">
        <v>0</v>
      </c>
      <c r="M56" s="41"/>
      <c r="N56" s="41">
        <f t="shared" si="6"/>
        <v>42494</v>
      </c>
      <c r="O56" s="41">
        <f t="shared" si="6"/>
        <v>33054</v>
      </c>
      <c r="P56" s="474">
        <f t="shared" si="7"/>
        <v>77.785099072810283</v>
      </c>
    </row>
    <row r="57" spans="3:16" x14ac:dyDescent="0.4">
      <c r="C57" s="41" t="s">
        <v>7619</v>
      </c>
      <c r="D57" s="41">
        <v>122</v>
      </c>
      <c r="E57" s="41">
        <v>118</v>
      </c>
      <c r="F57" s="41">
        <v>1</v>
      </c>
      <c r="G57" s="41">
        <v>3</v>
      </c>
      <c r="H57" s="41"/>
      <c r="I57" s="41"/>
      <c r="J57" s="41"/>
      <c r="K57" s="41"/>
      <c r="L57" s="41"/>
      <c r="M57" s="41"/>
      <c r="N57" s="41">
        <f t="shared" si="6"/>
        <v>122</v>
      </c>
      <c r="O57" s="41">
        <f t="shared" si="6"/>
        <v>118</v>
      </c>
      <c r="P57" s="474">
        <f t="shared" si="7"/>
        <v>96.721311475409834</v>
      </c>
    </row>
    <row r="58" spans="3:16" x14ac:dyDescent="0.4">
      <c r="C58" s="41" t="s">
        <v>7620</v>
      </c>
      <c r="D58" s="41">
        <v>57</v>
      </c>
      <c r="E58" s="41">
        <v>45</v>
      </c>
      <c r="F58" s="41">
        <v>2</v>
      </c>
      <c r="G58" s="41">
        <v>10</v>
      </c>
      <c r="H58" s="41"/>
      <c r="I58" s="41">
        <v>14</v>
      </c>
      <c r="J58" s="41">
        <v>11</v>
      </c>
      <c r="K58" s="41">
        <v>0</v>
      </c>
      <c r="L58" s="41">
        <v>3</v>
      </c>
      <c r="M58" s="41"/>
      <c r="N58" s="41">
        <f t="shared" si="6"/>
        <v>71</v>
      </c>
      <c r="O58" s="41">
        <f t="shared" si="6"/>
        <v>56</v>
      </c>
      <c r="P58" s="474">
        <f t="shared" si="7"/>
        <v>78.873239436619713</v>
      </c>
    </row>
    <row r="59" spans="3:16" x14ac:dyDescent="0.4">
      <c r="C59" s="41" t="s">
        <v>7621</v>
      </c>
      <c r="D59" s="41">
        <v>103</v>
      </c>
      <c r="E59" s="41">
        <v>103</v>
      </c>
      <c r="F59" s="41">
        <v>0</v>
      </c>
      <c r="G59" s="41">
        <v>0</v>
      </c>
      <c r="H59" s="41"/>
      <c r="I59" s="41"/>
      <c r="J59" s="41"/>
      <c r="K59" s="41"/>
      <c r="L59" s="41"/>
      <c r="M59" s="41"/>
      <c r="N59" s="41">
        <f t="shared" si="6"/>
        <v>103</v>
      </c>
      <c r="O59" s="41">
        <f t="shared" si="6"/>
        <v>103</v>
      </c>
      <c r="P59" s="474">
        <f t="shared" si="7"/>
        <v>100</v>
      </c>
    </row>
    <row r="60" spans="3:16" x14ac:dyDescent="0.4">
      <c r="C60" s="41" t="s">
        <v>7622</v>
      </c>
      <c r="D60" s="41">
        <v>4720</v>
      </c>
      <c r="E60" s="41">
        <v>4213</v>
      </c>
      <c r="F60" s="41">
        <v>381</v>
      </c>
      <c r="G60" s="41">
        <v>126</v>
      </c>
      <c r="H60" s="41"/>
      <c r="I60" s="41">
        <v>206</v>
      </c>
      <c r="J60" s="41">
        <v>150</v>
      </c>
      <c r="K60" s="41">
        <v>36</v>
      </c>
      <c r="L60" s="41">
        <v>20</v>
      </c>
      <c r="M60" s="41"/>
      <c r="N60" s="41">
        <f t="shared" si="6"/>
        <v>4926</v>
      </c>
      <c r="O60" s="41">
        <f t="shared" si="6"/>
        <v>4363</v>
      </c>
      <c r="P60" s="474">
        <f t="shared" si="7"/>
        <v>88.570848558668288</v>
      </c>
    </row>
    <row r="61" spans="3:16" x14ac:dyDescent="0.4">
      <c r="C61" s="41" t="s">
        <v>7628</v>
      </c>
      <c r="D61" s="41"/>
      <c r="E61" s="41"/>
      <c r="F61" s="41"/>
      <c r="G61" s="41"/>
      <c r="H61" s="41"/>
      <c r="I61" s="41"/>
      <c r="J61" s="41"/>
      <c r="K61" s="41"/>
      <c r="L61" s="41"/>
      <c r="M61" s="41"/>
      <c r="N61" s="41">
        <f t="shared" si="6"/>
        <v>0</v>
      </c>
      <c r="O61" s="41">
        <f t="shared" si="6"/>
        <v>0</v>
      </c>
      <c r="P61" s="474">
        <v>0</v>
      </c>
    </row>
    <row r="62" spans="3:16" x14ac:dyDescent="0.4">
      <c r="C62" s="2188" t="s">
        <v>7606</v>
      </c>
      <c r="D62" s="2188">
        <f>SUM(D51:D61)</f>
        <v>67907</v>
      </c>
      <c r="E62" s="2188">
        <f t="shared" ref="E62:G62" si="8">SUM(E51:E61)</f>
        <v>54853</v>
      </c>
      <c r="F62" s="2188">
        <f t="shared" si="8"/>
        <v>12155</v>
      </c>
      <c r="G62" s="2188">
        <f t="shared" si="8"/>
        <v>899</v>
      </c>
      <c r="H62" s="2188"/>
      <c r="I62" s="2188">
        <v>1292</v>
      </c>
      <c r="J62" s="2188">
        <v>1013</v>
      </c>
      <c r="K62" s="2188">
        <v>153</v>
      </c>
      <c r="L62" s="2188">
        <v>126</v>
      </c>
      <c r="M62" s="2188"/>
      <c r="N62" s="2188">
        <f t="shared" si="6"/>
        <v>69199</v>
      </c>
      <c r="O62" s="2188">
        <f t="shared" si="6"/>
        <v>55866</v>
      </c>
      <c r="P62" s="2189">
        <f t="shared" si="7"/>
        <v>80.732380525730136</v>
      </c>
    </row>
    <row r="63" spans="3:16" x14ac:dyDescent="0.4">
      <c r="C63" s="41" t="s">
        <v>7624</v>
      </c>
      <c r="D63" s="41"/>
      <c r="E63" s="41"/>
      <c r="F63" s="41"/>
      <c r="G63" s="41"/>
      <c r="H63" s="41"/>
      <c r="I63" s="41"/>
      <c r="J63" s="41"/>
      <c r="K63" s="41"/>
      <c r="L63" s="41"/>
      <c r="M63" s="41"/>
      <c r="N63" s="41"/>
      <c r="O63" s="41"/>
      <c r="P63" s="41"/>
    </row>
    <row r="64" spans="3:16" x14ac:dyDescent="0.4">
      <c r="C64" s="41"/>
      <c r="D64" s="41"/>
      <c r="E64" s="41"/>
      <c r="F64" s="41"/>
      <c r="G64" s="41"/>
      <c r="H64" s="41"/>
      <c r="I64" s="41"/>
      <c r="J64" s="41"/>
      <c r="K64" s="41"/>
      <c r="L64" s="41"/>
      <c r="M64" s="41"/>
      <c r="N64" s="41"/>
      <c r="O64" s="41"/>
      <c r="P64" s="41"/>
    </row>
    <row r="65" spans="3:16" x14ac:dyDescent="0.4">
      <c r="C65" s="41"/>
      <c r="D65" s="41"/>
      <c r="E65" s="41"/>
      <c r="F65" s="41"/>
      <c r="G65" s="41"/>
      <c r="H65" s="41"/>
      <c r="I65" s="41"/>
      <c r="J65" s="41"/>
      <c r="K65" s="41"/>
      <c r="L65" s="41"/>
      <c r="M65" s="41"/>
      <c r="N65" s="41"/>
      <c r="O65" s="41"/>
      <c r="P65" s="41"/>
    </row>
    <row r="66" spans="3:16" x14ac:dyDescent="0.4">
      <c r="C66" s="470" t="s">
        <v>7601</v>
      </c>
    </row>
    <row r="67" spans="3:16" ht="17.45" customHeight="1" x14ac:dyDescent="0.4">
      <c r="C67" s="470" t="s">
        <v>7629</v>
      </c>
    </row>
    <row r="68" spans="3:16" x14ac:dyDescent="0.4">
      <c r="C68" s="3526" t="s">
        <v>7603</v>
      </c>
      <c r="D68" s="3504" t="s">
        <v>7604</v>
      </c>
      <c r="E68" s="3504"/>
      <c r="F68" s="3504"/>
      <c r="G68" s="3504"/>
      <c r="H68" s="2161"/>
      <c r="I68" s="3504" t="s">
        <v>7605</v>
      </c>
      <c r="J68" s="3504"/>
      <c r="K68" s="3504"/>
      <c r="L68" s="3504"/>
      <c r="M68" s="2161"/>
      <c r="N68" s="3504" t="s">
        <v>7606</v>
      </c>
      <c r="O68" s="3504"/>
      <c r="P68" s="3504"/>
    </row>
    <row r="69" spans="3:16" ht="131.25" x14ac:dyDescent="0.4">
      <c r="C69" s="3507"/>
      <c r="D69" s="2105" t="s">
        <v>7607</v>
      </c>
      <c r="E69" s="2105" t="s">
        <v>7608</v>
      </c>
      <c r="F69" s="2105" t="s">
        <v>7609</v>
      </c>
      <c r="G69" s="2105" t="s">
        <v>7610</v>
      </c>
      <c r="H69" s="2105"/>
      <c r="I69" s="2105" t="s">
        <v>7607</v>
      </c>
      <c r="J69" s="2105" t="s">
        <v>7608</v>
      </c>
      <c r="K69" s="2105" t="s">
        <v>7609</v>
      </c>
      <c r="L69" s="2105" t="s">
        <v>7610</v>
      </c>
      <c r="M69" s="2105"/>
      <c r="N69" s="2105" t="s">
        <v>7611</v>
      </c>
      <c r="O69" s="2105" t="s">
        <v>7612</v>
      </c>
      <c r="P69" s="2105" t="s">
        <v>7613</v>
      </c>
    </row>
    <row r="70" spans="3:16" x14ac:dyDescent="0.4">
      <c r="C70" s="41" t="s">
        <v>7376</v>
      </c>
      <c r="D70" s="41">
        <v>9564</v>
      </c>
      <c r="E70" s="41">
        <v>9524</v>
      </c>
      <c r="F70" s="41">
        <v>40</v>
      </c>
      <c r="G70" s="41">
        <v>0</v>
      </c>
      <c r="H70" s="41"/>
      <c r="I70" s="41">
        <v>249</v>
      </c>
      <c r="J70" s="41">
        <v>249</v>
      </c>
      <c r="K70" s="41">
        <v>0</v>
      </c>
      <c r="L70" s="41">
        <v>0</v>
      </c>
      <c r="M70" s="41"/>
      <c r="N70" s="41">
        <f>+D70+I70</f>
        <v>9813</v>
      </c>
      <c r="O70" s="41">
        <f>+E70+J70</f>
        <v>9773</v>
      </c>
      <c r="P70" s="474">
        <f>+O70/N70*100</f>
        <v>99.592377458473464</v>
      </c>
    </row>
    <row r="71" spans="3:16" x14ac:dyDescent="0.4">
      <c r="C71" s="41" t="s">
        <v>7614</v>
      </c>
      <c r="D71" s="41">
        <v>284</v>
      </c>
      <c r="E71" s="41">
        <v>284</v>
      </c>
      <c r="F71" s="41">
        <v>0</v>
      </c>
      <c r="G71" s="41">
        <v>0</v>
      </c>
      <c r="H71" s="41"/>
      <c r="I71" s="41"/>
      <c r="J71" s="41"/>
      <c r="K71" s="41"/>
      <c r="L71" s="41"/>
      <c r="M71" s="41"/>
      <c r="N71" s="41">
        <f t="shared" ref="N71:O81" si="9">+D71+I71</f>
        <v>284</v>
      </c>
      <c r="O71" s="41">
        <f t="shared" si="9"/>
        <v>284</v>
      </c>
      <c r="P71" s="474">
        <f t="shared" ref="P71:P81" si="10">+O71/N71*100</f>
        <v>100</v>
      </c>
    </row>
    <row r="72" spans="3:16" x14ac:dyDescent="0.4">
      <c r="C72" s="41" t="s">
        <v>7615</v>
      </c>
      <c r="D72" s="41">
        <v>8218</v>
      </c>
      <c r="E72" s="41">
        <v>6515</v>
      </c>
      <c r="F72" s="41">
        <v>166</v>
      </c>
      <c r="G72" s="41">
        <v>1537</v>
      </c>
      <c r="H72" s="41"/>
      <c r="I72" s="41">
        <v>546</v>
      </c>
      <c r="J72" s="41">
        <v>278</v>
      </c>
      <c r="K72" s="41">
        <v>267</v>
      </c>
      <c r="L72" s="41">
        <v>1</v>
      </c>
      <c r="M72" s="41"/>
      <c r="N72" s="41">
        <f t="shared" si="9"/>
        <v>8764</v>
      </c>
      <c r="O72" s="41">
        <f t="shared" si="9"/>
        <v>6793</v>
      </c>
      <c r="P72" s="474">
        <f t="shared" si="10"/>
        <v>77.510269283432223</v>
      </c>
    </row>
    <row r="73" spans="3:16" x14ac:dyDescent="0.4">
      <c r="C73" s="41" t="s">
        <v>7616</v>
      </c>
      <c r="D73" s="41">
        <v>773</v>
      </c>
      <c r="E73" s="41">
        <v>764</v>
      </c>
      <c r="F73" s="41">
        <v>8</v>
      </c>
      <c r="G73" s="41">
        <v>1</v>
      </c>
      <c r="H73" s="41"/>
      <c r="I73" s="41">
        <v>2</v>
      </c>
      <c r="J73" s="41">
        <v>2</v>
      </c>
      <c r="K73" s="41">
        <v>0</v>
      </c>
      <c r="L73" s="41">
        <v>0</v>
      </c>
      <c r="M73" s="41"/>
      <c r="N73" s="41">
        <f t="shared" si="9"/>
        <v>775</v>
      </c>
      <c r="O73" s="41">
        <f t="shared" si="9"/>
        <v>766</v>
      </c>
      <c r="P73" s="474">
        <f t="shared" si="10"/>
        <v>98.838709677419359</v>
      </c>
    </row>
    <row r="74" spans="3:16" x14ac:dyDescent="0.4">
      <c r="C74" s="41" t="s">
        <v>7617</v>
      </c>
      <c r="D74" s="41">
        <v>69</v>
      </c>
      <c r="E74" s="41">
        <v>69</v>
      </c>
      <c r="F74" s="41">
        <v>0</v>
      </c>
      <c r="G74" s="41">
        <v>0</v>
      </c>
      <c r="H74" s="41"/>
      <c r="I74" s="41"/>
      <c r="J74" s="41"/>
      <c r="K74" s="41"/>
      <c r="L74" s="41"/>
      <c r="M74" s="41"/>
      <c r="N74" s="41">
        <f t="shared" si="9"/>
        <v>69</v>
      </c>
      <c r="O74" s="41">
        <f t="shared" si="9"/>
        <v>69</v>
      </c>
      <c r="P74" s="474">
        <f t="shared" si="10"/>
        <v>100</v>
      </c>
    </row>
    <row r="75" spans="3:16" x14ac:dyDescent="0.4">
      <c r="C75" s="41" t="s">
        <v>7618</v>
      </c>
      <c r="D75" s="41">
        <v>19239</v>
      </c>
      <c r="E75" s="41">
        <v>18586</v>
      </c>
      <c r="F75" s="41">
        <v>540</v>
      </c>
      <c r="G75" s="41">
        <v>113</v>
      </c>
      <c r="H75" s="41"/>
      <c r="I75" s="41">
        <v>89</v>
      </c>
      <c r="J75" s="41">
        <v>89</v>
      </c>
      <c r="K75" s="41">
        <v>0</v>
      </c>
      <c r="L75" s="41">
        <v>0</v>
      </c>
      <c r="M75" s="41"/>
      <c r="N75" s="41">
        <f t="shared" si="9"/>
        <v>19328</v>
      </c>
      <c r="O75" s="41">
        <f t="shared" si="9"/>
        <v>18675</v>
      </c>
      <c r="P75" s="474">
        <f t="shared" si="10"/>
        <v>96.621481788079464</v>
      </c>
    </row>
    <row r="76" spans="3:16" x14ac:dyDescent="0.4">
      <c r="C76" s="41" t="s">
        <v>7619</v>
      </c>
      <c r="D76" s="41">
        <v>70</v>
      </c>
      <c r="E76" s="41">
        <v>63</v>
      </c>
      <c r="F76" s="41">
        <v>6</v>
      </c>
      <c r="G76" s="41">
        <v>1</v>
      </c>
      <c r="H76" s="41"/>
      <c r="I76" s="41">
        <v>1</v>
      </c>
      <c r="J76" s="41">
        <v>1</v>
      </c>
      <c r="K76" s="41">
        <v>0</v>
      </c>
      <c r="L76" s="41">
        <v>0</v>
      </c>
      <c r="M76" s="41"/>
      <c r="N76" s="41">
        <f t="shared" si="9"/>
        <v>71</v>
      </c>
      <c r="O76" s="41">
        <f t="shared" si="9"/>
        <v>64</v>
      </c>
      <c r="P76" s="474">
        <f t="shared" si="10"/>
        <v>90.140845070422543</v>
      </c>
    </row>
    <row r="77" spans="3:16" x14ac:dyDescent="0.4">
      <c r="C77" s="41" t="s">
        <v>7620</v>
      </c>
      <c r="D77" s="41"/>
      <c r="E77" s="41"/>
      <c r="F77" s="41"/>
      <c r="G77" s="41"/>
      <c r="H77" s="41"/>
      <c r="I77" s="41"/>
      <c r="J77" s="41"/>
      <c r="K77" s="41"/>
      <c r="L77" s="41"/>
      <c r="M77" s="41"/>
      <c r="N77" s="41">
        <f t="shared" si="9"/>
        <v>0</v>
      </c>
      <c r="O77" s="41">
        <f t="shared" si="9"/>
        <v>0</v>
      </c>
      <c r="P77" s="474">
        <v>0</v>
      </c>
    </row>
    <row r="78" spans="3:16" x14ac:dyDescent="0.4">
      <c r="C78" s="41" t="s">
        <v>7621</v>
      </c>
      <c r="D78" s="41">
        <v>36</v>
      </c>
      <c r="E78" s="41">
        <v>36</v>
      </c>
      <c r="F78" s="41">
        <v>0</v>
      </c>
      <c r="G78" s="41">
        <v>0</v>
      </c>
      <c r="H78" s="41"/>
      <c r="I78" s="41"/>
      <c r="J78" s="41"/>
      <c r="K78" s="41"/>
      <c r="L78" s="41"/>
      <c r="M78" s="41"/>
      <c r="N78" s="41">
        <f t="shared" si="9"/>
        <v>36</v>
      </c>
      <c r="O78" s="41">
        <f t="shared" si="9"/>
        <v>36</v>
      </c>
      <c r="P78" s="474">
        <f t="shared" si="10"/>
        <v>100</v>
      </c>
    </row>
    <row r="79" spans="3:16" x14ac:dyDescent="0.4">
      <c r="C79" s="41" t="s">
        <v>7622</v>
      </c>
      <c r="D79" s="41">
        <v>5137</v>
      </c>
      <c r="E79" s="41">
        <v>4361</v>
      </c>
      <c r="F79" s="41">
        <v>729</v>
      </c>
      <c r="G79" s="41">
        <v>47</v>
      </c>
      <c r="H79" s="41"/>
      <c r="I79" s="41">
        <v>115</v>
      </c>
      <c r="J79" s="41">
        <v>109</v>
      </c>
      <c r="K79" s="41">
        <v>5</v>
      </c>
      <c r="L79" s="41">
        <v>1</v>
      </c>
      <c r="M79" s="41"/>
      <c r="N79" s="41">
        <f t="shared" si="9"/>
        <v>5252</v>
      </c>
      <c r="O79" s="41">
        <f t="shared" si="9"/>
        <v>4470</v>
      </c>
      <c r="P79" s="474">
        <f t="shared" si="10"/>
        <v>85.110434120335114</v>
      </c>
    </row>
    <row r="80" spans="3:16" x14ac:dyDescent="0.4">
      <c r="C80" s="41" t="s">
        <v>7628</v>
      </c>
      <c r="D80" s="41"/>
      <c r="E80" s="41"/>
      <c r="F80" s="41"/>
      <c r="G80" s="41"/>
      <c r="H80" s="41"/>
      <c r="I80" s="41"/>
      <c r="J80" s="41"/>
      <c r="K80" s="41"/>
      <c r="L80" s="41"/>
      <c r="M80" s="41"/>
      <c r="N80" s="41">
        <f t="shared" si="9"/>
        <v>0</v>
      </c>
      <c r="O80" s="41">
        <f t="shared" si="9"/>
        <v>0</v>
      </c>
      <c r="P80" s="474">
        <v>0</v>
      </c>
    </row>
    <row r="81" spans="3:16" x14ac:dyDescent="0.4">
      <c r="C81" s="2188" t="s">
        <v>7606</v>
      </c>
      <c r="D81" s="2188">
        <f>SUM(D70:D80)</f>
        <v>43390</v>
      </c>
      <c r="E81" s="2188">
        <f t="shared" ref="E81:G81" si="11">SUM(E70:E80)</f>
        <v>40202</v>
      </c>
      <c r="F81" s="2188">
        <f t="shared" si="11"/>
        <v>1489</v>
      </c>
      <c r="G81" s="2188">
        <f t="shared" si="11"/>
        <v>1699</v>
      </c>
      <c r="H81" s="2188"/>
      <c r="I81" s="2188">
        <v>1002</v>
      </c>
      <c r="J81" s="2188">
        <v>728</v>
      </c>
      <c r="K81" s="2188">
        <v>272</v>
      </c>
      <c r="L81" s="2188">
        <v>2</v>
      </c>
      <c r="M81" s="2188"/>
      <c r="N81" s="2188">
        <f t="shared" si="9"/>
        <v>44392</v>
      </c>
      <c r="O81" s="2188">
        <f t="shared" si="9"/>
        <v>40930</v>
      </c>
      <c r="P81" s="2189">
        <f t="shared" si="10"/>
        <v>92.201297531086681</v>
      </c>
    </row>
    <row r="82" spans="3:16" x14ac:dyDescent="0.4">
      <c r="C82" s="41" t="s">
        <v>7624</v>
      </c>
      <c r="D82" s="41"/>
      <c r="E82" s="41"/>
      <c r="F82" s="41"/>
      <c r="G82" s="41"/>
      <c r="H82" s="41"/>
      <c r="I82" s="41"/>
      <c r="J82" s="41"/>
      <c r="K82" s="41"/>
      <c r="L82" s="41"/>
      <c r="M82" s="41"/>
      <c r="N82" s="41"/>
      <c r="O82" s="41"/>
      <c r="P82" s="41"/>
    </row>
    <row r="83" spans="3:16" x14ac:dyDescent="0.4">
      <c r="C83" s="41"/>
      <c r="D83" s="41"/>
      <c r="E83" s="41"/>
      <c r="F83" s="41"/>
      <c r="G83" s="41"/>
      <c r="H83" s="41"/>
      <c r="I83" s="41"/>
      <c r="J83" s="41"/>
      <c r="K83" s="41"/>
      <c r="L83" s="41"/>
      <c r="M83" s="41"/>
      <c r="N83" s="41"/>
      <c r="O83" s="41"/>
      <c r="P83" s="41"/>
    </row>
    <row r="84" spans="3:16" x14ac:dyDescent="0.4">
      <c r="C84" s="41"/>
      <c r="D84" s="41"/>
      <c r="E84" s="41"/>
      <c r="F84" s="41"/>
      <c r="G84" s="41"/>
      <c r="H84" s="41"/>
      <c r="I84" s="41"/>
      <c r="J84" s="41"/>
      <c r="K84" s="41"/>
      <c r="L84" s="41"/>
      <c r="M84" s="41"/>
      <c r="N84" s="41"/>
      <c r="O84" s="41"/>
      <c r="P84" s="41"/>
    </row>
    <row r="85" spans="3:16" x14ac:dyDescent="0.4">
      <c r="C85" s="470" t="s">
        <v>7601</v>
      </c>
    </row>
    <row r="86" spans="3:16" ht="17.45" customHeight="1" x14ac:dyDescent="0.4">
      <c r="C86" s="470" t="s">
        <v>7630</v>
      </c>
    </row>
    <row r="87" spans="3:16" x14ac:dyDescent="0.4">
      <c r="C87" s="3526" t="s">
        <v>7603</v>
      </c>
      <c r="D87" s="3504" t="s">
        <v>7604</v>
      </c>
      <c r="E87" s="3504"/>
      <c r="F87" s="3504"/>
      <c r="G87" s="3504"/>
      <c r="H87" s="2161"/>
      <c r="I87" s="3504" t="s">
        <v>7605</v>
      </c>
      <c r="J87" s="3504"/>
      <c r="K87" s="3504"/>
      <c r="L87" s="3504"/>
      <c r="M87" s="2161"/>
      <c r="N87" s="3504" t="s">
        <v>7606</v>
      </c>
      <c r="O87" s="3504"/>
      <c r="P87" s="3504"/>
    </row>
    <row r="88" spans="3:16" ht="131.25" x14ac:dyDescent="0.4">
      <c r="C88" s="3507"/>
      <c r="D88" s="2105" t="s">
        <v>7607</v>
      </c>
      <c r="E88" s="2105" t="s">
        <v>7608</v>
      </c>
      <c r="F88" s="2105" t="s">
        <v>7609</v>
      </c>
      <c r="G88" s="2105" t="s">
        <v>7610</v>
      </c>
      <c r="H88" s="2105"/>
      <c r="I88" s="2105" t="s">
        <v>7607</v>
      </c>
      <c r="J88" s="2105" t="s">
        <v>7608</v>
      </c>
      <c r="K88" s="2105" t="s">
        <v>7609</v>
      </c>
      <c r="L88" s="2105" t="s">
        <v>7610</v>
      </c>
      <c r="M88" s="2105"/>
      <c r="N88" s="2105" t="s">
        <v>7611</v>
      </c>
      <c r="O88" s="2105" t="s">
        <v>7612</v>
      </c>
      <c r="P88" s="2105" t="s">
        <v>7613</v>
      </c>
    </row>
    <row r="89" spans="3:16" x14ac:dyDescent="0.4">
      <c r="C89" s="41" t="s">
        <v>7376</v>
      </c>
      <c r="D89" s="41">
        <v>9196</v>
      </c>
      <c r="E89" s="41">
        <v>9072</v>
      </c>
      <c r="F89" s="41">
        <v>124</v>
      </c>
      <c r="G89" s="41">
        <v>0</v>
      </c>
      <c r="H89" s="41"/>
      <c r="I89" s="41"/>
      <c r="J89" s="41"/>
      <c r="K89" s="41"/>
      <c r="L89" s="41"/>
      <c r="M89" s="41"/>
      <c r="N89" s="41">
        <f>+D89+I89</f>
        <v>9196</v>
      </c>
      <c r="O89" s="41">
        <f>+E89+J89</f>
        <v>9072</v>
      </c>
      <c r="P89" s="474">
        <f>+O89/N89*100</f>
        <v>98.651587646802966</v>
      </c>
    </row>
    <row r="90" spans="3:16" x14ac:dyDescent="0.4">
      <c r="C90" s="41" t="s">
        <v>7614</v>
      </c>
      <c r="D90" s="41">
        <v>301</v>
      </c>
      <c r="E90" s="41">
        <v>301</v>
      </c>
      <c r="F90" s="41">
        <v>0</v>
      </c>
      <c r="G90" s="41">
        <v>0</v>
      </c>
      <c r="H90" s="41"/>
      <c r="I90" s="41"/>
      <c r="J90" s="41"/>
      <c r="K90" s="41"/>
      <c r="L90" s="41"/>
      <c r="M90" s="41"/>
      <c r="N90" s="41">
        <f t="shared" ref="N90:O100" si="12">+D90+I90</f>
        <v>301</v>
      </c>
      <c r="O90" s="41">
        <f t="shared" si="12"/>
        <v>301</v>
      </c>
      <c r="P90" s="474">
        <f t="shared" ref="P90:P100" si="13">+O90/N90*100</f>
        <v>100</v>
      </c>
    </row>
    <row r="91" spans="3:16" x14ac:dyDescent="0.4">
      <c r="C91" s="41" t="s">
        <v>7615</v>
      </c>
      <c r="D91" s="41">
        <v>2391</v>
      </c>
      <c r="E91" s="41">
        <v>2220</v>
      </c>
      <c r="F91" s="41">
        <v>86</v>
      </c>
      <c r="G91" s="41">
        <v>85</v>
      </c>
      <c r="H91" s="41"/>
      <c r="I91" s="41"/>
      <c r="J91" s="41"/>
      <c r="K91" s="41"/>
      <c r="L91" s="41"/>
      <c r="M91" s="41"/>
      <c r="N91" s="41">
        <f t="shared" si="12"/>
        <v>2391</v>
      </c>
      <c r="O91" s="41">
        <f t="shared" si="12"/>
        <v>2220</v>
      </c>
      <c r="P91" s="474">
        <f t="shared" si="13"/>
        <v>92.848180677540782</v>
      </c>
    </row>
    <row r="92" spans="3:16" x14ac:dyDescent="0.4">
      <c r="C92" s="41" t="s">
        <v>7616</v>
      </c>
      <c r="D92" s="41">
        <v>3842</v>
      </c>
      <c r="E92" s="41">
        <v>3821</v>
      </c>
      <c r="F92" s="41">
        <v>9</v>
      </c>
      <c r="G92" s="41">
        <v>12</v>
      </c>
      <c r="H92" s="41"/>
      <c r="I92" s="41"/>
      <c r="J92" s="41"/>
      <c r="K92" s="41"/>
      <c r="L92" s="41"/>
      <c r="M92" s="41"/>
      <c r="N92" s="41">
        <f t="shared" si="12"/>
        <v>3842</v>
      </c>
      <c r="O92" s="41">
        <f t="shared" si="12"/>
        <v>3821</v>
      </c>
      <c r="P92" s="474">
        <f t="shared" si="13"/>
        <v>99.45340968245705</v>
      </c>
    </row>
    <row r="93" spans="3:16" x14ac:dyDescent="0.4">
      <c r="C93" s="41" t="s">
        <v>7617</v>
      </c>
      <c r="D93" s="41">
        <v>104</v>
      </c>
      <c r="E93" s="41">
        <v>104</v>
      </c>
      <c r="F93" s="41">
        <v>0</v>
      </c>
      <c r="G93" s="41">
        <v>0</v>
      </c>
      <c r="H93" s="41"/>
      <c r="I93" s="41"/>
      <c r="J93" s="41"/>
      <c r="K93" s="41"/>
      <c r="L93" s="41"/>
      <c r="M93" s="41"/>
      <c r="N93" s="41">
        <f t="shared" si="12"/>
        <v>104</v>
      </c>
      <c r="O93" s="41">
        <f t="shared" si="12"/>
        <v>104</v>
      </c>
      <c r="P93" s="474">
        <f t="shared" si="13"/>
        <v>100</v>
      </c>
    </row>
    <row r="94" spans="3:16" x14ac:dyDescent="0.4">
      <c r="C94" s="41" t="s">
        <v>7618</v>
      </c>
      <c r="D94" s="41">
        <v>7746</v>
      </c>
      <c r="E94" s="41">
        <v>7283</v>
      </c>
      <c r="F94" s="41">
        <v>390</v>
      </c>
      <c r="G94" s="41">
        <v>73</v>
      </c>
      <c r="H94" s="41"/>
      <c r="I94" s="41"/>
      <c r="J94" s="41"/>
      <c r="K94" s="41"/>
      <c r="L94" s="41"/>
      <c r="M94" s="41"/>
      <c r="N94" s="41">
        <f t="shared" si="12"/>
        <v>7746</v>
      </c>
      <c r="O94" s="41">
        <f t="shared" si="12"/>
        <v>7283</v>
      </c>
      <c r="P94" s="474">
        <f t="shared" si="13"/>
        <v>94.022721404595927</v>
      </c>
    </row>
    <row r="95" spans="3:16" x14ac:dyDescent="0.4">
      <c r="C95" s="41" t="s">
        <v>7619</v>
      </c>
      <c r="D95" s="41">
        <v>111</v>
      </c>
      <c r="E95" s="41">
        <v>103</v>
      </c>
      <c r="F95" s="41">
        <v>1</v>
      </c>
      <c r="G95" s="41">
        <v>7</v>
      </c>
      <c r="H95" s="41"/>
      <c r="I95" s="41"/>
      <c r="J95" s="41"/>
      <c r="K95" s="41"/>
      <c r="L95" s="41"/>
      <c r="M95" s="41"/>
      <c r="N95" s="41">
        <f t="shared" si="12"/>
        <v>111</v>
      </c>
      <c r="O95" s="41">
        <f t="shared" si="12"/>
        <v>103</v>
      </c>
      <c r="P95" s="474">
        <f t="shared" si="13"/>
        <v>92.792792792792795</v>
      </c>
    </row>
    <row r="96" spans="3:16" x14ac:dyDescent="0.4">
      <c r="C96" s="41" t="s">
        <v>7620</v>
      </c>
      <c r="D96" s="41">
        <v>59</v>
      </c>
      <c r="E96" s="41">
        <v>50</v>
      </c>
      <c r="F96" s="41">
        <v>8</v>
      </c>
      <c r="G96" s="41">
        <v>1</v>
      </c>
      <c r="H96" s="41"/>
      <c r="I96" s="41"/>
      <c r="J96" s="41"/>
      <c r="K96" s="41"/>
      <c r="L96" s="41"/>
      <c r="M96" s="41"/>
      <c r="N96" s="41">
        <f t="shared" si="12"/>
        <v>59</v>
      </c>
      <c r="O96" s="41">
        <f t="shared" si="12"/>
        <v>50</v>
      </c>
      <c r="P96" s="474">
        <f t="shared" si="13"/>
        <v>84.745762711864401</v>
      </c>
    </row>
    <row r="97" spans="3:16" x14ac:dyDescent="0.4">
      <c r="C97" s="41" t="s">
        <v>7621</v>
      </c>
      <c r="D97" s="41">
        <v>57</v>
      </c>
      <c r="E97" s="41">
        <v>53</v>
      </c>
      <c r="F97" s="41">
        <v>2</v>
      </c>
      <c r="G97" s="41">
        <v>2</v>
      </c>
      <c r="H97" s="41"/>
      <c r="I97" s="41"/>
      <c r="J97" s="41"/>
      <c r="K97" s="41"/>
      <c r="L97" s="41"/>
      <c r="M97" s="41"/>
      <c r="N97" s="41">
        <f t="shared" si="12"/>
        <v>57</v>
      </c>
      <c r="O97" s="41">
        <f t="shared" si="12"/>
        <v>53</v>
      </c>
      <c r="P97" s="474">
        <f t="shared" si="13"/>
        <v>92.982456140350877</v>
      </c>
    </row>
    <row r="98" spans="3:16" x14ac:dyDescent="0.4">
      <c r="C98" s="41" t="s">
        <v>7622</v>
      </c>
      <c r="D98" s="41">
        <v>6422</v>
      </c>
      <c r="E98" s="41">
        <v>5859</v>
      </c>
      <c r="F98" s="41">
        <v>518</v>
      </c>
      <c r="G98" s="41">
        <v>45</v>
      </c>
      <c r="H98" s="41"/>
      <c r="I98" s="41"/>
      <c r="J98" s="41"/>
      <c r="K98" s="41"/>
      <c r="L98" s="41"/>
      <c r="M98" s="41"/>
      <c r="N98" s="41">
        <f t="shared" si="12"/>
        <v>6422</v>
      </c>
      <c r="O98" s="41">
        <f t="shared" si="12"/>
        <v>5859</v>
      </c>
      <c r="P98" s="474">
        <f t="shared" si="13"/>
        <v>91.233260666459046</v>
      </c>
    </row>
    <row r="99" spans="3:16" x14ac:dyDescent="0.4">
      <c r="C99" s="41" t="s">
        <v>7628</v>
      </c>
      <c r="D99" s="41"/>
      <c r="E99" s="41"/>
      <c r="F99" s="41"/>
      <c r="G99" s="41"/>
      <c r="H99" s="41"/>
      <c r="I99" s="41"/>
      <c r="J99" s="41"/>
      <c r="K99" s="41"/>
      <c r="L99" s="41"/>
      <c r="M99" s="41"/>
      <c r="N99" s="41">
        <f t="shared" si="12"/>
        <v>0</v>
      </c>
      <c r="O99" s="41">
        <f t="shared" si="12"/>
        <v>0</v>
      </c>
      <c r="P99" s="474">
        <v>0</v>
      </c>
    </row>
    <row r="100" spans="3:16" x14ac:dyDescent="0.4">
      <c r="C100" s="2188" t="s">
        <v>7606</v>
      </c>
      <c r="D100" s="2188">
        <f>SUM(D89:D99)</f>
        <v>30229</v>
      </c>
      <c r="E100" s="2188">
        <f t="shared" ref="E100:G100" si="14">SUM(E89:E99)</f>
        <v>28866</v>
      </c>
      <c r="F100" s="2188">
        <f t="shared" si="14"/>
        <v>1138</v>
      </c>
      <c r="G100" s="2188">
        <f t="shared" si="14"/>
        <v>225</v>
      </c>
      <c r="H100" s="2188"/>
      <c r="I100" s="2188"/>
      <c r="J100" s="2188"/>
      <c r="K100" s="2188"/>
      <c r="L100" s="2188"/>
      <c r="M100" s="2188"/>
      <c r="N100" s="2188">
        <f t="shared" si="12"/>
        <v>30229</v>
      </c>
      <c r="O100" s="2188">
        <f t="shared" si="12"/>
        <v>28866</v>
      </c>
      <c r="P100" s="2189">
        <f t="shared" si="13"/>
        <v>95.491084719970885</v>
      </c>
    </row>
    <row r="101" spans="3:16" x14ac:dyDescent="0.4">
      <c r="C101" s="41" t="s">
        <v>7624</v>
      </c>
    </row>
  </sheetData>
  <mergeCells count="29">
    <mergeCell ref="A5:B5"/>
    <mergeCell ref="C5:P5"/>
    <mergeCell ref="C1:D1"/>
    <mergeCell ref="A3:B3"/>
    <mergeCell ref="C3:P3"/>
    <mergeCell ref="A4:B4"/>
    <mergeCell ref="C4:P4"/>
    <mergeCell ref="A6:B6"/>
    <mergeCell ref="C6:P6"/>
    <mergeCell ref="C11:C12"/>
    <mergeCell ref="D11:G11"/>
    <mergeCell ref="I11:L11"/>
    <mergeCell ref="N11:P11"/>
    <mergeCell ref="C30:C31"/>
    <mergeCell ref="D30:G30"/>
    <mergeCell ref="I30:L30"/>
    <mergeCell ref="N30:P30"/>
    <mergeCell ref="C49:C50"/>
    <mergeCell ref="D49:G49"/>
    <mergeCell ref="I49:L49"/>
    <mergeCell ref="N49:P49"/>
    <mergeCell ref="C68:C69"/>
    <mergeCell ref="D68:G68"/>
    <mergeCell ref="I68:L68"/>
    <mergeCell ref="N68:P68"/>
    <mergeCell ref="C87:C88"/>
    <mergeCell ref="D87:G87"/>
    <mergeCell ref="I87:L87"/>
    <mergeCell ref="N87:P87"/>
  </mergeCells>
  <hyperlinks>
    <hyperlink ref="A1" location="'ODS 16.'!A1" display="REGRESAR" xr:uid="{828FFE37-F6FD-4C6E-8FE8-11D34B9EFF67}"/>
    <hyperlink ref="C1:D1" location="'Metadato 16.6.2'!A1" display="VER METADATO" xr:uid="{CB6991EB-519F-4EE6-A87B-84EDF862478E}"/>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00A9-EB6D-4E1A-AA4E-8C2DCA9177B1}">
  <sheetPr>
    <tabColor theme="0" tint="-0.499984740745262"/>
  </sheetPr>
  <dimension ref="B1:Q4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16384" width="11.42578125" style="243"/>
  </cols>
  <sheetData>
    <row r="1" spans="2:17" x14ac:dyDescent="0.25">
      <c r="B1" s="223" t="s">
        <v>39</v>
      </c>
    </row>
    <row r="2" spans="2:17" ht="19.5" thickBot="1" x14ac:dyDescent="0.3"/>
    <row r="3" spans="2:17" ht="23.25" customHeight="1" thickBot="1" x14ac:dyDescent="0.3">
      <c r="B3" s="3514" t="s">
        <v>75</v>
      </c>
      <c r="C3" s="3514"/>
      <c r="D3" s="3514"/>
      <c r="F3" s="1286" t="s">
        <v>265</v>
      </c>
    </row>
    <row r="4" spans="2:17" ht="37.5" x14ac:dyDescent="0.25">
      <c r="B4" s="2425" t="s">
        <v>234</v>
      </c>
      <c r="C4" s="2425"/>
      <c r="D4" s="49" t="s">
        <v>7369</v>
      </c>
    </row>
    <row r="5" spans="2:17" x14ac:dyDescent="0.25">
      <c r="B5" s="2425" t="s">
        <v>79</v>
      </c>
      <c r="C5" s="2425"/>
      <c r="D5" s="49" t="s">
        <v>7315</v>
      </c>
    </row>
    <row r="6" spans="2:17" x14ac:dyDescent="0.25">
      <c r="B6" s="2425" t="s">
        <v>80</v>
      </c>
      <c r="C6" s="2425"/>
      <c r="D6" s="50" t="s">
        <v>7318</v>
      </c>
    </row>
    <row r="7" spans="2:17" ht="37.5" x14ac:dyDescent="0.25">
      <c r="B7" s="2426" t="s">
        <v>81</v>
      </c>
      <c r="C7" s="2426"/>
      <c r="D7" s="93" t="s">
        <v>7319</v>
      </c>
    </row>
    <row r="8" spans="2:17" x14ac:dyDescent="0.25">
      <c r="B8" s="2426" t="s">
        <v>82</v>
      </c>
      <c r="C8" s="2426"/>
      <c r="D8" s="1047" t="s">
        <v>353</v>
      </c>
    </row>
    <row r="9" spans="2:17" x14ac:dyDescent="0.4">
      <c r="B9" s="115"/>
      <c r="C9" s="115"/>
      <c r="D9" s="115"/>
    </row>
    <row r="10" spans="2:17" ht="23.25" customHeight="1" x14ac:dyDescent="0.25">
      <c r="B10" s="3514" t="s">
        <v>85</v>
      </c>
      <c r="C10" s="3514"/>
      <c r="D10" s="3514"/>
    </row>
    <row r="11" spans="2:17" x14ac:dyDescent="0.25">
      <c r="B11" s="2427" t="s">
        <v>86</v>
      </c>
      <c r="C11" s="2428"/>
      <c r="D11" s="49" t="s">
        <v>7631</v>
      </c>
    </row>
    <row r="12" spans="2:17" ht="17.45" customHeight="1" x14ac:dyDescent="0.25">
      <c r="B12" s="2426" t="s">
        <v>88</v>
      </c>
      <c r="C12" s="2426"/>
      <c r="D12" s="877" t="s" cm="1">
        <v>8088</v>
      </c>
      <c r="E12" s="243">
        <v>0</v>
      </c>
      <c r="F12" s="243">
        <v>0</v>
      </c>
      <c r="G12" s="243">
        <v>0</v>
      </c>
      <c r="H12" s="243">
        <v>0</v>
      </c>
      <c r="I12" s="243">
        <v>0</v>
      </c>
      <c r="J12" s="243">
        <v>0</v>
      </c>
      <c r="K12" s="243">
        <v>0</v>
      </c>
      <c r="L12" s="243">
        <v>0</v>
      </c>
      <c r="M12" s="243">
        <v>0</v>
      </c>
      <c r="N12" s="243">
        <v>0</v>
      </c>
      <c r="O12" s="243">
        <v>0</v>
      </c>
      <c r="P12" s="243">
        <v>0</v>
      </c>
      <c r="Q12" s="243">
        <v>0</v>
      </c>
    </row>
    <row r="13" spans="2:17" x14ac:dyDescent="0.25">
      <c r="B13" s="2425" t="s">
        <v>90</v>
      </c>
      <c r="C13" s="2425"/>
      <c r="D13" s="55" t="s">
        <v>7318</v>
      </c>
    </row>
    <row r="14" spans="2:17" x14ac:dyDescent="0.25">
      <c r="B14" s="2425" t="s">
        <v>91</v>
      </c>
      <c r="C14" s="2428"/>
      <c r="D14" s="54" t="s">
        <v>98</v>
      </c>
    </row>
    <row r="15" spans="2:17" ht="56.25" x14ac:dyDescent="0.25">
      <c r="B15" s="2425" t="s">
        <v>93</v>
      </c>
      <c r="C15" s="2425"/>
      <c r="D15" s="49" t="s">
        <v>7632</v>
      </c>
    </row>
    <row r="16" spans="2:17" ht="37.5" x14ac:dyDescent="0.25">
      <c r="B16" s="2425" t="s">
        <v>95</v>
      </c>
      <c r="C16" s="2425"/>
      <c r="D16" s="49" t="s">
        <v>7633</v>
      </c>
    </row>
    <row r="17" spans="2:4" x14ac:dyDescent="0.25">
      <c r="B17" s="2425" t="s">
        <v>97</v>
      </c>
      <c r="C17" s="2425"/>
      <c r="D17" s="55" t="s">
        <v>98</v>
      </c>
    </row>
    <row r="18" spans="2:4" ht="37.5" x14ac:dyDescent="0.25">
      <c r="B18" s="2426" t="s">
        <v>99</v>
      </c>
      <c r="C18" s="2426"/>
      <c r="D18" s="49" t="s">
        <v>7634</v>
      </c>
    </row>
    <row r="19" spans="2:4" ht="17.45" customHeight="1" x14ac:dyDescent="0.25">
      <c r="B19" s="2435" t="s">
        <v>100</v>
      </c>
      <c r="C19" s="2436"/>
      <c r="D19" s="55" t="s">
        <v>7635</v>
      </c>
    </row>
    <row r="20" spans="2:4" x14ac:dyDescent="0.25">
      <c r="B20" s="2425" t="s">
        <v>102</v>
      </c>
      <c r="C20" s="2425"/>
      <c r="D20" s="49" t="s">
        <v>140</v>
      </c>
    </row>
    <row r="21" spans="2:4" x14ac:dyDescent="0.25">
      <c r="B21" s="2432" t="s">
        <v>104</v>
      </c>
      <c r="C21" s="57" t="s">
        <v>105</v>
      </c>
      <c r="D21" s="49"/>
    </row>
    <row r="22" spans="2:4" x14ac:dyDescent="0.25">
      <c r="B22" s="2433"/>
      <c r="C22" s="58" t="s">
        <v>107</v>
      </c>
      <c r="D22" s="55" t="s">
        <v>7636</v>
      </c>
    </row>
    <row r="23" spans="2:4" x14ac:dyDescent="0.25">
      <c r="B23" s="2425" t="s">
        <v>109</v>
      </c>
      <c r="C23" s="2425"/>
      <c r="D23" s="49" t="s">
        <v>143</v>
      </c>
    </row>
    <row r="24" spans="2:4" ht="37.5" x14ac:dyDescent="0.25">
      <c r="B24" s="2425" t="s">
        <v>111</v>
      </c>
      <c r="C24" s="2425"/>
      <c r="D24" s="50" t="s">
        <v>7637</v>
      </c>
    </row>
    <row r="25" spans="2:4" x14ac:dyDescent="0.25">
      <c r="B25" s="2425" t="s">
        <v>113</v>
      </c>
      <c r="C25" s="2425"/>
      <c r="D25" s="55" t="s">
        <v>5577</v>
      </c>
    </row>
    <row r="26" spans="2:4" ht="17.45" customHeight="1" x14ac:dyDescent="0.25">
      <c r="B26" s="2426" t="s">
        <v>115</v>
      </c>
      <c r="C26" s="2426"/>
      <c r="D26" s="49" t="s">
        <v>7638</v>
      </c>
    </row>
    <row r="27" spans="2:4" x14ac:dyDescent="0.25">
      <c r="B27" s="2427" t="s">
        <v>117</v>
      </c>
      <c r="C27" s="2428"/>
      <c r="D27" s="49" t="s">
        <v>7639</v>
      </c>
    </row>
    <row r="28" spans="2:4" ht="75" x14ac:dyDescent="0.25">
      <c r="B28" s="60" t="s">
        <v>118</v>
      </c>
      <c r="C28" s="61"/>
      <c r="D28" s="55" t="s">
        <v>7640</v>
      </c>
    </row>
    <row r="29" spans="2:4" x14ac:dyDescent="0.25">
      <c r="B29" s="2429" t="s">
        <v>120</v>
      </c>
      <c r="C29" s="2430"/>
      <c r="D29" s="244" t="s">
        <v>7641</v>
      </c>
    </row>
    <row r="30" spans="2:4" x14ac:dyDescent="0.25">
      <c r="B30" s="63"/>
      <c r="C30" s="63"/>
      <c r="D30" s="64"/>
    </row>
    <row r="31" spans="2:4" ht="23.25" customHeight="1" x14ac:dyDescent="0.25">
      <c r="B31" s="3514" t="s">
        <v>121</v>
      </c>
      <c r="C31" s="3514"/>
      <c r="D31" s="3514"/>
    </row>
    <row r="32" spans="2:4" x14ac:dyDescent="0.25">
      <c r="B32" s="2427" t="s">
        <v>122</v>
      </c>
      <c r="C32" s="2428"/>
      <c r="D32" s="55" t="s">
        <v>7642</v>
      </c>
    </row>
    <row r="33" spans="2:4" x14ac:dyDescent="0.25">
      <c r="B33" s="2427" t="s">
        <v>124</v>
      </c>
      <c r="C33" s="2428"/>
      <c r="D33" s="55" t="s">
        <v>7643</v>
      </c>
    </row>
    <row r="34" spans="2:4" x14ac:dyDescent="0.25">
      <c r="B34" s="2427" t="s">
        <v>126</v>
      </c>
      <c r="C34" s="2428"/>
      <c r="D34" s="55" t="s">
        <v>368</v>
      </c>
    </row>
    <row r="35" spans="2:4" x14ac:dyDescent="0.25">
      <c r="B35" s="2427" t="s">
        <v>128</v>
      </c>
      <c r="C35" s="2428"/>
      <c r="D35" s="246" t="s">
        <v>7644</v>
      </c>
    </row>
    <row r="36" spans="2:4" x14ac:dyDescent="0.25">
      <c r="B36" s="2427" t="s">
        <v>130</v>
      </c>
      <c r="C36" s="2428"/>
      <c r="D36" s="2190" t="s">
        <v>7645</v>
      </c>
    </row>
    <row r="37" spans="2:4" x14ac:dyDescent="0.25">
      <c r="B37" s="2427" t="s">
        <v>122</v>
      </c>
      <c r="C37" s="2428"/>
      <c r="D37" s="55" t="s">
        <v>7646</v>
      </c>
    </row>
    <row r="38" spans="2:4" x14ac:dyDescent="0.25">
      <c r="B38" s="2427" t="s">
        <v>124</v>
      </c>
      <c r="C38" s="2428"/>
      <c r="D38" s="55" t="s">
        <v>7643</v>
      </c>
    </row>
    <row r="39" spans="2:4" x14ac:dyDescent="0.25">
      <c r="B39" s="2427" t="s">
        <v>126</v>
      </c>
      <c r="C39" s="2428"/>
      <c r="D39" s="55" t="s">
        <v>368</v>
      </c>
    </row>
    <row r="40" spans="2:4" x14ac:dyDescent="0.25">
      <c r="B40" s="2427" t="s">
        <v>128</v>
      </c>
      <c r="C40" s="2428"/>
      <c r="D40" s="246" t="s">
        <v>7644</v>
      </c>
    </row>
    <row r="41" spans="2:4" x14ac:dyDescent="0.25">
      <c r="B41" s="2427" t="s">
        <v>130</v>
      </c>
      <c r="C41" s="2428"/>
      <c r="D41" s="2190" t="s">
        <v>7647</v>
      </c>
    </row>
    <row r="42" spans="2:4" x14ac:dyDescent="0.25">
      <c r="B42" s="2427" t="s">
        <v>122</v>
      </c>
      <c r="C42" s="2428"/>
      <c r="D42" s="55" t="s">
        <v>366</v>
      </c>
    </row>
    <row r="43" spans="2:4" x14ac:dyDescent="0.25">
      <c r="B43" s="2427" t="s">
        <v>124</v>
      </c>
      <c r="C43" s="2428"/>
      <c r="D43" s="55" t="s">
        <v>367</v>
      </c>
    </row>
    <row r="44" spans="2:4" x14ac:dyDescent="0.25">
      <c r="B44" s="2427" t="s">
        <v>126</v>
      </c>
      <c r="C44" s="2428"/>
      <c r="D44" s="55" t="s">
        <v>368</v>
      </c>
    </row>
    <row r="45" spans="2:4" x14ac:dyDescent="0.25">
      <c r="B45" s="2427" t="s">
        <v>128</v>
      </c>
      <c r="C45" s="2428"/>
      <c r="D45" s="246" t="s">
        <v>7648</v>
      </c>
    </row>
    <row r="46" spans="2:4" x14ac:dyDescent="0.25">
      <c r="B46" s="2427" t="s">
        <v>130</v>
      </c>
      <c r="C46" s="2428"/>
      <c r="D46" s="2190" t="s">
        <v>370</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593E158C-1F58-4172-AD4F-370495EA83B5}">
      <formula1>ODS</formula1>
    </dataValidation>
    <dataValidation type="list" allowBlank="1" showInputMessage="1" showErrorMessage="1" sqref="D5" xr:uid="{54FA3003-E58A-4621-9601-8C3BEAFCDD43}">
      <formula1>Metas_ODS</formula1>
    </dataValidation>
    <dataValidation type="list" allowBlank="1" showInputMessage="1" showErrorMessage="1" sqref="D6" xr:uid="{65D4A98A-941C-4B38-9A14-4C0D1C21E57C}">
      <formula1>Numero_indicador</formula1>
    </dataValidation>
    <dataValidation type="list" allowBlank="1" showInputMessage="1" showErrorMessage="1" sqref="D7" xr:uid="{4F2FC45B-DB5D-4FC8-8CFD-8EDA83CD1671}">
      <formula1>Nombre_indicador_ODS</formula1>
    </dataValidation>
    <dataValidation type="list" allowBlank="1" showInputMessage="1" showErrorMessage="1" sqref="D14" xr:uid="{61FB2843-9A50-426D-8EB2-D94B0D5FA094}">
      <formula1>Tipo_indicador</formula1>
    </dataValidation>
    <dataValidation type="list" allowBlank="1" showInputMessage="1" showErrorMessage="1" sqref="D25" xr:uid="{8CFC549C-BD94-4FCB-996C-B9B590CFB13A}">
      <formula1>Tipo_operación</formula1>
    </dataValidation>
  </dataValidations>
  <hyperlinks>
    <hyperlink ref="B1" location="'16.6.2'!A1" display="REGRESAR" xr:uid="{E35F841D-00F9-4A2A-B64D-F671D3C6A154}"/>
    <hyperlink ref="D8" r:id="rId1" xr:uid="{5E065CFD-37D6-44E2-A489-5D56B6308932}"/>
    <hyperlink ref="D29" r:id="rId2" xr:uid="{E8C58EB2-E4C8-464E-9E06-A6846B84C7C2}"/>
    <hyperlink ref="D36" r:id="rId3" xr:uid="{EFFC4A48-EF76-4B90-8CED-F9DADCFCD4D0}"/>
    <hyperlink ref="D46" r:id="rId4" xr:uid="{02597BFF-40BD-4DD3-969A-717B5FECD4E9}"/>
    <hyperlink ref="D41" r:id="rId5" xr:uid="{7778C4F7-7E9C-4216-B58A-029B8F4E0994}"/>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87E2-148F-46DB-8C6B-642E70C3F476}">
  <dimension ref="A1:S48"/>
  <sheetViews>
    <sheetView showGridLines="0" zoomScaleNormal="100" workbookViewId="0">
      <pane ySplit="1" topLeftCell="A2" activePane="bottomLeft" state="frozen"/>
      <selection sqref="A1:B1"/>
      <selection pane="bottomLeft"/>
    </sheetView>
  </sheetViews>
  <sheetFormatPr baseColWidth="10" defaultColWidth="11.42578125" defaultRowHeight="18.75" x14ac:dyDescent="0.4"/>
  <cols>
    <col min="1" max="1" width="15.42578125" style="115" customWidth="1"/>
    <col min="2" max="2" width="15.42578125" style="1048" customWidth="1"/>
    <col min="3" max="3" width="7.7109375" style="115" customWidth="1"/>
    <col min="4" max="4" width="7.42578125" style="115" customWidth="1"/>
    <col min="5" max="6" width="11.42578125" style="115"/>
    <col min="7" max="7" width="0.7109375" style="115" customWidth="1"/>
    <col min="8" max="8" width="10.7109375" style="115" customWidth="1"/>
    <col min="9" max="9" width="10.28515625" style="115" customWidth="1"/>
    <col min="10" max="29" width="11.42578125" style="115" customWidth="1"/>
    <col min="30" max="16384" width="11.42578125" style="115"/>
  </cols>
  <sheetData>
    <row r="1" spans="1:19" x14ac:dyDescent="0.4">
      <c r="A1" s="90" t="s">
        <v>39</v>
      </c>
      <c r="C1" s="2541" t="s">
        <v>149</v>
      </c>
      <c r="D1" s="2541"/>
      <c r="E1" s="2541"/>
    </row>
    <row r="2" spans="1:19" ht="17.25" customHeight="1" x14ac:dyDescent="0.4"/>
    <row r="3" spans="1:19" ht="35.450000000000003" customHeight="1" x14ac:dyDescent="0.4">
      <c r="A3" s="3508" t="s">
        <v>41</v>
      </c>
      <c r="B3" s="3510"/>
      <c r="C3" s="3520" t="s">
        <v>7281</v>
      </c>
      <c r="D3" s="3529"/>
      <c r="E3" s="3529"/>
      <c r="F3" s="3529"/>
      <c r="G3" s="3529"/>
      <c r="H3" s="3529"/>
      <c r="I3" s="3529"/>
      <c r="J3" s="3529"/>
      <c r="K3" s="3529"/>
      <c r="L3" s="3529"/>
      <c r="M3" s="3529"/>
      <c r="N3" s="3529"/>
      <c r="O3" s="3529"/>
      <c r="P3" s="3529"/>
      <c r="Q3" s="3529"/>
      <c r="R3" s="3529"/>
      <c r="S3" s="3529"/>
    </row>
    <row r="4" spans="1:19" ht="19.5" x14ac:dyDescent="0.4">
      <c r="A4" s="3508" t="s">
        <v>42</v>
      </c>
      <c r="B4" s="3519"/>
      <c r="C4" s="3528" t="s">
        <v>7320</v>
      </c>
      <c r="D4" s="3531"/>
      <c r="E4" s="3531"/>
      <c r="F4" s="3531"/>
      <c r="G4" s="3531"/>
      <c r="H4" s="3531"/>
      <c r="I4" s="3531"/>
      <c r="J4" s="3531"/>
      <c r="K4" s="3531"/>
      <c r="L4" s="3531"/>
      <c r="M4" s="3531"/>
      <c r="N4" s="3531"/>
      <c r="O4" s="3531"/>
      <c r="P4" s="3531"/>
      <c r="Q4" s="3531"/>
      <c r="R4" s="3531"/>
      <c r="S4" s="3531"/>
    </row>
    <row r="5" spans="1:19" ht="35.450000000000003" customHeight="1" x14ac:dyDescent="0.4">
      <c r="A5" s="3508" t="s">
        <v>43</v>
      </c>
      <c r="B5" s="3519"/>
      <c r="C5" s="3527" t="s">
        <v>7649</v>
      </c>
      <c r="D5" s="3534"/>
      <c r="E5" s="3534"/>
      <c r="F5" s="3534"/>
      <c r="G5" s="3534"/>
      <c r="H5" s="3534"/>
      <c r="I5" s="3534"/>
      <c r="J5" s="3534"/>
      <c r="K5" s="3534"/>
      <c r="L5" s="3534"/>
      <c r="M5" s="3534"/>
      <c r="N5" s="3534"/>
      <c r="O5" s="3534"/>
      <c r="P5" s="3534"/>
      <c r="Q5" s="3534"/>
      <c r="R5" s="3534"/>
      <c r="S5" s="3534"/>
    </row>
    <row r="6" spans="1:19" ht="19.5" x14ac:dyDescent="0.4">
      <c r="A6" s="3508" t="s">
        <v>132</v>
      </c>
      <c r="B6" s="3519"/>
      <c r="C6" s="3528" t="s">
        <v>7650</v>
      </c>
      <c r="D6" s="3531"/>
      <c r="E6" s="3531"/>
      <c r="F6" s="3531"/>
      <c r="G6" s="3531"/>
      <c r="H6" s="3531"/>
      <c r="I6" s="3531"/>
      <c r="J6" s="3531"/>
      <c r="K6" s="3531"/>
      <c r="L6" s="3531"/>
      <c r="M6" s="3531"/>
      <c r="N6" s="3531"/>
      <c r="O6" s="3531"/>
      <c r="P6" s="3531"/>
      <c r="Q6" s="3531"/>
      <c r="R6" s="3531"/>
      <c r="S6" s="3531"/>
    </row>
    <row r="9" spans="1:19" ht="19.5" x14ac:dyDescent="0.4">
      <c r="C9" s="187" t="s">
        <v>7651</v>
      </c>
      <c r="D9" s="187"/>
      <c r="E9" s="187"/>
      <c r="F9" s="187"/>
      <c r="G9" s="187"/>
      <c r="H9" s="187"/>
      <c r="I9" s="187"/>
      <c r="L9" s="800" t="s">
        <v>8167</v>
      </c>
      <c r="M9" s="1032"/>
      <c r="N9" s="1032"/>
      <c r="O9" s="1032"/>
      <c r="P9" s="1032"/>
      <c r="Q9" s="1032"/>
      <c r="R9" s="1032"/>
    </row>
    <row r="10" spans="1:19" ht="19.5" x14ac:dyDescent="0.4">
      <c r="C10" s="800" t="s">
        <v>7652</v>
      </c>
      <c r="D10" s="800"/>
      <c r="E10" s="800"/>
      <c r="F10" s="800"/>
      <c r="G10" s="800"/>
      <c r="H10" s="800"/>
      <c r="I10" s="800"/>
      <c r="L10" s="800"/>
      <c r="M10" s="1032"/>
      <c r="N10" s="1032"/>
      <c r="O10" s="1032"/>
      <c r="P10" s="1032"/>
      <c r="Q10" s="1032"/>
      <c r="R10" s="1032"/>
    </row>
    <row r="11" spans="1:19" ht="18" customHeight="1" x14ac:dyDescent="0.4">
      <c r="C11" s="1034"/>
      <c r="D11" s="1034"/>
      <c r="E11" s="1034"/>
      <c r="F11" s="1034"/>
      <c r="G11" s="1034"/>
      <c r="H11" s="1034"/>
      <c r="I11" s="1034"/>
      <c r="L11" s="470"/>
    </row>
    <row r="12" spans="1:19" x14ac:dyDescent="0.4">
      <c r="C12" s="3526" t="s">
        <v>46</v>
      </c>
      <c r="D12" s="3526" t="s">
        <v>47</v>
      </c>
      <c r="E12" s="3505" t="s">
        <v>2764</v>
      </c>
      <c r="F12" s="3505"/>
      <c r="G12" s="2191"/>
      <c r="H12" s="3505" t="s">
        <v>5123</v>
      </c>
      <c r="I12" s="3505"/>
    </row>
    <row r="13" spans="1:19" x14ac:dyDescent="0.4">
      <c r="C13" s="3507"/>
      <c r="D13" s="3507"/>
      <c r="E13" s="2192" t="s">
        <v>7653</v>
      </c>
      <c r="F13" s="2192" t="s">
        <v>895</v>
      </c>
      <c r="G13" s="2192"/>
      <c r="H13" s="2192" t="s">
        <v>1433</v>
      </c>
      <c r="I13" s="2192" t="s">
        <v>7654</v>
      </c>
    </row>
    <row r="14" spans="1:19" x14ac:dyDescent="0.4">
      <c r="C14" s="198">
        <v>1991</v>
      </c>
      <c r="D14" s="1446">
        <v>18.167302559264236</v>
      </c>
      <c r="E14" s="1446">
        <v>15.70674724878225</v>
      </c>
      <c r="F14" s="1446">
        <v>23.762680880716012</v>
      </c>
      <c r="G14" s="1446"/>
      <c r="H14" s="1446">
        <v>24.433234746230823</v>
      </c>
      <c r="I14" s="1446">
        <v>10.338445595854923</v>
      </c>
    </row>
    <row r="15" spans="1:19" x14ac:dyDescent="0.4">
      <c r="C15" s="198">
        <v>1992</v>
      </c>
      <c r="D15" s="1446">
        <v>18.073181096175244</v>
      </c>
      <c r="E15" s="1446">
        <v>15.39586280555905</v>
      </c>
      <c r="F15" s="1446">
        <v>24.144375453029074</v>
      </c>
      <c r="G15" s="1446"/>
      <c r="H15" s="1446">
        <v>25.208064658245288</v>
      </c>
      <c r="I15" s="1446">
        <v>9.1354972325797004</v>
      </c>
    </row>
    <row r="16" spans="1:19" x14ac:dyDescent="0.4">
      <c r="C16" s="198">
        <v>1993</v>
      </c>
      <c r="D16" s="1446">
        <v>18.005091063365555</v>
      </c>
      <c r="E16" s="1446">
        <v>15.293785083566968</v>
      </c>
      <c r="F16" s="1446">
        <v>24.064316736783343</v>
      </c>
      <c r="G16" s="1446"/>
      <c r="H16" s="1446">
        <v>24.103398755385353</v>
      </c>
      <c r="I16" s="1446">
        <v>9.8715422590410569</v>
      </c>
    </row>
    <row r="17" spans="3:12" x14ac:dyDescent="0.4">
      <c r="C17" s="198">
        <v>1994</v>
      </c>
      <c r="D17" s="1446">
        <v>17.686912163239281</v>
      </c>
      <c r="E17" s="1446">
        <v>15.32336685863647</v>
      </c>
      <c r="F17" s="1446">
        <v>22.857186851202194</v>
      </c>
      <c r="G17" s="1446"/>
      <c r="H17" s="1446">
        <v>22.975385958406935</v>
      </c>
      <c r="I17" s="1446">
        <v>10.126347046522865</v>
      </c>
    </row>
    <row r="18" spans="3:12" x14ac:dyDescent="0.4">
      <c r="C18" s="198">
        <v>1995</v>
      </c>
      <c r="D18" s="1446">
        <v>17.488472165179406</v>
      </c>
      <c r="E18" s="1446">
        <v>14.768707653873292</v>
      </c>
      <c r="F18" s="1446">
        <v>23.301591640106793</v>
      </c>
      <c r="G18" s="1446"/>
      <c r="H18" s="1446">
        <v>22.567665758401454</v>
      </c>
      <c r="I18" s="1446">
        <v>9.8857218324904252</v>
      </c>
    </row>
    <row r="19" spans="3:12" x14ac:dyDescent="0.4">
      <c r="C19" s="198">
        <v>1996</v>
      </c>
      <c r="D19" s="1446">
        <v>17.546302818809405</v>
      </c>
      <c r="E19" s="1446">
        <v>13.702727174364904</v>
      </c>
      <c r="F19" s="1446">
        <v>25.701595188094934</v>
      </c>
      <c r="G19" s="1446"/>
      <c r="H19" s="1446">
        <v>22.318065833120691</v>
      </c>
      <c r="I19" s="1446">
        <v>10.184204621059719</v>
      </c>
    </row>
    <row r="20" spans="3:12" x14ac:dyDescent="0.4">
      <c r="C20" s="198">
        <v>1997</v>
      </c>
      <c r="D20" s="1446">
        <v>17.798125110720367</v>
      </c>
      <c r="E20" s="1446">
        <v>13.592386149039676</v>
      </c>
      <c r="F20" s="1446">
        <v>26.451602795099177</v>
      </c>
      <c r="G20" s="1446"/>
      <c r="H20" s="1446">
        <v>23.154935413808868</v>
      </c>
      <c r="I20" s="1446">
        <v>9.2494764805813254</v>
      </c>
    </row>
    <row r="21" spans="3:12" x14ac:dyDescent="0.4">
      <c r="C21" s="198">
        <v>1998</v>
      </c>
      <c r="D21" s="1446">
        <v>17.580707922453414</v>
      </c>
      <c r="E21" s="1446">
        <v>13.599606923210086</v>
      </c>
      <c r="F21" s="1446">
        <v>25.379741694419629</v>
      </c>
      <c r="G21" s="1446"/>
      <c r="H21" s="1446">
        <v>21.999133513340833</v>
      </c>
      <c r="I21" s="1446">
        <v>10.144521921336915</v>
      </c>
    </row>
    <row r="22" spans="3:12" x14ac:dyDescent="0.4">
      <c r="C22" s="198">
        <v>1999</v>
      </c>
      <c r="D22" s="1446">
        <v>15.360950646054199</v>
      </c>
      <c r="E22" s="1446">
        <v>12.200160799438772</v>
      </c>
      <c r="F22" s="1446">
        <v>21.336311259128955</v>
      </c>
      <c r="G22" s="1446"/>
      <c r="H22" s="1446">
        <v>18.608153039420923</v>
      </c>
      <c r="I22" s="1446">
        <v>9.813939965221385</v>
      </c>
    </row>
    <row r="23" spans="3:12" x14ac:dyDescent="0.4">
      <c r="C23" s="198">
        <v>2000</v>
      </c>
      <c r="D23" s="1446">
        <v>16.878783796580962</v>
      </c>
      <c r="E23" s="1446">
        <v>13.646421475011064</v>
      </c>
      <c r="F23" s="1446">
        <v>23.549760021576603</v>
      </c>
      <c r="G23" s="1446"/>
      <c r="H23" s="1446">
        <v>20.49627915235072</v>
      </c>
      <c r="I23" s="1446">
        <v>10.383688261909512</v>
      </c>
    </row>
    <row r="24" spans="3:12" x14ac:dyDescent="0.4">
      <c r="C24" s="198">
        <v>2001</v>
      </c>
      <c r="D24" s="1446">
        <v>16.32472447536226</v>
      </c>
      <c r="E24" s="1446">
        <v>12.726085894855037</v>
      </c>
      <c r="F24" s="1446">
        <v>23.17776890883993</v>
      </c>
      <c r="G24" s="1446"/>
      <c r="H24" s="1446">
        <v>19.767653441063572</v>
      </c>
      <c r="I24" s="1446">
        <v>9.8947996312564399</v>
      </c>
    </row>
    <row r="25" spans="3:12" x14ac:dyDescent="0.4">
      <c r="C25" s="198">
        <v>2002</v>
      </c>
      <c r="D25" s="1446">
        <v>16.213692005999523</v>
      </c>
      <c r="E25" s="1446">
        <v>12.050165991799826</v>
      </c>
      <c r="F25" s="1446">
        <v>24.090442335256324</v>
      </c>
      <c r="G25" s="1446"/>
      <c r="H25" s="1446">
        <v>19.674061216114865</v>
      </c>
      <c r="I25" s="1446">
        <v>9.6882482912718775</v>
      </c>
      <c r="L25" s="115" t="s">
        <v>8160</v>
      </c>
    </row>
    <row r="26" spans="3:12" x14ac:dyDescent="0.4">
      <c r="C26" s="198">
        <v>2003</v>
      </c>
      <c r="D26" s="1446">
        <v>16.294513715116985</v>
      </c>
      <c r="E26" s="1446">
        <v>12.147371708894482</v>
      </c>
      <c r="F26" s="1446">
        <v>23.926465416970977</v>
      </c>
      <c r="G26" s="1446"/>
      <c r="H26" s="1446">
        <v>19.458605861889506</v>
      </c>
      <c r="I26" s="1446">
        <v>9.9631134729603001</v>
      </c>
    </row>
    <row r="27" spans="3:12" x14ac:dyDescent="0.4">
      <c r="C27" s="198">
        <v>2004</v>
      </c>
      <c r="D27" s="1446">
        <v>16.293447113221589</v>
      </c>
      <c r="E27" s="1446">
        <v>12.464761891063905</v>
      </c>
      <c r="F27" s="1446">
        <v>23.649228611742927</v>
      </c>
      <c r="G27" s="1446"/>
      <c r="H27" s="1446">
        <v>19.031595776899728</v>
      </c>
      <c r="I27" s="1446">
        <v>10.695728080200864</v>
      </c>
    </row>
    <row r="28" spans="3:12" x14ac:dyDescent="0.4">
      <c r="C28" s="198">
        <v>2005</v>
      </c>
      <c r="D28" s="1446">
        <v>16.669016890273657</v>
      </c>
      <c r="E28" s="1446">
        <v>12.59145274023229</v>
      </c>
      <c r="F28" s="1446">
        <v>24.152056339726393</v>
      </c>
      <c r="G28" s="1446"/>
      <c r="H28" s="1446">
        <v>19.573688472009906</v>
      </c>
      <c r="I28" s="1446">
        <v>10.534234695476821</v>
      </c>
    </row>
    <row r="29" spans="3:12" x14ac:dyDescent="0.4">
      <c r="C29" s="198">
        <v>2006</v>
      </c>
      <c r="D29" s="1446">
        <v>17.03734804037121</v>
      </c>
      <c r="E29" s="1446">
        <v>13.056491999717101</v>
      </c>
      <c r="F29" s="1446">
        <v>24.273422649929753</v>
      </c>
      <c r="G29" s="1446"/>
      <c r="H29" s="1446">
        <v>19.861318732210002</v>
      </c>
      <c r="I29" s="1446">
        <v>10.762809743805125</v>
      </c>
    </row>
    <row r="30" spans="3:12" x14ac:dyDescent="0.4">
      <c r="C30" s="198">
        <v>2007</v>
      </c>
      <c r="D30" s="1446">
        <v>15.908750545999126</v>
      </c>
      <c r="E30" s="1446">
        <v>12.230954770615469</v>
      </c>
      <c r="F30" s="1446">
        <v>22.51701570680628</v>
      </c>
      <c r="G30" s="1446"/>
      <c r="H30" s="1446">
        <v>18.499897700272253</v>
      </c>
      <c r="I30" s="1446">
        <v>9.9656092539879904</v>
      </c>
    </row>
    <row r="31" spans="3:12" x14ac:dyDescent="0.4">
      <c r="C31" s="198">
        <v>2008</v>
      </c>
      <c r="D31" s="1446">
        <v>15.704332579707469</v>
      </c>
      <c r="E31" s="1446">
        <v>12.088978079101926</v>
      </c>
      <c r="F31" s="1446">
        <v>21.873382736330349</v>
      </c>
      <c r="G31" s="1446"/>
      <c r="H31" s="1446">
        <v>17.88412552791117</v>
      </c>
      <c r="I31" s="1446">
        <v>10.36083778489871</v>
      </c>
    </row>
    <row r="32" spans="3:12" x14ac:dyDescent="0.4">
      <c r="C32" s="198">
        <v>2009</v>
      </c>
      <c r="D32" s="1446">
        <v>17.981559762615575</v>
      </c>
      <c r="E32" s="1446">
        <v>14.126641553517244</v>
      </c>
      <c r="F32" s="1446">
        <v>24.465734871276794</v>
      </c>
      <c r="G32" s="1446"/>
      <c r="H32" s="1446">
        <v>20.406113737024619</v>
      </c>
      <c r="I32" s="1446">
        <v>11.642272834385018</v>
      </c>
    </row>
    <row r="33" spans="2:9" x14ac:dyDescent="0.4">
      <c r="C33" s="198">
        <v>2010</v>
      </c>
      <c r="D33" s="1446">
        <v>16.396024960663226</v>
      </c>
      <c r="E33" s="1446">
        <v>14.077124993093634</v>
      </c>
      <c r="F33" s="1446">
        <v>20.39995191365886</v>
      </c>
      <c r="G33" s="1446"/>
      <c r="H33" s="1446">
        <v>17.775589847507192</v>
      </c>
      <c r="I33" s="1446">
        <v>12.058445817945771</v>
      </c>
    </row>
    <row r="34" spans="2:9" x14ac:dyDescent="0.4">
      <c r="C34" s="198">
        <v>2011</v>
      </c>
      <c r="D34" s="1446">
        <v>16.625741111252083</v>
      </c>
      <c r="E34" s="1446">
        <v>13.502420300044809</v>
      </c>
      <c r="F34" s="1446">
        <v>22.171961741940834</v>
      </c>
      <c r="G34" s="1446"/>
      <c r="H34" s="1446">
        <v>18.009794567780411</v>
      </c>
      <c r="I34" s="1446">
        <v>12.34746424723717</v>
      </c>
    </row>
    <row r="35" spans="2:9" x14ac:dyDescent="0.4">
      <c r="C35" s="198">
        <v>2012</v>
      </c>
      <c r="D35" s="1446">
        <v>15.550950786750899</v>
      </c>
      <c r="E35" s="1446">
        <v>12.891036767682092</v>
      </c>
      <c r="F35" s="1446">
        <v>19.837723035330598</v>
      </c>
      <c r="G35" s="1446"/>
      <c r="H35" s="1446">
        <v>16.789632569873426</v>
      </c>
      <c r="I35" s="1446">
        <v>11.727284999238442</v>
      </c>
    </row>
    <row r="36" spans="2:9" x14ac:dyDescent="0.4">
      <c r="C36" s="198">
        <v>2013</v>
      </c>
      <c r="D36" s="1446">
        <v>15.264554093569888</v>
      </c>
      <c r="E36" s="1446">
        <v>12.245050719649313</v>
      </c>
      <c r="F36" s="1446">
        <v>20.072035197685377</v>
      </c>
      <c r="G36" s="1446"/>
      <c r="H36" s="1446">
        <v>16.595132237049718</v>
      </c>
      <c r="I36" s="1446">
        <v>11.307825401993041</v>
      </c>
    </row>
    <row r="37" spans="2:9" x14ac:dyDescent="0.4">
      <c r="C37" s="198">
        <v>2014</v>
      </c>
      <c r="D37" s="1446">
        <v>14.325915164313583</v>
      </c>
      <c r="E37" s="1446">
        <v>11.994223265813636</v>
      </c>
      <c r="F37" s="1446">
        <v>18.128705147888507</v>
      </c>
      <c r="G37" s="1446"/>
      <c r="H37" s="1446">
        <v>15.416365162856392</v>
      </c>
      <c r="I37" s="1446">
        <v>10.972234112732473</v>
      </c>
    </row>
    <row r="38" spans="2:9" x14ac:dyDescent="0.4">
      <c r="C38" s="198">
        <v>2015</v>
      </c>
      <c r="D38" s="1446">
        <v>13.25364326000336</v>
      </c>
      <c r="E38" s="1446">
        <v>10.910563004746924</v>
      </c>
      <c r="F38" s="1446">
        <v>17.092500021245176</v>
      </c>
      <c r="G38" s="1446"/>
      <c r="H38" s="1446">
        <v>14.409267499523592</v>
      </c>
      <c r="I38" s="1446">
        <v>9.7250223154293671</v>
      </c>
    </row>
    <row r="39" spans="2:9" x14ac:dyDescent="0.4">
      <c r="C39" s="198">
        <v>2016</v>
      </c>
      <c r="D39" s="1446">
        <v>13.686734764853849</v>
      </c>
      <c r="E39" s="1446">
        <v>11.081280376884736</v>
      </c>
      <c r="F39" s="1446">
        <v>18.179984481474747</v>
      </c>
      <c r="G39" s="1446"/>
      <c r="H39" s="1446">
        <v>14.960718132902327</v>
      </c>
      <c r="I39" s="1446">
        <v>9.92618991000551</v>
      </c>
    </row>
    <row r="40" spans="2:9" x14ac:dyDescent="0.4">
      <c r="C40" s="198">
        <v>2017</v>
      </c>
      <c r="D40" s="1446">
        <v>14.265710674304172</v>
      </c>
      <c r="E40" s="1446">
        <v>11.776279770710273</v>
      </c>
      <c r="F40" s="1446">
        <v>18.569808819367044</v>
      </c>
      <c r="G40" s="1446"/>
      <c r="H40" s="1446">
        <v>15.430056957896648</v>
      </c>
      <c r="I40" s="1446">
        <v>10.848835608982519</v>
      </c>
    </row>
    <row r="41" spans="2:9" x14ac:dyDescent="0.4">
      <c r="C41" s="198">
        <v>2018</v>
      </c>
      <c r="D41" s="1446">
        <v>12.679964242738432</v>
      </c>
      <c r="E41" s="1446">
        <v>10.424950394071939</v>
      </c>
      <c r="F41" s="1446">
        <v>16.479798340110818</v>
      </c>
      <c r="G41" s="1446"/>
      <c r="H41" s="1446">
        <v>13.37578839813616</v>
      </c>
      <c r="I41" s="1446">
        <v>10.653437113498274</v>
      </c>
    </row>
    <row r="42" spans="2:9" x14ac:dyDescent="0.4">
      <c r="C42" s="198">
        <v>2019</v>
      </c>
      <c r="D42" s="1446">
        <v>13.885121497973884</v>
      </c>
      <c r="E42" s="1446">
        <v>11.163590875230158</v>
      </c>
      <c r="F42" s="1446">
        <v>18.201581456482007</v>
      </c>
      <c r="G42" s="1446"/>
      <c r="H42" s="1446">
        <v>15.010300378540645</v>
      </c>
      <c r="I42" s="1446">
        <v>10.578423574268079</v>
      </c>
    </row>
    <row r="43" spans="2:9" x14ac:dyDescent="0.4">
      <c r="C43" s="198">
        <v>2020</v>
      </c>
      <c r="D43" s="1446">
        <v>14.9</v>
      </c>
      <c r="E43" s="1446">
        <v>11.2</v>
      </c>
      <c r="F43" s="1446">
        <v>21.2</v>
      </c>
      <c r="G43" s="1446"/>
      <c r="H43" s="1446">
        <v>15.9</v>
      </c>
      <c r="I43" s="1446">
        <v>12</v>
      </c>
    </row>
    <row r="44" spans="2:9" x14ac:dyDescent="0.4">
      <c r="C44" s="198">
        <v>2021</v>
      </c>
      <c r="D44" s="1446">
        <v>13.687940967687535</v>
      </c>
      <c r="E44" s="1446">
        <v>10.219281561798612</v>
      </c>
      <c r="F44" s="1446">
        <v>19.446569981276077</v>
      </c>
      <c r="G44" s="1446"/>
      <c r="H44" s="1446">
        <v>14.456967204691363</v>
      </c>
      <c r="I44" s="1446">
        <v>11.43665527002719</v>
      </c>
    </row>
    <row r="45" spans="2:9" x14ac:dyDescent="0.4">
      <c r="C45" s="198">
        <v>2022</v>
      </c>
      <c r="D45" s="1446">
        <v>12.878204026478329</v>
      </c>
      <c r="E45" s="1446">
        <v>9.2917793866987761</v>
      </c>
      <c r="F45" s="1446">
        <v>18.630550440251874</v>
      </c>
      <c r="G45" s="1446"/>
      <c r="H45" s="1446">
        <v>13.348839307800853</v>
      </c>
      <c r="I45" s="1446">
        <v>11.49650197613113</v>
      </c>
    </row>
    <row r="46" spans="2:9" x14ac:dyDescent="0.4">
      <c r="C46" s="198">
        <v>2023</v>
      </c>
      <c r="D46" s="1446">
        <v>13.776945096244889</v>
      </c>
      <c r="E46" s="1446">
        <v>10.280185136071591</v>
      </c>
      <c r="F46" s="1446">
        <v>19.673088654722854</v>
      </c>
      <c r="G46" s="1446"/>
      <c r="H46" s="1446">
        <v>14.551731416608909</v>
      </c>
      <c r="I46" s="1446">
        <v>11.551288272674755</v>
      </c>
    </row>
    <row r="47" spans="2:9" s="2371" customFormat="1" x14ac:dyDescent="0.4">
      <c r="B47" s="1048"/>
      <c r="C47" s="538">
        <v>2024</v>
      </c>
      <c r="D47" s="2403">
        <v>14.30427703035558</v>
      </c>
      <c r="E47" s="2403">
        <v>10.677260009547265</v>
      </c>
      <c r="F47" s="2403">
        <v>19.982912789348681</v>
      </c>
      <c r="G47" s="2403"/>
      <c r="H47" s="2403">
        <v>14.875470184807426</v>
      </c>
      <c r="I47" s="2403">
        <v>12.604378086169488</v>
      </c>
    </row>
    <row r="48" spans="2:9" x14ac:dyDescent="0.4">
      <c r="C48" s="1534" t="s">
        <v>8166</v>
      </c>
      <c r="D48" s="1534"/>
      <c r="E48" s="1534"/>
      <c r="F48" s="1534"/>
      <c r="G48" s="1534"/>
      <c r="H48" s="1534"/>
      <c r="I48" s="1534"/>
    </row>
  </sheetData>
  <mergeCells count="13">
    <mergeCell ref="A5:B5"/>
    <mergeCell ref="C5:S5"/>
    <mergeCell ref="C1:E1"/>
    <mergeCell ref="A3:B3"/>
    <mergeCell ref="C3:S3"/>
    <mergeCell ref="A4:B4"/>
    <mergeCell ref="C4:S4"/>
    <mergeCell ref="A6:B6"/>
    <mergeCell ref="C6:S6"/>
    <mergeCell ref="C12:C13"/>
    <mergeCell ref="D12:D13"/>
    <mergeCell ref="E12:F12"/>
    <mergeCell ref="H12:I12"/>
  </mergeCells>
  <hyperlinks>
    <hyperlink ref="A1" location="'ODS 16.'!A1" display="REGRESAR" xr:uid="{9304240C-96B1-484B-BA95-B72A67AAB7BB}"/>
    <hyperlink ref="C1:D1" location="'Metadato 16.7.1'!A1" display="VER METADATO" xr:uid="{630C7353-5AB9-4034-8D90-F5575B9A568D}"/>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F5E5-1715-4821-BA2D-687F32B3A933}">
  <sheetPr>
    <tabColor theme="5"/>
  </sheetPr>
  <dimension ref="A1:Q29"/>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28515625" style="16" customWidth="1"/>
    <col min="3" max="3" width="12.28515625" style="218" customWidth="1"/>
    <col min="4" max="5" width="12.28515625" style="16" customWidth="1"/>
    <col min="6" max="16384" width="11.42578125" style="16"/>
  </cols>
  <sheetData>
    <row r="1" spans="1:17" x14ac:dyDescent="0.4">
      <c r="A1" s="68" t="s">
        <v>39</v>
      </c>
      <c r="B1" s="161"/>
      <c r="C1" s="2421" t="s">
        <v>149</v>
      </c>
      <c r="D1" s="2421"/>
    </row>
    <row r="3" spans="1:17" x14ac:dyDescent="0.4">
      <c r="A3" s="2508" t="s">
        <v>41</v>
      </c>
      <c r="B3" s="2508"/>
      <c r="C3" s="2508" t="s">
        <v>396</v>
      </c>
      <c r="D3" s="2508"/>
      <c r="E3" s="2508"/>
      <c r="F3" s="2508"/>
      <c r="G3" s="2508"/>
      <c r="H3" s="2508"/>
      <c r="I3" s="2508"/>
      <c r="J3" s="2508"/>
      <c r="K3" s="2508"/>
      <c r="L3" s="2508"/>
      <c r="M3" s="2508"/>
      <c r="N3" s="2508"/>
      <c r="O3" s="2508"/>
      <c r="P3" s="2508"/>
      <c r="Q3" s="2508"/>
    </row>
    <row r="4" spans="1:17" ht="54" customHeight="1" x14ac:dyDescent="0.4">
      <c r="A4" s="2508" t="s">
        <v>42</v>
      </c>
      <c r="B4" s="2508"/>
      <c r="C4" s="2509" t="s">
        <v>417</v>
      </c>
      <c r="D4" s="2509"/>
      <c r="E4" s="2509"/>
      <c r="F4" s="2509"/>
      <c r="G4" s="2509"/>
      <c r="H4" s="2509"/>
      <c r="I4" s="2509"/>
      <c r="J4" s="2509"/>
      <c r="K4" s="2509"/>
      <c r="L4" s="2509"/>
      <c r="M4" s="2509"/>
      <c r="N4" s="2509"/>
      <c r="O4" s="2509"/>
      <c r="P4" s="2509"/>
      <c r="Q4" s="2509"/>
    </row>
    <row r="5" spans="1:17" ht="16.5" customHeight="1" x14ac:dyDescent="0.4">
      <c r="A5" s="2508" t="s">
        <v>43</v>
      </c>
      <c r="B5" s="2508"/>
      <c r="C5" s="2508" t="s">
        <v>421</v>
      </c>
      <c r="D5" s="2508"/>
      <c r="E5" s="2508"/>
      <c r="F5" s="2508"/>
      <c r="G5" s="2508"/>
      <c r="H5" s="2508"/>
      <c r="I5" s="2508"/>
      <c r="J5" s="2508"/>
      <c r="K5" s="2508"/>
      <c r="L5" s="2508"/>
      <c r="M5" s="2508"/>
      <c r="N5" s="2508"/>
      <c r="O5" s="2508"/>
      <c r="P5" s="2508"/>
      <c r="Q5" s="2508"/>
    </row>
    <row r="6" spans="1:17" x14ac:dyDescent="0.4">
      <c r="A6" s="2508" t="s">
        <v>132</v>
      </c>
      <c r="B6" s="2508"/>
      <c r="C6" s="2508" t="s">
        <v>242</v>
      </c>
      <c r="D6" s="2508"/>
      <c r="E6" s="2508"/>
      <c r="F6" s="2508"/>
      <c r="G6" s="2508"/>
      <c r="H6" s="2508"/>
      <c r="I6" s="2508"/>
      <c r="J6" s="2508"/>
      <c r="K6" s="2508"/>
      <c r="L6" s="2508"/>
      <c r="M6" s="2508"/>
      <c r="N6" s="2508"/>
      <c r="O6" s="2508"/>
      <c r="P6" s="2508"/>
      <c r="Q6" s="2508"/>
    </row>
    <row r="7" spans="1:17" x14ac:dyDescent="0.4">
      <c r="A7" s="217"/>
    </row>
    <row r="8" spans="1:17" x14ac:dyDescent="0.4">
      <c r="A8" s="217"/>
    </row>
    <row r="9" spans="1:17" ht="11.25" customHeight="1" x14ac:dyDescent="0.4">
      <c r="A9" s="217"/>
      <c r="C9" s="2506" t="s">
        <v>243</v>
      </c>
      <c r="D9" s="2506"/>
      <c r="E9" s="2506"/>
      <c r="F9" s="2506"/>
      <c r="G9" s="2506"/>
      <c r="H9" s="2506"/>
      <c r="I9" s="2506"/>
      <c r="J9" s="2506"/>
      <c r="K9" s="2506"/>
      <c r="L9" s="2506"/>
      <c r="M9" s="2506"/>
      <c r="N9" s="2506"/>
      <c r="O9" s="2506"/>
      <c r="P9" s="2506"/>
      <c r="Q9" s="2506"/>
    </row>
    <row r="10" spans="1:17" ht="11.25" customHeight="1" x14ac:dyDescent="0.4">
      <c r="A10" s="217"/>
      <c r="C10" s="2506"/>
      <c r="D10" s="2506"/>
      <c r="E10" s="2506"/>
      <c r="F10" s="2506"/>
      <c r="G10" s="2506"/>
      <c r="H10" s="2506"/>
      <c r="I10" s="2506"/>
      <c r="J10" s="2506"/>
      <c r="K10" s="2506"/>
      <c r="L10" s="2506"/>
      <c r="M10" s="2506"/>
      <c r="N10" s="2506"/>
      <c r="O10" s="2506"/>
      <c r="P10" s="2506"/>
      <c r="Q10" s="2506"/>
    </row>
    <row r="11" spans="1:17" x14ac:dyDescent="0.4">
      <c r="A11" s="217"/>
    </row>
    <row r="12" spans="1:17" x14ac:dyDescent="0.4">
      <c r="A12" s="217"/>
    </row>
    <row r="13" spans="1:17" x14ac:dyDescent="0.4">
      <c r="A13" s="217"/>
    </row>
    <row r="14" spans="1:17" x14ac:dyDescent="0.4">
      <c r="A14" s="217"/>
    </row>
    <row r="15" spans="1:17" x14ac:dyDescent="0.4">
      <c r="A15" s="217"/>
    </row>
    <row r="16" spans="1:17" x14ac:dyDescent="0.4">
      <c r="A16" s="217"/>
    </row>
    <row r="17" spans="1:1" x14ac:dyDescent="0.4">
      <c r="A17" s="217"/>
    </row>
    <row r="18" spans="1:1" x14ac:dyDescent="0.4">
      <c r="A18" s="217"/>
    </row>
    <row r="19" spans="1:1" x14ac:dyDescent="0.4">
      <c r="A19" s="217"/>
    </row>
    <row r="20" spans="1:1" x14ac:dyDescent="0.4">
      <c r="A20" s="217"/>
    </row>
    <row r="21" spans="1:1" x14ac:dyDescent="0.4">
      <c r="A21" s="217"/>
    </row>
    <row r="22" spans="1:1" x14ac:dyDescent="0.4">
      <c r="A22" s="217"/>
    </row>
    <row r="23" spans="1:1" x14ac:dyDescent="0.4">
      <c r="A23" s="217"/>
    </row>
    <row r="24" spans="1:1" x14ac:dyDescent="0.4">
      <c r="A24" s="217"/>
    </row>
    <row r="25" spans="1:1" x14ac:dyDescent="0.4">
      <c r="A25" s="217"/>
    </row>
    <row r="26" spans="1:1" x14ac:dyDescent="0.4">
      <c r="A26" s="217"/>
    </row>
    <row r="27" spans="1:1" x14ac:dyDescent="0.4">
      <c r="A27" s="217"/>
    </row>
    <row r="28" spans="1:1" x14ac:dyDescent="0.4">
      <c r="A28" s="217"/>
    </row>
    <row r="29" spans="1:1" x14ac:dyDescent="0.4">
      <c r="A29" s="217"/>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D65A1B63-F022-4CD8-BAB0-FEE72CC6EBC7}"/>
    <hyperlink ref="C1" location="'Metadato 2.5.2'!A1" display="VER METADATO" xr:uid="{5D84B249-B074-4716-B3FB-33116E1EC92E}"/>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B059-3371-4DFF-A23B-A605C811B9FF}">
  <sheetPr>
    <tabColor theme="0" tint="-0.499984740745262"/>
  </sheetPr>
  <dimension ref="A1:F36"/>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25"/>
  <cols>
    <col min="1" max="1" width="12.5703125" style="1291" customWidth="1"/>
    <col min="2" max="2" width="26.42578125" style="243" customWidth="1"/>
    <col min="3" max="3" width="24" style="243" customWidth="1"/>
    <col min="4" max="4" width="85.7109375" style="243" customWidth="1"/>
    <col min="5" max="5" width="10.7109375" style="243" customWidth="1"/>
    <col min="6" max="6" width="7.28515625" style="243" customWidth="1"/>
    <col min="7" max="26" width="4.42578125" style="243" bestFit="1" customWidth="1"/>
    <col min="27" max="16384" width="11.42578125" style="243"/>
  </cols>
  <sheetData>
    <row r="1" spans="1:6" x14ac:dyDescent="0.25">
      <c r="B1" s="223" t="s">
        <v>39</v>
      </c>
    </row>
    <row r="2" spans="1:6" ht="19.5" thickBot="1" x14ac:dyDescent="0.3"/>
    <row r="3" spans="1:6" ht="23.25" customHeight="1" thickBot="1" x14ac:dyDescent="0.3">
      <c r="A3" s="1402"/>
      <c r="B3" s="3514" t="s">
        <v>75</v>
      </c>
      <c r="C3" s="3514"/>
      <c r="D3" s="3514"/>
      <c r="F3" s="1046" t="s">
        <v>76</v>
      </c>
    </row>
    <row r="4" spans="1:6" ht="37.5" x14ac:dyDescent="0.25">
      <c r="A4" s="1402"/>
      <c r="B4" s="2425" t="s">
        <v>234</v>
      </c>
      <c r="C4" s="2425"/>
      <c r="D4" s="49" t="s">
        <v>7369</v>
      </c>
    </row>
    <row r="5" spans="1:6" ht="37.5" x14ac:dyDescent="0.25">
      <c r="B5" s="2425" t="s">
        <v>79</v>
      </c>
      <c r="C5" s="2425"/>
      <c r="D5" s="49" t="s">
        <v>7320</v>
      </c>
    </row>
    <row r="6" spans="1:6" x14ac:dyDescent="0.25">
      <c r="B6" s="2425" t="s">
        <v>80</v>
      </c>
      <c r="C6" s="2425"/>
      <c r="D6" s="50" t="s">
        <v>7321</v>
      </c>
    </row>
    <row r="7" spans="1:6" ht="47.1" customHeight="1" x14ac:dyDescent="0.25">
      <c r="A7" s="127"/>
      <c r="B7" s="2426" t="s">
        <v>81</v>
      </c>
      <c r="C7" s="2426"/>
      <c r="D7" s="93" t="s">
        <v>7649</v>
      </c>
    </row>
    <row r="8" spans="1:6" x14ac:dyDescent="0.25">
      <c r="A8" s="127"/>
      <c r="B8" s="2426" t="s">
        <v>82</v>
      </c>
      <c r="C8" s="2426"/>
      <c r="D8" s="1047" t="s">
        <v>7655</v>
      </c>
    </row>
    <row r="9" spans="1:6" x14ac:dyDescent="0.4">
      <c r="A9" s="127"/>
      <c r="B9" s="115"/>
      <c r="C9" s="115"/>
      <c r="D9" s="115"/>
    </row>
    <row r="10" spans="1:6" ht="23.25" customHeight="1" x14ac:dyDescent="0.25">
      <c r="A10" s="1402"/>
      <c r="B10" s="3514" t="s">
        <v>85</v>
      </c>
      <c r="C10" s="3514"/>
      <c r="D10" s="3514"/>
    </row>
    <row r="11" spans="1:6" ht="15.75" customHeight="1" x14ac:dyDescent="0.25">
      <c r="B11" s="2427" t="s">
        <v>86</v>
      </c>
      <c r="C11" s="2428"/>
      <c r="D11" s="49" t="s">
        <v>167</v>
      </c>
    </row>
    <row r="12" spans="1:6" ht="30" customHeight="1" x14ac:dyDescent="0.25">
      <c r="B12" s="2426" t="s">
        <v>88</v>
      </c>
      <c r="C12" s="2426"/>
      <c r="D12" s="184" t="s">
        <v>7656</v>
      </c>
    </row>
    <row r="13" spans="1:6" x14ac:dyDescent="0.25">
      <c r="B13" s="2425" t="s">
        <v>90</v>
      </c>
      <c r="C13" s="2425"/>
      <c r="D13" s="55" t="s">
        <v>7321</v>
      </c>
    </row>
    <row r="14" spans="1:6" x14ac:dyDescent="0.25">
      <c r="B14" s="2425" t="s">
        <v>91</v>
      </c>
      <c r="C14" s="2428"/>
      <c r="D14" s="54" t="s">
        <v>214</v>
      </c>
    </row>
    <row r="15" spans="1:6" ht="409.5" x14ac:dyDescent="0.25">
      <c r="B15" s="2425" t="s">
        <v>93</v>
      </c>
      <c r="C15" s="2425"/>
      <c r="D15" s="55" t="s">
        <v>7657</v>
      </c>
    </row>
    <row r="16" spans="1:6" ht="35.25" customHeight="1" x14ac:dyDescent="0.25">
      <c r="B16" s="2425" t="s">
        <v>95</v>
      </c>
      <c r="C16" s="2425"/>
      <c r="D16" s="49"/>
    </row>
    <row r="17" spans="1:4" ht="12.75" customHeight="1" x14ac:dyDescent="0.25">
      <c r="B17" s="2425" t="s">
        <v>97</v>
      </c>
      <c r="C17" s="2425"/>
      <c r="D17" s="55" t="s">
        <v>238</v>
      </c>
    </row>
    <row r="18" spans="1:4" x14ac:dyDescent="0.25">
      <c r="B18" s="2426" t="s">
        <v>99</v>
      </c>
      <c r="C18" s="2426"/>
      <c r="D18" s="49"/>
    </row>
    <row r="19" spans="1:4" ht="36" customHeight="1" x14ac:dyDescent="0.25">
      <c r="A19" s="127"/>
      <c r="B19" s="2435" t="s">
        <v>100</v>
      </c>
      <c r="C19" s="2436"/>
      <c r="D19" s="55" t="s">
        <v>7658</v>
      </c>
    </row>
    <row r="20" spans="1:4" ht="21.75" customHeight="1" x14ac:dyDescent="0.25">
      <c r="A20" s="127"/>
      <c r="B20" s="2425" t="s">
        <v>102</v>
      </c>
      <c r="C20" s="2425"/>
      <c r="D20" s="55" t="s">
        <v>1521</v>
      </c>
    </row>
    <row r="21" spans="1:4" x14ac:dyDescent="0.25">
      <c r="A21" s="127"/>
      <c r="B21" s="2432" t="s">
        <v>104</v>
      </c>
      <c r="C21" s="57" t="s">
        <v>105</v>
      </c>
      <c r="D21" s="49" t="s">
        <v>49</v>
      </c>
    </row>
    <row r="22" spans="1:4" x14ac:dyDescent="0.25">
      <c r="B22" s="2433"/>
      <c r="C22" s="58" t="s">
        <v>107</v>
      </c>
      <c r="D22" s="55" t="s">
        <v>5024</v>
      </c>
    </row>
    <row r="23" spans="1:4" ht="18" customHeight="1" x14ac:dyDescent="0.25">
      <c r="B23" s="2425" t="s">
        <v>109</v>
      </c>
      <c r="C23" s="2425"/>
      <c r="D23" s="55" t="s">
        <v>612</v>
      </c>
    </row>
    <row r="24" spans="1:4" x14ac:dyDescent="0.25">
      <c r="B24" s="2425" t="s">
        <v>111</v>
      </c>
      <c r="C24" s="2425"/>
      <c r="D24" s="50" t="s">
        <v>127</v>
      </c>
    </row>
    <row r="25" spans="1:4" x14ac:dyDescent="0.25">
      <c r="A25" s="127"/>
      <c r="B25" s="2425" t="s">
        <v>113</v>
      </c>
      <c r="C25" s="2425"/>
      <c r="D25" s="55" t="s">
        <v>7659</v>
      </c>
    </row>
    <row r="26" spans="1:4" ht="15" customHeight="1" x14ac:dyDescent="0.25">
      <c r="A26" s="127"/>
      <c r="B26" s="2426" t="s">
        <v>115</v>
      </c>
      <c r="C26" s="2426"/>
      <c r="D26" s="50" t="s">
        <v>614</v>
      </c>
    </row>
    <row r="27" spans="1:4" x14ac:dyDescent="0.25">
      <c r="A27" s="127"/>
      <c r="B27" s="2427" t="s">
        <v>117</v>
      </c>
      <c r="C27" s="2428"/>
      <c r="D27" s="49"/>
    </row>
    <row r="28" spans="1:4" ht="187.5" x14ac:dyDescent="0.25">
      <c r="A28" s="127"/>
      <c r="B28" s="60" t="s">
        <v>118</v>
      </c>
      <c r="C28" s="61"/>
      <c r="D28" s="55" t="s">
        <v>615</v>
      </c>
    </row>
    <row r="29" spans="1:4" x14ac:dyDescent="0.25">
      <c r="A29" s="127"/>
      <c r="B29" s="2429" t="s">
        <v>120</v>
      </c>
      <c r="C29" s="2430"/>
      <c r="D29" s="62"/>
    </row>
    <row r="30" spans="1:4" x14ac:dyDescent="0.25">
      <c r="B30" s="63"/>
      <c r="C30" s="63"/>
      <c r="D30" s="64"/>
    </row>
    <row r="31" spans="1:4" ht="23.25" customHeight="1" x14ac:dyDescent="0.25">
      <c r="B31" s="3514" t="s">
        <v>121</v>
      </c>
      <c r="C31" s="3514"/>
      <c r="D31" s="3514"/>
    </row>
    <row r="32" spans="1:4" x14ac:dyDescent="0.25">
      <c r="B32" s="2427" t="s">
        <v>122</v>
      </c>
      <c r="C32" s="2428"/>
      <c r="D32" s="59" t="s">
        <v>8145</v>
      </c>
    </row>
    <row r="33" spans="2:4" x14ac:dyDescent="0.25">
      <c r="B33" s="2427" t="s">
        <v>124</v>
      </c>
      <c r="C33" s="2428"/>
      <c r="D33" s="59" t="s">
        <v>8146</v>
      </c>
    </row>
    <row r="34" spans="2:4" x14ac:dyDescent="0.25">
      <c r="B34" s="2427" t="s">
        <v>126</v>
      </c>
      <c r="C34" s="2428"/>
      <c r="D34" s="59" t="s">
        <v>127</v>
      </c>
    </row>
    <row r="35" spans="2:4" x14ac:dyDescent="0.25">
      <c r="B35" s="2427" t="s">
        <v>128</v>
      </c>
      <c r="C35" s="2428"/>
      <c r="D35" s="59" t="s">
        <v>8147</v>
      </c>
    </row>
    <row r="36" spans="2:4" x14ac:dyDescent="0.25">
      <c r="B36" s="2427" t="s">
        <v>130</v>
      </c>
      <c r="C36" s="2428"/>
      <c r="D36" s="65" t="s">
        <v>8148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CF83A4F2-0B38-473B-8A2B-AF6F32F0F2EC}">
      <formula1>Tipo_operación</formula1>
    </dataValidation>
    <dataValidation type="list" allowBlank="1" showInputMessage="1" showErrorMessage="1" sqref="D14" xr:uid="{F9321D18-989E-4671-9CE8-708A8A64DBB9}">
      <formula1>Tipo_indicador</formula1>
    </dataValidation>
    <dataValidation type="list" allowBlank="1" showInputMessage="1" showErrorMessage="1" sqref="D7" xr:uid="{8F671260-7599-4AAC-852D-292AE78EBB90}">
      <formula1>Nombre_indicador_ODS</formula1>
    </dataValidation>
    <dataValidation type="list" allowBlank="1" showInputMessage="1" showErrorMessage="1" sqref="D6" xr:uid="{8E52FA46-0610-4726-9E08-78CAE5E815A2}">
      <formula1>Numero_indicador</formula1>
    </dataValidation>
    <dataValidation type="list" allowBlank="1" showInputMessage="1" showErrorMessage="1" sqref="D5" xr:uid="{099B1916-CB27-484B-AF62-79759FAA6C95}">
      <formula1>Metas_ODS</formula1>
    </dataValidation>
    <dataValidation type="list" allowBlank="1" showInputMessage="1" showErrorMessage="1" sqref="D4" xr:uid="{BA62F628-B104-4C18-89B7-BB78A91E17B5}">
      <formula1>ODS</formula1>
    </dataValidation>
  </dataValidations>
  <hyperlinks>
    <hyperlink ref="B1" location="'16.7.1'!A1" display="REGRESAR" xr:uid="{A70C1C49-385A-4DD3-AD34-DD50FB3F1CE8}"/>
    <hyperlink ref="D8" r:id="rId1" xr:uid="{E92AF0FE-DE91-42AA-A507-4C1EF4B71451}"/>
    <hyperlink ref="D36" r:id="rId2" display="braulio.villegas@inec.go.cr" xr:uid="{36CEF7EF-C9F8-455B-8DA1-130A57DC3DD2}"/>
  </hyperlinks>
  <pageMargins left="0.7" right="0.7" top="0.75" bottom="0.75" header="0.3" footer="0.3"/>
  <pageSetup orientation="portrait" r:id="rId3"/>
  <drawing r:id="rId4"/>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1A4A-BC00-4EB2-96E3-7738724BDCFC}">
  <sheetPr>
    <tabColor rgb="FFC00000"/>
  </sheetPr>
  <dimension ref="A1:P1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8.42578125" style="115" customWidth="1"/>
    <col min="3" max="3" width="11.7109375" style="1048" customWidth="1"/>
    <col min="4" max="5" width="11.7109375" style="115" customWidth="1"/>
    <col min="6" max="16384" width="11.42578125" style="115"/>
  </cols>
  <sheetData>
    <row r="1" spans="1:16" x14ac:dyDescent="0.4">
      <c r="A1" s="90" t="s">
        <v>39</v>
      </c>
      <c r="B1" s="1311"/>
      <c r="C1" s="2541" t="s">
        <v>149</v>
      </c>
      <c r="D1" s="2541"/>
    </row>
    <row r="2" spans="1:16" ht="13.5" customHeight="1" x14ac:dyDescent="0.4"/>
    <row r="3" spans="1:16" ht="36" customHeight="1" x14ac:dyDescent="0.4">
      <c r="A3" s="3536" t="s">
        <v>41</v>
      </c>
      <c r="B3" s="3540"/>
      <c r="C3" s="3541" t="s">
        <v>7281</v>
      </c>
      <c r="D3" s="3542"/>
      <c r="E3" s="3542"/>
      <c r="F3" s="3542"/>
      <c r="G3" s="3542"/>
      <c r="H3" s="3542"/>
      <c r="I3" s="3542"/>
      <c r="J3" s="3542"/>
      <c r="K3" s="3542"/>
      <c r="L3" s="3542"/>
      <c r="M3" s="3542"/>
      <c r="N3" s="3542"/>
      <c r="O3" s="3542"/>
      <c r="P3" s="3543"/>
    </row>
    <row r="4" spans="1:16" ht="17.45" customHeight="1" x14ac:dyDescent="0.4">
      <c r="A4" s="3536" t="s">
        <v>42</v>
      </c>
      <c r="B4" s="3537"/>
      <c r="C4" s="3538" t="s">
        <v>7320</v>
      </c>
      <c r="D4" s="3539"/>
      <c r="E4" s="3539"/>
      <c r="F4" s="3539"/>
      <c r="G4" s="3539"/>
      <c r="H4" s="3539"/>
      <c r="I4" s="3539"/>
      <c r="J4" s="3539"/>
      <c r="K4" s="3539"/>
      <c r="L4" s="3539"/>
      <c r="M4" s="3539"/>
      <c r="N4" s="3539"/>
      <c r="O4" s="3539"/>
      <c r="P4" s="3539"/>
    </row>
    <row r="5" spans="1:16" ht="19.5" x14ac:dyDescent="0.4">
      <c r="A5" s="3536" t="s">
        <v>43</v>
      </c>
      <c r="B5" s="3537"/>
      <c r="C5" s="3544" t="s">
        <v>7324</v>
      </c>
      <c r="D5" s="3545"/>
      <c r="E5" s="3545"/>
      <c r="F5" s="3545"/>
      <c r="G5" s="3545"/>
      <c r="H5" s="3545"/>
      <c r="I5" s="3545"/>
      <c r="J5" s="3545"/>
      <c r="K5" s="3545"/>
      <c r="L5" s="3545"/>
      <c r="M5" s="3545"/>
      <c r="N5" s="3545"/>
      <c r="O5" s="3545"/>
      <c r="P5" s="3545"/>
    </row>
    <row r="6" spans="1:16" ht="19.5" x14ac:dyDescent="0.4">
      <c r="A6" s="3536" t="s">
        <v>132</v>
      </c>
      <c r="B6" s="3537"/>
      <c r="C6" s="3538" t="s">
        <v>242</v>
      </c>
      <c r="D6" s="3539"/>
      <c r="E6" s="3539"/>
      <c r="F6" s="3539"/>
      <c r="G6" s="3539"/>
      <c r="H6" s="3539"/>
      <c r="I6" s="3539"/>
      <c r="J6" s="3539"/>
      <c r="K6" s="3539"/>
      <c r="L6" s="3539"/>
      <c r="M6" s="3539"/>
      <c r="N6" s="3539"/>
      <c r="O6" s="3539"/>
      <c r="P6" s="3539"/>
    </row>
    <row r="7" spans="1:16" x14ac:dyDescent="0.4">
      <c r="A7" s="536"/>
    </row>
    <row r="8" spans="1:16" x14ac:dyDescent="0.4">
      <c r="A8" s="536"/>
    </row>
    <row r="9" spans="1:16" ht="11.25" customHeight="1" x14ac:dyDescent="0.4">
      <c r="A9" s="536"/>
      <c r="C9" s="2506" t="s">
        <v>243</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F7EA09DA-3101-4D7C-A195-F11B55499192}"/>
    <hyperlink ref="C1:D1" location="'Metadato 16.7.2'!A1" display="VER METADATO" xr:uid="{C72F2B37-46E7-41B2-8C90-1D55CDCEC4B7}"/>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BA0E-FB62-4684-BF8E-164C1C82516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14" t="s">
        <v>75</v>
      </c>
      <c r="C3" s="3514"/>
      <c r="D3" s="3514"/>
      <c r="F3" s="1046" t="s">
        <v>265</v>
      </c>
    </row>
    <row r="4" spans="2:6" ht="48.75" customHeight="1" x14ac:dyDescent="0.4">
      <c r="B4" s="2425" t="s">
        <v>234</v>
      </c>
      <c r="C4" s="2425"/>
      <c r="D4" s="49" t="s">
        <v>7369</v>
      </c>
    </row>
    <row r="5" spans="2:6" ht="37.5" x14ac:dyDescent="0.4">
      <c r="B5" s="2425" t="s">
        <v>79</v>
      </c>
      <c r="C5" s="2425"/>
      <c r="D5" s="49" t="s">
        <v>7320</v>
      </c>
    </row>
    <row r="6" spans="2:6" ht="18" customHeight="1" x14ac:dyDescent="0.4">
      <c r="B6" s="2425" t="s">
        <v>80</v>
      </c>
      <c r="C6" s="2425"/>
      <c r="D6" s="50" t="s">
        <v>7323</v>
      </c>
    </row>
    <row r="7" spans="2:6" ht="36" customHeight="1" x14ac:dyDescent="0.4">
      <c r="B7" s="2426" t="s">
        <v>81</v>
      </c>
      <c r="C7" s="2426"/>
      <c r="D7" s="93" t="s">
        <v>7324</v>
      </c>
    </row>
    <row r="8" spans="2:6" x14ac:dyDescent="0.4">
      <c r="B8" s="2426" t="s">
        <v>82</v>
      </c>
      <c r="C8" s="2426"/>
      <c r="D8" s="1047" t="s">
        <v>353</v>
      </c>
    </row>
    <row r="10" spans="2:6" ht="23.25" customHeight="1" x14ac:dyDescent="0.4">
      <c r="B10" s="3514" t="s">
        <v>85</v>
      </c>
      <c r="C10" s="3514"/>
      <c r="D10" s="3514"/>
    </row>
    <row r="11" spans="2:6" x14ac:dyDescent="0.4">
      <c r="B11" s="2427" t="s">
        <v>86</v>
      </c>
      <c r="C11" s="2428"/>
      <c r="D11" s="49"/>
    </row>
    <row r="12" spans="2:6" ht="15" customHeight="1"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ht="15" customHeight="1"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5371</v>
      </c>
    </row>
    <row r="25" spans="2:4" x14ac:dyDescent="0.4">
      <c r="B25" s="2425" t="s">
        <v>113</v>
      </c>
      <c r="C25" s="2425"/>
      <c r="D25" s="55"/>
    </row>
    <row r="26" spans="2:4" ht="15" customHeight="1"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514" t="s">
        <v>121</v>
      </c>
      <c r="C31" s="3514"/>
      <c r="D31" s="3514"/>
    </row>
    <row r="32" spans="2:4" x14ac:dyDescent="0.4">
      <c r="B32" s="2427" t="s">
        <v>122</v>
      </c>
      <c r="C32" s="2428"/>
      <c r="D32" s="826" t="s">
        <v>1760</v>
      </c>
    </row>
    <row r="33" spans="2:4" x14ac:dyDescent="0.4">
      <c r="B33" s="2427" t="s">
        <v>124</v>
      </c>
      <c r="C33" s="2428"/>
      <c r="D33" s="826" t="s">
        <v>1760</v>
      </c>
    </row>
    <row r="34" spans="2:4" x14ac:dyDescent="0.4">
      <c r="B34" s="2427" t="s">
        <v>126</v>
      </c>
      <c r="C34" s="2428"/>
      <c r="D34" s="826" t="s">
        <v>1760</v>
      </c>
    </row>
    <row r="35" spans="2:4" x14ac:dyDescent="0.4">
      <c r="B35" s="2427" t="s">
        <v>128</v>
      </c>
      <c r="C35" s="2428"/>
      <c r="D35" s="826" t="s">
        <v>1760</v>
      </c>
    </row>
    <row r="36" spans="2:4" x14ac:dyDescent="0.4">
      <c r="B36" s="2427" t="s">
        <v>130</v>
      </c>
      <c r="C36" s="2428"/>
      <c r="D36" s="826" t="s">
        <v>1760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2B5BF88-8EA4-49C6-9488-ADE90492EC94}">
      <formula1>Tipo_operación</formula1>
    </dataValidation>
    <dataValidation type="list" allowBlank="1" showInputMessage="1" showErrorMessage="1" sqref="D14" xr:uid="{5A9C0FEE-8B10-4F99-A4A0-183BDD02D565}">
      <formula1>Tipo_indicador</formula1>
    </dataValidation>
    <dataValidation type="list" allowBlank="1" showInputMessage="1" showErrorMessage="1" sqref="D7" xr:uid="{594221D2-B117-4603-8CF5-E1E25D21EA52}">
      <formula1>Nombre_indicador_ODS</formula1>
    </dataValidation>
    <dataValidation type="list" allowBlank="1" showInputMessage="1" showErrorMessage="1" sqref="D6" xr:uid="{57598F4B-122F-41DD-BC92-D0E80397E456}">
      <formula1>Numero_indicador</formula1>
    </dataValidation>
    <dataValidation type="list" allowBlank="1" showInputMessage="1" showErrorMessage="1" sqref="D5" xr:uid="{4EE50D13-2067-44F7-A370-9C9932C1221C}">
      <formula1>Metas_ODS</formula1>
    </dataValidation>
    <dataValidation type="list" allowBlank="1" showInputMessage="1" showErrorMessage="1" sqref="D4" xr:uid="{060CC136-6E5C-4175-B46A-BB8380926F8E}">
      <formula1>ODS</formula1>
    </dataValidation>
    <dataValidation allowBlank="1" showDropDown="1" showInputMessage="1" showErrorMessage="1" sqref="D13" xr:uid="{53A5D8DA-54AD-433F-9DB8-13F2EA5309E1}"/>
  </dataValidations>
  <hyperlinks>
    <hyperlink ref="B1" location="'16.7.2'!A1" display="REGRESAR" xr:uid="{54B14322-8B79-4C7E-A832-1A0ED91E091F}"/>
    <hyperlink ref="D8" r:id="rId1" xr:uid="{612BB2FE-23BF-4A0E-A39A-BD3E9F775878}"/>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C6035-81AF-40A2-B399-8D01348AC454}">
  <sheetPr>
    <tabColor rgb="FF7030A0"/>
  </sheetPr>
  <dimension ref="A1:Q1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9" style="115" customWidth="1"/>
    <col min="3" max="3" width="12.42578125" style="1048" customWidth="1"/>
    <col min="4" max="5" width="12.42578125" style="115" customWidth="1"/>
    <col min="6" max="16384" width="11.42578125" style="115"/>
  </cols>
  <sheetData>
    <row r="1" spans="1:17" x14ac:dyDescent="0.4">
      <c r="A1" s="90" t="s">
        <v>39</v>
      </c>
      <c r="B1" s="1311"/>
      <c r="C1" s="2541" t="s">
        <v>149</v>
      </c>
      <c r="D1" s="2541"/>
    </row>
    <row r="3" spans="1:17" ht="34.9" customHeight="1" x14ac:dyDescent="0.4">
      <c r="A3" s="3536" t="s">
        <v>41</v>
      </c>
      <c r="B3" s="3540"/>
      <c r="C3" s="3541" t="s">
        <v>7281</v>
      </c>
      <c r="D3" s="3542"/>
      <c r="E3" s="3542"/>
      <c r="F3" s="3542"/>
      <c r="G3" s="3542"/>
      <c r="H3" s="3542"/>
      <c r="I3" s="3542"/>
      <c r="J3" s="3542"/>
      <c r="K3" s="3542"/>
      <c r="L3" s="3542"/>
      <c r="M3" s="3542"/>
      <c r="N3" s="3542"/>
      <c r="O3" s="3542"/>
      <c r="P3" s="3543"/>
    </row>
    <row r="4" spans="1:17" ht="17.45" customHeight="1" x14ac:dyDescent="0.4">
      <c r="A4" s="3536" t="s">
        <v>42</v>
      </c>
      <c r="B4" s="3537"/>
      <c r="C4" s="3538" t="s">
        <v>7325</v>
      </c>
      <c r="D4" s="3539"/>
      <c r="E4" s="3539"/>
      <c r="F4" s="3539"/>
      <c r="G4" s="3539"/>
      <c r="H4" s="3539"/>
      <c r="I4" s="3539"/>
      <c r="J4" s="3539"/>
      <c r="K4" s="3539"/>
      <c r="L4" s="3539"/>
      <c r="M4" s="3539"/>
      <c r="N4" s="3539"/>
      <c r="O4" s="3539"/>
      <c r="P4" s="3539"/>
    </row>
    <row r="5" spans="1:17" ht="18" customHeight="1" x14ac:dyDescent="0.4">
      <c r="A5" s="3536" t="s">
        <v>43</v>
      </c>
      <c r="B5" s="3537"/>
      <c r="C5" s="3544" t="s">
        <v>7327</v>
      </c>
      <c r="D5" s="3545"/>
      <c r="E5" s="3545"/>
      <c r="F5" s="3545"/>
      <c r="G5" s="3545"/>
      <c r="H5" s="3545"/>
      <c r="I5" s="3545"/>
      <c r="J5" s="3545"/>
      <c r="K5" s="3545"/>
      <c r="L5" s="3545"/>
      <c r="M5" s="3545"/>
      <c r="N5" s="3545"/>
      <c r="O5" s="3545"/>
      <c r="P5" s="3545"/>
    </row>
    <row r="6" spans="1:17" ht="19.5" x14ac:dyDescent="0.4">
      <c r="A6" s="3536" t="s">
        <v>132</v>
      </c>
      <c r="B6" s="3537"/>
      <c r="C6" s="3538" t="s">
        <v>242</v>
      </c>
      <c r="D6" s="3539"/>
      <c r="E6" s="3539"/>
      <c r="F6" s="3539"/>
      <c r="G6" s="3539"/>
      <c r="H6" s="3539"/>
      <c r="I6" s="3539"/>
      <c r="J6" s="3539"/>
      <c r="K6" s="3539"/>
      <c r="L6" s="3539"/>
      <c r="M6" s="3539"/>
      <c r="N6" s="3539"/>
      <c r="O6" s="3539"/>
      <c r="P6" s="3539"/>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2" spans="1:17" x14ac:dyDescent="0.4">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21"/>
      <c r="D17" s="220"/>
      <c r="E17" s="220"/>
      <c r="F17" s="220"/>
      <c r="G17" s="220"/>
      <c r="H17" s="220"/>
      <c r="I17" s="220"/>
      <c r="J17" s="220"/>
      <c r="K17" s="220"/>
      <c r="L17" s="220"/>
      <c r="M17" s="220"/>
      <c r="N17" s="220"/>
      <c r="O17" s="220"/>
      <c r="P17" s="220"/>
      <c r="Q17" s="220"/>
    </row>
    <row r="18" spans="3:17" x14ac:dyDescent="0.4">
      <c r="C18" s="2494" t="s">
        <v>316</v>
      </c>
      <c r="D18" s="2494"/>
      <c r="E18" s="2494"/>
      <c r="F18" s="2494"/>
      <c r="G18" s="2494"/>
      <c r="H18" s="2494"/>
      <c r="I18" s="2494"/>
      <c r="J18" s="2494"/>
      <c r="K18" s="2494"/>
      <c r="L18" s="2494"/>
      <c r="M18" s="2494"/>
      <c r="N18" s="2494"/>
      <c r="O18" s="2494"/>
      <c r="P18" s="2494"/>
      <c r="Q18" s="2494"/>
    </row>
    <row r="19" spans="3:17" x14ac:dyDescent="0.4">
      <c r="C19" s="221"/>
      <c r="D19" s="220"/>
      <c r="E19" s="220"/>
      <c r="F19" s="220"/>
      <c r="G19" s="220"/>
      <c r="H19" s="220"/>
      <c r="I19" s="220"/>
      <c r="J19" s="220"/>
      <c r="K19" s="220"/>
      <c r="L19" s="220"/>
      <c r="M19" s="220"/>
      <c r="N19" s="220"/>
      <c r="O19" s="220"/>
      <c r="P19" s="220"/>
      <c r="Q19" s="220"/>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58877C36-D2F1-4AAF-A6C2-9ABF592F2BF8}"/>
    <hyperlink ref="C1:D1" location="'Metadato 16.8.1'!A1" display="VER METADATO" xr:uid="{35F3205C-3D1B-4266-AB6D-8FD6A0CC7845}"/>
  </hyperlinks>
  <pageMargins left="0.7" right="0.7" top="0.75" bottom="0.75" header="0.3" footer="0.3"/>
  <pageSetup orientation="portrait" r:id="rId1"/>
  <drawing r:id="rId2"/>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81C-5110-47C9-A455-9882237C070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317</v>
      </c>
    </row>
    <row r="4" spans="2:6" ht="37.5" x14ac:dyDescent="0.25">
      <c r="B4" s="2425" t="s">
        <v>234</v>
      </c>
      <c r="C4" s="2425"/>
      <c r="D4" s="49" t="s">
        <v>7369</v>
      </c>
    </row>
    <row r="5" spans="2:6" x14ac:dyDescent="0.25">
      <c r="B5" s="2425" t="s">
        <v>79</v>
      </c>
      <c r="C5" s="2425"/>
      <c r="D5" s="49" t="s">
        <v>7325</v>
      </c>
    </row>
    <row r="6" spans="2:6" x14ac:dyDescent="0.25">
      <c r="B6" s="2425" t="s">
        <v>80</v>
      </c>
      <c r="C6" s="2425"/>
      <c r="D6" s="50" t="s">
        <v>7326</v>
      </c>
    </row>
    <row r="7" spans="2:6" ht="37.5" x14ac:dyDescent="0.25">
      <c r="B7" s="2426" t="s">
        <v>81</v>
      </c>
      <c r="C7" s="2426"/>
      <c r="D7" s="93" t="s">
        <v>7327</v>
      </c>
    </row>
    <row r="8" spans="2:6" x14ac:dyDescent="0.25">
      <c r="B8" s="2426" t="s">
        <v>82</v>
      </c>
      <c r="C8" s="2426"/>
      <c r="D8" s="1047" t="s">
        <v>7660</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ht="15" customHeight="1"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ht="15" customHeight="1"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321</v>
      </c>
    </row>
    <row r="25" spans="2:4" x14ac:dyDescent="0.25">
      <c r="B25" s="2425" t="s">
        <v>113</v>
      </c>
      <c r="C25" s="2425"/>
      <c r="D25" s="55"/>
    </row>
    <row r="26" spans="2:4" ht="15" customHeight="1" x14ac:dyDescent="0.25">
      <c r="B26" s="2426" t="s">
        <v>115</v>
      </c>
      <c r="C26" s="2426"/>
      <c r="D26" s="49"/>
    </row>
    <row r="27" spans="2:4" x14ac:dyDescent="0.25">
      <c r="B27" s="2427" t="s">
        <v>117</v>
      </c>
      <c r="C27" s="2428"/>
      <c r="D27" s="49"/>
    </row>
    <row r="28" spans="2:4" ht="38.25" customHeight="1" x14ac:dyDescent="0.25">
      <c r="B28" s="60" t="s">
        <v>118</v>
      </c>
      <c r="C28" s="61"/>
      <c r="D28" s="55" t="s">
        <v>7661</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A9A1A09-342F-4D77-ADE8-D9FCF5B536C8}">
      <formula1>Tipo_operación</formula1>
    </dataValidation>
    <dataValidation type="list" allowBlank="1" showInputMessage="1" showErrorMessage="1" sqref="D14" xr:uid="{D4A01A08-6855-41C1-B0A2-ECEAC8581F84}">
      <formula1>Tipo_indicador</formula1>
    </dataValidation>
    <dataValidation type="list" allowBlank="1" showInputMessage="1" showErrorMessage="1" sqref="D7" xr:uid="{46EA2252-D579-4703-9941-929AEC9B4D96}">
      <formula1>Nombre_indicador_ODS</formula1>
    </dataValidation>
    <dataValidation type="list" allowBlank="1" showInputMessage="1" showErrorMessage="1" sqref="D6" xr:uid="{D371A346-4807-42C8-96E2-DADECE39A6F7}">
      <formula1>Numero_indicador</formula1>
    </dataValidation>
    <dataValidation type="list" allowBlank="1" showInputMessage="1" showErrorMessage="1" sqref="D5" xr:uid="{06AA737F-2161-4242-8AD8-FC5FC3697CF8}">
      <formula1>Metas_ODS</formula1>
    </dataValidation>
    <dataValidation type="list" allowBlank="1" showInputMessage="1" showErrorMessage="1" sqref="D4" xr:uid="{17A958E0-BA15-4495-8CA2-1CBC79A5C180}">
      <formula1>ODS</formula1>
    </dataValidation>
    <dataValidation allowBlank="1" showDropDown="1" showInputMessage="1" showErrorMessage="1" sqref="D13" xr:uid="{290B7BA4-7D0D-47A4-8678-E66C35728E40}"/>
  </dataValidations>
  <hyperlinks>
    <hyperlink ref="B1" location="'16.8.1'!A1" display="REGRESAR" xr:uid="{6F3EE053-D800-4298-ADEC-9E743B58AF57}"/>
    <hyperlink ref="D8" r:id="rId1" xr:uid="{8193221B-0A37-410E-AC2E-734CDBF8C38C}"/>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0C374-7B14-42FC-AA5E-C88EEF534C22}">
  <dimension ref="A1:P47"/>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2" width="15.5703125" style="115" customWidth="1"/>
    <col min="3" max="3" width="10.5703125" style="1048" customWidth="1"/>
    <col min="4" max="4" width="16.42578125" style="115" customWidth="1"/>
    <col min="5" max="7" width="10.5703125" style="115" customWidth="1"/>
    <col min="8" max="16384" width="11.42578125" style="115"/>
  </cols>
  <sheetData>
    <row r="1" spans="1:16" x14ac:dyDescent="0.4">
      <c r="A1" s="90" t="s">
        <v>39</v>
      </c>
      <c r="B1" s="1311"/>
      <c r="C1" s="2541" t="s">
        <v>149</v>
      </c>
      <c r="D1" s="2541"/>
    </row>
    <row r="3" spans="1:16" ht="19.149999999999999" customHeight="1" x14ac:dyDescent="0.4">
      <c r="A3" s="3508" t="s">
        <v>41</v>
      </c>
      <c r="B3" s="3510"/>
      <c r="C3" s="3528" t="s">
        <v>7281</v>
      </c>
      <c r="D3" s="3528"/>
      <c r="E3" s="3528"/>
      <c r="F3" s="3528"/>
      <c r="G3" s="3528"/>
      <c r="H3" s="3528"/>
      <c r="I3" s="3528"/>
      <c r="J3" s="3528"/>
      <c r="K3" s="3528"/>
      <c r="L3" s="3528"/>
      <c r="M3" s="3528"/>
      <c r="N3" s="3528"/>
      <c r="O3" s="3528"/>
      <c r="P3" s="3528"/>
    </row>
    <row r="4" spans="1:16" ht="17.45" customHeight="1" x14ac:dyDescent="0.4">
      <c r="A4" s="3508" t="s">
        <v>42</v>
      </c>
      <c r="B4" s="3519"/>
      <c r="C4" s="3528" t="s">
        <v>7328</v>
      </c>
      <c r="D4" s="3531"/>
      <c r="E4" s="3531"/>
      <c r="F4" s="3531"/>
      <c r="G4" s="3531"/>
      <c r="H4" s="3531"/>
      <c r="I4" s="3531"/>
      <c r="J4" s="3531"/>
      <c r="K4" s="3531"/>
      <c r="L4" s="3531"/>
      <c r="M4" s="3531"/>
      <c r="N4" s="3531"/>
      <c r="O4" s="3531"/>
      <c r="P4" s="3531"/>
    </row>
    <row r="5" spans="1:16" ht="18.600000000000001" customHeight="1" x14ac:dyDescent="0.4">
      <c r="A5" s="3508" t="s">
        <v>43</v>
      </c>
      <c r="B5" s="3519"/>
      <c r="C5" s="3527" t="s">
        <v>7330</v>
      </c>
      <c r="D5" s="3534"/>
      <c r="E5" s="3534"/>
      <c r="F5" s="3534"/>
      <c r="G5" s="3534"/>
      <c r="H5" s="3534"/>
      <c r="I5" s="3534"/>
      <c r="J5" s="3534"/>
      <c r="K5" s="3534"/>
      <c r="L5" s="3534"/>
      <c r="M5" s="3534"/>
      <c r="N5" s="3534"/>
      <c r="O5" s="3534"/>
      <c r="P5" s="3534"/>
    </row>
    <row r="6" spans="1:16" ht="16.5" customHeight="1" x14ac:dyDescent="0.4">
      <c r="A6" s="3508" t="s">
        <v>132</v>
      </c>
      <c r="B6" s="3519"/>
      <c r="C6" s="3528" t="s">
        <v>7662</v>
      </c>
      <c r="D6" s="3531"/>
      <c r="E6" s="3531"/>
      <c r="F6" s="3531"/>
      <c r="G6" s="3531"/>
      <c r="H6" s="3531"/>
      <c r="I6" s="3531"/>
      <c r="J6" s="3531"/>
      <c r="K6" s="3531"/>
      <c r="L6" s="3531"/>
      <c r="M6" s="3531"/>
      <c r="N6" s="3531"/>
      <c r="O6" s="3531"/>
      <c r="P6" s="3531"/>
    </row>
    <row r="9" spans="1:16" ht="19.5" x14ac:dyDescent="0.4">
      <c r="C9" s="320" t="s">
        <v>7663</v>
      </c>
      <c r="D9" s="320"/>
      <c r="H9" s="2193" t="s">
        <v>7664</v>
      </c>
      <c r="I9" s="1032"/>
      <c r="J9" s="1032"/>
      <c r="K9" s="1032"/>
      <c r="L9" s="1032"/>
      <c r="M9" s="1032"/>
      <c r="N9" s="1032"/>
      <c r="O9" s="1032"/>
    </row>
    <row r="10" spans="1:16" ht="19.5" x14ac:dyDescent="0.4">
      <c r="C10" s="1062" t="s">
        <v>7665</v>
      </c>
      <c r="D10" s="1062"/>
      <c r="H10" s="2193"/>
      <c r="I10" s="1032"/>
      <c r="J10" s="1032"/>
      <c r="K10" s="1032"/>
      <c r="L10" s="1032"/>
      <c r="M10" s="1032"/>
      <c r="N10" s="1032"/>
      <c r="O10" s="1032"/>
    </row>
    <row r="11" spans="1:16" ht="19.5" x14ac:dyDescent="0.4">
      <c r="C11" s="1062" t="s">
        <v>7666</v>
      </c>
      <c r="D11" s="1062"/>
      <c r="H11" s="2193"/>
      <c r="I11" s="1032"/>
      <c r="J11" s="1032"/>
      <c r="K11" s="1032"/>
      <c r="L11" s="1032"/>
      <c r="M11" s="1032"/>
      <c r="N11" s="1032"/>
      <c r="O11" s="1032"/>
    </row>
    <row r="12" spans="1:16" ht="12.6" customHeight="1" x14ac:dyDescent="0.4">
      <c r="C12" s="834"/>
      <c r="D12" s="834"/>
      <c r="H12" s="2194"/>
    </row>
    <row r="13" spans="1:16" x14ac:dyDescent="0.4">
      <c r="C13" s="2101" t="s">
        <v>247</v>
      </c>
      <c r="D13" s="2165" t="s">
        <v>1685</v>
      </c>
      <c r="H13" s="1048"/>
    </row>
    <row r="14" spans="1:16" x14ac:dyDescent="0.4">
      <c r="C14" s="541">
        <v>2011</v>
      </c>
      <c r="D14" s="729">
        <v>95.906606730525141</v>
      </c>
      <c r="H14" s="1048"/>
    </row>
    <row r="15" spans="1:16" x14ac:dyDescent="0.4">
      <c r="C15" s="541">
        <v>2012</v>
      </c>
      <c r="D15" s="729">
        <v>96.186166726506386</v>
      </c>
      <c r="H15" s="1048"/>
    </row>
    <row r="16" spans="1:16" x14ac:dyDescent="0.4">
      <c r="C16" s="541">
        <v>2013</v>
      </c>
      <c r="D16" s="729">
        <v>95.578746261957548</v>
      </c>
      <c r="H16" s="1048"/>
    </row>
    <row r="17" spans="3:15" x14ac:dyDescent="0.4">
      <c r="C17" s="541">
        <v>2014</v>
      </c>
      <c r="D17" s="729">
        <v>94.582733172809213</v>
      </c>
      <c r="H17" s="1048"/>
    </row>
    <row r="18" spans="3:15" x14ac:dyDescent="0.4">
      <c r="C18" s="541">
        <v>2015</v>
      </c>
      <c r="D18" s="729">
        <v>94.587114951921833</v>
      </c>
      <c r="H18" s="1048"/>
    </row>
    <row r="19" spans="3:15" x14ac:dyDescent="0.4">
      <c r="C19" s="541">
        <v>2016</v>
      </c>
      <c r="D19" s="729">
        <v>94.675143923758796</v>
      </c>
      <c r="H19" s="1048"/>
    </row>
    <row r="20" spans="3:15" x14ac:dyDescent="0.4">
      <c r="C20" s="541">
        <v>2017</v>
      </c>
      <c r="D20" s="729">
        <v>94.904941348830917</v>
      </c>
      <c r="H20" s="1048"/>
    </row>
    <row r="21" spans="3:15" x14ac:dyDescent="0.4">
      <c r="C21" s="541">
        <v>2018</v>
      </c>
      <c r="D21" s="729">
        <v>96.268135451343724</v>
      </c>
      <c r="H21" s="1048"/>
    </row>
    <row r="22" spans="3:15" ht="17.45" customHeight="1" x14ac:dyDescent="0.4">
      <c r="C22" s="541">
        <v>2019</v>
      </c>
      <c r="D22" s="729">
        <v>97.979777692020193</v>
      </c>
      <c r="H22" s="243" t="s">
        <v>7667</v>
      </c>
      <c r="I22" s="243"/>
      <c r="J22" s="243"/>
      <c r="K22" s="243"/>
      <c r="L22" s="243"/>
      <c r="M22" s="243"/>
      <c r="N22" s="243"/>
      <c r="O22" s="243"/>
    </row>
    <row r="23" spans="3:15" x14ac:dyDescent="0.4">
      <c r="C23" s="541">
        <v>2020</v>
      </c>
      <c r="D23" s="729">
        <v>99.391100167079287</v>
      </c>
      <c r="H23" s="1048"/>
    </row>
    <row r="24" spans="3:15" x14ac:dyDescent="0.4">
      <c r="C24" s="541">
        <v>2021</v>
      </c>
      <c r="D24" s="729">
        <v>100.57013322602401</v>
      </c>
    </row>
    <row r="25" spans="3:15" x14ac:dyDescent="0.4">
      <c r="C25" s="541">
        <v>2022</v>
      </c>
      <c r="D25" s="729">
        <v>100.95622550538401</v>
      </c>
      <c r="H25" s="1048"/>
    </row>
    <row r="26" spans="3:15" x14ac:dyDescent="0.4">
      <c r="C26" s="634">
        <v>2023</v>
      </c>
      <c r="D26" s="736">
        <v>99.913528699617515</v>
      </c>
      <c r="H26" s="1048"/>
    </row>
    <row r="27" spans="3:15" x14ac:dyDescent="0.4">
      <c r="C27" s="243" t="s">
        <v>7668</v>
      </c>
      <c r="D27" s="243"/>
      <c r="H27" s="1048"/>
    </row>
    <row r="28" spans="3:15" ht="15" customHeight="1" x14ac:dyDescent="0.4">
      <c r="C28" s="243" t="s">
        <v>7669</v>
      </c>
      <c r="D28" s="243"/>
      <c r="H28" s="1048"/>
    </row>
    <row r="29" spans="3:15" x14ac:dyDescent="0.4">
      <c r="C29" s="2195" t="s">
        <v>7670</v>
      </c>
      <c r="D29" s="243"/>
      <c r="H29" s="1048"/>
    </row>
    <row r="30" spans="3:15" x14ac:dyDescent="0.4">
      <c r="H30" s="1048"/>
    </row>
    <row r="31" spans="3:15" x14ac:dyDescent="0.4">
      <c r="H31" s="1048"/>
    </row>
    <row r="32" spans="3:15" x14ac:dyDescent="0.4">
      <c r="H32" s="1048"/>
    </row>
    <row r="34" spans="3:8" x14ac:dyDescent="0.4">
      <c r="H34" s="1048"/>
    </row>
    <row r="35" spans="3:8" x14ac:dyDescent="0.4">
      <c r="C35" s="115"/>
    </row>
    <row r="47" spans="3:8" x14ac:dyDescent="0.4">
      <c r="C47" s="115"/>
    </row>
  </sheetData>
  <mergeCells count="9">
    <mergeCell ref="A6:B6"/>
    <mergeCell ref="C6:P6"/>
    <mergeCell ref="C1:D1"/>
    <mergeCell ref="A3:B3"/>
    <mergeCell ref="C3:P3"/>
    <mergeCell ref="A4:B4"/>
    <mergeCell ref="C4:P4"/>
    <mergeCell ref="A5:B5"/>
    <mergeCell ref="C5:P5"/>
  </mergeCells>
  <hyperlinks>
    <hyperlink ref="A1" location="'ODS 16.'!A1" display="REGRESAR" xr:uid="{05B66054-4AF2-4000-A325-E0DD9AFDD3BD}"/>
    <hyperlink ref="C1:D1" location="'Metadato 16.9.1'!A1" display="VER METADATO" xr:uid="{4593921B-E138-4A65-A8A1-0788809D475F}"/>
    <hyperlink ref="C29" r:id="rId1" xr:uid="{CB7A76A4-4CB7-45C4-9733-E8044989AF77}"/>
  </hyperlinks>
  <pageMargins left="0.7" right="0.7" top="0.75" bottom="0.75" header="0.3" footer="0.3"/>
  <pageSetup orientation="portrait" r:id="rId2"/>
  <drawing r:id="rId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9BDB5-B04E-4586-A7A9-C48AEE2824CA}">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ht="37.5" x14ac:dyDescent="0.25">
      <c r="B5" s="2425" t="s">
        <v>79</v>
      </c>
      <c r="C5" s="2425"/>
      <c r="D5" s="49" t="s">
        <v>7328</v>
      </c>
    </row>
    <row r="6" spans="2:6" x14ac:dyDescent="0.25">
      <c r="B6" s="2425" t="s">
        <v>80</v>
      </c>
      <c r="C6" s="2425"/>
      <c r="D6" s="50" t="s">
        <v>7329</v>
      </c>
    </row>
    <row r="7" spans="2:6" ht="35.25" customHeight="1" x14ac:dyDescent="0.25">
      <c r="B7" s="2426" t="s">
        <v>81</v>
      </c>
      <c r="C7" s="2426"/>
      <c r="D7" s="93" t="s">
        <v>7330</v>
      </c>
    </row>
    <row r="8" spans="2:6" x14ac:dyDescent="0.25">
      <c r="B8" s="2426" t="s">
        <v>82</v>
      </c>
      <c r="C8" s="2426"/>
      <c r="D8" s="1047" t="s">
        <v>7671</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ht="15" customHeight="1" x14ac:dyDescent="0.25">
      <c r="B12" s="2426" t="s">
        <v>88</v>
      </c>
      <c r="C12" s="2426"/>
      <c r="D12" s="184" t="s">
        <v>7672</v>
      </c>
    </row>
    <row r="13" spans="2:6" x14ac:dyDescent="0.25">
      <c r="B13" s="2425" t="s">
        <v>90</v>
      </c>
      <c r="C13" s="2425"/>
      <c r="D13" s="54" t="s">
        <v>7329</v>
      </c>
    </row>
    <row r="14" spans="2:6" x14ac:dyDescent="0.25">
      <c r="B14" s="2425" t="s">
        <v>91</v>
      </c>
      <c r="C14" s="2428"/>
      <c r="D14" s="54" t="s">
        <v>92</v>
      </c>
    </row>
    <row r="15" spans="2:6" x14ac:dyDescent="0.25">
      <c r="B15" s="2425" t="s">
        <v>93</v>
      </c>
      <c r="C15" s="2425"/>
      <c r="D15" s="49" t="s">
        <v>7673</v>
      </c>
    </row>
    <row r="16" spans="2:6" ht="37.5" x14ac:dyDescent="0.25">
      <c r="B16" s="2425" t="s">
        <v>95</v>
      </c>
      <c r="C16" s="2425"/>
      <c r="D16" s="49" t="s">
        <v>7674</v>
      </c>
    </row>
    <row r="17" spans="2:4" x14ac:dyDescent="0.4">
      <c r="B17" s="2425" t="s">
        <v>97</v>
      </c>
      <c r="C17" s="2425"/>
      <c r="D17" s="594" t="s">
        <v>480</v>
      </c>
    </row>
    <row r="18" spans="2:4" x14ac:dyDescent="0.25">
      <c r="B18" s="2426" t="s">
        <v>99</v>
      </c>
      <c r="C18" s="2426"/>
      <c r="D18" s="49" t="s">
        <v>7675</v>
      </c>
    </row>
    <row r="19" spans="2:4" ht="15" customHeight="1" x14ac:dyDescent="0.25">
      <c r="B19" s="2435" t="s">
        <v>100</v>
      </c>
      <c r="C19" s="2436"/>
      <c r="D19" s="55" t="s">
        <v>7676</v>
      </c>
    </row>
    <row r="20" spans="2:4" x14ac:dyDescent="0.25">
      <c r="B20" s="2425" t="s">
        <v>102</v>
      </c>
      <c r="C20" s="2425"/>
      <c r="D20" s="49" t="s">
        <v>140</v>
      </c>
    </row>
    <row r="21" spans="2:4" x14ac:dyDescent="0.25">
      <c r="B21" s="2432" t="s">
        <v>104</v>
      </c>
      <c r="C21" s="57" t="s">
        <v>105</v>
      </c>
      <c r="D21" s="49" t="s">
        <v>7677</v>
      </c>
    </row>
    <row r="22" spans="2:4" x14ac:dyDescent="0.25">
      <c r="B22" s="2433"/>
      <c r="C22" s="58" t="s">
        <v>107</v>
      </c>
      <c r="D22" s="49" t="s">
        <v>7677</v>
      </c>
    </row>
    <row r="23" spans="2:4" x14ac:dyDescent="0.25">
      <c r="B23" s="2425" t="s">
        <v>109</v>
      </c>
      <c r="C23" s="2425"/>
      <c r="D23" s="49" t="s">
        <v>143</v>
      </c>
    </row>
    <row r="24" spans="2:4" ht="37.5" x14ac:dyDescent="0.25">
      <c r="B24" s="2425" t="s">
        <v>111</v>
      </c>
      <c r="C24" s="2425"/>
      <c r="D24" s="49" t="s">
        <v>7678</v>
      </c>
    </row>
    <row r="25" spans="2:4" ht="17.45" customHeight="1" x14ac:dyDescent="0.25">
      <c r="B25" s="2425" t="s">
        <v>113</v>
      </c>
      <c r="C25" s="2425"/>
      <c r="D25" s="55" t="s">
        <v>1581</v>
      </c>
    </row>
    <row r="26" spans="2:4" ht="15" customHeight="1" x14ac:dyDescent="0.25">
      <c r="B26" s="2426" t="s">
        <v>115</v>
      </c>
      <c r="C26" s="2426"/>
      <c r="D26" s="49" t="s">
        <v>7677</v>
      </c>
    </row>
    <row r="27" spans="2:4" x14ac:dyDescent="0.25">
      <c r="B27" s="2427" t="s">
        <v>117</v>
      </c>
      <c r="C27" s="2428"/>
      <c r="D27" s="49" t="s">
        <v>7679</v>
      </c>
    </row>
    <row r="28" spans="2:4" ht="37.5" x14ac:dyDescent="0.25">
      <c r="B28" s="60" t="s">
        <v>118</v>
      </c>
      <c r="C28" s="61"/>
      <c r="D28" s="55" t="s">
        <v>7680</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7681</v>
      </c>
    </row>
    <row r="33" spans="2:4" x14ac:dyDescent="0.25">
      <c r="B33" s="2427" t="s">
        <v>124</v>
      </c>
      <c r="C33" s="2428"/>
      <c r="D33" s="50" t="s">
        <v>7682</v>
      </c>
    </row>
    <row r="34" spans="2:4" x14ac:dyDescent="0.25">
      <c r="B34" s="2427" t="s">
        <v>126</v>
      </c>
      <c r="C34" s="2428"/>
      <c r="D34" s="50" t="s">
        <v>2716</v>
      </c>
    </row>
    <row r="35" spans="2:4" x14ac:dyDescent="0.25">
      <c r="B35" s="2427" t="s">
        <v>128</v>
      </c>
      <c r="C35" s="2428"/>
      <c r="D35" s="50" t="s">
        <v>7683</v>
      </c>
    </row>
    <row r="36" spans="2:4" x14ac:dyDescent="0.25">
      <c r="B36" s="2427" t="s">
        <v>130</v>
      </c>
      <c r="C36" s="2428"/>
      <c r="D36" s="1312" t="s">
        <v>7684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9A2C9B7-0C00-456F-A9B2-54562B379494}">
      <formula1>Tipo_operación</formula1>
    </dataValidation>
    <dataValidation type="list" allowBlank="1" showInputMessage="1" showErrorMessage="1" sqref="D14" xr:uid="{9BB3C976-28E6-49FE-95DD-DA2C3566B205}">
      <formula1>Tipo_indicador</formula1>
    </dataValidation>
    <dataValidation type="list" allowBlank="1" showInputMessage="1" showErrorMessage="1" sqref="D7" xr:uid="{7CD9E444-EA35-4C76-A8D1-878420874254}">
      <formula1>Nombre_indicador_ODS</formula1>
    </dataValidation>
    <dataValidation type="list" allowBlank="1" showInputMessage="1" showErrorMessage="1" sqref="D6" xr:uid="{980951C7-9DD2-4CD8-9F64-B4D288278A7C}">
      <formula1>Numero_indicador</formula1>
    </dataValidation>
    <dataValidation type="list" allowBlank="1" showInputMessage="1" showErrorMessage="1" sqref="D5" xr:uid="{0F47849A-757B-4D7A-B111-DAF590FA9A00}">
      <formula1>Metas_ODS</formula1>
    </dataValidation>
    <dataValidation type="list" allowBlank="1" showInputMessage="1" showErrorMessage="1" sqref="D4" xr:uid="{F0EDDFAC-2669-4BC6-88E2-1298970BE2B9}">
      <formula1>ODS</formula1>
    </dataValidation>
    <dataValidation allowBlank="1" showDropDown="1" showInputMessage="1" showErrorMessage="1" sqref="D13" xr:uid="{6D1CFB3C-2857-44CE-8F94-F67C472D6BB2}"/>
  </dataValidations>
  <hyperlinks>
    <hyperlink ref="B1" location="'16.9.1'!A1" display="REGRESAR" xr:uid="{2184750A-305C-43B8-B24E-E2BBAE3F804D}"/>
    <hyperlink ref="D8" r:id="rId1" xr:uid="{BFC7A500-A8C4-438F-9142-CDE8E5E034EC}"/>
    <hyperlink ref="D36" r:id="rId2" xr:uid="{91944A3F-53E7-4B89-A41F-254A89DFE717}"/>
  </hyperlinks>
  <pageMargins left="0.7" right="0.7" top="0.75" bottom="0.75" header="0.3" footer="0.3"/>
  <pageSetup orientation="portrait"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4F37-7C98-4052-82C6-D24AA280DF53}">
  <sheetPr>
    <tabColor rgb="FFC00000"/>
  </sheetPr>
  <dimension ref="A1:P2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7109375" style="115" customWidth="1"/>
    <col min="2" max="2" width="17.85546875" style="115" customWidth="1"/>
    <col min="3" max="3" width="12" style="1048" customWidth="1"/>
    <col min="4" max="5" width="12" style="115" customWidth="1"/>
    <col min="6" max="16384" width="11.42578125" style="115"/>
  </cols>
  <sheetData>
    <row r="1" spans="1:16" x14ac:dyDescent="0.4">
      <c r="A1" s="90" t="s">
        <v>39</v>
      </c>
      <c r="B1" s="1311"/>
      <c r="C1" s="2541" t="s">
        <v>149</v>
      </c>
      <c r="D1" s="2541"/>
    </row>
    <row r="2" spans="1:16" ht="14.25" customHeight="1" x14ac:dyDescent="0.4"/>
    <row r="3" spans="1:16" ht="36.6" customHeight="1" x14ac:dyDescent="0.4">
      <c r="A3" s="3508" t="s">
        <v>41</v>
      </c>
      <c r="B3" s="3510"/>
      <c r="C3" s="3520" t="s">
        <v>7281</v>
      </c>
      <c r="D3" s="3529"/>
      <c r="E3" s="3529"/>
      <c r="F3" s="3529"/>
      <c r="G3" s="3529"/>
      <c r="H3" s="3529"/>
      <c r="I3" s="3529"/>
      <c r="J3" s="3529"/>
      <c r="K3" s="3529"/>
      <c r="L3" s="3529"/>
      <c r="M3" s="3529"/>
      <c r="N3" s="3529"/>
      <c r="O3" s="3529"/>
      <c r="P3" s="3532"/>
    </row>
    <row r="4" spans="1:16" ht="19.899999999999999" customHeight="1" x14ac:dyDescent="0.4">
      <c r="A4" s="3508" t="s">
        <v>42</v>
      </c>
      <c r="B4" s="3519"/>
      <c r="C4" s="3528" t="s">
        <v>7331</v>
      </c>
      <c r="D4" s="3531"/>
      <c r="E4" s="3531"/>
      <c r="F4" s="3531"/>
      <c r="G4" s="3531"/>
      <c r="H4" s="3531"/>
      <c r="I4" s="3531"/>
      <c r="J4" s="3531"/>
      <c r="K4" s="3531"/>
      <c r="L4" s="3531"/>
      <c r="M4" s="3531"/>
      <c r="N4" s="3531"/>
      <c r="O4" s="3531"/>
      <c r="P4" s="3531"/>
    </row>
    <row r="5" spans="1:16" ht="37.15" customHeight="1" x14ac:dyDescent="0.4">
      <c r="A5" s="3508" t="s">
        <v>43</v>
      </c>
      <c r="B5" s="3519"/>
      <c r="C5" s="3527" t="s">
        <v>7333</v>
      </c>
      <c r="D5" s="3534"/>
      <c r="E5" s="3534"/>
      <c r="F5" s="3534"/>
      <c r="G5" s="3534"/>
      <c r="H5" s="3534"/>
      <c r="I5" s="3534"/>
      <c r="J5" s="3534"/>
      <c r="K5" s="3534"/>
      <c r="L5" s="3534"/>
      <c r="M5" s="3534"/>
      <c r="N5" s="3534"/>
      <c r="O5" s="3534"/>
      <c r="P5" s="3534"/>
    </row>
    <row r="6" spans="1:16" ht="19.5" x14ac:dyDescent="0.4">
      <c r="A6" s="3508" t="s">
        <v>132</v>
      </c>
      <c r="B6" s="3519"/>
      <c r="C6" s="3528" t="s">
        <v>242</v>
      </c>
      <c r="D6" s="3531"/>
      <c r="E6" s="3531"/>
      <c r="F6" s="3531"/>
      <c r="G6" s="3531"/>
      <c r="H6" s="3531"/>
      <c r="I6" s="3531"/>
      <c r="J6" s="3531"/>
      <c r="K6" s="3531"/>
      <c r="L6" s="3531"/>
      <c r="M6" s="3531"/>
      <c r="N6" s="3531"/>
      <c r="O6" s="3531"/>
      <c r="P6" s="3531"/>
    </row>
    <row r="7" spans="1:16" x14ac:dyDescent="0.4">
      <c r="A7" s="536"/>
    </row>
    <row r="8" spans="1:16" x14ac:dyDescent="0.4">
      <c r="A8" s="536"/>
    </row>
    <row r="9" spans="1:16" ht="11.25" customHeight="1" x14ac:dyDescent="0.4">
      <c r="A9" s="536"/>
      <c r="C9" s="2506" t="s">
        <v>6990</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row r="11" spans="1:16" x14ac:dyDescent="0.4">
      <c r="A11" s="536"/>
    </row>
    <row r="12" spans="1:16" x14ac:dyDescent="0.4">
      <c r="A12" s="536"/>
    </row>
    <row r="13" spans="1:16" x14ac:dyDescent="0.4">
      <c r="A13" s="536"/>
    </row>
    <row r="14" spans="1:16" x14ac:dyDescent="0.4">
      <c r="A14" s="536"/>
    </row>
    <row r="15" spans="1:16" x14ac:dyDescent="0.4">
      <c r="A15" s="536"/>
    </row>
    <row r="16" spans="1:16" x14ac:dyDescent="0.4">
      <c r="A16" s="536"/>
    </row>
    <row r="17" spans="1:1" x14ac:dyDescent="0.4">
      <c r="A17" s="536"/>
    </row>
    <row r="18" spans="1:1" x14ac:dyDescent="0.4">
      <c r="A18" s="536"/>
    </row>
    <row r="19" spans="1:1" x14ac:dyDescent="0.4">
      <c r="A19" s="536"/>
    </row>
    <row r="20" spans="1:1" x14ac:dyDescent="0.4">
      <c r="A20" s="536"/>
    </row>
    <row r="21" spans="1:1" x14ac:dyDescent="0.4">
      <c r="A21" s="536"/>
    </row>
    <row r="22" spans="1:1" x14ac:dyDescent="0.4">
      <c r="A22" s="536"/>
    </row>
    <row r="23" spans="1:1" x14ac:dyDescent="0.4">
      <c r="A23" s="536"/>
    </row>
    <row r="24" spans="1:1" x14ac:dyDescent="0.4">
      <c r="A24" s="536"/>
    </row>
    <row r="25" spans="1:1" x14ac:dyDescent="0.4">
      <c r="A25" s="536"/>
    </row>
    <row r="26" spans="1:1" x14ac:dyDescent="0.4">
      <c r="A26" s="536"/>
    </row>
    <row r="27" spans="1:1" x14ac:dyDescent="0.4">
      <c r="A27" s="536"/>
    </row>
    <row r="28" spans="1:1" x14ac:dyDescent="0.4">
      <c r="A28" s="53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8535FA98-B12F-4BAB-A0E1-7EC37DEDA457}"/>
    <hyperlink ref="C1:D1" location="'Metadato 16.10.1'!A1" display="VER METADATO" xr:uid="{3323C6DD-E1E7-4E13-B998-8CF2F083F974}"/>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B738-9E24-403F-9690-4C3A78FD48E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317</v>
      </c>
    </row>
    <row r="4" spans="2:6" ht="37.5" x14ac:dyDescent="0.25">
      <c r="B4" s="2425" t="s">
        <v>234</v>
      </c>
      <c r="C4" s="2425"/>
      <c r="D4" s="49" t="s">
        <v>7369</v>
      </c>
    </row>
    <row r="5" spans="2:6" ht="45" customHeight="1" x14ac:dyDescent="0.25">
      <c r="B5" s="2425" t="s">
        <v>79</v>
      </c>
      <c r="C5" s="2425"/>
      <c r="D5" s="49" t="s">
        <v>7331</v>
      </c>
    </row>
    <row r="6" spans="2:6" x14ac:dyDescent="0.25">
      <c r="B6" s="2425" t="s">
        <v>80</v>
      </c>
      <c r="C6" s="2425"/>
      <c r="D6" s="50" t="s">
        <v>7332</v>
      </c>
    </row>
    <row r="7" spans="2:6" ht="56.25" x14ac:dyDescent="0.25">
      <c r="B7" s="2426" t="s">
        <v>81</v>
      </c>
      <c r="C7" s="2426"/>
      <c r="D7" s="93" t="s">
        <v>7333</v>
      </c>
    </row>
    <row r="8" spans="2:6" x14ac:dyDescent="0.25">
      <c r="B8" s="2426" t="s">
        <v>82</v>
      </c>
      <c r="C8" s="2426"/>
      <c r="D8" s="1047" t="s">
        <v>7685</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49"/>
    </row>
    <row r="25" spans="2:4" x14ac:dyDescent="0.25">
      <c r="B25" s="2425" t="s">
        <v>113</v>
      </c>
      <c r="C25" s="2425"/>
      <c r="D25" s="55"/>
    </row>
    <row r="26" spans="2:4" x14ac:dyDescent="0.25">
      <c r="B26" s="2426" t="s">
        <v>115</v>
      </c>
      <c r="C26" s="2426"/>
      <c r="D26" s="49"/>
    </row>
    <row r="27" spans="2:4" x14ac:dyDescent="0.25">
      <c r="B27" s="2427" t="s">
        <v>117</v>
      </c>
      <c r="C27" s="2428"/>
      <c r="D27" s="49"/>
    </row>
    <row r="28" spans="2:4" ht="90" customHeight="1" x14ac:dyDescent="0.25">
      <c r="B28" s="60" t="s">
        <v>118</v>
      </c>
      <c r="C28" s="61"/>
      <c r="D28" s="55" t="s">
        <v>7686</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3080E79-8C35-492D-AD3B-D0CB1D79A81D}">
      <formula1>Tipo_operación</formula1>
    </dataValidation>
    <dataValidation type="list" allowBlank="1" showInputMessage="1" showErrorMessage="1" sqref="D14" xr:uid="{936D4F82-6192-49F4-912E-3D51777272F2}">
      <formula1>Tipo_indicador</formula1>
    </dataValidation>
    <dataValidation type="list" allowBlank="1" showInputMessage="1" showErrorMessage="1" sqref="D7" xr:uid="{6B542956-A5B3-4B60-B44C-97D94FAE81D6}">
      <formula1>Nombre_indicador_ODS</formula1>
    </dataValidation>
    <dataValidation type="list" allowBlank="1" showInputMessage="1" showErrorMessage="1" sqref="D6" xr:uid="{1C43509F-FD02-4E62-BFA1-22ED08D39C0C}">
      <formula1>Numero_indicador</formula1>
    </dataValidation>
    <dataValidation type="list" allowBlank="1" showInputMessage="1" showErrorMessage="1" sqref="D5" xr:uid="{7E3926EE-CC05-419E-B759-3886AA4AF3CC}">
      <formula1>Metas_ODS</formula1>
    </dataValidation>
    <dataValidation type="list" allowBlank="1" showInputMessage="1" showErrorMessage="1" sqref="D4" xr:uid="{540E4841-6C00-4A63-AC30-A09717D9967B}">
      <formula1>ODS</formula1>
    </dataValidation>
    <dataValidation allowBlank="1" showDropDown="1" showInputMessage="1" showErrorMessage="1" sqref="D13" xr:uid="{4ABADA47-E13B-4EE7-8003-2AB22A3566C0}"/>
  </dataValidations>
  <hyperlinks>
    <hyperlink ref="B1" location="'16.10.1'!A1" display="REGRESAR" xr:uid="{E1F7D630-09F4-42CC-875C-5B4D7C78E409}"/>
    <hyperlink ref="D8" r:id="rId1" xr:uid="{752E9ADA-2D86-45B2-8CAB-C5CD8A3FBE3A}"/>
  </hyperlinks>
  <pageMargins left="0.7" right="0.7" top="0.75" bottom="0.75" header="0.3" footer="0.3"/>
  <pageSetup orientation="portrait"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D58D-6C21-4764-B7D9-9276539ECC80}">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 style="115" customWidth="1"/>
    <col min="2" max="2" width="18.42578125" style="115" customWidth="1"/>
    <col min="3" max="3" width="11.7109375" style="1048" customWidth="1"/>
    <col min="4" max="5" width="11.7109375" style="115" customWidth="1"/>
    <col min="6" max="15" width="11.42578125" style="115"/>
    <col min="16" max="16" width="11.42578125" style="115" customWidth="1"/>
    <col min="17" max="16384" width="11.42578125" style="115"/>
  </cols>
  <sheetData>
    <row r="1" spans="1:17" x14ac:dyDescent="0.4">
      <c r="A1" s="90" t="s">
        <v>39</v>
      </c>
      <c r="B1" s="1311"/>
      <c r="C1" s="2541" t="s">
        <v>149</v>
      </c>
      <c r="D1" s="2541"/>
    </row>
    <row r="3" spans="1:17" ht="37.9" customHeight="1" x14ac:dyDescent="0.4">
      <c r="A3" s="3508" t="s">
        <v>41</v>
      </c>
      <c r="B3" s="3510"/>
      <c r="C3" s="3520" t="s">
        <v>7281</v>
      </c>
      <c r="D3" s="3529"/>
      <c r="E3" s="3529"/>
      <c r="F3" s="3529"/>
      <c r="G3" s="3529"/>
      <c r="H3" s="3529"/>
      <c r="I3" s="3529"/>
      <c r="J3" s="3529"/>
      <c r="K3" s="3529"/>
      <c r="L3" s="3529"/>
      <c r="M3" s="3529"/>
      <c r="N3" s="3529"/>
      <c r="O3" s="3529"/>
      <c r="P3" s="3532"/>
    </row>
    <row r="4" spans="1:17" ht="18.600000000000001" customHeight="1" x14ac:dyDescent="0.4">
      <c r="A4" s="3508" t="s">
        <v>42</v>
      </c>
      <c r="B4" s="3519"/>
      <c r="C4" s="3528" t="s">
        <v>7331</v>
      </c>
      <c r="D4" s="3531"/>
      <c r="E4" s="3531"/>
      <c r="F4" s="3531"/>
      <c r="G4" s="3531"/>
      <c r="H4" s="3531"/>
      <c r="I4" s="3531"/>
      <c r="J4" s="3531"/>
      <c r="K4" s="3531"/>
      <c r="L4" s="3531"/>
      <c r="M4" s="3531"/>
      <c r="N4" s="3531"/>
      <c r="O4" s="3531"/>
      <c r="P4" s="3531"/>
    </row>
    <row r="5" spans="1:17" ht="19.5" x14ac:dyDescent="0.4">
      <c r="A5" s="3508" t="s">
        <v>43</v>
      </c>
      <c r="B5" s="3519"/>
      <c r="C5" s="3527" t="s">
        <v>7335</v>
      </c>
      <c r="D5" s="3534"/>
      <c r="E5" s="3534"/>
      <c r="F5" s="3534"/>
      <c r="G5" s="3534"/>
      <c r="H5" s="3534"/>
      <c r="I5" s="3534"/>
      <c r="J5" s="3534"/>
      <c r="K5" s="3534"/>
      <c r="L5" s="3534"/>
      <c r="M5" s="3534"/>
      <c r="N5" s="3534"/>
      <c r="O5" s="3534"/>
      <c r="P5" s="3534"/>
    </row>
    <row r="6" spans="1:17" ht="19.5" x14ac:dyDescent="0.4">
      <c r="A6" s="3508" t="s">
        <v>132</v>
      </c>
      <c r="B6" s="3519"/>
      <c r="C6" s="3528" t="s">
        <v>242</v>
      </c>
      <c r="D6" s="3531"/>
      <c r="E6" s="3531"/>
      <c r="F6" s="3531"/>
      <c r="G6" s="3531"/>
      <c r="H6" s="3531"/>
      <c r="I6" s="3531"/>
      <c r="J6" s="3531"/>
      <c r="K6" s="3531"/>
      <c r="L6" s="3531"/>
      <c r="M6" s="3531"/>
      <c r="N6" s="3531"/>
      <c r="O6" s="3531"/>
      <c r="P6" s="3531"/>
    </row>
    <row r="7" spans="1:17" x14ac:dyDescent="0.4">
      <c r="A7" s="536"/>
    </row>
    <row r="8" spans="1:17" x14ac:dyDescent="0.4">
      <c r="A8" s="536"/>
    </row>
    <row r="9" spans="1:17" ht="11.25" customHeight="1" x14ac:dyDescent="0.4">
      <c r="C9" s="2506" t="s">
        <v>650</v>
      </c>
      <c r="D9" s="2506"/>
      <c r="E9" s="2506"/>
      <c r="F9" s="2506"/>
      <c r="G9" s="2506"/>
      <c r="H9" s="2506"/>
      <c r="I9" s="2506"/>
      <c r="J9" s="2506"/>
      <c r="K9" s="2506"/>
      <c r="L9" s="2506"/>
      <c r="M9" s="2506"/>
      <c r="N9" s="2506"/>
      <c r="O9" s="2506"/>
      <c r="P9" s="2506"/>
    </row>
    <row r="10" spans="1:17" ht="11.25" customHeight="1" x14ac:dyDescent="0.4">
      <c r="C10" s="2506"/>
      <c r="D10" s="2506"/>
      <c r="E10" s="2506"/>
      <c r="F10" s="2506"/>
      <c r="G10" s="2506"/>
      <c r="H10" s="2506"/>
      <c r="I10" s="2506"/>
      <c r="J10" s="2506"/>
      <c r="K10" s="2506"/>
      <c r="L10" s="2506"/>
      <c r="M10" s="2506"/>
      <c r="N10" s="2506"/>
      <c r="O10" s="2506"/>
      <c r="P10" s="2506"/>
    </row>
    <row r="11" spans="1:17" x14ac:dyDescent="0.4">
      <c r="C11" s="221"/>
      <c r="D11" s="220"/>
      <c r="E11" s="220"/>
      <c r="F11" s="220"/>
      <c r="G11" s="220"/>
      <c r="H11" s="220"/>
      <c r="I11" s="220"/>
      <c r="J11" s="220"/>
      <c r="K11" s="220"/>
      <c r="L11" s="220"/>
      <c r="M11" s="220"/>
      <c r="N11" s="220"/>
      <c r="O11" s="220"/>
      <c r="P11" s="220"/>
      <c r="Q11" s="220"/>
    </row>
    <row r="12" spans="1:17" x14ac:dyDescent="0.4">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494" t="s">
        <v>316</v>
      </c>
      <c r="D17" s="2494"/>
      <c r="E17" s="2494"/>
      <c r="F17" s="2494"/>
      <c r="G17" s="2494"/>
      <c r="H17" s="2494"/>
      <c r="I17" s="2494"/>
      <c r="J17" s="2494"/>
      <c r="K17" s="2494"/>
      <c r="L17" s="2494"/>
      <c r="M17" s="2494"/>
      <c r="N17" s="2494"/>
      <c r="O17" s="2494"/>
      <c r="P17" s="2494"/>
      <c r="Q17" s="2494"/>
    </row>
    <row r="18" spans="3:17" x14ac:dyDescent="0.4">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6.'!A1" display="REGRESAR" xr:uid="{9C04F872-2CDC-4933-98E9-95AA407835D1}"/>
    <hyperlink ref="C1:D1" location="'Metadato 16.10.2'!A1" display="VER METADATO" xr:uid="{87C8AA1A-CE6A-4331-BAE5-DFE68CAFFD66}"/>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50DD-CEFA-4E6D-AC84-331AE2D2B8E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244</v>
      </c>
    </row>
    <row r="4" spans="1:6" ht="37.5" x14ac:dyDescent="0.25">
      <c r="A4" s="224"/>
      <c r="B4" s="2445" t="s">
        <v>234</v>
      </c>
      <c r="C4" s="2445"/>
      <c r="D4" s="49" t="s">
        <v>396</v>
      </c>
    </row>
    <row r="5" spans="1:6" ht="93.75" x14ac:dyDescent="0.25">
      <c r="B5" s="2445" t="s">
        <v>79</v>
      </c>
      <c r="C5" s="2445"/>
      <c r="D5" s="49" t="s">
        <v>417</v>
      </c>
    </row>
    <row r="6" spans="1:6" x14ac:dyDescent="0.25">
      <c r="B6" s="2445" t="s">
        <v>80</v>
      </c>
      <c r="C6" s="2445"/>
      <c r="D6" s="50" t="s">
        <v>420</v>
      </c>
    </row>
    <row r="7" spans="1:6" x14ac:dyDescent="0.25">
      <c r="B7" s="2446" t="s">
        <v>81</v>
      </c>
      <c r="C7" s="2446"/>
      <c r="D7" s="93" t="s">
        <v>421</v>
      </c>
    </row>
    <row r="8" spans="1:6" x14ac:dyDescent="0.25">
      <c r="B8" s="2446" t="s">
        <v>82</v>
      </c>
      <c r="C8" s="2446"/>
      <c r="D8" s="94" t="s">
        <v>627</v>
      </c>
    </row>
    <row r="9" spans="1:6" x14ac:dyDescent="0.4">
      <c r="B9" s="5"/>
      <c r="C9" s="5"/>
      <c r="D9" s="5"/>
    </row>
    <row r="10" spans="1:6" ht="23.25" customHeight="1" x14ac:dyDescent="0.25">
      <c r="B10" s="2514" t="s">
        <v>85</v>
      </c>
      <c r="C10" s="2514"/>
      <c r="D10" s="2514"/>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x14ac:dyDescent="0.25">
      <c r="B28" s="97" t="s">
        <v>118</v>
      </c>
      <c r="C28" s="98"/>
      <c r="D28" s="49"/>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t="s">
        <v>621</v>
      </c>
    </row>
    <row r="33" spans="2:4" x14ac:dyDescent="0.25">
      <c r="B33" s="2442" t="s">
        <v>124</v>
      </c>
      <c r="C33" s="2443"/>
      <c r="D33" s="55" t="s">
        <v>622</v>
      </c>
    </row>
    <row r="34" spans="2:4" x14ac:dyDescent="0.25">
      <c r="B34" s="2442" t="s">
        <v>126</v>
      </c>
      <c r="C34" s="2443"/>
      <c r="D34" s="185" t="s">
        <v>623</v>
      </c>
    </row>
    <row r="35" spans="2:4" x14ac:dyDescent="0.25">
      <c r="B35" s="2442" t="s">
        <v>128</v>
      </c>
      <c r="C35" s="2443"/>
      <c r="D35" s="186" t="s">
        <v>624</v>
      </c>
    </row>
    <row r="36" spans="2:4" x14ac:dyDescent="0.25">
      <c r="B36" s="2442" t="s">
        <v>130</v>
      </c>
      <c r="C36" s="2443"/>
      <c r="D36" s="364" t="s">
        <v>625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DC54D02-ECB3-4C7B-BFF8-E788C58C68E9}">
      <formula1>Tipo_operación</formula1>
    </dataValidation>
    <dataValidation type="list" allowBlank="1" showInputMessage="1" showErrorMessage="1" sqref="D14" xr:uid="{9BC36351-ACAF-4EB6-98F8-74063679DAB5}">
      <formula1>Tipo_indicador</formula1>
    </dataValidation>
    <dataValidation type="list" allowBlank="1" showInputMessage="1" showErrorMessage="1" sqref="D7" xr:uid="{DB610D0F-0CC1-4741-BA37-237DBB8FCD89}">
      <formula1>Nombre_indicador_ODS</formula1>
    </dataValidation>
    <dataValidation type="list" allowBlank="1" showInputMessage="1" showErrorMessage="1" sqref="D6" xr:uid="{4B414CD0-FD24-45AA-8D24-05CB3EC12DE2}">
      <formula1>Numero_indicador</formula1>
    </dataValidation>
    <dataValidation type="list" allowBlank="1" showInputMessage="1" showErrorMessage="1" sqref="D5" xr:uid="{E1130976-BBDD-4354-BE10-F8D56313015E}">
      <formula1>Metas_ODS</formula1>
    </dataValidation>
    <dataValidation type="list" allowBlank="1" showInputMessage="1" showErrorMessage="1" sqref="D4" xr:uid="{C70ABBB9-0429-4B07-97A8-4834D373A0FB}">
      <formula1>ODS</formula1>
    </dataValidation>
    <dataValidation allowBlank="1" showDropDown="1" showInputMessage="1" showErrorMessage="1" sqref="D13" xr:uid="{ADF04C13-134F-4ED9-92C4-4F1D51CB4FE6}"/>
  </dataValidations>
  <hyperlinks>
    <hyperlink ref="B1" location="'2.5.2'!A1" display="REGRESAR" xr:uid="{D30C1F1E-67A2-433B-A3A4-3E4A84281B99}"/>
    <hyperlink ref="D36" r:id="rId1" xr:uid="{386DDA2D-2AC3-4545-8253-65965956EA46}"/>
    <hyperlink ref="D8" r:id="rId2" xr:uid="{5D276C4D-5C25-42D1-A72D-AE4EA4443603}"/>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E4E8-56AC-4A8A-B4BE-18031B8AA570}">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286" t="s">
        <v>317</v>
      </c>
    </row>
    <row r="4" spans="2:6" ht="37.5" x14ac:dyDescent="0.25">
      <c r="B4" s="2425" t="s">
        <v>234</v>
      </c>
      <c r="C4" s="2425"/>
      <c r="D4" s="49" t="s">
        <v>7369</v>
      </c>
    </row>
    <row r="5" spans="2:6" ht="37.5" x14ac:dyDescent="0.25">
      <c r="B5" s="2425" t="s">
        <v>79</v>
      </c>
      <c r="C5" s="2425"/>
      <c r="D5" s="49" t="s">
        <v>7331</v>
      </c>
    </row>
    <row r="6" spans="2:6" x14ac:dyDescent="0.25">
      <c r="B6" s="2425" t="s">
        <v>80</v>
      </c>
      <c r="C6" s="2425"/>
      <c r="D6" s="50" t="s">
        <v>7334</v>
      </c>
    </row>
    <row r="7" spans="2:6" ht="37.5" x14ac:dyDescent="0.25">
      <c r="B7" s="2426" t="s">
        <v>81</v>
      </c>
      <c r="C7" s="2426"/>
      <c r="D7" s="93" t="s">
        <v>7335</v>
      </c>
    </row>
    <row r="8" spans="2:6" x14ac:dyDescent="0.25">
      <c r="B8" s="2426" t="s">
        <v>165</v>
      </c>
      <c r="C8" s="2426"/>
      <c r="D8" s="1047" t="s">
        <v>7687</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321</v>
      </c>
    </row>
    <row r="25" spans="2:4" x14ac:dyDescent="0.25">
      <c r="B25" s="2425" t="s">
        <v>113</v>
      </c>
      <c r="C25" s="2425"/>
      <c r="D25" s="55"/>
    </row>
    <row r="26" spans="2:4" x14ac:dyDescent="0.25">
      <c r="B26" s="2426" t="s">
        <v>115</v>
      </c>
      <c r="C26" s="2426"/>
      <c r="D26" s="49"/>
    </row>
    <row r="27" spans="2:4" x14ac:dyDescent="0.25">
      <c r="B27" s="2427" t="s">
        <v>117</v>
      </c>
      <c r="C27" s="2428"/>
      <c r="D27" s="49"/>
    </row>
    <row r="28" spans="2:4" ht="105" customHeight="1" x14ac:dyDescent="0.25">
      <c r="B28" s="60" t="s">
        <v>118</v>
      </c>
      <c r="C28" s="61"/>
      <c r="D28" s="55" t="s">
        <v>7688</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A942613-6D3A-43A7-8C87-2AEAEE3EBEBB}">
      <formula1>Tipo_operación</formula1>
    </dataValidation>
    <dataValidation type="list" allowBlank="1" showInputMessage="1" showErrorMessage="1" sqref="D14" xr:uid="{78DC39D2-0C17-4459-BF89-8A9F7954934A}">
      <formula1>Tipo_indicador</formula1>
    </dataValidation>
    <dataValidation type="list" allowBlank="1" showInputMessage="1" showErrorMessage="1" sqref="D7" xr:uid="{BDB6E0B0-CEE3-4E87-B80F-8CEE32AA4E7E}">
      <formula1>Nombre_indicador_ODS</formula1>
    </dataValidation>
    <dataValidation type="list" allowBlank="1" showInputMessage="1" showErrorMessage="1" sqref="D6" xr:uid="{94A1E324-EEAD-4737-8D50-EFA23AECD1C9}">
      <formula1>Numero_indicador</formula1>
    </dataValidation>
    <dataValidation type="list" allowBlank="1" showInputMessage="1" showErrorMessage="1" sqref="D5" xr:uid="{DBDCD04B-1562-4279-9A3C-2974CDBD99CE}">
      <formula1>Metas_ODS</formula1>
    </dataValidation>
    <dataValidation type="list" allowBlank="1" showInputMessage="1" showErrorMessage="1" sqref="D4" xr:uid="{90179700-6845-48BA-8558-95A9B3AE00AF}">
      <formula1>ODS</formula1>
    </dataValidation>
    <dataValidation allowBlank="1" showDropDown="1" showInputMessage="1" showErrorMessage="1" sqref="D13" xr:uid="{B5266B49-97C9-44E9-9096-F8C72E3D7491}"/>
  </dataValidations>
  <hyperlinks>
    <hyperlink ref="B1" location="'16.10.2'!A1" display="REGRESAR" xr:uid="{8DAC0B4E-BAA7-46FE-9D80-ACFB971F721E}"/>
    <hyperlink ref="D8" r:id="rId1" xr:uid="{376FB744-4FD3-4710-9D76-599CC3EE668C}"/>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2066-758C-4A84-9833-6EB6B55D9EB2}">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9" style="115" customWidth="1"/>
    <col min="3" max="3" width="11.7109375" style="1048" customWidth="1"/>
    <col min="4" max="6" width="11.7109375" style="115" customWidth="1"/>
    <col min="7" max="16384" width="11.42578125" style="115"/>
  </cols>
  <sheetData>
    <row r="1" spans="1:17" x14ac:dyDescent="0.4">
      <c r="A1" s="90" t="s">
        <v>39</v>
      </c>
      <c r="B1" s="1311"/>
      <c r="C1" s="2492" t="s">
        <v>149</v>
      </c>
      <c r="D1" s="2492"/>
    </row>
    <row r="3" spans="1:17" ht="36.6" customHeight="1" x14ac:dyDescent="0.4">
      <c r="A3" s="3508" t="s">
        <v>41</v>
      </c>
      <c r="B3" s="3510"/>
      <c r="C3" s="3520" t="s">
        <v>7281</v>
      </c>
      <c r="D3" s="3529"/>
      <c r="E3" s="3529"/>
      <c r="F3" s="3529"/>
      <c r="G3" s="3529"/>
      <c r="H3" s="3529"/>
      <c r="I3" s="3529"/>
      <c r="J3" s="3529"/>
      <c r="K3" s="3529"/>
      <c r="L3" s="3529"/>
      <c r="M3" s="3529"/>
      <c r="N3" s="3529"/>
      <c r="O3" s="3529"/>
      <c r="P3" s="3532"/>
    </row>
    <row r="4" spans="1:17" ht="41.45" customHeight="1" x14ac:dyDescent="0.4">
      <c r="A4" s="3508" t="s">
        <v>42</v>
      </c>
      <c r="B4" s="3519"/>
      <c r="C4" s="3527" t="s">
        <v>7336</v>
      </c>
      <c r="D4" s="3534"/>
      <c r="E4" s="3534"/>
      <c r="F4" s="3534"/>
      <c r="G4" s="3534"/>
      <c r="H4" s="3534"/>
      <c r="I4" s="3534"/>
      <c r="J4" s="3534"/>
      <c r="K4" s="3534"/>
      <c r="L4" s="3534"/>
      <c r="M4" s="3534"/>
      <c r="N4" s="3534"/>
      <c r="O4" s="3534"/>
      <c r="P4" s="3534"/>
    </row>
    <row r="5" spans="1:17" ht="18.600000000000001" customHeight="1" x14ac:dyDescent="0.4">
      <c r="A5" s="3508" t="s">
        <v>43</v>
      </c>
      <c r="B5" s="3519"/>
      <c r="C5" s="3527" t="s">
        <v>7338</v>
      </c>
      <c r="D5" s="3534"/>
      <c r="E5" s="3534"/>
      <c r="F5" s="3534"/>
      <c r="G5" s="3534"/>
      <c r="H5" s="3534"/>
      <c r="I5" s="3534"/>
      <c r="J5" s="3534"/>
      <c r="K5" s="3534"/>
      <c r="L5" s="3534"/>
      <c r="M5" s="3534"/>
      <c r="N5" s="3534"/>
      <c r="O5" s="3534"/>
      <c r="P5" s="3534"/>
    </row>
    <row r="6" spans="1:17" ht="19.5" x14ac:dyDescent="0.4">
      <c r="A6" s="3508" t="s">
        <v>132</v>
      </c>
      <c r="B6" s="3519"/>
      <c r="C6" s="3528" t="s">
        <v>242</v>
      </c>
      <c r="D6" s="3531"/>
      <c r="E6" s="3531"/>
      <c r="F6" s="3531"/>
      <c r="G6" s="3531"/>
      <c r="H6" s="3531"/>
      <c r="I6" s="3531"/>
      <c r="J6" s="3531"/>
      <c r="K6" s="3531"/>
      <c r="L6" s="3531"/>
      <c r="M6" s="3531"/>
      <c r="N6" s="3531"/>
      <c r="O6" s="3531"/>
      <c r="P6" s="3531"/>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21"/>
      <c r="D17" s="220"/>
      <c r="E17" s="220"/>
      <c r="F17" s="220"/>
      <c r="G17" s="220"/>
      <c r="H17" s="220"/>
      <c r="I17" s="220"/>
      <c r="J17" s="220"/>
      <c r="K17" s="220"/>
      <c r="L17" s="220"/>
      <c r="M17" s="220"/>
      <c r="N17" s="220"/>
      <c r="O17" s="220"/>
      <c r="P17" s="220"/>
      <c r="Q17" s="220"/>
    </row>
    <row r="18" spans="1:17" x14ac:dyDescent="0.4">
      <c r="A18" s="536"/>
      <c r="C18" s="2494" t="s">
        <v>316</v>
      </c>
      <c r="D18" s="2494"/>
      <c r="E18" s="2494"/>
      <c r="F18" s="2494"/>
      <c r="G18" s="2494"/>
      <c r="H18" s="2494"/>
      <c r="I18" s="2494"/>
      <c r="J18" s="2494"/>
      <c r="K18" s="2494"/>
      <c r="L18" s="2494"/>
      <c r="M18" s="2494"/>
      <c r="N18" s="2494"/>
      <c r="O18" s="2494"/>
      <c r="P18" s="2494"/>
      <c r="Q18" s="2494"/>
    </row>
    <row r="19" spans="1:17" x14ac:dyDescent="0.4">
      <c r="A19" s="536"/>
      <c r="C19" s="221"/>
      <c r="D19" s="220"/>
      <c r="E19" s="220"/>
      <c r="F19" s="220"/>
      <c r="G19" s="220"/>
      <c r="H19" s="220"/>
      <c r="I19" s="220"/>
      <c r="J19" s="220"/>
      <c r="K19" s="220"/>
      <c r="L19" s="220"/>
      <c r="M19" s="220"/>
      <c r="N19" s="220"/>
      <c r="O19" s="220"/>
      <c r="P19" s="220"/>
      <c r="Q19" s="220"/>
    </row>
    <row r="20" spans="1:17" x14ac:dyDescent="0.4">
      <c r="A20" s="536"/>
    </row>
  </sheetData>
  <mergeCells count="11">
    <mergeCell ref="A6:B6"/>
    <mergeCell ref="C6:P6"/>
    <mergeCell ref="C9:P10"/>
    <mergeCell ref="C18:Q18"/>
    <mergeCell ref="C1:D1"/>
    <mergeCell ref="A3:B3"/>
    <mergeCell ref="C3:P3"/>
    <mergeCell ref="A4:B4"/>
    <mergeCell ref="C4:P4"/>
    <mergeCell ref="A5:B5"/>
    <mergeCell ref="C5:P5"/>
  </mergeCells>
  <hyperlinks>
    <hyperlink ref="A1" location="'ODS 16.'!A1" display="REGRESAR" xr:uid="{86199E07-F7B7-4251-BB76-760675F3C3C0}"/>
    <hyperlink ref="C1:D1" location="'Metadato 16.a.1'!A1" display="VER METADATO" xr:uid="{CFBFB9EB-22E6-469E-A3D4-79F63A665767}"/>
  </hyperlinks>
  <pageMargins left="0.7" right="0.7" top="0.75" bottom="0.75" header="0.3" footer="0.3"/>
  <drawing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0E23-FA02-45AA-A040-FC37DA8DEFA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317</v>
      </c>
    </row>
    <row r="4" spans="2:6" ht="37.5" x14ac:dyDescent="0.25">
      <c r="B4" s="2425" t="s">
        <v>234</v>
      </c>
      <c r="C4" s="2425"/>
      <c r="D4" s="49" t="s">
        <v>7369</v>
      </c>
    </row>
    <row r="5" spans="2:6" ht="56.25" x14ac:dyDescent="0.25">
      <c r="B5" s="2425" t="s">
        <v>79</v>
      </c>
      <c r="C5" s="2425"/>
      <c r="D5" s="49" t="s">
        <v>7336</v>
      </c>
    </row>
    <row r="6" spans="2:6" x14ac:dyDescent="0.25">
      <c r="B6" s="2425" t="s">
        <v>80</v>
      </c>
      <c r="C6" s="2425"/>
      <c r="D6" s="50" t="s">
        <v>7337</v>
      </c>
    </row>
    <row r="7" spans="2:6" ht="37.5" x14ac:dyDescent="0.25">
      <c r="B7" s="2426" t="s">
        <v>81</v>
      </c>
      <c r="C7" s="2426"/>
      <c r="D7" s="93" t="s">
        <v>7338</v>
      </c>
    </row>
    <row r="8" spans="2:6" x14ac:dyDescent="0.25">
      <c r="B8" s="2426" t="s">
        <v>82</v>
      </c>
      <c r="C8" s="2426"/>
      <c r="D8" s="1047" t="s">
        <v>7689</v>
      </c>
    </row>
    <row r="9" spans="2:6" x14ac:dyDescent="0.4">
      <c r="B9" s="115"/>
      <c r="C9" s="115"/>
      <c r="D9" s="115"/>
    </row>
    <row r="10" spans="2:6" ht="19.5"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49"/>
    </row>
    <row r="25" spans="2:4" x14ac:dyDescent="0.25">
      <c r="B25" s="2425" t="s">
        <v>113</v>
      </c>
      <c r="C25" s="2425"/>
      <c r="D25" s="55"/>
    </row>
    <row r="26" spans="2:4" x14ac:dyDescent="0.25">
      <c r="B26" s="2426" t="s">
        <v>115</v>
      </c>
      <c r="C26" s="2426"/>
      <c r="D26" s="49"/>
    </row>
    <row r="27" spans="2:4" x14ac:dyDescent="0.25">
      <c r="B27" s="2427" t="s">
        <v>117</v>
      </c>
      <c r="C27" s="2428"/>
      <c r="D27" s="49"/>
    </row>
    <row r="28" spans="2:4" ht="75" x14ac:dyDescent="0.25">
      <c r="B28" s="60" t="s">
        <v>118</v>
      </c>
      <c r="C28" s="61"/>
      <c r="D28" s="55" t="s">
        <v>7690</v>
      </c>
    </row>
    <row r="29" spans="2:4" x14ac:dyDescent="0.25">
      <c r="B29" s="2429" t="s">
        <v>120</v>
      </c>
      <c r="C29" s="2430"/>
      <c r="D29" s="62"/>
    </row>
    <row r="30" spans="2:4" x14ac:dyDescent="0.25">
      <c r="B30" s="63"/>
      <c r="C30" s="63"/>
      <c r="D30" s="64"/>
    </row>
    <row r="31" spans="2:4" ht="19.5" x14ac:dyDescent="0.25">
      <c r="B31" s="3514" t="s">
        <v>121</v>
      </c>
      <c r="C31" s="3514"/>
      <c r="D31" s="3514"/>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27CFAC7-165B-4C8D-A11E-78BC18AA9E9B}">
      <formula1>Tipo_operación</formula1>
    </dataValidation>
    <dataValidation type="list" allowBlank="1" showInputMessage="1" showErrorMessage="1" sqref="D14" xr:uid="{6FED7AE3-C64B-4D9D-86D0-9A776DDA8390}">
      <formula1>Tipo_indicador</formula1>
    </dataValidation>
    <dataValidation type="list" allowBlank="1" showInputMessage="1" showErrorMessage="1" sqref="D7" xr:uid="{09CB40A1-9CE8-4705-A979-496BE090F823}">
      <formula1>Nombre_indicador_ODS</formula1>
    </dataValidation>
    <dataValidation type="list" allowBlank="1" showInputMessage="1" showErrorMessage="1" sqref="D6" xr:uid="{CD327A75-5AF7-4404-803F-C2796777152D}">
      <formula1>Numero_indicador</formula1>
    </dataValidation>
    <dataValidation type="list" allowBlank="1" showInputMessage="1" showErrorMessage="1" sqref="D5" xr:uid="{B6D60D80-D579-4980-9D6B-8A0EA0D76A43}">
      <formula1>Metas_ODS</formula1>
    </dataValidation>
    <dataValidation type="list" allowBlank="1" showInputMessage="1" showErrorMessage="1" sqref="D4" xr:uid="{A67E0FE2-035B-4B87-B54A-2CA84C9B2EC6}">
      <formula1>ODS</formula1>
    </dataValidation>
    <dataValidation allowBlank="1" showDropDown="1" showInputMessage="1" showErrorMessage="1" sqref="D13" xr:uid="{9569D70C-7571-4EBE-9617-D0D983E1100B}"/>
  </dataValidations>
  <hyperlinks>
    <hyperlink ref="B1" location="'16.a.1'!A1" display="REGRESAR" xr:uid="{0EB9CB82-5E1A-4193-A455-C8B3E213B94E}"/>
    <hyperlink ref="D8" r:id="rId1" xr:uid="{50CB3935-22A6-4A54-994E-B767FFD7CFF8}"/>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5BEB-4EF7-41C8-B7D2-AC1905BEC703}">
  <dimension ref="A1:O3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6.28515625" style="115" customWidth="1"/>
    <col min="3" max="3" width="39.140625" style="1048" customWidth="1"/>
    <col min="4" max="6" width="12.28515625" style="115" customWidth="1"/>
    <col min="7" max="16384" width="11.42578125" style="115"/>
  </cols>
  <sheetData>
    <row r="1" spans="1:15" x14ac:dyDescent="0.4">
      <c r="A1" s="90" t="s">
        <v>39</v>
      </c>
      <c r="B1" s="1311"/>
      <c r="C1" s="90" t="s">
        <v>149</v>
      </c>
    </row>
    <row r="3" spans="1:15" ht="37.9" customHeight="1" x14ac:dyDescent="0.4">
      <c r="A3" s="3508" t="s">
        <v>41</v>
      </c>
      <c r="B3" s="3510"/>
      <c r="C3" s="3520" t="s">
        <v>7281</v>
      </c>
      <c r="D3" s="3529"/>
      <c r="E3" s="3529"/>
      <c r="F3" s="3529"/>
      <c r="G3" s="3529"/>
      <c r="H3" s="3529"/>
      <c r="I3" s="3529"/>
      <c r="J3" s="3529"/>
      <c r="K3" s="3529"/>
      <c r="L3" s="3529"/>
      <c r="M3" s="3529"/>
      <c r="N3" s="3529"/>
      <c r="O3" s="3532"/>
    </row>
    <row r="4" spans="1:15" ht="19.899999999999999" customHeight="1" x14ac:dyDescent="0.4">
      <c r="A4" s="3508" t="s">
        <v>42</v>
      </c>
      <c r="B4" s="3519"/>
      <c r="C4" s="3528" t="s">
        <v>7339</v>
      </c>
      <c r="D4" s="3531"/>
      <c r="E4" s="3531"/>
      <c r="F4" s="3531"/>
      <c r="G4" s="3531"/>
      <c r="H4" s="3531"/>
      <c r="I4" s="3531"/>
      <c r="J4" s="3531"/>
      <c r="K4" s="3531"/>
      <c r="L4" s="3531"/>
      <c r="M4" s="3531"/>
      <c r="N4" s="3531"/>
      <c r="O4" s="3531"/>
    </row>
    <row r="5" spans="1:15" ht="37.15" customHeight="1" x14ac:dyDescent="0.4">
      <c r="A5" s="3508" t="s">
        <v>43</v>
      </c>
      <c r="B5" s="3519"/>
      <c r="C5" s="3527" t="s">
        <v>7341</v>
      </c>
      <c r="D5" s="3534"/>
      <c r="E5" s="3534"/>
      <c r="F5" s="3534"/>
      <c r="G5" s="3534"/>
      <c r="H5" s="3534"/>
      <c r="I5" s="3534"/>
      <c r="J5" s="3534"/>
      <c r="K5" s="3534"/>
      <c r="L5" s="3534"/>
      <c r="M5" s="3534"/>
      <c r="N5" s="3534"/>
      <c r="O5" s="3534"/>
    </row>
    <row r="6" spans="1:15" ht="36.6" customHeight="1" x14ac:dyDescent="0.4">
      <c r="A6" s="3508" t="s">
        <v>132</v>
      </c>
      <c r="B6" s="3519"/>
      <c r="C6" s="3527" t="s">
        <v>7691</v>
      </c>
      <c r="D6" s="3531"/>
      <c r="E6" s="3531"/>
      <c r="F6" s="3531"/>
      <c r="G6" s="3531"/>
      <c r="H6" s="3531"/>
      <c r="I6" s="3531"/>
      <c r="J6" s="3531"/>
      <c r="K6" s="3531"/>
      <c r="L6" s="3531"/>
      <c r="M6" s="3531"/>
      <c r="N6" s="3531"/>
      <c r="O6" s="3531"/>
    </row>
    <row r="7" spans="1:15" x14ac:dyDescent="0.4">
      <c r="A7" s="536"/>
    </row>
    <row r="8" spans="1:15" x14ac:dyDescent="0.4">
      <c r="A8" s="536"/>
    </row>
    <row r="9" spans="1:15" ht="18.600000000000001" customHeight="1" x14ac:dyDescent="0.4">
      <c r="A9" s="536"/>
      <c r="C9" s="163" t="s">
        <v>7692</v>
      </c>
      <c r="D9" s="163"/>
      <c r="E9" s="163"/>
      <c r="F9" s="163"/>
      <c r="I9" s="2812" t="s">
        <v>7693</v>
      </c>
      <c r="J9" s="2812"/>
      <c r="K9" s="2812"/>
    </row>
    <row r="10" spans="1:15" ht="19.5" x14ac:dyDescent="0.4">
      <c r="A10" s="536"/>
      <c r="C10" s="138" t="s">
        <v>7694</v>
      </c>
      <c r="D10" s="138"/>
      <c r="E10" s="138"/>
      <c r="F10" s="138"/>
      <c r="I10" s="2812"/>
      <c r="J10" s="2812"/>
      <c r="K10" s="2812"/>
    </row>
    <row r="11" spans="1:15" ht="12" customHeight="1" x14ac:dyDescent="0.4">
      <c r="A11" s="536"/>
      <c r="C11" s="533"/>
      <c r="D11" s="533"/>
      <c r="E11" s="533"/>
      <c r="F11" s="533"/>
      <c r="I11" s="1422"/>
      <c r="J11" s="1422"/>
      <c r="K11" s="1422"/>
    </row>
    <row r="12" spans="1:15" ht="56.25" x14ac:dyDescent="0.4">
      <c r="A12" s="536"/>
      <c r="C12" s="2101" t="s">
        <v>5657</v>
      </c>
      <c r="D12" s="2101" t="s">
        <v>47</v>
      </c>
      <c r="E12" s="2101" t="s">
        <v>5658</v>
      </c>
      <c r="F12" s="2101" t="s">
        <v>5659</v>
      </c>
    </row>
    <row r="13" spans="1:15" x14ac:dyDescent="0.4">
      <c r="A13" s="536"/>
      <c r="C13" s="1619" t="s">
        <v>47</v>
      </c>
      <c r="D13" s="1620">
        <v>100</v>
      </c>
      <c r="E13" s="1620">
        <v>100</v>
      </c>
      <c r="F13" s="1620">
        <v>100</v>
      </c>
    </row>
    <row r="14" spans="1:15" x14ac:dyDescent="0.4">
      <c r="A14" s="536"/>
      <c r="C14" s="1621" t="s">
        <v>5660</v>
      </c>
      <c r="D14" s="1622">
        <v>87.108640120889916</v>
      </c>
      <c r="E14" s="1622">
        <v>89.511208255418325</v>
      </c>
      <c r="F14" s="1622">
        <v>75.937075555223714</v>
      </c>
    </row>
    <row r="15" spans="1:15" x14ac:dyDescent="0.4">
      <c r="A15" s="536"/>
      <c r="C15" s="1621" t="s">
        <v>5661</v>
      </c>
      <c r="D15" s="1622">
        <v>12.769633619043667</v>
      </c>
      <c r="E15" s="1622">
        <v>10.378354112387887</v>
      </c>
      <c r="F15" s="1622">
        <v>23.88870783768219</v>
      </c>
    </row>
    <row r="16" spans="1:15" ht="19.5" x14ac:dyDescent="0.4">
      <c r="A16" s="536"/>
      <c r="C16" s="1623" t="s">
        <v>5662</v>
      </c>
      <c r="D16" s="1624">
        <v>0.12172626006636378</v>
      </c>
      <c r="E16" s="1624">
        <v>0.11043763219354447</v>
      </c>
      <c r="F16" s="1624" t="s">
        <v>5663</v>
      </c>
    </row>
    <row r="17" spans="3:9" ht="19.899999999999999" customHeight="1" x14ac:dyDescent="0.4">
      <c r="C17" s="243" t="s">
        <v>5664</v>
      </c>
      <c r="D17" s="243"/>
      <c r="E17" s="243"/>
      <c r="F17" s="243"/>
    </row>
    <row r="18" spans="3:9" ht="18.600000000000001" customHeight="1" x14ac:dyDescent="0.4">
      <c r="C18" s="2196" t="s">
        <v>5665</v>
      </c>
      <c r="D18" s="2196"/>
      <c r="E18" s="2196"/>
      <c r="F18" s="2196"/>
    </row>
    <row r="22" spans="3:9" ht="18.600000000000001" customHeight="1" x14ac:dyDescent="0.4">
      <c r="C22" s="163" t="s">
        <v>5666</v>
      </c>
      <c r="D22" s="163"/>
      <c r="E22" s="163"/>
      <c r="F22" s="163"/>
      <c r="G22" s="163"/>
      <c r="H22" s="163"/>
      <c r="I22" s="163"/>
    </row>
    <row r="23" spans="3:9" ht="10.9" customHeight="1" x14ac:dyDescent="0.4">
      <c r="C23" s="533"/>
      <c r="D23" s="533"/>
      <c r="E23" s="533"/>
      <c r="F23" s="533"/>
      <c r="G23" s="533"/>
      <c r="H23" s="533"/>
      <c r="I23" s="533"/>
    </row>
    <row r="24" spans="3:9" x14ac:dyDescent="0.4">
      <c r="C24" s="3526" t="s">
        <v>5667</v>
      </c>
      <c r="D24" s="3504" t="s">
        <v>47</v>
      </c>
      <c r="E24" s="3504"/>
      <c r="F24" s="3504" t="s">
        <v>5658</v>
      </c>
      <c r="G24" s="3504"/>
      <c r="H24" s="3504" t="s">
        <v>5659</v>
      </c>
      <c r="I24" s="3504"/>
    </row>
    <row r="25" spans="3:9" x14ac:dyDescent="0.4">
      <c r="C25" s="3507"/>
      <c r="D25" s="2104" t="s">
        <v>5668</v>
      </c>
      <c r="E25" s="2104" t="s">
        <v>5669</v>
      </c>
      <c r="F25" s="2104" t="s">
        <v>5668</v>
      </c>
      <c r="G25" s="2104" t="s">
        <v>5669</v>
      </c>
      <c r="H25" s="2104" t="s">
        <v>5668</v>
      </c>
      <c r="I25" s="2104" t="s">
        <v>5669</v>
      </c>
    </row>
    <row r="26" spans="3:9" x14ac:dyDescent="0.4">
      <c r="C26" s="1625" t="s">
        <v>5670</v>
      </c>
      <c r="D26" s="1626">
        <v>82911.013955317772</v>
      </c>
      <c r="E26" s="1622">
        <v>17.787874020208001</v>
      </c>
      <c r="F26" s="1626">
        <v>27535.277973928674</v>
      </c>
      <c r="G26" s="1622">
        <v>8.8318020474993091</v>
      </c>
      <c r="H26" s="1626">
        <v>55375.735981389131</v>
      </c>
      <c r="I26" s="1622">
        <v>35.880086852031404</v>
      </c>
    </row>
    <row r="27" spans="3:9" x14ac:dyDescent="0.4">
      <c r="C27" s="1625" t="s">
        <v>5671</v>
      </c>
      <c r="D27" s="1626">
        <v>119291.24588358146</v>
      </c>
      <c r="E27" s="1622">
        <v>25.592952639975604</v>
      </c>
      <c r="F27" s="1626">
        <v>83593.028017745688</v>
      </c>
      <c r="G27" s="1622">
        <v>26.812043688203204</v>
      </c>
      <c r="H27" s="1626">
        <v>35698.217865835752</v>
      </c>
      <c r="I27" s="1622">
        <v>23.130259757078502</v>
      </c>
    </row>
    <row r="28" spans="3:9" x14ac:dyDescent="0.4">
      <c r="C28" s="1625" t="s">
        <v>5672</v>
      </c>
      <c r="D28" s="1626">
        <v>92080.025864143376</v>
      </c>
      <c r="E28" s="1622">
        <v>19.755009880009101</v>
      </c>
      <c r="F28" s="1626">
        <v>56523.493402583008</v>
      </c>
      <c r="G28" s="1622">
        <v>18.129626482703699</v>
      </c>
      <c r="H28" s="1626">
        <v>35556.532461560317</v>
      </c>
      <c r="I28" s="1622">
        <v>23.038456288989501</v>
      </c>
    </row>
    <row r="29" spans="3:9" x14ac:dyDescent="0.4">
      <c r="C29" s="1625" t="s">
        <v>5673</v>
      </c>
      <c r="D29" s="1626">
        <v>98457.24474432753</v>
      </c>
      <c r="E29" s="1622">
        <v>21.123189578078399</v>
      </c>
      <c r="F29" s="1626">
        <v>64491.802192393785</v>
      </c>
      <c r="G29" s="1622">
        <v>20.685421486901301</v>
      </c>
      <c r="H29" s="1626">
        <v>33965.442551933738</v>
      </c>
      <c r="I29" s="1622">
        <v>22.007527432965297</v>
      </c>
    </row>
    <row r="30" spans="3:9" x14ac:dyDescent="0.4">
      <c r="C30" s="1625" t="s">
        <v>5674</v>
      </c>
      <c r="D30" s="1626">
        <v>24491.062561771116</v>
      </c>
      <c r="E30" s="1622">
        <v>5.2543554189868305</v>
      </c>
      <c r="F30" s="1626">
        <v>6751.867697802526</v>
      </c>
      <c r="G30" s="1622">
        <v>2.1656276364581299</v>
      </c>
      <c r="H30" s="1626">
        <v>17739.194863968598</v>
      </c>
      <c r="I30" s="1622">
        <v>11.493912290722701</v>
      </c>
    </row>
    <row r="31" spans="3:9" x14ac:dyDescent="0.4">
      <c r="C31" s="1625" t="s">
        <v>5675</v>
      </c>
      <c r="D31" s="1626">
        <v>60155.181534539559</v>
      </c>
      <c r="E31" s="1622">
        <v>12.905797912154199</v>
      </c>
      <c r="F31" s="1626">
        <v>45647.236610995496</v>
      </c>
      <c r="G31" s="1622">
        <v>14.6411217691497</v>
      </c>
      <c r="H31" s="1626">
        <v>14507.944923544024</v>
      </c>
      <c r="I31" s="1622">
        <v>9.4002601441937514</v>
      </c>
    </row>
    <row r="32" spans="3:9" x14ac:dyDescent="0.4">
      <c r="C32" s="1625" t="s">
        <v>1701</v>
      </c>
      <c r="D32" s="1626">
        <v>44826.202169216187</v>
      </c>
      <c r="E32" s="1622">
        <v>9.6170918548904094</v>
      </c>
      <c r="F32" s="1626">
        <v>32481.271809644473</v>
      </c>
      <c r="G32" s="1622">
        <v>10.418204717069401</v>
      </c>
      <c r="H32" s="1626">
        <v>12344.930359571694</v>
      </c>
      <c r="I32" s="1622">
        <v>7.9987591249816594</v>
      </c>
    </row>
    <row r="33" spans="3:9" x14ac:dyDescent="0.4">
      <c r="C33" s="1625" t="s">
        <v>5676</v>
      </c>
      <c r="D33" s="1626">
        <v>42865.283941686837</v>
      </c>
      <c r="E33" s="1622">
        <v>9.1963930269395302</v>
      </c>
      <c r="F33" s="1626">
        <v>31367.330105095843</v>
      </c>
      <c r="G33" s="1622">
        <v>10.060913512806099</v>
      </c>
      <c r="H33" s="1626">
        <v>11497.953836590976</v>
      </c>
      <c r="I33" s="1622">
        <v>7.4499701894017694</v>
      </c>
    </row>
    <row r="34" spans="3:9" x14ac:dyDescent="0.4">
      <c r="C34" s="1625" t="s">
        <v>5677</v>
      </c>
      <c r="D34" s="1626">
        <v>24222.679976932137</v>
      </c>
      <c r="E34" s="1622">
        <v>5.1967761495919795</v>
      </c>
      <c r="F34" s="1626">
        <v>17094.326523444994</v>
      </c>
      <c r="G34" s="1622">
        <v>5.4829193347287202</v>
      </c>
      <c r="H34" s="1626">
        <v>7128.3534534871415</v>
      </c>
      <c r="I34" s="1622">
        <v>4.6187366450362903</v>
      </c>
    </row>
    <row r="35" spans="3:9" ht="19.5" x14ac:dyDescent="0.4">
      <c r="C35" s="1625" t="s">
        <v>5678</v>
      </c>
      <c r="D35" s="1626">
        <v>20728.690253505014</v>
      </c>
      <c r="E35" s="1622">
        <v>4.4471694801847397</v>
      </c>
      <c r="F35" s="1626">
        <v>17494.148424756866</v>
      </c>
      <c r="G35" s="1622">
        <v>5.6111602005004295</v>
      </c>
      <c r="H35" s="1626">
        <v>3234.5418287481421</v>
      </c>
      <c r="I35" s="1622" t="s">
        <v>5679</v>
      </c>
    </row>
    <row r="36" spans="3:9" ht="19.5" x14ac:dyDescent="0.4">
      <c r="C36" s="1625" t="s">
        <v>5680</v>
      </c>
      <c r="D36" s="1626">
        <v>11674.810853798932</v>
      </c>
      <c r="E36" s="1622">
        <v>2.5047343503608497</v>
      </c>
      <c r="F36" s="1626">
        <v>9768.975073429121</v>
      </c>
      <c r="G36" s="1622">
        <v>3.1333496664595701</v>
      </c>
      <c r="H36" s="1626">
        <v>1905.8357803698082</v>
      </c>
      <c r="I36" s="1622" t="s">
        <v>5681</v>
      </c>
    </row>
    <row r="37" spans="3:9" ht="19.5" x14ac:dyDescent="0.4">
      <c r="C37" s="1627" t="s">
        <v>878</v>
      </c>
      <c r="D37" s="1628">
        <v>4443.1811858951296</v>
      </c>
      <c r="E37" s="1624">
        <v>0.12172626006636399</v>
      </c>
      <c r="F37" s="1628">
        <v>3317.6360429231481</v>
      </c>
      <c r="G37" s="1624">
        <v>0.11043763219354399</v>
      </c>
      <c r="H37" s="1628">
        <v>1125.5451429719812</v>
      </c>
      <c r="I37" s="1624" t="s">
        <v>5663</v>
      </c>
    </row>
    <row r="38" spans="3:9" ht="17.45" customHeight="1" x14ac:dyDescent="0.4">
      <c r="C38" s="243" t="s">
        <v>5664</v>
      </c>
      <c r="D38" s="243"/>
      <c r="E38" s="243"/>
      <c r="F38" s="243"/>
      <c r="G38" s="243"/>
      <c r="H38" s="243"/>
      <c r="I38" s="243"/>
    </row>
    <row r="39" spans="3:9" ht="17.45" customHeight="1" x14ac:dyDescent="0.4">
      <c r="C39" s="2196" t="s">
        <v>5665</v>
      </c>
      <c r="D39" s="2196"/>
      <c r="E39" s="2196"/>
      <c r="F39" s="2196"/>
      <c r="G39" s="2196"/>
      <c r="H39" s="2196"/>
      <c r="I39" s="2196"/>
    </row>
  </sheetData>
  <mergeCells count="13">
    <mergeCell ref="A3:B3"/>
    <mergeCell ref="C3:O3"/>
    <mergeCell ref="A4:B4"/>
    <mergeCell ref="C4:O4"/>
    <mergeCell ref="A5:B5"/>
    <mergeCell ref="C5:O5"/>
    <mergeCell ref="A6:B6"/>
    <mergeCell ref="C6:O6"/>
    <mergeCell ref="I9:K10"/>
    <mergeCell ref="C24:C25"/>
    <mergeCell ref="D24:E24"/>
    <mergeCell ref="F24:G24"/>
    <mergeCell ref="H24:I24"/>
  </mergeCells>
  <hyperlinks>
    <hyperlink ref="A1" location="'ODS 16.'!A1" display="REGRESAR" xr:uid="{9F4C2D11-E5E1-42CF-AB03-CBEB7642078C}"/>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7578-4A09-4888-B644-8DC9A9176BF6}">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x14ac:dyDescent="0.25">
      <c r="B5" s="2425" t="s">
        <v>79</v>
      </c>
      <c r="C5" s="2425"/>
      <c r="D5" s="49" t="s">
        <v>7339</v>
      </c>
    </row>
    <row r="6" spans="2:6" x14ac:dyDescent="0.25">
      <c r="B6" s="2425" t="s">
        <v>80</v>
      </c>
      <c r="C6" s="2425"/>
      <c r="D6" s="50" t="s">
        <v>7340</v>
      </c>
    </row>
    <row r="7" spans="2:6" ht="56.25" x14ac:dyDescent="0.25">
      <c r="B7" s="2426" t="s">
        <v>81</v>
      </c>
      <c r="C7" s="2426"/>
      <c r="D7" s="93" t="s">
        <v>7341</v>
      </c>
    </row>
    <row r="8" spans="2:6" x14ac:dyDescent="0.25">
      <c r="B8" s="2426" t="s">
        <v>82</v>
      </c>
      <c r="C8" s="2426"/>
      <c r="D8" s="1047" t="s">
        <v>353</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49"/>
    </row>
    <row r="25" spans="2:4" x14ac:dyDescent="0.25">
      <c r="B25" s="2425" t="s">
        <v>113</v>
      </c>
      <c r="C25" s="2425"/>
      <c r="D25" s="55"/>
    </row>
    <row r="26" spans="2:4" x14ac:dyDescent="0.25">
      <c r="B26" s="2426" t="s">
        <v>115</v>
      </c>
      <c r="C26" s="2426"/>
      <c r="D26" s="49"/>
    </row>
    <row r="27" spans="2:4" x14ac:dyDescent="0.25">
      <c r="B27" s="2427" t="s">
        <v>117</v>
      </c>
      <c r="C27" s="2428"/>
      <c r="D27" s="49"/>
    </row>
    <row r="28" spans="2:4" ht="120" customHeight="1" x14ac:dyDescent="0.25">
      <c r="B28" s="60" t="s">
        <v>118</v>
      </c>
      <c r="C28" s="61"/>
      <c r="D28" s="55" t="s">
        <v>7695</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1760</v>
      </c>
    </row>
    <row r="33" spans="2:4" x14ac:dyDescent="0.25">
      <c r="B33" s="2427" t="s">
        <v>124</v>
      </c>
      <c r="C33" s="2428"/>
      <c r="D33" s="50" t="s">
        <v>1760</v>
      </c>
    </row>
    <row r="34" spans="2:4" x14ac:dyDescent="0.25">
      <c r="B34" s="2427" t="s">
        <v>126</v>
      </c>
      <c r="C34" s="2428"/>
      <c r="D34" s="50" t="s">
        <v>1760</v>
      </c>
    </row>
    <row r="35" spans="2:4" x14ac:dyDescent="0.25">
      <c r="B35" s="2427" t="s">
        <v>128</v>
      </c>
      <c r="C35" s="2428"/>
      <c r="D35" s="50" t="s">
        <v>1760</v>
      </c>
    </row>
    <row r="36" spans="2:4" x14ac:dyDescent="0.25">
      <c r="B36" s="2427" t="s">
        <v>130</v>
      </c>
      <c r="C36" s="2428"/>
      <c r="D36" s="50" t="s">
        <v>1760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741B51B-8009-4285-B840-5287C4BBE748}">
      <formula1>Tipo_operación</formula1>
    </dataValidation>
    <dataValidation type="list" allowBlank="1" showInputMessage="1" showErrorMessage="1" sqref="D14" xr:uid="{1F1D0BD9-873C-4428-81FC-988A7D3BE32C}">
      <formula1>Tipo_indicador</formula1>
    </dataValidation>
    <dataValidation type="list" allowBlank="1" showInputMessage="1" showErrorMessage="1" sqref="D7" xr:uid="{55A221A0-E35C-4097-A464-3E9D1629D667}">
      <formula1>Nombre_indicador_ODS</formula1>
    </dataValidation>
    <dataValidation type="list" allowBlank="1" showInputMessage="1" showErrorMessage="1" sqref="D6" xr:uid="{F48DDD24-79F5-475C-831F-9EFAB3C0EA1C}">
      <formula1>Numero_indicador</formula1>
    </dataValidation>
    <dataValidation type="list" allowBlank="1" showInputMessage="1" showErrorMessage="1" sqref="D5" xr:uid="{1D47613D-ED8E-45AC-BC31-C9566D287F89}">
      <formula1>Metas_ODS</formula1>
    </dataValidation>
    <dataValidation type="list" allowBlank="1" showInputMessage="1" showErrorMessage="1" sqref="D4" xr:uid="{281D7E4A-4BA9-48A4-B1D3-5DF62B3AACB2}">
      <formula1>ODS</formula1>
    </dataValidation>
    <dataValidation allowBlank="1" showDropDown="1" showInputMessage="1" showErrorMessage="1" sqref="D13" xr:uid="{8BE7F428-C056-4E69-BB6E-45D6EC800C77}"/>
  </dataValidations>
  <hyperlinks>
    <hyperlink ref="B1" location="'16.b.1'!A1" display="REGRESAR" xr:uid="{99C10076-45A2-41B9-A398-0067222C734A}"/>
    <hyperlink ref="D8" r:id="rId1" xr:uid="{70D85793-0139-4E27-9D8B-8D0B0A74B6EF}"/>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45D0-9D33-4F57-9FCB-DCB7C69EF004}">
  <dimension ref="A1:N5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2" width="15.7109375" style="115" customWidth="1"/>
    <col min="3" max="3" width="32.5703125" style="1048" customWidth="1"/>
    <col min="4" max="7" width="11.5703125" style="115" customWidth="1"/>
    <col min="8" max="12" width="11.42578125" style="115"/>
    <col min="13" max="13" width="20.140625" style="115" customWidth="1"/>
    <col min="14" max="16384" width="11.42578125" style="115"/>
  </cols>
  <sheetData>
    <row r="1" spans="1:14" x14ac:dyDescent="0.4">
      <c r="A1" s="90" t="s">
        <v>39</v>
      </c>
      <c r="B1" s="1311"/>
      <c r="C1" s="90" t="s">
        <v>149</v>
      </c>
    </row>
    <row r="3" spans="1:14" ht="37.15" customHeight="1" x14ac:dyDescent="0.4">
      <c r="A3" s="3508" t="s">
        <v>41</v>
      </c>
      <c r="B3" s="3510"/>
      <c r="C3" s="3520" t="s">
        <v>7281</v>
      </c>
      <c r="D3" s="3529"/>
      <c r="E3" s="3529"/>
      <c r="F3" s="3529"/>
      <c r="G3" s="3529"/>
      <c r="H3" s="3529"/>
      <c r="I3" s="3529"/>
      <c r="J3" s="3529"/>
      <c r="K3" s="3529"/>
      <c r="L3" s="3529"/>
      <c r="M3" s="3529"/>
      <c r="N3" s="3529"/>
    </row>
    <row r="4" spans="1:14" ht="19.5" x14ac:dyDescent="0.4">
      <c r="A4" s="3508" t="s">
        <v>42</v>
      </c>
      <c r="B4" s="3519"/>
      <c r="C4" s="3528" t="s">
        <v>7339</v>
      </c>
      <c r="D4" s="3531"/>
      <c r="E4" s="3531"/>
      <c r="F4" s="3531"/>
      <c r="G4" s="3531"/>
      <c r="H4" s="3531"/>
      <c r="I4" s="3531"/>
      <c r="J4" s="3531"/>
      <c r="K4" s="3531"/>
      <c r="L4" s="3531"/>
      <c r="M4" s="3531"/>
      <c r="N4" s="3531"/>
    </row>
    <row r="5" spans="1:14" ht="37.9" customHeight="1" x14ac:dyDescent="0.4">
      <c r="A5" s="3508" t="s">
        <v>43</v>
      </c>
      <c r="B5" s="3519"/>
      <c r="C5" s="3527" t="s">
        <v>7341</v>
      </c>
      <c r="D5" s="3534"/>
      <c r="E5" s="3534"/>
      <c r="F5" s="3534"/>
      <c r="G5" s="3534"/>
      <c r="H5" s="3534"/>
      <c r="I5" s="3534"/>
      <c r="J5" s="3534"/>
      <c r="K5" s="3534"/>
      <c r="L5" s="3534"/>
      <c r="M5" s="3534"/>
      <c r="N5" s="3534"/>
    </row>
    <row r="6" spans="1:14" ht="24.6" customHeight="1" x14ac:dyDescent="0.4">
      <c r="A6" s="3508" t="s">
        <v>132</v>
      </c>
      <c r="B6" s="3519"/>
      <c r="C6" s="3527" t="s">
        <v>5682</v>
      </c>
      <c r="D6" s="3534"/>
      <c r="E6" s="3534"/>
      <c r="F6" s="3534"/>
      <c r="G6" s="3534"/>
      <c r="H6" s="3534"/>
      <c r="I6" s="3534"/>
      <c r="J6" s="3534"/>
      <c r="K6" s="3534"/>
      <c r="L6" s="3534"/>
      <c r="M6" s="3534"/>
      <c r="N6" s="3534"/>
    </row>
    <row r="7" spans="1:14" x14ac:dyDescent="0.4">
      <c r="A7" s="536"/>
    </row>
    <row r="8" spans="1:14" x14ac:dyDescent="0.4">
      <c r="A8" s="536"/>
    </row>
    <row r="9" spans="1:14" ht="13.9" customHeight="1" x14ac:dyDescent="0.4">
      <c r="C9" s="163" t="s">
        <v>5682</v>
      </c>
      <c r="D9" s="163"/>
      <c r="E9" s="163"/>
      <c r="F9" s="163"/>
      <c r="G9" s="163"/>
      <c r="H9" s="163"/>
      <c r="I9" s="163"/>
      <c r="J9" s="163"/>
      <c r="K9" s="163"/>
      <c r="L9" s="163"/>
      <c r="M9" s="163"/>
      <c r="N9" s="163"/>
    </row>
    <row r="10" spans="1:14" ht="13.9" customHeight="1" x14ac:dyDescent="0.4">
      <c r="C10" s="533"/>
      <c r="D10" s="533"/>
      <c r="E10" s="533"/>
      <c r="F10" s="533"/>
      <c r="G10" s="533"/>
      <c r="H10" s="533"/>
      <c r="I10" s="533"/>
      <c r="J10" s="533"/>
      <c r="K10" s="533"/>
      <c r="L10" s="533"/>
      <c r="M10" s="533"/>
      <c r="N10" s="533"/>
    </row>
    <row r="11" spans="1:14" x14ac:dyDescent="0.4">
      <c r="C11" s="3526"/>
      <c r="D11" s="3504" t="s">
        <v>5683</v>
      </c>
      <c r="E11" s="3504"/>
      <c r="F11" s="3504"/>
      <c r="G11" s="3504"/>
      <c r="H11" s="3504"/>
      <c r="I11" s="3504"/>
      <c r="J11" s="3504"/>
      <c r="K11" s="3504"/>
      <c r="L11" s="3504"/>
      <c r="M11" s="3526" t="s">
        <v>5684</v>
      </c>
      <c r="N11" s="3526" t="s">
        <v>5685</v>
      </c>
    </row>
    <row r="12" spans="1:14" ht="74.45" customHeight="1" x14ac:dyDescent="0.4">
      <c r="C12" s="3507"/>
      <c r="D12" s="2104" t="s">
        <v>5686</v>
      </c>
      <c r="E12" s="2104" t="s">
        <v>5687</v>
      </c>
      <c r="F12" s="2104" t="s">
        <v>5688</v>
      </c>
      <c r="G12" s="2104" t="s">
        <v>1389</v>
      </c>
      <c r="H12" s="2104" t="s">
        <v>5689</v>
      </c>
      <c r="I12" s="2104" t="s">
        <v>5690</v>
      </c>
      <c r="J12" s="2104" t="s">
        <v>5675</v>
      </c>
      <c r="K12" s="2104" t="s">
        <v>5691</v>
      </c>
      <c r="L12" s="2104" t="s">
        <v>5692</v>
      </c>
      <c r="M12" s="3507"/>
      <c r="N12" s="3507"/>
    </row>
    <row r="13" spans="1:14" x14ac:dyDescent="0.4">
      <c r="C13" s="226" t="s">
        <v>47</v>
      </c>
      <c r="D13" s="1629">
        <v>2.436032812630621</v>
      </c>
      <c r="E13" s="1629">
        <v>10.396640161744688</v>
      </c>
      <c r="F13" s="1629">
        <v>1.7015108097178935</v>
      </c>
      <c r="G13" s="1629">
        <v>6.5663031701835397</v>
      </c>
      <c r="H13" s="1629">
        <v>10.981891719259135</v>
      </c>
      <c r="I13" s="1629">
        <v>2.074256871246893</v>
      </c>
      <c r="J13" s="1629">
        <v>3.5476658300565722</v>
      </c>
      <c r="K13" s="1629">
        <v>6.1703738516521636</v>
      </c>
      <c r="L13" s="1629">
        <v>27.846497523609358</v>
      </c>
      <c r="M13" s="1629">
        <v>72.153502476390713</v>
      </c>
      <c r="N13" s="1630">
        <v>1334631.7500000072</v>
      </c>
    </row>
    <row r="14" spans="1:14" x14ac:dyDescent="0.4">
      <c r="C14" s="226" t="s">
        <v>49</v>
      </c>
      <c r="D14" s="1631"/>
      <c r="E14" s="1631"/>
      <c r="F14" s="1631"/>
      <c r="G14" s="1631"/>
      <c r="H14" s="1631"/>
      <c r="I14" s="1631"/>
      <c r="J14" s="1631"/>
      <c r="K14" s="1631"/>
      <c r="L14" s="1631"/>
      <c r="M14" s="1631"/>
      <c r="N14" s="1445"/>
    </row>
    <row r="15" spans="1:14" x14ac:dyDescent="0.4">
      <c r="C15" s="341" t="s">
        <v>532</v>
      </c>
      <c r="D15" s="1631">
        <v>2.6887797681072989</v>
      </c>
      <c r="E15" s="1631">
        <v>11.575047574666254</v>
      </c>
      <c r="F15" s="1631">
        <v>1.9065784569936552</v>
      </c>
      <c r="G15" s="1631">
        <v>7.6694375623722051</v>
      </c>
      <c r="H15" s="1631">
        <v>11.898486230262757</v>
      </c>
      <c r="I15" s="1631">
        <v>2.2075454863276223</v>
      </c>
      <c r="J15" s="1631">
        <v>3.8050158180041334</v>
      </c>
      <c r="K15" s="1631">
        <v>6.5534851849899374</v>
      </c>
      <c r="L15" s="1631">
        <v>30.013423443965188</v>
      </c>
      <c r="M15" s="1631">
        <v>69.986576556034578</v>
      </c>
      <c r="N15" s="1445">
        <v>985658.79307580425</v>
      </c>
    </row>
    <row r="16" spans="1:14" x14ac:dyDescent="0.4">
      <c r="C16" s="341" t="s">
        <v>56</v>
      </c>
      <c r="D16" s="1631">
        <v>1.7221601352619549</v>
      </c>
      <c r="E16" s="1631">
        <v>7.0682801690127848</v>
      </c>
      <c r="F16" s="1631">
        <v>1.1223062447159213</v>
      </c>
      <c r="G16" s="1631">
        <v>3.450548519196992</v>
      </c>
      <c r="H16" s="1631">
        <v>8.3930107715242759</v>
      </c>
      <c r="I16" s="1631">
        <v>1.6977890307896848</v>
      </c>
      <c r="J16" s="1631">
        <v>2.8207920895977177</v>
      </c>
      <c r="K16" s="1631">
        <v>5.0882927134469362</v>
      </c>
      <c r="L16" s="1631">
        <v>21.726110413479958</v>
      </c>
      <c r="M16" s="1631">
        <v>78.273889586519928</v>
      </c>
      <c r="N16" s="1445">
        <v>348972.95692419278</v>
      </c>
    </row>
    <row r="17" spans="3:14" x14ac:dyDescent="0.4">
      <c r="C17" s="339" t="s">
        <v>327</v>
      </c>
      <c r="D17" s="1631"/>
      <c r="E17" s="1631"/>
      <c r="F17" s="1631"/>
      <c r="G17" s="1631"/>
      <c r="H17" s="1631"/>
      <c r="I17" s="1631"/>
      <c r="J17" s="1631"/>
      <c r="K17" s="1631"/>
      <c r="L17" s="1631"/>
      <c r="M17" s="1631"/>
      <c r="N17" s="1445"/>
    </row>
    <row r="18" spans="3:14" x14ac:dyDescent="0.4">
      <c r="C18" s="341" t="s">
        <v>328</v>
      </c>
      <c r="D18" s="1631">
        <v>2.6554851903761749</v>
      </c>
      <c r="E18" s="1631">
        <v>14.130367188005497</v>
      </c>
      <c r="F18" s="1631">
        <v>2.3357760730955386</v>
      </c>
      <c r="G18" s="1631">
        <v>8.2734755191569533</v>
      </c>
      <c r="H18" s="1631">
        <v>12.937725943967722</v>
      </c>
      <c r="I18" s="1631">
        <v>1.4766407021782104</v>
      </c>
      <c r="J18" s="1631">
        <v>3.5914820292222602</v>
      </c>
      <c r="K18" s="1631">
        <v>7.5337012562600965</v>
      </c>
      <c r="L18" s="1631">
        <v>33.431963550607449</v>
      </c>
      <c r="M18" s="1631">
        <v>66.568036449392395</v>
      </c>
      <c r="N18" s="1445">
        <v>440744.49999999988</v>
      </c>
    </row>
    <row r="19" spans="3:14" x14ac:dyDescent="0.4">
      <c r="C19" s="341" t="s">
        <v>329</v>
      </c>
      <c r="D19" s="1631">
        <v>1.9182249305118999</v>
      </c>
      <c r="E19" s="1631">
        <v>9.3178014343937186</v>
      </c>
      <c r="F19" s="1631">
        <v>1.831385354032615</v>
      </c>
      <c r="G19" s="1631">
        <v>6.7008751110552849</v>
      </c>
      <c r="H19" s="1631">
        <v>11.072966889954627</v>
      </c>
      <c r="I19" s="1631">
        <v>1.9976546847073438</v>
      </c>
      <c r="J19" s="1631">
        <v>3.495830922909557</v>
      </c>
      <c r="K19" s="1631">
        <v>5.3427626603456302</v>
      </c>
      <c r="L19" s="1631">
        <v>26.630708012955878</v>
      </c>
      <c r="M19" s="1631">
        <v>73.369291987044079</v>
      </c>
      <c r="N19" s="1445">
        <v>267509.99999999936</v>
      </c>
    </row>
    <row r="20" spans="3:14" x14ac:dyDescent="0.4">
      <c r="C20" s="341" t="s">
        <v>330</v>
      </c>
      <c r="D20" s="1631">
        <v>1.0908584712152583</v>
      </c>
      <c r="E20" s="1631">
        <v>6.821831628187276</v>
      </c>
      <c r="F20" s="1632">
        <v>0.33279669647810939</v>
      </c>
      <c r="G20" s="1631">
        <v>6.5413948001393516</v>
      </c>
      <c r="H20" s="1631">
        <v>10.259009626448162</v>
      </c>
      <c r="I20" s="1631">
        <v>2.2346550591192638</v>
      </c>
      <c r="J20" s="1631">
        <v>3.0005930013149928</v>
      </c>
      <c r="K20" s="1631">
        <v>4.6741613850417645</v>
      </c>
      <c r="L20" s="1631">
        <v>23.979597942477621</v>
      </c>
      <c r="M20" s="1631">
        <v>76.020402057522332</v>
      </c>
      <c r="N20" s="1445">
        <v>143880.75000000122</v>
      </c>
    </row>
    <row r="21" spans="3:14" x14ac:dyDescent="0.4">
      <c r="C21" s="341" t="s">
        <v>331</v>
      </c>
      <c r="D21" s="1631">
        <v>3.7059477929237397</v>
      </c>
      <c r="E21" s="1631">
        <v>12.79100776999524</v>
      </c>
      <c r="F21" s="1631">
        <v>2.0303786050572339</v>
      </c>
      <c r="G21" s="1631">
        <v>7.5780927887498901</v>
      </c>
      <c r="H21" s="1631">
        <v>15.335619818126242</v>
      </c>
      <c r="I21" s="1631">
        <v>3.551674941191989</v>
      </c>
      <c r="J21" s="1631">
        <v>4.9728977405175252</v>
      </c>
      <c r="K21" s="1631">
        <v>9.1167954905204738</v>
      </c>
      <c r="L21" s="1631">
        <v>32.624798035951052</v>
      </c>
      <c r="M21" s="1631">
        <v>67.375201964048955</v>
      </c>
      <c r="N21" s="1445">
        <v>136170.00000000041</v>
      </c>
    </row>
    <row r="22" spans="3:14" x14ac:dyDescent="0.4">
      <c r="C22" s="341" t="s">
        <v>332</v>
      </c>
      <c r="D22" s="1631">
        <v>1.6071743341790323</v>
      </c>
      <c r="E22" s="1631">
        <v>7.903599866733976</v>
      </c>
      <c r="F22" s="1632">
        <v>0.99415763490725173</v>
      </c>
      <c r="G22" s="1631">
        <v>4.5142132820373657</v>
      </c>
      <c r="H22" s="1631">
        <v>5.9484466818101289</v>
      </c>
      <c r="I22" s="1631">
        <v>2.4063556946182327</v>
      </c>
      <c r="J22" s="1631">
        <v>3.5184667477438234</v>
      </c>
      <c r="K22" s="1631">
        <v>4.0808469101738432</v>
      </c>
      <c r="L22" s="1631">
        <v>20.525296585210111</v>
      </c>
      <c r="M22" s="1631">
        <v>79.474703414789815</v>
      </c>
      <c r="N22" s="1445">
        <v>99208.499999999985</v>
      </c>
    </row>
    <row r="23" spans="3:14" x14ac:dyDescent="0.4">
      <c r="C23" s="341" t="s">
        <v>533</v>
      </c>
      <c r="D23" s="1631">
        <v>1.7975523556458519</v>
      </c>
      <c r="E23" s="1631">
        <v>5.3919126239913435</v>
      </c>
      <c r="F23" s="1631">
        <v>1.2015449259919744</v>
      </c>
      <c r="G23" s="1631">
        <v>3.1341985525617688</v>
      </c>
      <c r="H23" s="1631">
        <v>6.5978416833789124</v>
      </c>
      <c r="I23" s="1631">
        <v>2.5370410945873627</v>
      </c>
      <c r="J23" s="1631">
        <v>3.0738729239368356</v>
      </c>
      <c r="K23" s="1631">
        <v>4.5372470268904497</v>
      </c>
      <c r="L23" s="1631">
        <v>19.282449177098805</v>
      </c>
      <c r="M23" s="1631">
        <v>80.717550822901174</v>
      </c>
      <c r="N23" s="1445">
        <v>128454.5000000002</v>
      </c>
    </row>
    <row r="24" spans="3:14" x14ac:dyDescent="0.4">
      <c r="C24" s="341" t="s">
        <v>334</v>
      </c>
      <c r="D24" s="1631">
        <v>4.3461586939723391</v>
      </c>
      <c r="E24" s="1631">
        <v>8.049635007952153</v>
      </c>
      <c r="F24" s="1631">
        <v>1.4677096390719995</v>
      </c>
      <c r="G24" s="1631">
        <v>4.222164674443925</v>
      </c>
      <c r="H24" s="1631">
        <v>8.3465948791982729</v>
      </c>
      <c r="I24" s="1631">
        <v>1.7981476907459701</v>
      </c>
      <c r="J24" s="1631">
        <v>3.0669085196029573</v>
      </c>
      <c r="K24" s="1631">
        <v>4.9202714619684205</v>
      </c>
      <c r="L24" s="1631">
        <v>24.438537733320583</v>
      </c>
      <c r="M24" s="1631">
        <v>75.561462266679314</v>
      </c>
      <c r="N24" s="1445">
        <v>118663.50000000095</v>
      </c>
    </row>
    <row r="25" spans="3:14" x14ac:dyDescent="0.4">
      <c r="C25" s="226" t="s">
        <v>1389</v>
      </c>
      <c r="D25" s="1631"/>
      <c r="E25" s="1631"/>
      <c r="F25" s="1631"/>
      <c r="G25" s="1631"/>
      <c r="H25" s="1631"/>
      <c r="I25" s="1631"/>
      <c r="J25" s="1631"/>
      <c r="K25" s="1631"/>
      <c r="L25" s="1631"/>
      <c r="M25" s="1631"/>
      <c r="N25" s="1445"/>
    </row>
    <row r="26" spans="3:14" x14ac:dyDescent="0.4">
      <c r="C26" s="341" t="s">
        <v>1390</v>
      </c>
      <c r="D26" s="1631">
        <v>1.9307627743816127</v>
      </c>
      <c r="E26" s="1631">
        <v>10.223116554808399</v>
      </c>
      <c r="F26" s="1631">
        <v>2.0314828521120822</v>
      </c>
      <c r="G26" s="1631">
        <v>5.8360753529514007</v>
      </c>
      <c r="H26" s="1631">
        <v>11.510553515580451</v>
      </c>
      <c r="I26" s="1631">
        <v>0.64688020854821082</v>
      </c>
      <c r="J26" s="1631">
        <v>1.2062981018898413</v>
      </c>
      <c r="K26" s="1631">
        <v>5.3795895861704306</v>
      </c>
      <c r="L26" s="1631">
        <v>27.459427226839161</v>
      </c>
      <c r="M26" s="1631">
        <v>72.540572773160804</v>
      </c>
      <c r="N26" s="1445">
        <v>174970.41968764114</v>
      </c>
    </row>
    <row r="27" spans="3:14" x14ac:dyDescent="0.4">
      <c r="C27" s="1633" t="s">
        <v>2124</v>
      </c>
      <c r="D27" s="1631">
        <v>2.5955204897620452</v>
      </c>
      <c r="E27" s="1631">
        <v>6.2405866788084783</v>
      </c>
      <c r="F27" s="1631">
        <v>1.8121690665469361</v>
      </c>
      <c r="G27" s="1631">
        <v>6.0642692914387757</v>
      </c>
      <c r="H27" s="1631">
        <v>11.578204909164599</v>
      </c>
      <c r="I27" s="1631">
        <v>0.84847986286095534</v>
      </c>
      <c r="J27" s="1632">
        <v>0.98959428813023331</v>
      </c>
      <c r="K27" s="1631">
        <v>6.5142547365361345</v>
      </c>
      <c r="L27" s="1631">
        <v>26.939684321974998</v>
      </c>
      <c r="M27" s="1631">
        <v>73.060315678024978</v>
      </c>
      <c r="N27" s="1445">
        <v>102905.4097096195</v>
      </c>
    </row>
    <row r="28" spans="3:14" x14ac:dyDescent="0.4">
      <c r="C28" s="1633" t="s">
        <v>2125</v>
      </c>
      <c r="D28" s="1632">
        <v>0.98152034619466</v>
      </c>
      <c r="E28" s="1631">
        <v>15.909979967379369</v>
      </c>
      <c r="F28" s="1631">
        <v>2.3446525160784337</v>
      </c>
      <c r="G28" s="1631">
        <v>5.5102252525981683</v>
      </c>
      <c r="H28" s="1631">
        <v>11.413950540345654</v>
      </c>
      <c r="I28" s="1631">
        <v>0.35900548223237833</v>
      </c>
      <c r="J28" s="1631">
        <v>1.5157408501441005</v>
      </c>
      <c r="K28" s="1631">
        <v>3.7593416708892016</v>
      </c>
      <c r="L28" s="1631">
        <v>28.201595396732174</v>
      </c>
      <c r="M28" s="1631">
        <v>71.798404603267812</v>
      </c>
      <c r="N28" s="1445">
        <v>72065.009978021437</v>
      </c>
    </row>
    <row r="29" spans="3:14" x14ac:dyDescent="0.4">
      <c r="C29" s="341" t="s">
        <v>1393</v>
      </c>
      <c r="D29" s="1631">
        <v>2.6058791584297056</v>
      </c>
      <c r="E29" s="1631">
        <v>10.763981092959673</v>
      </c>
      <c r="F29" s="1631">
        <v>2.6801652019361679</v>
      </c>
      <c r="G29" s="1631">
        <v>6.557617253833059</v>
      </c>
      <c r="H29" s="1631">
        <v>11.475317828364819</v>
      </c>
      <c r="I29" s="1631">
        <v>1.2043614815224579</v>
      </c>
      <c r="J29" s="1631">
        <v>2.7648800758768903</v>
      </c>
      <c r="K29" s="1631">
        <v>5.9393760851991031</v>
      </c>
      <c r="L29" s="1631">
        <v>28.134407237149258</v>
      </c>
      <c r="M29" s="1631">
        <v>71.865592762850753</v>
      </c>
      <c r="N29" s="1445">
        <v>215414.2129985934</v>
      </c>
    </row>
    <row r="30" spans="3:14" x14ac:dyDescent="0.4">
      <c r="C30" s="341" t="s">
        <v>1394</v>
      </c>
      <c r="D30" s="1631">
        <v>1.9685711082515163</v>
      </c>
      <c r="E30" s="1631">
        <v>11.090530791713823</v>
      </c>
      <c r="F30" s="1631">
        <v>2.2506237249579346</v>
      </c>
      <c r="G30" s="1631">
        <v>4.9817537366524833</v>
      </c>
      <c r="H30" s="1631">
        <v>10.106368211035026</v>
      </c>
      <c r="I30" s="1631">
        <v>1.6421623739785212</v>
      </c>
      <c r="J30" s="1631">
        <v>3.5933882618422288</v>
      </c>
      <c r="K30" s="1631">
        <v>6.325196880967459</v>
      </c>
      <c r="L30" s="1631">
        <v>25.930099114600456</v>
      </c>
      <c r="M30" s="1631">
        <v>74.069900885399534</v>
      </c>
      <c r="N30" s="1445">
        <v>214783.85433121328</v>
      </c>
    </row>
    <row r="31" spans="3:14" x14ac:dyDescent="0.4">
      <c r="C31" s="341" t="s">
        <v>1395</v>
      </c>
      <c r="D31" s="1631">
        <v>3.171262659532379</v>
      </c>
      <c r="E31" s="1631">
        <v>11.795856192064242</v>
      </c>
      <c r="F31" s="1631">
        <v>1.4965998046589131</v>
      </c>
      <c r="G31" s="1631">
        <v>4.7323711187476594</v>
      </c>
      <c r="H31" s="1631">
        <v>10.299813748544883</v>
      </c>
      <c r="I31" s="1631">
        <v>1.6425086279069776</v>
      </c>
      <c r="J31" s="1631">
        <v>2.4246420866039662</v>
      </c>
      <c r="K31" s="1631">
        <v>4.9513334530149846</v>
      </c>
      <c r="L31" s="1631">
        <v>25.711558570751453</v>
      </c>
      <c r="M31" s="1631">
        <v>74.288441429248522</v>
      </c>
      <c r="N31" s="1445">
        <v>207734.66884983217</v>
      </c>
    </row>
    <row r="32" spans="3:14" x14ac:dyDescent="0.4">
      <c r="C32" s="341" t="s">
        <v>1396</v>
      </c>
      <c r="D32" s="1631">
        <v>3.0203151528757157</v>
      </c>
      <c r="E32" s="1631">
        <v>13.091752007877098</v>
      </c>
      <c r="F32" s="1631">
        <v>1.4282133269765007</v>
      </c>
      <c r="G32" s="1631">
        <v>5.6612117648037872</v>
      </c>
      <c r="H32" s="1631">
        <v>12.345885376492445</v>
      </c>
      <c r="I32" s="1631">
        <v>3.1541205299942727</v>
      </c>
      <c r="J32" s="1631">
        <v>6.5410103799358161</v>
      </c>
      <c r="K32" s="1631">
        <v>9.836355209927877</v>
      </c>
      <c r="L32" s="1631">
        <v>33.37672059704451</v>
      </c>
      <c r="M32" s="1631">
        <v>66.623279402955504</v>
      </c>
      <c r="N32" s="1445">
        <v>187999.53187808066</v>
      </c>
    </row>
    <row r="33" spans="3:14" x14ac:dyDescent="0.4">
      <c r="C33" s="341" t="s">
        <v>1397</v>
      </c>
      <c r="D33" s="1631">
        <v>1.8224888962245187</v>
      </c>
      <c r="E33" s="1631">
        <v>5.7536435350851738</v>
      </c>
      <c r="F33" s="1631">
        <v>0.93185884935107466</v>
      </c>
      <c r="G33" s="1631">
        <v>8.1095774618131209</v>
      </c>
      <c r="H33" s="1631">
        <v>12.833900515558728</v>
      </c>
      <c r="I33" s="1631">
        <v>1.569443941511663</v>
      </c>
      <c r="J33" s="1631">
        <v>4.9185483972657371</v>
      </c>
      <c r="K33" s="1631">
        <v>4.6301458493400371</v>
      </c>
      <c r="L33" s="1631">
        <v>26.506747096468811</v>
      </c>
      <c r="M33" s="1631">
        <v>73.493252903531314</v>
      </c>
      <c r="N33" s="1445">
        <v>162961.94030631502</v>
      </c>
    </row>
    <row r="34" spans="3:14" x14ac:dyDescent="0.4">
      <c r="C34" s="341" t="s">
        <v>1398</v>
      </c>
      <c r="D34" s="1631">
        <v>2.3753067918921218</v>
      </c>
      <c r="E34" s="1631">
        <v>8.9998890450197031</v>
      </c>
      <c r="F34" s="1631">
        <v>0.72286162062691006</v>
      </c>
      <c r="G34" s="1631">
        <v>11.073072496401478</v>
      </c>
      <c r="H34" s="1631">
        <v>8.479719583371061</v>
      </c>
      <c r="I34" s="1631">
        <v>4.9956854864362201</v>
      </c>
      <c r="J34" s="1631">
        <v>3.6391046220330039</v>
      </c>
      <c r="K34" s="1631">
        <v>5.994129667837508</v>
      </c>
      <c r="L34" s="1631">
        <v>28.077614970111846</v>
      </c>
      <c r="M34" s="1631">
        <v>71.922385029888233</v>
      </c>
      <c r="N34" s="1445">
        <v>170767.12194832671</v>
      </c>
    </row>
    <row r="35" spans="3:14" x14ac:dyDescent="0.4">
      <c r="C35" s="339" t="s">
        <v>155</v>
      </c>
      <c r="D35" s="1631"/>
      <c r="E35" s="1631"/>
      <c r="F35" s="1632"/>
      <c r="G35" s="1631"/>
      <c r="H35" s="1631"/>
      <c r="I35" s="1631"/>
      <c r="J35" s="1631"/>
      <c r="K35" s="1631"/>
      <c r="L35" s="1631"/>
      <c r="M35" s="1631"/>
      <c r="N35" s="1445"/>
    </row>
    <row r="36" spans="3:14" x14ac:dyDescent="0.4">
      <c r="C36" s="341" t="s">
        <v>543</v>
      </c>
      <c r="D36" s="1631">
        <v>16.180580440444</v>
      </c>
      <c r="E36" s="1631">
        <v>9.1619231632574589</v>
      </c>
      <c r="F36" s="1631">
        <v>4.3573804997250143</v>
      </c>
      <c r="G36" s="1631">
        <v>8.9847384230238809</v>
      </c>
      <c r="H36" s="1631">
        <v>10.041103008568129</v>
      </c>
      <c r="I36" s="1631">
        <v>10.414456269476235</v>
      </c>
      <c r="J36" s="1631">
        <v>16.613128872363049</v>
      </c>
      <c r="K36" s="1631">
        <v>3.7031509047034441</v>
      </c>
      <c r="L36" s="1631">
        <v>38.805200525809795</v>
      </c>
      <c r="M36" s="1631">
        <v>61.194799474190205</v>
      </c>
      <c r="N36" s="1445">
        <v>15070.956122428403</v>
      </c>
    </row>
    <row r="37" spans="3:14" x14ac:dyDescent="0.4">
      <c r="C37" s="341" t="s">
        <v>544</v>
      </c>
      <c r="D37" s="1631">
        <v>2.6757783277586129</v>
      </c>
      <c r="E37" s="1631">
        <v>5.066709878389057</v>
      </c>
      <c r="F37" s="1631">
        <v>1.0731076899517467</v>
      </c>
      <c r="G37" s="1631">
        <v>5.1808343616677073</v>
      </c>
      <c r="H37" s="1631">
        <v>8.3345841030384733</v>
      </c>
      <c r="I37" s="1631">
        <v>2.0470659794272947</v>
      </c>
      <c r="J37" s="1631">
        <v>5.5048543393617457</v>
      </c>
      <c r="K37" s="1631">
        <v>5.2853358540128834</v>
      </c>
      <c r="L37" s="1631">
        <v>21.319645829717796</v>
      </c>
      <c r="M37" s="1631">
        <v>78.680354170282172</v>
      </c>
      <c r="N37" s="1445">
        <v>285421.58239919908</v>
      </c>
    </row>
    <row r="38" spans="3:14" x14ac:dyDescent="0.4">
      <c r="C38" s="341" t="s">
        <v>545</v>
      </c>
      <c r="D38" s="1631">
        <v>1.6756655004991403</v>
      </c>
      <c r="E38" s="1631">
        <v>7.3784197805971132</v>
      </c>
      <c r="F38" s="1631">
        <v>1.5302299072925847</v>
      </c>
      <c r="G38" s="1631">
        <v>6.2673586190115991</v>
      </c>
      <c r="H38" s="1631">
        <v>10.590956282155751</v>
      </c>
      <c r="I38" s="1631">
        <v>1.8355750020278083</v>
      </c>
      <c r="J38" s="1631">
        <v>3.480046254266933</v>
      </c>
      <c r="K38" s="1631">
        <v>6.0095830513974295</v>
      </c>
      <c r="L38" s="1631">
        <v>25.693696368841131</v>
      </c>
      <c r="M38" s="1631">
        <v>74.306303631158769</v>
      </c>
      <c r="N38" s="1445">
        <v>599539.96904601401</v>
      </c>
    </row>
    <row r="39" spans="3:14" x14ac:dyDescent="0.4">
      <c r="C39" s="341" t="s">
        <v>546</v>
      </c>
      <c r="D39" s="1631">
        <v>2.8508945027878716</v>
      </c>
      <c r="E39" s="1631">
        <v>18.103577791000056</v>
      </c>
      <c r="F39" s="1631">
        <v>2.258398720628537</v>
      </c>
      <c r="G39" s="1631">
        <v>7.8047401542302817</v>
      </c>
      <c r="H39" s="1631">
        <v>13.292431260327866</v>
      </c>
      <c r="I39" s="1631">
        <v>2.132161732124219</v>
      </c>
      <c r="J39" s="1631">
        <v>1.9024898761553624</v>
      </c>
      <c r="K39" s="1631">
        <v>7.0589922113932095</v>
      </c>
      <c r="L39" s="1631">
        <v>34.722801604161525</v>
      </c>
      <c r="M39" s="1631">
        <v>65.277198395838226</v>
      </c>
      <c r="N39" s="1445">
        <v>434599.24243236246</v>
      </c>
    </row>
    <row r="40" spans="3:14" x14ac:dyDescent="0.4">
      <c r="C40" s="226" t="s">
        <v>1405</v>
      </c>
      <c r="D40" s="1631"/>
      <c r="E40" s="1631"/>
      <c r="F40" s="1631"/>
      <c r="G40" s="1631"/>
      <c r="H40" s="1631"/>
      <c r="I40" s="1631"/>
      <c r="J40" s="1631"/>
      <c r="K40" s="1631"/>
      <c r="L40" s="1631"/>
      <c r="M40" s="1631"/>
      <c r="N40" s="1445"/>
    </row>
    <row r="41" spans="3:14" x14ac:dyDescent="0.4">
      <c r="C41" s="341" t="s">
        <v>555</v>
      </c>
      <c r="D41" s="1631">
        <v>3.4967871171498626</v>
      </c>
      <c r="E41" s="1631">
        <v>10.324091369787356</v>
      </c>
      <c r="F41" s="1632">
        <v>0.9663070618892543</v>
      </c>
      <c r="G41" s="1631">
        <v>12.169843087382432</v>
      </c>
      <c r="H41" s="1631">
        <v>15.411863181652523</v>
      </c>
      <c r="I41" s="1631">
        <v>7.5376650291174494</v>
      </c>
      <c r="J41" s="1631">
        <v>6.1528601231019202</v>
      </c>
      <c r="K41" s="1631">
        <v>11.600950310733058</v>
      </c>
      <c r="L41" s="1631">
        <v>37.674849755570527</v>
      </c>
      <c r="M41" s="1631">
        <v>62.325150244429473</v>
      </c>
      <c r="N41" s="1445">
        <v>125697.38716197846</v>
      </c>
    </row>
    <row r="42" spans="3:14" x14ac:dyDescent="0.4">
      <c r="C42" s="341" t="s">
        <v>556</v>
      </c>
      <c r="D42" s="1631">
        <v>2.3006419724232399</v>
      </c>
      <c r="E42" s="1631">
        <v>10.79156615241785</v>
      </c>
      <c r="F42" s="1631">
        <v>1.7747691603676068</v>
      </c>
      <c r="G42" s="1631">
        <v>5.9761845095252486</v>
      </c>
      <c r="H42" s="1631">
        <v>10.422955455069308</v>
      </c>
      <c r="I42" s="1631">
        <v>1.5674012020553132</v>
      </c>
      <c r="J42" s="1631">
        <v>3.4895961787920355</v>
      </c>
      <c r="K42" s="1631">
        <v>5.5212077760180378</v>
      </c>
      <c r="L42" s="1631">
        <v>26.81390049403749</v>
      </c>
      <c r="M42" s="1631">
        <v>73.186099505962403</v>
      </c>
      <c r="N42" s="1445">
        <v>1106028.9531284077</v>
      </c>
    </row>
    <row r="43" spans="3:14" x14ac:dyDescent="0.4">
      <c r="C43" s="226" t="s">
        <v>558</v>
      </c>
      <c r="D43" s="1631"/>
      <c r="E43" s="1631"/>
      <c r="F43" s="1631"/>
      <c r="G43" s="1631"/>
      <c r="H43" s="1631"/>
      <c r="I43" s="1631"/>
      <c r="J43" s="1631"/>
      <c r="K43" s="1631"/>
      <c r="L43" s="1631"/>
      <c r="M43" s="1631"/>
      <c r="N43" s="1445"/>
    </row>
    <row r="44" spans="3:14" x14ac:dyDescent="0.4">
      <c r="C44" s="341" t="s">
        <v>559</v>
      </c>
      <c r="D44" s="1631">
        <v>4.3003119599118689</v>
      </c>
      <c r="E44" s="1631">
        <v>7.1926633978464025</v>
      </c>
      <c r="F44" s="1631">
        <v>2.144266944035683</v>
      </c>
      <c r="G44" s="1631">
        <v>5.2879922680480167</v>
      </c>
      <c r="H44" s="1631">
        <v>8.0806789945282773</v>
      </c>
      <c r="I44" s="1631">
        <v>1.8311304068723233</v>
      </c>
      <c r="J44" s="1631">
        <v>6.9470710654210803</v>
      </c>
      <c r="K44" s="1631">
        <v>5.9438415654944272</v>
      </c>
      <c r="L44" s="1631">
        <v>24.659790294811085</v>
      </c>
      <c r="M44" s="1631">
        <v>75.340209705188954</v>
      </c>
      <c r="N44" s="1445">
        <v>239089.80479375887</v>
      </c>
    </row>
    <row r="45" spans="3:14" x14ac:dyDescent="0.4">
      <c r="C45" s="341" t="s">
        <v>560</v>
      </c>
      <c r="D45" s="1631">
        <v>1.6994834093474951</v>
      </c>
      <c r="E45" s="1631">
        <v>7.3246046157847582</v>
      </c>
      <c r="F45" s="1632">
        <v>0.99840675844395455</v>
      </c>
      <c r="G45" s="1631">
        <v>6.1683732978912191</v>
      </c>
      <c r="H45" s="1631">
        <v>10.437572275430039</v>
      </c>
      <c r="I45" s="1631">
        <v>2.7796980693638167</v>
      </c>
      <c r="J45" s="1631">
        <v>4.6018139982952393</v>
      </c>
      <c r="K45" s="1631">
        <v>6.2198156017238571</v>
      </c>
      <c r="L45" s="1631">
        <v>24.398196992182818</v>
      </c>
      <c r="M45" s="1631">
        <v>75.601803007817182</v>
      </c>
      <c r="N45" s="1445">
        <v>262673.37480039138</v>
      </c>
    </row>
    <row r="46" spans="3:14" x14ac:dyDescent="0.4">
      <c r="C46" s="341" t="s">
        <v>561</v>
      </c>
      <c r="D46" s="1631">
        <v>2.4324318210446356</v>
      </c>
      <c r="E46" s="1631">
        <v>11.746216523003815</v>
      </c>
      <c r="F46" s="1631">
        <v>2.0225679359073241</v>
      </c>
      <c r="G46" s="1631">
        <v>7.8764538733892904</v>
      </c>
      <c r="H46" s="1631">
        <v>11.325872506413582</v>
      </c>
      <c r="I46" s="1631">
        <v>2.4366057255371989</v>
      </c>
      <c r="J46" s="1631">
        <v>2.3428400138331811</v>
      </c>
      <c r="K46" s="1631">
        <v>6.2236402971431861</v>
      </c>
      <c r="L46" s="1631">
        <v>28.522420963966582</v>
      </c>
      <c r="M46" s="1631">
        <v>71.477579036033418</v>
      </c>
      <c r="N46" s="1445">
        <v>279529.96769160079</v>
      </c>
    </row>
    <row r="47" spans="3:14" x14ac:dyDescent="0.4">
      <c r="C47" s="341" t="s">
        <v>562</v>
      </c>
      <c r="D47" s="1631">
        <v>2.0279558044695696</v>
      </c>
      <c r="E47" s="1631">
        <v>12.127240488611182</v>
      </c>
      <c r="F47" s="1631">
        <v>2.5061877868919478</v>
      </c>
      <c r="G47" s="1631">
        <v>7.2979842194890265</v>
      </c>
      <c r="H47" s="1631">
        <v>11.104938694967043</v>
      </c>
      <c r="I47" s="1631">
        <v>2.4121347950433303</v>
      </c>
      <c r="J47" s="1631">
        <v>2.133599896181023</v>
      </c>
      <c r="K47" s="1631">
        <v>5.5130790802565057</v>
      </c>
      <c r="L47" s="1631">
        <v>29.366415302749964</v>
      </c>
      <c r="M47" s="1631">
        <v>70.633584697250029</v>
      </c>
      <c r="N47" s="1445">
        <v>272978.63769507431</v>
      </c>
    </row>
    <row r="48" spans="3:14" x14ac:dyDescent="0.4">
      <c r="C48" s="650" t="s">
        <v>563</v>
      </c>
      <c r="D48" s="1634">
        <v>1.9371908003510683</v>
      </c>
      <c r="E48" s="1634">
        <v>12.976595424173038</v>
      </c>
      <c r="F48" s="1634">
        <v>0.87908069973408876</v>
      </c>
      <c r="G48" s="1634">
        <v>6.01057834246767</v>
      </c>
      <c r="H48" s="1634">
        <v>13.503244848732425</v>
      </c>
      <c r="I48" s="1634">
        <v>0.9303974754119817</v>
      </c>
      <c r="J48" s="1634">
        <v>2.2391156692634833</v>
      </c>
      <c r="K48" s="1634">
        <v>6.904117673413718</v>
      </c>
      <c r="L48" s="1634">
        <v>31.64104787928493</v>
      </c>
      <c r="M48" s="1634">
        <v>68.358952120714974</v>
      </c>
      <c r="N48" s="1635">
        <v>280359.96501917794</v>
      </c>
    </row>
    <row r="49" spans="3:3" ht="17.45" customHeight="1" x14ac:dyDescent="0.4">
      <c r="C49" s="649" t="s">
        <v>5693</v>
      </c>
    </row>
    <row r="50" spans="3:3" x14ac:dyDescent="0.4">
      <c r="C50" s="301" t="s">
        <v>5694</v>
      </c>
    </row>
  </sheetData>
  <mergeCells count="12">
    <mergeCell ref="A3:B3"/>
    <mergeCell ref="C3:N3"/>
    <mergeCell ref="A4:B4"/>
    <mergeCell ref="C4:N4"/>
    <mergeCell ref="A5:B5"/>
    <mergeCell ref="C5:N5"/>
    <mergeCell ref="A6:B6"/>
    <mergeCell ref="C6:N6"/>
    <mergeCell ref="C11:C12"/>
    <mergeCell ref="D11:L11"/>
    <mergeCell ref="M11:M12"/>
    <mergeCell ref="N11:N12"/>
  </mergeCells>
  <hyperlinks>
    <hyperlink ref="A1" location="'ODS 16.'!A1" display="REGRESAR" xr:uid="{76036795-B661-4BCD-988A-C266DE83AF1E}"/>
    <hyperlink ref="C1" location="'Metadato 16.b.1 EMNA'!A1" display="VER METADATO" xr:uid="{E90CBEB6-D2A8-4C28-8DE6-A3AFFF9A6689}"/>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AC0E1-7DF8-4B10-9B26-B345FEEDB16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14" t="s">
        <v>75</v>
      </c>
      <c r="C3" s="3514"/>
      <c r="D3" s="3514"/>
      <c r="F3" s="1046" t="s">
        <v>265</v>
      </c>
    </row>
    <row r="4" spans="2:6" ht="37.5" x14ac:dyDescent="0.25">
      <c r="B4" s="2425" t="s">
        <v>234</v>
      </c>
      <c r="C4" s="2425"/>
      <c r="D4" s="49" t="s">
        <v>7369</v>
      </c>
    </row>
    <row r="5" spans="2:6" x14ac:dyDescent="0.25">
      <c r="B5" s="2425" t="s">
        <v>79</v>
      </c>
      <c r="C5" s="2425"/>
      <c r="D5" s="49" t="s">
        <v>7339</v>
      </c>
    </row>
    <row r="6" spans="2:6" x14ac:dyDescent="0.25">
      <c r="B6" s="2425" t="s">
        <v>80</v>
      </c>
      <c r="C6" s="2425"/>
      <c r="D6" s="50" t="s">
        <v>7340</v>
      </c>
    </row>
    <row r="7" spans="2:6" ht="56.25" x14ac:dyDescent="0.25">
      <c r="B7" s="2426" t="s">
        <v>81</v>
      </c>
      <c r="C7" s="2426"/>
      <c r="D7" s="93" t="s">
        <v>7341</v>
      </c>
    </row>
    <row r="8" spans="2:6" x14ac:dyDescent="0.25">
      <c r="B8" s="2426" t="s">
        <v>82</v>
      </c>
      <c r="C8" s="2426"/>
      <c r="D8" s="1047" t="s">
        <v>353</v>
      </c>
    </row>
    <row r="9" spans="2:6" x14ac:dyDescent="0.4">
      <c r="B9" s="115"/>
      <c r="C9" s="115"/>
      <c r="D9" s="115"/>
    </row>
    <row r="10" spans="2:6" ht="23.25" customHeight="1" x14ac:dyDescent="0.25">
      <c r="B10" s="3514" t="s">
        <v>85</v>
      </c>
      <c r="C10" s="3514"/>
      <c r="D10" s="3514"/>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49"/>
    </row>
    <row r="25" spans="2:4" x14ac:dyDescent="0.25">
      <c r="B25" s="2425" t="s">
        <v>113</v>
      </c>
      <c r="C25" s="2425"/>
      <c r="D25" s="55"/>
    </row>
    <row r="26" spans="2:4" x14ac:dyDescent="0.25">
      <c r="B26" s="2426" t="s">
        <v>115</v>
      </c>
      <c r="C26" s="2426"/>
      <c r="D26" s="49"/>
    </row>
    <row r="27" spans="2:4" x14ac:dyDescent="0.25">
      <c r="B27" s="2427" t="s">
        <v>117</v>
      </c>
      <c r="C27" s="2428"/>
      <c r="D27" s="49"/>
    </row>
    <row r="28" spans="2:4" ht="120" customHeight="1" x14ac:dyDescent="0.25">
      <c r="B28" s="60" t="s">
        <v>118</v>
      </c>
      <c r="C28" s="61"/>
      <c r="D28" s="55" t="s">
        <v>7695</v>
      </c>
    </row>
    <row r="29" spans="2:4" x14ac:dyDescent="0.25">
      <c r="B29" s="2429" t="s">
        <v>120</v>
      </c>
      <c r="C29" s="2430"/>
      <c r="D29" s="62"/>
    </row>
    <row r="30" spans="2:4" x14ac:dyDescent="0.25">
      <c r="B30" s="63"/>
      <c r="C30" s="63"/>
      <c r="D30" s="64"/>
    </row>
    <row r="31" spans="2:4" ht="23.25" customHeight="1" x14ac:dyDescent="0.25">
      <c r="B31" s="3514" t="s">
        <v>121</v>
      </c>
      <c r="C31" s="3514"/>
      <c r="D31" s="3514"/>
    </row>
    <row r="32" spans="2:4" x14ac:dyDescent="0.25">
      <c r="B32" s="2427" t="s">
        <v>122</v>
      </c>
      <c r="C32" s="2428"/>
      <c r="D32" s="50" t="s">
        <v>1760</v>
      </c>
    </row>
    <row r="33" spans="2:4" x14ac:dyDescent="0.25">
      <c r="B33" s="2427" t="s">
        <v>124</v>
      </c>
      <c r="C33" s="2428"/>
      <c r="D33" s="50" t="s">
        <v>1760</v>
      </c>
    </row>
    <row r="34" spans="2:4" x14ac:dyDescent="0.25">
      <c r="B34" s="2427" t="s">
        <v>126</v>
      </c>
      <c r="C34" s="2428"/>
      <c r="D34" s="50" t="s">
        <v>1760</v>
      </c>
    </row>
    <row r="35" spans="2:4" x14ac:dyDescent="0.25">
      <c r="B35" s="2427" t="s">
        <v>128</v>
      </c>
      <c r="C35" s="2428"/>
      <c r="D35" s="50" t="s">
        <v>1760</v>
      </c>
    </row>
    <row r="36" spans="2:4" x14ac:dyDescent="0.25">
      <c r="B36" s="2427" t="s">
        <v>130</v>
      </c>
      <c r="C36" s="2428"/>
      <c r="D36" s="50" t="s">
        <v>1760</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69FA635E-9E8B-4CB4-AE0F-F44B27024415}"/>
    <dataValidation type="list" allowBlank="1" showInputMessage="1" showErrorMessage="1" sqref="D4" xr:uid="{7335C76E-F826-4FE0-8E66-D7BC76A0FA0D}">
      <formula1>ODS</formula1>
    </dataValidation>
    <dataValidation type="list" allowBlank="1" showInputMessage="1" showErrorMessage="1" sqref="D5" xr:uid="{CE4DCF92-7834-49E2-A961-CFE553D60382}">
      <formula1>Metas_ODS</formula1>
    </dataValidation>
    <dataValidation type="list" allowBlank="1" showInputMessage="1" showErrorMessage="1" sqref="D6" xr:uid="{737F32D7-F26D-415F-BAB5-4C384309FA53}">
      <formula1>Numero_indicador</formula1>
    </dataValidation>
    <dataValidation type="list" allowBlank="1" showInputMessage="1" showErrorMessage="1" sqref="D7" xr:uid="{61E316F9-4D29-42EE-AAF8-3497EE1A526F}">
      <formula1>Nombre_indicador_ODS</formula1>
    </dataValidation>
    <dataValidation type="list" allowBlank="1" showInputMessage="1" showErrorMessage="1" sqref="D14" xr:uid="{0DDEC23D-5DAA-4F17-871E-744242E73E66}">
      <formula1>Tipo_indicador</formula1>
    </dataValidation>
    <dataValidation type="list" allowBlank="1" showInputMessage="1" showErrorMessage="1" sqref="D25" xr:uid="{2A2779C2-A611-4530-A800-0668CB62E16B}">
      <formula1>Tipo_operación</formula1>
    </dataValidation>
  </dataValidations>
  <hyperlinks>
    <hyperlink ref="B1" location="'16.b.1 EMNA'!A1" display="REGRESAR" xr:uid="{EEE12780-3E51-4F4D-B7F1-53ED40F5B1E8}"/>
    <hyperlink ref="D8" r:id="rId1" xr:uid="{159A983F-3646-44FC-BF55-821A01D064ED}"/>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034BB-0E66-4FFC-9CC1-A62E30CE751A}">
  <sheetPr>
    <tabColor rgb="FF19486A"/>
  </sheetPr>
  <dimension ref="A1:E28"/>
  <sheetViews>
    <sheetView showGridLines="0" zoomScale="90" zoomScaleNormal="90" workbookViewId="0">
      <pane ySplit="4" topLeftCell="A5" activePane="bottomLeft" state="frozen"/>
      <selection sqref="A1:B1"/>
      <selection pane="bottomLeft" sqref="A1:B1"/>
    </sheetView>
  </sheetViews>
  <sheetFormatPr baseColWidth="10" defaultColWidth="11.5703125" defaultRowHeight="18.75" x14ac:dyDescent="0.4"/>
  <cols>
    <col min="1" max="2" width="11.5703125" style="5"/>
    <col min="3" max="3" width="71.7109375" style="5" customWidth="1"/>
    <col min="4" max="4" width="14.5703125" style="5" customWidth="1"/>
    <col min="5" max="5" width="77.28515625" style="5" customWidth="1"/>
    <col min="6" max="16384" width="11.5703125" style="5"/>
  </cols>
  <sheetData>
    <row r="1" spans="1:5" ht="19.5" x14ac:dyDescent="0.4">
      <c r="A1" s="2410" t="s">
        <v>1</v>
      </c>
      <c r="B1" s="2410"/>
    </row>
    <row r="3" spans="1:5" ht="57" customHeight="1" x14ac:dyDescent="0.4">
      <c r="C3" s="3546" t="s">
        <v>7696</v>
      </c>
      <c r="D3" s="3546"/>
      <c r="E3" s="3546"/>
    </row>
    <row r="4" spans="1:5" s="3" customFormat="1" ht="45" x14ac:dyDescent="0.25">
      <c r="C4" s="8" t="s">
        <v>3</v>
      </c>
      <c r="D4" s="8" t="s">
        <v>4</v>
      </c>
      <c r="E4" s="8" t="s">
        <v>5</v>
      </c>
    </row>
    <row r="5" spans="1:5" s="3" customFormat="1" ht="45" customHeight="1" x14ac:dyDescent="0.25">
      <c r="C5" s="2408" t="s">
        <v>7697</v>
      </c>
      <c r="D5" s="11" t="s">
        <v>7698</v>
      </c>
      <c r="E5" s="12" t="s">
        <v>7699</v>
      </c>
    </row>
    <row r="6" spans="1:5" s="3" customFormat="1" ht="31.5" customHeight="1" x14ac:dyDescent="0.25">
      <c r="C6" s="2409"/>
      <c r="D6" s="11" t="s">
        <v>7700</v>
      </c>
      <c r="E6" s="12" t="s">
        <v>7701</v>
      </c>
    </row>
    <row r="7" spans="1:5" s="3" customFormat="1" ht="196.9" customHeight="1" x14ac:dyDescent="0.25">
      <c r="C7" s="10" t="s">
        <v>7702</v>
      </c>
      <c r="D7" s="13" t="s">
        <v>7703</v>
      </c>
      <c r="E7" s="14" t="s">
        <v>7704</v>
      </c>
    </row>
    <row r="8" spans="1:5" s="3" customFormat="1" ht="39" x14ac:dyDescent="0.25">
      <c r="C8" s="2408" t="s">
        <v>7705</v>
      </c>
      <c r="D8" s="11" t="s">
        <v>7706</v>
      </c>
      <c r="E8" s="12" t="s">
        <v>7707</v>
      </c>
    </row>
    <row r="9" spans="1:5" s="3" customFormat="1" ht="39" x14ac:dyDescent="0.25">
      <c r="C9" s="2409"/>
      <c r="D9" s="11" t="s">
        <v>7708</v>
      </c>
      <c r="E9" s="12" t="s">
        <v>7709</v>
      </c>
    </row>
    <row r="10" spans="1:5" s="3" customFormat="1" ht="97.5" x14ac:dyDescent="0.25">
      <c r="C10" s="10" t="s">
        <v>7710</v>
      </c>
      <c r="D10" s="11" t="s">
        <v>7711</v>
      </c>
      <c r="E10" s="12" t="s">
        <v>7712</v>
      </c>
    </row>
    <row r="11" spans="1:5" s="3" customFormat="1" ht="58.5" x14ac:dyDescent="0.25">
      <c r="C11" s="10" t="s">
        <v>7713</v>
      </c>
      <c r="D11" s="13" t="s">
        <v>7714</v>
      </c>
      <c r="E11" s="14" t="s">
        <v>7715</v>
      </c>
    </row>
    <row r="12" spans="1:5" s="3" customFormat="1" ht="117" x14ac:dyDescent="0.25">
      <c r="C12" s="10" t="s">
        <v>7716</v>
      </c>
      <c r="D12" s="11" t="s">
        <v>7717</v>
      </c>
      <c r="E12" s="12" t="s">
        <v>7718</v>
      </c>
    </row>
    <row r="13" spans="1:5" s="3" customFormat="1" ht="78" x14ac:dyDescent="0.25">
      <c r="C13" s="10" t="s">
        <v>7719</v>
      </c>
      <c r="D13" s="13" t="s">
        <v>7720</v>
      </c>
      <c r="E13" s="14" t="s">
        <v>7721</v>
      </c>
    </row>
    <row r="14" spans="1:5" s="3" customFormat="1" ht="90" customHeight="1" x14ac:dyDescent="0.25">
      <c r="C14" s="10" t="s">
        <v>7722</v>
      </c>
      <c r="D14" s="11" t="s">
        <v>7723</v>
      </c>
      <c r="E14" s="12" t="s">
        <v>7724</v>
      </c>
    </row>
    <row r="15" spans="1:5" s="3" customFormat="1" ht="90" customHeight="1" x14ac:dyDescent="0.25">
      <c r="C15" s="10" t="s">
        <v>7725</v>
      </c>
      <c r="D15" s="13" t="s">
        <v>7726</v>
      </c>
      <c r="E15" s="14" t="s">
        <v>7727</v>
      </c>
    </row>
    <row r="16" spans="1:5" s="3" customFormat="1" ht="78" x14ac:dyDescent="0.25">
      <c r="C16" s="10" t="s">
        <v>7728</v>
      </c>
      <c r="D16" s="11" t="s">
        <v>7729</v>
      </c>
      <c r="E16" s="12" t="s">
        <v>7730</v>
      </c>
    </row>
    <row r="17" spans="3:5" s="3" customFormat="1" ht="78" x14ac:dyDescent="0.25">
      <c r="C17" s="10" t="s">
        <v>7731</v>
      </c>
      <c r="D17" s="13" t="s">
        <v>7732</v>
      </c>
      <c r="E17" s="14" t="s">
        <v>7733</v>
      </c>
    </row>
    <row r="18" spans="3:5" s="3" customFormat="1" ht="136.5" x14ac:dyDescent="0.25">
      <c r="C18" s="10" t="s">
        <v>7734</v>
      </c>
      <c r="D18" s="13" t="s">
        <v>7735</v>
      </c>
      <c r="E18" s="14" t="s">
        <v>7736</v>
      </c>
    </row>
    <row r="19" spans="3:5" s="3" customFormat="1" ht="39" x14ac:dyDescent="0.25">
      <c r="C19" s="10" t="s">
        <v>7737</v>
      </c>
      <c r="D19" s="13" t="s">
        <v>7738</v>
      </c>
      <c r="E19" s="14" t="s">
        <v>7739</v>
      </c>
    </row>
    <row r="20" spans="3:5" s="3" customFormat="1" ht="42" customHeight="1" x14ac:dyDescent="0.25">
      <c r="C20" s="10" t="s">
        <v>7740</v>
      </c>
      <c r="D20" s="13" t="s">
        <v>7741</v>
      </c>
      <c r="E20" s="14" t="s">
        <v>7742</v>
      </c>
    </row>
    <row r="21" spans="3:5" s="3" customFormat="1" ht="58.5" x14ac:dyDescent="0.25">
      <c r="C21" s="10" t="s">
        <v>7743</v>
      </c>
      <c r="D21" s="13" t="s">
        <v>7744</v>
      </c>
      <c r="E21" s="14" t="s">
        <v>7745</v>
      </c>
    </row>
    <row r="22" spans="3:5" s="3" customFormat="1" ht="117" x14ac:dyDescent="0.25">
      <c r="C22" s="10" t="s">
        <v>7746</v>
      </c>
      <c r="D22" s="13" t="s">
        <v>7747</v>
      </c>
      <c r="E22" s="14" t="s">
        <v>7748</v>
      </c>
    </row>
    <row r="23" spans="3:5" s="3" customFormat="1" ht="58.5" x14ac:dyDescent="0.25">
      <c r="C23" s="10" t="s">
        <v>7749</v>
      </c>
      <c r="D23" s="13" t="s">
        <v>7750</v>
      </c>
      <c r="E23" s="14" t="s">
        <v>7751</v>
      </c>
    </row>
    <row r="24" spans="3:5" s="3" customFormat="1" ht="42.6" customHeight="1" x14ac:dyDescent="0.25">
      <c r="C24" s="2408" t="s">
        <v>7752</v>
      </c>
      <c r="D24" s="11" t="s">
        <v>7753</v>
      </c>
      <c r="E24" s="12" t="s">
        <v>7754</v>
      </c>
    </row>
    <row r="25" spans="3:5" s="3" customFormat="1" ht="39" x14ac:dyDescent="0.25">
      <c r="C25" s="2412"/>
      <c r="D25" s="13" t="s">
        <v>7755</v>
      </c>
      <c r="E25" s="14" t="s">
        <v>7756</v>
      </c>
    </row>
    <row r="26" spans="3:5" s="3" customFormat="1" ht="58.5" x14ac:dyDescent="0.25">
      <c r="C26" s="2409"/>
      <c r="D26" s="13" t="s">
        <v>7757</v>
      </c>
      <c r="E26" s="14" t="s">
        <v>7758</v>
      </c>
    </row>
    <row r="27" spans="3:5" s="3" customFormat="1" ht="60" customHeight="1" x14ac:dyDescent="0.25">
      <c r="C27" s="2408" t="s">
        <v>7759</v>
      </c>
      <c r="D27" s="13" t="s">
        <v>7760</v>
      </c>
      <c r="E27" s="14" t="s">
        <v>7761</v>
      </c>
    </row>
    <row r="28" spans="3:5" s="3" customFormat="1" ht="60" customHeight="1" x14ac:dyDescent="0.25">
      <c r="C28" s="2409"/>
      <c r="D28" s="13" t="s">
        <v>7762</v>
      </c>
      <c r="E28" s="14" t="s">
        <v>7763</v>
      </c>
    </row>
  </sheetData>
  <mergeCells count="6">
    <mergeCell ref="C27:C28"/>
    <mergeCell ref="A1:B1"/>
    <mergeCell ref="C3:E3"/>
    <mergeCell ref="C5:C6"/>
    <mergeCell ref="C8:C9"/>
    <mergeCell ref="C24:C26"/>
  </mergeCells>
  <hyperlinks>
    <hyperlink ref="A1" location="Objetivos!A1" display="REGRESAR A INICIO" xr:uid="{90DF1544-B1FF-4A7B-9A6D-C4AE646840CD}"/>
    <hyperlink ref="A1:B1" location="'Lista de Objetivos'!A1" display="REGRESAR A INICIO" xr:uid="{EF82ECA1-E1C6-4DC6-8ACC-89FDDD1CD74E}"/>
    <hyperlink ref="D5" location="'17.1.1'!A1" display="17.1.1" xr:uid="{4199A112-22C1-4DF5-9CFD-6434FEAA77C5}"/>
    <hyperlink ref="E5" location="'17.1.1'!A1" display="17.1.1 Total de ingresos del gobierno en proporción al PIB, desglosado por fuente" xr:uid="{A976AC2C-1C6B-4AD9-9470-DF584E215B08}"/>
    <hyperlink ref="D6" location="'17.1.2'!A1" display="17.1.2" xr:uid="{B74EC14A-9EBF-41AB-88A7-9889A64DA72B}"/>
    <hyperlink ref="E6" location="'17.1.2'!A1" display="17.1.2 Proporción del presupuesto nacional financiado por impuestos internos" xr:uid="{8CFEE0A4-0977-481E-8B8D-C1F3BFC1AA00}"/>
    <hyperlink ref="D7" location="'17.2.1'!A1" display="17.2.1" xr:uid="{DCD89340-97AD-4B94-AB27-B12EA3C4F068}"/>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246602C5-BCDD-4524-9F60-37C3C4EB2DF0}"/>
    <hyperlink ref="D8" location="'17.3.1'!A1" display="17.3.1" xr:uid="{FEB35187-28DB-4022-A176-3086FA5056E8}"/>
    <hyperlink ref="E8" location="'17.3.1'!A1" display="17.3.1 Inversión extranjera directa, asistencia oficial para el desarrollo y cooperación Sur-Sur como proporción del ingreso nacional bruto" xr:uid="{AD1B5D28-2B59-4FDA-9EDD-C0D096F6530B}"/>
    <hyperlink ref="D9" location="'17.3.2'!A1" display="17.3.2" xr:uid="{B970C1E2-E630-4B71-9F3E-FFF09A8E8C62}"/>
    <hyperlink ref="E9" location="'17.3.2'!A1" display="17.3.2 Volumen de remesas (en dólares de los Estados Unidos) en proporción al PIB total" xr:uid="{FD0BB843-24D1-453F-A593-B47CE239D7C4}"/>
    <hyperlink ref="D10" location="'17.4.1'!A1" display="17.4.1" xr:uid="{0597AEEF-E453-4568-9D0A-98DC5D4E28D4}"/>
    <hyperlink ref="E10" location="'17.4.1'!A1" display="17.4.1 Servicio de la deuda en proporción a las exportaciones de bienes y servicios" xr:uid="{D6C0C3EB-29F7-4B65-9ED5-B78713D1384B}"/>
    <hyperlink ref="D11" location="'17.5.1'!A1" display="17.5.1" xr:uid="{491EA2CF-F613-4934-AFDA-5E5F6C999AB8}"/>
    <hyperlink ref="E11" location="'17.5.1'!A1" display="17.5.1 Número de países que adoptan y aplican sistemas de promoción de las inversiones en favor de los países en desarrollo, entre ellos los países menos adelantados" xr:uid="{195FCA66-BD9C-4600-9D3D-3504505B55C8}"/>
    <hyperlink ref="D12" location="'17.6.1'!A1" display="17.6.1 " xr:uid="{59D8A03F-3CC6-48C2-BC68-C72C415CFEA0}"/>
    <hyperlink ref="E12" location="'17.6.1'!A1" display="17.6.1 Número de abonados a Internet de banda ancha fija por cada 100 habitantes, desglosado por velocidad5" xr:uid="{FE1656E0-978E-4F31-BD2E-FE3B935DF787}"/>
    <hyperlink ref="D13" location="'17.7.1'!A1" display="17.7.1 " xr:uid="{FA1BF63D-4B87-4760-8BD3-8BBC8B0155D3}"/>
    <hyperlink ref="E13" location="'17.7.1'!A1" display="17.7.1 Total de los fondos destinados a los países en desarrollo a fin de promover el desarrollo, la transferencia y la difusión de tecnologías ecológicamente racionales" xr:uid="{4A5181DB-77E3-4DF5-847D-17A5572A310D}"/>
    <hyperlink ref="D14" location="'17.8.1'!A1" display="17.8.1" xr:uid="{EFE9158F-58B2-4BF3-9E20-F5B81EBA9656}"/>
    <hyperlink ref="E14" location="'17.8.1'!A1" display="17.8.1 Proporción de personas que utilizan Internet" xr:uid="{8FA52E62-704C-4B19-8D79-60289FA64B4A}"/>
    <hyperlink ref="D15" location="'17.9.1'!A1" display="17.9.1" xr:uid="{0646910F-B5DB-4BDA-A56C-E29D9966B43B}"/>
    <hyperlink ref="E15" location="'17.9.1'!A1" display="17.9.1 Valor en dólares de la asistencia financiera y técnica (incluso mediante la cooperación Norte-Sur, Sur‑Sur y triangular) prometida a los países en desarrollo" xr:uid="{389E3BA6-00FC-4042-81D4-3A1815E3EB27}"/>
    <hyperlink ref="D16" location="'17.10.1'!A1" display="17.10.1" xr:uid="{0B327285-9BFC-46D8-BE99-24D5BDA07410}"/>
    <hyperlink ref="E16" location="'17.10.1'!A1" display="17.10.1 Promedio arancelario mundial ponderado" xr:uid="{25396023-0B43-4A90-800A-195935F577DC}"/>
    <hyperlink ref="D17" location="'17.11.1'!A1" display="17.11.1" xr:uid="{9F1C8254-EFA1-4F5A-A436-FC9AA5C9B670}"/>
    <hyperlink ref="E17" location="'17.11.1'!A1" display="17.11.1 Participación de los países en desarrollo y los países menos adelantados en las exportaciones mundiales" xr:uid="{4F1F4BCE-6D9B-4AFA-9866-873723A045F7}"/>
    <hyperlink ref="D18" location="'17.12.1'!A1" display="17.12.1" xr:uid="{D633C85F-29D0-4702-86F6-F6D4913381C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E06ED689-63EF-47D6-A68E-568B6AFD15D2}"/>
    <hyperlink ref="D19" location="'17.13.1'!A1" display="17.13.1" xr:uid="{5E940678-BE61-4E20-AEAE-F62CE6496A30}"/>
    <hyperlink ref="E19" location="'17.13.1'!A1" display="17.13.1 Tablero macroeconómico" xr:uid="{4C397967-5F30-4E12-84E7-F2B9D3ABB3B2}"/>
    <hyperlink ref="D20" location="'17.14.1'!A1" display="17.14.1" xr:uid="{DA6FDB65-95AA-44AD-A5FF-4269E4064BE8}"/>
    <hyperlink ref="E20" location="'17.14.1'!A1" display="17.14.1 Número de países que cuentan con mecanismos para mejorar la coherencia de las políticas de desarrollo sostenible" xr:uid="{533D56BA-21F9-4A90-BCE3-7D671CA37B43}"/>
    <hyperlink ref="D21" location="'17.15.1'!A1" display="17.15.1" xr:uid="{FF851D77-0628-42C6-850B-DC77E330FBDD}"/>
    <hyperlink ref="E21" location="'17.15.1'!A1" display="17.15.1 Grado de utilización de los marcos de resultados y las herramientas de planificación de los propios países por los proveedores de cooperación para el desarrollo" xr:uid="{15C1A7E8-D0F4-496B-A51A-AAC815633A72}"/>
    <hyperlink ref="D22" location="'17.16.1'!A1" display="17.16.1" xr:uid="{B3404744-EF66-4760-98CB-FC00F5C0BF5E}"/>
    <hyperlink ref="E22" location="'17.16.1'!A1" display="17.16.1 Número de países que informan de sus progresos en los marcos de múltiples interesados para el seguimiento de la eficacia de las actividades de desarrollo que apoyan el logro de los Objetivos de Desarrollo Sostenible" xr:uid="{DFECC352-590B-4462-9043-D162B4218050}"/>
    <hyperlink ref="D23" location="'17.17.1'!A1" display="17.17.1" xr:uid="{0A5999DA-0F9C-4BFF-BA3B-4892E4642FF5}"/>
    <hyperlink ref="E23" location="'17.17.1'!A1" display="17.17.1 Suma en dólares de los Estados Unidos prometida a las alianzas público-privadas centradas en la infraestructura" xr:uid="{3B644B04-23D3-4461-88E0-1FA0BF4CCB70}"/>
    <hyperlink ref="D24" location="'17.18.1'!A1" display="17.18.1" xr:uid="{45174ECF-9171-47DD-BA88-5E78B228F087}"/>
    <hyperlink ref="E24" location="'17.18.1'!A1" display="17.18.1 Indicador de capacidad estadística para el seguimiento de los Objetivos de Desarrollo Sostenible" xr:uid="{122C8E2D-E2E4-4EE2-966C-8735A00CD141}"/>
    <hyperlink ref="D25" location="'17.18.2'!A1" display="17.18.2" xr:uid="{9FC31445-8BBF-4DDF-A2DC-F8352CDBDCA5}"/>
    <hyperlink ref="E25" location="'17.18.2'!A1" display="17.18.2 Número de países cuya legislación nacional sobre estadísticas cumple los Principios Fundamentales de las Estadísticas Oficiales" xr:uid="{D058F421-C97D-49C4-8690-DC25CE99879B}"/>
    <hyperlink ref="D26" location="'17.18.3'!A1" display="17.18.3" xr:uid="{42506FAB-712D-4CF2-ADBC-9B19B9976735}"/>
    <hyperlink ref="E26" location="'17.18.3'!A1" display="17.18.3 Número de países que cuentan con un plan estadístico nacional plenamente financiado y en proceso de aplicación, desglosado por fuente de financiación" xr:uid="{86ED1B35-7D21-4D0F-8FE4-BB807BE0A605}"/>
    <hyperlink ref="D27" location="'17.19.1'!A1" display="17.19.1" xr:uid="{036E53D0-44D1-4598-9856-A819AB6E7605}"/>
    <hyperlink ref="E27" location="'17.19.1'!A1" display="17.19.1 Valor en dólares de todos los recursos proporcionados para fortalecer la capacidad estadística de los países en desarrollo" xr:uid="{F78223A1-BA85-4964-B687-963A4509D7D4}"/>
    <hyperlink ref="D28" location="'17.19.2'!A1" display="17.19.2" xr:uid="{0E62255D-D2D2-4ED2-95D2-20AEEABC064C}"/>
    <hyperlink ref="E28" location="'17.19.2'!A1" display="17.19.2 Proporción de países que a) han realizado al menos un censo de población y vivienda en los últimos diez años; y b) han registrado el 100% de los nacimientos y el 80% de las defunciones" xr:uid="{DF01255D-6979-4718-B05D-877F85EC67FE}"/>
  </hyperlinks>
  <pageMargins left="0.7" right="0.7" top="0.75" bottom="0.75" header="0.3" footer="0.3"/>
  <pageSetup orientation="portrait" r:id="rId1"/>
  <drawing r:id="rId2"/>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8843-FCBB-4B33-92E9-99D596500B11}">
  <dimension ref="A1:S63"/>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 style="115" customWidth="1"/>
    <col min="2" max="2" width="15" style="1048" customWidth="1"/>
    <col min="3" max="3" width="9.42578125" style="115" customWidth="1"/>
    <col min="4" max="8" width="11.42578125" style="115"/>
    <col min="9" max="9" width="12" style="115" customWidth="1"/>
    <col min="10" max="10" width="1.28515625" style="115" customWidth="1"/>
    <col min="11" max="16384" width="11.42578125" style="115"/>
  </cols>
  <sheetData>
    <row r="1" spans="1:19" x14ac:dyDescent="0.4">
      <c r="A1" s="90" t="s">
        <v>39</v>
      </c>
      <c r="C1" s="2541" t="s">
        <v>149</v>
      </c>
      <c r="D1" s="2541"/>
    </row>
    <row r="3" spans="1:19" ht="19.5" x14ac:dyDescent="0.4">
      <c r="A3" s="3547" t="s">
        <v>41</v>
      </c>
      <c r="B3" s="3547"/>
      <c r="C3" s="3547" t="s">
        <v>7696</v>
      </c>
      <c r="D3" s="3548"/>
      <c r="E3" s="3548"/>
      <c r="F3" s="3548"/>
      <c r="G3" s="3548"/>
      <c r="H3" s="3548"/>
      <c r="I3" s="3548"/>
      <c r="J3" s="3548"/>
      <c r="K3" s="3548"/>
      <c r="L3" s="3548"/>
      <c r="M3" s="3548"/>
      <c r="N3" s="3548"/>
      <c r="O3" s="3548"/>
      <c r="P3" s="3548"/>
      <c r="Q3" s="3548"/>
      <c r="R3" s="3548"/>
      <c r="S3" s="3548"/>
    </row>
    <row r="4" spans="1:19" ht="34.15" customHeight="1" x14ac:dyDescent="0.4">
      <c r="A4" s="3547" t="s">
        <v>42</v>
      </c>
      <c r="B4" s="3548"/>
      <c r="C4" s="3552" t="s">
        <v>7697</v>
      </c>
      <c r="D4" s="3553"/>
      <c r="E4" s="3553"/>
      <c r="F4" s="3553"/>
      <c r="G4" s="3553"/>
      <c r="H4" s="3553"/>
      <c r="I4" s="3553"/>
      <c r="J4" s="3553"/>
      <c r="K4" s="3553"/>
      <c r="L4" s="3553"/>
      <c r="M4" s="3553"/>
      <c r="N4" s="3553"/>
      <c r="O4" s="3553"/>
      <c r="P4" s="3554"/>
      <c r="Q4" s="3554"/>
      <c r="R4" s="3554"/>
      <c r="S4" s="3554"/>
    </row>
    <row r="5" spans="1:19" ht="19.5" x14ac:dyDescent="0.4">
      <c r="A5" s="3547" t="s">
        <v>43</v>
      </c>
      <c r="B5" s="3548"/>
      <c r="C5" s="3547" t="s">
        <v>7699</v>
      </c>
      <c r="D5" s="3548"/>
      <c r="E5" s="3548"/>
      <c r="F5" s="3548"/>
      <c r="G5" s="3548"/>
      <c r="H5" s="3548"/>
      <c r="I5" s="3548"/>
      <c r="J5" s="3548"/>
      <c r="K5" s="3548"/>
      <c r="L5" s="3548"/>
      <c r="M5" s="3548"/>
      <c r="N5" s="3548"/>
      <c r="O5" s="3548"/>
      <c r="P5" s="3548"/>
      <c r="Q5" s="3548"/>
      <c r="R5" s="3548"/>
      <c r="S5" s="3548"/>
    </row>
    <row r="6" spans="1:19" ht="19.5" x14ac:dyDescent="0.4">
      <c r="A6" s="3547" t="s">
        <v>132</v>
      </c>
      <c r="B6" s="3548"/>
      <c r="C6" s="3547" t="s">
        <v>7764</v>
      </c>
      <c r="D6" s="3548"/>
      <c r="E6" s="3548"/>
      <c r="F6" s="3548"/>
      <c r="G6" s="3548"/>
      <c r="H6" s="3548"/>
      <c r="I6" s="3548"/>
      <c r="J6" s="3548"/>
      <c r="K6" s="3548"/>
      <c r="L6" s="3548"/>
      <c r="M6" s="3548"/>
      <c r="N6" s="3548"/>
      <c r="O6" s="3548"/>
      <c r="P6" s="3548"/>
      <c r="Q6" s="3548"/>
      <c r="R6" s="3548"/>
      <c r="S6" s="3548"/>
    </row>
    <row r="9" spans="1:19" ht="19.5" x14ac:dyDescent="0.4">
      <c r="C9" s="163" t="s">
        <v>7765</v>
      </c>
      <c r="D9" s="163"/>
      <c r="E9" s="163"/>
      <c r="F9" s="163"/>
      <c r="G9" s="163"/>
      <c r="H9" s="163"/>
      <c r="I9" s="163"/>
      <c r="J9" s="163"/>
      <c r="K9" s="163"/>
    </row>
    <row r="10" spans="1:19" ht="10.15" customHeight="1" x14ac:dyDescent="0.4">
      <c r="C10" s="138"/>
      <c r="D10" s="138"/>
      <c r="E10" s="138"/>
      <c r="F10" s="138"/>
      <c r="G10" s="138"/>
      <c r="H10" s="138"/>
      <c r="I10" s="138"/>
      <c r="J10" s="138"/>
      <c r="K10" s="138"/>
    </row>
    <row r="11" spans="1:19" ht="17.45" customHeight="1" x14ac:dyDescent="0.4">
      <c r="A11" s="536"/>
      <c r="C11" s="3549" t="s">
        <v>46</v>
      </c>
      <c r="D11" s="3549" t="s">
        <v>7766</v>
      </c>
      <c r="E11" s="3551" t="s">
        <v>7767</v>
      </c>
      <c r="F11" s="3551"/>
      <c r="G11" s="3551"/>
      <c r="H11" s="3551"/>
      <c r="I11" s="3551"/>
      <c r="J11" s="2197"/>
      <c r="K11" s="3549" t="s">
        <v>7768</v>
      </c>
    </row>
    <row r="12" spans="1:19" ht="56.25" x14ac:dyDescent="0.4">
      <c r="A12" s="536"/>
      <c r="C12" s="3550"/>
      <c r="D12" s="3550"/>
      <c r="E12" s="2198" t="s">
        <v>7769</v>
      </c>
      <c r="F12" s="2198" t="s">
        <v>7770</v>
      </c>
      <c r="G12" s="2198" t="s">
        <v>7771</v>
      </c>
      <c r="H12" s="2198" t="s">
        <v>7772</v>
      </c>
      <c r="I12" s="2198" t="s">
        <v>7773</v>
      </c>
      <c r="J12" s="2198"/>
      <c r="K12" s="3550"/>
      <c r="N12" s="649"/>
      <c r="O12" s="649"/>
      <c r="P12" s="649"/>
    </row>
    <row r="13" spans="1:19" ht="15.6" customHeight="1" x14ac:dyDescent="0.4">
      <c r="A13" s="536"/>
      <c r="C13" s="198">
        <v>2001</v>
      </c>
      <c r="D13" s="1444">
        <v>13.864020349952474</v>
      </c>
      <c r="E13" s="1444">
        <v>13.797687152865162</v>
      </c>
      <c r="F13" s="1444">
        <v>13.218924992445372</v>
      </c>
      <c r="G13" s="729">
        <v>0.4041538484555518</v>
      </c>
      <c r="H13" s="729">
        <v>0.1311664212605082</v>
      </c>
      <c r="I13" s="729">
        <v>4.3441890703731584E-2</v>
      </c>
      <c r="J13" s="729"/>
      <c r="K13" s="729">
        <v>6.6333197087312154E-2</v>
      </c>
    </row>
    <row r="14" spans="1:19" x14ac:dyDescent="0.4">
      <c r="A14" s="536"/>
      <c r="C14" s="198">
        <v>2002</v>
      </c>
      <c r="D14" s="1444">
        <v>13.619048471633951</v>
      </c>
      <c r="E14" s="1444">
        <v>13.618184654297711</v>
      </c>
      <c r="F14" s="1444">
        <v>13.10180276687141</v>
      </c>
      <c r="G14" s="729">
        <v>0.38881644150245165</v>
      </c>
      <c r="H14" s="729">
        <v>8.2276496458870391E-2</v>
      </c>
      <c r="I14" s="729">
        <v>4.5288949464978474E-2</v>
      </c>
      <c r="J14" s="729"/>
      <c r="K14" s="729">
        <v>8.6381733624085212E-4</v>
      </c>
    </row>
    <row r="15" spans="1:19" x14ac:dyDescent="0.4">
      <c r="A15" s="536"/>
      <c r="C15" s="198">
        <v>2003</v>
      </c>
      <c r="D15" s="1444">
        <v>14.197256154420238</v>
      </c>
      <c r="E15" s="1444">
        <v>13.893420963601852</v>
      </c>
      <c r="F15" s="1444">
        <v>13.224763278239868</v>
      </c>
      <c r="G15" s="729">
        <v>0.36637018832370877</v>
      </c>
      <c r="H15" s="729">
        <v>0.11662696805565043</v>
      </c>
      <c r="I15" s="729">
        <v>0.18566052898262736</v>
      </c>
      <c r="J15" s="729"/>
      <c r="K15" s="729">
        <v>0.30383519081838395</v>
      </c>
    </row>
    <row r="16" spans="1:19" x14ac:dyDescent="0.4">
      <c r="A16" s="536"/>
      <c r="C16" s="198">
        <v>2004</v>
      </c>
      <c r="D16" s="1444">
        <v>13.650876224399624</v>
      </c>
      <c r="E16" s="1444">
        <v>13.650320421374987</v>
      </c>
      <c r="F16" s="1444">
        <v>13.037771263539449</v>
      </c>
      <c r="G16" s="729">
        <v>0.34524364198218871</v>
      </c>
      <c r="H16" s="729">
        <v>9.3079137128158185E-2</v>
      </c>
      <c r="I16" s="729">
        <v>0.17422637872519112</v>
      </c>
      <c r="J16" s="729"/>
      <c r="K16" s="729">
        <v>5.5580302463721187E-4</v>
      </c>
    </row>
    <row r="17" spans="1:11" x14ac:dyDescent="0.4">
      <c r="A17" s="536"/>
      <c r="C17" s="198">
        <v>2005</v>
      </c>
      <c r="D17" s="1444">
        <v>13.861344128896313</v>
      </c>
      <c r="E17" s="1444">
        <v>13.860547936772278</v>
      </c>
      <c r="F17" s="1444">
        <v>13.278036889902282</v>
      </c>
      <c r="G17" s="729">
        <v>0.32365891693104698</v>
      </c>
      <c r="H17" s="729">
        <v>8.8890287492393388E-2</v>
      </c>
      <c r="I17" s="729">
        <v>0.16996184244655654</v>
      </c>
      <c r="J17" s="729"/>
      <c r="K17" s="729">
        <v>7.9619212403793567E-4</v>
      </c>
    </row>
    <row r="18" spans="1:11" x14ac:dyDescent="0.4">
      <c r="A18" s="536"/>
      <c r="C18" s="198">
        <v>2006</v>
      </c>
      <c r="D18" s="1444">
        <v>14.10753046225455</v>
      </c>
      <c r="E18" s="1444">
        <v>14.10266880340075</v>
      </c>
      <c r="F18" s="1444">
        <v>13.58554634785083</v>
      </c>
      <c r="G18" s="729">
        <v>0.28691741625039174</v>
      </c>
      <c r="H18" s="729">
        <v>9.0009540056504078E-2</v>
      </c>
      <c r="I18" s="729">
        <v>0.14019549924302435</v>
      </c>
      <c r="J18" s="729"/>
      <c r="K18" s="729">
        <v>4.8616588537989123E-3</v>
      </c>
    </row>
    <row r="19" spans="1:11" x14ac:dyDescent="0.4">
      <c r="A19" s="536"/>
      <c r="C19" s="198">
        <v>2007</v>
      </c>
      <c r="D19" s="1444">
        <v>15.153668228997816</v>
      </c>
      <c r="E19" s="1444">
        <v>15.151868652837946</v>
      </c>
      <c r="F19" s="1444">
        <v>14.608208633660757</v>
      </c>
      <c r="G19" s="729">
        <v>0.27320966275432645</v>
      </c>
      <c r="H19" s="729">
        <v>0.13955667407833111</v>
      </c>
      <c r="I19" s="729">
        <v>0.13089368234453194</v>
      </c>
      <c r="J19" s="729"/>
      <c r="K19" s="729">
        <v>1.7995761598690433E-3</v>
      </c>
    </row>
    <row r="20" spans="1:11" x14ac:dyDescent="0.4">
      <c r="C20" s="198">
        <v>2008</v>
      </c>
      <c r="D20" s="1444">
        <v>15.362048851855139</v>
      </c>
      <c r="E20" s="1444">
        <v>15.359091097025651</v>
      </c>
      <c r="F20" s="1444">
        <v>14.859537198970397</v>
      </c>
      <c r="G20" s="729">
        <v>0.26979675348280974</v>
      </c>
      <c r="H20" s="729">
        <v>6.98131838609755E-2</v>
      </c>
      <c r="I20" s="729">
        <v>0.15994396071146935</v>
      </c>
      <c r="J20" s="729"/>
      <c r="K20" s="729">
        <v>2.9577548294896163E-3</v>
      </c>
    </row>
    <row r="21" spans="1:11" x14ac:dyDescent="0.4">
      <c r="C21" s="198">
        <v>2009</v>
      </c>
      <c r="D21" s="1444">
        <v>13.407726649472934</v>
      </c>
      <c r="E21" s="1444">
        <v>13.384309536044341</v>
      </c>
      <c r="F21" s="1444">
        <v>12.834851844709439</v>
      </c>
      <c r="G21" s="729">
        <v>0.30838444867070985</v>
      </c>
      <c r="H21" s="729">
        <v>7.5000688997403572E-2</v>
      </c>
      <c r="I21" s="729">
        <v>0.166072553666789</v>
      </c>
      <c r="J21" s="729"/>
      <c r="K21" s="729">
        <v>2.3417113428591093E-2</v>
      </c>
    </row>
    <row r="22" spans="1:11" x14ac:dyDescent="0.4">
      <c r="C22" s="198">
        <v>2010</v>
      </c>
      <c r="D22" s="1444">
        <v>13.853038439143598</v>
      </c>
      <c r="E22" s="1444">
        <v>13.845187309778535</v>
      </c>
      <c r="F22" s="1444">
        <v>12.582823593203814</v>
      </c>
      <c r="G22" s="729">
        <v>0.30902278208759265</v>
      </c>
      <c r="H22" s="729">
        <v>0.13851035584937016</v>
      </c>
      <c r="I22" s="729">
        <v>0.8148305786377571</v>
      </c>
      <c r="J22" s="729"/>
      <c r="K22" s="729">
        <v>7.8511293650655855E-3</v>
      </c>
    </row>
    <row r="23" spans="1:11" x14ac:dyDescent="0.4">
      <c r="C23" s="198">
        <v>2011</v>
      </c>
      <c r="D23" s="1444">
        <v>13.986754206148936</v>
      </c>
      <c r="E23" s="1444">
        <v>13.985388347782028</v>
      </c>
      <c r="F23" s="1444">
        <v>12.80703753687745</v>
      </c>
      <c r="G23" s="729">
        <v>0.30878492596808199</v>
      </c>
      <c r="H23" s="729">
        <v>0.10490515155091781</v>
      </c>
      <c r="I23" s="729">
        <v>0.76466073338557394</v>
      </c>
      <c r="J23" s="729"/>
      <c r="K23" s="729">
        <v>1.3658583669102678E-3</v>
      </c>
    </row>
    <row r="24" spans="1:11" x14ac:dyDescent="0.4">
      <c r="C24" s="198">
        <v>2012</v>
      </c>
      <c r="D24" s="1444">
        <v>13.784866249090729</v>
      </c>
      <c r="E24" s="1444">
        <v>13.768307196513813</v>
      </c>
      <c r="F24" s="1444">
        <v>12.66340599978863</v>
      </c>
      <c r="G24" s="729">
        <v>0.31189265648381514</v>
      </c>
      <c r="H24" s="729">
        <v>9.3505046175433301E-2</v>
      </c>
      <c r="I24" s="729">
        <v>0.69950349406593371</v>
      </c>
      <c r="J24" s="729"/>
      <c r="K24" s="729">
        <v>1.6559052576916963E-2</v>
      </c>
    </row>
    <row r="25" spans="1:11" x14ac:dyDescent="0.4">
      <c r="C25" s="198">
        <v>2013</v>
      </c>
      <c r="D25" s="1444">
        <v>13.892007888791117</v>
      </c>
      <c r="E25" s="1444">
        <v>13.88763598885194</v>
      </c>
      <c r="F25" s="1444">
        <v>12.929798968729301</v>
      </c>
      <c r="G25" s="729">
        <v>0.22099719104349344</v>
      </c>
      <c r="H25" s="729">
        <v>8.1632050351847216E-2</v>
      </c>
      <c r="I25" s="729">
        <v>0.65520777872729652</v>
      </c>
      <c r="J25" s="729"/>
      <c r="K25" s="729">
        <v>4.3718999391767367E-3</v>
      </c>
    </row>
    <row r="26" spans="1:11" x14ac:dyDescent="0.4">
      <c r="C26" s="198">
        <v>2014</v>
      </c>
      <c r="D26" s="1444">
        <v>13.592120544395186</v>
      </c>
      <c r="E26" s="1444">
        <v>13.561926900075195</v>
      </c>
      <c r="F26" s="1444">
        <v>12.579555309422293</v>
      </c>
      <c r="G26" s="729">
        <v>0.21394268416216089</v>
      </c>
      <c r="H26" s="729">
        <v>9.6954003512890574E-2</v>
      </c>
      <c r="I26" s="729">
        <v>0.67147490297785029</v>
      </c>
      <c r="J26" s="729"/>
      <c r="K26" s="729">
        <v>3.0193644319992878E-2</v>
      </c>
    </row>
    <row r="27" spans="1:11" x14ac:dyDescent="0.4">
      <c r="C27" s="198">
        <v>2015</v>
      </c>
      <c r="D27" s="1444">
        <v>13.752087997722198</v>
      </c>
      <c r="E27" s="1444">
        <v>13.749643497559392</v>
      </c>
      <c r="F27" s="1444">
        <v>12.702866298401938</v>
      </c>
      <c r="G27" s="729">
        <v>0.20873131574035803</v>
      </c>
      <c r="H27" s="729">
        <v>0.16835727772509984</v>
      </c>
      <c r="I27" s="729">
        <v>0.66968860569199484</v>
      </c>
      <c r="J27" s="729"/>
      <c r="K27" s="729">
        <v>2.4445001628055959E-3</v>
      </c>
    </row>
    <row r="28" spans="1:11" x14ac:dyDescent="0.4">
      <c r="C28" s="198">
        <v>2016</v>
      </c>
      <c r="D28" s="1444">
        <v>14.250150271948831</v>
      </c>
      <c r="E28" s="1444">
        <v>14.228793034063782</v>
      </c>
      <c r="F28" s="1444">
        <v>13.001317488603032</v>
      </c>
      <c r="G28" s="729">
        <v>0.45516544519206065</v>
      </c>
      <c r="H28" s="729">
        <v>0.13896826814621663</v>
      </c>
      <c r="I28" s="729">
        <v>0.63334183212247264</v>
      </c>
      <c r="J28" s="729"/>
      <c r="K28" s="729">
        <v>2.1357237885046215E-2</v>
      </c>
    </row>
    <row r="29" spans="1:11" x14ac:dyDescent="0.4">
      <c r="C29" s="198">
        <v>2017</v>
      </c>
      <c r="D29" s="1444">
        <v>13.81856248227408</v>
      </c>
      <c r="E29" s="1444">
        <v>13.798022237690477</v>
      </c>
      <c r="F29" s="1444">
        <v>12.785097537587436</v>
      </c>
      <c r="G29" s="729">
        <v>0.20716345886554421</v>
      </c>
      <c r="H29" s="729">
        <v>0.21821826718618054</v>
      </c>
      <c r="I29" s="729">
        <v>0.58754297405131473</v>
      </c>
      <c r="J29" s="729"/>
      <c r="K29" s="729">
        <v>2.0540244583601673E-2</v>
      </c>
    </row>
    <row r="30" spans="1:11" x14ac:dyDescent="0.4">
      <c r="C30" s="198">
        <v>2018</v>
      </c>
      <c r="D30" s="1444">
        <v>13.781457961849217</v>
      </c>
      <c r="E30" s="1444">
        <v>13.694128080857249</v>
      </c>
      <c r="F30" s="1444">
        <v>12.698428041976683</v>
      </c>
      <c r="G30" s="729">
        <v>0.2374637985863039</v>
      </c>
      <c r="H30" s="729">
        <v>0.18045959227690572</v>
      </c>
      <c r="I30" s="729">
        <v>0.5777766480173554</v>
      </c>
      <c r="J30" s="729"/>
      <c r="K30" s="729">
        <v>8.732988099196648E-2</v>
      </c>
    </row>
    <row r="31" spans="1:11" x14ac:dyDescent="0.4">
      <c r="C31" s="198">
        <v>2019</v>
      </c>
      <c r="D31" s="1444">
        <v>14.175712143800165</v>
      </c>
      <c r="E31" s="1444">
        <v>13.910393689705867</v>
      </c>
      <c r="F31" s="1444">
        <v>12.924377128171741</v>
      </c>
      <c r="G31" s="729">
        <v>0.20477918169268303</v>
      </c>
      <c r="H31" s="729">
        <v>0.2120422695842413</v>
      </c>
      <c r="I31" s="729">
        <v>0.56919511025720249</v>
      </c>
      <c r="J31" s="729"/>
      <c r="K31" s="729">
        <v>0.26531845409430055</v>
      </c>
    </row>
    <row r="32" spans="1:11" x14ac:dyDescent="0.4">
      <c r="C32" s="198">
        <v>2020</v>
      </c>
      <c r="D32" s="1444">
        <v>13.087503041777405</v>
      </c>
      <c r="E32" s="1444">
        <v>12.863889060007324</v>
      </c>
      <c r="F32" s="1444">
        <v>11.895600177217574</v>
      </c>
      <c r="G32" s="729">
        <v>0.21764028609811184</v>
      </c>
      <c r="H32" s="729">
        <v>0.13884663003913816</v>
      </c>
      <c r="I32" s="729">
        <v>0.61180196665250053</v>
      </c>
      <c r="J32" s="729"/>
      <c r="K32" s="729">
        <v>0.22361398177008049</v>
      </c>
    </row>
    <row r="33" spans="3:11" x14ac:dyDescent="0.4">
      <c r="C33" s="198" t="s">
        <v>7774</v>
      </c>
      <c r="D33" s="1444">
        <v>15.687429007595</v>
      </c>
      <c r="E33" s="1444">
        <v>15.671223959939329</v>
      </c>
      <c r="F33" s="1444">
        <v>13.802904305875485</v>
      </c>
      <c r="G33" s="729">
        <v>1.163487699461933</v>
      </c>
      <c r="H33" s="729">
        <v>0.37925394970636511</v>
      </c>
      <c r="I33" s="729">
        <v>0.32557800489554467</v>
      </c>
      <c r="J33" s="729"/>
      <c r="K33" s="729">
        <v>1.6205047655623479E-2</v>
      </c>
    </row>
    <row r="34" spans="3:11" x14ac:dyDescent="0.4">
      <c r="C34" s="198" t="s">
        <v>7775</v>
      </c>
      <c r="D34" s="1444">
        <v>16.382881644136461</v>
      </c>
      <c r="E34" s="1444">
        <v>16.365898537925414</v>
      </c>
      <c r="F34" s="1444">
        <v>14.085960635477807</v>
      </c>
      <c r="G34" s="729">
        <v>1.1509288880304847</v>
      </c>
      <c r="H34" s="729">
        <v>0.61196012796965149</v>
      </c>
      <c r="I34" s="729">
        <v>0.51704888644746871</v>
      </c>
      <c r="J34" s="729"/>
      <c r="K34" s="729">
        <v>1.6983106211045523E-2</v>
      </c>
    </row>
    <row r="35" spans="3:11" x14ac:dyDescent="0.4">
      <c r="C35" s="606" t="s">
        <v>7776</v>
      </c>
      <c r="D35" s="2199">
        <v>15.26209647364557</v>
      </c>
      <c r="E35" s="2199">
        <v>15.246476290152804</v>
      </c>
      <c r="F35" s="2199">
        <v>13.649151452867283</v>
      </c>
      <c r="G35" s="736">
        <v>1.1777559974951759</v>
      </c>
      <c r="H35" s="736">
        <v>0.34339102068087224</v>
      </c>
      <c r="I35" s="736">
        <v>7.6177819109471898E-2</v>
      </c>
      <c r="J35" s="736"/>
      <c r="K35" s="736">
        <v>1.5620183492765533E-2</v>
      </c>
    </row>
    <row r="36" spans="3:11" x14ac:dyDescent="0.4">
      <c r="C36" s="198" t="s">
        <v>7777</v>
      </c>
    </row>
    <row r="37" spans="3:11" x14ac:dyDescent="0.4">
      <c r="C37" s="155" t="s">
        <v>7778</v>
      </c>
    </row>
    <row r="40" spans="3:11" ht="19.5" x14ac:dyDescent="0.4">
      <c r="C40" s="532" t="s">
        <v>7779</v>
      </c>
      <c r="D40" s="1032"/>
      <c r="E40" s="1032"/>
      <c r="F40" s="1032"/>
      <c r="G40" s="1032"/>
      <c r="H40" s="1032"/>
      <c r="I40" s="1032"/>
    </row>
    <row r="63" spans="3:3" x14ac:dyDescent="0.4">
      <c r="C63" s="155" t="s">
        <v>7780</v>
      </c>
    </row>
  </sheetData>
  <mergeCells count="13">
    <mergeCell ref="A5:B5"/>
    <mergeCell ref="C5:S5"/>
    <mergeCell ref="C1:D1"/>
    <mergeCell ref="A3:B3"/>
    <mergeCell ref="C3:S3"/>
    <mergeCell ref="A4:B4"/>
    <mergeCell ref="C4:S4"/>
    <mergeCell ref="A6:B6"/>
    <mergeCell ref="C6:S6"/>
    <mergeCell ref="C11:C12"/>
    <mergeCell ref="D11:D12"/>
    <mergeCell ref="E11:I11"/>
    <mergeCell ref="K11:K12"/>
  </mergeCells>
  <hyperlinks>
    <hyperlink ref="A1" location="'ODS 17.'!A1" display="REGRESAR" xr:uid="{57281A5D-E7B3-40F2-AF75-57DDCCE54801}"/>
    <hyperlink ref="C1:D1" location="'Metadato 17.1.1'!A1" display="VER METADATO" xr:uid="{E8CAD2BB-684B-4BB7-9185-A5C9F05B1DC2}"/>
  </hyperlinks>
  <pageMargins left="0.7" right="0.7" top="0.75" bottom="0.75" header="0.3" footer="0.3"/>
  <pageSetup orientation="portrait" r:id="rId1"/>
  <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7A4D2-D74F-4210-AE71-8024F86331E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9.42578125" style="243" customWidth="1"/>
    <col min="2" max="2" width="26.42578125" style="243" customWidth="1"/>
    <col min="3" max="3" width="24" style="243" customWidth="1"/>
    <col min="4" max="4" width="85.7109375" style="243" customWidth="1"/>
    <col min="5" max="5" width="11.42578125" style="243"/>
    <col min="6" max="6" width="7.28515625" style="243" customWidth="1"/>
    <col min="7" max="7" width="11.42578125" style="243"/>
    <col min="8" max="8" width="1.28515625" style="243" customWidth="1"/>
    <col min="9" max="16384" width="11.42578125" style="243"/>
  </cols>
  <sheetData>
    <row r="1" spans="2:6" x14ac:dyDescent="0.25">
      <c r="B1" s="223" t="s">
        <v>39</v>
      </c>
    </row>
    <row r="2" spans="2:6" ht="19.5" thickBot="1" x14ac:dyDescent="0.3"/>
    <row r="3" spans="2:6" ht="23.25" customHeight="1" thickBot="1" x14ac:dyDescent="0.3">
      <c r="B3" s="3555" t="s">
        <v>75</v>
      </c>
      <c r="C3" s="3555"/>
      <c r="D3" s="3555"/>
      <c r="F3" s="1286" t="s">
        <v>265</v>
      </c>
    </row>
    <row r="4" spans="2:6" ht="37.5" x14ac:dyDescent="0.25">
      <c r="B4" s="2425" t="s">
        <v>234</v>
      </c>
      <c r="C4" s="2425"/>
      <c r="D4" s="49" t="s">
        <v>7781</v>
      </c>
    </row>
    <row r="5" spans="2:6" ht="37.5" x14ac:dyDescent="0.25">
      <c r="B5" s="2425" t="s">
        <v>79</v>
      </c>
      <c r="C5" s="2425"/>
      <c r="D5" s="49" t="s">
        <v>7697</v>
      </c>
    </row>
    <row r="6" spans="2:6" x14ac:dyDescent="0.25">
      <c r="B6" s="2425" t="s">
        <v>80</v>
      </c>
      <c r="C6" s="2425"/>
      <c r="D6" s="50" t="s">
        <v>7698</v>
      </c>
    </row>
    <row r="7" spans="2:6" ht="15" customHeight="1" x14ac:dyDescent="0.25">
      <c r="B7" s="2426" t="s">
        <v>81</v>
      </c>
      <c r="C7" s="2426"/>
      <c r="D7" s="93" t="s">
        <v>7699</v>
      </c>
    </row>
    <row r="8" spans="2:6" ht="15" customHeight="1" x14ac:dyDescent="0.25">
      <c r="B8" s="2426" t="s">
        <v>82</v>
      </c>
      <c r="C8" s="2426"/>
      <c r="D8" s="1047" t="s">
        <v>7782</v>
      </c>
    </row>
    <row r="9" spans="2:6" x14ac:dyDescent="0.4">
      <c r="B9" s="115"/>
      <c r="C9" s="115"/>
      <c r="D9" s="115"/>
    </row>
    <row r="10" spans="2:6" ht="23.25" customHeight="1" x14ac:dyDescent="0.25">
      <c r="B10" s="3555" t="s">
        <v>85</v>
      </c>
      <c r="C10" s="3555"/>
      <c r="D10" s="3555"/>
    </row>
    <row r="11" spans="2:6" ht="15.75" customHeight="1" x14ac:dyDescent="0.25">
      <c r="B11" s="2427" t="s">
        <v>86</v>
      </c>
      <c r="C11" s="2428"/>
      <c r="D11" s="49" t="s">
        <v>167</v>
      </c>
    </row>
    <row r="12" spans="2:6" ht="19.5" customHeight="1" x14ac:dyDescent="0.25">
      <c r="B12" s="2426" t="s">
        <v>88</v>
      </c>
      <c r="C12" s="2426"/>
      <c r="D12" s="184" t="s">
        <v>7783</v>
      </c>
    </row>
    <row r="13" spans="2:6" x14ac:dyDescent="0.25">
      <c r="B13" s="2425" t="s">
        <v>90</v>
      </c>
      <c r="C13" s="2425"/>
      <c r="D13" s="55" t="s">
        <v>7698</v>
      </c>
    </row>
    <row r="14" spans="2:6" x14ac:dyDescent="0.25">
      <c r="B14" s="2425" t="s">
        <v>91</v>
      </c>
      <c r="C14" s="2428"/>
      <c r="D14" s="54" t="s">
        <v>92</v>
      </c>
    </row>
    <row r="15" spans="2:6" ht="409.5" x14ac:dyDescent="0.25">
      <c r="B15" s="2425" t="s">
        <v>93</v>
      </c>
      <c r="C15" s="2425"/>
      <c r="D15" s="55" t="s">
        <v>7784</v>
      </c>
    </row>
    <row r="16" spans="2:6" ht="36.75" customHeight="1" x14ac:dyDescent="0.25">
      <c r="B16" s="2425" t="s">
        <v>95</v>
      </c>
      <c r="C16" s="2425"/>
      <c r="D16" s="55"/>
    </row>
    <row r="17" spans="2:4" ht="15.75" customHeight="1" x14ac:dyDescent="0.25">
      <c r="B17" s="2425" t="s">
        <v>97</v>
      </c>
      <c r="C17" s="2425"/>
      <c r="D17" s="55" t="s">
        <v>238</v>
      </c>
    </row>
    <row r="18" spans="2:4" x14ac:dyDescent="0.25">
      <c r="B18" s="2426" t="s">
        <v>99</v>
      </c>
      <c r="C18" s="2426"/>
      <c r="D18" s="49"/>
    </row>
    <row r="19" spans="2:4" ht="34.5" customHeight="1" x14ac:dyDescent="0.25">
      <c r="B19" s="2435" t="s">
        <v>100</v>
      </c>
      <c r="C19" s="2436"/>
      <c r="D19" s="55" t="s">
        <v>7785</v>
      </c>
    </row>
    <row r="20" spans="2:4" x14ac:dyDescent="0.25">
      <c r="B20" s="2425" t="s">
        <v>102</v>
      </c>
      <c r="C20" s="2425"/>
      <c r="D20" s="55" t="s">
        <v>140</v>
      </c>
    </row>
    <row r="21" spans="2:4" x14ac:dyDescent="0.25">
      <c r="B21" s="2432" t="s">
        <v>104</v>
      </c>
      <c r="C21" s="57" t="s">
        <v>105</v>
      </c>
      <c r="D21" s="49"/>
    </row>
    <row r="22" spans="2:4" x14ac:dyDescent="0.25">
      <c r="B22" s="2433"/>
      <c r="C22" s="58" t="s">
        <v>107</v>
      </c>
      <c r="D22" s="55" t="s">
        <v>7786</v>
      </c>
    </row>
    <row r="23" spans="2:4" x14ac:dyDescent="0.25">
      <c r="B23" s="2425" t="s">
        <v>109</v>
      </c>
      <c r="C23" s="2425"/>
      <c r="D23" s="55" t="s">
        <v>5723</v>
      </c>
    </row>
    <row r="24" spans="2:4" x14ac:dyDescent="0.25">
      <c r="B24" s="2425" t="s">
        <v>111</v>
      </c>
      <c r="C24" s="2425"/>
      <c r="D24" s="50" t="s">
        <v>647</v>
      </c>
    </row>
    <row r="25" spans="2:4" x14ac:dyDescent="0.25">
      <c r="B25" s="2425" t="s">
        <v>113</v>
      </c>
      <c r="C25" s="2425"/>
      <c r="D25" s="55" t="s">
        <v>220</v>
      </c>
    </row>
    <row r="26" spans="2:4" ht="15" customHeight="1" x14ac:dyDescent="0.25">
      <c r="B26" s="2426" t="s">
        <v>115</v>
      </c>
      <c r="C26" s="2426"/>
      <c r="D26" s="50" t="s">
        <v>7787</v>
      </c>
    </row>
    <row r="27" spans="2:4" x14ac:dyDescent="0.25">
      <c r="B27" s="2427" t="s">
        <v>117</v>
      </c>
      <c r="C27" s="2428"/>
      <c r="D27" s="49"/>
    </row>
    <row r="28" spans="2:4" ht="37.5" x14ac:dyDescent="0.25">
      <c r="B28" s="60" t="s">
        <v>118</v>
      </c>
      <c r="C28" s="61"/>
      <c r="D28" s="55" t="s">
        <v>7788</v>
      </c>
    </row>
    <row r="29" spans="2:4" x14ac:dyDescent="0.25">
      <c r="B29" s="2429" t="s">
        <v>120</v>
      </c>
      <c r="C29" s="2430"/>
      <c r="D29" s="62"/>
    </row>
    <row r="30" spans="2:4" x14ac:dyDescent="0.25">
      <c r="B30" s="63"/>
      <c r="C30" s="63"/>
      <c r="D30" s="64"/>
    </row>
    <row r="31" spans="2:4" ht="23.25" customHeight="1" x14ac:dyDescent="0.25">
      <c r="B31" s="3555" t="s">
        <v>121</v>
      </c>
      <c r="C31" s="3555"/>
      <c r="D31" s="3555"/>
    </row>
    <row r="32" spans="2:4" x14ac:dyDescent="0.25">
      <c r="B32" s="2427" t="s">
        <v>122</v>
      </c>
      <c r="C32" s="2428"/>
      <c r="D32" s="50" t="s">
        <v>7596</v>
      </c>
    </row>
    <row r="33" spans="2:4" x14ac:dyDescent="0.25">
      <c r="B33" s="2427" t="s">
        <v>124</v>
      </c>
      <c r="C33" s="2428"/>
      <c r="D33" s="50" t="s">
        <v>7597</v>
      </c>
    </row>
    <row r="34" spans="2:4" x14ac:dyDescent="0.25">
      <c r="B34" s="2427" t="s">
        <v>126</v>
      </c>
      <c r="C34" s="2428"/>
      <c r="D34" s="50" t="s">
        <v>647</v>
      </c>
    </row>
    <row r="35" spans="2:4" x14ac:dyDescent="0.25">
      <c r="B35" s="2427" t="s">
        <v>128</v>
      </c>
      <c r="C35" s="2428"/>
      <c r="D35" s="50" t="s">
        <v>7598</v>
      </c>
    </row>
    <row r="36" spans="2:4" x14ac:dyDescent="0.25">
      <c r="B36" s="2427" t="s">
        <v>130</v>
      </c>
      <c r="C36" s="2428"/>
      <c r="D36" s="50" t="s">
        <v>7599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A567E014-32C8-4F53-8A98-77ED00EF3D03}">
      <formula1>ODS</formula1>
    </dataValidation>
    <dataValidation type="list" allowBlank="1" showInputMessage="1" showErrorMessage="1" sqref="D5" xr:uid="{C6FB658E-4C0D-40FB-9E12-F1281B6FB48B}">
      <formula1>Metas_ODS</formula1>
    </dataValidation>
    <dataValidation type="list" allowBlank="1" showInputMessage="1" showErrorMessage="1" sqref="D6" xr:uid="{1607CB54-E8D0-4221-9249-296CE9D3B78D}">
      <formula1>Numero_indicador</formula1>
    </dataValidation>
    <dataValidation type="list" allowBlank="1" showInputMessage="1" showErrorMessage="1" sqref="D7" xr:uid="{B66CD15B-5BA5-4460-B3C6-6B71D942833F}">
      <formula1>Nombre_indicador_ODS</formula1>
    </dataValidation>
    <dataValidation type="list" allowBlank="1" showInputMessage="1" showErrorMessage="1" sqref="D14" xr:uid="{AB0558A8-BC23-4AEA-BF80-E1852E961873}">
      <formula1>Tipo_indicador</formula1>
    </dataValidation>
    <dataValidation type="list" allowBlank="1" showInputMessage="1" showErrorMessage="1" sqref="D25" xr:uid="{6BCEBCA2-7D6E-4B72-A4BC-9B52A682AD59}">
      <formula1>Tipo_operación</formula1>
    </dataValidation>
  </dataValidations>
  <hyperlinks>
    <hyperlink ref="B1" location="'17.1.1'!A1" display="REGRESAR" xr:uid="{4EB0AE61-1107-4E40-8ED1-9ED3D2F9511E}"/>
    <hyperlink ref="D8" r:id="rId1" xr:uid="{F3D3F701-D274-401A-984B-748EE0349AF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3260-77CF-4F8C-B1B7-6962347ABC67}">
  <dimension ref="A1:AC48"/>
  <sheetViews>
    <sheetView showGridLines="0" workbookViewId="0">
      <pane ySplit="1" topLeftCell="A2" activePane="bottomLeft" state="frozen"/>
      <selection activeCell="R16" sqref="R16"/>
      <selection pane="bottomLeft"/>
    </sheetView>
  </sheetViews>
  <sheetFormatPr baseColWidth="10" defaultColWidth="11.42578125" defaultRowHeight="12.75" x14ac:dyDescent="0.25"/>
  <cols>
    <col min="1" max="2" width="15.28515625" style="22" customWidth="1"/>
    <col min="3" max="3" width="7.28515625" style="22" customWidth="1"/>
    <col min="4" max="4" width="6.42578125" style="22" customWidth="1"/>
    <col min="5" max="5" width="0.7109375" style="22" customWidth="1"/>
    <col min="6" max="6" width="7.28515625" style="22" customWidth="1"/>
    <col min="7" max="7" width="7" style="22" customWidth="1"/>
    <col min="8" max="8" width="1.7109375" style="22" customWidth="1"/>
    <col min="9" max="9" width="7.28515625" style="22" customWidth="1"/>
    <col min="10" max="10" width="5.7109375" style="22" customWidth="1"/>
    <col min="11" max="11" width="1.42578125" style="22" customWidth="1"/>
    <col min="12" max="12" width="8.7109375" style="22" customWidth="1"/>
    <col min="13" max="13" width="10" style="22" customWidth="1"/>
    <col min="14" max="15" width="8.7109375" style="22" customWidth="1"/>
    <col min="16" max="17" width="9" style="22" customWidth="1"/>
    <col min="18" max="18" width="1.42578125" style="22" customWidth="1"/>
    <col min="19" max="19" width="9.28515625" style="22" customWidth="1"/>
    <col min="20" max="20" width="10" style="22" customWidth="1"/>
    <col min="21" max="21" width="12.7109375" style="22" customWidth="1"/>
    <col min="22" max="22" width="1.42578125" style="22" customWidth="1"/>
    <col min="23" max="23" width="8.5703125" style="22" customWidth="1"/>
    <col min="24" max="24" width="6.5703125" style="22" customWidth="1"/>
    <col min="25" max="25" width="9.42578125" style="22" customWidth="1"/>
    <col min="26" max="26" width="10.42578125" style="22" customWidth="1"/>
    <col min="27" max="27" width="8.42578125" style="22" customWidth="1"/>
    <col min="28" max="28" width="7.28515625" style="22" customWidth="1"/>
    <col min="29" max="29" width="9.28515625" style="22" customWidth="1"/>
    <col min="30" max="16384" width="11.42578125" style="22"/>
  </cols>
  <sheetData>
    <row r="1" spans="1:29" s="17" customFormat="1" ht="19.5" x14ac:dyDescent="0.4">
      <c r="A1" s="68" t="s">
        <v>39</v>
      </c>
      <c r="B1" s="16"/>
      <c r="C1" s="2421" t="s">
        <v>40</v>
      </c>
      <c r="D1" s="2421"/>
      <c r="E1" s="2421"/>
      <c r="F1" s="2421"/>
      <c r="G1" s="16"/>
      <c r="H1" s="16"/>
      <c r="I1" s="16"/>
      <c r="J1" s="16"/>
      <c r="K1" s="16"/>
      <c r="L1" s="16"/>
      <c r="M1" s="16"/>
      <c r="N1" s="16"/>
      <c r="O1" s="16"/>
      <c r="P1" s="16"/>
      <c r="Q1" s="16"/>
      <c r="R1" s="16"/>
      <c r="S1" s="16"/>
      <c r="T1" s="16"/>
      <c r="U1" s="16"/>
      <c r="V1" s="16"/>
      <c r="W1" s="16"/>
      <c r="X1" s="16"/>
      <c r="Y1" s="16"/>
      <c r="Z1" s="16"/>
    </row>
    <row r="2" spans="1:29" s="17" customFormat="1" ht="19.5" x14ac:dyDescent="0.4">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5.75" customHeight="1" x14ac:dyDescent="0.35">
      <c r="A3" s="2413" t="s">
        <v>41</v>
      </c>
      <c r="B3" s="2413"/>
      <c r="C3" s="2414" t="s">
        <v>2</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69"/>
      <c r="AB3" s="70"/>
      <c r="AC3" s="71"/>
    </row>
    <row r="4" spans="1:29" s="72" customFormat="1" ht="15.75" customHeight="1" x14ac:dyDescent="0.35">
      <c r="A4" s="2413" t="s">
        <v>42</v>
      </c>
      <c r="B4" s="2413"/>
      <c r="C4" s="2414" t="s">
        <v>9</v>
      </c>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73"/>
      <c r="AB4" s="70"/>
      <c r="AC4" s="71"/>
    </row>
    <row r="5" spans="1:29" s="72" customFormat="1" ht="15.75" customHeight="1" x14ac:dyDescent="0.35">
      <c r="A5" s="2413" t="s">
        <v>43</v>
      </c>
      <c r="B5" s="2413"/>
      <c r="C5" s="2414" t="s">
        <v>11</v>
      </c>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73"/>
      <c r="AB5" s="70"/>
      <c r="AC5" s="71"/>
    </row>
    <row r="6" spans="1:29" s="72" customFormat="1" ht="17.100000000000001" customHeight="1" x14ac:dyDescent="0.35">
      <c r="A6" s="2413" t="s">
        <v>132</v>
      </c>
      <c r="B6" s="2413"/>
      <c r="C6" s="2414" t="s">
        <v>133</v>
      </c>
      <c r="D6" s="2415"/>
      <c r="E6" s="2415"/>
      <c r="F6" s="2415"/>
      <c r="G6" s="2415"/>
      <c r="H6" s="2415"/>
      <c r="I6" s="2415"/>
      <c r="J6" s="2415"/>
      <c r="K6" s="2415"/>
      <c r="L6" s="2415"/>
      <c r="M6" s="2415"/>
      <c r="N6" s="2415"/>
      <c r="O6" s="2415"/>
      <c r="P6" s="2415"/>
      <c r="Q6" s="2415"/>
      <c r="R6" s="2415"/>
      <c r="S6" s="2415"/>
      <c r="T6" s="2415"/>
      <c r="U6" s="2415"/>
      <c r="V6" s="2415"/>
      <c r="W6" s="2415"/>
      <c r="X6" s="2415"/>
      <c r="Y6" s="2415"/>
      <c r="Z6" s="2415"/>
      <c r="AA6" s="73"/>
      <c r="AB6" s="70"/>
      <c r="AC6" s="71"/>
    </row>
    <row r="7" spans="1:29" ht="16.5" x14ac:dyDescent="0.25">
      <c r="C7" s="74"/>
    </row>
    <row r="9" spans="1:29" ht="19.5" x14ac:dyDescent="0.25">
      <c r="A9" s="75"/>
      <c r="C9" s="24" t="s">
        <v>133</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7.15" customHeight="1" x14ac:dyDescent="0.25">
      <c r="A10" s="7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x14ac:dyDescent="0.25">
      <c r="A11" s="23"/>
      <c r="C11" s="2440" t="s">
        <v>46</v>
      </c>
      <c r="D11" s="2440" t="s">
        <v>47</v>
      </c>
      <c r="E11" s="78"/>
      <c r="F11" s="2418" t="s">
        <v>48</v>
      </c>
      <c r="G11" s="2418"/>
      <c r="H11" s="26"/>
      <c r="I11" s="2418" t="s">
        <v>49</v>
      </c>
      <c r="J11" s="2418"/>
      <c r="K11" s="26"/>
      <c r="L11" s="2418" t="s">
        <v>50</v>
      </c>
      <c r="M11" s="2418"/>
      <c r="N11" s="2418"/>
      <c r="O11" s="2418"/>
      <c r="P11" s="2418"/>
      <c r="Q11" s="2418"/>
      <c r="R11" s="26"/>
      <c r="S11" s="2418" t="s">
        <v>51</v>
      </c>
      <c r="T11" s="2418"/>
      <c r="U11" s="2418"/>
      <c r="V11" s="26"/>
      <c r="W11" s="2418" t="s">
        <v>52</v>
      </c>
      <c r="X11" s="2418"/>
      <c r="Y11" s="2418"/>
      <c r="Z11" s="2418"/>
      <c r="AA11" s="2418"/>
      <c r="AB11" s="2418"/>
      <c r="AC11" s="2418"/>
    </row>
    <row r="12" spans="1:29" ht="45.6" customHeight="1" x14ac:dyDescent="0.25">
      <c r="A12" s="21"/>
      <c r="C12" s="2441"/>
      <c r="D12" s="2441"/>
      <c r="E12" s="79"/>
      <c r="F12" s="27" t="s">
        <v>53</v>
      </c>
      <c r="G12" s="27" t="s">
        <v>54</v>
      </c>
      <c r="H12" s="27"/>
      <c r="I12" s="27" t="s">
        <v>55</v>
      </c>
      <c r="J12" s="27" t="s">
        <v>56</v>
      </c>
      <c r="K12" s="27"/>
      <c r="L12" s="27" t="s">
        <v>57</v>
      </c>
      <c r="M12" s="27" t="s">
        <v>58</v>
      </c>
      <c r="N12" s="27" t="s">
        <v>59</v>
      </c>
      <c r="O12" s="27" t="s">
        <v>60</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8.75" x14ac:dyDescent="0.4">
      <c r="A13" s="23"/>
      <c r="C13" s="4">
        <v>2010</v>
      </c>
      <c r="D13" s="80">
        <v>24.202526511761885</v>
      </c>
      <c r="E13" s="80"/>
      <c r="F13" s="80">
        <v>23.727607086973901</v>
      </c>
      <c r="G13" s="80">
        <v>24.653211293558471</v>
      </c>
      <c r="H13" s="80"/>
      <c r="I13" s="80">
        <v>21.572338996717576</v>
      </c>
      <c r="J13" s="80">
        <v>31.228706170496618</v>
      </c>
      <c r="K13" s="80"/>
      <c r="L13" s="80">
        <v>18.67394631932472</v>
      </c>
      <c r="M13" s="80">
        <v>36.398445875113275</v>
      </c>
      <c r="N13" s="80">
        <v>29.790259924956459</v>
      </c>
      <c r="O13" s="80">
        <v>37.426187289906551</v>
      </c>
      <c r="P13" s="80">
        <v>34.383991629610257</v>
      </c>
      <c r="Q13" s="80">
        <v>28.274805908108249</v>
      </c>
      <c r="R13" s="80"/>
      <c r="S13" s="80">
        <v>13.661155548812193</v>
      </c>
      <c r="T13" s="80">
        <v>45.380322584941595</v>
      </c>
      <c r="U13" s="80">
        <v>27.708126327964543</v>
      </c>
      <c r="V13" s="80"/>
      <c r="W13" s="80">
        <v>35.073228596755563</v>
      </c>
      <c r="X13" s="80">
        <v>36.16952797970999</v>
      </c>
      <c r="Y13" s="80">
        <v>32.645548552813217</v>
      </c>
      <c r="Z13" s="80">
        <v>20.074520432429324</v>
      </c>
      <c r="AA13" s="80">
        <v>18.949729096269358</v>
      </c>
      <c r="AB13" s="80">
        <v>19.75528409659173</v>
      </c>
      <c r="AC13" s="80">
        <v>21.073787929683128</v>
      </c>
    </row>
    <row r="14" spans="1:29" ht="18.75" x14ac:dyDescent="0.4">
      <c r="A14" s="23"/>
      <c r="C14" s="4">
        <v>2011</v>
      </c>
      <c r="D14" s="80">
        <v>24.812346241815938</v>
      </c>
      <c r="E14" s="80"/>
      <c r="F14" s="80">
        <v>23.952900943617692</v>
      </c>
      <c r="G14" s="80">
        <v>25.632388748260876</v>
      </c>
      <c r="H14" s="80"/>
      <c r="I14" s="80">
        <v>22.649255343924747</v>
      </c>
      <c r="J14" s="80">
        <v>30.586443589193067</v>
      </c>
      <c r="K14" s="80"/>
      <c r="L14" s="80">
        <v>20.117123119297833</v>
      </c>
      <c r="M14" s="80">
        <v>33.888093080363667</v>
      </c>
      <c r="N14" s="80">
        <v>27.599435846728142</v>
      </c>
      <c r="O14" s="80">
        <v>34.99962494734838</v>
      </c>
      <c r="P14" s="80">
        <v>35.377965566644818</v>
      </c>
      <c r="Q14" s="80">
        <v>29.692394366197185</v>
      </c>
      <c r="R14" s="80"/>
      <c r="S14" s="80">
        <v>14.236140179233342</v>
      </c>
      <c r="T14" s="80">
        <v>44.823866868955051</v>
      </c>
      <c r="U14" s="80">
        <v>28.100417477947154</v>
      </c>
      <c r="V14" s="80"/>
      <c r="W14" s="80">
        <v>36.150648234066757</v>
      </c>
      <c r="X14" s="80">
        <v>38.641283784574462</v>
      </c>
      <c r="Y14" s="80">
        <v>33.337598968664167</v>
      </c>
      <c r="Z14" s="80">
        <v>20.04291873466315</v>
      </c>
      <c r="AA14" s="80">
        <v>19.848038201192271</v>
      </c>
      <c r="AB14" s="80">
        <v>19.662688788206317</v>
      </c>
      <c r="AC14" s="80">
        <v>23.513832787135129</v>
      </c>
    </row>
    <row r="15" spans="1:29" ht="18.75" x14ac:dyDescent="0.4">
      <c r="A15" s="23"/>
      <c r="C15" s="4">
        <v>2012</v>
      </c>
      <c r="D15" s="80">
        <v>23.482390189401496</v>
      </c>
      <c r="E15" s="80"/>
      <c r="F15" s="80">
        <v>22.953654294444114</v>
      </c>
      <c r="G15" s="80">
        <v>23.985916393412285</v>
      </c>
      <c r="H15" s="80"/>
      <c r="I15" s="80">
        <v>20.842764042833711</v>
      </c>
      <c r="J15" s="80">
        <v>30.522739752001804</v>
      </c>
      <c r="K15" s="80"/>
      <c r="L15" s="80">
        <v>18.381755119428909</v>
      </c>
      <c r="M15" s="80">
        <v>37.763162423560999</v>
      </c>
      <c r="N15" s="80">
        <v>30.621844063361241</v>
      </c>
      <c r="O15" s="80">
        <v>36.924699346106358</v>
      </c>
      <c r="P15" s="80">
        <v>28.664857334998562</v>
      </c>
      <c r="Q15" s="80">
        <v>26.378270507526381</v>
      </c>
      <c r="R15" s="80"/>
      <c r="S15" s="80">
        <v>12.967242298479595</v>
      </c>
      <c r="T15" s="80">
        <v>43.512757676228922</v>
      </c>
      <c r="U15" s="80">
        <v>27.072541113962355</v>
      </c>
      <c r="V15" s="80"/>
      <c r="W15" s="80">
        <v>36.616536998783758</v>
      </c>
      <c r="X15" s="80">
        <v>36.260351625699592</v>
      </c>
      <c r="Y15" s="80">
        <v>30.840942703466339</v>
      </c>
      <c r="Z15" s="80">
        <v>18.987142068312693</v>
      </c>
      <c r="AA15" s="80">
        <v>19.094196736727323</v>
      </c>
      <c r="AB15" s="80">
        <v>19.144692850367253</v>
      </c>
      <c r="AC15" s="80">
        <v>20.619629472006217</v>
      </c>
    </row>
    <row r="16" spans="1:29" ht="18.75" x14ac:dyDescent="0.4">
      <c r="A16" s="21"/>
      <c r="C16" s="4">
        <v>2013</v>
      </c>
      <c r="D16" s="80">
        <v>23.28602634712</v>
      </c>
      <c r="E16" s="80"/>
      <c r="F16" s="80">
        <v>22.632377755869086</v>
      </c>
      <c r="G16" s="80">
        <v>23.898580155124336</v>
      </c>
      <c r="H16" s="80"/>
      <c r="I16" s="80">
        <v>20.535595715093873</v>
      </c>
      <c r="J16" s="80">
        <v>30.608403659751225</v>
      </c>
      <c r="K16" s="80"/>
      <c r="L16" s="80">
        <v>17.463734050499095</v>
      </c>
      <c r="M16" s="80">
        <v>37.135346740343984</v>
      </c>
      <c r="N16" s="80">
        <v>34.239675886294535</v>
      </c>
      <c r="O16" s="80">
        <v>37.098539318197282</v>
      </c>
      <c r="P16" s="80">
        <v>31.706618911649276</v>
      </c>
      <c r="Q16" s="80">
        <v>25.396945779183845</v>
      </c>
      <c r="R16" s="80"/>
      <c r="S16" s="80">
        <v>12.767791178352841</v>
      </c>
      <c r="T16" s="80">
        <v>43.75593666169118</v>
      </c>
      <c r="U16" s="80">
        <v>27.073805851415848</v>
      </c>
      <c r="V16" s="80"/>
      <c r="W16" s="80">
        <v>37.335875511002691</v>
      </c>
      <c r="X16" s="80">
        <v>34.619906842129069</v>
      </c>
      <c r="Y16" s="80">
        <v>31.315883898872155</v>
      </c>
      <c r="Z16" s="80">
        <v>20.673751362963205</v>
      </c>
      <c r="AA16" s="80">
        <v>19.370276035650999</v>
      </c>
      <c r="AB16" s="80">
        <v>18.178406664639219</v>
      </c>
      <c r="AC16" s="80">
        <v>20.921160628117359</v>
      </c>
    </row>
    <row r="17" spans="1:29" ht="18.75" x14ac:dyDescent="0.4">
      <c r="A17" s="23"/>
      <c r="C17" s="4">
        <v>2014</v>
      </c>
      <c r="D17" s="80">
        <v>24.583818705798031</v>
      </c>
      <c r="E17" s="80"/>
      <c r="F17" s="80">
        <v>23.489606446916973</v>
      </c>
      <c r="G17" s="80">
        <v>25.626264051164032</v>
      </c>
      <c r="H17" s="80"/>
      <c r="I17" s="80">
        <v>21.460474748651173</v>
      </c>
      <c r="J17" s="80">
        <v>32.887207508435928</v>
      </c>
      <c r="K17" s="80"/>
      <c r="L17" s="80">
        <v>19.057494640832974</v>
      </c>
      <c r="M17" s="80">
        <v>36.291571500194976</v>
      </c>
      <c r="N17" s="80">
        <v>31.12450309487938</v>
      </c>
      <c r="O17" s="80">
        <v>39.750752764814663</v>
      </c>
      <c r="P17" s="80">
        <v>31.858183797573631</v>
      </c>
      <c r="Q17" s="80">
        <v>29.536905879793945</v>
      </c>
      <c r="R17" s="80"/>
      <c r="S17" s="80">
        <v>13.113515472411738</v>
      </c>
      <c r="T17" s="80">
        <v>44.019612440665071</v>
      </c>
      <c r="U17" s="80">
        <v>29.721622136642267</v>
      </c>
      <c r="V17" s="80"/>
      <c r="W17" s="80">
        <v>38.142078324802853</v>
      </c>
      <c r="X17" s="80">
        <v>36.247564191038741</v>
      </c>
      <c r="Y17" s="80">
        <v>31.381724629684037</v>
      </c>
      <c r="Z17" s="80">
        <v>21.437859534398353</v>
      </c>
      <c r="AA17" s="80">
        <v>19.115758021145972</v>
      </c>
      <c r="AB17" s="80">
        <v>20.135571932546497</v>
      </c>
      <c r="AC17" s="80">
        <v>25.435594100236646</v>
      </c>
    </row>
    <row r="18" spans="1:29" ht="18.75" x14ac:dyDescent="0.4">
      <c r="A18" s="23"/>
      <c r="C18" s="4">
        <v>2015</v>
      </c>
      <c r="D18" s="80">
        <v>23.589308240640253</v>
      </c>
      <c r="E18" s="80"/>
      <c r="F18" s="80">
        <v>22.42629073440396</v>
      </c>
      <c r="G18" s="80">
        <v>24.692989154721186</v>
      </c>
      <c r="H18" s="80"/>
      <c r="I18" s="80">
        <v>21.40682358361018</v>
      </c>
      <c r="J18" s="80">
        <v>29.380843599081384</v>
      </c>
      <c r="K18" s="80"/>
      <c r="L18" s="80">
        <v>18.438400117280754</v>
      </c>
      <c r="M18" s="80">
        <v>28.666021466572623</v>
      </c>
      <c r="N18" s="80">
        <v>30.243256081402038</v>
      </c>
      <c r="O18" s="80">
        <v>37.724105251421562</v>
      </c>
      <c r="P18" s="80">
        <v>32.485481381328029</v>
      </c>
      <c r="Q18" s="80">
        <v>30.906536950810292</v>
      </c>
      <c r="R18" s="80"/>
      <c r="S18" s="80">
        <v>12.801833296896978</v>
      </c>
      <c r="T18" s="80">
        <v>46.995161038555594</v>
      </c>
      <c r="U18" s="80">
        <v>27.806735339568821</v>
      </c>
      <c r="V18" s="80"/>
      <c r="W18" s="80">
        <v>35.1255758959514</v>
      </c>
      <c r="X18" s="80">
        <v>34.874279829017468</v>
      </c>
      <c r="Y18" s="80">
        <v>30.480564105879253</v>
      </c>
      <c r="Z18" s="80">
        <v>20.824687557169248</v>
      </c>
      <c r="AA18" s="80">
        <v>18.64043811260489</v>
      </c>
      <c r="AB18" s="80">
        <v>19.022358976651375</v>
      </c>
      <c r="AC18" s="80">
        <v>23.866386706402963</v>
      </c>
    </row>
    <row r="19" spans="1:29" ht="18.75" x14ac:dyDescent="0.4">
      <c r="A19" s="23"/>
      <c r="C19" s="4">
        <v>2016</v>
      </c>
      <c r="D19" s="81">
        <v>22.862446406259771</v>
      </c>
      <c r="E19" s="81"/>
      <c r="F19" s="81">
        <v>22.03889524542414</v>
      </c>
      <c r="G19" s="81">
        <v>23.640809276075206</v>
      </c>
      <c r="H19" s="81"/>
      <c r="I19" s="81">
        <v>20.776432627446994</v>
      </c>
      <c r="J19" s="81">
        <v>28.394346374402968</v>
      </c>
      <c r="K19" s="81"/>
      <c r="L19" s="81">
        <v>17.699960789577215</v>
      </c>
      <c r="M19" s="81">
        <v>27.389921583543064</v>
      </c>
      <c r="N19" s="81">
        <v>31.259570064310832</v>
      </c>
      <c r="O19" s="81">
        <v>34.37222862717276</v>
      </c>
      <c r="P19" s="81">
        <v>31.645748420594582</v>
      </c>
      <c r="Q19" s="81">
        <v>32.019130243626876</v>
      </c>
      <c r="R19" s="81"/>
      <c r="S19" s="81">
        <v>13.144503206045016</v>
      </c>
      <c r="T19" s="81">
        <v>43.434516917178676</v>
      </c>
      <c r="U19" s="81">
        <v>26.044860972332291</v>
      </c>
      <c r="V19" s="81"/>
      <c r="W19" s="81">
        <v>34.829211222362019</v>
      </c>
      <c r="X19" s="81">
        <v>34.815533488800696</v>
      </c>
      <c r="Y19" s="81">
        <v>30.375365533931632</v>
      </c>
      <c r="Z19" s="81">
        <v>19.558484885741724</v>
      </c>
      <c r="AA19" s="81">
        <v>18.034252012076625</v>
      </c>
      <c r="AB19" s="81">
        <v>18.725784242969347</v>
      </c>
      <c r="AC19" s="81">
        <v>20.815525640971657</v>
      </c>
    </row>
    <row r="20" spans="1:29" ht="18.75" x14ac:dyDescent="0.4">
      <c r="A20" s="23"/>
      <c r="C20" s="4">
        <v>2017</v>
      </c>
      <c r="D20" s="81">
        <v>22.136978562004142</v>
      </c>
      <c r="E20" s="81"/>
      <c r="F20" s="81">
        <v>21.224483851908563</v>
      </c>
      <c r="G20" s="81">
        <v>23.003338517628645</v>
      </c>
      <c r="H20" s="81"/>
      <c r="I20" s="81">
        <v>20.600074947238152</v>
      </c>
      <c r="J20" s="81">
        <v>26.203255570323229</v>
      </c>
      <c r="K20" s="81"/>
      <c r="L20" s="81">
        <v>17.21930540438068</v>
      </c>
      <c r="M20" s="81">
        <v>24.909750165115423</v>
      </c>
      <c r="N20" s="81">
        <v>34.721631076830448</v>
      </c>
      <c r="O20" s="81">
        <v>31.534428502266625</v>
      </c>
      <c r="P20" s="81">
        <v>30.661192593777674</v>
      </c>
      <c r="Q20" s="81">
        <v>30.093790305413293</v>
      </c>
      <c r="R20" s="81"/>
      <c r="S20" s="81">
        <v>12.046696874973222</v>
      </c>
      <c r="T20" s="81">
        <v>40.817588578967204</v>
      </c>
      <c r="U20" s="81">
        <v>25.674494148643497</v>
      </c>
      <c r="V20" s="81"/>
      <c r="W20" s="81">
        <v>35.88220552714786</v>
      </c>
      <c r="X20" s="81">
        <v>33.566655750998002</v>
      </c>
      <c r="Y20" s="81">
        <v>29.162751751366773</v>
      </c>
      <c r="Z20" s="81">
        <v>17.68780302439124</v>
      </c>
      <c r="AA20" s="81">
        <v>18.25799501474129</v>
      </c>
      <c r="AB20" s="81">
        <v>17.697564322550591</v>
      </c>
      <c r="AC20" s="81">
        <v>21.125454675130161</v>
      </c>
    </row>
    <row r="21" spans="1:29" ht="18.75" x14ac:dyDescent="0.4">
      <c r="A21" s="23"/>
      <c r="C21" s="4">
        <v>2018</v>
      </c>
      <c r="D21" s="81">
        <v>22.883820333189899</v>
      </c>
      <c r="E21" s="81"/>
      <c r="F21" s="81">
        <v>21.611345688907441</v>
      </c>
      <c r="G21" s="81">
        <v>24.09054709276451</v>
      </c>
      <c r="H21" s="81"/>
      <c r="I21" s="81">
        <v>21.398454077286189</v>
      </c>
      <c r="J21" s="81">
        <v>26.802392206375913</v>
      </c>
      <c r="K21" s="81"/>
      <c r="L21" s="81">
        <v>18.080952448734255</v>
      </c>
      <c r="M21" s="81">
        <v>27.971889175870235</v>
      </c>
      <c r="N21" s="81">
        <v>27.694349303385508</v>
      </c>
      <c r="O21" s="81">
        <v>34.890652533227694</v>
      </c>
      <c r="P21" s="81">
        <v>30.708257223237023</v>
      </c>
      <c r="Q21" s="81">
        <v>31.649623429114122</v>
      </c>
      <c r="R21" s="81"/>
      <c r="S21" s="81">
        <v>11.778268208916076</v>
      </c>
      <c r="T21" s="81">
        <v>39.615010387356349</v>
      </c>
      <c r="U21" s="81">
        <v>27.680850521501544</v>
      </c>
      <c r="V21" s="81"/>
      <c r="W21" s="81">
        <v>37.443917446481223</v>
      </c>
      <c r="X21" s="81">
        <v>34.115668640783795</v>
      </c>
      <c r="Y21" s="81">
        <v>29.253479710827218</v>
      </c>
      <c r="Z21" s="81">
        <v>19.720462124617761</v>
      </c>
      <c r="AA21" s="81">
        <v>18.650595286732578</v>
      </c>
      <c r="AB21" s="81">
        <v>17.709448433373531</v>
      </c>
      <c r="AC21" s="81">
        <v>24.109653878117108</v>
      </c>
    </row>
    <row r="22" spans="1:29" ht="18.75" x14ac:dyDescent="0.4">
      <c r="A22" s="23"/>
      <c r="C22" s="4">
        <v>2019</v>
      </c>
      <c r="D22" s="81">
        <v>23.905263656002713</v>
      </c>
      <c r="E22" s="81"/>
      <c r="F22" s="81">
        <v>22.713227554688149</v>
      </c>
      <c r="G22" s="81">
        <v>25.028417830554361</v>
      </c>
      <c r="H22" s="81"/>
      <c r="I22" s="81">
        <v>22.657439147728155</v>
      </c>
      <c r="J22" s="81">
        <v>27.19372874865762</v>
      </c>
      <c r="K22" s="81"/>
      <c r="L22" s="81">
        <v>19.191084626001789</v>
      </c>
      <c r="M22" s="81">
        <v>23.248659553691283</v>
      </c>
      <c r="N22" s="81">
        <v>33.607720883096135</v>
      </c>
      <c r="O22" s="81">
        <v>33.064890689974554</v>
      </c>
      <c r="P22" s="81">
        <v>35.518956351273246</v>
      </c>
      <c r="Q22" s="81">
        <v>32.203565405926284</v>
      </c>
      <c r="R22" s="81"/>
      <c r="S22" s="81">
        <v>12.398178381165149</v>
      </c>
      <c r="T22" s="81">
        <v>42.694331352786143</v>
      </c>
      <c r="U22" s="81">
        <v>28.15464151079652</v>
      </c>
      <c r="V22" s="81"/>
      <c r="W22" s="81">
        <v>36.810837411488095</v>
      </c>
      <c r="X22" s="81">
        <v>36.489884591373055</v>
      </c>
      <c r="Y22" s="81">
        <v>33.253799470926914</v>
      </c>
      <c r="Z22" s="81">
        <v>21.436614262969101</v>
      </c>
      <c r="AA22" s="81">
        <v>19.523390886624405</v>
      </c>
      <c r="AB22" s="81">
        <v>18.779257002357923</v>
      </c>
      <c r="AC22" s="81">
        <v>22.9405863141906</v>
      </c>
    </row>
    <row r="23" spans="1:29" ht="18.75" x14ac:dyDescent="0.4">
      <c r="A23" s="23"/>
      <c r="C23" s="4">
        <v>2020</v>
      </c>
      <c r="D23" s="81">
        <v>29.958899091195825</v>
      </c>
      <c r="E23" s="81"/>
      <c r="F23" s="81">
        <v>29.240494634440399</v>
      </c>
      <c r="G23" s="81">
        <v>30.637044044342531</v>
      </c>
      <c r="H23" s="81"/>
      <c r="I23" s="81">
        <v>30.001843080852876</v>
      </c>
      <c r="J23" s="81">
        <v>29.845732468109592</v>
      </c>
      <c r="K23" s="81"/>
      <c r="L23" s="81">
        <v>26.87891708376025</v>
      </c>
      <c r="M23" s="81">
        <v>36.613950179744165</v>
      </c>
      <c r="N23" s="81">
        <v>41.391194586164055</v>
      </c>
      <c r="O23" s="81">
        <v>30.155598379420042</v>
      </c>
      <c r="P23" s="81">
        <v>34.85039914582142</v>
      </c>
      <c r="Q23" s="81">
        <v>33.086679508777415</v>
      </c>
      <c r="R23" s="81"/>
      <c r="S23" s="81">
        <v>15.555070000539301</v>
      </c>
      <c r="T23" s="81">
        <v>49.066462989056717</v>
      </c>
      <c r="U23" s="81">
        <v>33.110126248811547</v>
      </c>
      <c r="V23" s="81"/>
      <c r="W23" s="81">
        <v>42.209872303225204</v>
      </c>
      <c r="X23" s="81">
        <v>43.355032681720985</v>
      </c>
      <c r="Y23" s="81">
        <v>40.122043278152134</v>
      </c>
      <c r="Z23" s="81">
        <v>30.197419571389915</v>
      </c>
      <c r="AA23" s="81">
        <v>25.673906039643622</v>
      </c>
      <c r="AB23" s="81">
        <v>25.229226267313258</v>
      </c>
      <c r="AC23" s="81">
        <v>25.196267953285513</v>
      </c>
    </row>
    <row r="24" spans="1:29" ht="18.75" x14ac:dyDescent="0.4">
      <c r="A24" s="23"/>
      <c r="C24" s="4">
        <v>2021</v>
      </c>
      <c r="D24" s="81">
        <v>26.222034518768588</v>
      </c>
      <c r="E24" s="81"/>
      <c r="F24" s="81">
        <v>24.671999664756882</v>
      </c>
      <c r="G24" s="81">
        <v>27.661226178691333</v>
      </c>
      <c r="H24" s="81"/>
      <c r="I24" s="81">
        <v>24.923689058349755</v>
      </c>
      <c r="J24" s="81">
        <v>29.636833680403218</v>
      </c>
      <c r="K24" s="81"/>
      <c r="L24" s="81">
        <v>20.934617318084705</v>
      </c>
      <c r="M24" s="81">
        <v>29.837657213996398</v>
      </c>
      <c r="N24" s="81">
        <v>34.355616479390996</v>
      </c>
      <c r="O24" s="81">
        <v>38.656342298051527</v>
      </c>
      <c r="P24" s="81">
        <v>35.914923627356544</v>
      </c>
      <c r="Q24" s="81">
        <v>34.987740528042963</v>
      </c>
      <c r="R24" s="81"/>
      <c r="S24" s="81">
        <v>14.138713837931279</v>
      </c>
      <c r="T24" s="81">
        <v>43.124694808964833</v>
      </c>
      <c r="U24" s="81">
        <v>29.975334983403407</v>
      </c>
      <c r="V24" s="81"/>
      <c r="W24" s="81">
        <v>43.067528061048819</v>
      </c>
      <c r="X24" s="81">
        <v>39.507415362585661</v>
      </c>
      <c r="Y24" s="81">
        <v>35.587354223142221</v>
      </c>
      <c r="Z24" s="81">
        <v>24.481396763388076</v>
      </c>
      <c r="AA24" s="81">
        <v>21.248889555054305</v>
      </c>
      <c r="AB24" s="81">
        <v>21.685705772385397</v>
      </c>
      <c r="AC24" s="81">
        <v>23.345901928743761</v>
      </c>
    </row>
    <row r="25" spans="1:29" ht="18.75" x14ac:dyDescent="0.4">
      <c r="A25" s="23"/>
      <c r="C25" s="4">
        <v>2022</v>
      </c>
      <c r="D25" s="81">
        <v>25.535939857825241</v>
      </c>
      <c r="E25" s="81"/>
      <c r="F25" s="81">
        <v>24.505519922606442</v>
      </c>
      <c r="G25" s="81">
        <v>26.477227337850863</v>
      </c>
      <c r="H25" s="81"/>
      <c r="I25" s="81">
        <v>23.615922987123071</v>
      </c>
      <c r="J25" s="81">
        <v>30.579656141499477</v>
      </c>
      <c r="K25" s="81"/>
      <c r="L25" s="81">
        <v>20.05452455410796</v>
      </c>
      <c r="M25" s="81">
        <v>28.806226019755638</v>
      </c>
      <c r="N25" s="81">
        <v>34.173487978240232</v>
      </c>
      <c r="O25" s="81">
        <v>36.667443286655796</v>
      </c>
      <c r="P25" s="81">
        <v>37.755640810556478</v>
      </c>
      <c r="Q25" s="81">
        <v>33.998231418439069</v>
      </c>
      <c r="R25" s="81"/>
      <c r="S25" s="81">
        <v>12.624466250586583</v>
      </c>
      <c r="T25" s="81">
        <v>45.185016012747916</v>
      </c>
      <c r="U25" s="81">
        <v>30.855439864665673</v>
      </c>
      <c r="V25" s="81"/>
      <c r="W25" s="81">
        <v>39.789663558325685</v>
      </c>
      <c r="X25" s="81">
        <v>38.952675585627567</v>
      </c>
      <c r="Y25" s="81">
        <v>36.393364601484599</v>
      </c>
      <c r="Z25" s="81">
        <v>23.316928186797718</v>
      </c>
      <c r="AA25" s="81">
        <v>19.837296382885707</v>
      </c>
      <c r="AB25" s="81">
        <v>20.185382734701584</v>
      </c>
      <c r="AC25" s="81">
        <v>26.975436895119799</v>
      </c>
    </row>
    <row r="26" spans="1:29" ht="18.75" x14ac:dyDescent="0.4">
      <c r="A26" s="23"/>
      <c r="C26" s="2358">
        <v>2023</v>
      </c>
      <c r="D26" s="2359">
        <v>24.367090052239703</v>
      </c>
      <c r="E26" s="2359"/>
      <c r="F26" s="2359">
        <v>22.862679032203744</v>
      </c>
      <c r="G26" s="2359">
        <v>25.725138071558344</v>
      </c>
      <c r="H26" s="2359"/>
      <c r="I26" s="2359">
        <v>22.664979034223691</v>
      </c>
      <c r="J26" s="2359">
        <v>28.829659859821515</v>
      </c>
      <c r="K26" s="2359"/>
      <c r="L26" s="2359">
        <v>18.778359726986707</v>
      </c>
      <c r="M26" s="2359">
        <v>30.951421601306951</v>
      </c>
      <c r="N26" s="2359">
        <v>31.527738678526131</v>
      </c>
      <c r="O26" s="2359">
        <v>33.992174869558966</v>
      </c>
      <c r="P26" s="2359">
        <v>36.384530470540646</v>
      </c>
      <c r="Q26" s="2359">
        <v>32.949962188051423</v>
      </c>
      <c r="R26" s="2359"/>
      <c r="S26" s="2359">
        <v>11.30158871802451</v>
      </c>
      <c r="T26" s="2359">
        <v>46.644259177302253</v>
      </c>
      <c r="U26" s="2359">
        <v>29.81918942091578</v>
      </c>
      <c r="V26" s="2359"/>
      <c r="W26" s="2359">
        <v>37.827153670389521</v>
      </c>
      <c r="X26" s="2359">
        <v>40.300004924167816</v>
      </c>
      <c r="Y26" s="2359">
        <v>33.513434247153739</v>
      </c>
      <c r="Z26" s="2359">
        <v>21.446584912336171</v>
      </c>
      <c r="AA26" s="2359">
        <v>19.130230613441547</v>
      </c>
      <c r="AB26" s="2359">
        <v>18.774548233073354</v>
      </c>
      <c r="AC26" s="2359">
        <v>26.555086030084361</v>
      </c>
    </row>
    <row r="27" spans="1:29" ht="18.75" x14ac:dyDescent="0.4">
      <c r="A27" s="23"/>
      <c r="C27" s="82">
        <v>2024</v>
      </c>
      <c r="D27" s="83">
        <v>20.324118560060416</v>
      </c>
      <c r="E27" s="83"/>
      <c r="F27" s="83">
        <v>19.285438010174953</v>
      </c>
      <c r="G27" s="83">
        <v>21.272094616521834</v>
      </c>
      <c r="H27" s="83"/>
      <c r="I27" s="83">
        <v>18.718176934032098</v>
      </c>
      <c r="J27" s="83">
        <v>24.527362607312199</v>
      </c>
      <c r="K27" s="83"/>
      <c r="L27" s="83">
        <v>14.46504341214559</v>
      </c>
      <c r="M27" s="83">
        <v>28.31812123563849</v>
      </c>
      <c r="N27" s="83">
        <v>28.283456203923528</v>
      </c>
      <c r="O27" s="83">
        <v>32.860796705774973</v>
      </c>
      <c r="P27" s="83">
        <v>32.548518065703327</v>
      </c>
      <c r="Q27" s="83">
        <v>26.220708965969457</v>
      </c>
      <c r="R27" s="83"/>
      <c r="S27" s="83">
        <v>9.2437164286133076</v>
      </c>
      <c r="T27" s="83">
        <v>38.564790306452565</v>
      </c>
      <c r="U27" s="83">
        <v>25.029613202367457</v>
      </c>
      <c r="V27" s="83"/>
      <c r="W27" s="83">
        <v>33.59293069953754</v>
      </c>
      <c r="X27" s="83">
        <v>34.282178477415023</v>
      </c>
      <c r="Y27" s="83">
        <v>30.670222634508349</v>
      </c>
      <c r="Z27" s="83">
        <v>17.133749049889769</v>
      </c>
      <c r="AA27" s="83">
        <v>15.404482473406352</v>
      </c>
      <c r="AB27" s="83">
        <v>15.688674860821328</v>
      </c>
      <c r="AC27" s="83">
        <v>20.907653447333999</v>
      </c>
    </row>
    <row r="28" spans="1:29" ht="18.75" x14ac:dyDescent="0.4">
      <c r="A28" s="23"/>
      <c r="C28" s="5" t="s">
        <v>8105</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8.75" x14ac:dyDescent="0.4">
      <c r="A29" s="23"/>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29" ht="33.75" customHeight="1" x14ac:dyDescent="0.4">
      <c r="A30" s="23"/>
      <c r="C30" s="2438" t="s">
        <v>8106</v>
      </c>
      <c r="D30" s="2438"/>
      <c r="E30" s="2438"/>
      <c r="F30" s="2438"/>
      <c r="G30" s="2438"/>
      <c r="H30" s="2438"/>
      <c r="I30" s="2438"/>
      <c r="J30" s="2438"/>
      <c r="K30" s="2438"/>
      <c r="L30" s="2438"/>
      <c r="M30" s="2438"/>
      <c r="N30" s="2438"/>
      <c r="U30" s="5"/>
      <c r="V30" s="5"/>
      <c r="W30" s="5"/>
      <c r="X30" s="5"/>
      <c r="Y30" s="5"/>
      <c r="Z30" s="5"/>
      <c r="AA30" s="5"/>
      <c r="AB30" s="5"/>
      <c r="AC30" s="5"/>
    </row>
    <row r="31" spans="1:29" ht="18.75" x14ac:dyDescent="0.4">
      <c r="A31" s="23"/>
      <c r="C31" s="84"/>
      <c r="D31" s="84"/>
      <c r="E31" s="84"/>
      <c r="F31" s="84"/>
      <c r="G31" s="84"/>
      <c r="H31" s="84"/>
      <c r="I31" s="2439"/>
      <c r="J31" s="5"/>
      <c r="K31" s="5"/>
      <c r="L31" s="5"/>
      <c r="M31" s="5"/>
      <c r="N31" s="5"/>
      <c r="O31" s="5"/>
      <c r="P31" s="5"/>
      <c r="Q31" s="5"/>
      <c r="R31" s="5"/>
      <c r="S31" s="5"/>
      <c r="T31" s="5"/>
      <c r="U31" s="5"/>
      <c r="V31" s="5"/>
      <c r="W31" s="5"/>
      <c r="X31" s="5"/>
      <c r="Y31" s="5"/>
      <c r="Z31" s="5"/>
      <c r="AA31" s="5"/>
      <c r="AB31" s="5"/>
      <c r="AC31" s="5"/>
    </row>
    <row r="32" spans="1:29" ht="18.75" x14ac:dyDescent="0.4">
      <c r="A32" s="23"/>
      <c r="C32" s="84"/>
      <c r="D32" s="84"/>
      <c r="E32" s="84"/>
      <c r="F32" s="84"/>
      <c r="G32" s="84"/>
      <c r="H32" s="84"/>
      <c r="I32" s="2439"/>
      <c r="J32" s="5"/>
      <c r="K32" s="5"/>
      <c r="L32" s="5"/>
      <c r="M32" s="5"/>
      <c r="N32" s="5"/>
      <c r="O32" s="5"/>
      <c r="P32" s="5"/>
      <c r="Q32" s="5"/>
      <c r="R32" s="5"/>
      <c r="S32" s="5"/>
      <c r="T32" s="5"/>
      <c r="U32" s="5"/>
      <c r="V32" s="5"/>
      <c r="W32" s="5"/>
      <c r="X32" s="5"/>
      <c r="Y32" s="5"/>
      <c r="Z32" s="5"/>
      <c r="AA32" s="5"/>
      <c r="AB32" s="5"/>
      <c r="AC32" s="5"/>
    </row>
    <row r="33" spans="1:29" ht="18.75" x14ac:dyDescent="0.4">
      <c r="A33" s="23"/>
      <c r="C33" s="85"/>
      <c r="D33" s="86"/>
      <c r="E33" s="86"/>
      <c r="F33" s="87"/>
      <c r="G33" s="86"/>
      <c r="H33" s="85"/>
      <c r="I33" s="88"/>
      <c r="J33" s="5"/>
      <c r="K33" s="5"/>
      <c r="L33" s="5"/>
      <c r="M33" s="5"/>
      <c r="N33" s="5"/>
      <c r="O33" s="5"/>
      <c r="P33" s="5"/>
      <c r="Q33" s="5"/>
      <c r="R33" s="5"/>
      <c r="S33" s="5"/>
      <c r="T33" s="5"/>
      <c r="U33" s="5"/>
      <c r="V33" s="5"/>
      <c r="W33" s="5"/>
      <c r="X33" s="5"/>
      <c r="Y33" s="5"/>
      <c r="Z33" s="5"/>
      <c r="AA33" s="5"/>
      <c r="AB33" s="5"/>
      <c r="AC33" s="5"/>
    </row>
    <row r="34" spans="1:29" ht="18.75" x14ac:dyDescent="0.4">
      <c r="A34" s="23"/>
      <c r="C34" s="85"/>
      <c r="D34" s="86"/>
      <c r="E34" s="86"/>
      <c r="F34" s="86"/>
      <c r="G34" s="86"/>
      <c r="H34" s="85"/>
      <c r="I34" s="88"/>
      <c r="J34" s="5"/>
      <c r="K34" s="5"/>
      <c r="L34" s="5"/>
      <c r="M34" s="5"/>
      <c r="N34" s="5"/>
      <c r="O34" s="5"/>
      <c r="P34" s="5"/>
      <c r="Q34" s="5"/>
      <c r="R34" s="5"/>
      <c r="S34" s="5"/>
      <c r="T34" s="5"/>
      <c r="U34" s="5"/>
      <c r="V34" s="5"/>
      <c r="W34" s="5"/>
      <c r="X34" s="5"/>
      <c r="Y34" s="5"/>
      <c r="Z34" s="5"/>
      <c r="AA34" s="5"/>
      <c r="AB34" s="5"/>
      <c r="AC34" s="5"/>
    </row>
    <row r="35" spans="1:29" ht="18.75" x14ac:dyDescent="0.4">
      <c r="A35" s="23"/>
      <c r="C35" s="85"/>
      <c r="D35" s="86"/>
      <c r="E35" s="86"/>
      <c r="F35" s="86"/>
      <c r="G35" s="86"/>
      <c r="H35" s="85"/>
      <c r="I35" s="88"/>
      <c r="J35" s="5"/>
      <c r="K35" s="5"/>
      <c r="L35" s="5"/>
      <c r="M35" s="5"/>
      <c r="N35" s="5"/>
      <c r="O35" s="5"/>
      <c r="P35" s="5"/>
      <c r="Q35" s="5"/>
      <c r="R35" s="5"/>
      <c r="S35" s="5"/>
      <c r="T35" s="5"/>
      <c r="U35" s="5"/>
      <c r="V35" s="5"/>
      <c r="W35" s="5"/>
      <c r="X35" s="5"/>
      <c r="Y35" s="5"/>
      <c r="Z35" s="5"/>
      <c r="AA35" s="5"/>
      <c r="AB35" s="5"/>
      <c r="AC35" s="5"/>
    </row>
    <row r="36" spans="1:29" ht="18.75" x14ac:dyDescent="0.4">
      <c r="A36" s="23"/>
      <c r="C36" s="85"/>
      <c r="D36" s="86"/>
      <c r="E36" s="86"/>
      <c r="F36" s="86"/>
      <c r="G36" s="86"/>
      <c r="H36" s="85"/>
      <c r="I36" s="88"/>
      <c r="J36" s="5"/>
      <c r="K36" s="5"/>
      <c r="L36" s="5"/>
      <c r="M36" s="5"/>
      <c r="N36" s="5"/>
      <c r="O36" s="5"/>
      <c r="P36" s="5"/>
      <c r="Q36" s="5"/>
      <c r="R36" s="5"/>
      <c r="S36" s="5"/>
      <c r="T36" s="5"/>
      <c r="U36" s="5"/>
      <c r="V36" s="5"/>
      <c r="W36" s="5"/>
      <c r="X36" s="5"/>
      <c r="Y36" s="5"/>
      <c r="Z36" s="5"/>
      <c r="AA36" s="5"/>
      <c r="AB36" s="5"/>
      <c r="AC36" s="5"/>
    </row>
    <row r="37" spans="1:29" ht="18.75" x14ac:dyDescent="0.4">
      <c r="A37" s="23"/>
      <c r="C37" s="85"/>
      <c r="D37" s="86"/>
      <c r="E37" s="86"/>
      <c r="F37" s="86"/>
      <c r="G37" s="86"/>
      <c r="H37" s="85"/>
      <c r="I37" s="88"/>
      <c r="J37" s="5"/>
      <c r="K37" s="5"/>
      <c r="L37" s="5"/>
      <c r="M37" s="5"/>
      <c r="N37" s="5"/>
      <c r="O37" s="5"/>
      <c r="P37" s="5"/>
      <c r="Q37" s="5"/>
      <c r="R37" s="5"/>
      <c r="S37" s="5"/>
      <c r="T37" s="5"/>
      <c r="U37" s="5"/>
      <c r="V37" s="5"/>
      <c r="W37" s="5"/>
      <c r="X37" s="5"/>
      <c r="Y37" s="5"/>
      <c r="Z37" s="5"/>
      <c r="AA37" s="5"/>
      <c r="AB37" s="5"/>
      <c r="AC37" s="5"/>
    </row>
    <row r="38" spans="1:29" ht="18.75" x14ac:dyDescent="0.4">
      <c r="A38" s="23"/>
      <c r="C38" s="85"/>
      <c r="D38" s="86"/>
      <c r="E38" s="86"/>
      <c r="F38" s="86"/>
      <c r="G38" s="86"/>
      <c r="H38" s="85"/>
      <c r="I38" s="88"/>
      <c r="J38" s="5"/>
      <c r="K38" s="5"/>
      <c r="L38" s="5"/>
      <c r="M38" s="5"/>
      <c r="N38" s="5"/>
      <c r="O38" s="5"/>
      <c r="P38" s="5"/>
      <c r="Q38" s="5"/>
      <c r="R38" s="5"/>
      <c r="S38" s="5"/>
      <c r="T38" s="5"/>
      <c r="U38" s="5"/>
      <c r="V38" s="5"/>
      <c r="W38" s="5"/>
      <c r="X38" s="5"/>
      <c r="Y38" s="5"/>
      <c r="Z38" s="5"/>
      <c r="AA38" s="5"/>
      <c r="AB38" s="5"/>
      <c r="AC38" s="5"/>
    </row>
    <row r="39" spans="1:29" ht="18.75" x14ac:dyDescent="0.4">
      <c r="A39" s="23"/>
      <c r="C39" s="85"/>
      <c r="D39" s="86"/>
      <c r="E39" s="86"/>
      <c r="F39" s="86"/>
      <c r="G39" s="86"/>
      <c r="H39" s="85"/>
      <c r="I39" s="88"/>
      <c r="J39" s="5"/>
      <c r="K39" s="5"/>
      <c r="L39" s="5"/>
      <c r="M39" s="5"/>
      <c r="N39" s="5"/>
      <c r="O39" s="5"/>
      <c r="P39" s="5"/>
      <c r="Q39" s="5"/>
      <c r="R39" s="5"/>
      <c r="S39" s="5"/>
      <c r="T39" s="5"/>
      <c r="U39" s="5"/>
      <c r="V39" s="5"/>
      <c r="W39" s="5"/>
      <c r="X39" s="5"/>
      <c r="Y39" s="5"/>
      <c r="Z39" s="5"/>
      <c r="AA39" s="5"/>
      <c r="AB39" s="5"/>
      <c r="AC39" s="5"/>
    </row>
    <row r="40" spans="1:29" ht="18.75" x14ac:dyDescent="0.4">
      <c r="A40" s="23"/>
      <c r="C40" s="85"/>
      <c r="D40" s="87"/>
      <c r="E40" s="86"/>
      <c r="F40" s="86"/>
      <c r="G40" s="86"/>
      <c r="H40" s="5"/>
      <c r="I40" s="5"/>
      <c r="J40" s="5"/>
      <c r="K40" s="5"/>
      <c r="L40" s="5"/>
      <c r="M40" s="5"/>
      <c r="N40" s="5"/>
      <c r="O40" s="5"/>
      <c r="P40" s="5"/>
      <c r="Q40" s="5"/>
      <c r="R40" s="5"/>
      <c r="S40" s="5"/>
      <c r="T40" s="5"/>
      <c r="U40" s="5"/>
      <c r="V40" s="5"/>
      <c r="W40" s="5"/>
      <c r="X40" s="5"/>
      <c r="Y40" s="5"/>
      <c r="Z40" s="5"/>
      <c r="AA40" s="5"/>
      <c r="AB40" s="5"/>
      <c r="AC40" s="5"/>
    </row>
    <row r="41" spans="1:29" ht="18.75" x14ac:dyDescent="0.4">
      <c r="A41" s="23"/>
      <c r="C41" s="85"/>
      <c r="D41" s="87"/>
      <c r="E41" s="87"/>
      <c r="F41" s="87"/>
      <c r="G41" s="87"/>
      <c r="I41" s="5"/>
      <c r="J41" s="5"/>
      <c r="K41" s="5"/>
      <c r="L41" s="5"/>
      <c r="M41" s="5"/>
      <c r="N41" s="5"/>
      <c r="O41" s="5"/>
      <c r="P41" s="5"/>
      <c r="Q41" s="5"/>
      <c r="R41" s="5"/>
      <c r="S41" s="5"/>
      <c r="T41" s="5"/>
      <c r="U41" s="5"/>
      <c r="V41" s="5"/>
      <c r="W41" s="5"/>
      <c r="X41" s="5"/>
      <c r="Y41" s="5"/>
      <c r="Z41" s="5"/>
      <c r="AA41" s="5"/>
      <c r="AB41" s="5"/>
      <c r="AC41" s="5"/>
    </row>
    <row r="42" spans="1:29" x14ac:dyDescent="0.25">
      <c r="A42" s="23"/>
    </row>
    <row r="43" spans="1:29" x14ac:dyDescent="0.25">
      <c r="A43" s="21"/>
      <c r="C43" s="89"/>
      <c r="D43" s="89"/>
      <c r="E43" s="89"/>
      <c r="F43" s="89"/>
      <c r="G43" s="89"/>
      <c r="H43" s="89"/>
    </row>
    <row r="44" spans="1:29" x14ac:dyDescent="0.25">
      <c r="A44" s="23"/>
      <c r="C44" s="89"/>
      <c r="D44" s="89"/>
      <c r="E44" s="89"/>
      <c r="F44" s="89"/>
      <c r="G44" s="89"/>
      <c r="H44" s="89"/>
    </row>
    <row r="45" spans="1:29" ht="16.5" x14ac:dyDescent="0.35">
      <c r="A45" s="23"/>
      <c r="C45" s="85"/>
    </row>
    <row r="46" spans="1:29" ht="16.5" x14ac:dyDescent="0.35">
      <c r="A46" s="23"/>
      <c r="C46" s="85"/>
    </row>
    <row r="47" spans="1:29" ht="16.5" x14ac:dyDescent="0.35">
      <c r="C47" s="85"/>
    </row>
    <row r="48" spans="1:29" ht="18.75" x14ac:dyDescent="0.25">
      <c r="C48" s="36" t="s">
        <v>8105</v>
      </c>
    </row>
  </sheetData>
  <mergeCells count="18">
    <mergeCell ref="A5:B5"/>
    <mergeCell ref="C5:Z5"/>
    <mergeCell ref="C1:F1"/>
    <mergeCell ref="A3:B3"/>
    <mergeCell ref="C3:Z3"/>
    <mergeCell ref="A4:B4"/>
    <mergeCell ref="C4:Z4"/>
    <mergeCell ref="C30:N30"/>
    <mergeCell ref="I31:I32"/>
    <mergeCell ref="A6:B6"/>
    <mergeCell ref="C6:Z6"/>
    <mergeCell ref="C11:C12"/>
    <mergeCell ref="D11:D12"/>
    <mergeCell ref="F11:G11"/>
    <mergeCell ref="I11:J11"/>
    <mergeCell ref="L11:Q11"/>
    <mergeCell ref="S11:U11"/>
    <mergeCell ref="W11:AC11"/>
  </mergeCells>
  <hyperlinks>
    <hyperlink ref="A1" location="'ODS 1.'!A1" display="REGRESAR" xr:uid="{9CAEA496-3C58-491E-92F8-188ACC44A1FC}"/>
    <hyperlink ref="C1" location="'Metadato 1.2.1'!A1" display="VER METADATO " xr:uid="{54AEE3C9-DF2A-40CC-908A-01E1613DF05F}"/>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2BD6-0D15-4CFD-993B-74A6B8747E84}">
  <dimension ref="A1:R26"/>
  <sheetViews>
    <sheetView showGridLines="0" workbookViewId="0">
      <pane ySplit="1" topLeftCell="A2" activePane="bottomLeft" state="frozen"/>
      <selection activeCell="B1" sqref="B1"/>
      <selection pane="bottomLeft"/>
    </sheetView>
  </sheetViews>
  <sheetFormatPr baseColWidth="10" defaultColWidth="11.42578125" defaultRowHeight="12.75" x14ac:dyDescent="0.25"/>
  <cols>
    <col min="1" max="2" width="15.28515625" style="22" customWidth="1"/>
    <col min="3" max="3" width="10" style="22" customWidth="1"/>
    <col min="4" max="4" width="11.5703125" style="22" bestFit="1" customWidth="1"/>
    <col min="5" max="5" width="15" style="22" customWidth="1"/>
    <col min="6" max="6" width="14.7109375" style="22" customWidth="1"/>
    <col min="7" max="10" width="11.42578125" style="22"/>
    <col min="11" max="11" width="15.5703125" style="22" customWidth="1"/>
    <col min="12" max="14" width="11.42578125" style="22"/>
    <col min="15" max="15" width="12" style="22" customWidth="1"/>
    <col min="16" max="16" width="15.7109375" style="22" customWidth="1"/>
    <col min="17" max="16384" width="11.42578125" style="22"/>
  </cols>
  <sheetData>
    <row r="1" spans="1:18" ht="19.5" x14ac:dyDescent="0.4">
      <c r="A1" s="68" t="s">
        <v>39</v>
      </c>
      <c r="B1" s="16"/>
      <c r="C1" s="2421" t="s">
        <v>149</v>
      </c>
      <c r="D1" s="2421"/>
      <c r="E1" s="16"/>
      <c r="F1" s="16"/>
      <c r="G1" s="16"/>
      <c r="H1" s="16"/>
      <c r="I1" s="16"/>
      <c r="J1" s="16"/>
      <c r="K1" s="16"/>
      <c r="L1" s="16"/>
      <c r="M1" s="16"/>
      <c r="N1" s="16"/>
      <c r="O1" s="16"/>
      <c r="P1" s="16"/>
      <c r="Q1" s="16"/>
    </row>
    <row r="2" spans="1:18" ht="19.5" x14ac:dyDescent="0.4">
      <c r="A2" s="16"/>
      <c r="B2" s="16"/>
      <c r="C2" s="16"/>
      <c r="D2" s="16"/>
      <c r="E2" s="16"/>
      <c r="F2" s="16"/>
      <c r="G2" s="16"/>
      <c r="H2" s="16"/>
      <c r="I2" s="16"/>
      <c r="J2" s="16"/>
      <c r="K2" s="16"/>
      <c r="L2" s="16"/>
      <c r="M2" s="16"/>
      <c r="N2" s="16"/>
      <c r="O2" s="16"/>
      <c r="P2" s="16"/>
      <c r="Q2" s="16"/>
    </row>
    <row r="3" spans="1:18" ht="19.5" x14ac:dyDescent="0.25">
      <c r="A3" s="2508" t="s">
        <v>41</v>
      </c>
      <c r="B3" s="2508"/>
      <c r="C3" s="2508" t="s">
        <v>396</v>
      </c>
      <c r="D3" s="2508"/>
      <c r="E3" s="2508"/>
      <c r="F3" s="2508"/>
      <c r="G3" s="2508"/>
      <c r="H3" s="2508"/>
      <c r="I3" s="2508"/>
      <c r="J3" s="2508"/>
      <c r="K3" s="2508"/>
      <c r="L3" s="2508"/>
      <c r="M3" s="2508"/>
      <c r="N3" s="2508"/>
      <c r="O3" s="2508"/>
      <c r="P3" s="2508"/>
      <c r="Q3" s="2508"/>
      <c r="R3" s="365"/>
    </row>
    <row r="4" spans="1:18" ht="19.5" x14ac:dyDescent="0.25">
      <c r="A4" s="2508" t="s">
        <v>42</v>
      </c>
      <c r="B4" s="2508"/>
      <c r="C4" s="2509" t="s">
        <v>422</v>
      </c>
      <c r="D4" s="2509"/>
      <c r="E4" s="2509"/>
      <c r="F4" s="2509"/>
      <c r="G4" s="2509"/>
      <c r="H4" s="2509"/>
      <c r="I4" s="2509"/>
      <c r="J4" s="2509"/>
      <c r="K4" s="2509"/>
      <c r="L4" s="2509"/>
      <c r="M4" s="2509"/>
      <c r="N4" s="2509"/>
      <c r="O4" s="2509"/>
      <c r="P4" s="2509"/>
      <c r="Q4" s="2509"/>
      <c r="R4" s="366"/>
    </row>
    <row r="5" spans="1:18" ht="19.5" x14ac:dyDescent="0.25">
      <c r="A5" s="2508" t="s">
        <v>43</v>
      </c>
      <c r="B5" s="2508"/>
      <c r="C5" s="2508" t="s">
        <v>424</v>
      </c>
      <c r="D5" s="2508"/>
      <c r="E5" s="2508"/>
      <c r="F5" s="2508"/>
      <c r="G5" s="2508"/>
      <c r="H5" s="2508"/>
      <c r="I5" s="2508"/>
      <c r="J5" s="2508"/>
      <c r="K5" s="2508"/>
      <c r="L5" s="2508"/>
      <c r="M5" s="2508"/>
      <c r="N5" s="2508"/>
      <c r="O5" s="2508"/>
      <c r="P5" s="2508"/>
      <c r="Q5" s="2508"/>
      <c r="R5" s="366"/>
    </row>
    <row r="6" spans="1:18" ht="19.5" x14ac:dyDescent="0.25">
      <c r="A6" s="2508" t="s">
        <v>132</v>
      </c>
      <c r="B6" s="2508"/>
      <c r="C6" s="2508" t="s">
        <v>628</v>
      </c>
      <c r="D6" s="2508"/>
      <c r="E6" s="2508"/>
      <c r="F6" s="2508"/>
      <c r="G6" s="2508"/>
      <c r="H6" s="2508"/>
      <c r="I6" s="2508"/>
      <c r="J6" s="2508"/>
      <c r="K6" s="2508"/>
      <c r="L6" s="2508"/>
      <c r="M6" s="2508"/>
      <c r="N6" s="2508"/>
      <c r="O6" s="2508"/>
      <c r="P6" s="2508"/>
      <c r="Q6" s="2508"/>
    </row>
    <row r="7" spans="1:18" ht="19.5" x14ac:dyDescent="0.4">
      <c r="A7" s="162"/>
      <c r="B7" s="162"/>
      <c r="C7" s="16"/>
      <c r="D7" s="16"/>
      <c r="E7" s="16"/>
      <c r="F7" s="16"/>
      <c r="G7" s="16"/>
      <c r="H7" s="16"/>
      <c r="I7" s="16"/>
      <c r="J7" s="16"/>
      <c r="K7" s="16"/>
      <c r="L7" s="16"/>
      <c r="M7" s="16"/>
      <c r="N7" s="16"/>
      <c r="O7" s="16"/>
      <c r="P7" s="16"/>
      <c r="Q7" s="16"/>
    </row>
    <row r="8" spans="1:18" ht="19.5" x14ac:dyDescent="0.4">
      <c r="A8" s="217"/>
      <c r="B8" s="16"/>
      <c r="C8" s="16"/>
      <c r="D8" s="16"/>
      <c r="E8" s="16"/>
      <c r="F8" s="16"/>
      <c r="G8" s="16"/>
      <c r="H8" s="16"/>
      <c r="I8" s="16"/>
      <c r="J8" s="16"/>
      <c r="K8" s="16"/>
      <c r="L8" s="16"/>
      <c r="M8" s="16"/>
      <c r="N8" s="16"/>
      <c r="O8" s="16"/>
      <c r="P8" s="16"/>
      <c r="Q8" s="16"/>
    </row>
    <row r="9" spans="1:18" ht="19.5" x14ac:dyDescent="0.4">
      <c r="A9" s="217"/>
      <c r="B9" s="16"/>
      <c r="C9" s="163" t="s">
        <v>629</v>
      </c>
      <c r="D9" s="163"/>
      <c r="E9" s="163"/>
      <c r="F9" s="163"/>
      <c r="G9" s="16"/>
      <c r="H9" s="16"/>
      <c r="I9" s="367" t="s">
        <v>630</v>
      </c>
      <c r="J9" s="16"/>
      <c r="K9" s="16"/>
      <c r="L9" s="16"/>
      <c r="M9" s="16"/>
      <c r="N9" s="16"/>
      <c r="O9" s="16"/>
      <c r="P9" s="16"/>
      <c r="Q9" s="16"/>
    </row>
    <row r="10" spans="1:18" ht="19.5" x14ac:dyDescent="0.4">
      <c r="A10" s="217"/>
      <c r="B10" s="16"/>
      <c r="C10" s="138" t="s">
        <v>631</v>
      </c>
      <c r="D10" s="163"/>
      <c r="E10" s="163"/>
      <c r="F10" s="163"/>
      <c r="G10" s="16"/>
      <c r="H10" s="16"/>
      <c r="I10" s="367"/>
      <c r="J10" s="16"/>
      <c r="K10" s="16"/>
      <c r="L10" s="16"/>
      <c r="M10" s="16"/>
      <c r="N10" s="16"/>
      <c r="O10" s="16"/>
      <c r="P10" s="16"/>
      <c r="Q10" s="16"/>
    </row>
    <row r="11" spans="1:18" ht="16.5" x14ac:dyDescent="0.25">
      <c r="A11" s="23"/>
      <c r="C11" s="139"/>
      <c r="D11" s="139"/>
      <c r="E11" s="139"/>
      <c r="F11" s="139"/>
      <c r="I11" s="368"/>
    </row>
    <row r="12" spans="1:18" ht="18.75" x14ac:dyDescent="0.25">
      <c r="A12" s="23"/>
      <c r="C12" s="2517" t="s">
        <v>46</v>
      </c>
      <c r="D12" s="2539" t="s">
        <v>632</v>
      </c>
      <c r="E12" s="2539"/>
      <c r="F12" s="2539"/>
    </row>
    <row r="13" spans="1:18" ht="112.5" x14ac:dyDescent="0.25">
      <c r="A13" s="23"/>
      <c r="C13" s="2518"/>
      <c r="D13" s="338" t="s">
        <v>633</v>
      </c>
      <c r="E13" s="338" t="s">
        <v>634</v>
      </c>
      <c r="F13" s="338" t="s">
        <v>635</v>
      </c>
    </row>
    <row r="14" spans="1:18" ht="18.75" x14ac:dyDescent="0.4">
      <c r="A14" s="23"/>
      <c r="C14" s="369">
        <v>2012</v>
      </c>
      <c r="D14" s="370">
        <v>131020.1</v>
      </c>
      <c r="E14" s="370">
        <v>12124382.063237</v>
      </c>
      <c r="F14" s="254">
        <f t="shared" ref="F14:F25" si="0">+D14/E14*100</f>
        <v>1.080633217566388</v>
      </c>
    </row>
    <row r="15" spans="1:18" ht="18.75" x14ac:dyDescent="0.4">
      <c r="C15" s="369">
        <v>2013</v>
      </c>
      <c r="D15" s="370">
        <v>165491.1</v>
      </c>
      <c r="E15" s="370">
        <v>13199565</v>
      </c>
      <c r="F15" s="254">
        <f t="shared" si="0"/>
        <v>1.2537617716947491</v>
      </c>
    </row>
    <row r="16" spans="1:18" ht="18.75" x14ac:dyDescent="0.4">
      <c r="C16" s="369">
        <v>2014</v>
      </c>
      <c r="D16" s="370">
        <v>148087.5</v>
      </c>
      <c r="E16" s="370">
        <v>14032462.699999999</v>
      </c>
      <c r="F16" s="254">
        <f t="shared" si="0"/>
        <v>1.0553208169226063</v>
      </c>
    </row>
    <row r="17" spans="3:9" ht="18.75" x14ac:dyDescent="0.4">
      <c r="C17" s="369">
        <v>2015</v>
      </c>
      <c r="D17" s="370">
        <v>162550.12464980801</v>
      </c>
      <c r="E17" s="370">
        <v>14215776.308104375</v>
      </c>
      <c r="F17" s="254">
        <f t="shared" si="0"/>
        <v>1.1434488073446867</v>
      </c>
    </row>
    <row r="18" spans="3:9" ht="18.75" x14ac:dyDescent="0.4">
      <c r="C18" s="369">
        <v>2016</v>
      </c>
      <c r="D18" s="370">
        <v>161550.79999999999</v>
      </c>
      <c r="E18" s="370">
        <v>14985210.661854396</v>
      </c>
      <c r="F18" s="254">
        <f t="shared" si="0"/>
        <v>1.0780682610704675</v>
      </c>
    </row>
    <row r="19" spans="3:9" ht="18.75" x14ac:dyDescent="0.4">
      <c r="C19" s="369">
        <v>2017</v>
      </c>
      <c r="D19" s="370">
        <v>171277.51104317899</v>
      </c>
      <c r="E19" s="370">
        <v>16082940.456155347</v>
      </c>
      <c r="F19" s="254">
        <f t="shared" si="0"/>
        <v>1.0649639070051196</v>
      </c>
    </row>
    <row r="20" spans="3:9" ht="18.75" x14ac:dyDescent="0.4">
      <c r="C20" s="369">
        <v>2018</v>
      </c>
      <c r="D20" s="370">
        <v>187667.90722915999</v>
      </c>
      <c r="E20" s="370">
        <v>17155223.272453427</v>
      </c>
      <c r="F20" s="254">
        <f>+D20/E20*100</f>
        <v>1.0939403367049327</v>
      </c>
    </row>
    <row r="21" spans="3:9" ht="18.75" x14ac:dyDescent="0.4">
      <c r="C21" s="369">
        <v>2019</v>
      </c>
      <c r="D21" s="370">
        <v>206364.16258444</v>
      </c>
      <c r="E21" s="370">
        <v>18264805.180336058</v>
      </c>
      <c r="F21" s="254">
        <f>+D21/E21*100</f>
        <v>1.1298459553601603</v>
      </c>
    </row>
    <row r="22" spans="3:9" ht="18.75" x14ac:dyDescent="0.4">
      <c r="C22" s="369">
        <v>2020</v>
      </c>
      <c r="D22" s="370">
        <v>223619.29525196899</v>
      </c>
      <c r="E22" s="370">
        <v>17515555.286259905</v>
      </c>
      <c r="F22" s="254">
        <f t="shared" si="0"/>
        <v>1.2766897286287426</v>
      </c>
      <c r="I22" s="5" t="s">
        <v>636</v>
      </c>
    </row>
    <row r="23" spans="3:9" ht="18.75" x14ac:dyDescent="0.4">
      <c r="C23" s="369">
        <v>2021</v>
      </c>
      <c r="D23" s="370">
        <v>210923.62468001631</v>
      </c>
      <c r="E23" s="370">
        <v>18371476.627158381</v>
      </c>
      <c r="F23" s="254">
        <f t="shared" si="0"/>
        <v>1.1481038185477692</v>
      </c>
      <c r="I23" s="5"/>
    </row>
    <row r="24" spans="3:9" ht="18.75" x14ac:dyDescent="0.4">
      <c r="C24" s="369">
        <v>2022</v>
      </c>
      <c r="D24" s="370">
        <v>183918.45204392599</v>
      </c>
      <c r="E24" s="370">
        <v>19631032.695267316</v>
      </c>
      <c r="F24" s="254">
        <f t="shared" si="0"/>
        <v>0.93687609255658444</v>
      </c>
      <c r="I24" s="5"/>
    </row>
    <row r="25" spans="3:9" ht="18.75" x14ac:dyDescent="0.4">
      <c r="C25" s="371">
        <v>2023</v>
      </c>
      <c r="D25" s="372">
        <v>209792.81913889429</v>
      </c>
      <c r="E25" s="372">
        <v>20311596.870439511</v>
      </c>
      <c r="F25" s="260">
        <f t="shared" si="0"/>
        <v>1.0328721098448754</v>
      </c>
    </row>
    <row r="26" spans="3:9" ht="18.75" x14ac:dyDescent="0.25">
      <c r="C26" s="36" t="s">
        <v>636</v>
      </c>
      <c r="D26" s="36"/>
      <c r="E26" s="36"/>
      <c r="F26" s="36"/>
    </row>
  </sheetData>
  <mergeCells count="11">
    <mergeCell ref="A6:B6"/>
    <mergeCell ref="C6:Q6"/>
    <mergeCell ref="C12:C13"/>
    <mergeCell ref="D12:F12"/>
    <mergeCell ref="C1:D1"/>
    <mergeCell ref="A3:B3"/>
    <mergeCell ref="C3:Q3"/>
    <mergeCell ref="A4:B4"/>
    <mergeCell ref="C4:Q4"/>
    <mergeCell ref="A5:B5"/>
    <mergeCell ref="C5:Q5"/>
  </mergeCells>
  <hyperlinks>
    <hyperlink ref="A1" location="'ODS 2.'!A1" display="REGRESAR" xr:uid="{D85B79E7-0E04-42BD-902C-078F0E7B831B}"/>
    <hyperlink ref="C1" location="'Metadato 2.a.1'!A1" display="VER METADATO" xr:uid="{994C9602-0F25-4A5D-B65F-121B41439AFC}"/>
  </hyperlinks>
  <pageMargins left="0.7" right="0.7" top="0.75" bottom="0.75" header="0.3" footer="0.3"/>
  <pageSetup orientation="portrait" r:id="rId1"/>
  <drawing r:id="rId2"/>
  <legacyDrawing r:id="rId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260C-66DA-4F96-811D-900C71E9A852}">
  <dimension ref="A1:Q32"/>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5.28515625" style="1048" customWidth="1"/>
    <col min="3" max="3" width="8.7109375" style="115" bestFit="1" customWidth="1"/>
    <col min="4" max="16384" width="11.42578125" style="115"/>
  </cols>
  <sheetData>
    <row r="1" spans="1:17" x14ac:dyDescent="0.4">
      <c r="A1" s="90" t="s">
        <v>39</v>
      </c>
      <c r="C1" s="2541" t="s">
        <v>149</v>
      </c>
      <c r="D1" s="2541"/>
    </row>
    <row r="3" spans="1:17" ht="21" customHeight="1" x14ac:dyDescent="0.4">
      <c r="A3" s="3547" t="s">
        <v>41</v>
      </c>
      <c r="B3" s="3547"/>
      <c r="C3" s="3547" t="s">
        <v>7696</v>
      </c>
      <c r="D3" s="3548"/>
      <c r="E3" s="3548"/>
      <c r="F3" s="3548"/>
      <c r="G3" s="3548"/>
      <c r="H3" s="3548"/>
      <c r="I3" s="3548"/>
      <c r="J3" s="3548"/>
      <c r="K3" s="3548"/>
      <c r="L3" s="3548"/>
      <c r="M3" s="3548"/>
      <c r="N3" s="3548"/>
      <c r="O3" s="3548"/>
      <c r="P3" s="3548"/>
      <c r="Q3" s="3548"/>
    </row>
    <row r="4" spans="1:17" ht="21" customHeight="1" x14ac:dyDescent="0.4">
      <c r="A4" s="3547" t="s">
        <v>42</v>
      </c>
      <c r="B4" s="3548"/>
      <c r="C4" s="3547" t="s">
        <v>7789</v>
      </c>
      <c r="D4" s="3548"/>
      <c r="E4" s="3548"/>
      <c r="F4" s="3548"/>
      <c r="G4" s="3548"/>
      <c r="H4" s="3548"/>
      <c r="I4" s="3548"/>
      <c r="J4" s="3548"/>
      <c r="K4" s="3548"/>
      <c r="L4" s="3548"/>
      <c r="M4" s="3548"/>
      <c r="N4" s="3548"/>
      <c r="O4" s="3548"/>
      <c r="P4" s="3548"/>
      <c r="Q4" s="3548"/>
    </row>
    <row r="5" spans="1:17" ht="19.5" x14ac:dyDescent="0.4">
      <c r="A5" s="3547" t="s">
        <v>43</v>
      </c>
      <c r="B5" s="3548"/>
      <c r="C5" s="3547" t="s">
        <v>7701</v>
      </c>
      <c r="D5" s="3548"/>
      <c r="E5" s="3548"/>
      <c r="F5" s="3548"/>
      <c r="G5" s="3548"/>
      <c r="H5" s="3548"/>
      <c r="I5" s="3548"/>
      <c r="J5" s="3548"/>
      <c r="K5" s="3548"/>
      <c r="L5" s="3548"/>
      <c r="M5" s="3548"/>
      <c r="N5" s="3548"/>
      <c r="O5" s="3548"/>
      <c r="P5" s="3548"/>
      <c r="Q5" s="3548"/>
    </row>
    <row r="6" spans="1:17" ht="19.5" x14ac:dyDescent="0.4">
      <c r="A6" s="3547" t="s">
        <v>132</v>
      </c>
      <c r="B6" s="3548"/>
      <c r="C6" s="3547" t="s">
        <v>7790</v>
      </c>
      <c r="D6" s="3548"/>
      <c r="E6" s="3548"/>
      <c r="F6" s="3548"/>
      <c r="G6" s="3548"/>
      <c r="H6" s="3548"/>
      <c r="I6" s="3548"/>
      <c r="J6" s="3548"/>
      <c r="K6" s="3548"/>
      <c r="L6" s="3548"/>
      <c r="M6" s="3548"/>
      <c r="N6" s="3548"/>
      <c r="O6" s="3548"/>
      <c r="P6" s="3548"/>
      <c r="Q6" s="3548"/>
    </row>
    <row r="9" spans="1:17" ht="19.5" x14ac:dyDescent="0.4">
      <c r="C9" s="163" t="s">
        <v>7791</v>
      </c>
      <c r="D9" s="163"/>
      <c r="H9" s="2193" t="s">
        <v>7792</v>
      </c>
      <c r="I9" s="1032"/>
      <c r="J9" s="1032"/>
      <c r="K9" s="1032"/>
      <c r="L9" s="1032"/>
      <c r="M9" s="1032"/>
    </row>
    <row r="10" spans="1:17" ht="19.5" x14ac:dyDescent="0.4">
      <c r="C10" s="532" t="s">
        <v>7793</v>
      </c>
      <c r="D10" s="533"/>
      <c r="H10" s="2193"/>
      <c r="I10" s="1032"/>
      <c r="J10" s="1032"/>
      <c r="K10" s="1032"/>
      <c r="L10" s="1032"/>
      <c r="M10" s="1032"/>
    </row>
    <row r="11" spans="1:17" ht="19.5" x14ac:dyDescent="0.4">
      <c r="C11" s="532" t="s">
        <v>7794</v>
      </c>
      <c r="D11" s="533"/>
      <c r="H11" s="2193"/>
      <c r="I11" s="1032"/>
      <c r="J11" s="1032"/>
      <c r="K11" s="1032"/>
      <c r="L11" s="1032"/>
      <c r="M11" s="1032"/>
    </row>
    <row r="12" spans="1:17" ht="7.15" customHeight="1" x14ac:dyDescent="0.4">
      <c r="C12" s="533"/>
      <c r="D12" s="533"/>
      <c r="H12" s="2194"/>
    </row>
    <row r="13" spans="1:17" x14ac:dyDescent="0.4">
      <c r="C13" s="2200" t="s">
        <v>1674</v>
      </c>
      <c r="D13" s="2201" t="s">
        <v>98</v>
      </c>
      <c r="H13" s="339"/>
    </row>
    <row r="14" spans="1:17" x14ac:dyDescent="0.4">
      <c r="C14" s="198">
        <v>2006</v>
      </c>
      <c r="D14" s="2202">
        <v>89.67</v>
      </c>
      <c r="H14" s="2203"/>
    </row>
    <row r="15" spans="1:17" x14ac:dyDescent="0.4">
      <c r="C15" s="198">
        <v>2007</v>
      </c>
      <c r="D15" s="2202">
        <v>100.09</v>
      </c>
      <c r="H15" s="2203"/>
    </row>
    <row r="16" spans="1:17" x14ac:dyDescent="0.4">
      <c r="C16" s="198">
        <v>2008</v>
      </c>
      <c r="D16" s="2202">
        <v>97.89</v>
      </c>
      <c r="H16" s="2203"/>
    </row>
    <row r="17" spans="3:8" x14ac:dyDescent="0.4">
      <c r="C17" s="198">
        <v>2009</v>
      </c>
      <c r="D17" s="2202">
        <v>77.05</v>
      </c>
      <c r="H17" s="2203"/>
    </row>
    <row r="18" spans="3:8" x14ac:dyDescent="0.4">
      <c r="C18" s="198">
        <v>2010</v>
      </c>
      <c r="D18" s="2202">
        <v>66.900000000000006</v>
      </c>
      <c r="H18" s="2203"/>
    </row>
    <row r="19" spans="3:8" x14ac:dyDescent="0.4">
      <c r="C19" s="198">
        <v>2011</v>
      </c>
      <c r="D19" s="2202">
        <v>71.56</v>
      </c>
      <c r="H19" s="2203"/>
    </row>
    <row r="20" spans="3:8" x14ac:dyDescent="0.4">
      <c r="C20" s="198">
        <v>2012</v>
      </c>
      <c r="D20" s="2202">
        <v>70.349999999999994</v>
      </c>
      <c r="H20" s="2203"/>
    </row>
    <row r="21" spans="3:8" x14ac:dyDescent="0.4">
      <c r="C21" s="198">
        <v>2013</v>
      </c>
      <c r="D21" s="2202">
        <v>67.569999999999993</v>
      </c>
      <c r="H21" s="2203"/>
    </row>
    <row r="22" spans="3:8" x14ac:dyDescent="0.4">
      <c r="C22" s="198">
        <v>2014</v>
      </c>
      <c r="D22" s="2202">
        <v>66.12</v>
      </c>
      <c r="H22" s="2203"/>
    </row>
    <row r="23" spans="3:8" x14ac:dyDescent="0.4">
      <c r="C23" s="541">
        <v>2015</v>
      </c>
      <c r="D23" s="2202">
        <v>66.05</v>
      </c>
      <c r="H23" s="1487" t="s">
        <v>7795</v>
      </c>
    </row>
    <row r="24" spans="3:8" x14ac:dyDescent="0.4">
      <c r="C24" s="541">
        <v>2016</v>
      </c>
      <c r="D24" s="2202">
        <v>67.209999999999994</v>
      </c>
      <c r="H24" s="2203"/>
    </row>
    <row r="25" spans="3:8" x14ac:dyDescent="0.4">
      <c r="C25" s="541">
        <v>2017</v>
      </c>
      <c r="D25" s="2202">
        <v>64.91</v>
      </c>
    </row>
    <row r="26" spans="3:8" ht="12.75" customHeight="1" x14ac:dyDescent="0.4">
      <c r="C26" s="541">
        <v>2018</v>
      </c>
      <c r="D26" s="2202">
        <v>65.289815723682892</v>
      </c>
    </row>
    <row r="27" spans="3:8" x14ac:dyDescent="0.4">
      <c r="C27" s="541">
        <v>2019</v>
      </c>
      <c r="D27" s="2202">
        <v>62.05</v>
      </c>
    </row>
    <row r="28" spans="3:8" x14ac:dyDescent="0.4">
      <c r="C28" s="541">
        <v>2020</v>
      </c>
      <c r="D28" s="2202">
        <v>56.51</v>
      </c>
    </row>
    <row r="29" spans="3:8" x14ac:dyDescent="0.4">
      <c r="C29" s="541">
        <v>2021</v>
      </c>
      <c r="D29" s="2202">
        <v>66.747682008011708</v>
      </c>
    </row>
    <row r="30" spans="3:8" x14ac:dyDescent="0.4">
      <c r="C30" s="541">
        <v>2022</v>
      </c>
      <c r="D30" s="2202">
        <v>74.627315414967228</v>
      </c>
    </row>
    <row r="31" spans="3:8" x14ac:dyDescent="0.4">
      <c r="C31" s="541">
        <v>2023</v>
      </c>
      <c r="D31" s="2202">
        <v>73.708202674877725</v>
      </c>
    </row>
    <row r="32" spans="3:8" x14ac:dyDescent="0.4">
      <c r="C32" s="1534" t="s">
        <v>7796</v>
      </c>
      <c r="D32" s="1534"/>
    </row>
  </sheetData>
  <mergeCells count="9">
    <mergeCell ref="A6:B6"/>
    <mergeCell ref="C6:Q6"/>
    <mergeCell ref="C1:D1"/>
    <mergeCell ref="A3:B3"/>
    <mergeCell ref="C3:Q3"/>
    <mergeCell ref="A4:B4"/>
    <mergeCell ref="C4:Q4"/>
    <mergeCell ref="A5:B5"/>
    <mergeCell ref="C5:Q5"/>
  </mergeCells>
  <hyperlinks>
    <hyperlink ref="A1" location="'ODS 17.'!A1" display="REGRESAR" xr:uid="{20109969-EAEC-49B8-888A-450A4C5C5E45}"/>
    <hyperlink ref="C1:D1" location="'Metadato 17.1.2'!A1" display="VER METADATO" xr:uid="{284AB33E-2E74-4F6C-9B1C-89CE9915492B}"/>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E85C-87E7-4DF1-8FB4-E5ABB5842E3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8.7109375" style="243" bestFit="1"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55" t="s">
        <v>75</v>
      </c>
      <c r="C3" s="3555"/>
      <c r="D3" s="3555"/>
      <c r="F3" s="1046" t="s">
        <v>265</v>
      </c>
    </row>
    <row r="4" spans="2:6" ht="37.5" x14ac:dyDescent="0.25">
      <c r="B4" s="2425" t="s">
        <v>234</v>
      </c>
      <c r="C4" s="2425"/>
      <c r="D4" s="49" t="s">
        <v>7797</v>
      </c>
    </row>
    <row r="5" spans="2:6" ht="48" customHeight="1" x14ac:dyDescent="0.25">
      <c r="B5" s="2425" t="s">
        <v>79</v>
      </c>
      <c r="C5" s="2425"/>
      <c r="D5" s="49" t="s">
        <v>7697</v>
      </c>
    </row>
    <row r="6" spans="2:6" x14ac:dyDescent="0.25">
      <c r="B6" s="2425" t="s">
        <v>80</v>
      </c>
      <c r="C6" s="2425"/>
      <c r="D6" s="50" t="s">
        <v>7700</v>
      </c>
    </row>
    <row r="7" spans="2:6" ht="15" customHeight="1" x14ac:dyDescent="0.25">
      <c r="B7" s="2426" t="s">
        <v>81</v>
      </c>
      <c r="C7" s="2426"/>
      <c r="D7" s="93" t="s">
        <v>7701</v>
      </c>
    </row>
    <row r="8" spans="2:6" ht="15" customHeight="1" x14ac:dyDescent="0.25">
      <c r="B8" s="2426" t="s">
        <v>82</v>
      </c>
      <c r="C8" s="2426"/>
      <c r="D8" s="1047" t="s">
        <v>7798</v>
      </c>
    </row>
    <row r="9" spans="2:6" x14ac:dyDescent="0.4">
      <c r="B9" s="115"/>
      <c r="C9" s="115"/>
      <c r="D9" s="115"/>
    </row>
    <row r="10" spans="2:6" ht="19.5" x14ac:dyDescent="0.25">
      <c r="B10" s="3555" t="s">
        <v>85</v>
      </c>
      <c r="C10" s="3555"/>
      <c r="D10" s="3555"/>
    </row>
    <row r="11" spans="2:6" x14ac:dyDescent="0.25">
      <c r="B11" s="2427" t="s">
        <v>86</v>
      </c>
      <c r="C11" s="2428"/>
      <c r="D11" s="49" t="s">
        <v>1754</v>
      </c>
    </row>
    <row r="12" spans="2:6" ht="15" customHeight="1" x14ac:dyDescent="0.25">
      <c r="B12" s="2426" t="s">
        <v>88</v>
      </c>
      <c r="C12" s="2426"/>
      <c r="D12" s="184" t="s">
        <v>7799</v>
      </c>
    </row>
    <row r="13" spans="2:6" x14ac:dyDescent="0.25">
      <c r="B13" s="2425" t="s">
        <v>90</v>
      </c>
      <c r="C13" s="2425"/>
      <c r="D13" s="55" t="s">
        <v>7700</v>
      </c>
    </row>
    <row r="14" spans="2:6" x14ac:dyDescent="0.25">
      <c r="B14" s="2425" t="s">
        <v>91</v>
      </c>
      <c r="C14" s="2428"/>
      <c r="D14" s="54" t="s">
        <v>92</v>
      </c>
    </row>
    <row r="15" spans="2:6" ht="75" x14ac:dyDescent="0.25">
      <c r="B15" s="2425" t="s">
        <v>93</v>
      </c>
      <c r="C15" s="2425"/>
      <c r="D15" s="55" t="s">
        <v>7800</v>
      </c>
    </row>
    <row r="16" spans="2:6" ht="38.25" customHeight="1" x14ac:dyDescent="0.25">
      <c r="B16" s="2425" t="s">
        <v>95</v>
      </c>
      <c r="C16" s="2425"/>
      <c r="D16" s="55"/>
    </row>
    <row r="17" spans="2:4" ht="15.75" customHeight="1" x14ac:dyDescent="0.25">
      <c r="B17" s="2425" t="s">
        <v>97</v>
      </c>
      <c r="C17" s="2425"/>
      <c r="D17" s="55" t="s">
        <v>98</v>
      </c>
    </row>
    <row r="18" spans="2:4" ht="17.25" customHeight="1" x14ac:dyDescent="0.25">
      <c r="B18" s="2426" t="s">
        <v>99</v>
      </c>
      <c r="C18" s="2426"/>
      <c r="D18" s="49"/>
    </row>
    <row r="19" spans="2:4" ht="32.25" customHeight="1" x14ac:dyDescent="0.25">
      <c r="B19" s="2435" t="s">
        <v>100</v>
      </c>
      <c r="C19" s="2436"/>
      <c r="D19" s="55" t="s">
        <v>7801</v>
      </c>
    </row>
    <row r="20" spans="2:4" x14ac:dyDescent="0.25">
      <c r="B20" s="2425" t="s">
        <v>102</v>
      </c>
      <c r="C20" s="2425"/>
      <c r="D20" s="55" t="s">
        <v>140</v>
      </c>
    </row>
    <row r="21" spans="2:4" x14ac:dyDescent="0.25">
      <c r="B21" s="2432" t="s">
        <v>104</v>
      </c>
      <c r="C21" s="57" t="s">
        <v>105</v>
      </c>
      <c r="D21" s="55" t="s">
        <v>465</v>
      </c>
    </row>
    <row r="22" spans="2:4" x14ac:dyDescent="0.25">
      <c r="B22" s="2433"/>
      <c r="C22" s="58" t="s">
        <v>107</v>
      </c>
      <c r="D22" s="55"/>
    </row>
    <row r="23" spans="2:4" ht="18.75" customHeight="1" x14ac:dyDescent="0.25">
      <c r="B23" s="2425" t="s">
        <v>109</v>
      </c>
      <c r="C23" s="2425"/>
      <c r="D23" s="55" t="s">
        <v>143</v>
      </c>
    </row>
    <row r="24" spans="2:4" x14ac:dyDescent="0.25">
      <c r="B24" s="2425" t="s">
        <v>111</v>
      </c>
      <c r="C24" s="2425"/>
      <c r="D24" s="50" t="s">
        <v>647</v>
      </c>
    </row>
    <row r="25" spans="2:4" x14ac:dyDescent="0.25">
      <c r="B25" s="2425" t="s">
        <v>113</v>
      </c>
      <c r="C25" s="2425"/>
      <c r="D25" s="55" t="s">
        <v>220</v>
      </c>
    </row>
    <row r="26" spans="2:4" ht="15" customHeight="1" x14ac:dyDescent="0.25">
      <c r="B26" s="2426" t="s">
        <v>115</v>
      </c>
      <c r="C26" s="2426"/>
      <c r="D26" s="50" t="s">
        <v>7802</v>
      </c>
    </row>
    <row r="27" spans="2:4" x14ac:dyDescent="0.25">
      <c r="B27" s="2427" t="s">
        <v>117</v>
      </c>
      <c r="C27" s="2428"/>
      <c r="D27" s="49"/>
    </row>
    <row r="28" spans="2:4" ht="56.25" x14ac:dyDescent="0.25">
      <c r="B28" s="60" t="s">
        <v>118</v>
      </c>
      <c r="C28" s="61"/>
      <c r="D28" s="55" t="s">
        <v>7803</v>
      </c>
    </row>
    <row r="29" spans="2:4" x14ac:dyDescent="0.25">
      <c r="B29" s="2429" t="s">
        <v>120</v>
      </c>
      <c r="C29" s="2430"/>
      <c r="D29" s="62"/>
    </row>
    <row r="30" spans="2:4" x14ac:dyDescent="0.25">
      <c r="B30" s="63"/>
      <c r="C30" s="63"/>
      <c r="D30" s="64"/>
    </row>
    <row r="31" spans="2:4" ht="19.5" x14ac:dyDescent="0.25">
      <c r="B31" s="3555" t="s">
        <v>121</v>
      </c>
      <c r="C31" s="3555"/>
      <c r="D31" s="3555"/>
    </row>
    <row r="32" spans="2:4" x14ac:dyDescent="0.25">
      <c r="B32" s="2427" t="s">
        <v>122</v>
      </c>
      <c r="C32" s="2428"/>
      <c r="D32" s="50" t="s">
        <v>7596</v>
      </c>
    </row>
    <row r="33" spans="2:4" x14ac:dyDescent="0.25">
      <c r="B33" s="2427" t="s">
        <v>124</v>
      </c>
      <c r="C33" s="2428"/>
      <c r="D33" s="50" t="s">
        <v>7597</v>
      </c>
    </row>
    <row r="34" spans="2:4" x14ac:dyDescent="0.25">
      <c r="B34" s="2427" t="s">
        <v>126</v>
      </c>
      <c r="C34" s="2428"/>
      <c r="D34" s="50" t="s">
        <v>647</v>
      </c>
    </row>
    <row r="35" spans="2:4" x14ac:dyDescent="0.25">
      <c r="B35" s="2427" t="s">
        <v>128</v>
      </c>
      <c r="C35" s="2428"/>
      <c r="D35" s="50" t="s">
        <v>7598</v>
      </c>
    </row>
    <row r="36" spans="2:4" x14ac:dyDescent="0.25">
      <c r="B36" s="2427" t="s">
        <v>130</v>
      </c>
      <c r="C36" s="2428"/>
      <c r="D36" s="50" t="s">
        <v>7599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D80512D2-9FFE-4988-9B61-BB4CACC7E158}">
      <formula1>Tipo_operación</formula1>
    </dataValidation>
    <dataValidation type="list" allowBlank="1" showInputMessage="1" showErrorMessage="1" sqref="D14" xr:uid="{F5A81236-1352-4368-8975-2EC5483F9CE0}">
      <formula1>Tipo_indicador</formula1>
    </dataValidation>
    <dataValidation type="list" allowBlank="1" showInputMessage="1" showErrorMessage="1" sqref="D7" xr:uid="{5944E4BF-02BA-4F7A-A2DF-70374D812754}">
      <formula1>Nombre_indicador_ODS</formula1>
    </dataValidation>
    <dataValidation type="list" allowBlank="1" showInputMessage="1" showErrorMessage="1" sqref="D6" xr:uid="{21CA46F2-E479-453E-8744-2D26123FAC40}">
      <formula1>Numero_indicador</formula1>
    </dataValidation>
    <dataValidation type="list" allowBlank="1" showInputMessage="1" showErrorMessage="1" sqref="D5" xr:uid="{C6F1BAC2-E4D7-4507-AB67-F095B9174CBD}">
      <formula1>Metas_ODS</formula1>
    </dataValidation>
    <dataValidation type="list" allowBlank="1" showInputMessage="1" showErrorMessage="1" sqref="D4" xr:uid="{0DE95323-1B0E-4EB0-B4D7-2FB17D930046}">
      <formula1>ODS</formula1>
    </dataValidation>
  </dataValidations>
  <hyperlinks>
    <hyperlink ref="B1" location="'17.1.2'!A1" display="REGRESAR" xr:uid="{B952A42E-DFB2-4FE7-B675-E5C3CE0A881E}"/>
    <hyperlink ref="D8" r:id="rId1" xr:uid="{0E729FA7-6ED8-4B7C-9667-A66166532A71}"/>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D2DA-4CA6-4FDC-9272-64E54B490DC7}">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7.5703125" style="115" customWidth="1"/>
    <col min="3" max="3" width="11.7109375" style="1048" customWidth="1"/>
    <col min="4" max="5" width="11.7109375" style="115" customWidth="1"/>
    <col min="6" max="16384" width="11.42578125" style="115"/>
  </cols>
  <sheetData>
    <row r="1" spans="1:16" x14ac:dyDescent="0.4">
      <c r="A1" s="90" t="s">
        <v>39</v>
      </c>
      <c r="B1" s="1311"/>
      <c r="C1" s="2541" t="s">
        <v>149</v>
      </c>
      <c r="D1" s="2541"/>
    </row>
    <row r="3" spans="1:16" ht="19.5" x14ac:dyDescent="0.4">
      <c r="A3" s="3547" t="s">
        <v>41</v>
      </c>
      <c r="B3" s="3547"/>
      <c r="C3" s="3547" t="s">
        <v>7696</v>
      </c>
      <c r="D3" s="3548"/>
      <c r="E3" s="3548"/>
      <c r="F3" s="3548"/>
      <c r="G3" s="3548"/>
      <c r="H3" s="3548"/>
      <c r="I3" s="3548"/>
      <c r="J3" s="3548"/>
      <c r="K3" s="3548"/>
      <c r="L3" s="3548"/>
      <c r="M3" s="3548"/>
      <c r="N3" s="3548"/>
      <c r="O3" s="3548"/>
      <c r="P3" s="3548"/>
    </row>
    <row r="4" spans="1:16" ht="77.45" customHeight="1" x14ac:dyDescent="0.4">
      <c r="A4" s="3547" t="s">
        <v>42</v>
      </c>
      <c r="B4" s="3548"/>
      <c r="C4" s="3558" t="s">
        <v>7702</v>
      </c>
      <c r="D4" s="3559"/>
      <c r="E4" s="3559"/>
      <c r="F4" s="3559"/>
      <c r="G4" s="3559"/>
      <c r="H4" s="3559"/>
      <c r="I4" s="3559"/>
      <c r="J4" s="3559"/>
      <c r="K4" s="3559"/>
      <c r="L4" s="3559"/>
      <c r="M4" s="3559"/>
      <c r="N4" s="3559"/>
      <c r="O4" s="3559"/>
      <c r="P4" s="3559"/>
    </row>
    <row r="5" spans="1:16" ht="37.9" customHeight="1" x14ac:dyDescent="0.4">
      <c r="A5" s="3556" t="s">
        <v>43</v>
      </c>
      <c r="B5" s="3557"/>
      <c r="C5" s="3558" t="s">
        <v>7804</v>
      </c>
      <c r="D5" s="3559"/>
      <c r="E5" s="3559"/>
      <c r="F5" s="3559"/>
      <c r="G5" s="3559"/>
      <c r="H5" s="3559"/>
      <c r="I5" s="3559"/>
      <c r="J5" s="3559"/>
      <c r="K5" s="3559"/>
      <c r="L5" s="3559"/>
      <c r="M5" s="3559"/>
      <c r="N5" s="3559"/>
      <c r="O5" s="3559"/>
      <c r="P5" s="3559"/>
    </row>
    <row r="6" spans="1:16" ht="15" customHeight="1" x14ac:dyDescent="0.4">
      <c r="A6" s="3556" t="s">
        <v>132</v>
      </c>
      <c r="B6" s="3557"/>
      <c r="C6" s="3547" t="s">
        <v>242</v>
      </c>
      <c r="D6" s="3548"/>
      <c r="E6" s="3548"/>
      <c r="F6" s="3548"/>
      <c r="G6" s="3548"/>
      <c r="H6" s="3548"/>
      <c r="I6" s="3548"/>
      <c r="J6" s="3548"/>
      <c r="K6" s="3548"/>
      <c r="L6" s="3548"/>
      <c r="M6" s="3548"/>
      <c r="N6" s="3548"/>
      <c r="O6" s="3548"/>
      <c r="P6" s="3548"/>
    </row>
    <row r="7" spans="1:16" x14ac:dyDescent="0.4">
      <c r="A7" s="536"/>
    </row>
    <row r="8" spans="1:16" x14ac:dyDescent="0.4">
      <c r="A8" s="536"/>
    </row>
    <row r="9" spans="1:16" ht="11.25" customHeight="1" x14ac:dyDescent="0.4">
      <c r="A9" s="536"/>
      <c r="C9" s="2506" t="s">
        <v>650</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row r="11" spans="1:16" ht="19.5" x14ac:dyDescent="0.4">
      <c r="A11" s="536"/>
      <c r="C11" s="1061"/>
      <c r="D11" s="1032"/>
      <c r="E11" s="1032"/>
      <c r="F11" s="1032"/>
      <c r="G11" s="1032"/>
      <c r="H11" s="1032"/>
      <c r="I11" s="1032"/>
      <c r="J11" s="1032"/>
      <c r="K11" s="1032"/>
      <c r="L11" s="1032"/>
      <c r="M11" s="1032"/>
      <c r="N11" s="1032"/>
      <c r="O11" s="1032"/>
      <c r="P11" s="1032"/>
    </row>
    <row r="12" spans="1:16" ht="19.5" x14ac:dyDescent="0.4">
      <c r="A12" s="536"/>
      <c r="C12" s="1061"/>
      <c r="D12" s="1032"/>
      <c r="E12" s="1032"/>
      <c r="F12" s="1032"/>
      <c r="G12" s="1032"/>
      <c r="H12" s="1032"/>
      <c r="I12" s="1032"/>
      <c r="J12" s="1032"/>
      <c r="K12" s="1032"/>
      <c r="L12" s="1032"/>
      <c r="M12" s="1032"/>
      <c r="N12" s="1032"/>
      <c r="O12" s="1032"/>
      <c r="P12" s="1032"/>
    </row>
    <row r="13" spans="1:16" ht="17.45" customHeight="1" x14ac:dyDescent="0.4">
      <c r="A13" s="536"/>
      <c r="C13" s="2506" t="s">
        <v>5814</v>
      </c>
      <c r="D13" s="2506"/>
      <c r="E13" s="2506"/>
      <c r="F13" s="2506"/>
      <c r="G13" s="2506"/>
      <c r="H13" s="2506"/>
      <c r="I13" s="2506"/>
      <c r="J13" s="2506"/>
      <c r="K13" s="2506"/>
      <c r="L13" s="2506"/>
      <c r="M13" s="2506"/>
      <c r="N13" s="2506"/>
      <c r="O13" s="2506"/>
      <c r="P13" s="2506"/>
    </row>
    <row r="14" spans="1:16" x14ac:dyDescent="0.4">
      <c r="A14" s="536"/>
      <c r="C14" s="2506"/>
      <c r="D14" s="2506"/>
      <c r="E14" s="2506"/>
      <c r="F14" s="2506"/>
      <c r="G14" s="2506"/>
      <c r="H14" s="2506"/>
      <c r="I14" s="2506"/>
      <c r="J14" s="2506"/>
      <c r="K14" s="2506"/>
      <c r="L14" s="2506"/>
      <c r="M14" s="2506"/>
      <c r="N14" s="2506"/>
      <c r="O14" s="2506"/>
      <c r="P14" s="2506"/>
    </row>
    <row r="15" spans="1:16" x14ac:dyDescent="0.4">
      <c r="A15" s="536"/>
      <c r="C15" s="2506"/>
      <c r="D15" s="2506"/>
      <c r="E15" s="2506"/>
      <c r="F15" s="2506"/>
      <c r="G15" s="2506"/>
      <c r="H15" s="2506"/>
      <c r="I15" s="2506"/>
      <c r="J15" s="2506"/>
      <c r="K15" s="2506"/>
      <c r="L15" s="2506"/>
      <c r="M15" s="2506"/>
      <c r="N15" s="2506"/>
      <c r="O15" s="2506"/>
      <c r="P15" s="2506"/>
    </row>
    <row r="16" spans="1:16" x14ac:dyDescent="0.4">
      <c r="A16" s="536"/>
      <c r="C16" s="2506"/>
      <c r="D16" s="2506"/>
      <c r="E16" s="2506"/>
      <c r="F16" s="2506"/>
      <c r="G16" s="2506"/>
      <c r="H16" s="2506"/>
      <c r="I16" s="2506"/>
      <c r="J16" s="2506"/>
      <c r="K16" s="2506"/>
      <c r="L16" s="2506"/>
      <c r="M16" s="2506"/>
      <c r="N16" s="2506"/>
      <c r="O16" s="2506"/>
      <c r="P16" s="2506"/>
    </row>
    <row r="17" spans="1:17" x14ac:dyDescent="0.4">
      <c r="A17" s="536"/>
      <c r="C17" s="221"/>
      <c r="D17" s="220"/>
      <c r="E17" s="220"/>
      <c r="F17" s="220"/>
      <c r="G17" s="220"/>
      <c r="H17" s="220"/>
      <c r="I17" s="220"/>
      <c r="J17" s="220"/>
      <c r="K17" s="220"/>
      <c r="L17" s="220"/>
      <c r="M17" s="220"/>
      <c r="N17" s="220"/>
      <c r="O17" s="220"/>
      <c r="P17" s="220"/>
      <c r="Q17" s="220"/>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c r="C19" s="221"/>
      <c r="D19" s="220"/>
      <c r="E19" s="220"/>
      <c r="F19" s="220"/>
      <c r="G19" s="220"/>
      <c r="H19" s="220"/>
      <c r="I19" s="220"/>
      <c r="J19" s="220"/>
      <c r="K19" s="220"/>
      <c r="L19" s="220"/>
      <c r="M19" s="220"/>
      <c r="N19" s="220"/>
      <c r="O19" s="220"/>
      <c r="P19" s="220"/>
      <c r="Q19" s="220"/>
    </row>
    <row r="20" spans="1:17" x14ac:dyDescent="0.4">
      <c r="A20" s="536"/>
      <c r="C20" s="221"/>
      <c r="D20" s="220"/>
      <c r="E20" s="220"/>
      <c r="F20" s="220"/>
      <c r="G20" s="220"/>
      <c r="H20" s="220"/>
      <c r="I20" s="220"/>
      <c r="J20" s="220"/>
      <c r="K20" s="220"/>
      <c r="L20" s="220"/>
      <c r="M20" s="220"/>
      <c r="N20" s="220"/>
      <c r="O20" s="220"/>
      <c r="P20" s="220"/>
      <c r="Q20" s="220"/>
    </row>
    <row r="21" spans="1:17" x14ac:dyDescent="0.4">
      <c r="C21" s="221"/>
      <c r="D21" s="220"/>
      <c r="E21" s="220"/>
      <c r="F21" s="220"/>
      <c r="G21" s="220"/>
      <c r="H21" s="220"/>
      <c r="I21" s="220"/>
      <c r="J21" s="220"/>
      <c r="K21" s="220"/>
      <c r="L21" s="220"/>
      <c r="M21" s="220"/>
      <c r="N21" s="220"/>
      <c r="O21" s="220"/>
      <c r="P21" s="220"/>
      <c r="Q21" s="220"/>
    </row>
    <row r="22" spans="1:17" x14ac:dyDescent="0.4">
      <c r="C22" s="221"/>
      <c r="D22" s="220"/>
      <c r="E22" s="220"/>
      <c r="F22" s="220"/>
      <c r="G22" s="220"/>
      <c r="H22" s="220"/>
      <c r="I22" s="220"/>
      <c r="J22" s="220"/>
      <c r="K22" s="220"/>
      <c r="L22" s="220"/>
      <c r="M22" s="220"/>
      <c r="N22" s="220"/>
      <c r="O22" s="220"/>
      <c r="P22" s="220"/>
      <c r="Q22" s="220"/>
    </row>
    <row r="23" spans="1:17" x14ac:dyDescent="0.4">
      <c r="C23" s="2494" t="s">
        <v>316</v>
      </c>
      <c r="D23" s="2494"/>
      <c r="E23" s="2494"/>
      <c r="F23" s="2494"/>
      <c r="G23" s="2494"/>
      <c r="H23" s="2494"/>
      <c r="I23" s="2494"/>
      <c r="J23" s="2494"/>
      <c r="K23" s="2494"/>
      <c r="L23" s="2494"/>
      <c r="M23" s="2494"/>
      <c r="N23" s="2494"/>
      <c r="O23" s="2494"/>
      <c r="P23" s="2494"/>
      <c r="Q23" s="2494"/>
    </row>
    <row r="24" spans="1:17" x14ac:dyDescent="0.4">
      <c r="C24" s="221"/>
      <c r="D24" s="220"/>
      <c r="E24" s="220"/>
      <c r="F24" s="220"/>
      <c r="G24" s="220"/>
      <c r="H24" s="220"/>
      <c r="I24" s="220"/>
      <c r="J24" s="220"/>
      <c r="K24" s="220"/>
      <c r="L24" s="220"/>
      <c r="M24" s="220"/>
      <c r="N24" s="220"/>
      <c r="O24" s="220"/>
      <c r="P24" s="220"/>
      <c r="Q24" s="220"/>
    </row>
  </sheetData>
  <mergeCells count="12">
    <mergeCell ref="A5:B5"/>
    <mergeCell ref="C5:P5"/>
    <mergeCell ref="C1:D1"/>
    <mergeCell ref="A3:B3"/>
    <mergeCell ref="C3:P3"/>
    <mergeCell ref="A4:B4"/>
    <mergeCell ref="C4:P4"/>
    <mergeCell ref="A6:B6"/>
    <mergeCell ref="C6:P6"/>
    <mergeCell ref="C9:P10"/>
    <mergeCell ref="C13:P16"/>
    <mergeCell ref="C23:Q23"/>
  </mergeCells>
  <hyperlinks>
    <hyperlink ref="A1" location="'ODS 17.'!A1" display="REGRESAR" xr:uid="{1909157E-159D-4F1C-BE02-5EC03205E7DF}"/>
    <hyperlink ref="C1:D1" location="'Metadato 17.2.1'!A1" display="VER METADATO" xr:uid="{CA813FDF-20DE-48EA-BB02-FCF1D3868631}"/>
  </hyperlinks>
  <pageMargins left="0.7" right="0.7" top="0.75" bottom="0.75" header="0.3" footer="0.3"/>
  <drawing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DF43-505F-4A4C-ABF3-7EEF46D3E51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10.5703125" style="115" bestFit="1" customWidth="1"/>
    <col min="4" max="4" width="82.2851562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5.25" customHeight="1" x14ac:dyDescent="0.4">
      <c r="B4" s="2425" t="s">
        <v>234</v>
      </c>
      <c r="C4" s="2425"/>
      <c r="D4" s="49" t="s">
        <v>7797</v>
      </c>
    </row>
    <row r="5" spans="2:6" ht="131.25" x14ac:dyDescent="0.4">
      <c r="B5" s="2425" t="s">
        <v>79</v>
      </c>
      <c r="C5" s="2425"/>
      <c r="D5" s="49" t="s">
        <v>7702</v>
      </c>
    </row>
    <row r="6" spans="2:6" x14ac:dyDescent="0.4">
      <c r="B6" s="2425" t="s">
        <v>80</v>
      </c>
      <c r="C6" s="2425"/>
      <c r="D6" s="50" t="s">
        <v>7703</v>
      </c>
    </row>
    <row r="7" spans="2:6" ht="56.25" x14ac:dyDescent="0.4">
      <c r="B7" s="2426" t="s">
        <v>81</v>
      </c>
      <c r="C7" s="2426"/>
      <c r="D7" s="93" t="s">
        <v>7804</v>
      </c>
    </row>
    <row r="8" spans="2:6" x14ac:dyDescent="0.4">
      <c r="B8" s="2426" t="s">
        <v>82</v>
      </c>
      <c r="C8" s="2426"/>
      <c r="D8" s="1047" t="s">
        <v>7805</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ht="90" customHeight="1" x14ac:dyDescent="0.4">
      <c r="B28" s="60" t="s">
        <v>118</v>
      </c>
      <c r="C28" s="61"/>
      <c r="D28" s="55" t="s">
        <v>7806</v>
      </c>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56A364A-21F8-48AC-8EA5-59C3370FD756}">
      <formula1>Tipo_operación</formula1>
    </dataValidation>
    <dataValidation type="list" allowBlank="1" showInputMessage="1" showErrorMessage="1" sqref="D14" xr:uid="{6F78479E-A80A-461B-B5BE-BFBBE0881A9A}">
      <formula1>Tipo_indicador</formula1>
    </dataValidation>
    <dataValidation type="list" allowBlank="1" showInputMessage="1" showErrorMessage="1" sqref="D7" xr:uid="{996C89B7-C7A0-487A-ABA9-223A99039B2F}">
      <formula1>Nombre_indicador_ODS</formula1>
    </dataValidation>
    <dataValidation type="list" allowBlank="1" showInputMessage="1" showErrorMessage="1" sqref="D6" xr:uid="{A952CE4A-E869-4C4C-8A59-93F0858E1432}">
      <formula1>Numero_indicador</formula1>
    </dataValidation>
    <dataValidation type="list" allowBlank="1" showInputMessage="1" showErrorMessage="1" sqref="D5" xr:uid="{5FB1673A-243A-43EF-817D-EBFA48858D18}">
      <formula1>Metas_ODS</formula1>
    </dataValidation>
    <dataValidation type="list" allowBlank="1" showInputMessage="1" showErrorMessage="1" sqref="D4" xr:uid="{500B6831-12E5-40FD-890F-6A12B60B7725}">
      <formula1>ODS</formula1>
    </dataValidation>
    <dataValidation allowBlank="1" showDropDown="1" showInputMessage="1" showErrorMessage="1" sqref="D13" xr:uid="{E669B14A-6627-43EB-86CC-FC039E64BA9D}"/>
  </dataValidations>
  <hyperlinks>
    <hyperlink ref="B1" location="'17.2.1'!A1" display="REGRESAR" xr:uid="{44488F2B-30F4-48A2-AB99-1B58F9383368}"/>
    <hyperlink ref="D8" r:id="rId1" xr:uid="{222C12A9-3668-4ECF-BE4C-38489879E159}"/>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1F4C-3515-4891-9D0D-C31115EC123B}">
  <dimension ref="A1:R391"/>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8.75" x14ac:dyDescent="0.4"/>
  <cols>
    <col min="1" max="1" width="15.7109375" style="115" customWidth="1"/>
    <col min="2" max="2" width="18.28515625" style="115" customWidth="1"/>
    <col min="3" max="3" width="12.28515625" style="1048" customWidth="1"/>
    <col min="4" max="5" width="12.28515625" style="115" customWidth="1"/>
    <col min="6" max="16384" width="11.42578125" style="115"/>
  </cols>
  <sheetData>
    <row r="1" spans="1:18" x14ac:dyDescent="0.4">
      <c r="A1" s="90" t="s">
        <v>39</v>
      </c>
      <c r="B1" s="1311"/>
      <c r="C1" s="2541" t="s">
        <v>149</v>
      </c>
      <c r="D1" s="2541"/>
    </row>
    <row r="3" spans="1:18" ht="16.149999999999999" customHeight="1" x14ac:dyDescent="0.4">
      <c r="A3" s="3547" t="s">
        <v>41</v>
      </c>
      <c r="B3" s="3547"/>
      <c r="C3" s="3547" t="s">
        <v>7696</v>
      </c>
      <c r="D3" s="3548"/>
      <c r="E3" s="3548"/>
      <c r="F3" s="3548"/>
      <c r="G3" s="3548"/>
      <c r="H3" s="3548"/>
      <c r="I3" s="3548"/>
      <c r="J3" s="3548"/>
      <c r="K3" s="3548"/>
      <c r="L3" s="3548"/>
      <c r="M3" s="3548"/>
      <c r="N3" s="3548"/>
      <c r="O3" s="3548"/>
      <c r="P3" s="3548"/>
    </row>
    <row r="4" spans="1:18" ht="18" customHeight="1" x14ac:dyDescent="0.4">
      <c r="A4" s="3547" t="s">
        <v>42</v>
      </c>
      <c r="B4" s="3548"/>
      <c r="C4" s="3558" t="s">
        <v>7705</v>
      </c>
      <c r="D4" s="3559"/>
      <c r="E4" s="3559"/>
      <c r="F4" s="3559"/>
      <c r="G4" s="3559"/>
      <c r="H4" s="3559"/>
      <c r="I4" s="3559"/>
      <c r="J4" s="3559"/>
      <c r="K4" s="3559"/>
      <c r="L4" s="3559"/>
      <c r="M4" s="3559"/>
      <c r="N4" s="3559"/>
      <c r="O4" s="3559"/>
      <c r="P4" s="3559"/>
    </row>
    <row r="5" spans="1:18" ht="18" customHeight="1" x14ac:dyDescent="0.4">
      <c r="A5" s="3547" t="s">
        <v>43</v>
      </c>
      <c r="B5" s="3548"/>
      <c r="C5" s="3547" t="s">
        <v>7707</v>
      </c>
      <c r="D5" s="3548"/>
      <c r="E5" s="3548"/>
      <c r="F5" s="3548"/>
      <c r="G5" s="3548"/>
      <c r="H5" s="3548"/>
      <c r="I5" s="3548"/>
      <c r="J5" s="3548"/>
      <c r="K5" s="3548"/>
      <c r="L5" s="3548"/>
      <c r="M5" s="3548"/>
      <c r="N5" s="3548"/>
      <c r="O5" s="3548"/>
      <c r="P5" s="3548"/>
    </row>
    <row r="6" spans="1:18" ht="19.5" x14ac:dyDescent="0.4">
      <c r="A6" s="3547" t="s">
        <v>132</v>
      </c>
      <c r="B6" s="3548"/>
      <c r="C6" s="3547" t="s">
        <v>7807</v>
      </c>
      <c r="D6" s="3548"/>
      <c r="E6" s="3548"/>
      <c r="F6" s="3548"/>
      <c r="G6" s="3548"/>
      <c r="H6" s="3548"/>
      <c r="I6" s="3548"/>
      <c r="J6" s="3548"/>
      <c r="K6" s="3548"/>
      <c r="L6" s="3548"/>
      <c r="M6" s="3548"/>
      <c r="N6" s="3548"/>
      <c r="O6" s="3548"/>
      <c r="P6" s="3548"/>
    </row>
    <row r="9" spans="1:18" ht="16.899999999999999" customHeight="1" x14ac:dyDescent="0.4">
      <c r="C9" s="138" t="s">
        <v>7807</v>
      </c>
      <c r="D9" s="138"/>
      <c r="E9" s="138"/>
      <c r="F9" s="138"/>
      <c r="G9" s="138"/>
      <c r="H9" s="138"/>
      <c r="I9" s="138"/>
      <c r="J9" s="138"/>
      <c r="K9" s="138"/>
      <c r="L9" s="138"/>
      <c r="M9" s="138"/>
      <c r="N9" s="138"/>
      <c r="O9" s="138"/>
      <c r="P9" s="138"/>
      <c r="Q9" s="536"/>
    </row>
    <row r="10" spans="1:18" ht="9.6" customHeight="1" x14ac:dyDescent="0.4">
      <c r="C10" s="533"/>
      <c r="D10" s="533"/>
      <c r="E10" s="533"/>
      <c r="F10" s="533"/>
      <c r="G10" s="533"/>
      <c r="H10" s="533"/>
      <c r="I10" s="533"/>
      <c r="J10" s="533"/>
      <c r="K10" s="533"/>
      <c r="L10" s="533"/>
      <c r="M10" s="533"/>
      <c r="N10" s="533"/>
      <c r="O10" s="533"/>
      <c r="P10" s="533"/>
      <c r="Q10" s="536"/>
    </row>
    <row r="11" spans="1:18" ht="14.65" customHeight="1" x14ac:dyDescent="0.4">
      <c r="C11" s="3549" t="s">
        <v>7808</v>
      </c>
      <c r="D11" s="3549" t="s">
        <v>2825</v>
      </c>
      <c r="E11" s="3562" t="s">
        <v>247</v>
      </c>
      <c r="F11" s="3562"/>
      <c r="G11" s="3562"/>
      <c r="H11" s="3562"/>
      <c r="I11" s="3562"/>
      <c r="J11" s="3562"/>
      <c r="K11" s="3562"/>
      <c r="L11" s="3562"/>
      <c r="M11" s="3562"/>
      <c r="N11" s="3562"/>
      <c r="O11" s="3562"/>
      <c r="P11" s="3562"/>
      <c r="Q11" s="3562"/>
      <c r="R11" s="3562"/>
    </row>
    <row r="12" spans="1:18" x14ac:dyDescent="0.4">
      <c r="C12" s="3550"/>
      <c r="D12" s="3550"/>
      <c r="E12" s="2198">
        <v>2010</v>
      </c>
      <c r="F12" s="2198">
        <v>2011</v>
      </c>
      <c r="G12" s="2198">
        <v>2012</v>
      </c>
      <c r="H12" s="2198">
        <v>2013</v>
      </c>
      <c r="I12" s="2198">
        <v>2014</v>
      </c>
      <c r="J12" s="2198">
        <v>2015</v>
      </c>
      <c r="K12" s="2198">
        <v>2016</v>
      </c>
      <c r="L12" s="2198">
        <v>2017</v>
      </c>
      <c r="M12" s="2198">
        <v>2018</v>
      </c>
      <c r="N12" s="2198">
        <v>2019</v>
      </c>
      <c r="O12" s="2198">
        <v>2020</v>
      </c>
      <c r="P12" s="2198">
        <v>2021</v>
      </c>
      <c r="Q12" s="2198">
        <v>2022</v>
      </c>
      <c r="R12" s="2198">
        <v>2023</v>
      </c>
    </row>
    <row r="13" spans="1:18" x14ac:dyDescent="0.4">
      <c r="C13" s="2204" t="s">
        <v>7351</v>
      </c>
      <c r="D13" s="2205" t="s">
        <v>7809</v>
      </c>
      <c r="E13" s="2206">
        <v>37.165698178523598</v>
      </c>
      <c r="F13" s="2206">
        <v>-3.0574439966585487</v>
      </c>
      <c r="G13" s="2206">
        <v>10.542123593389988</v>
      </c>
      <c r="H13" s="2206">
        <v>331.97993960976601</v>
      </c>
      <c r="I13" s="2206">
        <v>190.65101876854897</v>
      </c>
      <c r="J13" s="2206">
        <v>42.000020235776901</v>
      </c>
      <c r="K13" s="2206">
        <v>29.604548193514347</v>
      </c>
      <c r="L13" s="2206">
        <v>139.88849999999999</v>
      </c>
      <c r="M13" s="2206">
        <v>75.229198431445994</v>
      </c>
      <c r="N13" s="2206">
        <v>78.959103504577797</v>
      </c>
      <c r="O13" s="1758">
        <v>84.3</v>
      </c>
      <c r="P13" s="2207">
        <v>40.195013953410403</v>
      </c>
      <c r="Q13" s="536">
        <v>62.5</v>
      </c>
      <c r="R13" s="2207">
        <v>121.14775484469168</v>
      </c>
    </row>
    <row r="14" spans="1:18" x14ac:dyDescent="0.4">
      <c r="C14" s="2204"/>
      <c r="D14" s="2205" t="s">
        <v>7810</v>
      </c>
      <c r="E14" s="2206">
        <v>0</v>
      </c>
      <c r="F14" s="2206">
        <v>0</v>
      </c>
      <c r="G14" s="2206">
        <v>0</v>
      </c>
      <c r="H14" s="2206">
        <v>0</v>
      </c>
      <c r="I14" s="2206">
        <v>0</v>
      </c>
      <c r="J14" s="2206">
        <v>0</v>
      </c>
      <c r="K14" s="2206">
        <v>0</v>
      </c>
      <c r="L14" s="2206">
        <v>0</v>
      </c>
      <c r="M14" s="2206">
        <v>0</v>
      </c>
      <c r="N14" s="2206">
        <v>0</v>
      </c>
      <c r="O14" s="2206">
        <v>0</v>
      </c>
      <c r="P14" s="2207">
        <v>0</v>
      </c>
      <c r="Q14" s="416">
        <v>0</v>
      </c>
      <c r="R14" s="1578">
        <v>0</v>
      </c>
    </row>
    <row r="15" spans="1:18" x14ac:dyDescent="0.4">
      <c r="C15" s="2204"/>
      <c r="D15" s="2205" t="s">
        <v>7811</v>
      </c>
      <c r="E15" s="2206">
        <v>0</v>
      </c>
      <c r="F15" s="2206">
        <v>0</v>
      </c>
      <c r="G15" s="2206">
        <v>0</v>
      </c>
      <c r="H15" s="2206">
        <v>0</v>
      </c>
      <c r="I15" s="2206">
        <v>0</v>
      </c>
      <c r="J15" s="2206">
        <v>0</v>
      </c>
      <c r="K15" s="2206">
        <v>0</v>
      </c>
      <c r="L15" s="2206">
        <v>0</v>
      </c>
      <c r="M15" s="2206">
        <v>0</v>
      </c>
      <c r="N15" s="2206">
        <v>0</v>
      </c>
      <c r="O15" s="2206">
        <v>0</v>
      </c>
      <c r="P15" s="2207">
        <v>0</v>
      </c>
      <c r="Q15" s="416">
        <v>0</v>
      </c>
      <c r="R15" s="1578">
        <v>0</v>
      </c>
    </row>
    <row r="16" spans="1:18" x14ac:dyDescent="0.4">
      <c r="C16" s="2204"/>
      <c r="D16" s="2205" t="s">
        <v>7812</v>
      </c>
      <c r="E16" s="2206">
        <v>0</v>
      </c>
      <c r="F16" s="2206">
        <v>0</v>
      </c>
      <c r="G16" s="2206">
        <v>0</v>
      </c>
      <c r="H16" s="2206">
        <v>0</v>
      </c>
      <c r="I16" s="2206">
        <v>0</v>
      </c>
      <c r="J16" s="2206">
        <v>0</v>
      </c>
      <c r="K16" s="2206">
        <v>0</v>
      </c>
      <c r="L16" s="2206">
        <v>0</v>
      </c>
      <c r="M16" s="2206">
        <v>0</v>
      </c>
      <c r="N16" s="2206">
        <v>0</v>
      </c>
      <c r="O16" s="2206">
        <v>0</v>
      </c>
      <c r="P16" s="2207">
        <v>0</v>
      </c>
      <c r="Q16" s="416">
        <v>0</v>
      </c>
      <c r="R16" s="2207">
        <v>0</v>
      </c>
    </row>
    <row r="17" spans="3:18" x14ac:dyDescent="0.4">
      <c r="C17" s="2204"/>
      <c r="D17" s="2205" t="s">
        <v>7813</v>
      </c>
      <c r="E17" s="2206">
        <f>+SUM(E14+E15+E16)</f>
        <v>0</v>
      </c>
      <c r="F17" s="2206">
        <f t="shared" ref="F17:M17" si="0">+SUM(F14+F15+F16)</f>
        <v>0</v>
      </c>
      <c r="G17" s="2206">
        <f t="shared" si="0"/>
        <v>0</v>
      </c>
      <c r="H17" s="2206">
        <f t="shared" si="0"/>
        <v>0</v>
      </c>
      <c r="I17" s="2206">
        <f t="shared" si="0"/>
        <v>0</v>
      </c>
      <c r="J17" s="2206">
        <f t="shared" si="0"/>
        <v>0</v>
      </c>
      <c r="K17" s="2206">
        <f t="shared" si="0"/>
        <v>0</v>
      </c>
      <c r="L17" s="2206">
        <f t="shared" si="0"/>
        <v>0</v>
      </c>
      <c r="M17" s="2206">
        <f t="shared" si="0"/>
        <v>0</v>
      </c>
      <c r="N17" s="2206">
        <f t="shared" ref="N17:R17" si="1">+SUM(N14+N15+N16)</f>
        <v>0</v>
      </c>
      <c r="O17" s="2206">
        <f t="shared" si="1"/>
        <v>0</v>
      </c>
      <c r="P17" s="2207">
        <f t="shared" si="1"/>
        <v>0</v>
      </c>
      <c r="Q17" s="416">
        <f t="shared" si="1"/>
        <v>0</v>
      </c>
      <c r="R17" s="2207">
        <f t="shared" si="1"/>
        <v>0</v>
      </c>
    </row>
    <row r="18" spans="3:18" x14ac:dyDescent="0.4">
      <c r="C18" s="2204"/>
      <c r="D18" s="2208" t="s">
        <v>7814</v>
      </c>
      <c r="E18" s="2209">
        <f>+E13+E17</f>
        <v>37.165698178523598</v>
      </c>
      <c r="F18" s="2209">
        <f t="shared" ref="F18:R18" si="2">+F13+F17</f>
        <v>-3.0574439966585487</v>
      </c>
      <c r="G18" s="2209">
        <f t="shared" si="2"/>
        <v>10.542123593389988</v>
      </c>
      <c r="H18" s="2209">
        <f t="shared" si="2"/>
        <v>331.97993960976601</v>
      </c>
      <c r="I18" s="2209">
        <f t="shared" si="2"/>
        <v>190.65101876854897</v>
      </c>
      <c r="J18" s="2209">
        <f t="shared" si="2"/>
        <v>42.000020235776901</v>
      </c>
      <c r="K18" s="2209">
        <f t="shared" si="2"/>
        <v>29.604548193514347</v>
      </c>
      <c r="L18" s="2209">
        <f t="shared" si="2"/>
        <v>139.88849999999999</v>
      </c>
      <c r="M18" s="2209">
        <f t="shared" si="2"/>
        <v>75.229198431445994</v>
      </c>
      <c r="N18" s="2209">
        <f t="shared" si="2"/>
        <v>78.959103504577797</v>
      </c>
      <c r="O18" s="2209">
        <f t="shared" si="2"/>
        <v>84.3</v>
      </c>
      <c r="P18" s="2210">
        <f t="shared" si="2"/>
        <v>40.195013953410403</v>
      </c>
      <c r="Q18" s="2211">
        <f t="shared" si="2"/>
        <v>62.5</v>
      </c>
      <c r="R18" s="2210">
        <f t="shared" si="2"/>
        <v>121.14775484469168</v>
      </c>
    </row>
    <row r="19" spans="3:18" x14ac:dyDescent="0.4">
      <c r="C19" s="2212" t="s">
        <v>5770</v>
      </c>
      <c r="D19" s="2212" t="s">
        <v>7809</v>
      </c>
      <c r="E19" s="2213">
        <v>1.2255813213414513E-2</v>
      </c>
      <c r="F19" s="2213">
        <v>40.023670673370361</v>
      </c>
      <c r="G19" s="2213">
        <v>-1.637968897819519</v>
      </c>
      <c r="H19" s="2213">
        <v>42.155422866344452</v>
      </c>
      <c r="I19" s="2213">
        <v>34.898112773895264</v>
      </c>
      <c r="J19" s="2213">
        <v>25.690094470977783</v>
      </c>
      <c r="K19" s="2213">
        <v>21.479597091674805</v>
      </c>
      <c r="L19" s="2213">
        <v>16.413499999999999</v>
      </c>
      <c r="M19" s="2213">
        <v>8.1784103143699198</v>
      </c>
      <c r="N19" s="2213">
        <v>4.9977486689538999</v>
      </c>
      <c r="O19" s="2214">
        <v>11.548274612823899</v>
      </c>
      <c r="P19" s="2215">
        <v>-0.493592902976559</v>
      </c>
      <c r="Q19" s="2216">
        <v>8.6999999999999993</v>
      </c>
      <c r="R19" s="2215">
        <v>-18.813489926459901</v>
      </c>
    </row>
    <row r="20" spans="3:18" x14ac:dyDescent="0.4">
      <c r="C20" s="2212"/>
      <c r="D20" s="2212" t="s">
        <v>7810</v>
      </c>
      <c r="E20" s="2213">
        <v>0</v>
      </c>
      <c r="F20" s="2213">
        <v>0</v>
      </c>
      <c r="G20" s="2213">
        <v>0</v>
      </c>
      <c r="H20" s="2213">
        <v>0</v>
      </c>
      <c r="I20" s="2213">
        <v>0</v>
      </c>
      <c r="J20" s="2213">
        <v>0</v>
      </c>
      <c r="K20" s="2213">
        <v>0</v>
      </c>
      <c r="L20" s="2213">
        <v>0</v>
      </c>
      <c r="M20" s="2213">
        <v>0</v>
      </c>
      <c r="N20" s="2213">
        <v>0</v>
      </c>
      <c r="O20" s="2213">
        <v>0</v>
      </c>
      <c r="P20" s="2215">
        <v>0</v>
      </c>
      <c r="Q20" s="2213">
        <v>0</v>
      </c>
      <c r="R20" s="2216">
        <v>0</v>
      </c>
    </row>
    <row r="21" spans="3:18" x14ac:dyDescent="0.4">
      <c r="C21" s="2212"/>
      <c r="D21" s="2212" t="s">
        <v>7811</v>
      </c>
      <c r="E21" s="2213">
        <v>0</v>
      </c>
      <c r="F21" s="2213">
        <v>0</v>
      </c>
      <c r="G21" s="2213">
        <v>0</v>
      </c>
      <c r="H21" s="2213">
        <v>0</v>
      </c>
      <c r="I21" s="2213">
        <v>0</v>
      </c>
      <c r="J21" s="2213">
        <v>0</v>
      </c>
      <c r="K21" s="2213">
        <v>0</v>
      </c>
      <c r="L21" s="2213">
        <v>0</v>
      </c>
      <c r="M21" s="2213">
        <v>0</v>
      </c>
      <c r="N21" s="2213">
        <v>0</v>
      </c>
      <c r="O21" s="2213">
        <v>0</v>
      </c>
      <c r="P21" s="2215">
        <v>0.2</v>
      </c>
      <c r="Q21" s="2213">
        <v>0</v>
      </c>
      <c r="R21" s="2216">
        <v>0</v>
      </c>
    </row>
    <row r="22" spans="3:18" x14ac:dyDescent="0.4">
      <c r="C22" s="2212"/>
      <c r="D22" s="2212" t="s">
        <v>7812</v>
      </c>
      <c r="E22" s="2213">
        <v>0</v>
      </c>
      <c r="F22" s="2213">
        <v>0</v>
      </c>
      <c r="G22" s="2213">
        <v>0</v>
      </c>
      <c r="H22" s="2213">
        <v>0</v>
      </c>
      <c r="I22" s="2213">
        <v>0</v>
      </c>
      <c r="J22" s="2213">
        <v>0</v>
      </c>
      <c r="K22" s="2213">
        <v>0</v>
      </c>
      <c r="L22" s="2213">
        <v>0</v>
      </c>
      <c r="M22" s="2213">
        <v>0</v>
      </c>
      <c r="N22" s="2213">
        <v>0</v>
      </c>
      <c r="O22" s="2213">
        <v>0</v>
      </c>
      <c r="P22" s="2215">
        <v>0</v>
      </c>
      <c r="Q22" s="2213">
        <v>0</v>
      </c>
      <c r="R22" s="2215">
        <v>0</v>
      </c>
    </row>
    <row r="23" spans="3:18" x14ac:dyDescent="0.4">
      <c r="C23" s="2212"/>
      <c r="D23" s="2212" t="s">
        <v>7813</v>
      </c>
      <c r="E23" s="2213">
        <f>+SUM(E20+E21+E22)</f>
        <v>0</v>
      </c>
      <c r="F23" s="2213">
        <f t="shared" ref="F23:Q23" si="3">+SUM(F20+F21+F22)</f>
        <v>0</v>
      </c>
      <c r="G23" s="2213">
        <f t="shared" si="3"/>
        <v>0</v>
      </c>
      <c r="H23" s="2213">
        <f t="shared" si="3"/>
        <v>0</v>
      </c>
      <c r="I23" s="2213">
        <f t="shared" si="3"/>
        <v>0</v>
      </c>
      <c r="J23" s="2213">
        <f t="shared" si="3"/>
        <v>0</v>
      </c>
      <c r="K23" s="2213">
        <f t="shared" si="3"/>
        <v>0</v>
      </c>
      <c r="L23" s="2213">
        <f t="shared" si="3"/>
        <v>0</v>
      </c>
      <c r="M23" s="2213">
        <f t="shared" si="3"/>
        <v>0</v>
      </c>
      <c r="N23" s="2213">
        <f t="shared" si="3"/>
        <v>0</v>
      </c>
      <c r="O23" s="2213">
        <f t="shared" si="3"/>
        <v>0</v>
      </c>
      <c r="P23" s="2215">
        <f t="shared" si="3"/>
        <v>0.2</v>
      </c>
      <c r="Q23" s="2213">
        <f t="shared" si="3"/>
        <v>0</v>
      </c>
      <c r="R23" s="2215">
        <f>+SUM(R20+R21+R22)</f>
        <v>0</v>
      </c>
    </row>
    <row r="24" spans="3:18" x14ac:dyDescent="0.4">
      <c r="C24" s="2212"/>
      <c r="D24" s="2217" t="s">
        <v>7814</v>
      </c>
      <c r="E24" s="2218">
        <f>+E19+E23</f>
        <v>1.2255813213414513E-2</v>
      </c>
      <c r="F24" s="2218">
        <f t="shared" ref="F24:R24" si="4">+F19+F23</f>
        <v>40.023670673370361</v>
      </c>
      <c r="G24" s="2218">
        <f t="shared" si="4"/>
        <v>-1.637968897819519</v>
      </c>
      <c r="H24" s="2218">
        <f t="shared" si="4"/>
        <v>42.155422866344452</v>
      </c>
      <c r="I24" s="2218">
        <f t="shared" si="4"/>
        <v>34.898112773895264</v>
      </c>
      <c r="J24" s="2218">
        <f t="shared" si="4"/>
        <v>25.690094470977783</v>
      </c>
      <c r="K24" s="2218">
        <f t="shared" si="4"/>
        <v>21.479597091674805</v>
      </c>
      <c r="L24" s="2218">
        <f t="shared" si="4"/>
        <v>16.413499999999999</v>
      </c>
      <c r="M24" s="2218">
        <f t="shared" si="4"/>
        <v>8.1784103143699198</v>
      </c>
      <c r="N24" s="2218">
        <f t="shared" si="4"/>
        <v>4.9977486689538999</v>
      </c>
      <c r="O24" s="2218">
        <f t="shared" si="4"/>
        <v>11.548274612823899</v>
      </c>
      <c r="P24" s="2219">
        <f t="shared" si="4"/>
        <v>-0.29359290297655899</v>
      </c>
      <c r="Q24" s="2218">
        <f t="shared" si="4"/>
        <v>8.6999999999999993</v>
      </c>
      <c r="R24" s="2218">
        <f t="shared" si="4"/>
        <v>-18.813489926459901</v>
      </c>
    </row>
    <row r="25" spans="3:18" x14ac:dyDescent="0.4">
      <c r="C25" s="2204" t="s">
        <v>5781</v>
      </c>
      <c r="D25" s="2205" t="s">
        <v>7809</v>
      </c>
      <c r="E25" s="2206">
        <v>12.29125002049841</v>
      </c>
      <c r="F25" s="2206">
        <v>-2.8330829739570618</v>
      </c>
      <c r="G25" s="2206">
        <v>27.633272290229797</v>
      </c>
      <c r="H25" s="2206">
        <v>114.56090354919434</v>
      </c>
      <c r="I25" s="2206">
        <v>54.438955307006836</v>
      </c>
      <c r="J25" s="2206">
        <v>4.7523957937955856</v>
      </c>
      <c r="K25" s="2206">
        <v>10.558946967124939</v>
      </c>
      <c r="L25" s="2206">
        <v>5.4083999999999994</v>
      </c>
      <c r="M25" s="2206">
        <v>4.1164264955038403</v>
      </c>
      <c r="N25" s="2206">
        <v>10.0121619940517</v>
      </c>
      <c r="O25" s="1758">
        <v>1.18587128554532</v>
      </c>
      <c r="P25" s="2207">
        <v>1.5425047606553099</v>
      </c>
      <c r="Q25" s="536">
        <v>1</v>
      </c>
      <c r="R25" s="2207">
        <v>16.985591319103911</v>
      </c>
    </row>
    <row r="26" spans="3:18" x14ac:dyDescent="0.4">
      <c r="C26" s="2204"/>
      <c r="D26" s="2205" t="s">
        <v>7810</v>
      </c>
      <c r="E26" s="2206">
        <v>0</v>
      </c>
      <c r="F26" s="2206">
        <v>0</v>
      </c>
      <c r="G26" s="2206">
        <v>0</v>
      </c>
      <c r="H26" s="2206">
        <v>0</v>
      </c>
      <c r="I26" s="2206">
        <v>0</v>
      </c>
      <c r="J26" s="2206">
        <v>0</v>
      </c>
      <c r="K26" s="2206">
        <v>0</v>
      </c>
      <c r="L26" s="2206">
        <v>0</v>
      </c>
      <c r="M26" s="2206">
        <v>0</v>
      </c>
      <c r="N26" s="2206">
        <v>0</v>
      </c>
      <c r="O26" s="2206">
        <v>0</v>
      </c>
      <c r="P26" s="2207">
        <v>0</v>
      </c>
      <c r="Q26" s="416">
        <v>0</v>
      </c>
      <c r="R26" s="1578">
        <v>0</v>
      </c>
    </row>
    <row r="27" spans="3:18" x14ac:dyDescent="0.4">
      <c r="C27" s="2204"/>
      <c r="D27" s="2205" t="s">
        <v>7811</v>
      </c>
      <c r="E27" s="2206">
        <v>0</v>
      </c>
      <c r="F27" s="2206">
        <v>0</v>
      </c>
      <c r="G27" s="2206">
        <v>0</v>
      </c>
      <c r="H27" s="2206">
        <v>0</v>
      </c>
      <c r="I27" s="2206">
        <v>0</v>
      </c>
      <c r="J27" s="2206">
        <v>0</v>
      </c>
      <c r="K27" s="2206">
        <v>0</v>
      </c>
      <c r="L27" s="2206">
        <v>0</v>
      </c>
      <c r="M27" s="2206">
        <v>0</v>
      </c>
      <c r="N27" s="2206">
        <v>0</v>
      </c>
      <c r="O27" s="2206">
        <v>0</v>
      </c>
      <c r="P27" s="2207">
        <v>0</v>
      </c>
      <c r="Q27" s="416">
        <v>0</v>
      </c>
      <c r="R27" s="1578">
        <v>0</v>
      </c>
    </row>
    <row r="28" spans="3:18" x14ac:dyDescent="0.4">
      <c r="C28" s="2204"/>
      <c r="D28" s="2205" t="s">
        <v>7812</v>
      </c>
      <c r="E28" s="2206">
        <v>0</v>
      </c>
      <c r="F28" s="2206">
        <v>0</v>
      </c>
      <c r="G28" s="2206">
        <v>0</v>
      </c>
      <c r="H28" s="2206">
        <v>0</v>
      </c>
      <c r="I28" s="2206">
        <v>0</v>
      </c>
      <c r="J28" s="2206">
        <v>0</v>
      </c>
      <c r="K28" s="2206">
        <v>0</v>
      </c>
      <c r="L28" s="2206">
        <v>0</v>
      </c>
      <c r="M28" s="2206">
        <v>0</v>
      </c>
      <c r="N28" s="2206">
        <v>0</v>
      </c>
      <c r="O28" s="2206">
        <v>0</v>
      </c>
      <c r="P28" s="2207">
        <v>0</v>
      </c>
      <c r="Q28" s="416">
        <v>0</v>
      </c>
      <c r="R28" s="2207">
        <v>0</v>
      </c>
    </row>
    <row r="29" spans="3:18" x14ac:dyDescent="0.4">
      <c r="C29" s="2204"/>
      <c r="D29" s="2205" t="s">
        <v>7813</v>
      </c>
      <c r="E29" s="2206">
        <f>+SUM(E26+E27+E28)</f>
        <v>0</v>
      </c>
      <c r="F29" s="2206">
        <f t="shared" ref="F29:Q29" si="5">+SUM(F26+F27+F28)</f>
        <v>0</v>
      </c>
      <c r="G29" s="2206">
        <f t="shared" si="5"/>
        <v>0</v>
      </c>
      <c r="H29" s="2206">
        <f t="shared" si="5"/>
        <v>0</v>
      </c>
      <c r="I29" s="2206">
        <f t="shared" si="5"/>
        <v>0</v>
      </c>
      <c r="J29" s="2206">
        <f t="shared" si="5"/>
        <v>0</v>
      </c>
      <c r="K29" s="2206">
        <f t="shared" si="5"/>
        <v>0</v>
      </c>
      <c r="L29" s="2206">
        <f t="shared" si="5"/>
        <v>0</v>
      </c>
      <c r="M29" s="2206">
        <f t="shared" si="5"/>
        <v>0</v>
      </c>
      <c r="N29" s="2206">
        <f t="shared" si="5"/>
        <v>0</v>
      </c>
      <c r="O29" s="2206">
        <f t="shared" si="5"/>
        <v>0</v>
      </c>
      <c r="P29" s="2207">
        <f t="shared" si="5"/>
        <v>0</v>
      </c>
      <c r="Q29" s="416">
        <f t="shared" si="5"/>
        <v>0</v>
      </c>
      <c r="R29" s="2207">
        <f>+SUM(R26+R27+R28)</f>
        <v>0</v>
      </c>
    </row>
    <row r="30" spans="3:18" x14ac:dyDescent="0.4">
      <c r="C30" s="2204"/>
      <c r="D30" s="2208" t="s">
        <v>7814</v>
      </c>
      <c r="E30" s="2209">
        <f>+E25+E29</f>
        <v>12.29125002049841</v>
      </c>
      <c r="F30" s="2209">
        <f t="shared" ref="F30:R30" si="6">+F25+F29</f>
        <v>-2.8330829739570618</v>
      </c>
      <c r="G30" s="2209">
        <f t="shared" si="6"/>
        <v>27.633272290229797</v>
      </c>
      <c r="H30" s="2209">
        <f t="shared" si="6"/>
        <v>114.56090354919434</v>
      </c>
      <c r="I30" s="2209">
        <f t="shared" si="6"/>
        <v>54.438955307006836</v>
      </c>
      <c r="J30" s="2209">
        <f t="shared" si="6"/>
        <v>4.7523957937955856</v>
      </c>
      <c r="K30" s="2209">
        <f t="shared" si="6"/>
        <v>10.558946967124939</v>
      </c>
      <c r="L30" s="2209">
        <f t="shared" si="6"/>
        <v>5.4083999999999994</v>
      </c>
      <c r="M30" s="2209">
        <f t="shared" si="6"/>
        <v>4.1164264955038403</v>
      </c>
      <c r="N30" s="2209">
        <f t="shared" si="6"/>
        <v>10.0121619940517</v>
      </c>
      <c r="O30" s="2209">
        <f t="shared" si="6"/>
        <v>1.18587128554532</v>
      </c>
      <c r="P30" s="2210">
        <f t="shared" si="6"/>
        <v>1.5425047606553099</v>
      </c>
      <c r="Q30" s="2211">
        <f t="shared" si="6"/>
        <v>1</v>
      </c>
      <c r="R30" s="2210">
        <f t="shared" si="6"/>
        <v>16.985591319103911</v>
      </c>
    </row>
    <row r="31" spans="3:18" x14ac:dyDescent="0.4">
      <c r="C31" s="2212" t="s">
        <v>5774</v>
      </c>
      <c r="D31" s="2212" t="s">
        <v>7809</v>
      </c>
      <c r="E31" s="2213">
        <v>33.214748157857684</v>
      </c>
      <c r="F31" s="2213">
        <v>5.2504465691745281</v>
      </c>
      <c r="G31" s="2213">
        <v>9.793032955378294</v>
      </c>
      <c r="H31" s="2213">
        <v>9.9680149555206299</v>
      </c>
      <c r="I31" s="2213">
        <v>67.324079575017095</v>
      </c>
      <c r="J31" s="2213">
        <v>-0.66938793659210205</v>
      </c>
      <c r="K31" s="2213">
        <v>4.8487126231193542</v>
      </c>
      <c r="L31" s="2213">
        <v>-5.4101000000000008</v>
      </c>
      <c r="M31" s="2213">
        <v>-2.5331888898428999E-3</v>
      </c>
      <c r="N31" s="2213">
        <v>1.79479441434953</v>
      </c>
      <c r="O31" s="2214">
        <v>2.0703211545221301</v>
      </c>
      <c r="P31" s="2215">
        <v>-1.46573062309062</v>
      </c>
      <c r="Q31" s="2216">
        <v>25.1</v>
      </c>
      <c r="R31" s="2215">
        <v>-18.090238895812799</v>
      </c>
    </row>
    <row r="32" spans="3:18" x14ac:dyDescent="0.4">
      <c r="C32" s="2212"/>
      <c r="D32" s="2212" t="s">
        <v>7810</v>
      </c>
      <c r="E32" s="2213">
        <v>0</v>
      </c>
      <c r="F32" s="2213">
        <v>0</v>
      </c>
      <c r="G32" s="2213">
        <v>0</v>
      </c>
      <c r="H32" s="2213">
        <v>0</v>
      </c>
      <c r="I32" s="2213">
        <v>0</v>
      </c>
      <c r="J32" s="2213">
        <v>0</v>
      </c>
      <c r="K32" s="2213">
        <v>0</v>
      </c>
      <c r="L32" s="2213">
        <v>0</v>
      </c>
      <c r="M32" s="2213">
        <v>0</v>
      </c>
      <c r="N32" s="2213">
        <v>0</v>
      </c>
      <c r="O32" s="2213">
        <v>0</v>
      </c>
      <c r="P32" s="2215">
        <v>0</v>
      </c>
      <c r="Q32" s="2213">
        <v>0</v>
      </c>
      <c r="R32" s="2216">
        <v>0</v>
      </c>
    </row>
    <row r="33" spans="3:18" x14ac:dyDescent="0.4">
      <c r="C33" s="2212"/>
      <c r="D33" s="2212" t="s">
        <v>7811</v>
      </c>
      <c r="E33" s="2213">
        <v>0</v>
      </c>
      <c r="F33" s="2213">
        <v>0</v>
      </c>
      <c r="G33" s="2213">
        <v>0</v>
      </c>
      <c r="H33" s="2213">
        <v>0</v>
      </c>
      <c r="I33" s="2213">
        <v>0</v>
      </c>
      <c r="J33" s="2213">
        <v>0</v>
      </c>
      <c r="K33" s="2213">
        <v>0</v>
      </c>
      <c r="L33" s="2213">
        <v>0</v>
      </c>
      <c r="M33" s="2213">
        <v>0</v>
      </c>
      <c r="N33" s="2213">
        <v>0</v>
      </c>
      <c r="O33" s="2213">
        <v>0</v>
      </c>
      <c r="P33" s="2215">
        <v>0</v>
      </c>
      <c r="Q33" s="2213">
        <v>0</v>
      </c>
      <c r="R33" s="2216">
        <v>0</v>
      </c>
    </row>
    <row r="34" spans="3:18" x14ac:dyDescent="0.4">
      <c r="C34" s="2212"/>
      <c r="D34" s="2212" t="s">
        <v>7812</v>
      </c>
      <c r="E34" s="2213">
        <v>0</v>
      </c>
      <c r="F34" s="2213">
        <v>0</v>
      </c>
      <c r="G34" s="2213">
        <v>0</v>
      </c>
      <c r="H34" s="2213">
        <v>0</v>
      </c>
      <c r="I34" s="2213">
        <v>0</v>
      </c>
      <c r="J34" s="2213">
        <v>0</v>
      </c>
      <c r="K34" s="2213">
        <v>0</v>
      </c>
      <c r="L34" s="2213">
        <v>0</v>
      </c>
      <c r="M34" s="2213">
        <v>0</v>
      </c>
      <c r="N34" s="2213">
        <v>0</v>
      </c>
      <c r="O34" s="2213">
        <v>0</v>
      </c>
      <c r="P34" s="2215">
        <v>0</v>
      </c>
      <c r="Q34" s="2213">
        <v>0</v>
      </c>
      <c r="R34" s="2215">
        <v>0</v>
      </c>
    </row>
    <row r="35" spans="3:18" x14ac:dyDescent="0.4">
      <c r="C35" s="2212"/>
      <c r="D35" s="2212" t="s">
        <v>7813</v>
      </c>
      <c r="E35" s="2213">
        <f>+SUM(E32+E33+E34)</f>
        <v>0</v>
      </c>
      <c r="F35" s="2213">
        <f t="shared" ref="F35:Q35" si="7">+SUM(F32+F33+F34)</f>
        <v>0</v>
      </c>
      <c r="G35" s="2213">
        <f t="shared" si="7"/>
        <v>0</v>
      </c>
      <c r="H35" s="2213">
        <f t="shared" si="7"/>
        <v>0</v>
      </c>
      <c r="I35" s="2213">
        <f t="shared" si="7"/>
        <v>0</v>
      </c>
      <c r="J35" s="2213">
        <f t="shared" si="7"/>
        <v>0</v>
      </c>
      <c r="K35" s="2213">
        <f t="shared" si="7"/>
        <v>0</v>
      </c>
      <c r="L35" s="2213">
        <f t="shared" si="7"/>
        <v>0</v>
      </c>
      <c r="M35" s="2213">
        <f t="shared" si="7"/>
        <v>0</v>
      </c>
      <c r="N35" s="2213">
        <f t="shared" si="7"/>
        <v>0</v>
      </c>
      <c r="O35" s="2213">
        <f t="shared" si="7"/>
        <v>0</v>
      </c>
      <c r="P35" s="2215">
        <f t="shared" si="7"/>
        <v>0</v>
      </c>
      <c r="Q35" s="2213">
        <f t="shared" si="7"/>
        <v>0</v>
      </c>
      <c r="R35" s="2215">
        <f>+SUM(R32+R33+R34)</f>
        <v>0</v>
      </c>
    </row>
    <row r="36" spans="3:18" x14ac:dyDescent="0.4">
      <c r="C36" s="2212"/>
      <c r="D36" s="2217" t="s">
        <v>7814</v>
      </c>
      <c r="E36" s="2218">
        <f>+E31+E35</f>
        <v>33.214748157857684</v>
      </c>
      <c r="F36" s="2218">
        <f t="shared" ref="F36:R36" si="8">+F31+F35</f>
        <v>5.2504465691745281</v>
      </c>
      <c r="G36" s="2218">
        <f t="shared" si="8"/>
        <v>9.793032955378294</v>
      </c>
      <c r="H36" s="2218">
        <f t="shared" si="8"/>
        <v>9.9680149555206299</v>
      </c>
      <c r="I36" s="2218">
        <f t="shared" si="8"/>
        <v>67.324079575017095</v>
      </c>
      <c r="J36" s="2218">
        <f t="shared" si="8"/>
        <v>-0.66938793659210205</v>
      </c>
      <c r="K36" s="2218">
        <f t="shared" si="8"/>
        <v>4.8487126231193542</v>
      </c>
      <c r="L36" s="2218">
        <f t="shared" si="8"/>
        <v>-5.4101000000000008</v>
      </c>
      <c r="M36" s="2218">
        <f t="shared" si="8"/>
        <v>-2.5331888898428999E-3</v>
      </c>
      <c r="N36" s="2218">
        <f t="shared" si="8"/>
        <v>1.79479441434953</v>
      </c>
      <c r="O36" s="2218">
        <f t="shared" si="8"/>
        <v>2.0703211545221301</v>
      </c>
      <c r="P36" s="2219">
        <f t="shared" si="8"/>
        <v>-1.46573062309062</v>
      </c>
      <c r="Q36" s="2218">
        <f t="shared" si="8"/>
        <v>25.1</v>
      </c>
      <c r="R36" s="2218">
        <f t="shared" si="8"/>
        <v>-18.090238895812799</v>
      </c>
    </row>
    <row r="37" spans="3:18" x14ac:dyDescent="0.4">
      <c r="C37" s="2204" t="s">
        <v>5776</v>
      </c>
      <c r="D37" s="2205" t="s">
        <v>7809</v>
      </c>
      <c r="E37" s="2206">
        <v>12.621980668161996</v>
      </c>
      <c r="F37" s="2206">
        <v>6.8023605346679688</v>
      </c>
      <c r="G37" s="2206">
        <v>0.50651167263276875</v>
      </c>
      <c r="H37" s="2206">
        <v>17.571612048894167</v>
      </c>
      <c r="I37" s="2206">
        <v>3.1058806180953979</v>
      </c>
      <c r="J37" s="2206">
        <v>167.24634063243866</v>
      </c>
      <c r="K37" s="2206">
        <v>1.510820746421814</v>
      </c>
      <c r="L37" s="2206">
        <v>1.3989</v>
      </c>
      <c r="M37" s="2206">
        <v>1.3227249635128799</v>
      </c>
      <c r="N37" s="2206">
        <v>0.51987913504716698</v>
      </c>
      <c r="O37" s="1758">
        <v>0.12618454697715401</v>
      </c>
      <c r="P37" s="2207">
        <v>0</v>
      </c>
      <c r="Q37" s="536"/>
      <c r="R37" s="2207">
        <v>0</v>
      </c>
    </row>
    <row r="38" spans="3:18" x14ac:dyDescent="0.4">
      <c r="C38" s="2204"/>
      <c r="D38" s="2205" t="s">
        <v>7810</v>
      </c>
      <c r="E38" s="2206">
        <v>0</v>
      </c>
      <c r="F38" s="2206">
        <v>0</v>
      </c>
      <c r="G38" s="2206">
        <v>0</v>
      </c>
      <c r="H38" s="2206">
        <v>0</v>
      </c>
      <c r="I38" s="2206">
        <v>0</v>
      </c>
      <c r="J38" s="2206">
        <v>0</v>
      </c>
      <c r="K38" s="2206">
        <v>0</v>
      </c>
      <c r="L38" s="2206">
        <v>0</v>
      </c>
      <c r="M38" s="2206">
        <v>0</v>
      </c>
      <c r="N38" s="2206">
        <v>0</v>
      </c>
      <c r="O38" s="2206">
        <v>0</v>
      </c>
      <c r="P38" s="2207">
        <v>0</v>
      </c>
      <c r="Q38" s="416">
        <v>0</v>
      </c>
      <c r="R38" s="1578">
        <v>0</v>
      </c>
    </row>
    <row r="39" spans="3:18" x14ac:dyDescent="0.4">
      <c r="C39" s="2204"/>
      <c r="D39" s="2205" t="s">
        <v>7811</v>
      </c>
      <c r="E39" s="2206">
        <v>0</v>
      </c>
      <c r="F39" s="2206">
        <v>0</v>
      </c>
      <c r="G39" s="2206">
        <v>0</v>
      </c>
      <c r="H39" s="2206">
        <v>0</v>
      </c>
      <c r="I39" s="2206">
        <v>0</v>
      </c>
      <c r="J39" s="2206">
        <v>0</v>
      </c>
      <c r="K39" s="2206">
        <v>0</v>
      </c>
      <c r="L39" s="2206">
        <v>0</v>
      </c>
      <c r="M39" s="2206">
        <v>0</v>
      </c>
      <c r="N39" s="2206">
        <v>0</v>
      </c>
      <c r="O39" s="2206">
        <v>0</v>
      </c>
      <c r="P39" s="2207">
        <v>0</v>
      </c>
      <c r="Q39" s="416">
        <v>0</v>
      </c>
      <c r="R39" s="1578">
        <v>0</v>
      </c>
    </row>
    <row r="40" spans="3:18" x14ac:dyDescent="0.4">
      <c r="C40" s="2204"/>
      <c r="D40" s="2205" t="s">
        <v>7812</v>
      </c>
      <c r="E40" s="2206">
        <v>0</v>
      </c>
      <c r="F40" s="2206">
        <v>0</v>
      </c>
      <c r="G40" s="2206">
        <v>0</v>
      </c>
      <c r="H40" s="2206">
        <v>0</v>
      </c>
      <c r="I40" s="2206">
        <v>0</v>
      </c>
      <c r="J40" s="2206">
        <v>0</v>
      </c>
      <c r="K40" s="2206">
        <v>0</v>
      </c>
      <c r="L40" s="2206">
        <v>0</v>
      </c>
      <c r="M40" s="2206">
        <v>0</v>
      </c>
      <c r="N40" s="2206">
        <v>0</v>
      </c>
      <c r="O40" s="2206">
        <v>0</v>
      </c>
      <c r="P40" s="2207">
        <v>0</v>
      </c>
      <c r="Q40" s="416">
        <v>0</v>
      </c>
      <c r="R40" s="2207">
        <v>0</v>
      </c>
    </row>
    <row r="41" spans="3:18" x14ac:dyDescent="0.4">
      <c r="C41" s="2204"/>
      <c r="D41" s="2205" t="s">
        <v>7813</v>
      </c>
      <c r="E41" s="2206">
        <f>+SUM(E38+E39+E40)</f>
        <v>0</v>
      </c>
      <c r="F41" s="2206">
        <f t="shared" ref="F41:Q41" si="9">+SUM(F38+F39+F40)</f>
        <v>0</v>
      </c>
      <c r="G41" s="2206">
        <f t="shared" si="9"/>
        <v>0</v>
      </c>
      <c r="H41" s="2206">
        <f t="shared" si="9"/>
        <v>0</v>
      </c>
      <c r="I41" s="2206">
        <f t="shared" si="9"/>
        <v>0</v>
      </c>
      <c r="J41" s="2206">
        <f t="shared" si="9"/>
        <v>0</v>
      </c>
      <c r="K41" s="2206">
        <f t="shared" si="9"/>
        <v>0</v>
      </c>
      <c r="L41" s="2206">
        <f t="shared" si="9"/>
        <v>0</v>
      </c>
      <c r="M41" s="2206">
        <f t="shared" si="9"/>
        <v>0</v>
      </c>
      <c r="N41" s="2206">
        <f t="shared" si="9"/>
        <v>0</v>
      </c>
      <c r="O41" s="2206">
        <f t="shared" si="9"/>
        <v>0</v>
      </c>
      <c r="P41" s="2207">
        <f t="shared" si="9"/>
        <v>0</v>
      </c>
      <c r="Q41" s="416">
        <f t="shared" si="9"/>
        <v>0</v>
      </c>
      <c r="R41" s="2207">
        <f>+SUM(R38+R39+R40)</f>
        <v>0</v>
      </c>
    </row>
    <row r="42" spans="3:18" x14ac:dyDescent="0.4">
      <c r="C42" s="2204"/>
      <c r="D42" s="2208" t="s">
        <v>7814</v>
      </c>
      <c r="E42" s="2209">
        <f>+E37+E41</f>
        <v>12.621980668161996</v>
      </c>
      <c r="F42" s="2209">
        <f t="shared" ref="F42:R42" si="10">+F37+F41</f>
        <v>6.8023605346679688</v>
      </c>
      <c r="G42" s="2209">
        <f t="shared" si="10"/>
        <v>0.50651167263276875</v>
      </c>
      <c r="H42" s="2209">
        <f t="shared" si="10"/>
        <v>17.571612048894167</v>
      </c>
      <c r="I42" s="2209">
        <f t="shared" si="10"/>
        <v>3.1058806180953979</v>
      </c>
      <c r="J42" s="2209">
        <f t="shared" si="10"/>
        <v>167.24634063243866</v>
      </c>
      <c r="K42" s="2209">
        <f t="shared" si="10"/>
        <v>1.510820746421814</v>
      </c>
      <c r="L42" s="2209">
        <f t="shared" si="10"/>
        <v>1.3989</v>
      </c>
      <c r="M42" s="2209">
        <f t="shared" si="10"/>
        <v>1.3227249635128799</v>
      </c>
      <c r="N42" s="2209">
        <f t="shared" si="10"/>
        <v>0.51987913504716698</v>
      </c>
      <c r="O42" s="2209">
        <f t="shared" si="10"/>
        <v>0.12618454697715401</v>
      </c>
      <c r="P42" s="2210">
        <f t="shared" si="10"/>
        <v>0</v>
      </c>
      <c r="Q42" s="2211">
        <f t="shared" si="10"/>
        <v>0</v>
      </c>
      <c r="R42" s="2210">
        <f t="shared" si="10"/>
        <v>0</v>
      </c>
    </row>
    <row r="43" spans="3:18" x14ac:dyDescent="0.4">
      <c r="C43" s="2212" t="s">
        <v>7815</v>
      </c>
      <c r="D43" s="2212" t="s">
        <v>7809</v>
      </c>
      <c r="E43" s="2213">
        <v>12.621980668161996</v>
      </c>
      <c r="F43" s="2213">
        <v>6.8023605346679688</v>
      </c>
      <c r="G43" s="2213">
        <v>0.50651167263276875</v>
      </c>
      <c r="H43" s="2213">
        <v>17.571612048894167</v>
      </c>
      <c r="I43" s="2213">
        <v>3.1058806180953979</v>
      </c>
      <c r="J43" s="2213">
        <v>167.24634063243866</v>
      </c>
      <c r="K43" s="2213">
        <v>1.510820746421814</v>
      </c>
      <c r="L43" s="2213">
        <v>1.3989</v>
      </c>
      <c r="M43" s="2213">
        <v>1.3227249635128799</v>
      </c>
      <c r="N43" s="2213">
        <v>0.51987913504716698</v>
      </c>
      <c r="O43" s="2214">
        <v>0.12618454697715401</v>
      </c>
      <c r="P43" s="2215">
        <v>0</v>
      </c>
      <c r="Q43" s="2216"/>
      <c r="R43" s="2215">
        <v>0</v>
      </c>
    </row>
    <row r="44" spans="3:18" x14ac:dyDescent="0.4">
      <c r="C44" s="2212"/>
      <c r="D44" s="2212" t="s">
        <v>7810</v>
      </c>
      <c r="E44" s="2213">
        <v>0</v>
      </c>
      <c r="F44" s="2213">
        <v>0</v>
      </c>
      <c r="G44" s="2213">
        <v>0</v>
      </c>
      <c r="H44" s="2213">
        <v>0</v>
      </c>
      <c r="I44" s="2213">
        <v>0</v>
      </c>
      <c r="J44" s="2213">
        <v>0</v>
      </c>
      <c r="K44" s="2213">
        <v>0</v>
      </c>
      <c r="L44" s="2213">
        <v>0</v>
      </c>
      <c r="M44" s="2213">
        <v>0</v>
      </c>
      <c r="N44" s="2213">
        <v>0</v>
      </c>
      <c r="O44" s="2213">
        <v>0</v>
      </c>
      <c r="P44" s="2215">
        <v>0</v>
      </c>
      <c r="Q44" s="2213">
        <v>0</v>
      </c>
      <c r="R44" s="2216">
        <v>0</v>
      </c>
    </row>
    <row r="45" spans="3:18" x14ac:dyDescent="0.4">
      <c r="C45" s="2212"/>
      <c r="D45" s="2212" t="s">
        <v>7811</v>
      </c>
      <c r="E45" s="2213">
        <v>0</v>
      </c>
      <c r="F45" s="2213">
        <v>0</v>
      </c>
      <c r="G45" s="2213">
        <v>0</v>
      </c>
      <c r="H45" s="2213">
        <v>0</v>
      </c>
      <c r="I45" s="2213">
        <v>0</v>
      </c>
      <c r="J45" s="2213">
        <v>0</v>
      </c>
      <c r="K45" s="2213">
        <v>0</v>
      </c>
      <c r="L45" s="2213">
        <v>0</v>
      </c>
      <c r="M45" s="2213">
        <v>0</v>
      </c>
      <c r="N45" s="2213">
        <v>0</v>
      </c>
      <c r="O45" s="2213">
        <v>0</v>
      </c>
      <c r="P45" s="2215">
        <v>0</v>
      </c>
      <c r="Q45" s="2213">
        <v>0</v>
      </c>
      <c r="R45" s="2216">
        <v>1.43</v>
      </c>
    </row>
    <row r="46" spans="3:18" x14ac:dyDescent="0.4">
      <c r="C46" s="2212"/>
      <c r="D46" s="2212" t="s">
        <v>7812</v>
      </c>
      <c r="E46" s="2213">
        <v>0</v>
      </c>
      <c r="F46" s="2213">
        <v>0</v>
      </c>
      <c r="G46" s="2213">
        <v>0</v>
      </c>
      <c r="H46" s="2213">
        <v>0</v>
      </c>
      <c r="I46" s="2213">
        <v>0</v>
      </c>
      <c r="J46" s="2213">
        <v>0</v>
      </c>
      <c r="K46" s="2213">
        <v>0</v>
      </c>
      <c r="L46" s="2213">
        <v>0</v>
      </c>
      <c r="M46" s="2213">
        <v>0</v>
      </c>
      <c r="N46" s="2213">
        <v>0</v>
      </c>
      <c r="O46" s="2213">
        <v>0</v>
      </c>
      <c r="P46" s="2215">
        <v>0</v>
      </c>
      <c r="Q46" s="2213">
        <v>0</v>
      </c>
      <c r="R46" s="2215">
        <v>0</v>
      </c>
    </row>
    <row r="47" spans="3:18" x14ac:dyDescent="0.4">
      <c r="C47" s="2212"/>
      <c r="D47" s="2212" t="s">
        <v>7813</v>
      </c>
      <c r="E47" s="2213">
        <f>+SUM(E44+E45+E46)</f>
        <v>0</v>
      </c>
      <c r="F47" s="2213">
        <f t="shared" ref="F47:Q47" si="11">+SUM(F44+F45+F46)</f>
        <v>0</v>
      </c>
      <c r="G47" s="2213">
        <f t="shared" si="11"/>
        <v>0</v>
      </c>
      <c r="H47" s="2213">
        <f t="shared" si="11"/>
        <v>0</v>
      </c>
      <c r="I47" s="2213">
        <f t="shared" si="11"/>
        <v>0</v>
      </c>
      <c r="J47" s="2213">
        <f t="shared" si="11"/>
        <v>0</v>
      </c>
      <c r="K47" s="2213">
        <f t="shared" si="11"/>
        <v>0</v>
      </c>
      <c r="L47" s="2213">
        <f t="shared" si="11"/>
        <v>0</v>
      </c>
      <c r="M47" s="2213">
        <f t="shared" si="11"/>
        <v>0</v>
      </c>
      <c r="N47" s="2213">
        <f t="shared" si="11"/>
        <v>0</v>
      </c>
      <c r="O47" s="2213">
        <f t="shared" si="11"/>
        <v>0</v>
      </c>
      <c r="P47" s="2215">
        <f t="shared" si="11"/>
        <v>0</v>
      </c>
      <c r="Q47" s="2213">
        <f t="shared" si="11"/>
        <v>0</v>
      </c>
      <c r="R47" s="2215">
        <f>+SUM(R44+R45+R46)</f>
        <v>1.43</v>
      </c>
    </row>
    <row r="48" spans="3:18" x14ac:dyDescent="0.4">
      <c r="C48" s="2212"/>
      <c r="D48" s="2217" t="s">
        <v>7814</v>
      </c>
      <c r="E48" s="2218">
        <f>+E43+E47</f>
        <v>12.621980668161996</v>
      </c>
      <c r="F48" s="2218">
        <f t="shared" ref="F48:R48" si="12">+F43+F47</f>
        <v>6.8023605346679688</v>
      </c>
      <c r="G48" s="2218">
        <f t="shared" si="12"/>
        <v>0.50651167263276875</v>
      </c>
      <c r="H48" s="2218">
        <f t="shared" si="12"/>
        <v>17.571612048894167</v>
      </c>
      <c r="I48" s="2218">
        <f t="shared" si="12"/>
        <v>3.1058806180953979</v>
      </c>
      <c r="J48" s="2218">
        <f t="shared" si="12"/>
        <v>167.24634063243866</v>
      </c>
      <c r="K48" s="2218">
        <f t="shared" si="12"/>
        <v>1.510820746421814</v>
      </c>
      <c r="L48" s="2218">
        <f t="shared" si="12"/>
        <v>1.3989</v>
      </c>
      <c r="M48" s="2218">
        <f t="shared" si="12"/>
        <v>1.3227249635128799</v>
      </c>
      <c r="N48" s="2218">
        <f t="shared" si="12"/>
        <v>0.51987913504716698</v>
      </c>
      <c r="O48" s="2218">
        <f t="shared" si="12"/>
        <v>0.12618454697715401</v>
      </c>
      <c r="P48" s="2219">
        <f t="shared" si="12"/>
        <v>0</v>
      </c>
      <c r="Q48" s="2218">
        <f t="shared" si="12"/>
        <v>0</v>
      </c>
      <c r="R48" s="2218">
        <f t="shared" si="12"/>
        <v>1.43</v>
      </c>
    </row>
    <row r="49" spans="3:18" x14ac:dyDescent="0.4">
      <c r="C49" s="2204" t="s">
        <v>7816</v>
      </c>
      <c r="D49" s="2205" t="s">
        <v>7809</v>
      </c>
      <c r="E49" s="2206">
        <v>0</v>
      </c>
      <c r="F49" s="2206">
        <v>1658.7005399940535</v>
      </c>
      <c r="G49" s="2206">
        <v>1015.0630441168323</v>
      </c>
      <c r="H49" s="2206">
        <v>1086.7285649627447</v>
      </c>
      <c r="I49" s="2206">
        <v>1174.7602338269353</v>
      </c>
      <c r="J49" s="2206">
        <v>1411.150729784742</v>
      </c>
      <c r="K49" s="2206">
        <v>882.69976674765348</v>
      </c>
      <c r="L49" s="2206">
        <v>1720.7293</v>
      </c>
      <c r="M49" s="2206">
        <v>1748.56272109473</v>
      </c>
      <c r="N49" s="2206">
        <v>2069.59779568255</v>
      </c>
      <c r="O49" s="1758">
        <v>1296.0179426473701</v>
      </c>
      <c r="P49" s="2207">
        <v>2610.7630609384801</v>
      </c>
      <c r="Q49" s="536">
        <v>0</v>
      </c>
      <c r="R49" s="2207">
        <v>0</v>
      </c>
    </row>
    <row r="50" spans="3:18" x14ac:dyDescent="0.4">
      <c r="C50" s="2204"/>
      <c r="D50" s="2205" t="s">
        <v>7810</v>
      </c>
      <c r="E50" s="2206">
        <v>0</v>
      </c>
      <c r="F50" s="2206">
        <v>37.9</v>
      </c>
      <c r="G50" s="2206">
        <v>0</v>
      </c>
      <c r="H50" s="2206">
        <v>0</v>
      </c>
      <c r="I50" s="2206">
        <v>20.6</v>
      </c>
      <c r="J50" s="2206">
        <v>6.4</v>
      </c>
      <c r="K50" s="2206">
        <v>10.3</v>
      </c>
      <c r="L50" s="2206">
        <v>0</v>
      </c>
      <c r="M50" s="2206">
        <v>0</v>
      </c>
      <c r="N50" s="2206">
        <v>0</v>
      </c>
      <c r="O50" s="2206">
        <v>0</v>
      </c>
      <c r="P50" s="2207">
        <v>0</v>
      </c>
      <c r="Q50" s="416">
        <v>0</v>
      </c>
      <c r="R50" s="1578">
        <v>0.01</v>
      </c>
    </row>
    <row r="51" spans="3:18" x14ac:dyDescent="0.4">
      <c r="C51" s="2204"/>
      <c r="D51" s="2205" t="s">
        <v>7811</v>
      </c>
      <c r="E51" s="2206">
        <v>0</v>
      </c>
      <c r="F51" s="2206">
        <v>0</v>
      </c>
      <c r="G51" s="2206">
        <v>3.5</v>
      </c>
      <c r="H51" s="2206">
        <v>0</v>
      </c>
      <c r="I51" s="2206">
        <v>10.5</v>
      </c>
      <c r="J51" s="2206">
        <v>13</v>
      </c>
      <c r="K51" s="2206">
        <v>7.8</v>
      </c>
      <c r="L51" s="2206">
        <v>32.5</v>
      </c>
      <c r="M51" s="2206">
        <v>41</v>
      </c>
      <c r="N51" s="2206">
        <v>41</v>
      </c>
      <c r="O51" s="2206">
        <v>6.56</v>
      </c>
      <c r="P51" s="2207">
        <v>12.25</v>
      </c>
      <c r="Q51" s="416">
        <v>0</v>
      </c>
      <c r="R51" s="1578">
        <v>0</v>
      </c>
    </row>
    <row r="52" spans="3:18" x14ac:dyDescent="0.4">
      <c r="C52" s="2204"/>
      <c r="D52" s="2205" t="s">
        <v>7812</v>
      </c>
      <c r="E52" s="2206">
        <v>0</v>
      </c>
      <c r="F52" s="2206">
        <v>0</v>
      </c>
      <c r="G52" s="2206">
        <v>0</v>
      </c>
      <c r="H52" s="2206">
        <v>0</v>
      </c>
      <c r="I52" s="2206">
        <v>0</v>
      </c>
      <c r="J52" s="2206">
        <v>0</v>
      </c>
      <c r="K52" s="2206">
        <v>0</v>
      </c>
      <c r="L52" s="2206">
        <v>0</v>
      </c>
      <c r="M52" s="2206">
        <v>0</v>
      </c>
      <c r="N52" s="2206">
        <v>0</v>
      </c>
      <c r="O52" s="2206">
        <v>0</v>
      </c>
      <c r="P52" s="2207">
        <v>0</v>
      </c>
      <c r="Q52" s="416">
        <v>0</v>
      </c>
      <c r="R52" s="2207">
        <v>0</v>
      </c>
    </row>
    <row r="53" spans="3:18" x14ac:dyDescent="0.4">
      <c r="C53" s="2204"/>
      <c r="D53" s="2205" t="s">
        <v>7813</v>
      </c>
      <c r="E53" s="2206">
        <f>+SUM(E50+E51+E52)</f>
        <v>0</v>
      </c>
      <c r="F53" s="2206">
        <f t="shared" ref="F53:P53" si="13">+SUM(F50+F51+F52)</f>
        <v>37.9</v>
      </c>
      <c r="G53" s="2206">
        <f t="shared" si="13"/>
        <v>3.5</v>
      </c>
      <c r="H53" s="2206">
        <f t="shared" si="13"/>
        <v>0</v>
      </c>
      <c r="I53" s="2206">
        <f t="shared" si="13"/>
        <v>31.1</v>
      </c>
      <c r="J53" s="2206">
        <f t="shared" si="13"/>
        <v>19.399999999999999</v>
      </c>
      <c r="K53" s="2206">
        <f t="shared" si="13"/>
        <v>18.100000000000001</v>
      </c>
      <c r="L53" s="2206">
        <f t="shared" si="13"/>
        <v>32.5</v>
      </c>
      <c r="M53" s="2206">
        <f t="shared" si="13"/>
        <v>41</v>
      </c>
      <c r="N53" s="2206">
        <f t="shared" si="13"/>
        <v>41</v>
      </c>
      <c r="O53" s="2206">
        <f t="shared" si="13"/>
        <v>6.56</v>
      </c>
      <c r="P53" s="2207">
        <f t="shared" si="13"/>
        <v>12.25</v>
      </c>
      <c r="Q53" s="416">
        <f>+SUM(Q50+Q51+Q52)</f>
        <v>0</v>
      </c>
      <c r="R53" s="2207">
        <f>+SUM(R50+R51+R52)</f>
        <v>0.01</v>
      </c>
    </row>
    <row r="54" spans="3:18" x14ac:dyDescent="0.4">
      <c r="C54" s="2204"/>
      <c r="D54" s="2208" t="s">
        <v>7814</v>
      </c>
      <c r="E54" s="2209">
        <f>+E49+E53</f>
        <v>0</v>
      </c>
      <c r="F54" s="2209">
        <f t="shared" ref="F54:R54" si="14">+F49+F53</f>
        <v>1696.6005399940536</v>
      </c>
      <c r="G54" s="2209">
        <f t="shared" si="14"/>
        <v>1018.5630441168323</v>
      </c>
      <c r="H54" s="2209">
        <f t="shared" si="14"/>
        <v>1086.7285649627447</v>
      </c>
      <c r="I54" s="2209">
        <f t="shared" si="14"/>
        <v>1205.8602338269352</v>
      </c>
      <c r="J54" s="2209">
        <f t="shared" si="14"/>
        <v>1430.5507297847421</v>
      </c>
      <c r="K54" s="2209">
        <f t="shared" si="14"/>
        <v>900.79976674765351</v>
      </c>
      <c r="L54" s="2209">
        <f t="shared" si="14"/>
        <v>1753.2293</v>
      </c>
      <c r="M54" s="2209">
        <f t="shared" si="14"/>
        <v>1789.56272109473</v>
      </c>
      <c r="N54" s="2209">
        <f t="shared" si="14"/>
        <v>2110.59779568255</v>
      </c>
      <c r="O54" s="2209">
        <f t="shared" si="14"/>
        <v>1302.57794264737</v>
      </c>
      <c r="P54" s="2210">
        <f t="shared" si="14"/>
        <v>2623.0130609384801</v>
      </c>
      <c r="Q54" s="2211">
        <f t="shared" si="14"/>
        <v>0</v>
      </c>
      <c r="R54" s="2210">
        <f t="shared" si="14"/>
        <v>0.01</v>
      </c>
    </row>
    <row r="55" spans="3:18" x14ac:dyDescent="0.4">
      <c r="C55" s="2212" t="s">
        <v>7817</v>
      </c>
      <c r="D55" s="2212" t="s">
        <v>7809</v>
      </c>
      <c r="E55" s="2213">
        <v>0</v>
      </c>
      <c r="F55" s="2213">
        <v>1658.7005399940535</v>
      </c>
      <c r="G55" s="2213">
        <v>1015.0630441168323</v>
      </c>
      <c r="H55" s="2213">
        <v>1086.7285649627447</v>
      </c>
      <c r="I55" s="2213">
        <v>1174.7602338269353</v>
      </c>
      <c r="J55" s="2213">
        <v>1411.150729784742</v>
      </c>
      <c r="K55" s="2213">
        <v>882.69976674765348</v>
      </c>
      <c r="L55" s="2213">
        <v>1720.7293</v>
      </c>
      <c r="M55" s="2213">
        <v>1748.56272109473</v>
      </c>
      <c r="N55" s="2213">
        <v>2069.59779568255</v>
      </c>
      <c r="O55" s="2214">
        <v>1296.0179426473701</v>
      </c>
      <c r="P55" s="2215">
        <v>2610.7630609384801</v>
      </c>
      <c r="Q55" s="2216">
        <v>0</v>
      </c>
      <c r="R55" s="2215">
        <v>0</v>
      </c>
    </row>
    <row r="56" spans="3:18" x14ac:dyDescent="0.4">
      <c r="C56" s="2212"/>
      <c r="D56" s="2212" t="s">
        <v>7810</v>
      </c>
      <c r="E56" s="2213">
        <v>0</v>
      </c>
      <c r="F56" s="2213">
        <v>37.9</v>
      </c>
      <c r="G56" s="2213">
        <v>0</v>
      </c>
      <c r="H56" s="2213">
        <v>0</v>
      </c>
      <c r="I56" s="2213">
        <v>20.6</v>
      </c>
      <c r="J56" s="2213">
        <v>6.4</v>
      </c>
      <c r="K56" s="2213">
        <v>10.3</v>
      </c>
      <c r="L56" s="2213">
        <v>0</v>
      </c>
      <c r="M56" s="2213">
        <v>0</v>
      </c>
      <c r="N56" s="2213">
        <v>0</v>
      </c>
      <c r="O56" s="2213">
        <v>0</v>
      </c>
      <c r="P56" s="2215">
        <v>0</v>
      </c>
      <c r="Q56" s="2213">
        <v>0</v>
      </c>
      <c r="R56" s="2216">
        <v>0</v>
      </c>
    </row>
    <row r="57" spans="3:18" x14ac:dyDescent="0.4">
      <c r="C57" s="2212"/>
      <c r="D57" s="2212" t="s">
        <v>7811</v>
      </c>
      <c r="E57" s="2213">
        <v>0</v>
      </c>
      <c r="F57" s="2213">
        <v>0</v>
      </c>
      <c r="G57" s="2213">
        <v>3.5</v>
      </c>
      <c r="H57" s="2213">
        <v>0</v>
      </c>
      <c r="I57" s="2213">
        <v>10.5</v>
      </c>
      <c r="J57" s="2213">
        <v>13</v>
      </c>
      <c r="K57" s="2213">
        <v>7.8</v>
      </c>
      <c r="L57" s="2213">
        <v>32.5</v>
      </c>
      <c r="M57" s="2213">
        <v>41</v>
      </c>
      <c r="N57" s="2213">
        <v>41</v>
      </c>
      <c r="O57" s="2213">
        <v>6.56</v>
      </c>
      <c r="P57" s="2215">
        <v>12.25</v>
      </c>
      <c r="Q57" s="2213">
        <v>0</v>
      </c>
      <c r="R57" s="2216">
        <v>0.01</v>
      </c>
    </row>
    <row r="58" spans="3:18" x14ac:dyDescent="0.4">
      <c r="C58" s="2212"/>
      <c r="D58" s="2212" t="s">
        <v>7812</v>
      </c>
      <c r="E58" s="2213">
        <v>0</v>
      </c>
      <c r="F58" s="2213">
        <v>0</v>
      </c>
      <c r="G58" s="2213">
        <v>0</v>
      </c>
      <c r="H58" s="2213">
        <v>0</v>
      </c>
      <c r="I58" s="2213">
        <v>0</v>
      </c>
      <c r="J58" s="2213">
        <v>0</v>
      </c>
      <c r="K58" s="2213">
        <v>0</v>
      </c>
      <c r="L58" s="2213">
        <v>0</v>
      </c>
      <c r="M58" s="2213">
        <v>0</v>
      </c>
      <c r="N58" s="2213">
        <v>0</v>
      </c>
      <c r="O58" s="2213">
        <v>0</v>
      </c>
      <c r="P58" s="2215">
        <v>0</v>
      </c>
      <c r="Q58" s="2213">
        <v>0</v>
      </c>
      <c r="R58" s="2215">
        <v>0</v>
      </c>
    </row>
    <row r="59" spans="3:18" x14ac:dyDescent="0.4">
      <c r="C59" s="2212"/>
      <c r="D59" s="2212" t="s">
        <v>7813</v>
      </c>
      <c r="E59" s="2213">
        <f>+SUM(E56+E57+E58)</f>
        <v>0</v>
      </c>
      <c r="F59" s="2213">
        <f t="shared" ref="F59:P59" si="15">+SUM(F56+F57+F58)</f>
        <v>37.9</v>
      </c>
      <c r="G59" s="2213">
        <f t="shared" si="15"/>
        <v>3.5</v>
      </c>
      <c r="H59" s="2213">
        <f t="shared" si="15"/>
        <v>0</v>
      </c>
      <c r="I59" s="2213">
        <f t="shared" si="15"/>
        <v>31.1</v>
      </c>
      <c r="J59" s="2213">
        <f t="shared" si="15"/>
        <v>19.399999999999999</v>
      </c>
      <c r="K59" s="2213">
        <f t="shared" si="15"/>
        <v>18.100000000000001</v>
      </c>
      <c r="L59" s="2213">
        <f t="shared" si="15"/>
        <v>32.5</v>
      </c>
      <c r="M59" s="2213">
        <f t="shared" si="15"/>
        <v>41</v>
      </c>
      <c r="N59" s="2213">
        <f t="shared" si="15"/>
        <v>41</v>
      </c>
      <c r="O59" s="2213">
        <f t="shared" si="15"/>
        <v>6.56</v>
      </c>
      <c r="P59" s="2215">
        <f t="shared" si="15"/>
        <v>12.25</v>
      </c>
      <c r="Q59" s="2213">
        <f>+SUM(Q56+Q57+Q58)</f>
        <v>0</v>
      </c>
      <c r="R59" s="2215">
        <f>+SUM(R56+R57+R58)</f>
        <v>0.01</v>
      </c>
    </row>
    <row r="60" spans="3:18" x14ac:dyDescent="0.4">
      <c r="C60" s="2212"/>
      <c r="D60" s="2217" t="s">
        <v>7814</v>
      </c>
      <c r="E60" s="2218">
        <f>+E55+E59</f>
        <v>0</v>
      </c>
      <c r="F60" s="2218">
        <f t="shared" ref="F60:R60" si="16">+F55+F59</f>
        <v>1696.6005399940536</v>
      </c>
      <c r="G60" s="2218">
        <f t="shared" si="16"/>
        <v>1018.5630441168323</v>
      </c>
      <c r="H60" s="2218">
        <f t="shared" si="16"/>
        <v>1086.7285649627447</v>
      </c>
      <c r="I60" s="2218">
        <f t="shared" si="16"/>
        <v>1205.8602338269352</v>
      </c>
      <c r="J60" s="2218">
        <f t="shared" si="16"/>
        <v>1430.5507297847421</v>
      </c>
      <c r="K60" s="2218">
        <f t="shared" si="16"/>
        <v>900.79976674765351</v>
      </c>
      <c r="L60" s="2218">
        <f t="shared" si="16"/>
        <v>1753.2293</v>
      </c>
      <c r="M60" s="2218">
        <f t="shared" si="16"/>
        <v>1789.56272109473</v>
      </c>
      <c r="N60" s="2218">
        <f t="shared" si="16"/>
        <v>2110.59779568255</v>
      </c>
      <c r="O60" s="2218">
        <f t="shared" si="16"/>
        <v>1302.57794264737</v>
      </c>
      <c r="P60" s="2219">
        <f t="shared" si="16"/>
        <v>2623.0130609384801</v>
      </c>
      <c r="Q60" s="2218">
        <f t="shared" si="16"/>
        <v>0</v>
      </c>
      <c r="R60" s="2218">
        <f t="shared" si="16"/>
        <v>0.01</v>
      </c>
    </row>
    <row r="61" spans="3:18" x14ac:dyDescent="0.4">
      <c r="C61" s="2204" t="s">
        <v>7818</v>
      </c>
      <c r="D61" s="2205" t="s">
        <v>7809</v>
      </c>
      <c r="E61" s="2206">
        <v>0</v>
      </c>
      <c r="F61" s="2206">
        <v>1658.7005399940535</v>
      </c>
      <c r="G61" s="2206">
        <v>1015.0630441168323</v>
      </c>
      <c r="H61" s="2206">
        <v>1086.7285649627447</v>
      </c>
      <c r="I61" s="2206">
        <v>1174.7602338269353</v>
      </c>
      <c r="J61" s="2206">
        <v>1411.150729784742</v>
      </c>
      <c r="K61" s="2206">
        <v>882.69976674765348</v>
      </c>
      <c r="L61" s="2206">
        <v>1720.7293</v>
      </c>
      <c r="M61" s="2206">
        <v>1748.56272109473</v>
      </c>
      <c r="N61" s="2206">
        <v>2069.59779568255</v>
      </c>
      <c r="O61" s="1758">
        <v>1296.0179426473701</v>
      </c>
      <c r="P61" s="2207">
        <v>2610.7630609384801</v>
      </c>
      <c r="Q61" s="536">
        <v>0</v>
      </c>
      <c r="R61" s="2207">
        <v>0</v>
      </c>
    </row>
    <row r="62" spans="3:18" x14ac:dyDescent="0.4">
      <c r="C62" s="2204"/>
      <c r="D62" s="2205" t="s">
        <v>7810</v>
      </c>
      <c r="E62" s="2206">
        <v>0</v>
      </c>
      <c r="F62" s="2206">
        <v>37.9</v>
      </c>
      <c r="G62" s="2206">
        <v>0</v>
      </c>
      <c r="H62" s="2206">
        <v>0</v>
      </c>
      <c r="I62" s="2206">
        <v>20.6</v>
      </c>
      <c r="J62" s="2206">
        <v>6.4</v>
      </c>
      <c r="K62" s="2206">
        <v>10.3</v>
      </c>
      <c r="L62" s="2206">
        <v>0</v>
      </c>
      <c r="M62" s="2206">
        <v>0</v>
      </c>
      <c r="N62" s="2206">
        <v>0</v>
      </c>
      <c r="O62" s="2206">
        <v>0</v>
      </c>
      <c r="P62" s="2207">
        <v>0</v>
      </c>
      <c r="Q62" s="416">
        <v>0</v>
      </c>
      <c r="R62" s="1578">
        <v>0</v>
      </c>
    </row>
    <row r="63" spans="3:18" x14ac:dyDescent="0.4">
      <c r="C63" s="2204"/>
      <c r="D63" s="2205" t="s">
        <v>7811</v>
      </c>
      <c r="E63" s="2206">
        <v>0</v>
      </c>
      <c r="F63" s="2206">
        <v>0</v>
      </c>
      <c r="G63" s="2206">
        <v>3.5</v>
      </c>
      <c r="H63" s="2206">
        <v>0</v>
      </c>
      <c r="I63" s="2206">
        <v>10.5</v>
      </c>
      <c r="J63" s="2206">
        <v>13</v>
      </c>
      <c r="K63" s="2206">
        <v>7.8</v>
      </c>
      <c r="L63" s="2206">
        <v>32.5</v>
      </c>
      <c r="M63" s="2206">
        <v>41</v>
      </c>
      <c r="N63" s="2206">
        <v>41</v>
      </c>
      <c r="O63" s="2206">
        <v>6.56</v>
      </c>
      <c r="P63" s="2207">
        <v>12.25</v>
      </c>
      <c r="Q63" s="416">
        <v>0</v>
      </c>
      <c r="R63" s="1578">
        <v>0.1</v>
      </c>
    </row>
    <row r="64" spans="3:18" x14ac:dyDescent="0.4">
      <c r="C64" s="2204"/>
      <c r="D64" s="2205" t="s">
        <v>7812</v>
      </c>
      <c r="E64" s="2206">
        <v>0</v>
      </c>
      <c r="F64" s="2206">
        <v>0</v>
      </c>
      <c r="G64" s="2206">
        <v>0</v>
      </c>
      <c r="H64" s="2206">
        <v>0</v>
      </c>
      <c r="I64" s="2206">
        <v>0</v>
      </c>
      <c r="J64" s="2206">
        <v>0</v>
      </c>
      <c r="K64" s="2206">
        <v>0</v>
      </c>
      <c r="L64" s="2206">
        <v>0</v>
      </c>
      <c r="M64" s="2206">
        <v>0</v>
      </c>
      <c r="N64" s="2206">
        <v>0</v>
      </c>
      <c r="O64" s="2206">
        <v>0</v>
      </c>
      <c r="P64" s="2207">
        <v>0</v>
      </c>
      <c r="Q64" s="416">
        <v>0</v>
      </c>
      <c r="R64" s="2207">
        <v>0</v>
      </c>
    </row>
    <row r="65" spans="3:18" x14ac:dyDescent="0.4">
      <c r="C65" s="2204"/>
      <c r="D65" s="2205" t="s">
        <v>7813</v>
      </c>
      <c r="E65" s="2206">
        <f>+SUM(E62+E63+E64)</f>
        <v>0</v>
      </c>
      <c r="F65" s="2206">
        <f t="shared" ref="F65:P65" si="17">+SUM(F62+F63+F64)</f>
        <v>37.9</v>
      </c>
      <c r="G65" s="2206">
        <f t="shared" si="17"/>
        <v>3.5</v>
      </c>
      <c r="H65" s="2206">
        <f t="shared" si="17"/>
        <v>0</v>
      </c>
      <c r="I65" s="2206">
        <f t="shared" si="17"/>
        <v>31.1</v>
      </c>
      <c r="J65" s="2206">
        <f t="shared" si="17"/>
        <v>19.399999999999999</v>
      </c>
      <c r="K65" s="2206">
        <f t="shared" si="17"/>
        <v>18.100000000000001</v>
      </c>
      <c r="L65" s="2206">
        <f t="shared" si="17"/>
        <v>32.5</v>
      </c>
      <c r="M65" s="2206">
        <f t="shared" si="17"/>
        <v>41</v>
      </c>
      <c r="N65" s="2206">
        <f t="shared" si="17"/>
        <v>41</v>
      </c>
      <c r="O65" s="2206">
        <f t="shared" si="17"/>
        <v>6.56</v>
      </c>
      <c r="P65" s="2207">
        <f t="shared" si="17"/>
        <v>12.25</v>
      </c>
      <c r="Q65" s="416">
        <f>+SUM(Q62+Q63+Q64)</f>
        <v>0</v>
      </c>
      <c r="R65" s="2207">
        <f>+SUM(R62+R63+R64)</f>
        <v>0.1</v>
      </c>
    </row>
    <row r="66" spans="3:18" x14ac:dyDescent="0.4">
      <c r="C66" s="2204"/>
      <c r="D66" s="2208" t="s">
        <v>7814</v>
      </c>
      <c r="E66" s="2209">
        <f>+E61+E65</f>
        <v>0</v>
      </c>
      <c r="F66" s="2209">
        <f t="shared" ref="F66:R66" si="18">+F61+F65</f>
        <v>1696.6005399940536</v>
      </c>
      <c r="G66" s="2209">
        <f t="shared" si="18"/>
        <v>1018.5630441168323</v>
      </c>
      <c r="H66" s="2209">
        <f t="shared" si="18"/>
        <v>1086.7285649627447</v>
      </c>
      <c r="I66" s="2209">
        <f t="shared" si="18"/>
        <v>1205.8602338269352</v>
      </c>
      <c r="J66" s="2209">
        <f t="shared" si="18"/>
        <v>1430.5507297847421</v>
      </c>
      <c r="K66" s="2209">
        <f t="shared" si="18"/>
        <v>900.79976674765351</v>
      </c>
      <c r="L66" s="2209">
        <f t="shared" si="18"/>
        <v>1753.2293</v>
      </c>
      <c r="M66" s="2209">
        <f t="shared" si="18"/>
        <v>1789.56272109473</v>
      </c>
      <c r="N66" s="2209">
        <f t="shared" si="18"/>
        <v>2110.59779568255</v>
      </c>
      <c r="O66" s="2209">
        <f t="shared" si="18"/>
        <v>1302.57794264737</v>
      </c>
      <c r="P66" s="2210">
        <f t="shared" si="18"/>
        <v>2623.0130609384801</v>
      </c>
      <c r="Q66" s="2211">
        <f t="shared" si="18"/>
        <v>0</v>
      </c>
      <c r="R66" s="2210">
        <f t="shared" si="18"/>
        <v>0.1</v>
      </c>
    </row>
    <row r="67" spans="3:18" x14ac:dyDescent="0.4">
      <c r="C67" s="2212" t="s">
        <v>7819</v>
      </c>
      <c r="D67" s="2212" t="s">
        <v>7809</v>
      </c>
      <c r="E67" s="2213">
        <v>1253.4861297607422</v>
      </c>
      <c r="F67" s="2213">
        <v>1658.7005399940535</v>
      </c>
      <c r="G67" s="2213">
        <v>1015.0630441168323</v>
      </c>
      <c r="H67" s="2213">
        <v>1086.7285649627447</v>
      </c>
      <c r="I67" s="2213">
        <v>1174.7602338269353</v>
      </c>
      <c r="J67" s="2213">
        <v>1411.150729784742</v>
      </c>
      <c r="K67" s="2213">
        <v>882.69976674765348</v>
      </c>
      <c r="L67" s="2213">
        <v>1720.7293</v>
      </c>
      <c r="M67" s="2213">
        <v>1748.56272109473</v>
      </c>
      <c r="N67" s="2213">
        <v>2069.59779568255</v>
      </c>
      <c r="O67" s="2214">
        <v>1296.0179426473701</v>
      </c>
      <c r="P67" s="2215">
        <v>2610.7630609384801</v>
      </c>
      <c r="Q67" s="2216">
        <v>2584.7880076225501</v>
      </c>
      <c r="R67" s="2215">
        <v>2701.4559573574502</v>
      </c>
    </row>
    <row r="68" spans="3:18" x14ac:dyDescent="0.4">
      <c r="C68" s="2212"/>
      <c r="D68" s="2212" t="s">
        <v>7810</v>
      </c>
      <c r="E68" s="2213">
        <v>0.4</v>
      </c>
      <c r="F68" s="2213">
        <v>37.9</v>
      </c>
      <c r="G68" s="2213">
        <v>0</v>
      </c>
      <c r="H68" s="2213">
        <v>0</v>
      </c>
      <c r="I68" s="2213">
        <v>20.6</v>
      </c>
      <c r="J68" s="2213">
        <v>6.4</v>
      </c>
      <c r="K68" s="2213">
        <v>10.3</v>
      </c>
      <c r="L68" s="2213">
        <v>0</v>
      </c>
      <c r="M68" s="2213">
        <v>0</v>
      </c>
      <c r="N68" s="2213">
        <v>0</v>
      </c>
      <c r="O68" s="2213">
        <v>0</v>
      </c>
      <c r="P68" s="2215">
        <v>0</v>
      </c>
      <c r="Q68" s="2213">
        <v>43.08</v>
      </c>
      <c r="R68" s="2216">
        <v>0</v>
      </c>
    </row>
    <row r="69" spans="3:18" x14ac:dyDescent="0.4">
      <c r="C69" s="2212"/>
      <c r="D69" s="2212" t="s">
        <v>7811</v>
      </c>
      <c r="E69" s="2213">
        <v>0</v>
      </c>
      <c r="F69" s="2213">
        <v>0</v>
      </c>
      <c r="G69" s="2213">
        <v>3.5</v>
      </c>
      <c r="H69" s="2213">
        <v>0</v>
      </c>
      <c r="I69" s="2213">
        <v>10.5</v>
      </c>
      <c r="J69" s="2213">
        <v>13</v>
      </c>
      <c r="K69" s="2213">
        <v>7.8</v>
      </c>
      <c r="L69" s="2213">
        <v>32.5</v>
      </c>
      <c r="M69" s="2213">
        <v>41</v>
      </c>
      <c r="N69" s="2213">
        <v>41</v>
      </c>
      <c r="O69" s="2213">
        <v>6.56</v>
      </c>
      <c r="P69" s="2215">
        <v>12.25</v>
      </c>
      <c r="Q69" s="2213">
        <v>33.67</v>
      </c>
      <c r="R69" s="2216">
        <v>58.33</v>
      </c>
    </row>
    <row r="70" spans="3:18" x14ac:dyDescent="0.4">
      <c r="C70" s="2212"/>
      <c r="D70" s="2212" t="s">
        <v>7812</v>
      </c>
      <c r="E70" s="2213">
        <v>0</v>
      </c>
      <c r="F70" s="2213">
        <v>0</v>
      </c>
      <c r="G70" s="2213">
        <v>0</v>
      </c>
      <c r="H70" s="2213">
        <v>0</v>
      </c>
      <c r="I70" s="2213">
        <v>0</v>
      </c>
      <c r="J70" s="2213">
        <v>0</v>
      </c>
      <c r="K70" s="2213">
        <v>0</v>
      </c>
      <c r="L70" s="2213">
        <v>0</v>
      </c>
      <c r="M70" s="2213">
        <v>0</v>
      </c>
      <c r="N70" s="2213">
        <v>0</v>
      </c>
      <c r="O70" s="2213">
        <v>0</v>
      </c>
      <c r="P70" s="2215">
        <v>0</v>
      </c>
      <c r="Q70" s="2213">
        <v>0</v>
      </c>
      <c r="R70" s="2215">
        <v>0</v>
      </c>
    </row>
    <row r="71" spans="3:18" x14ac:dyDescent="0.4">
      <c r="C71" s="2212"/>
      <c r="D71" s="2212" t="s">
        <v>7813</v>
      </c>
      <c r="E71" s="2213">
        <f>+SUM(E68+E69+E70)</f>
        <v>0.4</v>
      </c>
      <c r="F71" s="2213">
        <f t="shared" ref="F71:Q71" si="19">+SUM(F68+F69+F70)</f>
        <v>37.9</v>
      </c>
      <c r="G71" s="2213">
        <f t="shared" si="19"/>
        <v>3.5</v>
      </c>
      <c r="H71" s="2213">
        <f t="shared" si="19"/>
        <v>0</v>
      </c>
      <c r="I71" s="2213">
        <f t="shared" si="19"/>
        <v>31.1</v>
      </c>
      <c r="J71" s="2213">
        <f t="shared" si="19"/>
        <v>19.399999999999999</v>
      </c>
      <c r="K71" s="2213">
        <f t="shared" si="19"/>
        <v>18.100000000000001</v>
      </c>
      <c r="L71" s="2213">
        <f t="shared" si="19"/>
        <v>32.5</v>
      </c>
      <c r="M71" s="2213">
        <f t="shared" si="19"/>
        <v>41</v>
      </c>
      <c r="N71" s="2213">
        <f t="shared" si="19"/>
        <v>41</v>
      </c>
      <c r="O71" s="2213">
        <f t="shared" si="19"/>
        <v>6.56</v>
      </c>
      <c r="P71" s="2215">
        <f t="shared" si="19"/>
        <v>12.25</v>
      </c>
      <c r="Q71" s="2213">
        <f t="shared" si="19"/>
        <v>76.75</v>
      </c>
      <c r="R71" s="2215">
        <f>+SUM(R68+R69+R70)</f>
        <v>58.33</v>
      </c>
    </row>
    <row r="72" spans="3:18" x14ac:dyDescent="0.4">
      <c r="C72" s="2212"/>
      <c r="D72" s="2217" t="s">
        <v>7814</v>
      </c>
      <c r="E72" s="2218">
        <f>+E67+E71</f>
        <v>1253.8861297607423</v>
      </c>
      <c r="F72" s="2218">
        <f t="shared" ref="F72:R72" si="20">+F67+F71</f>
        <v>1696.6005399940536</v>
      </c>
      <c r="G72" s="2218">
        <f t="shared" si="20"/>
        <v>1018.5630441168323</v>
      </c>
      <c r="H72" s="2218">
        <f t="shared" si="20"/>
        <v>1086.7285649627447</v>
      </c>
      <c r="I72" s="2218">
        <f t="shared" si="20"/>
        <v>1205.8602338269352</v>
      </c>
      <c r="J72" s="2218">
        <f t="shared" si="20"/>
        <v>1430.5507297847421</v>
      </c>
      <c r="K72" s="2218">
        <f t="shared" si="20"/>
        <v>900.79976674765351</v>
      </c>
      <c r="L72" s="2218">
        <f t="shared" si="20"/>
        <v>1753.2293</v>
      </c>
      <c r="M72" s="2218">
        <f t="shared" si="20"/>
        <v>1789.56272109473</v>
      </c>
      <c r="N72" s="2218">
        <f t="shared" si="20"/>
        <v>2110.59779568255</v>
      </c>
      <c r="O72" s="2218">
        <f t="shared" si="20"/>
        <v>1302.57794264737</v>
      </c>
      <c r="P72" s="2219">
        <f t="shared" si="20"/>
        <v>2623.0130609384801</v>
      </c>
      <c r="Q72" s="2218">
        <f t="shared" si="20"/>
        <v>2661.5380076225501</v>
      </c>
      <c r="R72" s="2218">
        <f t="shared" si="20"/>
        <v>2759.7859573574501</v>
      </c>
    </row>
    <row r="73" spans="3:18" x14ac:dyDescent="0.4">
      <c r="C73" s="2204" t="s">
        <v>7820</v>
      </c>
      <c r="D73" s="2205" t="s">
        <v>7809</v>
      </c>
      <c r="E73" s="2206">
        <v>40.360638760412257</v>
      </c>
      <c r="F73" s="2206">
        <v>183.39501155167818</v>
      </c>
      <c r="G73" s="2206">
        <v>336.48433995246887</v>
      </c>
      <c r="H73" s="2206">
        <v>171.67027363181114</v>
      </c>
      <c r="I73" s="2206">
        <v>251.89561700820923</v>
      </c>
      <c r="J73" s="2206">
        <v>118.72565191984177</v>
      </c>
      <c r="K73" s="2206">
        <v>117.2106324583292</v>
      </c>
      <c r="L73" s="2206">
        <v>138.2688</v>
      </c>
      <c r="M73" s="2206">
        <v>93.518045171791996</v>
      </c>
      <c r="N73" s="2206">
        <v>100.431231750333</v>
      </c>
      <c r="O73" s="1758">
        <v>21.1706081551723</v>
      </c>
      <c r="P73" s="2207">
        <v>16.652888263207501</v>
      </c>
      <c r="Q73" s="536">
        <v>-17.899999999999999</v>
      </c>
      <c r="R73" s="2207">
        <v>-56.368050996996423</v>
      </c>
    </row>
    <row r="74" spans="3:18" x14ac:dyDescent="0.4">
      <c r="C74" s="2204"/>
      <c r="D74" s="2205" t="s">
        <v>7810</v>
      </c>
      <c r="E74" s="2206">
        <v>0.1</v>
      </c>
      <c r="F74" s="2206">
        <v>0</v>
      </c>
      <c r="G74" s="2206">
        <v>0</v>
      </c>
      <c r="H74" s="2206">
        <v>0</v>
      </c>
      <c r="I74" s="2206">
        <v>2</v>
      </c>
      <c r="J74" s="2206">
        <v>0</v>
      </c>
      <c r="K74" s="2206">
        <v>0.1</v>
      </c>
      <c r="L74" s="2206">
        <v>0</v>
      </c>
      <c r="M74" s="2206">
        <v>0.1</v>
      </c>
      <c r="N74" s="2206">
        <v>0</v>
      </c>
      <c r="O74" s="2206">
        <v>0.1</v>
      </c>
      <c r="P74" s="2207">
        <v>0.1</v>
      </c>
      <c r="Q74" s="416">
        <v>0.1</v>
      </c>
      <c r="R74" s="1578">
        <v>0.36</v>
      </c>
    </row>
    <row r="75" spans="3:18" x14ac:dyDescent="0.4">
      <c r="C75" s="2204"/>
      <c r="D75" s="2205" t="s">
        <v>7811</v>
      </c>
      <c r="E75" s="2206">
        <v>0</v>
      </c>
      <c r="F75" s="2206">
        <v>0</v>
      </c>
      <c r="G75" s="2206">
        <v>0</v>
      </c>
      <c r="H75" s="2206">
        <v>0</v>
      </c>
      <c r="I75" s="2206">
        <v>5</v>
      </c>
      <c r="J75" s="2206">
        <v>0</v>
      </c>
      <c r="K75" s="2206">
        <v>0</v>
      </c>
      <c r="L75" s="2206">
        <v>0</v>
      </c>
      <c r="M75" s="2206">
        <v>0</v>
      </c>
      <c r="N75" s="2206">
        <v>0</v>
      </c>
      <c r="O75" s="2206">
        <v>0.02</v>
      </c>
      <c r="P75" s="2207">
        <v>0</v>
      </c>
      <c r="Q75" s="416">
        <v>0</v>
      </c>
      <c r="R75" s="1578">
        <v>0</v>
      </c>
    </row>
    <row r="76" spans="3:18" x14ac:dyDescent="0.4">
      <c r="C76" s="2204"/>
      <c r="D76" s="2205" t="s">
        <v>7812</v>
      </c>
      <c r="E76" s="2206">
        <v>0</v>
      </c>
      <c r="F76" s="2206">
        <v>0</v>
      </c>
      <c r="G76" s="2206">
        <v>0</v>
      </c>
      <c r="H76" s="2206">
        <v>0</v>
      </c>
      <c r="I76" s="2206">
        <v>0</v>
      </c>
      <c r="J76" s="2206">
        <v>0</v>
      </c>
      <c r="K76" s="2206">
        <v>0</v>
      </c>
      <c r="L76" s="2206">
        <v>0</v>
      </c>
      <c r="M76" s="2206">
        <v>0</v>
      </c>
      <c r="N76" s="2206">
        <v>0</v>
      </c>
      <c r="O76" s="2206">
        <v>0</v>
      </c>
      <c r="P76" s="2207">
        <v>0</v>
      </c>
      <c r="Q76" s="416">
        <v>0</v>
      </c>
      <c r="R76" s="2207">
        <v>0</v>
      </c>
    </row>
    <row r="77" spans="3:18" x14ac:dyDescent="0.4">
      <c r="C77" s="2204"/>
      <c r="D77" s="2205" t="s">
        <v>7813</v>
      </c>
      <c r="E77" s="2206">
        <f>+SUM(E74+E75+E76)</f>
        <v>0.1</v>
      </c>
      <c r="F77" s="2206">
        <f t="shared" ref="F77:Q77" si="21">+SUM(F74+F75+F76)</f>
        <v>0</v>
      </c>
      <c r="G77" s="2206">
        <f t="shared" si="21"/>
        <v>0</v>
      </c>
      <c r="H77" s="2206">
        <f t="shared" si="21"/>
        <v>0</v>
      </c>
      <c r="I77" s="2206">
        <f t="shared" si="21"/>
        <v>7</v>
      </c>
      <c r="J77" s="2206">
        <f t="shared" si="21"/>
        <v>0</v>
      </c>
      <c r="K77" s="2206">
        <f t="shared" si="21"/>
        <v>0.1</v>
      </c>
      <c r="L77" s="2206">
        <f t="shared" si="21"/>
        <v>0</v>
      </c>
      <c r="M77" s="2206">
        <f t="shared" si="21"/>
        <v>0.1</v>
      </c>
      <c r="N77" s="2206">
        <f t="shared" si="21"/>
        <v>0</v>
      </c>
      <c r="O77" s="2206">
        <f t="shared" si="21"/>
        <v>0.12000000000000001</v>
      </c>
      <c r="P77" s="2207">
        <f t="shared" si="21"/>
        <v>0.1</v>
      </c>
      <c r="Q77" s="416">
        <f t="shared" si="21"/>
        <v>0.1</v>
      </c>
      <c r="R77" s="2207">
        <f>+SUM(R74+R75+R76)</f>
        <v>0.36</v>
      </c>
    </row>
    <row r="78" spans="3:18" x14ac:dyDescent="0.4">
      <c r="C78" s="2204"/>
      <c r="D78" s="2208" t="s">
        <v>7814</v>
      </c>
      <c r="E78" s="2209">
        <f>+E73+E77</f>
        <v>40.460638760412259</v>
      </c>
      <c r="F78" s="2209">
        <f t="shared" ref="F78:R78" si="22">+F73+F77</f>
        <v>183.39501155167818</v>
      </c>
      <c r="G78" s="2209">
        <f t="shared" si="22"/>
        <v>336.48433995246887</v>
      </c>
      <c r="H78" s="2209">
        <f t="shared" si="22"/>
        <v>171.67027363181114</v>
      </c>
      <c r="I78" s="2209">
        <f t="shared" si="22"/>
        <v>258.89561700820923</v>
      </c>
      <c r="J78" s="2209">
        <f t="shared" si="22"/>
        <v>118.72565191984177</v>
      </c>
      <c r="K78" s="2209">
        <f t="shared" si="22"/>
        <v>117.3106324583292</v>
      </c>
      <c r="L78" s="2209">
        <f t="shared" si="22"/>
        <v>138.2688</v>
      </c>
      <c r="M78" s="2209">
        <f t="shared" si="22"/>
        <v>93.618045171791991</v>
      </c>
      <c r="N78" s="2209">
        <f t="shared" si="22"/>
        <v>100.431231750333</v>
      </c>
      <c r="O78" s="2209">
        <f t="shared" si="22"/>
        <v>21.290608155172301</v>
      </c>
      <c r="P78" s="2210">
        <f t="shared" si="22"/>
        <v>16.752888263207502</v>
      </c>
      <c r="Q78" s="2211">
        <f t="shared" si="22"/>
        <v>-17.799999999999997</v>
      </c>
      <c r="R78" s="2210">
        <f t="shared" si="22"/>
        <v>-56.008050996996424</v>
      </c>
    </row>
    <row r="79" spans="3:18" x14ac:dyDescent="0.4">
      <c r="C79" s="2212" t="s">
        <v>7821</v>
      </c>
      <c r="D79" s="2212" t="s">
        <v>7809</v>
      </c>
      <c r="E79" s="2213">
        <v>47.224223266588524</v>
      </c>
      <c r="F79" s="2213">
        <v>42.308354705572128</v>
      </c>
      <c r="G79" s="2213">
        <v>7.1768420934677124</v>
      </c>
      <c r="H79" s="2213">
        <v>47.85950231552124</v>
      </c>
      <c r="I79" s="2213">
        <v>86.425018310546875</v>
      </c>
      <c r="J79" s="2213">
        <v>34.3991858959198</v>
      </c>
      <c r="K79" s="2213">
        <v>91.53130841255188</v>
      </c>
      <c r="L79" s="2213">
        <v>33.173199999999994</v>
      </c>
      <c r="M79" s="2213">
        <v>21.204375018549101</v>
      </c>
      <c r="N79" s="2213">
        <v>28.862507269370798</v>
      </c>
      <c r="O79" s="2214">
        <v>28.537614814259801</v>
      </c>
      <c r="P79" s="2215">
        <v>27.8566054217657</v>
      </c>
      <c r="Q79" s="2216">
        <v>38</v>
      </c>
      <c r="R79" s="2215">
        <v>38.284462830708478</v>
      </c>
    </row>
    <row r="80" spans="3:18" x14ac:dyDescent="0.4">
      <c r="C80" s="2212"/>
      <c r="D80" s="2212" t="s">
        <v>7810</v>
      </c>
      <c r="E80" s="2213">
        <v>0</v>
      </c>
      <c r="F80" s="2213">
        <v>0</v>
      </c>
      <c r="G80" s="2213">
        <v>0</v>
      </c>
      <c r="H80" s="2213">
        <v>0.4</v>
      </c>
      <c r="I80" s="2213">
        <v>0.5</v>
      </c>
      <c r="J80" s="2213">
        <v>0.6</v>
      </c>
      <c r="K80" s="2213">
        <v>0</v>
      </c>
      <c r="L80" s="2213">
        <v>1.9</v>
      </c>
      <c r="M80" s="2213">
        <v>1.9</v>
      </c>
      <c r="N80" s="2213">
        <v>0</v>
      </c>
      <c r="O80" s="2213">
        <v>3.39</v>
      </c>
      <c r="P80" s="2215">
        <v>1.23</v>
      </c>
      <c r="Q80" s="2213">
        <v>0</v>
      </c>
      <c r="R80" s="2216">
        <v>0</v>
      </c>
    </row>
    <row r="81" spans="3:18" x14ac:dyDescent="0.4">
      <c r="C81" s="2212"/>
      <c r="D81" s="2212" t="s">
        <v>7811</v>
      </c>
      <c r="E81" s="2213">
        <v>0</v>
      </c>
      <c r="F81" s="2213">
        <v>0</v>
      </c>
      <c r="G81" s="2213">
        <v>0</v>
      </c>
      <c r="H81" s="2213">
        <v>0.2</v>
      </c>
      <c r="I81" s="2213">
        <v>0.9</v>
      </c>
      <c r="J81" s="2213">
        <v>0</v>
      </c>
      <c r="K81" s="2213">
        <v>0</v>
      </c>
      <c r="L81" s="2213">
        <v>0</v>
      </c>
      <c r="M81" s="2213">
        <v>0</v>
      </c>
      <c r="N81" s="2213">
        <v>0</v>
      </c>
      <c r="O81" s="2213">
        <v>0.14000000000000001</v>
      </c>
      <c r="P81" s="2215">
        <v>1.63</v>
      </c>
      <c r="Q81" s="2213">
        <v>0</v>
      </c>
      <c r="R81" s="2216">
        <v>0.01</v>
      </c>
    </row>
    <row r="82" spans="3:18" x14ac:dyDescent="0.4">
      <c r="C82" s="2212"/>
      <c r="D82" s="2212" t="s">
        <v>7812</v>
      </c>
      <c r="E82" s="2213">
        <v>0</v>
      </c>
      <c r="F82" s="2213">
        <v>0</v>
      </c>
      <c r="G82" s="2213">
        <v>0</v>
      </c>
      <c r="H82" s="2213">
        <v>0</v>
      </c>
      <c r="I82" s="2213">
        <v>0</v>
      </c>
      <c r="J82" s="2213">
        <v>0</v>
      </c>
      <c r="K82" s="2213">
        <v>0</v>
      </c>
      <c r="L82" s="2213">
        <v>0</v>
      </c>
      <c r="M82" s="2213">
        <v>0</v>
      </c>
      <c r="N82" s="2213">
        <v>0</v>
      </c>
      <c r="O82" s="2213">
        <v>0</v>
      </c>
      <c r="P82" s="2215">
        <v>0</v>
      </c>
      <c r="Q82" s="2213">
        <v>0</v>
      </c>
      <c r="R82" s="2215">
        <v>0</v>
      </c>
    </row>
    <row r="83" spans="3:18" x14ac:dyDescent="0.4">
      <c r="C83" s="2212"/>
      <c r="D83" s="2212" t="s">
        <v>7813</v>
      </c>
      <c r="E83" s="2213">
        <f>+SUM(E80+E81+E82)</f>
        <v>0</v>
      </c>
      <c r="F83" s="2213">
        <f t="shared" ref="F83:Q83" si="23">+SUM(F80+F81+F82)</f>
        <v>0</v>
      </c>
      <c r="G83" s="2213">
        <f t="shared" si="23"/>
        <v>0</v>
      </c>
      <c r="H83" s="2213">
        <f t="shared" si="23"/>
        <v>0.60000000000000009</v>
      </c>
      <c r="I83" s="2213">
        <f t="shared" si="23"/>
        <v>1.4</v>
      </c>
      <c r="J83" s="2213">
        <f t="shared" si="23"/>
        <v>0.6</v>
      </c>
      <c r="K83" s="2213">
        <f t="shared" si="23"/>
        <v>0</v>
      </c>
      <c r="L83" s="2213">
        <f t="shared" si="23"/>
        <v>1.9</v>
      </c>
      <c r="M83" s="2213">
        <f t="shared" si="23"/>
        <v>1.9</v>
      </c>
      <c r="N83" s="2213">
        <f t="shared" si="23"/>
        <v>0</v>
      </c>
      <c r="O83" s="2213">
        <f t="shared" si="23"/>
        <v>3.5300000000000002</v>
      </c>
      <c r="P83" s="2215">
        <f t="shared" si="23"/>
        <v>2.86</v>
      </c>
      <c r="Q83" s="2213">
        <f t="shared" si="23"/>
        <v>0</v>
      </c>
      <c r="R83" s="2215">
        <f>+SUM(R80+R81+R82)</f>
        <v>0.01</v>
      </c>
    </row>
    <row r="84" spans="3:18" x14ac:dyDescent="0.4">
      <c r="C84" s="2212"/>
      <c r="D84" s="2217" t="s">
        <v>7814</v>
      </c>
      <c r="E84" s="2218">
        <f>+E79+E83</f>
        <v>47.224223266588524</v>
      </c>
      <c r="F84" s="2218">
        <f t="shared" ref="F84:R84" si="24">+F79+F83</f>
        <v>42.308354705572128</v>
      </c>
      <c r="G84" s="2218">
        <f t="shared" si="24"/>
        <v>7.1768420934677124</v>
      </c>
      <c r="H84" s="2218">
        <f t="shared" si="24"/>
        <v>48.459502315521242</v>
      </c>
      <c r="I84" s="2218">
        <f t="shared" si="24"/>
        <v>87.825018310546881</v>
      </c>
      <c r="J84" s="2218">
        <f t="shared" si="24"/>
        <v>34.999185895919801</v>
      </c>
      <c r="K84" s="2218">
        <f t="shared" si="24"/>
        <v>91.53130841255188</v>
      </c>
      <c r="L84" s="2218">
        <f t="shared" si="24"/>
        <v>35.073199999999993</v>
      </c>
      <c r="M84" s="2218">
        <f t="shared" si="24"/>
        <v>23.104375018549099</v>
      </c>
      <c r="N84" s="2218">
        <f t="shared" si="24"/>
        <v>28.862507269370798</v>
      </c>
      <c r="O84" s="2218">
        <f t="shared" si="24"/>
        <v>32.067614814259798</v>
      </c>
      <c r="P84" s="2219">
        <f t="shared" si="24"/>
        <v>30.716605421765699</v>
      </c>
      <c r="Q84" s="2218">
        <f t="shared" si="24"/>
        <v>38</v>
      </c>
      <c r="R84" s="2218">
        <f t="shared" si="24"/>
        <v>38.294462830708476</v>
      </c>
    </row>
    <row r="85" spans="3:18" x14ac:dyDescent="0.4">
      <c r="C85" s="2204" t="s">
        <v>5765</v>
      </c>
      <c r="D85" s="2205" t="s">
        <v>7809</v>
      </c>
      <c r="E85" s="2206">
        <v>98.321146434405819</v>
      </c>
      <c r="F85" s="2206">
        <v>151.64271469041705</v>
      </c>
      <c r="G85" s="2206">
        <v>105.69430881738663</v>
      </c>
      <c r="H85" s="2206">
        <v>78.634225368499756</v>
      </c>
      <c r="I85" s="2206">
        <v>194.03731942176819</v>
      </c>
      <c r="J85" s="2206">
        <v>154.13575282692909</v>
      </c>
      <c r="K85" s="2206">
        <v>88.916043020784855</v>
      </c>
      <c r="L85" s="2206">
        <v>199.37879999999998</v>
      </c>
      <c r="M85" s="2206">
        <v>73.724026874336701</v>
      </c>
      <c r="N85" s="2206">
        <v>108.37122168772601</v>
      </c>
      <c r="O85" s="1758">
        <v>33.947511595405402</v>
      </c>
      <c r="P85" s="2207">
        <v>205.41501584500199</v>
      </c>
      <c r="Q85" s="536">
        <v>89.9</v>
      </c>
      <c r="R85" s="2207">
        <v>108.85829394062698</v>
      </c>
    </row>
    <row r="86" spans="3:18" x14ac:dyDescent="0.4">
      <c r="C86" s="2204"/>
      <c r="D86" s="2205" t="s">
        <v>7810</v>
      </c>
      <c r="E86" s="2206">
        <v>0</v>
      </c>
      <c r="F86" s="2206">
        <v>0</v>
      </c>
      <c r="G86" s="2206">
        <v>0</v>
      </c>
      <c r="H86" s="2206">
        <v>0</v>
      </c>
      <c r="I86" s="2206">
        <v>0</v>
      </c>
      <c r="J86" s="2206">
        <v>0</v>
      </c>
      <c r="K86" s="2206">
        <v>0</v>
      </c>
      <c r="L86" s="2206">
        <v>0</v>
      </c>
      <c r="M86" s="2206">
        <v>0</v>
      </c>
      <c r="N86" s="2206">
        <v>0</v>
      </c>
      <c r="O86" s="2206">
        <v>0.03</v>
      </c>
      <c r="P86" s="2207">
        <v>0</v>
      </c>
      <c r="Q86" s="416">
        <v>0.01</v>
      </c>
      <c r="R86" s="1578">
        <v>2.4E-2</v>
      </c>
    </row>
    <row r="87" spans="3:18" x14ac:dyDescent="0.4">
      <c r="C87" s="2204"/>
      <c r="D87" s="2205" t="s">
        <v>7811</v>
      </c>
      <c r="E87" s="2206">
        <v>0</v>
      </c>
      <c r="F87" s="2206">
        <v>0</v>
      </c>
      <c r="G87" s="2206">
        <v>0</v>
      </c>
      <c r="H87" s="2206">
        <v>0</v>
      </c>
      <c r="I87" s="2206">
        <v>0</v>
      </c>
      <c r="J87" s="2206">
        <v>0</v>
      </c>
      <c r="K87" s="2206">
        <v>0</v>
      </c>
      <c r="L87" s="2206">
        <v>0</v>
      </c>
      <c r="M87" s="2206">
        <v>0</v>
      </c>
      <c r="N87" s="2206">
        <v>0</v>
      </c>
      <c r="O87" s="2206">
        <v>7.0000000000000007E-2</v>
      </c>
      <c r="P87" s="2207">
        <v>0</v>
      </c>
      <c r="Q87" s="416">
        <v>0</v>
      </c>
      <c r="R87" s="1578">
        <v>0</v>
      </c>
    </row>
    <row r="88" spans="3:18" x14ac:dyDescent="0.4">
      <c r="C88" s="2204"/>
      <c r="D88" s="2205" t="s">
        <v>7812</v>
      </c>
      <c r="E88" s="2206">
        <v>0</v>
      </c>
      <c r="F88" s="2206">
        <v>0</v>
      </c>
      <c r="G88" s="2206">
        <v>0</v>
      </c>
      <c r="H88" s="2206">
        <v>0</v>
      </c>
      <c r="I88" s="2206">
        <v>0</v>
      </c>
      <c r="J88" s="2206">
        <v>0</v>
      </c>
      <c r="K88" s="2206">
        <v>0</v>
      </c>
      <c r="L88" s="2206">
        <v>0</v>
      </c>
      <c r="M88" s="2206">
        <v>0</v>
      </c>
      <c r="N88" s="2206">
        <v>0</v>
      </c>
      <c r="O88" s="2206">
        <v>0</v>
      </c>
      <c r="P88" s="2207">
        <v>0</v>
      </c>
      <c r="Q88" s="416">
        <v>0</v>
      </c>
      <c r="R88" s="2207">
        <v>0</v>
      </c>
    </row>
    <row r="89" spans="3:18" x14ac:dyDescent="0.4">
      <c r="C89" s="2204"/>
      <c r="D89" s="2205" t="s">
        <v>7813</v>
      </c>
      <c r="E89" s="2206">
        <f>+SUM(E86+E87+E88)</f>
        <v>0</v>
      </c>
      <c r="F89" s="2206">
        <f t="shared" ref="F89:Q89" si="25">+SUM(F86+F87+F88)</f>
        <v>0</v>
      </c>
      <c r="G89" s="2206">
        <f t="shared" si="25"/>
        <v>0</v>
      </c>
      <c r="H89" s="2206">
        <f t="shared" si="25"/>
        <v>0</v>
      </c>
      <c r="I89" s="2206">
        <f t="shared" si="25"/>
        <v>0</v>
      </c>
      <c r="J89" s="2206">
        <f t="shared" si="25"/>
        <v>0</v>
      </c>
      <c r="K89" s="2206">
        <f t="shared" si="25"/>
        <v>0</v>
      </c>
      <c r="L89" s="2206">
        <f t="shared" si="25"/>
        <v>0</v>
      </c>
      <c r="M89" s="2206">
        <f t="shared" si="25"/>
        <v>0</v>
      </c>
      <c r="N89" s="2206">
        <f t="shared" si="25"/>
        <v>0</v>
      </c>
      <c r="O89" s="2206">
        <f t="shared" si="25"/>
        <v>0.1</v>
      </c>
      <c r="P89" s="2207">
        <f t="shared" si="25"/>
        <v>0</v>
      </c>
      <c r="Q89" s="416">
        <f t="shared" si="25"/>
        <v>0.01</v>
      </c>
      <c r="R89" s="2207">
        <f>+SUM(R86+R87+R88)</f>
        <v>2.4E-2</v>
      </c>
    </row>
    <row r="90" spans="3:18" x14ac:dyDescent="0.4">
      <c r="C90" s="2204"/>
      <c r="D90" s="2208" t="s">
        <v>7814</v>
      </c>
      <c r="E90" s="2209">
        <f>+E85+E89</f>
        <v>98.321146434405819</v>
      </c>
      <c r="F90" s="2209">
        <f t="shared" ref="F90:R90" si="26">+F85+F89</f>
        <v>151.64271469041705</v>
      </c>
      <c r="G90" s="2209">
        <f t="shared" si="26"/>
        <v>105.69430881738663</v>
      </c>
      <c r="H90" s="2209">
        <f t="shared" si="26"/>
        <v>78.634225368499756</v>
      </c>
      <c r="I90" s="2209">
        <f t="shared" si="26"/>
        <v>194.03731942176819</v>
      </c>
      <c r="J90" s="2209">
        <f t="shared" si="26"/>
        <v>154.13575282692909</v>
      </c>
      <c r="K90" s="2209">
        <f t="shared" si="26"/>
        <v>88.916043020784855</v>
      </c>
      <c r="L90" s="2209">
        <f t="shared" si="26"/>
        <v>199.37879999999998</v>
      </c>
      <c r="M90" s="2209">
        <f t="shared" si="26"/>
        <v>73.724026874336701</v>
      </c>
      <c r="N90" s="2209">
        <f t="shared" si="26"/>
        <v>108.37122168772601</v>
      </c>
      <c r="O90" s="2209">
        <f t="shared" si="26"/>
        <v>34.047511595405403</v>
      </c>
      <c r="P90" s="2210">
        <f t="shared" si="26"/>
        <v>205.41501584500199</v>
      </c>
      <c r="Q90" s="2211">
        <f t="shared" si="26"/>
        <v>89.910000000000011</v>
      </c>
      <c r="R90" s="2210">
        <f t="shared" si="26"/>
        <v>108.88229394062698</v>
      </c>
    </row>
    <row r="91" spans="3:18" x14ac:dyDescent="0.4">
      <c r="C91" s="2212" t="s">
        <v>5761</v>
      </c>
      <c r="D91" s="2212" t="s">
        <v>7809</v>
      </c>
      <c r="E91" s="2213">
        <v>-5.8586931228637695</v>
      </c>
      <c r="F91" s="2213">
        <v>7.8602108955383301</v>
      </c>
      <c r="G91" s="2213">
        <v>89.459846973419189</v>
      </c>
      <c r="H91" s="2213">
        <v>19.391106843948364</v>
      </c>
      <c r="I91" s="2213">
        <v>51.920374393463135</v>
      </c>
      <c r="J91" s="2213">
        <v>-51.091845512390137</v>
      </c>
      <c r="K91" s="2213">
        <v>9.061229944229126</v>
      </c>
      <c r="L91" s="2213">
        <v>18.990099999999998</v>
      </c>
      <c r="M91" s="2213">
        <v>0</v>
      </c>
      <c r="N91" s="2213">
        <v>0</v>
      </c>
      <c r="O91" s="2214">
        <v>0</v>
      </c>
      <c r="P91" s="2215">
        <v>0</v>
      </c>
      <c r="Q91" s="2216">
        <v>0.5</v>
      </c>
      <c r="R91" s="2215">
        <v>81.742540779026086</v>
      </c>
    </row>
    <row r="92" spans="3:18" x14ac:dyDescent="0.4">
      <c r="C92" s="2212"/>
      <c r="D92" s="2212" t="s">
        <v>7810</v>
      </c>
      <c r="E92" s="2213">
        <v>0.1</v>
      </c>
      <c r="F92" s="2213">
        <v>0.6</v>
      </c>
      <c r="G92" s="2213">
        <v>0</v>
      </c>
      <c r="H92" s="2213">
        <v>0</v>
      </c>
      <c r="I92" s="2213">
        <v>0</v>
      </c>
      <c r="J92" s="2213">
        <v>0</v>
      </c>
      <c r="K92" s="2213">
        <v>0</v>
      </c>
      <c r="L92" s="2213">
        <v>0</v>
      </c>
      <c r="M92" s="2213">
        <v>0</v>
      </c>
      <c r="N92" s="2213">
        <v>0</v>
      </c>
      <c r="O92" s="2213">
        <v>0</v>
      </c>
      <c r="P92" s="2215">
        <v>0.13</v>
      </c>
      <c r="Q92" s="2213">
        <v>0</v>
      </c>
      <c r="R92" s="2216">
        <v>0</v>
      </c>
    </row>
    <row r="93" spans="3:18" x14ac:dyDescent="0.4">
      <c r="C93" s="2212"/>
      <c r="D93" s="2212" t="s">
        <v>7811</v>
      </c>
      <c r="E93" s="2213">
        <v>0</v>
      </c>
      <c r="F93" s="2213">
        <v>0</v>
      </c>
      <c r="G93" s="2213">
        <v>0</v>
      </c>
      <c r="H93" s="2213">
        <v>0</v>
      </c>
      <c r="I93" s="2213">
        <v>0</v>
      </c>
      <c r="J93" s="2213">
        <v>0</v>
      </c>
      <c r="K93" s="2213">
        <v>0</v>
      </c>
      <c r="L93" s="2213">
        <v>0</v>
      </c>
      <c r="M93" s="2213">
        <v>0</v>
      </c>
      <c r="N93" s="2213">
        <v>0</v>
      </c>
      <c r="O93" s="2213">
        <v>0</v>
      </c>
      <c r="P93" s="2215">
        <v>0</v>
      </c>
      <c r="Q93" s="2213">
        <v>0</v>
      </c>
      <c r="R93" s="2216">
        <v>0</v>
      </c>
    </row>
    <row r="94" spans="3:18" x14ac:dyDescent="0.4">
      <c r="C94" s="2212"/>
      <c r="D94" s="2212" t="s">
        <v>7812</v>
      </c>
      <c r="E94" s="2213">
        <v>0</v>
      </c>
      <c r="F94" s="2213">
        <v>0</v>
      </c>
      <c r="G94" s="2213">
        <v>0</v>
      </c>
      <c r="H94" s="2213">
        <v>0</v>
      </c>
      <c r="I94" s="2213">
        <v>0</v>
      </c>
      <c r="J94" s="2213">
        <v>0</v>
      </c>
      <c r="K94" s="2213">
        <v>0</v>
      </c>
      <c r="L94" s="2213">
        <v>0</v>
      </c>
      <c r="M94" s="2213">
        <v>0</v>
      </c>
      <c r="N94" s="2213">
        <v>0</v>
      </c>
      <c r="O94" s="2213">
        <v>0</v>
      </c>
      <c r="P94" s="2215">
        <v>0</v>
      </c>
      <c r="Q94" s="2213">
        <v>0</v>
      </c>
      <c r="R94" s="2215">
        <v>0</v>
      </c>
    </row>
    <row r="95" spans="3:18" x14ac:dyDescent="0.4">
      <c r="C95" s="2212"/>
      <c r="D95" s="2212" t="s">
        <v>7813</v>
      </c>
      <c r="E95" s="2213">
        <f>+SUM(E92+E93+E94)</f>
        <v>0.1</v>
      </c>
      <c r="F95" s="2213">
        <f t="shared" ref="F95:Q95" si="27">+SUM(F92+F93+F94)</f>
        <v>0.6</v>
      </c>
      <c r="G95" s="2213">
        <f t="shared" si="27"/>
        <v>0</v>
      </c>
      <c r="H95" s="2213">
        <f t="shared" si="27"/>
        <v>0</v>
      </c>
      <c r="I95" s="2213">
        <f t="shared" si="27"/>
        <v>0</v>
      </c>
      <c r="J95" s="2213">
        <f t="shared" si="27"/>
        <v>0</v>
      </c>
      <c r="K95" s="2213">
        <f t="shared" si="27"/>
        <v>0</v>
      </c>
      <c r="L95" s="2213">
        <f t="shared" si="27"/>
        <v>0</v>
      </c>
      <c r="M95" s="2213">
        <f t="shared" si="27"/>
        <v>0</v>
      </c>
      <c r="N95" s="2213">
        <f t="shared" si="27"/>
        <v>0</v>
      </c>
      <c r="O95" s="2213">
        <f t="shared" si="27"/>
        <v>0</v>
      </c>
      <c r="P95" s="2215">
        <f t="shared" si="27"/>
        <v>0.13</v>
      </c>
      <c r="Q95" s="2213">
        <f t="shared" si="27"/>
        <v>0</v>
      </c>
      <c r="R95" s="2215">
        <f>+SUM(R92+R93+R94)</f>
        <v>0</v>
      </c>
    </row>
    <row r="96" spans="3:18" x14ac:dyDescent="0.4">
      <c r="C96" s="2212"/>
      <c r="D96" s="2217" t="s">
        <v>7814</v>
      </c>
      <c r="E96" s="2218">
        <f>+E91+E95</f>
        <v>-5.7586931228637699</v>
      </c>
      <c r="F96" s="2218">
        <f t="shared" ref="F96:O96" si="28">+F91+F95</f>
        <v>8.4602108955383297</v>
      </c>
      <c r="G96" s="2218">
        <f t="shared" si="28"/>
        <v>89.459846973419189</v>
      </c>
      <c r="H96" s="2218">
        <f t="shared" si="28"/>
        <v>19.391106843948364</v>
      </c>
      <c r="I96" s="2218">
        <f t="shared" si="28"/>
        <v>51.920374393463135</v>
      </c>
      <c r="J96" s="2218">
        <f t="shared" si="28"/>
        <v>-51.091845512390137</v>
      </c>
      <c r="K96" s="2218">
        <f t="shared" si="28"/>
        <v>9.061229944229126</v>
      </c>
      <c r="L96" s="2218">
        <f t="shared" si="28"/>
        <v>18.990099999999998</v>
      </c>
      <c r="M96" s="2218">
        <f t="shared" si="28"/>
        <v>0</v>
      </c>
      <c r="N96" s="2218">
        <f t="shared" si="28"/>
        <v>0</v>
      </c>
      <c r="O96" s="2218">
        <f t="shared" si="28"/>
        <v>0</v>
      </c>
      <c r="P96" s="2219">
        <f>+P91+P95</f>
        <v>0.13</v>
      </c>
      <c r="Q96" s="2218">
        <f t="shared" ref="Q96:R96" si="29">+Q91+Q95</f>
        <v>0.5</v>
      </c>
      <c r="R96" s="2218">
        <f t="shared" si="29"/>
        <v>81.742540779026086</v>
      </c>
    </row>
    <row r="97" spans="3:18" x14ac:dyDescent="0.4">
      <c r="C97" s="2204" t="s">
        <v>7822</v>
      </c>
      <c r="D97" s="2205" t="s">
        <v>7809</v>
      </c>
      <c r="E97" s="2206">
        <v>-2.3473720997571945E-2</v>
      </c>
      <c r="F97" s="2206">
        <v>-2.3473720997571945E-2</v>
      </c>
      <c r="G97" s="2206">
        <v>-2.3473720997571945E-2</v>
      </c>
      <c r="H97" s="2206">
        <v>-2.3473720997571945E-2</v>
      </c>
      <c r="I97" s="2206">
        <v>-8.3192768096923828</v>
      </c>
      <c r="J97" s="2206">
        <v>16.322124481201172</v>
      </c>
      <c r="K97" s="2206">
        <v>1.4514087438583374</v>
      </c>
      <c r="L97" s="2206">
        <v>0</v>
      </c>
      <c r="M97" s="2206">
        <v>0</v>
      </c>
      <c r="N97" s="2206">
        <v>0</v>
      </c>
      <c r="O97" s="1758">
        <v>0</v>
      </c>
      <c r="P97" s="2207">
        <v>0</v>
      </c>
      <c r="Q97" s="536"/>
      <c r="R97" s="2207">
        <v>1.6652333000472954</v>
      </c>
    </row>
    <row r="98" spans="3:18" x14ac:dyDescent="0.4">
      <c r="C98" s="2204"/>
      <c r="D98" s="2205" t="s">
        <v>7810</v>
      </c>
      <c r="E98" s="2206">
        <v>0</v>
      </c>
      <c r="F98" s="2206">
        <v>0</v>
      </c>
      <c r="G98" s="2206">
        <v>0</v>
      </c>
      <c r="H98" s="2206">
        <v>0</v>
      </c>
      <c r="I98" s="2206">
        <v>0</v>
      </c>
      <c r="J98" s="2206">
        <v>0</v>
      </c>
      <c r="K98" s="2206">
        <v>0</v>
      </c>
      <c r="L98" s="2206">
        <v>0</v>
      </c>
      <c r="M98" s="2206">
        <v>0</v>
      </c>
      <c r="N98" s="2206">
        <v>0</v>
      </c>
      <c r="O98" s="2206">
        <v>0</v>
      </c>
      <c r="P98" s="2207">
        <v>0</v>
      </c>
      <c r="Q98" s="416">
        <v>0</v>
      </c>
      <c r="R98" s="1578">
        <v>0</v>
      </c>
    </row>
    <row r="99" spans="3:18" x14ac:dyDescent="0.4">
      <c r="C99" s="2204"/>
      <c r="D99" s="2205" t="s">
        <v>7811</v>
      </c>
      <c r="E99" s="2206">
        <v>0</v>
      </c>
      <c r="F99" s="2206">
        <v>0</v>
      </c>
      <c r="G99" s="2206">
        <v>0</v>
      </c>
      <c r="H99" s="2206">
        <v>0</v>
      </c>
      <c r="I99" s="2206">
        <v>0</v>
      </c>
      <c r="J99" s="2206">
        <v>0</v>
      </c>
      <c r="K99" s="2206">
        <v>0</v>
      </c>
      <c r="L99" s="2206">
        <v>0</v>
      </c>
      <c r="M99" s="2206">
        <v>0</v>
      </c>
      <c r="N99" s="2206">
        <v>0</v>
      </c>
      <c r="O99" s="2206">
        <v>0</v>
      </c>
      <c r="P99" s="2207">
        <v>0</v>
      </c>
      <c r="Q99" s="416">
        <v>0</v>
      </c>
      <c r="R99" s="1578">
        <v>0</v>
      </c>
    </row>
    <row r="100" spans="3:18" x14ac:dyDescent="0.4">
      <c r="C100" s="2204"/>
      <c r="D100" s="2205" t="s">
        <v>7812</v>
      </c>
      <c r="E100" s="2206">
        <v>0</v>
      </c>
      <c r="F100" s="2206">
        <v>0</v>
      </c>
      <c r="G100" s="2206">
        <v>0</v>
      </c>
      <c r="H100" s="2206">
        <v>0</v>
      </c>
      <c r="I100" s="2206">
        <v>0</v>
      </c>
      <c r="J100" s="2206">
        <v>0</v>
      </c>
      <c r="K100" s="2206">
        <v>0</v>
      </c>
      <c r="L100" s="2206">
        <v>0</v>
      </c>
      <c r="M100" s="2206">
        <v>0</v>
      </c>
      <c r="N100" s="2206">
        <v>0</v>
      </c>
      <c r="O100" s="2206">
        <v>0</v>
      </c>
      <c r="P100" s="2207">
        <v>0</v>
      </c>
      <c r="Q100" s="416">
        <v>0</v>
      </c>
      <c r="R100" s="2207">
        <v>0</v>
      </c>
    </row>
    <row r="101" spans="3:18" x14ac:dyDescent="0.4">
      <c r="C101" s="2204"/>
      <c r="D101" s="2205" t="s">
        <v>7813</v>
      </c>
      <c r="E101" s="2206">
        <f>+SUM(E98+E99+E100)</f>
        <v>0</v>
      </c>
      <c r="F101" s="2206">
        <f t="shared" ref="F101:Q101" si="30">+SUM(F98+F99+F100)</f>
        <v>0</v>
      </c>
      <c r="G101" s="2206">
        <f t="shared" si="30"/>
        <v>0</v>
      </c>
      <c r="H101" s="2206">
        <f t="shared" si="30"/>
        <v>0</v>
      </c>
      <c r="I101" s="2206">
        <f t="shared" si="30"/>
        <v>0</v>
      </c>
      <c r="J101" s="2206">
        <f t="shared" si="30"/>
        <v>0</v>
      </c>
      <c r="K101" s="2206">
        <f t="shared" si="30"/>
        <v>0</v>
      </c>
      <c r="L101" s="2206">
        <f t="shared" si="30"/>
        <v>0</v>
      </c>
      <c r="M101" s="2206">
        <f t="shared" si="30"/>
        <v>0</v>
      </c>
      <c r="N101" s="2206">
        <f t="shared" si="30"/>
        <v>0</v>
      </c>
      <c r="O101" s="2206">
        <f t="shared" si="30"/>
        <v>0</v>
      </c>
      <c r="P101" s="2207">
        <f t="shared" si="30"/>
        <v>0</v>
      </c>
      <c r="Q101" s="416">
        <f t="shared" si="30"/>
        <v>0</v>
      </c>
      <c r="R101" s="2207">
        <f>+SUM(R98+R99+R100)</f>
        <v>0</v>
      </c>
    </row>
    <row r="102" spans="3:18" x14ac:dyDescent="0.4">
      <c r="C102" s="2204"/>
      <c r="D102" s="2208" t="s">
        <v>7814</v>
      </c>
      <c r="E102" s="2209">
        <f>+E97+E101</f>
        <v>-2.3473720997571945E-2</v>
      </c>
      <c r="F102" s="2209">
        <f t="shared" ref="F102:R102" si="31">+F97+F101</f>
        <v>-2.3473720997571945E-2</v>
      </c>
      <c r="G102" s="2209">
        <f t="shared" si="31"/>
        <v>-2.3473720997571945E-2</v>
      </c>
      <c r="H102" s="2209">
        <f t="shared" si="31"/>
        <v>-2.3473720997571945E-2</v>
      </c>
      <c r="I102" s="2209">
        <f t="shared" si="31"/>
        <v>-8.3192768096923828</v>
      </c>
      <c r="J102" s="2209">
        <f t="shared" si="31"/>
        <v>16.322124481201172</v>
      </c>
      <c r="K102" s="2209">
        <f t="shared" si="31"/>
        <v>1.4514087438583374</v>
      </c>
      <c r="L102" s="2209">
        <f t="shared" si="31"/>
        <v>0</v>
      </c>
      <c r="M102" s="2209">
        <f t="shared" si="31"/>
        <v>0</v>
      </c>
      <c r="N102" s="2209">
        <f t="shared" si="31"/>
        <v>0</v>
      </c>
      <c r="O102" s="2209">
        <f t="shared" si="31"/>
        <v>0</v>
      </c>
      <c r="P102" s="2210">
        <f t="shared" si="31"/>
        <v>0</v>
      </c>
      <c r="Q102" s="2211">
        <f t="shared" si="31"/>
        <v>0</v>
      </c>
      <c r="R102" s="2210">
        <f t="shared" si="31"/>
        <v>1.6652333000472954</v>
      </c>
    </row>
    <row r="103" spans="3:18" x14ac:dyDescent="0.4">
      <c r="C103" s="2212" t="s">
        <v>7823</v>
      </c>
      <c r="D103" s="2212" t="s">
        <v>7809</v>
      </c>
      <c r="E103" s="2213">
        <v>-2.3473720997571945E-2</v>
      </c>
      <c r="F103" s="2213">
        <v>-2.3473720997571945E-2</v>
      </c>
      <c r="G103" s="2213">
        <v>-2.3473720997571945E-2</v>
      </c>
      <c r="H103" s="2213">
        <v>-2.3473720997571945E-2</v>
      </c>
      <c r="I103" s="2213">
        <v>-8.3192768096923828</v>
      </c>
      <c r="J103" s="2213">
        <v>16.322124481201172</v>
      </c>
      <c r="K103" s="2213">
        <v>1.4514087438583374</v>
      </c>
      <c r="L103" s="2213">
        <v>0</v>
      </c>
      <c r="M103" s="2213">
        <v>0</v>
      </c>
      <c r="N103" s="2213">
        <v>0</v>
      </c>
      <c r="O103" s="2214">
        <v>0</v>
      </c>
      <c r="P103" s="2215">
        <v>0</v>
      </c>
      <c r="Q103" s="2216"/>
      <c r="R103" s="2215">
        <v>0</v>
      </c>
    </row>
    <row r="104" spans="3:18" x14ac:dyDescent="0.4">
      <c r="C104" s="2212"/>
      <c r="D104" s="2212" t="s">
        <v>7810</v>
      </c>
      <c r="E104" s="2213">
        <v>0</v>
      </c>
      <c r="F104" s="2213">
        <v>0</v>
      </c>
      <c r="G104" s="2213">
        <v>0</v>
      </c>
      <c r="H104" s="2213">
        <v>0</v>
      </c>
      <c r="I104" s="2213">
        <v>0</v>
      </c>
      <c r="J104" s="2213">
        <v>0</v>
      </c>
      <c r="K104" s="2213">
        <v>0</v>
      </c>
      <c r="L104" s="2213">
        <v>0</v>
      </c>
      <c r="M104" s="2213">
        <v>0</v>
      </c>
      <c r="N104" s="2213">
        <v>0</v>
      </c>
      <c r="O104" s="2213">
        <v>0</v>
      </c>
      <c r="P104" s="2215">
        <v>0</v>
      </c>
      <c r="Q104" s="2213">
        <v>0</v>
      </c>
      <c r="R104" s="2216">
        <v>0</v>
      </c>
    </row>
    <row r="105" spans="3:18" x14ac:dyDescent="0.4">
      <c r="C105" s="2212"/>
      <c r="D105" s="2212" t="s">
        <v>7811</v>
      </c>
      <c r="E105" s="2213">
        <v>0</v>
      </c>
      <c r="F105" s="2213">
        <v>0</v>
      </c>
      <c r="G105" s="2213">
        <v>0</v>
      </c>
      <c r="H105" s="2213">
        <v>0</v>
      </c>
      <c r="I105" s="2213">
        <v>0</v>
      </c>
      <c r="J105" s="2213">
        <v>0</v>
      </c>
      <c r="K105" s="2213">
        <v>0</v>
      </c>
      <c r="L105" s="2213">
        <v>0</v>
      </c>
      <c r="M105" s="2213">
        <v>0</v>
      </c>
      <c r="N105" s="2213">
        <v>0</v>
      </c>
      <c r="O105" s="2213">
        <v>0</v>
      </c>
      <c r="P105" s="2215">
        <v>0</v>
      </c>
      <c r="Q105" s="2213">
        <v>0</v>
      </c>
      <c r="R105" s="2216">
        <v>0</v>
      </c>
    </row>
    <row r="106" spans="3:18" x14ac:dyDescent="0.4">
      <c r="C106" s="2212"/>
      <c r="D106" s="2212" t="s">
        <v>7812</v>
      </c>
      <c r="E106" s="2213">
        <v>0</v>
      </c>
      <c r="F106" s="2213">
        <v>0</v>
      </c>
      <c r="G106" s="2213">
        <v>0</v>
      </c>
      <c r="H106" s="2213">
        <v>0</v>
      </c>
      <c r="I106" s="2213">
        <v>0</v>
      </c>
      <c r="J106" s="2213">
        <v>0</v>
      </c>
      <c r="K106" s="2213">
        <v>0</v>
      </c>
      <c r="L106" s="2213">
        <v>0</v>
      </c>
      <c r="M106" s="2213">
        <v>0</v>
      </c>
      <c r="N106" s="2213">
        <v>0</v>
      </c>
      <c r="O106" s="2213">
        <v>0</v>
      </c>
      <c r="P106" s="2215">
        <v>0</v>
      </c>
      <c r="Q106" s="2213">
        <v>0</v>
      </c>
      <c r="R106" s="2215">
        <v>0</v>
      </c>
    </row>
    <row r="107" spans="3:18" x14ac:dyDescent="0.4">
      <c r="C107" s="2212"/>
      <c r="D107" s="2212" t="s">
        <v>7813</v>
      </c>
      <c r="E107" s="2213">
        <f>+SUM(E104+E105+E106)</f>
        <v>0</v>
      </c>
      <c r="F107" s="2213">
        <f t="shared" ref="F107:Q107" si="32">+SUM(F104+F105+F106)</f>
        <v>0</v>
      </c>
      <c r="G107" s="2213">
        <f t="shared" si="32"/>
        <v>0</v>
      </c>
      <c r="H107" s="2213">
        <f t="shared" si="32"/>
        <v>0</v>
      </c>
      <c r="I107" s="2213">
        <f t="shared" si="32"/>
        <v>0</v>
      </c>
      <c r="J107" s="2213">
        <f t="shared" si="32"/>
        <v>0</v>
      </c>
      <c r="K107" s="2213">
        <f t="shared" si="32"/>
        <v>0</v>
      </c>
      <c r="L107" s="2213">
        <f t="shared" si="32"/>
        <v>0</v>
      </c>
      <c r="M107" s="2213">
        <f t="shared" si="32"/>
        <v>0</v>
      </c>
      <c r="N107" s="2213">
        <f t="shared" si="32"/>
        <v>0</v>
      </c>
      <c r="O107" s="2213">
        <f t="shared" si="32"/>
        <v>0</v>
      </c>
      <c r="P107" s="2215">
        <f t="shared" si="32"/>
        <v>0</v>
      </c>
      <c r="Q107" s="2213">
        <f t="shared" si="32"/>
        <v>0</v>
      </c>
      <c r="R107" s="2215">
        <f>+SUM(R104+R105+R106)</f>
        <v>0</v>
      </c>
    </row>
    <row r="108" spans="3:18" x14ac:dyDescent="0.4">
      <c r="C108" s="2212"/>
      <c r="D108" s="2217" t="s">
        <v>7814</v>
      </c>
      <c r="E108" s="2218">
        <f>+E103+E107</f>
        <v>-2.3473720997571945E-2</v>
      </c>
      <c r="F108" s="2218">
        <f t="shared" ref="F108:R108" si="33">+F103+F107</f>
        <v>-2.3473720997571945E-2</v>
      </c>
      <c r="G108" s="2218">
        <f t="shared" si="33"/>
        <v>-2.3473720997571945E-2</v>
      </c>
      <c r="H108" s="2218">
        <f t="shared" si="33"/>
        <v>-2.3473720997571945E-2</v>
      </c>
      <c r="I108" s="2218">
        <f t="shared" si="33"/>
        <v>-8.3192768096923828</v>
      </c>
      <c r="J108" s="2218">
        <f t="shared" si="33"/>
        <v>16.322124481201172</v>
      </c>
      <c r="K108" s="2218">
        <f t="shared" si="33"/>
        <v>1.4514087438583374</v>
      </c>
      <c r="L108" s="2218">
        <f t="shared" si="33"/>
        <v>0</v>
      </c>
      <c r="M108" s="2218">
        <f t="shared" si="33"/>
        <v>0</v>
      </c>
      <c r="N108" s="2218">
        <f t="shared" si="33"/>
        <v>0</v>
      </c>
      <c r="O108" s="2218">
        <f t="shared" si="33"/>
        <v>0</v>
      </c>
      <c r="P108" s="2219">
        <f t="shared" si="33"/>
        <v>0</v>
      </c>
      <c r="Q108" s="2218">
        <f t="shared" si="33"/>
        <v>0</v>
      </c>
      <c r="R108" s="2218">
        <f t="shared" si="33"/>
        <v>0</v>
      </c>
    </row>
    <row r="109" spans="3:18" x14ac:dyDescent="0.4">
      <c r="C109" s="2204" t="s">
        <v>7824</v>
      </c>
      <c r="D109" s="2205" t="s">
        <v>7809</v>
      </c>
      <c r="E109" s="2206">
        <v>2.4100393522530794E-2</v>
      </c>
      <c r="F109" s="2206">
        <v>-2.3473720997571945E-2</v>
      </c>
      <c r="G109" s="2206">
        <v>7.1496995091438293</v>
      </c>
      <c r="H109" s="2206">
        <v>9.0057997703552246</v>
      </c>
      <c r="I109" s="2206">
        <v>30.788817405700684</v>
      </c>
      <c r="J109" s="2206">
        <v>10.529593944549561</v>
      </c>
      <c r="K109" s="2206">
        <v>10.985355377197266</v>
      </c>
      <c r="L109" s="2206">
        <v>10.1716</v>
      </c>
      <c r="M109" s="2206">
        <v>0</v>
      </c>
      <c r="N109" s="2206">
        <v>0</v>
      </c>
      <c r="O109" s="1758">
        <v>0</v>
      </c>
      <c r="P109" s="2207">
        <v>0</v>
      </c>
      <c r="Q109" s="536">
        <v>0.2</v>
      </c>
      <c r="R109" s="2207">
        <v>1.7280407864821816</v>
      </c>
    </row>
    <row r="110" spans="3:18" x14ac:dyDescent="0.4">
      <c r="C110" s="2204"/>
      <c r="D110" s="2205" t="s">
        <v>7810</v>
      </c>
      <c r="E110" s="2206">
        <v>0</v>
      </c>
      <c r="F110" s="2206">
        <v>0</v>
      </c>
      <c r="G110" s="2206">
        <v>0</v>
      </c>
      <c r="H110" s="2206">
        <v>0</v>
      </c>
      <c r="I110" s="2206">
        <v>0</v>
      </c>
      <c r="J110" s="2206">
        <v>0</v>
      </c>
      <c r="K110" s="2206">
        <v>0</v>
      </c>
      <c r="L110" s="2206">
        <v>0</v>
      </c>
      <c r="M110" s="2206">
        <v>0</v>
      </c>
      <c r="N110" s="2206">
        <v>0</v>
      </c>
      <c r="O110" s="2206">
        <v>0.01</v>
      </c>
      <c r="P110" s="2207">
        <v>0</v>
      </c>
      <c r="Q110" s="416">
        <v>0</v>
      </c>
      <c r="R110" s="1578">
        <v>0</v>
      </c>
    </row>
    <row r="111" spans="3:18" x14ac:dyDescent="0.4">
      <c r="C111" s="2204"/>
      <c r="D111" s="2205" t="s">
        <v>7811</v>
      </c>
      <c r="E111" s="2206">
        <v>0</v>
      </c>
      <c r="F111" s="2206">
        <v>0</v>
      </c>
      <c r="G111" s="2206">
        <v>0</v>
      </c>
      <c r="H111" s="2206">
        <v>0</v>
      </c>
      <c r="I111" s="2206">
        <v>0</v>
      </c>
      <c r="J111" s="2206">
        <v>0</v>
      </c>
      <c r="K111" s="2206">
        <v>0</v>
      </c>
      <c r="L111" s="2206">
        <v>0</v>
      </c>
      <c r="M111" s="2206">
        <v>0</v>
      </c>
      <c r="N111" s="2206">
        <v>0</v>
      </c>
      <c r="O111" s="2206">
        <v>0</v>
      </c>
      <c r="P111" s="2207">
        <v>0</v>
      </c>
      <c r="Q111" s="416">
        <v>0</v>
      </c>
      <c r="R111" s="1578">
        <v>0</v>
      </c>
    </row>
    <row r="112" spans="3:18" x14ac:dyDescent="0.4">
      <c r="C112" s="2204"/>
      <c r="D112" s="2205" t="s">
        <v>7812</v>
      </c>
      <c r="E112" s="2206">
        <v>0</v>
      </c>
      <c r="F112" s="2206">
        <v>0</v>
      </c>
      <c r="G112" s="2206">
        <v>0</v>
      </c>
      <c r="H112" s="2206">
        <v>0</v>
      </c>
      <c r="I112" s="2206">
        <v>0</v>
      </c>
      <c r="J112" s="2206">
        <v>0</v>
      </c>
      <c r="K112" s="2206">
        <v>0</v>
      </c>
      <c r="L112" s="2206">
        <v>0</v>
      </c>
      <c r="M112" s="2206">
        <v>0</v>
      </c>
      <c r="N112" s="2206">
        <v>0</v>
      </c>
      <c r="O112" s="2206">
        <v>0</v>
      </c>
      <c r="P112" s="2207">
        <v>0</v>
      </c>
      <c r="Q112" s="416">
        <v>0</v>
      </c>
      <c r="R112" s="2207">
        <v>0</v>
      </c>
    </row>
    <row r="113" spans="3:18" x14ac:dyDescent="0.4">
      <c r="C113" s="2204"/>
      <c r="D113" s="2205" t="s">
        <v>7813</v>
      </c>
      <c r="E113" s="2206">
        <f>+SUM(E110+E111+E112)</f>
        <v>0</v>
      </c>
      <c r="F113" s="2206">
        <f t="shared" ref="F113:Q113" si="34">+SUM(F110+F111+F112)</f>
        <v>0</v>
      </c>
      <c r="G113" s="2206">
        <f t="shared" si="34"/>
        <v>0</v>
      </c>
      <c r="H113" s="2206">
        <f t="shared" si="34"/>
        <v>0</v>
      </c>
      <c r="I113" s="2206">
        <f t="shared" si="34"/>
        <v>0</v>
      </c>
      <c r="J113" s="2206">
        <f t="shared" si="34"/>
        <v>0</v>
      </c>
      <c r="K113" s="2206">
        <f t="shared" si="34"/>
        <v>0</v>
      </c>
      <c r="L113" s="2206">
        <f t="shared" si="34"/>
        <v>0</v>
      </c>
      <c r="M113" s="2206">
        <f t="shared" si="34"/>
        <v>0</v>
      </c>
      <c r="N113" s="2206">
        <f t="shared" si="34"/>
        <v>0</v>
      </c>
      <c r="O113" s="2206">
        <f t="shared" si="34"/>
        <v>0.01</v>
      </c>
      <c r="P113" s="2207">
        <f t="shared" si="34"/>
        <v>0</v>
      </c>
      <c r="Q113" s="416">
        <f t="shared" si="34"/>
        <v>0</v>
      </c>
      <c r="R113" s="2207">
        <f>+SUM(R110+R111+R112)</f>
        <v>0</v>
      </c>
    </row>
    <row r="114" spans="3:18" x14ac:dyDescent="0.4">
      <c r="C114" s="2204"/>
      <c r="D114" s="2208" t="s">
        <v>7814</v>
      </c>
      <c r="E114" s="2209">
        <f>+E109+E113</f>
        <v>2.4100393522530794E-2</v>
      </c>
      <c r="F114" s="2209">
        <f t="shared" ref="F114:R114" si="35">+F109+F113</f>
        <v>-2.3473720997571945E-2</v>
      </c>
      <c r="G114" s="2209">
        <f t="shared" si="35"/>
        <v>7.1496995091438293</v>
      </c>
      <c r="H114" s="2209">
        <f t="shared" si="35"/>
        <v>9.0057997703552246</v>
      </c>
      <c r="I114" s="2209">
        <f t="shared" si="35"/>
        <v>30.788817405700684</v>
      </c>
      <c r="J114" s="2209">
        <f t="shared" si="35"/>
        <v>10.529593944549561</v>
      </c>
      <c r="K114" s="2209">
        <f t="shared" si="35"/>
        <v>10.985355377197266</v>
      </c>
      <c r="L114" s="2209">
        <f t="shared" si="35"/>
        <v>10.1716</v>
      </c>
      <c r="M114" s="2209">
        <f t="shared" si="35"/>
        <v>0</v>
      </c>
      <c r="N114" s="2209">
        <f t="shared" si="35"/>
        <v>0</v>
      </c>
      <c r="O114" s="2209">
        <f t="shared" si="35"/>
        <v>0.01</v>
      </c>
      <c r="P114" s="2210">
        <f t="shared" si="35"/>
        <v>0</v>
      </c>
      <c r="Q114" s="2211">
        <f t="shared" si="35"/>
        <v>0.2</v>
      </c>
      <c r="R114" s="2210">
        <f t="shared" si="35"/>
        <v>1.7280407864821816</v>
      </c>
    </row>
    <row r="115" spans="3:18" x14ac:dyDescent="0.4">
      <c r="C115" s="2212" t="s">
        <v>7825</v>
      </c>
      <c r="D115" s="2212" t="s">
        <v>7809</v>
      </c>
      <c r="E115" s="2213">
        <v>3.5548442114268255</v>
      </c>
      <c r="F115" s="2213">
        <v>-1.519644021987915</v>
      </c>
      <c r="G115" s="2213">
        <v>3.7093698978424072</v>
      </c>
      <c r="H115" s="2213">
        <v>3.0422589778900146</v>
      </c>
      <c r="I115" s="2213">
        <v>-14.59578800201416</v>
      </c>
      <c r="J115" s="2213">
        <v>30.403827667236328</v>
      </c>
      <c r="K115" s="2213">
        <v>-2.3473720997571945E-2</v>
      </c>
      <c r="L115" s="2213">
        <v>0</v>
      </c>
      <c r="M115" s="2213">
        <v>0</v>
      </c>
      <c r="N115" s="2213">
        <v>0</v>
      </c>
      <c r="O115" s="2214">
        <v>0</v>
      </c>
      <c r="P115" s="2215">
        <v>0</v>
      </c>
      <c r="Q115" s="2216"/>
      <c r="R115" s="2215">
        <v>0</v>
      </c>
    </row>
    <row r="116" spans="3:18" x14ac:dyDescent="0.4">
      <c r="C116" s="2212"/>
      <c r="D116" s="2212" t="s">
        <v>7810</v>
      </c>
      <c r="E116" s="2213">
        <v>0</v>
      </c>
      <c r="F116" s="2213">
        <v>0</v>
      </c>
      <c r="G116" s="2213">
        <v>0</v>
      </c>
      <c r="H116" s="2213">
        <v>0</v>
      </c>
      <c r="I116" s="2213">
        <v>0</v>
      </c>
      <c r="J116" s="2213">
        <v>0</v>
      </c>
      <c r="K116" s="2213">
        <v>0</v>
      </c>
      <c r="L116" s="2213">
        <v>0</v>
      </c>
      <c r="M116" s="2213">
        <v>0</v>
      </c>
      <c r="N116" s="2213">
        <v>0</v>
      </c>
      <c r="O116" s="2213">
        <v>0</v>
      </c>
      <c r="P116" s="2215">
        <v>0</v>
      </c>
      <c r="Q116" s="2213">
        <v>0</v>
      </c>
      <c r="R116" s="2216">
        <v>0</v>
      </c>
    </row>
    <row r="117" spans="3:18" x14ac:dyDescent="0.4">
      <c r="C117" s="2212"/>
      <c r="D117" s="2212" t="s">
        <v>7811</v>
      </c>
      <c r="E117" s="2213">
        <v>0</v>
      </c>
      <c r="F117" s="2213">
        <v>0</v>
      </c>
      <c r="G117" s="2213">
        <v>0</v>
      </c>
      <c r="H117" s="2213">
        <v>0</v>
      </c>
      <c r="I117" s="2213">
        <v>0</v>
      </c>
      <c r="J117" s="2213">
        <v>0</v>
      </c>
      <c r="K117" s="2213">
        <v>0</v>
      </c>
      <c r="L117" s="2213">
        <v>0</v>
      </c>
      <c r="M117" s="2213">
        <v>0</v>
      </c>
      <c r="N117" s="2213">
        <v>0</v>
      </c>
      <c r="O117" s="2213">
        <v>0</v>
      </c>
      <c r="P117" s="2215">
        <v>0</v>
      </c>
      <c r="Q117" s="2213">
        <v>0</v>
      </c>
      <c r="R117" s="2216">
        <v>0</v>
      </c>
    </row>
    <row r="118" spans="3:18" x14ac:dyDescent="0.4">
      <c r="C118" s="2212"/>
      <c r="D118" s="2212" t="s">
        <v>7812</v>
      </c>
      <c r="E118" s="2213">
        <v>0</v>
      </c>
      <c r="F118" s="2213">
        <v>0</v>
      </c>
      <c r="G118" s="2213">
        <v>0</v>
      </c>
      <c r="H118" s="2213">
        <v>0</v>
      </c>
      <c r="I118" s="2213">
        <v>0</v>
      </c>
      <c r="J118" s="2213">
        <v>0</v>
      </c>
      <c r="K118" s="2213">
        <v>0</v>
      </c>
      <c r="L118" s="2213">
        <v>0</v>
      </c>
      <c r="M118" s="2213">
        <v>0</v>
      </c>
      <c r="N118" s="2213">
        <v>0</v>
      </c>
      <c r="O118" s="2213">
        <v>0</v>
      </c>
      <c r="P118" s="2215">
        <v>0</v>
      </c>
      <c r="Q118" s="2213">
        <v>0</v>
      </c>
      <c r="R118" s="2215">
        <v>0</v>
      </c>
    </row>
    <row r="119" spans="3:18" x14ac:dyDescent="0.4">
      <c r="C119" s="2212"/>
      <c r="D119" s="2212" t="s">
        <v>7813</v>
      </c>
      <c r="E119" s="2213">
        <f>+SUM(E116+E117+E118)</f>
        <v>0</v>
      </c>
      <c r="F119" s="2213">
        <f t="shared" ref="F119:Q119" si="36">+SUM(F116+F117+F118)</f>
        <v>0</v>
      </c>
      <c r="G119" s="2213">
        <f t="shared" si="36"/>
        <v>0</v>
      </c>
      <c r="H119" s="2213">
        <f t="shared" si="36"/>
        <v>0</v>
      </c>
      <c r="I119" s="2213">
        <f t="shared" si="36"/>
        <v>0</v>
      </c>
      <c r="J119" s="2213">
        <f t="shared" si="36"/>
        <v>0</v>
      </c>
      <c r="K119" s="2213">
        <f t="shared" si="36"/>
        <v>0</v>
      </c>
      <c r="L119" s="2213">
        <f t="shared" si="36"/>
        <v>0</v>
      </c>
      <c r="M119" s="2213">
        <f t="shared" si="36"/>
        <v>0</v>
      </c>
      <c r="N119" s="2213">
        <f t="shared" si="36"/>
        <v>0</v>
      </c>
      <c r="O119" s="2213">
        <f t="shared" si="36"/>
        <v>0</v>
      </c>
      <c r="P119" s="2215">
        <f t="shared" si="36"/>
        <v>0</v>
      </c>
      <c r="Q119" s="2213">
        <f t="shared" si="36"/>
        <v>0</v>
      </c>
      <c r="R119" s="2215">
        <f>+SUM(R116+R117+R118)</f>
        <v>0</v>
      </c>
    </row>
    <row r="120" spans="3:18" x14ac:dyDescent="0.4">
      <c r="C120" s="2212"/>
      <c r="D120" s="2217" t="s">
        <v>7814</v>
      </c>
      <c r="E120" s="2218">
        <f>+E115+E119</f>
        <v>3.5548442114268255</v>
      </c>
      <c r="F120" s="2218">
        <f t="shared" ref="F120:R120" si="37">+F115+F119</f>
        <v>-1.519644021987915</v>
      </c>
      <c r="G120" s="2218">
        <f t="shared" si="37"/>
        <v>3.7093698978424072</v>
      </c>
      <c r="H120" s="2218">
        <f t="shared" si="37"/>
        <v>3.0422589778900146</v>
      </c>
      <c r="I120" s="2218">
        <f t="shared" si="37"/>
        <v>-14.59578800201416</v>
      </c>
      <c r="J120" s="2218">
        <f t="shared" si="37"/>
        <v>30.403827667236328</v>
      </c>
      <c r="K120" s="2218">
        <f t="shared" si="37"/>
        <v>-2.3473720997571945E-2</v>
      </c>
      <c r="L120" s="2218">
        <f t="shared" si="37"/>
        <v>0</v>
      </c>
      <c r="M120" s="2218">
        <f t="shared" si="37"/>
        <v>0</v>
      </c>
      <c r="N120" s="2218">
        <f t="shared" si="37"/>
        <v>0</v>
      </c>
      <c r="O120" s="2218">
        <f t="shared" si="37"/>
        <v>0</v>
      </c>
      <c r="P120" s="2219">
        <f t="shared" si="37"/>
        <v>0</v>
      </c>
      <c r="Q120" s="2218">
        <f t="shared" si="37"/>
        <v>0</v>
      </c>
      <c r="R120" s="2218">
        <f t="shared" si="37"/>
        <v>0</v>
      </c>
    </row>
    <row r="121" spans="3:18" x14ac:dyDescent="0.4">
      <c r="C121" s="2204" t="s">
        <v>5768</v>
      </c>
      <c r="D121" s="2205" t="s">
        <v>7809</v>
      </c>
      <c r="E121" s="2206">
        <v>-2.3473720997571945E-2</v>
      </c>
      <c r="F121" s="2206">
        <v>-2.3473720997571945E-2</v>
      </c>
      <c r="G121" s="2206">
        <v>-2.3473720997571945E-2</v>
      </c>
      <c r="H121" s="2206">
        <v>-2.3473720997571945E-2</v>
      </c>
      <c r="I121" s="2206">
        <v>1.984504222869873</v>
      </c>
      <c r="J121" s="2206">
        <v>1.3748966455459595</v>
      </c>
      <c r="K121" s="2206">
        <v>2.0634353160858154</v>
      </c>
      <c r="L121" s="2206">
        <v>0</v>
      </c>
      <c r="M121" s="2206">
        <v>0</v>
      </c>
      <c r="N121" s="2206">
        <v>0</v>
      </c>
      <c r="O121" s="1758">
        <v>0</v>
      </c>
      <c r="P121" s="2207">
        <v>0</v>
      </c>
      <c r="Q121" s="536"/>
      <c r="R121" s="2207">
        <v>0</v>
      </c>
    </row>
    <row r="122" spans="3:18" x14ac:dyDescent="0.4">
      <c r="C122" s="2204"/>
      <c r="D122" s="2205" t="s">
        <v>7810</v>
      </c>
      <c r="E122" s="2206">
        <v>0</v>
      </c>
      <c r="F122" s="2206">
        <v>0</v>
      </c>
      <c r="G122" s="2206">
        <v>0</v>
      </c>
      <c r="H122" s="2206">
        <v>0</v>
      </c>
      <c r="I122" s="2206">
        <v>0</v>
      </c>
      <c r="J122" s="2206">
        <v>0</v>
      </c>
      <c r="K122" s="2206">
        <v>0</v>
      </c>
      <c r="L122" s="2206">
        <v>0</v>
      </c>
      <c r="M122" s="2206">
        <v>0</v>
      </c>
      <c r="N122" s="2206">
        <v>0</v>
      </c>
      <c r="O122" s="2206">
        <v>0</v>
      </c>
      <c r="P122" s="2207">
        <v>0</v>
      </c>
      <c r="Q122" s="416">
        <v>0</v>
      </c>
      <c r="R122" s="1578">
        <v>0</v>
      </c>
    </row>
    <row r="123" spans="3:18" x14ac:dyDescent="0.4">
      <c r="C123" s="2204"/>
      <c r="D123" s="2205" t="s">
        <v>7811</v>
      </c>
      <c r="E123" s="2206">
        <v>0</v>
      </c>
      <c r="F123" s="2206">
        <v>0</v>
      </c>
      <c r="G123" s="2206">
        <v>0</v>
      </c>
      <c r="H123" s="2206">
        <v>0</v>
      </c>
      <c r="I123" s="2206">
        <v>0</v>
      </c>
      <c r="J123" s="2206">
        <v>0</v>
      </c>
      <c r="K123" s="2206">
        <v>0</v>
      </c>
      <c r="L123" s="2206">
        <v>0</v>
      </c>
      <c r="M123" s="2206">
        <v>0</v>
      </c>
      <c r="N123" s="2206">
        <v>0</v>
      </c>
      <c r="O123" s="2206">
        <v>0</v>
      </c>
      <c r="P123" s="2207">
        <v>0</v>
      </c>
      <c r="Q123" s="416">
        <v>0</v>
      </c>
      <c r="R123" s="1578">
        <v>0</v>
      </c>
    </row>
    <row r="124" spans="3:18" x14ac:dyDescent="0.4">
      <c r="C124" s="2204"/>
      <c r="D124" s="2205" t="s">
        <v>7812</v>
      </c>
      <c r="E124" s="2206">
        <v>0</v>
      </c>
      <c r="F124" s="2206">
        <v>0</v>
      </c>
      <c r="G124" s="2206">
        <v>0</v>
      </c>
      <c r="H124" s="2206">
        <v>0</v>
      </c>
      <c r="I124" s="2206">
        <v>0</v>
      </c>
      <c r="J124" s="2206">
        <v>0</v>
      </c>
      <c r="K124" s="2206">
        <v>0</v>
      </c>
      <c r="L124" s="2206">
        <v>0</v>
      </c>
      <c r="M124" s="2206">
        <v>0</v>
      </c>
      <c r="N124" s="2206">
        <v>0</v>
      </c>
      <c r="O124" s="2206">
        <v>0</v>
      </c>
      <c r="P124" s="2207">
        <v>0</v>
      </c>
      <c r="Q124" s="416">
        <v>0</v>
      </c>
      <c r="R124" s="2207">
        <v>0</v>
      </c>
    </row>
    <row r="125" spans="3:18" x14ac:dyDescent="0.4">
      <c r="C125" s="2204"/>
      <c r="D125" s="2205" t="s">
        <v>7813</v>
      </c>
      <c r="E125" s="2206">
        <f>+SUM(E122+E123+E124)</f>
        <v>0</v>
      </c>
      <c r="F125" s="2206">
        <f t="shared" ref="F125:Q125" si="38">+SUM(F122+F123+F124)</f>
        <v>0</v>
      </c>
      <c r="G125" s="2206">
        <f t="shared" si="38"/>
        <v>0</v>
      </c>
      <c r="H125" s="2206">
        <f t="shared" si="38"/>
        <v>0</v>
      </c>
      <c r="I125" s="2206">
        <f t="shared" si="38"/>
        <v>0</v>
      </c>
      <c r="J125" s="2206">
        <f t="shared" si="38"/>
        <v>0</v>
      </c>
      <c r="K125" s="2206">
        <f t="shared" si="38"/>
        <v>0</v>
      </c>
      <c r="L125" s="2206">
        <f t="shared" si="38"/>
        <v>0</v>
      </c>
      <c r="M125" s="2206">
        <f t="shared" si="38"/>
        <v>0</v>
      </c>
      <c r="N125" s="2206">
        <f t="shared" si="38"/>
        <v>0</v>
      </c>
      <c r="O125" s="2206">
        <f t="shared" si="38"/>
        <v>0</v>
      </c>
      <c r="P125" s="2207">
        <f t="shared" si="38"/>
        <v>0</v>
      </c>
      <c r="Q125" s="416">
        <f t="shared" si="38"/>
        <v>0</v>
      </c>
      <c r="R125" s="2207">
        <f>+SUM(R122+R123+R124)</f>
        <v>0</v>
      </c>
    </row>
    <row r="126" spans="3:18" x14ac:dyDescent="0.4">
      <c r="C126" s="2204"/>
      <c r="D126" s="2208" t="s">
        <v>7814</v>
      </c>
      <c r="E126" s="2209">
        <f>+E121+E125</f>
        <v>-2.3473720997571945E-2</v>
      </c>
      <c r="F126" s="2209">
        <f t="shared" ref="F126:R126" si="39">+F121+F125</f>
        <v>-2.3473720997571945E-2</v>
      </c>
      <c r="G126" s="2209">
        <f t="shared" si="39"/>
        <v>-2.3473720997571945E-2</v>
      </c>
      <c r="H126" s="2209">
        <f t="shared" si="39"/>
        <v>-2.3473720997571945E-2</v>
      </c>
      <c r="I126" s="2209">
        <f t="shared" si="39"/>
        <v>1.984504222869873</v>
      </c>
      <c r="J126" s="2209">
        <f t="shared" si="39"/>
        <v>1.3748966455459595</v>
      </c>
      <c r="K126" s="2209">
        <f t="shared" si="39"/>
        <v>2.0634353160858154</v>
      </c>
      <c r="L126" s="2209">
        <f t="shared" si="39"/>
        <v>0</v>
      </c>
      <c r="M126" s="2209">
        <f t="shared" si="39"/>
        <v>0</v>
      </c>
      <c r="N126" s="2209">
        <f t="shared" si="39"/>
        <v>0</v>
      </c>
      <c r="O126" s="2209">
        <f t="shared" si="39"/>
        <v>0</v>
      </c>
      <c r="P126" s="2210">
        <f t="shared" si="39"/>
        <v>0</v>
      </c>
      <c r="Q126" s="2211">
        <f t="shared" si="39"/>
        <v>0</v>
      </c>
      <c r="R126" s="2210">
        <f t="shared" si="39"/>
        <v>0</v>
      </c>
    </row>
    <row r="127" spans="3:18" x14ac:dyDescent="0.4">
      <c r="C127" s="2212" t="s">
        <v>5764</v>
      </c>
      <c r="D127" s="2212" t="s">
        <v>7809</v>
      </c>
      <c r="E127" s="2213">
        <v>0</v>
      </c>
      <c r="F127" s="2213">
        <v>0</v>
      </c>
      <c r="G127" s="2213">
        <v>7.1</v>
      </c>
      <c r="H127" s="2213">
        <v>9</v>
      </c>
      <c r="I127" s="2213">
        <v>30.8</v>
      </c>
      <c r="J127" s="2213">
        <v>10.5</v>
      </c>
      <c r="K127" s="2213">
        <v>11</v>
      </c>
      <c r="L127" s="2213">
        <v>-1.6342999999999999</v>
      </c>
      <c r="M127" s="2213">
        <v>-1.3656765670589399</v>
      </c>
      <c r="N127" s="2213">
        <v>3.4066604329978598</v>
      </c>
      <c r="O127" s="2214">
        <v>-0.56552976663700905</v>
      </c>
      <c r="P127" s="2215">
        <v>0.29332072669114001</v>
      </c>
      <c r="Q127" s="2216">
        <v>1.2</v>
      </c>
      <c r="R127" s="2215">
        <v>2.7088976710393515</v>
      </c>
    </row>
    <row r="128" spans="3:18" x14ac:dyDescent="0.4">
      <c r="C128" s="2212"/>
      <c r="D128" s="2212" t="s">
        <v>7810</v>
      </c>
      <c r="E128" s="2213">
        <v>0</v>
      </c>
      <c r="F128" s="2213">
        <v>0</v>
      </c>
      <c r="G128" s="2213">
        <v>0</v>
      </c>
      <c r="H128" s="2213">
        <v>0</v>
      </c>
      <c r="I128" s="2213">
        <v>0.4</v>
      </c>
      <c r="J128" s="2213">
        <v>0.1</v>
      </c>
      <c r="K128" s="2213">
        <v>0.1</v>
      </c>
      <c r="L128" s="2213">
        <v>0</v>
      </c>
      <c r="M128" s="2213">
        <v>0.2</v>
      </c>
      <c r="N128" s="2213">
        <v>0.3</v>
      </c>
      <c r="O128" s="2213">
        <v>0</v>
      </c>
      <c r="P128" s="2215">
        <v>0</v>
      </c>
      <c r="Q128" s="2213">
        <v>0</v>
      </c>
      <c r="R128" s="2216">
        <v>0</v>
      </c>
    </row>
    <row r="129" spans="3:18" x14ac:dyDescent="0.4">
      <c r="C129" s="2212"/>
      <c r="D129" s="2212" t="s">
        <v>7811</v>
      </c>
      <c r="E129" s="2213">
        <v>0</v>
      </c>
      <c r="F129" s="2213">
        <v>0</v>
      </c>
      <c r="G129" s="2213">
        <v>0</v>
      </c>
      <c r="H129" s="2213">
        <v>0</v>
      </c>
      <c r="I129" s="2213">
        <v>0</v>
      </c>
      <c r="J129" s="2213">
        <v>0</v>
      </c>
      <c r="K129" s="2213">
        <v>0</v>
      </c>
      <c r="L129" s="2213">
        <v>0</v>
      </c>
      <c r="M129" s="2213">
        <v>0</v>
      </c>
      <c r="N129" s="2213">
        <v>0</v>
      </c>
      <c r="O129" s="2213">
        <v>0</v>
      </c>
      <c r="P129" s="2215">
        <v>0</v>
      </c>
      <c r="Q129" s="2213">
        <v>0</v>
      </c>
      <c r="R129" s="2216">
        <v>0</v>
      </c>
    </row>
    <row r="130" spans="3:18" x14ac:dyDescent="0.4">
      <c r="C130" s="2212"/>
      <c r="D130" s="2212" t="s">
        <v>7812</v>
      </c>
      <c r="E130" s="2213">
        <v>0</v>
      </c>
      <c r="F130" s="2213">
        <v>0</v>
      </c>
      <c r="G130" s="2213">
        <v>0</v>
      </c>
      <c r="H130" s="2213">
        <v>0</v>
      </c>
      <c r="I130" s="2213">
        <v>0</v>
      </c>
      <c r="J130" s="2213">
        <v>0</v>
      </c>
      <c r="K130" s="2213">
        <v>0</v>
      </c>
      <c r="L130" s="2213">
        <v>0</v>
      </c>
      <c r="M130" s="2213">
        <v>0</v>
      </c>
      <c r="N130" s="2213">
        <v>0</v>
      </c>
      <c r="O130" s="2213">
        <v>0</v>
      </c>
      <c r="P130" s="2215">
        <v>0</v>
      </c>
      <c r="Q130" s="2213">
        <v>0</v>
      </c>
      <c r="R130" s="2215">
        <v>0</v>
      </c>
    </row>
    <row r="131" spans="3:18" x14ac:dyDescent="0.4">
      <c r="C131" s="2212"/>
      <c r="D131" s="2212" t="s">
        <v>7813</v>
      </c>
      <c r="E131" s="2213">
        <f>+SUM(E128+E129+E130)</f>
        <v>0</v>
      </c>
      <c r="F131" s="2213">
        <f t="shared" ref="F131:Q131" si="40">+SUM(F128+F129+F130)</f>
        <v>0</v>
      </c>
      <c r="G131" s="2213">
        <f t="shared" si="40"/>
        <v>0</v>
      </c>
      <c r="H131" s="2213">
        <f t="shared" si="40"/>
        <v>0</v>
      </c>
      <c r="I131" s="2213">
        <f t="shared" si="40"/>
        <v>0.4</v>
      </c>
      <c r="J131" s="2213">
        <f t="shared" si="40"/>
        <v>0.1</v>
      </c>
      <c r="K131" s="2213">
        <f t="shared" si="40"/>
        <v>0.1</v>
      </c>
      <c r="L131" s="2213">
        <f t="shared" si="40"/>
        <v>0</v>
      </c>
      <c r="M131" s="2213">
        <f t="shared" si="40"/>
        <v>0.2</v>
      </c>
      <c r="N131" s="2213">
        <f t="shared" si="40"/>
        <v>0.3</v>
      </c>
      <c r="O131" s="2213">
        <f t="shared" si="40"/>
        <v>0</v>
      </c>
      <c r="P131" s="2215">
        <f t="shared" si="40"/>
        <v>0</v>
      </c>
      <c r="Q131" s="2213">
        <f t="shared" si="40"/>
        <v>0</v>
      </c>
      <c r="R131" s="2215">
        <f>+SUM(R128+R129+R130)</f>
        <v>0</v>
      </c>
    </row>
    <row r="132" spans="3:18" x14ac:dyDescent="0.4">
      <c r="C132" s="2212"/>
      <c r="D132" s="2217" t="s">
        <v>7814</v>
      </c>
      <c r="E132" s="2218">
        <f>+E127+E131</f>
        <v>0</v>
      </c>
      <c r="F132" s="2218">
        <f t="shared" ref="F132:R132" si="41">+F127+F131</f>
        <v>0</v>
      </c>
      <c r="G132" s="2218">
        <f t="shared" si="41"/>
        <v>7.1</v>
      </c>
      <c r="H132" s="2218">
        <f t="shared" si="41"/>
        <v>9</v>
      </c>
      <c r="I132" s="2218">
        <f t="shared" si="41"/>
        <v>31.2</v>
      </c>
      <c r="J132" s="2218">
        <f t="shared" si="41"/>
        <v>10.6</v>
      </c>
      <c r="K132" s="2218">
        <f t="shared" si="41"/>
        <v>11.1</v>
      </c>
      <c r="L132" s="2218">
        <f t="shared" si="41"/>
        <v>-1.6342999999999999</v>
      </c>
      <c r="M132" s="2218">
        <f t="shared" si="41"/>
        <v>-1.16567656705894</v>
      </c>
      <c r="N132" s="2218">
        <f t="shared" si="41"/>
        <v>3.7066604329978596</v>
      </c>
      <c r="O132" s="2218">
        <f t="shared" si="41"/>
        <v>-0.56552976663700905</v>
      </c>
      <c r="P132" s="2219">
        <f t="shared" si="41"/>
        <v>0.29332072669114001</v>
      </c>
      <c r="Q132" s="2218">
        <f t="shared" si="41"/>
        <v>1.2</v>
      </c>
      <c r="R132" s="2218">
        <f t="shared" si="41"/>
        <v>2.7088976710393515</v>
      </c>
    </row>
    <row r="133" spans="3:18" x14ac:dyDescent="0.4">
      <c r="C133" s="2204" t="s">
        <v>5795</v>
      </c>
      <c r="D133" s="2205" t="s">
        <v>7809</v>
      </c>
      <c r="E133" s="2206">
        <v>2.7</v>
      </c>
      <c r="F133" s="2206">
        <v>1.5</v>
      </c>
      <c r="G133" s="2206">
        <v>-4.9000000000000004</v>
      </c>
      <c r="H133" s="2206">
        <v>32.799999999999997</v>
      </c>
      <c r="I133" s="2206">
        <v>19.5</v>
      </c>
      <c r="J133" s="2206">
        <v>7.2</v>
      </c>
      <c r="K133" s="2206">
        <v>5.8</v>
      </c>
      <c r="L133" s="2206">
        <v>-19.464599999999997</v>
      </c>
      <c r="M133" s="2206">
        <v>6.0855323622756599</v>
      </c>
      <c r="N133" s="2206">
        <v>-36.691071742358098</v>
      </c>
      <c r="O133" s="1758">
        <v>-11.278958443073201</v>
      </c>
      <c r="P133" s="2207">
        <v>0.45110388768569698</v>
      </c>
      <c r="Q133" s="536">
        <v>-20.7</v>
      </c>
      <c r="R133" s="2207">
        <v>16.05099691080887</v>
      </c>
    </row>
    <row r="134" spans="3:18" x14ac:dyDescent="0.4">
      <c r="C134" s="2204"/>
      <c r="D134" s="2205" t="s">
        <v>7810</v>
      </c>
      <c r="E134" s="2206">
        <v>0</v>
      </c>
      <c r="F134" s="2206">
        <v>0</v>
      </c>
      <c r="G134" s="2206">
        <v>0</v>
      </c>
      <c r="H134" s="2206">
        <v>0</v>
      </c>
      <c r="I134" s="2206">
        <v>0.4</v>
      </c>
      <c r="J134" s="2206">
        <v>0.1</v>
      </c>
      <c r="K134" s="2206">
        <v>0.1</v>
      </c>
      <c r="L134" s="2206">
        <v>0</v>
      </c>
      <c r="M134" s="2206">
        <v>0.2</v>
      </c>
      <c r="N134" s="2206">
        <v>0</v>
      </c>
      <c r="O134" s="2206">
        <v>0</v>
      </c>
      <c r="P134" s="2207">
        <v>0</v>
      </c>
      <c r="Q134" s="416">
        <v>0</v>
      </c>
      <c r="R134" s="1578">
        <v>0</v>
      </c>
    </row>
    <row r="135" spans="3:18" x14ac:dyDescent="0.4">
      <c r="C135" s="2204"/>
      <c r="D135" s="2205" t="s">
        <v>7811</v>
      </c>
      <c r="E135" s="2206">
        <v>0</v>
      </c>
      <c r="F135" s="2206">
        <v>0</v>
      </c>
      <c r="G135" s="2206">
        <v>0</v>
      </c>
      <c r="H135" s="2206">
        <v>0</v>
      </c>
      <c r="I135" s="2206">
        <v>0</v>
      </c>
      <c r="J135" s="2206">
        <v>0</v>
      </c>
      <c r="K135" s="2206">
        <v>0</v>
      </c>
      <c r="L135" s="2206">
        <v>0</v>
      </c>
      <c r="M135" s="2206">
        <v>0</v>
      </c>
      <c r="N135" s="2206">
        <v>0</v>
      </c>
      <c r="O135" s="2206">
        <v>0</v>
      </c>
      <c r="P135" s="2207">
        <v>0</v>
      </c>
      <c r="Q135" s="416">
        <v>0</v>
      </c>
      <c r="R135" s="1578">
        <v>0</v>
      </c>
    </row>
    <row r="136" spans="3:18" x14ac:dyDescent="0.4">
      <c r="C136" s="2204"/>
      <c r="D136" s="2205" t="s">
        <v>7812</v>
      </c>
      <c r="E136" s="2206">
        <v>0</v>
      </c>
      <c r="F136" s="2206">
        <v>0</v>
      </c>
      <c r="G136" s="2206">
        <v>0</v>
      </c>
      <c r="H136" s="2206">
        <v>0</v>
      </c>
      <c r="I136" s="2206">
        <v>0</v>
      </c>
      <c r="J136" s="2206">
        <v>0</v>
      </c>
      <c r="K136" s="2206">
        <v>0</v>
      </c>
      <c r="L136" s="2206">
        <v>0</v>
      </c>
      <c r="M136" s="2206">
        <v>0</v>
      </c>
      <c r="N136" s="2206">
        <v>0</v>
      </c>
      <c r="O136" s="2206">
        <v>0</v>
      </c>
      <c r="P136" s="2207">
        <v>0</v>
      </c>
      <c r="Q136" s="416">
        <v>0</v>
      </c>
      <c r="R136" s="2207">
        <v>0</v>
      </c>
    </row>
    <row r="137" spans="3:18" x14ac:dyDescent="0.4">
      <c r="C137" s="2204"/>
      <c r="D137" s="2205" t="s">
        <v>7813</v>
      </c>
      <c r="E137" s="2206">
        <f>+SUM(E134+E135+E136)</f>
        <v>0</v>
      </c>
      <c r="F137" s="2206">
        <f t="shared" ref="F137:Q137" si="42">+SUM(F134+F135+F136)</f>
        <v>0</v>
      </c>
      <c r="G137" s="2206">
        <f t="shared" si="42"/>
        <v>0</v>
      </c>
      <c r="H137" s="2206">
        <f t="shared" si="42"/>
        <v>0</v>
      </c>
      <c r="I137" s="2206">
        <f t="shared" si="42"/>
        <v>0.4</v>
      </c>
      <c r="J137" s="2206">
        <f t="shared" si="42"/>
        <v>0.1</v>
      </c>
      <c r="K137" s="2206">
        <f t="shared" si="42"/>
        <v>0.1</v>
      </c>
      <c r="L137" s="2206">
        <f t="shared" si="42"/>
        <v>0</v>
      </c>
      <c r="M137" s="2206">
        <f t="shared" si="42"/>
        <v>0.2</v>
      </c>
      <c r="N137" s="2206">
        <f t="shared" si="42"/>
        <v>0</v>
      </c>
      <c r="O137" s="2206">
        <f t="shared" si="42"/>
        <v>0</v>
      </c>
      <c r="P137" s="2207">
        <f t="shared" si="42"/>
        <v>0</v>
      </c>
      <c r="Q137" s="416">
        <f t="shared" si="42"/>
        <v>0</v>
      </c>
      <c r="R137" s="2207">
        <f>+SUM(R134+R135+R136)</f>
        <v>0</v>
      </c>
    </row>
    <row r="138" spans="3:18" x14ac:dyDescent="0.4">
      <c r="C138" s="2204"/>
      <c r="D138" s="2208" t="s">
        <v>7814</v>
      </c>
      <c r="E138" s="2209">
        <f>+E133+E137</f>
        <v>2.7</v>
      </c>
      <c r="F138" s="2209">
        <f t="shared" ref="F138:R138" si="43">+F133+F137</f>
        <v>1.5</v>
      </c>
      <c r="G138" s="2209">
        <f t="shared" si="43"/>
        <v>-4.9000000000000004</v>
      </c>
      <c r="H138" s="2209">
        <f t="shared" si="43"/>
        <v>32.799999999999997</v>
      </c>
      <c r="I138" s="2209">
        <f t="shared" si="43"/>
        <v>19.899999999999999</v>
      </c>
      <c r="J138" s="2209">
        <f t="shared" si="43"/>
        <v>7.3</v>
      </c>
      <c r="K138" s="2209">
        <f t="shared" si="43"/>
        <v>5.8999999999999995</v>
      </c>
      <c r="L138" s="2209">
        <f t="shared" si="43"/>
        <v>-19.464599999999997</v>
      </c>
      <c r="M138" s="2209">
        <f t="shared" si="43"/>
        <v>6.28553236227566</v>
      </c>
      <c r="N138" s="2209">
        <f t="shared" si="43"/>
        <v>-36.691071742358098</v>
      </c>
      <c r="O138" s="2209">
        <f t="shared" si="43"/>
        <v>-11.278958443073201</v>
      </c>
      <c r="P138" s="2210">
        <f t="shared" si="43"/>
        <v>0.45110388768569698</v>
      </c>
      <c r="Q138" s="2211">
        <f t="shared" si="43"/>
        <v>-20.7</v>
      </c>
      <c r="R138" s="2210">
        <f t="shared" si="43"/>
        <v>16.05099691080887</v>
      </c>
    </row>
    <row r="139" spans="3:18" x14ac:dyDescent="0.4">
      <c r="C139" s="2212" t="s">
        <v>7826</v>
      </c>
      <c r="D139" s="2212" t="s">
        <v>7809</v>
      </c>
      <c r="E139" s="2213">
        <v>6.9940258528804407</v>
      </c>
      <c r="F139" s="2213">
        <v>30.144929807633162</v>
      </c>
      <c r="G139" s="2213">
        <v>31.565601818263531</v>
      </c>
      <c r="H139" s="2213">
        <v>109.43230115892948</v>
      </c>
      <c r="I139" s="2213">
        <v>-65.824073195457458</v>
      </c>
      <c r="J139" s="2213">
        <v>461.12242496013641</v>
      </c>
      <c r="K139" s="2213">
        <v>368.77702055033296</v>
      </c>
      <c r="L139" s="2213">
        <v>150.41810000000001</v>
      </c>
      <c r="M139" s="2213">
        <v>0</v>
      </c>
      <c r="N139" s="2213">
        <v>0</v>
      </c>
      <c r="O139" s="2214">
        <v>0</v>
      </c>
      <c r="P139" s="2215">
        <v>0</v>
      </c>
      <c r="Q139" s="2216">
        <v>20.3</v>
      </c>
      <c r="R139" s="2215">
        <v>4.355641601960234</v>
      </c>
    </row>
    <row r="140" spans="3:18" x14ac:dyDescent="0.4">
      <c r="C140" s="2212"/>
      <c r="D140" s="2212" t="s">
        <v>7810</v>
      </c>
      <c r="E140" s="2213">
        <v>0.8</v>
      </c>
      <c r="F140" s="2213">
        <v>0.8</v>
      </c>
      <c r="G140" s="2213">
        <v>0</v>
      </c>
      <c r="H140" s="2213">
        <v>0</v>
      </c>
      <c r="I140" s="2213">
        <v>0</v>
      </c>
      <c r="J140" s="2213">
        <v>0</v>
      </c>
      <c r="K140" s="2213">
        <v>1.5</v>
      </c>
      <c r="L140" s="2213">
        <v>0</v>
      </c>
      <c r="M140" s="2213">
        <v>0</v>
      </c>
      <c r="N140" s="2213">
        <v>0</v>
      </c>
      <c r="O140" s="2213">
        <v>0</v>
      </c>
      <c r="P140" s="2215">
        <v>0</v>
      </c>
      <c r="Q140" s="2213">
        <v>0</v>
      </c>
      <c r="R140" s="2216">
        <v>0</v>
      </c>
    </row>
    <row r="141" spans="3:18" x14ac:dyDescent="0.4">
      <c r="C141" s="2212"/>
      <c r="D141" s="2212" t="s">
        <v>7811</v>
      </c>
      <c r="E141" s="2213">
        <v>8.1</v>
      </c>
      <c r="F141" s="2213">
        <v>3.5</v>
      </c>
      <c r="G141" s="2213">
        <v>1.8</v>
      </c>
      <c r="H141" s="2213">
        <v>0.5</v>
      </c>
      <c r="I141" s="2213">
        <v>0</v>
      </c>
      <c r="J141" s="2213">
        <v>0</v>
      </c>
      <c r="K141" s="2213">
        <v>0</v>
      </c>
      <c r="L141" s="2213">
        <v>0</v>
      </c>
      <c r="M141" s="2213">
        <v>0</v>
      </c>
      <c r="N141" s="2213">
        <v>0</v>
      </c>
      <c r="O141" s="2213">
        <v>1.66</v>
      </c>
      <c r="P141" s="2215">
        <v>0.14000000000000001</v>
      </c>
      <c r="Q141" s="2213">
        <v>0.28000000000000003</v>
      </c>
      <c r="R141" s="2216">
        <v>0.43</v>
      </c>
    </row>
    <row r="142" spans="3:18" x14ac:dyDescent="0.4">
      <c r="C142" s="2212"/>
      <c r="D142" s="2212" t="s">
        <v>7812</v>
      </c>
      <c r="E142" s="2213">
        <v>0</v>
      </c>
      <c r="F142" s="2213">
        <v>0</v>
      </c>
      <c r="G142" s="2213">
        <v>0</v>
      </c>
      <c r="H142" s="2213">
        <v>0</v>
      </c>
      <c r="I142" s="2213">
        <v>0</v>
      </c>
      <c r="J142" s="2213">
        <v>0</v>
      </c>
      <c r="K142" s="2213">
        <v>0</v>
      </c>
      <c r="L142" s="2213">
        <v>0</v>
      </c>
      <c r="M142" s="2213">
        <v>0</v>
      </c>
      <c r="N142" s="2213">
        <v>0</v>
      </c>
      <c r="O142" s="2213">
        <v>0</v>
      </c>
      <c r="P142" s="2215">
        <v>0</v>
      </c>
      <c r="Q142" s="2213">
        <v>0</v>
      </c>
      <c r="R142" s="2215">
        <v>0</v>
      </c>
    </row>
    <row r="143" spans="3:18" x14ac:dyDescent="0.4">
      <c r="C143" s="2212"/>
      <c r="D143" s="2212" t="s">
        <v>7813</v>
      </c>
      <c r="E143" s="2213">
        <f>+SUM(E140+E141+E142)</f>
        <v>8.9</v>
      </c>
      <c r="F143" s="2213">
        <f t="shared" ref="F143:O143" si="44">+SUM(F140+F141+F142)</f>
        <v>4.3</v>
      </c>
      <c r="G143" s="2213">
        <f t="shared" si="44"/>
        <v>1.8</v>
      </c>
      <c r="H143" s="2213">
        <f t="shared" si="44"/>
        <v>0.5</v>
      </c>
      <c r="I143" s="2213">
        <f t="shared" si="44"/>
        <v>0</v>
      </c>
      <c r="J143" s="2213">
        <f t="shared" si="44"/>
        <v>0</v>
      </c>
      <c r="K143" s="2213">
        <f t="shared" si="44"/>
        <v>1.5</v>
      </c>
      <c r="L143" s="2213">
        <f t="shared" si="44"/>
        <v>0</v>
      </c>
      <c r="M143" s="2213">
        <f t="shared" si="44"/>
        <v>0</v>
      </c>
      <c r="N143" s="2213">
        <f t="shared" si="44"/>
        <v>0</v>
      </c>
      <c r="O143" s="2213">
        <f t="shared" si="44"/>
        <v>1.66</v>
      </c>
      <c r="P143" s="2215">
        <v>0</v>
      </c>
      <c r="Q143" s="2213">
        <v>0</v>
      </c>
      <c r="R143" s="2215">
        <f>+SUM(R140+R141+R142)</f>
        <v>0.43</v>
      </c>
    </row>
    <row r="144" spans="3:18" x14ac:dyDescent="0.4">
      <c r="C144" s="2212"/>
      <c r="D144" s="2217" t="s">
        <v>7814</v>
      </c>
      <c r="E144" s="2218">
        <f>+E139+E143</f>
        <v>15.894025852880441</v>
      </c>
      <c r="F144" s="2218">
        <f t="shared" ref="F144:R144" si="45">+F139+F143</f>
        <v>34.444929807633159</v>
      </c>
      <c r="G144" s="2218">
        <f t="shared" si="45"/>
        <v>33.365601818263528</v>
      </c>
      <c r="H144" s="2218">
        <f t="shared" si="45"/>
        <v>109.93230115892948</v>
      </c>
      <c r="I144" s="2218">
        <f t="shared" si="45"/>
        <v>-65.824073195457458</v>
      </c>
      <c r="J144" s="2218">
        <f t="shared" si="45"/>
        <v>461.12242496013641</v>
      </c>
      <c r="K144" s="2218">
        <f t="shared" si="45"/>
        <v>370.27702055033296</v>
      </c>
      <c r="L144" s="2218">
        <f t="shared" si="45"/>
        <v>150.41810000000001</v>
      </c>
      <c r="M144" s="2218">
        <f t="shared" si="45"/>
        <v>0</v>
      </c>
      <c r="N144" s="2218">
        <f t="shared" si="45"/>
        <v>0</v>
      </c>
      <c r="O144" s="2218">
        <f t="shared" si="45"/>
        <v>1.66</v>
      </c>
      <c r="P144" s="2219">
        <f t="shared" si="45"/>
        <v>0</v>
      </c>
      <c r="Q144" s="2218">
        <f t="shared" si="45"/>
        <v>20.3</v>
      </c>
      <c r="R144" s="2218">
        <f t="shared" si="45"/>
        <v>4.7856416019602337</v>
      </c>
    </row>
    <row r="145" spans="3:18" x14ac:dyDescent="0.4">
      <c r="C145" s="2204" t="s">
        <v>7827</v>
      </c>
      <c r="D145" s="2205" t="s">
        <v>7809</v>
      </c>
      <c r="E145" s="2206">
        <v>28.396472692489624</v>
      </c>
      <c r="F145" s="2206">
        <v>247.40993142127991</v>
      </c>
      <c r="G145" s="2206">
        <v>310.84941720962524</v>
      </c>
      <c r="H145" s="2206">
        <v>246.54111135005951</v>
      </c>
      <c r="I145" s="2206">
        <v>317.5682547390461</v>
      </c>
      <c r="J145" s="2206">
        <v>117.56085239350796</v>
      </c>
      <c r="K145" s="2206">
        <v>154.14882498979568</v>
      </c>
      <c r="L145" s="2206">
        <v>143.6062</v>
      </c>
      <c r="M145" s="2206">
        <v>45.6458549408881</v>
      </c>
      <c r="N145" s="2206">
        <v>73.024244492765106</v>
      </c>
      <c r="O145" s="1758">
        <v>62.895061221946598</v>
      </c>
      <c r="P145" s="2207">
        <v>88.3</v>
      </c>
      <c r="Q145" s="536">
        <v>47.3</v>
      </c>
      <c r="R145" s="2207">
        <v>62.448074323486942</v>
      </c>
    </row>
    <row r="146" spans="3:18" x14ac:dyDescent="0.4">
      <c r="C146" s="2204"/>
      <c r="D146" s="2205" t="s">
        <v>7810</v>
      </c>
      <c r="E146" s="2206">
        <v>4.8</v>
      </c>
      <c r="F146" s="2206">
        <v>1.5</v>
      </c>
      <c r="G146" s="2206">
        <v>0</v>
      </c>
      <c r="H146" s="2206">
        <v>0.2</v>
      </c>
      <c r="I146" s="2206">
        <v>0</v>
      </c>
      <c r="J146" s="2206">
        <v>2.1</v>
      </c>
      <c r="K146" s="2206">
        <v>1.4</v>
      </c>
      <c r="L146" s="2206">
        <v>0</v>
      </c>
      <c r="M146" s="2206">
        <v>0.4</v>
      </c>
      <c r="N146" s="2206">
        <v>0.1</v>
      </c>
      <c r="O146" s="2206">
        <v>0.76</v>
      </c>
      <c r="P146" s="2207">
        <v>0.31</v>
      </c>
      <c r="Q146" s="416">
        <v>0.14000000000000001</v>
      </c>
      <c r="R146" s="1578">
        <v>0.26</v>
      </c>
    </row>
    <row r="147" spans="3:18" x14ac:dyDescent="0.4">
      <c r="C147" s="2204"/>
      <c r="D147" s="2205" t="s">
        <v>7811</v>
      </c>
      <c r="E147" s="2206">
        <v>0</v>
      </c>
      <c r="F147" s="2206">
        <v>0.3</v>
      </c>
      <c r="G147" s="2206">
        <v>1.1000000000000001</v>
      </c>
      <c r="H147" s="2206">
        <v>1.7</v>
      </c>
      <c r="I147" s="2206">
        <v>1.5</v>
      </c>
      <c r="J147" s="2206">
        <v>0</v>
      </c>
      <c r="K147" s="2206">
        <v>0</v>
      </c>
      <c r="L147" s="2206">
        <v>0.8</v>
      </c>
      <c r="M147" s="2206">
        <v>0</v>
      </c>
      <c r="N147" s="2206">
        <v>0</v>
      </c>
      <c r="O147" s="2206">
        <v>0.68</v>
      </c>
      <c r="P147" s="2207">
        <v>1.38</v>
      </c>
      <c r="Q147" s="416">
        <v>20.420000000000002</v>
      </c>
      <c r="R147" s="1578">
        <v>2.71</v>
      </c>
    </row>
    <row r="148" spans="3:18" x14ac:dyDescent="0.4">
      <c r="C148" s="2204"/>
      <c r="D148" s="2205" t="s">
        <v>7812</v>
      </c>
      <c r="E148" s="2206">
        <v>0</v>
      </c>
      <c r="F148" s="2206">
        <v>0</v>
      </c>
      <c r="G148" s="2206">
        <v>0</v>
      </c>
      <c r="H148" s="2206">
        <v>0</v>
      </c>
      <c r="I148" s="2206">
        <v>0</v>
      </c>
      <c r="J148" s="2206">
        <v>0</v>
      </c>
      <c r="K148" s="2206">
        <v>0</v>
      </c>
      <c r="L148" s="2206">
        <v>0</v>
      </c>
      <c r="M148" s="2206">
        <v>0</v>
      </c>
      <c r="N148" s="2206">
        <v>0.5</v>
      </c>
      <c r="O148" s="2206">
        <v>0</v>
      </c>
      <c r="P148" s="2207">
        <v>20</v>
      </c>
      <c r="Q148" s="416">
        <v>20</v>
      </c>
      <c r="R148" s="2207">
        <v>0</v>
      </c>
    </row>
    <row r="149" spans="3:18" x14ac:dyDescent="0.4">
      <c r="C149" s="2204"/>
      <c r="D149" s="2205" t="s">
        <v>7813</v>
      </c>
      <c r="E149" s="2206">
        <f>+SUM(E146+E147+E148)</f>
        <v>4.8</v>
      </c>
      <c r="F149" s="2206">
        <f t="shared" ref="F149:Q149" si="46">+SUM(F146+F147+F148)</f>
        <v>1.8</v>
      </c>
      <c r="G149" s="2206">
        <f t="shared" si="46"/>
        <v>1.1000000000000001</v>
      </c>
      <c r="H149" s="2206">
        <f t="shared" si="46"/>
        <v>1.9</v>
      </c>
      <c r="I149" s="2206">
        <f t="shared" si="46"/>
        <v>1.5</v>
      </c>
      <c r="J149" s="2206">
        <f t="shared" si="46"/>
        <v>2.1</v>
      </c>
      <c r="K149" s="2206">
        <f t="shared" si="46"/>
        <v>1.4</v>
      </c>
      <c r="L149" s="2206">
        <f t="shared" si="46"/>
        <v>0.8</v>
      </c>
      <c r="M149" s="2206">
        <f t="shared" si="46"/>
        <v>0.4</v>
      </c>
      <c r="N149" s="2206">
        <f t="shared" si="46"/>
        <v>0.6</v>
      </c>
      <c r="O149" s="2206">
        <f t="shared" si="46"/>
        <v>1.44</v>
      </c>
      <c r="P149" s="2207">
        <f t="shared" si="46"/>
        <v>21.69</v>
      </c>
      <c r="Q149" s="416">
        <f t="shared" si="46"/>
        <v>40.56</v>
      </c>
      <c r="R149" s="2207">
        <f>+SUM(R146+R147+R148)</f>
        <v>2.9699999999999998</v>
      </c>
    </row>
    <row r="150" spans="3:18" x14ac:dyDescent="0.4">
      <c r="C150" s="2204"/>
      <c r="D150" s="2208" t="s">
        <v>7814</v>
      </c>
      <c r="E150" s="2209">
        <f>+E145+E149</f>
        <v>33.196472692489621</v>
      </c>
      <c r="F150" s="2209">
        <f t="shared" ref="F150:R150" si="47">+F145+F149</f>
        <v>249.20993142127992</v>
      </c>
      <c r="G150" s="2209">
        <f t="shared" si="47"/>
        <v>311.94941720962527</v>
      </c>
      <c r="H150" s="2209">
        <f t="shared" si="47"/>
        <v>248.44111135005951</v>
      </c>
      <c r="I150" s="2209">
        <f t="shared" si="47"/>
        <v>319.0682547390461</v>
      </c>
      <c r="J150" s="2209">
        <f t="shared" si="47"/>
        <v>119.66085239350795</v>
      </c>
      <c r="K150" s="2209">
        <f t="shared" si="47"/>
        <v>155.54882498979569</v>
      </c>
      <c r="L150" s="2209">
        <f t="shared" si="47"/>
        <v>144.40620000000001</v>
      </c>
      <c r="M150" s="2209">
        <f t="shared" si="47"/>
        <v>46.045854940888098</v>
      </c>
      <c r="N150" s="2209">
        <f t="shared" si="47"/>
        <v>73.624244492765101</v>
      </c>
      <c r="O150" s="2209">
        <f t="shared" si="47"/>
        <v>64.335061221946603</v>
      </c>
      <c r="P150" s="2210">
        <f t="shared" si="47"/>
        <v>109.99</v>
      </c>
      <c r="Q150" s="2211">
        <f t="shared" si="47"/>
        <v>87.86</v>
      </c>
      <c r="R150" s="2210">
        <f t="shared" si="47"/>
        <v>65.418074323486948</v>
      </c>
    </row>
    <row r="151" spans="3:18" x14ac:dyDescent="0.4">
      <c r="C151" s="2212" t="s">
        <v>7828</v>
      </c>
      <c r="D151" s="2212" t="s">
        <v>7809</v>
      </c>
      <c r="E151" s="2213">
        <v>67.701128685839649</v>
      </c>
      <c r="F151" s="2213">
        <v>4.8326560934074223</v>
      </c>
      <c r="G151" s="2213">
        <v>-3.366327200550586</v>
      </c>
      <c r="H151" s="2213">
        <v>25.845816679531708</v>
      </c>
      <c r="I151" s="2213">
        <v>38.062696294742636</v>
      </c>
      <c r="J151" s="2213">
        <v>-41.776293076749425</v>
      </c>
      <c r="K151" s="2213">
        <v>40.46098482018715</v>
      </c>
      <c r="L151" s="2213">
        <v>116.65039999999999</v>
      </c>
      <c r="M151" s="2213">
        <v>0</v>
      </c>
      <c r="N151" s="2213">
        <v>0</v>
      </c>
      <c r="O151" s="2214">
        <v>0</v>
      </c>
      <c r="P151" s="2215">
        <v>0</v>
      </c>
      <c r="Q151" s="2216">
        <v>264.60000000000002</v>
      </c>
      <c r="R151" s="2215">
        <v>139.53502739954175</v>
      </c>
    </row>
    <row r="152" spans="3:18" x14ac:dyDescent="0.4">
      <c r="C152" s="2212"/>
      <c r="D152" s="2212" t="s">
        <v>7810</v>
      </c>
      <c r="E152" s="2213">
        <v>0</v>
      </c>
      <c r="F152" s="2213">
        <v>0.2</v>
      </c>
      <c r="G152" s="2213">
        <v>0</v>
      </c>
      <c r="H152" s="2213">
        <v>0</v>
      </c>
      <c r="I152" s="2213">
        <v>0</v>
      </c>
      <c r="J152" s="2213">
        <v>0.6</v>
      </c>
      <c r="K152" s="2213">
        <v>0.5</v>
      </c>
      <c r="L152" s="2213">
        <v>0</v>
      </c>
      <c r="M152" s="2213">
        <v>0.4</v>
      </c>
      <c r="N152" s="2213">
        <v>0</v>
      </c>
      <c r="O152" s="2213">
        <v>0</v>
      </c>
      <c r="P152" s="2215">
        <v>0</v>
      </c>
      <c r="Q152" s="2213">
        <v>0</v>
      </c>
      <c r="R152" s="2216">
        <v>0</v>
      </c>
    </row>
    <row r="153" spans="3:18" x14ac:dyDescent="0.4">
      <c r="C153" s="2212"/>
      <c r="D153" s="2212" t="s">
        <v>7811</v>
      </c>
      <c r="E153" s="2213">
        <v>0.1</v>
      </c>
      <c r="F153" s="2213">
        <v>0</v>
      </c>
      <c r="G153" s="2213">
        <v>0</v>
      </c>
      <c r="H153" s="2213">
        <v>0</v>
      </c>
      <c r="I153" s="2213">
        <v>1.6</v>
      </c>
      <c r="J153" s="2213">
        <v>0</v>
      </c>
      <c r="K153" s="2213">
        <v>0</v>
      </c>
      <c r="L153" s="2213">
        <v>0</v>
      </c>
      <c r="M153" s="2213">
        <v>0</v>
      </c>
      <c r="N153" s="2213">
        <v>0</v>
      </c>
      <c r="O153" s="2213">
        <v>1.61</v>
      </c>
      <c r="P153" s="2215">
        <v>1.22</v>
      </c>
      <c r="Q153" s="2213">
        <v>0</v>
      </c>
      <c r="R153" s="2216">
        <v>0.16</v>
      </c>
    </row>
    <row r="154" spans="3:18" x14ac:dyDescent="0.4">
      <c r="C154" s="2212"/>
      <c r="D154" s="2212" t="s">
        <v>7812</v>
      </c>
      <c r="E154" s="2213">
        <v>0</v>
      </c>
      <c r="F154" s="2213">
        <v>0</v>
      </c>
      <c r="G154" s="2213">
        <v>0</v>
      </c>
      <c r="H154" s="2213">
        <v>0</v>
      </c>
      <c r="I154" s="2213">
        <v>0</v>
      </c>
      <c r="J154" s="2213">
        <v>0</v>
      </c>
      <c r="K154" s="2213">
        <v>0</v>
      </c>
      <c r="L154" s="2213">
        <v>0</v>
      </c>
      <c r="M154" s="2213">
        <v>0</v>
      </c>
      <c r="N154" s="2213">
        <v>0</v>
      </c>
      <c r="O154" s="2213">
        <v>0</v>
      </c>
      <c r="P154" s="2215">
        <v>0</v>
      </c>
      <c r="Q154" s="2213">
        <v>0</v>
      </c>
      <c r="R154" s="2215">
        <v>0</v>
      </c>
    </row>
    <row r="155" spans="3:18" x14ac:dyDescent="0.4">
      <c r="C155" s="2212"/>
      <c r="D155" s="2212" t="s">
        <v>7813</v>
      </c>
      <c r="E155" s="2213">
        <f>+SUM(E152+E153+E154)</f>
        <v>0.1</v>
      </c>
      <c r="F155" s="2213">
        <f t="shared" ref="F155:Q155" si="48">+SUM(F152+F153+F154)</f>
        <v>0.2</v>
      </c>
      <c r="G155" s="2213">
        <f t="shared" si="48"/>
        <v>0</v>
      </c>
      <c r="H155" s="2213">
        <f t="shared" si="48"/>
        <v>0</v>
      </c>
      <c r="I155" s="2213">
        <f t="shared" si="48"/>
        <v>1.6</v>
      </c>
      <c r="J155" s="2213">
        <f t="shared" si="48"/>
        <v>0.6</v>
      </c>
      <c r="K155" s="2213">
        <f t="shared" si="48"/>
        <v>0.5</v>
      </c>
      <c r="L155" s="2213">
        <f t="shared" si="48"/>
        <v>0</v>
      </c>
      <c r="M155" s="2213">
        <f t="shared" si="48"/>
        <v>0.4</v>
      </c>
      <c r="N155" s="2213">
        <f t="shared" si="48"/>
        <v>0</v>
      </c>
      <c r="O155" s="2213">
        <f t="shared" si="48"/>
        <v>1.61</v>
      </c>
      <c r="P155" s="2215">
        <f t="shared" si="48"/>
        <v>1.22</v>
      </c>
      <c r="Q155" s="2213">
        <f t="shared" si="48"/>
        <v>0</v>
      </c>
      <c r="R155" s="2215">
        <f>+SUM(R152+R153+R154)</f>
        <v>0.16</v>
      </c>
    </row>
    <row r="156" spans="3:18" x14ac:dyDescent="0.4">
      <c r="C156" s="2212"/>
      <c r="D156" s="2217" t="s">
        <v>7814</v>
      </c>
      <c r="E156" s="2218">
        <f>+E151+E155</f>
        <v>67.801128685839643</v>
      </c>
      <c r="F156" s="2218">
        <f t="shared" ref="F156:R156" si="49">+F151+F155</f>
        <v>5.0326560934074225</v>
      </c>
      <c r="G156" s="2218">
        <f t="shared" si="49"/>
        <v>-3.366327200550586</v>
      </c>
      <c r="H156" s="2218">
        <f t="shared" si="49"/>
        <v>25.845816679531708</v>
      </c>
      <c r="I156" s="2218">
        <f t="shared" si="49"/>
        <v>39.662696294742638</v>
      </c>
      <c r="J156" s="2218">
        <f t="shared" si="49"/>
        <v>-41.176293076749424</v>
      </c>
      <c r="K156" s="2218">
        <f t="shared" si="49"/>
        <v>40.96098482018715</v>
      </c>
      <c r="L156" s="2218">
        <f t="shared" si="49"/>
        <v>116.65039999999999</v>
      </c>
      <c r="M156" s="2218">
        <f t="shared" si="49"/>
        <v>0.4</v>
      </c>
      <c r="N156" s="2218">
        <f t="shared" si="49"/>
        <v>0</v>
      </c>
      <c r="O156" s="2218">
        <f t="shared" si="49"/>
        <v>1.61</v>
      </c>
      <c r="P156" s="2219">
        <f t="shared" si="49"/>
        <v>1.22</v>
      </c>
      <c r="Q156" s="2218">
        <f t="shared" si="49"/>
        <v>264.60000000000002</v>
      </c>
      <c r="R156" s="2218">
        <f t="shared" si="49"/>
        <v>139.69502739954174</v>
      </c>
    </row>
    <row r="157" spans="3:18" x14ac:dyDescent="0.4">
      <c r="C157" s="2204" t="s">
        <v>7829</v>
      </c>
      <c r="D157" s="2205" t="s">
        <v>7809</v>
      </c>
      <c r="E157" s="2206">
        <v>0.70424234308302402</v>
      </c>
      <c r="F157" s="2206">
        <v>-0.87117099761962891</v>
      </c>
      <c r="G157" s="2206">
        <v>5.0722234845161438</v>
      </c>
      <c r="H157" s="2206">
        <v>-8.4252693206071854</v>
      </c>
      <c r="I157" s="2206">
        <v>3.9659099131822586</v>
      </c>
      <c r="J157" s="2206">
        <v>22.136565208435059</v>
      </c>
      <c r="K157" s="2206">
        <v>21.187902927398682</v>
      </c>
      <c r="L157" s="2206">
        <v>0</v>
      </c>
      <c r="M157" s="2206">
        <v>0</v>
      </c>
      <c r="N157" s="2206">
        <v>0</v>
      </c>
      <c r="O157" s="1758">
        <v>0</v>
      </c>
      <c r="P157" s="2207">
        <v>0</v>
      </c>
      <c r="Q157" s="536"/>
      <c r="R157" s="2207">
        <v>0</v>
      </c>
    </row>
    <row r="158" spans="3:18" x14ac:dyDescent="0.4">
      <c r="C158" s="2204"/>
      <c r="D158" s="2205" t="s">
        <v>7810</v>
      </c>
      <c r="E158" s="2206">
        <v>0</v>
      </c>
      <c r="F158" s="2206">
        <v>0</v>
      </c>
      <c r="G158" s="2206">
        <v>0</v>
      </c>
      <c r="H158" s="2206">
        <v>0</v>
      </c>
      <c r="I158" s="2206">
        <v>0</v>
      </c>
      <c r="J158" s="2206">
        <v>0</v>
      </c>
      <c r="K158" s="2206">
        <v>0</v>
      </c>
      <c r="L158" s="2206">
        <v>0</v>
      </c>
      <c r="M158" s="2206">
        <v>0</v>
      </c>
      <c r="N158" s="2206">
        <v>0</v>
      </c>
      <c r="O158" s="2206">
        <v>0</v>
      </c>
      <c r="P158" s="2207">
        <v>0</v>
      </c>
      <c r="Q158" s="416">
        <v>0</v>
      </c>
      <c r="R158" s="1578">
        <v>0</v>
      </c>
    </row>
    <row r="159" spans="3:18" x14ac:dyDescent="0.4">
      <c r="C159" s="2204"/>
      <c r="D159" s="2205" t="s">
        <v>7811</v>
      </c>
      <c r="E159" s="2206">
        <v>0</v>
      </c>
      <c r="F159" s="2206">
        <v>0</v>
      </c>
      <c r="G159" s="2206">
        <v>0</v>
      </c>
      <c r="H159" s="2206">
        <v>0</v>
      </c>
      <c r="I159" s="2206">
        <v>0</v>
      </c>
      <c r="J159" s="2206">
        <v>0</v>
      </c>
      <c r="K159" s="2206">
        <v>0</v>
      </c>
      <c r="L159" s="2206">
        <v>0</v>
      </c>
      <c r="M159" s="2206">
        <v>0</v>
      </c>
      <c r="N159" s="2206">
        <v>0</v>
      </c>
      <c r="O159" s="2206">
        <v>0</v>
      </c>
      <c r="P159" s="2207">
        <v>0</v>
      </c>
      <c r="Q159" s="416">
        <v>0</v>
      </c>
      <c r="R159" s="1578">
        <v>0</v>
      </c>
    </row>
    <row r="160" spans="3:18" x14ac:dyDescent="0.4">
      <c r="C160" s="2204"/>
      <c r="D160" s="2205" t="s">
        <v>7812</v>
      </c>
      <c r="E160" s="2206">
        <v>0</v>
      </c>
      <c r="F160" s="2206">
        <v>0</v>
      </c>
      <c r="G160" s="2206">
        <v>0</v>
      </c>
      <c r="H160" s="2206">
        <v>0</v>
      </c>
      <c r="I160" s="2206">
        <v>0</v>
      </c>
      <c r="J160" s="2206">
        <v>0</v>
      </c>
      <c r="K160" s="2206">
        <v>0</v>
      </c>
      <c r="L160" s="2206">
        <v>0</v>
      </c>
      <c r="M160" s="2206">
        <v>0</v>
      </c>
      <c r="N160" s="2206">
        <v>0</v>
      </c>
      <c r="O160" s="2206">
        <v>0</v>
      </c>
      <c r="P160" s="2207">
        <v>0</v>
      </c>
      <c r="Q160" s="416">
        <v>0</v>
      </c>
      <c r="R160" s="2207">
        <v>0</v>
      </c>
    </row>
    <row r="161" spans="3:18" x14ac:dyDescent="0.4">
      <c r="C161" s="2204"/>
      <c r="D161" s="2205" t="s">
        <v>7813</v>
      </c>
      <c r="E161" s="2206">
        <f>+SUM(E158+E159+E160)</f>
        <v>0</v>
      </c>
      <c r="F161" s="2206">
        <f t="shared" ref="F161:Q161" si="50">+SUM(F158+F159+F160)</f>
        <v>0</v>
      </c>
      <c r="G161" s="2206">
        <f t="shared" si="50"/>
        <v>0</v>
      </c>
      <c r="H161" s="2206">
        <f t="shared" si="50"/>
        <v>0</v>
      </c>
      <c r="I161" s="2206">
        <f t="shared" si="50"/>
        <v>0</v>
      </c>
      <c r="J161" s="2206">
        <f t="shared" si="50"/>
        <v>0</v>
      </c>
      <c r="K161" s="2206">
        <f t="shared" si="50"/>
        <v>0</v>
      </c>
      <c r="L161" s="2206">
        <f t="shared" si="50"/>
        <v>0</v>
      </c>
      <c r="M161" s="2206">
        <f t="shared" si="50"/>
        <v>0</v>
      </c>
      <c r="N161" s="2206">
        <f t="shared" si="50"/>
        <v>0</v>
      </c>
      <c r="O161" s="2206">
        <f t="shared" si="50"/>
        <v>0</v>
      </c>
      <c r="P161" s="2207">
        <f t="shared" si="50"/>
        <v>0</v>
      </c>
      <c r="Q161" s="416">
        <f t="shared" si="50"/>
        <v>0</v>
      </c>
      <c r="R161" s="2207">
        <f>+SUM(R158+R159+R160)</f>
        <v>0</v>
      </c>
    </row>
    <row r="162" spans="3:18" x14ac:dyDescent="0.4">
      <c r="C162" s="2204"/>
      <c r="D162" s="2208" t="s">
        <v>7814</v>
      </c>
      <c r="E162" s="2209">
        <f>+E157+E161</f>
        <v>0.70424234308302402</v>
      </c>
      <c r="F162" s="2209">
        <f t="shared" ref="F162:R162" si="51">+F157+F161</f>
        <v>-0.87117099761962891</v>
      </c>
      <c r="G162" s="2209">
        <f t="shared" si="51"/>
        <v>5.0722234845161438</v>
      </c>
      <c r="H162" s="2209">
        <f t="shared" si="51"/>
        <v>-8.4252693206071854</v>
      </c>
      <c r="I162" s="2209">
        <f t="shared" si="51"/>
        <v>3.9659099131822586</v>
      </c>
      <c r="J162" s="2209">
        <f t="shared" si="51"/>
        <v>22.136565208435059</v>
      </c>
      <c r="K162" s="2209">
        <f t="shared" si="51"/>
        <v>21.187902927398682</v>
      </c>
      <c r="L162" s="2209">
        <f t="shared" si="51"/>
        <v>0</v>
      </c>
      <c r="M162" s="2209">
        <f t="shared" si="51"/>
        <v>0</v>
      </c>
      <c r="N162" s="2209">
        <f t="shared" si="51"/>
        <v>0</v>
      </c>
      <c r="O162" s="2209">
        <f t="shared" si="51"/>
        <v>0</v>
      </c>
      <c r="P162" s="2210">
        <f t="shared" si="51"/>
        <v>0</v>
      </c>
      <c r="Q162" s="2211">
        <f t="shared" si="51"/>
        <v>0</v>
      </c>
      <c r="R162" s="2210">
        <f t="shared" si="51"/>
        <v>0</v>
      </c>
    </row>
    <row r="163" spans="3:18" x14ac:dyDescent="0.4">
      <c r="C163" s="2212" t="s">
        <v>7830</v>
      </c>
      <c r="D163" s="2212" t="s">
        <v>7809</v>
      </c>
      <c r="E163" s="2213">
        <v>-2.3473720997571945E-2</v>
      </c>
      <c r="F163" s="2213">
        <v>1</v>
      </c>
      <c r="G163" s="2213">
        <v>-2.3473720997571945E-2</v>
      </c>
      <c r="H163" s="2213">
        <v>-2.3473720997571945E-2</v>
      </c>
      <c r="I163" s="2213">
        <v>0.7218780517578125</v>
      </c>
      <c r="J163" s="2213">
        <v>0.40971395373344421</v>
      </c>
      <c r="K163" s="2213">
        <v>0.61489582061767578</v>
      </c>
      <c r="L163" s="2213">
        <v>0</v>
      </c>
      <c r="M163" s="2213">
        <v>21.5465114151521</v>
      </c>
      <c r="N163" s="2213">
        <v>0.66929470271591396</v>
      </c>
      <c r="O163" s="2214">
        <v>0</v>
      </c>
      <c r="P163" s="2215">
        <v>0</v>
      </c>
      <c r="Q163" s="2216"/>
      <c r="R163" s="2215">
        <v>0</v>
      </c>
    </row>
    <row r="164" spans="3:18" x14ac:dyDescent="0.4">
      <c r="C164" s="2212"/>
      <c r="D164" s="2212" t="s">
        <v>7810</v>
      </c>
      <c r="E164" s="2213">
        <v>0</v>
      </c>
      <c r="F164" s="2213">
        <v>0</v>
      </c>
      <c r="G164" s="2213">
        <v>0</v>
      </c>
      <c r="H164" s="2213">
        <v>0</v>
      </c>
      <c r="I164" s="2213">
        <v>0</v>
      </c>
      <c r="J164" s="2213">
        <v>0</v>
      </c>
      <c r="K164" s="2213">
        <v>0</v>
      </c>
      <c r="L164" s="2213">
        <v>0</v>
      </c>
      <c r="M164" s="2213">
        <v>0</v>
      </c>
      <c r="N164" s="2213">
        <v>0</v>
      </c>
      <c r="O164" s="2213">
        <v>0</v>
      </c>
      <c r="P164" s="2215">
        <v>0</v>
      </c>
      <c r="Q164" s="2213">
        <v>0</v>
      </c>
      <c r="R164" s="2216">
        <v>0</v>
      </c>
    </row>
    <row r="165" spans="3:18" x14ac:dyDescent="0.4">
      <c r="C165" s="2212"/>
      <c r="D165" s="2212" t="s">
        <v>7811</v>
      </c>
      <c r="E165" s="2213">
        <v>0</v>
      </c>
      <c r="F165" s="2213">
        <v>0</v>
      </c>
      <c r="G165" s="2213">
        <v>0</v>
      </c>
      <c r="H165" s="2213">
        <v>0</v>
      </c>
      <c r="I165" s="2213">
        <v>0</v>
      </c>
      <c r="J165" s="2213">
        <v>0</v>
      </c>
      <c r="K165" s="2213">
        <v>0</v>
      </c>
      <c r="L165" s="2213">
        <v>0</v>
      </c>
      <c r="M165" s="2213">
        <v>0</v>
      </c>
      <c r="N165" s="2213">
        <v>0</v>
      </c>
      <c r="O165" s="2213">
        <v>0</v>
      </c>
      <c r="P165" s="2215">
        <v>0</v>
      </c>
      <c r="Q165" s="2213">
        <v>0</v>
      </c>
      <c r="R165" s="2216">
        <v>0</v>
      </c>
    </row>
    <row r="166" spans="3:18" x14ac:dyDescent="0.4">
      <c r="C166" s="2212"/>
      <c r="D166" s="2212" t="s">
        <v>7812</v>
      </c>
      <c r="E166" s="2213">
        <v>0</v>
      </c>
      <c r="F166" s="2213">
        <v>0</v>
      </c>
      <c r="G166" s="2213">
        <v>0</v>
      </c>
      <c r="H166" s="2213">
        <v>0</v>
      </c>
      <c r="I166" s="2213">
        <v>0</v>
      </c>
      <c r="J166" s="2213">
        <v>0</v>
      </c>
      <c r="K166" s="2213">
        <v>0</v>
      </c>
      <c r="L166" s="2213">
        <v>0</v>
      </c>
      <c r="M166" s="2213">
        <v>0</v>
      </c>
      <c r="N166" s="2213">
        <v>0</v>
      </c>
      <c r="O166" s="2213">
        <v>0</v>
      </c>
      <c r="P166" s="2215">
        <v>0</v>
      </c>
      <c r="Q166" s="2213">
        <v>0</v>
      </c>
      <c r="R166" s="2215">
        <v>0</v>
      </c>
    </row>
    <row r="167" spans="3:18" x14ac:dyDescent="0.4">
      <c r="C167" s="2212"/>
      <c r="D167" s="2212" t="s">
        <v>7813</v>
      </c>
      <c r="E167" s="2213">
        <f>+SUM(E164+E165+E166)</f>
        <v>0</v>
      </c>
      <c r="F167" s="2213">
        <f t="shared" ref="F167:Q167" si="52">+SUM(F164+F165+F166)</f>
        <v>0</v>
      </c>
      <c r="G167" s="2213">
        <f t="shared" si="52"/>
        <v>0</v>
      </c>
      <c r="H167" s="2213">
        <f t="shared" si="52"/>
        <v>0</v>
      </c>
      <c r="I167" s="2213">
        <f t="shared" si="52"/>
        <v>0</v>
      </c>
      <c r="J167" s="2213">
        <f t="shared" si="52"/>
        <v>0</v>
      </c>
      <c r="K167" s="2213">
        <f t="shared" si="52"/>
        <v>0</v>
      </c>
      <c r="L167" s="2213">
        <f t="shared" si="52"/>
        <v>0</v>
      </c>
      <c r="M167" s="2213">
        <f t="shared" si="52"/>
        <v>0</v>
      </c>
      <c r="N167" s="2213">
        <f t="shared" si="52"/>
        <v>0</v>
      </c>
      <c r="O167" s="2213">
        <f t="shared" si="52"/>
        <v>0</v>
      </c>
      <c r="P167" s="2215">
        <f t="shared" si="52"/>
        <v>0</v>
      </c>
      <c r="Q167" s="2213">
        <f t="shared" si="52"/>
        <v>0</v>
      </c>
      <c r="R167" s="2215">
        <f>+SUM(R164+R165+R166)</f>
        <v>0</v>
      </c>
    </row>
    <row r="168" spans="3:18" x14ac:dyDescent="0.4">
      <c r="C168" s="2212"/>
      <c r="D168" s="2217" t="s">
        <v>7814</v>
      </c>
      <c r="E168" s="2218">
        <f>+E163+E167</f>
        <v>-2.3473720997571945E-2</v>
      </c>
      <c r="F168" s="2218">
        <f t="shared" ref="F168:R168" si="53">+F163+F167</f>
        <v>1</v>
      </c>
      <c r="G168" s="2218">
        <f t="shared" si="53"/>
        <v>-2.3473720997571945E-2</v>
      </c>
      <c r="H168" s="2218">
        <f t="shared" si="53"/>
        <v>-2.3473720997571945E-2</v>
      </c>
      <c r="I168" s="2218">
        <f t="shared" si="53"/>
        <v>0.7218780517578125</v>
      </c>
      <c r="J168" s="2218">
        <f t="shared" si="53"/>
        <v>0.40971395373344421</v>
      </c>
      <c r="K168" s="2218">
        <f t="shared" si="53"/>
        <v>0.61489582061767578</v>
      </c>
      <c r="L168" s="2218">
        <f t="shared" si="53"/>
        <v>0</v>
      </c>
      <c r="M168" s="2218">
        <f t="shared" si="53"/>
        <v>21.5465114151521</v>
      </c>
      <c r="N168" s="2218">
        <f t="shared" si="53"/>
        <v>0.66929470271591396</v>
      </c>
      <c r="O168" s="2218">
        <f t="shared" si="53"/>
        <v>0</v>
      </c>
      <c r="P168" s="2219">
        <f t="shared" si="53"/>
        <v>0</v>
      </c>
      <c r="Q168" s="2218">
        <f t="shared" si="53"/>
        <v>0</v>
      </c>
      <c r="R168" s="2218">
        <f t="shared" si="53"/>
        <v>0</v>
      </c>
    </row>
    <row r="169" spans="3:18" x14ac:dyDescent="0.4">
      <c r="C169" s="2204" t="s">
        <v>7831</v>
      </c>
      <c r="D169" s="2205" t="s">
        <v>7809</v>
      </c>
      <c r="E169" s="2206">
        <v>5.5008262092997029E-2</v>
      </c>
      <c r="F169" s="2206">
        <v>6.874999962747097E-3</v>
      </c>
      <c r="G169" s="2206">
        <v>11.838655471801758</v>
      </c>
      <c r="H169" s="2206">
        <v>28.238453358411789</v>
      </c>
      <c r="I169" s="2206">
        <v>30.770728230476379</v>
      </c>
      <c r="J169" s="2206">
        <v>27.131937175989151</v>
      </c>
      <c r="K169" s="2206">
        <v>-3.7157516181468964</v>
      </c>
      <c r="L169" s="2206">
        <v>17.133299999999998</v>
      </c>
      <c r="M169" s="2206">
        <v>7.49462230905129</v>
      </c>
      <c r="N169" s="2206">
        <v>41.6950997088232</v>
      </c>
      <c r="O169" s="1758">
        <v>69.7346021972931</v>
      </c>
      <c r="P169" s="2207">
        <v>16.6098466032193</v>
      </c>
      <c r="Q169" s="536">
        <v>15.2</v>
      </c>
      <c r="R169" s="2207">
        <v>436.47627359806847</v>
      </c>
    </row>
    <row r="170" spans="3:18" x14ac:dyDescent="0.4">
      <c r="C170" s="2204"/>
      <c r="D170" s="2205" t="s">
        <v>7810</v>
      </c>
      <c r="E170" s="2206">
        <v>0</v>
      </c>
      <c r="F170" s="2206">
        <v>0</v>
      </c>
      <c r="G170" s="2206">
        <v>0</v>
      </c>
      <c r="H170" s="2206">
        <v>0</v>
      </c>
      <c r="I170" s="2206">
        <v>0</v>
      </c>
      <c r="J170" s="2206">
        <v>0</v>
      </c>
      <c r="K170" s="2206">
        <v>0</v>
      </c>
      <c r="L170" s="2206">
        <v>0</v>
      </c>
      <c r="M170" s="2206">
        <v>0</v>
      </c>
      <c r="N170" s="2206">
        <v>0</v>
      </c>
      <c r="O170" s="2206">
        <v>0</v>
      </c>
      <c r="P170" s="2207">
        <v>0</v>
      </c>
      <c r="Q170" s="416">
        <v>0</v>
      </c>
      <c r="R170" s="1578">
        <v>0</v>
      </c>
    </row>
    <row r="171" spans="3:18" x14ac:dyDescent="0.4">
      <c r="C171" s="2204"/>
      <c r="D171" s="2205" t="s">
        <v>7811</v>
      </c>
      <c r="E171" s="2206">
        <v>0</v>
      </c>
      <c r="F171" s="2206">
        <v>0</v>
      </c>
      <c r="G171" s="2206">
        <v>0</v>
      </c>
      <c r="H171" s="2206">
        <v>0</v>
      </c>
      <c r="I171" s="2206">
        <v>0</v>
      </c>
      <c r="J171" s="2206">
        <v>0</v>
      </c>
      <c r="K171" s="2206">
        <v>0</v>
      </c>
      <c r="L171" s="2206">
        <v>0</v>
      </c>
      <c r="M171" s="2206">
        <v>0</v>
      </c>
      <c r="N171" s="2206">
        <v>0</v>
      </c>
      <c r="O171" s="2206">
        <v>0</v>
      </c>
      <c r="P171" s="2207">
        <v>0</v>
      </c>
      <c r="Q171" s="416">
        <v>0</v>
      </c>
      <c r="R171" s="1578">
        <v>0</v>
      </c>
    </row>
    <row r="172" spans="3:18" x14ac:dyDescent="0.4">
      <c r="C172" s="2204"/>
      <c r="D172" s="2205" t="s">
        <v>7812</v>
      </c>
      <c r="E172" s="2206">
        <v>0</v>
      </c>
      <c r="F172" s="2206">
        <v>0</v>
      </c>
      <c r="G172" s="2206">
        <v>0</v>
      </c>
      <c r="H172" s="2206">
        <v>0</v>
      </c>
      <c r="I172" s="2206">
        <v>0</v>
      </c>
      <c r="J172" s="2206">
        <v>0</v>
      </c>
      <c r="K172" s="2206">
        <v>0</v>
      </c>
      <c r="L172" s="2206">
        <v>0</v>
      </c>
      <c r="M172" s="2206">
        <v>0</v>
      </c>
      <c r="N172" s="2206">
        <v>0</v>
      </c>
      <c r="O172" s="2206">
        <v>0</v>
      </c>
      <c r="P172" s="2207">
        <v>0</v>
      </c>
      <c r="Q172" s="416">
        <v>0</v>
      </c>
      <c r="R172" s="2207">
        <v>0</v>
      </c>
    </row>
    <row r="173" spans="3:18" x14ac:dyDescent="0.4">
      <c r="C173" s="2204"/>
      <c r="D173" s="2205" t="s">
        <v>7813</v>
      </c>
      <c r="E173" s="2206">
        <f>+SUM(E170+E171+E172)</f>
        <v>0</v>
      </c>
      <c r="F173" s="2206">
        <f t="shared" ref="F173:Q173" si="54">+SUM(F170+F171+F172)</f>
        <v>0</v>
      </c>
      <c r="G173" s="2206">
        <f t="shared" si="54"/>
        <v>0</v>
      </c>
      <c r="H173" s="2206">
        <f t="shared" si="54"/>
        <v>0</v>
      </c>
      <c r="I173" s="2206">
        <f t="shared" si="54"/>
        <v>0</v>
      </c>
      <c r="J173" s="2206">
        <f t="shared" si="54"/>
        <v>0</v>
      </c>
      <c r="K173" s="2206">
        <f t="shared" si="54"/>
        <v>0</v>
      </c>
      <c r="L173" s="2206">
        <f t="shared" si="54"/>
        <v>0</v>
      </c>
      <c r="M173" s="2206">
        <f t="shared" si="54"/>
        <v>0</v>
      </c>
      <c r="N173" s="2206">
        <f t="shared" si="54"/>
        <v>0</v>
      </c>
      <c r="O173" s="2206">
        <f t="shared" si="54"/>
        <v>0</v>
      </c>
      <c r="P173" s="2207">
        <f t="shared" si="54"/>
        <v>0</v>
      </c>
      <c r="Q173" s="416">
        <f t="shared" si="54"/>
        <v>0</v>
      </c>
      <c r="R173" s="2207">
        <f>+SUM(R170+R171+R172)</f>
        <v>0</v>
      </c>
    </row>
    <row r="174" spans="3:18" x14ac:dyDescent="0.4">
      <c r="C174" s="2204"/>
      <c r="D174" s="2208" t="s">
        <v>7814</v>
      </c>
      <c r="E174" s="2209">
        <f>+E169+E173</f>
        <v>5.5008262092997029E-2</v>
      </c>
      <c r="F174" s="2209">
        <f t="shared" ref="F174:R174" si="55">+F169+F173</f>
        <v>6.874999962747097E-3</v>
      </c>
      <c r="G174" s="2209">
        <f t="shared" si="55"/>
        <v>11.838655471801758</v>
      </c>
      <c r="H174" s="2209">
        <f t="shared" si="55"/>
        <v>28.238453358411789</v>
      </c>
      <c r="I174" s="2209">
        <f t="shared" si="55"/>
        <v>30.770728230476379</v>
      </c>
      <c r="J174" s="2209">
        <f t="shared" si="55"/>
        <v>27.131937175989151</v>
      </c>
      <c r="K174" s="2209">
        <f t="shared" si="55"/>
        <v>-3.7157516181468964</v>
      </c>
      <c r="L174" s="2209">
        <f t="shared" si="55"/>
        <v>17.133299999999998</v>
      </c>
      <c r="M174" s="2209">
        <f t="shared" si="55"/>
        <v>7.49462230905129</v>
      </c>
      <c r="N174" s="2209">
        <f t="shared" si="55"/>
        <v>41.6950997088232</v>
      </c>
      <c r="O174" s="2209">
        <f t="shared" si="55"/>
        <v>69.7346021972931</v>
      </c>
      <c r="P174" s="2210">
        <f t="shared" si="55"/>
        <v>16.6098466032193</v>
      </c>
      <c r="Q174" s="2211">
        <f t="shared" si="55"/>
        <v>15.2</v>
      </c>
      <c r="R174" s="2210">
        <f t="shared" si="55"/>
        <v>436.47627359806847</v>
      </c>
    </row>
    <row r="175" spans="3:18" x14ac:dyDescent="0.4">
      <c r="C175" s="2212" t="s">
        <v>7832</v>
      </c>
      <c r="D175" s="2212" t="s">
        <v>7809</v>
      </c>
      <c r="E175" s="2213">
        <v>19.838288546772674</v>
      </c>
      <c r="F175" s="2213">
        <v>8.9800470247864723</v>
      </c>
      <c r="G175" s="2213">
        <v>-9.8120220899581909</v>
      </c>
      <c r="H175" s="2213">
        <v>32.335995517671108</v>
      </c>
      <c r="I175" s="2213">
        <v>91.632083177566528</v>
      </c>
      <c r="J175" s="2213">
        <v>97.75194177031517</v>
      </c>
      <c r="K175" s="2213">
        <v>58.588093761354685</v>
      </c>
      <c r="L175" s="2213">
        <v>-8.8681000000000001</v>
      </c>
      <c r="M175" s="2213">
        <v>17.998345891769699</v>
      </c>
      <c r="N175" s="2213">
        <v>41.092672761200802</v>
      </c>
      <c r="O175" s="2214">
        <v>21.915504037656401</v>
      </c>
      <c r="P175" s="2215">
        <v>26.354701366056101</v>
      </c>
      <c r="Q175" s="2216">
        <v>67.099999999999994</v>
      </c>
      <c r="R175" s="2215">
        <v>63.030114164697267</v>
      </c>
    </row>
    <row r="176" spans="3:18" x14ac:dyDescent="0.4">
      <c r="C176" s="2212"/>
      <c r="D176" s="2212" t="s">
        <v>7810</v>
      </c>
      <c r="E176" s="2213">
        <v>14.8</v>
      </c>
      <c r="F176" s="2213">
        <v>0</v>
      </c>
      <c r="G176" s="2213">
        <v>0</v>
      </c>
      <c r="H176" s="2213">
        <v>10.6</v>
      </c>
      <c r="I176" s="2213">
        <v>0</v>
      </c>
      <c r="J176" s="2213">
        <v>0</v>
      </c>
      <c r="K176" s="2213">
        <v>11.3</v>
      </c>
      <c r="L176" s="2213">
        <v>0</v>
      </c>
      <c r="M176" s="2213">
        <v>0.3</v>
      </c>
      <c r="N176" s="2213">
        <v>4.4000000000000004</v>
      </c>
      <c r="O176" s="2213">
        <v>3.36</v>
      </c>
      <c r="P176" s="2215">
        <v>0.69</v>
      </c>
      <c r="Q176" s="2213">
        <v>2.41</v>
      </c>
      <c r="R176" s="2216">
        <v>0</v>
      </c>
    </row>
    <row r="177" spans="3:18" x14ac:dyDescent="0.4">
      <c r="C177" s="2212"/>
      <c r="D177" s="2212" t="s">
        <v>7811</v>
      </c>
      <c r="E177" s="2213">
        <v>16.8</v>
      </c>
      <c r="F177" s="2213">
        <v>0</v>
      </c>
      <c r="G177" s="2213">
        <v>0</v>
      </c>
      <c r="H177" s="2213">
        <v>2.2000000000000002</v>
      </c>
      <c r="I177" s="2213">
        <v>8</v>
      </c>
      <c r="J177" s="2213">
        <v>0</v>
      </c>
      <c r="K177" s="2213">
        <v>7.2</v>
      </c>
      <c r="L177" s="2213">
        <v>21</v>
      </c>
      <c r="M177" s="2213">
        <v>20.9</v>
      </c>
      <c r="N177" s="2213">
        <v>13.3</v>
      </c>
      <c r="O177" s="2213">
        <v>11.66</v>
      </c>
      <c r="P177" s="2215">
        <v>9.56</v>
      </c>
      <c r="Q177" s="2213">
        <v>21.76</v>
      </c>
      <c r="R177" s="2216">
        <v>7.51</v>
      </c>
    </row>
    <row r="178" spans="3:18" x14ac:dyDescent="0.4">
      <c r="C178" s="2212"/>
      <c r="D178" s="2212" t="s">
        <v>7812</v>
      </c>
      <c r="E178" s="2213">
        <v>40.5</v>
      </c>
      <c r="F178" s="2213">
        <v>0</v>
      </c>
      <c r="G178" s="2213">
        <v>0</v>
      </c>
      <c r="H178" s="2213">
        <v>0</v>
      </c>
      <c r="I178" s="2213">
        <v>0</v>
      </c>
      <c r="J178" s="2213">
        <v>0</v>
      </c>
      <c r="K178" s="2213">
        <v>0</v>
      </c>
      <c r="L178" s="2213">
        <v>0</v>
      </c>
      <c r="M178" s="2213">
        <v>0</v>
      </c>
      <c r="N178" s="2213">
        <v>97.2</v>
      </c>
      <c r="O178" s="2213">
        <v>4.29</v>
      </c>
      <c r="P178" s="2215">
        <v>0</v>
      </c>
      <c r="Q178" s="2213">
        <v>0</v>
      </c>
      <c r="R178" s="2215">
        <v>0</v>
      </c>
    </row>
    <row r="179" spans="3:18" x14ac:dyDescent="0.4">
      <c r="C179" s="2212"/>
      <c r="D179" s="2212" t="s">
        <v>7813</v>
      </c>
      <c r="E179" s="2213">
        <f>+SUM(E176+E177+E178)</f>
        <v>72.099999999999994</v>
      </c>
      <c r="F179" s="2213">
        <f t="shared" ref="F179:Q179" si="56">+SUM(F176+F177+F178)</f>
        <v>0</v>
      </c>
      <c r="G179" s="2213">
        <f t="shared" si="56"/>
        <v>0</v>
      </c>
      <c r="H179" s="2213">
        <f t="shared" si="56"/>
        <v>12.8</v>
      </c>
      <c r="I179" s="2213">
        <f t="shared" si="56"/>
        <v>8</v>
      </c>
      <c r="J179" s="2213">
        <f t="shared" si="56"/>
        <v>0</v>
      </c>
      <c r="K179" s="2213">
        <f t="shared" si="56"/>
        <v>18.5</v>
      </c>
      <c r="L179" s="2213">
        <f t="shared" si="56"/>
        <v>21</v>
      </c>
      <c r="M179" s="2213">
        <f t="shared" si="56"/>
        <v>21.2</v>
      </c>
      <c r="N179" s="2213">
        <f t="shared" si="56"/>
        <v>114.9</v>
      </c>
      <c r="O179" s="2213">
        <f t="shared" si="56"/>
        <v>19.309999999999999</v>
      </c>
      <c r="P179" s="2215">
        <f t="shared" si="56"/>
        <v>10.25</v>
      </c>
      <c r="Q179" s="2213">
        <f t="shared" si="56"/>
        <v>24.17</v>
      </c>
      <c r="R179" s="2215">
        <f>+SUM(R176+R177+R178)</f>
        <v>7.51</v>
      </c>
    </row>
    <row r="180" spans="3:18" x14ac:dyDescent="0.4">
      <c r="C180" s="2212"/>
      <c r="D180" s="2217" t="s">
        <v>7814</v>
      </c>
      <c r="E180" s="2218">
        <f>+E175+E179</f>
        <v>91.938288546772668</v>
      </c>
      <c r="F180" s="2218">
        <f t="shared" ref="F180:R180" si="57">+F175+F179</f>
        <v>8.9800470247864723</v>
      </c>
      <c r="G180" s="2218">
        <f t="shared" si="57"/>
        <v>-9.8120220899581909</v>
      </c>
      <c r="H180" s="2218">
        <f t="shared" si="57"/>
        <v>45.135995517671105</v>
      </c>
      <c r="I180" s="2218">
        <f t="shared" si="57"/>
        <v>99.632083177566528</v>
      </c>
      <c r="J180" s="2218">
        <f t="shared" si="57"/>
        <v>97.75194177031517</v>
      </c>
      <c r="K180" s="2218">
        <f t="shared" si="57"/>
        <v>77.088093761354685</v>
      </c>
      <c r="L180" s="2218">
        <f t="shared" si="57"/>
        <v>12.1319</v>
      </c>
      <c r="M180" s="2218">
        <f t="shared" si="57"/>
        <v>39.198345891769698</v>
      </c>
      <c r="N180" s="2218">
        <f t="shared" si="57"/>
        <v>155.99267276120082</v>
      </c>
      <c r="O180" s="2218">
        <f t="shared" si="57"/>
        <v>41.2255040376564</v>
      </c>
      <c r="P180" s="2219">
        <f t="shared" si="57"/>
        <v>36.604701366056105</v>
      </c>
      <c r="Q180" s="2218">
        <f t="shared" si="57"/>
        <v>91.27</v>
      </c>
      <c r="R180" s="2218">
        <f t="shared" si="57"/>
        <v>70.540114164697272</v>
      </c>
    </row>
    <row r="181" spans="3:18" x14ac:dyDescent="0.4">
      <c r="C181" s="2204" t="s">
        <v>7833</v>
      </c>
      <c r="D181" s="2205" t="s">
        <v>7809</v>
      </c>
      <c r="E181" s="2206">
        <v>-0.75366723537445068</v>
      </c>
      <c r="F181" s="2206">
        <v>-5.5891722440719604E-2</v>
      </c>
      <c r="G181" s="2206">
        <v>4.886107075959444</v>
      </c>
      <c r="H181" s="2206">
        <v>113.40373182296753</v>
      </c>
      <c r="I181" s="2206">
        <v>34.036534786224365</v>
      </c>
      <c r="J181" s="2206">
        <v>15.091119766235352</v>
      </c>
      <c r="K181" s="2206">
        <v>21.000850915908813</v>
      </c>
      <c r="L181" s="2206">
        <v>68.23360000000001</v>
      </c>
      <c r="M181" s="2206">
        <v>-27.701059442496799</v>
      </c>
      <c r="N181" s="2206">
        <v>-7.0717759215248801</v>
      </c>
      <c r="O181" s="1758">
        <v>18.0297765986607</v>
      </c>
      <c r="P181" s="2207">
        <v>31.965294517111399</v>
      </c>
      <c r="Q181" s="536">
        <v>52.1</v>
      </c>
      <c r="R181" s="2207">
        <v>40.095996653675506</v>
      </c>
    </row>
    <row r="182" spans="3:18" x14ac:dyDescent="0.4">
      <c r="C182" s="2204"/>
      <c r="D182" s="2205" t="s">
        <v>7810</v>
      </c>
      <c r="E182" s="2206">
        <v>0</v>
      </c>
      <c r="F182" s="2206">
        <v>0</v>
      </c>
      <c r="G182" s="2206">
        <v>0</v>
      </c>
      <c r="H182" s="2206">
        <v>0</v>
      </c>
      <c r="I182" s="2206">
        <v>0</v>
      </c>
      <c r="J182" s="2206">
        <v>0</v>
      </c>
      <c r="K182" s="2206">
        <v>0</v>
      </c>
      <c r="L182" s="2206">
        <v>0.5</v>
      </c>
      <c r="M182" s="2206">
        <v>0</v>
      </c>
      <c r="N182" s="2206">
        <v>0</v>
      </c>
      <c r="O182" s="2206">
        <v>0</v>
      </c>
      <c r="P182" s="2207">
        <v>3.8</v>
      </c>
      <c r="Q182" s="416">
        <v>2.7</v>
      </c>
      <c r="R182" s="1578">
        <v>0</v>
      </c>
    </row>
    <row r="183" spans="3:18" x14ac:dyDescent="0.4">
      <c r="C183" s="2204"/>
      <c r="D183" s="2205" t="s">
        <v>7811</v>
      </c>
      <c r="E183" s="2206">
        <v>0</v>
      </c>
      <c r="F183" s="2206">
        <v>0</v>
      </c>
      <c r="G183" s="2206">
        <v>0</v>
      </c>
      <c r="H183" s="2206">
        <v>0</v>
      </c>
      <c r="I183" s="2206">
        <v>0</v>
      </c>
      <c r="J183" s="2206">
        <v>0</v>
      </c>
      <c r="K183" s="2206">
        <v>0</v>
      </c>
      <c r="L183" s="2206">
        <v>0.6</v>
      </c>
      <c r="M183" s="2206">
        <v>0</v>
      </c>
      <c r="N183" s="2206">
        <v>1.2</v>
      </c>
      <c r="O183" s="2206">
        <v>0.75800000000000001</v>
      </c>
      <c r="P183" s="2207">
        <v>2.4</v>
      </c>
      <c r="Q183" s="416">
        <v>0</v>
      </c>
      <c r="R183" s="1578">
        <v>0</v>
      </c>
    </row>
    <row r="184" spans="3:18" x14ac:dyDescent="0.4">
      <c r="C184" s="2204"/>
      <c r="D184" s="2205" t="s">
        <v>7812</v>
      </c>
      <c r="E184" s="2206">
        <v>0</v>
      </c>
      <c r="F184" s="2206">
        <v>0</v>
      </c>
      <c r="G184" s="2206">
        <v>0</v>
      </c>
      <c r="H184" s="2206">
        <v>0</v>
      </c>
      <c r="I184" s="2206">
        <v>0</v>
      </c>
      <c r="J184" s="2206">
        <v>0</v>
      </c>
      <c r="K184" s="2206">
        <v>0</v>
      </c>
      <c r="L184" s="2206">
        <v>0</v>
      </c>
      <c r="M184" s="2206">
        <v>0</v>
      </c>
      <c r="N184" s="2206">
        <v>0</v>
      </c>
      <c r="O184" s="2206">
        <v>150</v>
      </c>
      <c r="P184" s="2207">
        <v>65</v>
      </c>
      <c r="Q184" s="416">
        <v>110</v>
      </c>
      <c r="R184" s="2207">
        <v>0</v>
      </c>
    </row>
    <row r="185" spans="3:18" x14ac:dyDescent="0.4">
      <c r="C185" s="2204"/>
      <c r="D185" s="2205" t="s">
        <v>7813</v>
      </c>
      <c r="E185" s="2206">
        <f>+SUM(E182+E183+E184)</f>
        <v>0</v>
      </c>
      <c r="F185" s="2206">
        <f t="shared" ref="F185:Q185" si="58">+SUM(F182+F183+F184)</f>
        <v>0</v>
      </c>
      <c r="G185" s="2206">
        <f t="shared" si="58"/>
        <v>0</v>
      </c>
      <c r="H185" s="2206">
        <f t="shared" si="58"/>
        <v>0</v>
      </c>
      <c r="I185" s="2206">
        <f t="shared" si="58"/>
        <v>0</v>
      </c>
      <c r="J185" s="2206">
        <f t="shared" si="58"/>
        <v>0</v>
      </c>
      <c r="K185" s="2206">
        <f t="shared" si="58"/>
        <v>0</v>
      </c>
      <c r="L185" s="2206">
        <f t="shared" si="58"/>
        <v>1.1000000000000001</v>
      </c>
      <c r="M185" s="2206">
        <f t="shared" si="58"/>
        <v>0</v>
      </c>
      <c r="N185" s="2206">
        <f t="shared" si="58"/>
        <v>1.2</v>
      </c>
      <c r="O185" s="2206">
        <f t="shared" si="58"/>
        <v>150.75800000000001</v>
      </c>
      <c r="P185" s="2207">
        <f t="shared" si="58"/>
        <v>71.2</v>
      </c>
      <c r="Q185" s="416">
        <f t="shared" si="58"/>
        <v>112.7</v>
      </c>
      <c r="R185" s="2207">
        <f>+SUM(R182+R183+R184)</f>
        <v>0</v>
      </c>
    </row>
    <row r="186" spans="3:18" x14ac:dyDescent="0.4">
      <c r="C186" s="2204"/>
      <c r="D186" s="2208" t="s">
        <v>7814</v>
      </c>
      <c r="E186" s="2209">
        <f>+E181+E185</f>
        <v>-0.75366723537445068</v>
      </c>
      <c r="F186" s="2209">
        <f t="shared" ref="F186:R186" si="59">+F181+F185</f>
        <v>-5.5891722440719604E-2</v>
      </c>
      <c r="G186" s="2209">
        <f t="shared" si="59"/>
        <v>4.886107075959444</v>
      </c>
      <c r="H186" s="2209">
        <f t="shared" si="59"/>
        <v>113.40373182296753</v>
      </c>
      <c r="I186" s="2209">
        <f t="shared" si="59"/>
        <v>34.036534786224365</v>
      </c>
      <c r="J186" s="2209">
        <f t="shared" si="59"/>
        <v>15.091119766235352</v>
      </c>
      <c r="K186" s="2209">
        <f t="shared" si="59"/>
        <v>21.000850915908813</v>
      </c>
      <c r="L186" s="2209">
        <f t="shared" si="59"/>
        <v>69.333600000000004</v>
      </c>
      <c r="M186" s="2209">
        <f t="shared" si="59"/>
        <v>-27.701059442496799</v>
      </c>
      <c r="N186" s="2209">
        <f t="shared" si="59"/>
        <v>-5.8717759215248799</v>
      </c>
      <c r="O186" s="2209">
        <f t="shared" si="59"/>
        <v>168.78777659866071</v>
      </c>
      <c r="P186" s="2210">
        <f t="shared" si="59"/>
        <v>103.16529451711141</v>
      </c>
      <c r="Q186" s="2211">
        <f t="shared" si="59"/>
        <v>164.8</v>
      </c>
      <c r="R186" s="2210">
        <f t="shared" si="59"/>
        <v>40.095996653675506</v>
      </c>
    </row>
    <row r="187" spans="3:18" x14ac:dyDescent="0.4">
      <c r="C187" s="2212" t="s">
        <v>7834</v>
      </c>
      <c r="D187" s="2212" t="s">
        <v>7809</v>
      </c>
      <c r="E187" s="2213">
        <v>14.147982022957876</v>
      </c>
      <c r="F187" s="2213">
        <v>-30.325967222452164</v>
      </c>
      <c r="G187" s="2213">
        <v>10.963039457798004</v>
      </c>
      <c r="H187" s="2213">
        <v>5.9152614325284958</v>
      </c>
      <c r="I187" s="2213">
        <v>52.744926452636719</v>
      </c>
      <c r="J187" s="2213">
        <v>38.302147150039673</v>
      </c>
      <c r="K187" s="2213">
        <v>19.648025989532471</v>
      </c>
      <c r="L187" s="2213">
        <v>-0.94740000000000002</v>
      </c>
      <c r="M187" s="2213">
        <v>0</v>
      </c>
      <c r="N187" s="2213">
        <v>0</v>
      </c>
      <c r="O187" s="2214">
        <v>-17.899999999999999</v>
      </c>
      <c r="P187" s="2215">
        <v>55</v>
      </c>
      <c r="Q187" s="2216">
        <v>19.3</v>
      </c>
      <c r="R187" s="2215">
        <v>20.464892791606538</v>
      </c>
    </row>
    <row r="188" spans="3:18" x14ac:dyDescent="0.4">
      <c r="C188" s="2212"/>
      <c r="D188" s="2212" t="s">
        <v>7810</v>
      </c>
      <c r="E188" s="2213">
        <v>0</v>
      </c>
      <c r="F188" s="2213">
        <v>0</v>
      </c>
      <c r="G188" s="2213">
        <v>0</v>
      </c>
      <c r="H188" s="2213">
        <v>0</v>
      </c>
      <c r="I188" s="2213">
        <v>0</v>
      </c>
      <c r="J188" s="2213">
        <v>0</v>
      </c>
      <c r="K188" s="2213">
        <v>0</v>
      </c>
      <c r="L188" s="2213">
        <v>0</v>
      </c>
      <c r="M188" s="2213">
        <v>0</v>
      </c>
      <c r="N188" s="2213">
        <v>0</v>
      </c>
      <c r="O188" s="2213">
        <v>0</v>
      </c>
      <c r="P188" s="2215">
        <v>0</v>
      </c>
      <c r="Q188" s="2213">
        <v>0</v>
      </c>
      <c r="R188" s="2216">
        <v>0</v>
      </c>
    </row>
    <row r="189" spans="3:18" x14ac:dyDescent="0.4">
      <c r="C189" s="2212"/>
      <c r="D189" s="2212" t="s">
        <v>7811</v>
      </c>
      <c r="E189" s="2213">
        <v>0</v>
      </c>
      <c r="F189" s="2213">
        <v>0</v>
      </c>
      <c r="G189" s="2213">
        <v>0</v>
      </c>
      <c r="H189" s="2213">
        <v>0</v>
      </c>
      <c r="I189" s="2213">
        <v>0</v>
      </c>
      <c r="J189" s="2213">
        <v>0</v>
      </c>
      <c r="K189" s="2213">
        <v>0</v>
      </c>
      <c r="L189" s="2213">
        <v>0</v>
      </c>
      <c r="M189" s="2213">
        <v>0</v>
      </c>
      <c r="N189" s="2213">
        <v>0</v>
      </c>
      <c r="O189" s="2213">
        <v>0</v>
      </c>
      <c r="P189" s="2215">
        <v>0</v>
      </c>
      <c r="Q189" s="2213">
        <v>0</v>
      </c>
      <c r="R189" s="2216">
        <v>0</v>
      </c>
    </row>
    <row r="190" spans="3:18" x14ac:dyDescent="0.4">
      <c r="C190" s="2212"/>
      <c r="D190" s="2212" t="s">
        <v>7812</v>
      </c>
      <c r="E190" s="2213">
        <v>0</v>
      </c>
      <c r="F190" s="2213">
        <v>0</v>
      </c>
      <c r="G190" s="2213">
        <v>0</v>
      </c>
      <c r="H190" s="2213">
        <v>0</v>
      </c>
      <c r="I190" s="2213">
        <v>0</v>
      </c>
      <c r="J190" s="2213">
        <v>0</v>
      </c>
      <c r="K190" s="2213">
        <v>0</v>
      </c>
      <c r="L190" s="2213">
        <v>0</v>
      </c>
      <c r="M190" s="2213">
        <v>0</v>
      </c>
      <c r="N190" s="2213">
        <v>0</v>
      </c>
      <c r="O190" s="2213">
        <v>0</v>
      </c>
      <c r="P190" s="2215">
        <v>0</v>
      </c>
      <c r="Q190" s="2213">
        <v>0</v>
      </c>
      <c r="R190" s="2215">
        <v>0</v>
      </c>
    </row>
    <row r="191" spans="3:18" x14ac:dyDescent="0.4">
      <c r="C191" s="2212"/>
      <c r="D191" s="2212" t="s">
        <v>7813</v>
      </c>
      <c r="E191" s="2213">
        <f>+SUM(E188+E189+E190)</f>
        <v>0</v>
      </c>
      <c r="F191" s="2213">
        <f t="shared" ref="F191:Q191" si="60">+SUM(F188+F189+F190)</f>
        <v>0</v>
      </c>
      <c r="G191" s="2213">
        <f t="shared" si="60"/>
        <v>0</v>
      </c>
      <c r="H191" s="2213">
        <f t="shared" si="60"/>
        <v>0</v>
      </c>
      <c r="I191" s="2213">
        <f t="shared" si="60"/>
        <v>0</v>
      </c>
      <c r="J191" s="2213">
        <f t="shared" si="60"/>
        <v>0</v>
      </c>
      <c r="K191" s="2213">
        <f t="shared" si="60"/>
        <v>0</v>
      </c>
      <c r="L191" s="2213">
        <f t="shared" si="60"/>
        <v>0</v>
      </c>
      <c r="M191" s="2213">
        <f t="shared" si="60"/>
        <v>0</v>
      </c>
      <c r="N191" s="2213">
        <f t="shared" si="60"/>
        <v>0</v>
      </c>
      <c r="O191" s="2213">
        <f t="shared" si="60"/>
        <v>0</v>
      </c>
      <c r="P191" s="2215">
        <f t="shared" si="60"/>
        <v>0</v>
      </c>
      <c r="Q191" s="2213">
        <f t="shared" si="60"/>
        <v>0</v>
      </c>
      <c r="R191" s="2215">
        <f>+SUM(R188+R189+R190)</f>
        <v>0</v>
      </c>
    </row>
    <row r="192" spans="3:18" x14ac:dyDescent="0.4">
      <c r="C192" s="2212"/>
      <c r="D192" s="2217" t="s">
        <v>7814</v>
      </c>
      <c r="E192" s="2218">
        <f>+E187+E191</f>
        <v>14.147982022957876</v>
      </c>
      <c r="F192" s="2218">
        <f t="shared" ref="F192:R192" si="61">+F187+F191</f>
        <v>-30.325967222452164</v>
      </c>
      <c r="G192" s="2218">
        <f t="shared" si="61"/>
        <v>10.963039457798004</v>
      </c>
      <c r="H192" s="2218">
        <f t="shared" si="61"/>
        <v>5.9152614325284958</v>
      </c>
      <c r="I192" s="2218">
        <f t="shared" si="61"/>
        <v>52.744926452636719</v>
      </c>
      <c r="J192" s="2218">
        <f t="shared" si="61"/>
        <v>38.302147150039673</v>
      </c>
      <c r="K192" s="2218">
        <f t="shared" si="61"/>
        <v>19.648025989532471</v>
      </c>
      <c r="L192" s="2218">
        <f t="shared" si="61"/>
        <v>-0.94740000000000002</v>
      </c>
      <c r="M192" s="2218">
        <f t="shared" si="61"/>
        <v>0</v>
      </c>
      <c r="N192" s="2218">
        <f t="shared" si="61"/>
        <v>0</v>
      </c>
      <c r="O192" s="2218">
        <f t="shared" si="61"/>
        <v>-17.899999999999999</v>
      </c>
      <c r="P192" s="2219">
        <f t="shared" si="61"/>
        <v>55</v>
      </c>
      <c r="Q192" s="2218">
        <f t="shared" si="61"/>
        <v>19.3</v>
      </c>
      <c r="R192" s="2218">
        <f t="shared" si="61"/>
        <v>20.464892791606538</v>
      </c>
    </row>
    <row r="193" spans="3:18" x14ac:dyDescent="0.4">
      <c r="C193" s="2204" t="s">
        <v>7835</v>
      </c>
      <c r="D193" s="2205" t="s">
        <v>7809</v>
      </c>
      <c r="E193" s="2206">
        <v>0</v>
      </c>
      <c r="F193" s="2206">
        <v>0</v>
      </c>
      <c r="G193" s="2206">
        <v>0</v>
      </c>
      <c r="H193" s="2206">
        <v>0</v>
      </c>
      <c r="I193" s="2206">
        <v>0</v>
      </c>
      <c r="J193" s="2206">
        <v>0</v>
      </c>
      <c r="K193" s="2206">
        <v>0</v>
      </c>
      <c r="L193" s="2206">
        <v>0</v>
      </c>
      <c r="M193" s="2206">
        <v>0</v>
      </c>
      <c r="N193" s="2206">
        <v>0</v>
      </c>
      <c r="O193" s="1758">
        <v>0</v>
      </c>
      <c r="P193" s="2207">
        <v>0</v>
      </c>
      <c r="Q193" s="536"/>
      <c r="R193" s="2207">
        <v>0</v>
      </c>
    </row>
    <row r="194" spans="3:18" x14ac:dyDescent="0.4">
      <c r="C194" s="2204"/>
      <c r="D194" s="2205" t="s">
        <v>7810</v>
      </c>
      <c r="E194" s="2206">
        <v>0</v>
      </c>
      <c r="F194" s="2206">
        <v>0</v>
      </c>
      <c r="G194" s="2206">
        <v>0</v>
      </c>
      <c r="H194" s="2206">
        <v>0</v>
      </c>
      <c r="I194" s="2206">
        <v>0</v>
      </c>
      <c r="J194" s="2206">
        <v>0</v>
      </c>
      <c r="K194" s="2206">
        <v>0.2</v>
      </c>
      <c r="L194" s="2206">
        <v>0</v>
      </c>
      <c r="M194" s="2206">
        <v>0</v>
      </c>
      <c r="N194" s="2206">
        <v>0</v>
      </c>
      <c r="O194" s="2206">
        <v>0</v>
      </c>
      <c r="P194" s="2207">
        <v>0</v>
      </c>
      <c r="Q194" s="416">
        <v>0</v>
      </c>
      <c r="R194" s="1578">
        <v>0</v>
      </c>
    </row>
    <row r="195" spans="3:18" x14ac:dyDescent="0.4">
      <c r="C195" s="2204"/>
      <c r="D195" s="2205" t="s">
        <v>7811</v>
      </c>
      <c r="E195" s="2206">
        <v>0</v>
      </c>
      <c r="F195" s="2206">
        <v>0</v>
      </c>
      <c r="G195" s="2206">
        <v>0</v>
      </c>
      <c r="H195" s="2206">
        <v>0</v>
      </c>
      <c r="I195" s="2206">
        <v>0</v>
      </c>
      <c r="J195" s="2206">
        <v>0</v>
      </c>
      <c r="K195" s="2206">
        <v>0</v>
      </c>
      <c r="L195" s="2206">
        <v>0</v>
      </c>
      <c r="M195" s="2206">
        <v>0</v>
      </c>
      <c r="N195" s="2206">
        <v>0</v>
      </c>
      <c r="O195" s="2206">
        <v>0</v>
      </c>
      <c r="P195" s="2207">
        <v>0</v>
      </c>
      <c r="Q195" s="416">
        <v>0</v>
      </c>
      <c r="R195" s="1578">
        <v>0</v>
      </c>
    </row>
    <row r="196" spans="3:18" x14ac:dyDescent="0.4">
      <c r="C196" s="2204"/>
      <c r="D196" s="2205" t="s">
        <v>7812</v>
      </c>
      <c r="E196" s="2206">
        <v>0</v>
      </c>
      <c r="F196" s="2206">
        <v>0</v>
      </c>
      <c r="G196" s="2206">
        <v>0</v>
      </c>
      <c r="H196" s="2206">
        <v>0</v>
      </c>
      <c r="I196" s="2206">
        <v>0</v>
      </c>
      <c r="J196" s="2206">
        <v>0</v>
      </c>
      <c r="K196" s="2206">
        <v>0</v>
      </c>
      <c r="L196" s="2206">
        <v>0</v>
      </c>
      <c r="M196" s="2206">
        <v>0</v>
      </c>
      <c r="N196" s="2206">
        <v>0</v>
      </c>
      <c r="O196" s="2206">
        <v>0</v>
      </c>
      <c r="P196" s="2207">
        <v>0</v>
      </c>
      <c r="Q196" s="416">
        <v>0</v>
      </c>
      <c r="R196" s="2207">
        <v>0</v>
      </c>
    </row>
    <row r="197" spans="3:18" x14ac:dyDescent="0.4">
      <c r="C197" s="2204"/>
      <c r="D197" s="2205" t="s">
        <v>7813</v>
      </c>
      <c r="E197" s="2206">
        <f>+SUM(E194+E195+E196)</f>
        <v>0</v>
      </c>
      <c r="F197" s="2206">
        <f t="shared" ref="F197:L197" si="62">+SUM(F194+F195+F196)</f>
        <v>0</v>
      </c>
      <c r="G197" s="2206">
        <f t="shared" si="62"/>
        <v>0</v>
      </c>
      <c r="H197" s="2206">
        <f t="shared" si="62"/>
        <v>0</v>
      </c>
      <c r="I197" s="2206">
        <f t="shared" si="62"/>
        <v>0</v>
      </c>
      <c r="J197" s="2206">
        <f t="shared" si="62"/>
        <v>0</v>
      </c>
      <c r="K197" s="2206">
        <f t="shared" si="62"/>
        <v>0.2</v>
      </c>
      <c r="L197" s="2206">
        <f t="shared" si="62"/>
        <v>0</v>
      </c>
      <c r="M197" s="2206">
        <v>0</v>
      </c>
      <c r="N197" s="2206">
        <v>0</v>
      </c>
      <c r="O197" s="2206">
        <v>0</v>
      </c>
      <c r="P197" s="2207">
        <v>0</v>
      </c>
      <c r="Q197" s="416">
        <v>0</v>
      </c>
      <c r="R197" s="2207">
        <f>+SUM(R194+R195+R196)</f>
        <v>0</v>
      </c>
    </row>
    <row r="198" spans="3:18" x14ac:dyDescent="0.4">
      <c r="C198" s="2204"/>
      <c r="D198" s="2208" t="s">
        <v>7814</v>
      </c>
      <c r="E198" s="2209">
        <f>+E193+E197</f>
        <v>0</v>
      </c>
      <c r="F198" s="2209">
        <f t="shared" ref="F198:R198" si="63">+F193+F197</f>
        <v>0</v>
      </c>
      <c r="G198" s="2209">
        <f t="shared" si="63"/>
        <v>0</v>
      </c>
      <c r="H198" s="2209">
        <f t="shared" si="63"/>
        <v>0</v>
      </c>
      <c r="I198" s="2209">
        <f t="shared" si="63"/>
        <v>0</v>
      </c>
      <c r="J198" s="2209">
        <f t="shared" si="63"/>
        <v>0</v>
      </c>
      <c r="K198" s="2209">
        <f t="shared" si="63"/>
        <v>0.2</v>
      </c>
      <c r="L198" s="2209">
        <f t="shared" si="63"/>
        <v>0</v>
      </c>
      <c r="M198" s="2209">
        <f t="shared" si="63"/>
        <v>0</v>
      </c>
      <c r="N198" s="2209">
        <f t="shared" si="63"/>
        <v>0</v>
      </c>
      <c r="O198" s="2209">
        <f t="shared" si="63"/>
        <v>0</v>
      </c>
      <c r="P198" s="2210">
        <f t="shared" si="63"/>
        <v>0</v>
      </c>
      <c r="Q198" s="2211">
        <f t="shared" si="63"/>
        <v>0</v>
      </c>
      <c r="R198" s="2210">
        <f t="shared" si="63"/>
        <v>0</v>
      </c>
    </row>
    <row r="199" spans="3:18" x14ac:dyDescent="0.4">
      <c r="C199" s="2212" t="s">
        <v>5779</v>
      </c>
      <c r="D199" s="2212" t="s">
        <v>7809</v>
      </c>
      <c r="E199" s="2213">
        <v>-1.8431981469329912</v>
      </c>
      <c r="F199" s="2213">
        <v>58.582362622022629</v>
      </c>
      <c r="G199" s="2213">
        <v>114.64606654644012</v>
      </c>
      <c r="H199" s="2213">
        <v>106.09101390838623</v>
      </c>
      <c r="I199" s="2213">
        <v>118.62192606925964</v>
      </c>
      <c r="J199" s="2213">
        <v>13.66754362359643</v>
      </c>
      <c r="K199" s="2213">
        <v>185.99927885830402</v>
      </c>
      <c r="L199" s="2213">
        <v>13.581100000000001</v>
      </c>
      <c r="M199" s="2213">
        <v>-6.6616417337849301</v>
      </c>
      <c r="N199" s="2213">
        <v>-1.9741312156284601</v>
      </c>
      <c r="O199" s="2214">
        <v>-6.1794364790620699</v>
      </c>
      <c r="P199" s="2215">
        <v>17.968803504858101</v>
      </c>
      <c r="Q199" s="2216">
        <v>-2.8</v>
      </c>
      <c r="R199" s="2215">
        <v>23.02722886225169</v>
      </c>
    </row>
    <row r="200" spans="3:18" x14ac:dyDescent="0.4">
      <c r="C200" s="2212"/>
      <c r="D200" s="2212" t="s">
        <v>7810</v>
      </c>
      <c r="E200" s="2213">
        <v>0</v>
      </c>
      <c r="F200" s="2213">
        <v>0</v>
      </c>
      <c r="G200" s="2213">
        <v>0</v>
      </c>
      <c r="H200" s="2213">
        <v>0</v>
      </c>
      <c r="I200" s="2213">
        <v>0</v>
      </c>
      <c r="J200" s="2213">
        <v>0</v>
      </c>
      <c r="K200" s="2213">
        <v>0.2</v>
      </c>
      <c r="L200" s="2213">
        <v>0</v>
      </c>
      <c r="M200" s="2213">
        <v>0</v>
      </c>
      <c r="N200" s="2213">
        <v>0</v>
      </c>
      <c r="O200" s="2213">
        <v>0.2</v>
      </c>
      <c r="P200" s="2215">
        <v>0</v>
      </c>
      <c r="Q200" s="2213">
        <v>0</v>
      </c>
      <c r="R200" s="2216">
        <v>0</v>
      </c>
    </row>
    <row r="201" spans="3:18" x14ac:dyDescent="0.4">
      <c r="C201" s="2212"/>
      <c r="D201" s="2212" t="s">
        <v>7811</v>
      </c>
      <c r="E201" s="2213">
        <v>0</v>
      </c>
      <c r="F201" s="2213">
        <v>0</v>
      </c>
      <c r="G201" s="2213">
        <v>0</v>
      </c>
      <c r="H201" s="2213">
        <v>0</v>
      </c>
      <c r="I201" s="2213">
        <v>0</v>
      </c>
      <c r="J201" s="2213">
        <v>0.4</v>
      </c>
      <c r="K201" s="2213">
        <v>0</v>
      </c>
      <c r="L201" s="2213">
        <v>0</v>
      </c>
      <c r="M201" s="2213">
        <v>0</v>
      </c>
      <c r="N201" s="2213">
        <v>0</v>
      </c>
      <c r="O201" s="2213">
        <v>0</v>
      </c>
      <c r="P201" s="2215">
        <v>0</v>
      </c>
      <c r="Q201" s="2213">
        <v>0</v>
      </c>
      <c r="R201" s="2216">
        <v>0</v>
      </c>
    </row>
    <row r="202" spans="3:18" x14ac:dyDescent="0.4">
      <c r="C202" s="2212"/>
      <c r="D202" s="2212" t="s">
        <v>7812</v>
      </c>
      <c r="E202" s="2213">
        <v>0</v>
      </c>
      <c r="F202" s="2213">
        <v>0</v>
      </c>
      <c r="G202" s="2213">
        <v>0</v>
      </c>
      <c r="H202" s="2213">
        <v>0</v>
      </c>
      <c r="I202" s="2213">
        <v>0</v>
      </c>
      <c r="J202" s="2213">
        <v>0</v>
      </c>
      <c r="K202" s="2213">
        <v>0</v>
      </c>
      <c r="L202" s="2213">
        <v>0</v>
      </c>
      <c r="M202" s="2213">
        <v>0</v>
      </c>
      <c r="N202" s="2213">
        <v>0</v>
      </c>
      <c r="O202" s="2213">
        <v>0</v>
      </c>
      <c r="P202" s="2215">
        <v>0</v>
      </c>
      <c r="Q202" s="2213">
        <v>0</v>
      </c>
      <c r="R202" s="2215">
        <v>0</v>
      </c>
    </row>
    <row r="203" spans="3:18" x14ac:dyDescent="0.4">
      <c r="C203" s="2212"/>
      <c r="D203" s="2212" t="s">
        <v>7813</v>
      </c>
      <c r="E203" s="2213">
        <f>+SUM(E200+E201+E202)</f>
        <v>0</v>
      </c>
      <c r="F203" s="2213">
        <f t="shared" ref="F203:O203" si="64">+SUM(F200+F201+F202)</f>
        <v>0</v>
      </c>
      <c r="G203" s="2213">
        <f t="shared" si="64"/>
        <v>0</v>
      </c>
      <c r="H203" s="2213">
        <f t="shared" si="64"/>
        <v>0</v>
      </c>
      <c r="I203" s="2213">
        <f t="shared" si="64"/>
        <v>0</v>
      </c>
      <c r="J203" s="2213">
        <f t="shared" si="64"/>
        <v>0.4</v>
      </c>
      <c r="K203" s="2213">
        <f t="shared" si="64"/>
        <v>0.2</v>
      </c>
      <c r="L203" s="2213">
        <f t="shared" si="64"/>
        <v>0</v>
      </c>
      <c r="M203" s="2213">
        <f t="shared" si="64"/>
        <v>0</v>
      </c>
      <c r="N203" s="2213">
        <f t="shared" si="64"/>
        <v>0</v>
      </c>
      <c r="O203" s="2213">
        <f t="shared" si="64"/>
        <v>0.2</v>
      </c>
      <c r="P203" s="2215">
        <v>0.02</v>
      </c>
      <c r="Q203" s="2213">
        <v>0.02</v>
      </c>
      <c r="R203" s="2215">
        <f>+SUM(R200+R201+R202)</f>
        <v>0</v>
      </c>
    </row>
    <row r="204" spans="3:18" x14ac:dyDescent="0.4">
      <c r="C204" s="2212"/>
      <c r="D204" s="2217" t="s">
        <v>7814</v>
      </c>
      <c r="E204" s="2218">
        <f>+E199+E203</f>
        <v>-1.8431981469329912</v>
      </c>
      <c r="F204" s="2218">
        <f t="shared" ref="F204:R204" si="65">+F199+F203</f>
        <v>58.582362622022629</v>
      </c>
      <c r="G204" s="2218">
        <f t="shared" si="65"/>
        <v>114.64606654644012</v>
      </c>
      <c r="H204" s="2218">
        <f t="shared" si="65"/>
        <v>106.09101390838623</v>
      </c>
      <c r="I204" s="2218">
        <f t="shared" si="65"/>
        <v>118.62192606925964</v>
      </c>
      <c r="J204" s="2218">
        <f t="shared" si="65"/>
        <v>14.06754362359643</v>
      </c>
      <c r="K204" s="2218">
        <f t="shared" si="65"/>
        <v>186.19927885830401</v>
      </c>
      <c r="L204" s="2218">
        <f t="shared" si="65"/>
        <v>13.581100000000001</v>
      </c>
      <c r="M204" s="2218">
        <f t="shared" si="65"/>
        <v>-6.6616417337849301</v>
      </c>
      <c r="N204" s="2218">
        <f t="shared" si="65"/>
        <v>-1.9741312156284601</v>
      </c>
      <c r="O204" s="2218">
        <f t="shared" si="65"/>
        <v>-5.9794364790620698</v>
      </c>
      <c r="P204" s="2219">
        <f t="shared" si="65"/>
        <v>17.988803504858101</v>
      </c>
      <c r="Q204" s="2218">
        <f t="shared" si="65"/>
        <v>-2.78</v>
      </c>
      <c r="R204" s="2218">
        <f t="shared" si="65"/>
        <v>23.02722886225169</v>
      </c>
    </row>
    <row r="205" spans="3:18" x14ac:dyDescent="0.4">
      <c r="C205" s="2204" t="s">
        <v>7836</v>
      </c>
      <c r="D205" s="2205" t="s">
        <v>7809</v>
      </c>
      <c r="E205" s="2206">
        <v>-3.7271938323974609</v>
      </c>
      <c r="F205" s="2206">
        <v>1.2610702812671661</v>
      </c>
      <c r="G205" s="2206">
        <v>2.6763805747032166</v>
      </c>
      <c r="H205" s="2206">
        <v>7.5325942039489746</v>
      </c>
      <c r="I205" s="2206">
        <v>23.041929841041565</v>
      </c>
      <c r="J205" s="2206">
        <v>-8.7857359051704407</v>
      </c>
      <c r="K205" s="2206">
        <v>3.2912609428167343</v>
      </c>
      <c r="L205" s="2206">
        <v>0</v>
      </c>
      <c r="M205" s="2206">
        <v>0</v>
      </c>
      <c r="N205" s="2206">
        <v>0</v>
      </c>
      <c r="O205" s="1758">
        <v>0</v>
      </c>
      <c r="P205" s="2207">
        <v>0</v>
      </c>
      <c r="Q205" s="536"/>
      <c r="R205" s="2207">
        <v>0</v>
      </c>
    </row>
    <row r="206" spans="3:18" x14ac:dyDescent="0.4">
      <c r="C206" s="2204"/>
      <c r="D206" s="2205" t="s">
        <v>7810</v>
      </c>
      <c r="E206" s="2206">
        <v>0</v>
      </c>
      <c r="F206" s="2206">
        <v>0</v>
      </c>
      <c r="G206" s="2206">
        <v>0</v>
      </c>
      <c r="H206" s="2206">
        <v>0</v>
      </c>
      <c r="I206" s="2206">
        <v>0</v>
      </c>
      <c r="J206" s="2206">
        <v>0</v>
      </c>
      <c r="K206" s="2206">
        <v>0</v>
      </c>
      <c r="L206" s="2206">
        <v>0</v>
      </c>
      <c r="M206" s="2206">
        <v>0</v>
      </c>
      <c r="N206" s="2206">
        <v>0</v>
      </c>
      <c r="O206" s="2206">
        <v>0</v>
      </c>
      <c r="P206" s="2207">
        <v>0</v>
      </c>
      <c r="Q206" s="416">
        <v>0</v>
      </c>
      <c r="R206" s="1578">
        <v>0</v>
      </c>
    </row>
    <row r="207" spans="3:18" x14ac:dyDescent="0.4">
      <c r="C207" s="2204"/>
      <c r="D207" s="2205" t="s">
        <v>7811</v>
      </c>
      <c r="E207" s="2206">
        <v>0</v>
      </c>
      <c r="F207" s="2206">
        <v>0</v>
      </c>
      <c r="G207" s="2206">
        <v>0</v>
      </c>
      <c r="H207" s="2206">
        <v>0</v>
      </c>
      <c r="I207" s="2206">
        <v>0</v>
      </c>
      <c r="J207" s="2206">
        <v>0</v>
      </c>
      <c r="K207" s="2206">
        <v>0</v>
      </c>
      <c r="L207" s="2206">
        <v>0</v>
      </c>
      <c r="M207" s="2206">
        <v>0</v>
      </c>
      <c r="N207" s="2206">
        <v>0</v>
      </c>
      <c r="O207" s="2206">
        <v>0</v>
      </c>
      <c r="P207" s="2207">
        <v>0</v>
      </c>
      <c r="Q207" s="416">
        <v>0</v>
      </c>
      <c r="R207" s="1578">
        <v>0</v>
      </c>
    </row>
    <row r="208" spans="3:18" x14ac:dyDescent="0.4">
      <c r="C208" s="2204"/>
      <c r="D208" s="2205" t="s">
        <v>7812</v>
      </c>
      <c r="E208" s="2206">
        <v>0</v>
      </c>
      <c r="F208" s="2206">
        <v>0</v>
      </c>
      <c r="G208" s="2206">
        <v>0</v>
      </c>
      <c r="H208" s="2206">
        <v>0</v>
      </c>
      <c r="I208" s="2206">
        <v>0</v>
      </c>
      <c r="J208" s="2206">
        <v>0</v>
      </c>
      <c r="K208" s="2206">
        <v>0</v>
      </c>
      <c r="L208" s="2206">
        <v>0</v>
      </c>
      <c r="M208" s="2206">
        <v>0</v>
      </c>
      <c r="N208" s="2206">
        <v>0</v>
      </c>
      <c r="O208" s="2206">
        <v>0</v>
      </c>
      <c r="P208" s="2207">
        <v>0</v>
      </c>
      <c r="Q208" s="416">
        <v>0</v>
      </c>
      <c r="R208" s="2207">
        <v>0</v>
      </c>
    </row>
    <row r="209" spans="3:18" x14ac:dyDescent="0.4">
      <c r="C209" s="2204"/>
      <c r="D209" s="2205" t="s">
        <v>7813</v>
      </c>
      <c r="E209" s="2206">
        <f>+SUM(E206+E207+E208)</f>
        <v>0</v>
      </c>
      <c r="F209" s="2206">
        <f t="shared" ref="F209:Q209" si="66">+SUM(F206+F207+F208)</f>
        <v>0</v>
      </c>
      <c r="G209" s="2206">
        <f t="shared" si="66"/>
        <v>0</v>
      </c>
      <c r="H209" s="2206">
        <f t="shared" si="66"/>
        <v>0</v>
      </c>
      <c r="I209" s="2206">
        <f t="shared" si="66"/>
        <v>0</v>
      </c>
      <c r="J209" s="2206">
        <f t="shared" si="66"/>
        <v>0</v>
      </c>
      <c r="K209" s="2206">
        <f t="shared" si="66"/>
        <v>0</v>
      </c>
      <c r="L209" s="2206">
        <f t="shared" si="66"/>
        <v>0</v>
      </c>
      <c r="M209" s="2206">
        <f t="shared" si="66"/>
        <v>0</v>
      </c>
      <c r="N209" s="2206">
        <f t="shared" si="66"/>
        <v>0</v>
      </c>
      <c r="O209" s="2206">
        <f t="shared" si="66"/>
        <v>0</v>
      </c>
      <c r="P209" s="2207">
        <f t="shared" si="66"/>
        <v>0</v>
      </c>
      <c r="Q209" s="416">
        <f t="shared" si="66"/>
        <v>0</v>
      </c>
      <c r="R209" s="2207">
        <f>+SUM(R206+R207+R208)</f>
        <v>0</v>
      </c>
    </row>
    <row r="210" spans="3:18" x14ac:dyDescent="0.4">
      <c r="C210" s="2204"/>
      <c r="D210" s="2208" t="s">
        <v>7814</v>
      </c>
      <c r="E210" s="2209">
        <f>+E205+E209</f>
        <v>-3.7271938323974609</v>
      </c>
      <c r="F210" s="2209">
        <f t="shared" ref="F210:R210" si="67">+F205+F209</f>
        <v>1.2610702812671661</v>
      </c>
      <c r="G210" s="2209">
        <f t="shared" si="67"/>
        <v>2.6763805747032166</v>
      </c>
      <c r="H210" s="2209">
        <f t="shared" si="67"/>
        <v>7.5325942039489746</v>
      </c>
      <c r="I210" s="2209">
        <f t="shared" si="67"/>
        <v>23.041929841041565</v>
      </c>
      <c r="J210" s="2209">
        <f t="shared" si="67"/>
        <v>-8.7857359051704407</v>
      </c>
      <c r="K210" s="2209">
        <f t="shared" si="67"/>
        <v>3.2912609428167343</v>
      </c>
      <c r="L210" s="2209">
        <f t="shared" si="67"/>
        <v>0</v>
      </c>
      <c r="M210" s="2209">
        <f t="shared" si="67"/>
        <v>0</v>
      </c>
      <c r="N210" s="2209">
        <f t="shared" si="67"/>
        <v>0</v>
      </c>
      <c r="O210" s="2209">
        <f t="shared" si="67"/>
        <v>0</v>
      </c>
      <c r="P210" s="2210">
        <f t="shared" si="67"/>
        <v>0</v>
      </c>
      <c r="Q210" s="2211">
        <f t="shared" si="67"/>
        <v>0</v>
      </c>
      <c r="R210" s="2210">
        <f t="shared" si="67"/>
        <v>0</v>
      </c>
    </row>
    <row r="211" spans="3:18" x14ac:dyDescent="0.4">
      <c r="C211" s="2212" t="s">
        <v>7837</v>
      </c>
      <c r="D211" s="2212" t="s">
        <v>7809</v>
      </c>
      <c r="E211" s="2213">
        <v>0.61714041233062744</v>
      </c>
      <c r="F211" s="2213">
        <v>-3.5775866126641631E-4</v>
      </c>
      <c r="G211" s="2213">
        <v>15.78506276011467</v>
      </c>
      <c r="H211" s="2213">
        <v>1.5886370092630386E-2</v>
      </c>
      <c r="I211" s="2213">
        <v>-6.1544567346572876E-2</v>
      </c>
      <c r="J211" s="2213">
        <v>1.3229872100055218E-2</v>
      </c>
      <c r="K211" s="2213">
        <v>-0.91953819990158081</v>
      </c>
      <c r="L211" s="2213">
        <v>16.298100000000002</v>
      </c>
      <c r="M211" s="2213">
        <v>0</v>
      </c>
      <c r="N211" s="2213">
        <v>0</v>
      </c>
      <c r="O211" s="2214">
        <v>0</v>
      </c>
      <c r="P211" s="2215">
        <v>0</v>
      </c>
      <c r="Q211" s="2216">
        <v>14.4</v>
      </c>
      <c r="R211" s="2215">
        <v>6.1209084902545055</v>
      </c>
    </row>
    <row r="212" spans="3:18" x14ac:dyDescent="0.4">
      <c r="C212" s="2212"/>
      <c r="D212" s="2212" t="s">
        <v>7810</v>
      </c>
      <c r="E212" s="2213">
        <v>0</v>
      </c>
      <c r="F212" s="2213">
        <v>0</v>
      </c>
      <c r="G212" s="2213">
        <v>0</v>
      </c>
      <c r="H212" s="2213">
        <v>0.5</v>
      </c>
      <c r="I212" s="2213">
        <v>2</v>
      </c>
      <c r="J212" s="2213">
        <v>3.8</v>
      </c>
      <c r="K212" s="2213">
        <v>1.7</v>
      </c>
      <c r="L212" s="2213">
        <v>1.3</v>
      </c>
      <c r="M212" s="2213">
        <v>0.5</v>
      </c>
      <c r="N212" s="2213">
        <v>0.5</v>
      </c>
      <c r="O212" s="2213">
        <v>0</v>
      </c>
      <c r="P212" s="2215">
        <v>0</v>
      </c>
      <c r="Q212" s="2213">
        <v>0</v>
      </c>
      <c r="R212" s="2216">
        <v>0</v>
      </c>
    </row>
    <row r="213" spans="3:18" x14ac:dyDescent="0.4">
      <c r="C213" s="2212"/>
      <c r="D213" s="2212" t="s">
        <v>7811</v>
      </c>
      <c r="E213" s="2213">
        <v>0</v>
      </c>
      <c r="F213" s="2213">
        <v>0</v>
      </c>
      <c r="G213" s="2213">
        <v>0</v>
      </c>
      <c r="H213" s="2213">
        <v>1.1000000000000001</v>
      </c>
      <c r="I213" s="2213">
        <v>0</v>
      </c>
      <c r="J213" s="2213">
        <v>0</v>
      </c>
      <c r="K213" s="2213">
        <v>0</v>
      </c>
      <c r="L213" s="2213">
        <v>0.1</v>
      </c>
      <c r="M213" s="2213">
        <v>0</v>
      </c>
      <c r="N213" s="2213">
        <v>4.5</v>
      </c>
      <c r="O213" s="2213">
        <v>0.81</v>
      </c>
      <c r="P213" s="2215">
        <v>17.309999999999999</v>
      </c>
      <c r="Q213" s="2213">
        <v>2.44</v>
      </c>
      <c r="R213" s="2216">
        <v>1</v>
      </c>
    </row>
    <row r="214" spans="3:18" x14ac:dyDescent="0.4">
      <c r="C214" s="2212"/>
      <c r="D214" s="2212" t="s">
        <v>7812</v>
      </c>
      <c r="E214" s="2213">
        <v>0</v>
      </c>
      <c r="F214" s="2213">
        <v>0</v>
      </c>
      <c r="G214" s="2213">
        <v>0</v>
      </c>
      <c r="H214" s="2213">
        <v>50</v>
      </c>
      <c r="I214" s="2213">
        <v>0</v>
      </c>
      <c r="J214" s="2213">
        <v>0</v>
      </c>
      <c r="K214" s="2213">
        <v>0</v>
      </c>
      <c r="L214" s="2213">
        <v>0</v>
      </c>
      <c r="M214" s="2213">
        <v>0</v>
      </c>
      <c r="N214" s="2213">
        <v>0</v>
      </c>
      <c r="O214" s="2213">
        <v>0</v>
      </c>
      <c r="P214" s="2215">
        <v>0</v>
      </c>
      <c r="Q214" s="2213">
        <v>50</v>
      </c>
      <c r="R214" s="2215">
        <v>0</v>
      </c>
    </row>
    <row r="215" spans="3:18" x14ac:dyDescent="0.4">
      <c r="C215" s="2212"/>
      <c r="D215" s="2212" t="s">
        <v>7813</v>
      </c>
      <c r="E215" s="2213">
        <f>+SUM(E212+E213+E214)</f>
        <v>0</v>
      </c>
      <c r="F215" s="2213">
        <f t="shared" ref="F215:Q215" si="68">+SUM(F212+F213+F214)</f>
        <v>0</v>
      </c>
      <c r="G215" s="2213">
        <f t="shared" si="68"/>
        <v>0</v>
      </c>
      <c r="H215" s="2213">
        <f t="shared" si="68"/>
        <v>51.6</v>
      </c>
      <c r="I215" s="2213">
        <f t="shared" si="68"/>
        <v>2</v>
      </c>
      <c r="J215" s="2213">
        <f t="shared" si="68"/>
        <v>3.8</v>
      </c>
      <c r="K215" s="2213">
        <f t="shared" si="68"/>
        <v>1.7</v>
      </c>
      <c r="L215" s="2213">
        <f t="shared" si="68"/>
        <v>1.4000000000000001</v>
      </c>
      <c r="M215" s="2213">
        <f t="shared" si="68"/>
        <v>0.5</v>
      </c>
      <c r="N215" s="2213">
        <f t="shared" si="68"/>
        <v>5</v>
      </c>
      <c r="O215" s="2213">
        <f t="shared" si="68"/>
        <v>0.81</v>
      </c>
      <c r="P215" s="2215">
        <f t="shared" si="68"/>
        <v>17.309999999999999</v>
      </c>
      <c r="Q215" s="2213">
        <f t="shared" si="68"/>
        <v>52.44</v>
      </c>
      <c r="R215" s="2215">
        <f>+SUM(R212+R213+R214)</f>
        <v>1</v>
      </c>
    </row>
    <row r="216" spans="3:18" x14ac:dyDescent="0.4">
      <c r="C216" s="2212"/>
      <c r="D216" s="2217" t="s">
        <v>7814</v>
      </c>
      <c r="E216" s="2218">
        <f>+E211+E215</f>
        <v>0.61714041233062744</v>
      </c>
      <c r="F216" s="2218">
        <f t="shared" ref="F216:R216" si="69">+F211+F215</f>
        <v>-3.5775866126641631E-4</v>
      </c>
      <c r="G216" s="2218">
        <f t="shared" si="69"/>
        <v>15.78506276011467</v>
      </c>
      <c r="H216" s="2218">
        <f t="shared" si="69"/>
        <v>51.615886370092632</v>
      </c>
      <c r="I216" s="2218">
        <f t="shared" si="69"/>
        <v>1.9384554326534271</v>
      </c>
      <c r="J216" s="2218">
        <f t="shared" si="69"/>
        <v>3.813229872100055</v>
      </c>
      <c r="K216" s="2218">
        <f t="shared" si="69"/>
        <v>0.78046180009841915</v>
      </c>
      <c r="L216" s="2218">
        <f t="shared" si="69"/>
        <v>17.6981</v>
      </c>
      <c r="M216" s="2218">
        <f t="shared" si="69"/>
        <v>0.5</v>
      </c>
      <c r="N216" s="2218">
        <f t="shared" si="69"/>
        <v>5</v>
      </c>
      <c r="O216" s="2218">
        <f t="shared" si="69"/>
        <v>0.81</v>
      </c>
      <c r="P216" s="2219">
        <f t="shared" si="69"/>
        <v>17.309999999999999</v>
      </c>
      <c r="Q216" s="2218">
        <f t="shared" si="69"/>
        <v>66.84</v>
      </c>
      <c r="R216" s="2218">
        <f t="shared" si="69"/>
        <v>7.1209084902545055</v>
      </c>
    </row>
    <row r="217" spans="3:18" x14ac:dyDescent="0.4">
      <c r="C217" s="2204" t="s">
        <v>7838</v>
      </c>
      <c r="D217" s="2205" t="s">
        <v>7809</v>
      </c>
      <c r="E217" s="2206">
        <v>8.7450309365522116E-5</v>
      </c>
      <c r="F217" s="2206">
        <v>-2.3473720997571945E-2</v>
      </c>
      <c r="G217" s="2206">
        <v>0.2768169641494751</v>
      </c>
      <c r="H217" s="2206">
        <v>2.8804895877838135</v>
      </c>
      <c r="I217" s="2206">
        <v>28.558190405368805</v>
      </c>
      <c r="J217" s="2206">
        <v>4.0870461463928223</v>
      </c>
      <c r="K217" s="2206">
        <v>0.89448904991149902</v>
      </c>
      <c r="L217" s="2206">
        <v>0</v>
      </c>
      <c r="M217" s="2206">
        <v>1.51423550792703</v>
      </c>
      <c r="N217" s="2206">
        <v>2.05157555091361</v>
      </c>
      <c r="O217" s="1758">
        <v>-3.3527356230132601</v>
      </c>
      <c r="P217" s="2207">
        <v>2.5062595547674298</v>
      </c>
      <c r="Q217" s="536"/>
      <c r="R217" s="2207">
        <v>0</v>
      </c>
    </row>
    <row r="218" spans="3:18" x14ac:dyDescent="0.4">
      <c r="C218" s="2204"/>
      <c r="D218" s="2205" t="s">
        <v>7810</v>
      </c>
      <c r="E218" s="2206">
        <v>0</v>
      </c>
      <c r="F218" s="2206">
        <v>0</v>
      </c>
      <c r="G218" s="2206">
        <v>0</v>
      </c>
      <c r="H218" s="2206">
        <v>0</v>
      </c>
      <c r="I218" s="2206">
        <v>0</v>
      </c>
      <c r="J218" s="2206">
        <v>0</v>
      </c>
      <c r="K218" s="2206">
        <v>0</v>
      </c>
      <c r="L218" s="2206">
        <v>0</v>
      </c>
      <c r="M218" s="2206">
        <v>0.1</v>
      </c>
      <c r="N218" s="2206">
        <v>0</v>
      </c>
      <c r="O218" s="2206">
        <v>0</v>
      </c>
      <c r="P218" s="2207">
        <v>0</v>
      </c>
      <c r="Q218" s="416">
        <v>0</v>
      </c>
      <c r="R218" s="1578">
        <v>0</v>
      </c>
    </row>
    <row r="219" spans="3:18" x14ac:dyDescent="0.4">
      <c r="C219" s="2204"/>
      <c r="D219" s="2205" t="s">
        <v>7811</v>
      </c>
      <c r="E219" s="2206">
        <v>0</v>
      </c>
      <c r="F219" s="2206">
        <v>0</v>
      </c>
      <c r="G219" s="2206">
        <v>0</v>
      </c>
      <c r="H219" s="2206">
        <v>0</v>
      </c>
      <c r="I219" s="2206">
        <v>0</v>
      </c>
      <c r="J219" s="2206">
        <v>0</v>
      </c>
      <c r="K219" s="2206">
        <v>0</v>
      </c>
      <c r="L219" s="2206">
        <v>0</v>
      </c>
      <c r="M219" s="2206">
        <v>0</v>
      </c>
      <c r="N219" s="2206">
        <v>0</v>
      </c>
      <c r="O219" s="2206">
        <v>0</v>
      </c>
      <c r="P219" s="2207">
        <v>0</v>
      </c>
      <c r="Q219" s="416">
        <v>0</v>
      </c>
      <c r="R219" s="1578">
        <v>0</v>
      </c>
    </row>
    <row r="220" spans="3:18" x14ac:dyDescent="0.4">
      <c r="C220" s="2204"/>
      <c r="D220" s="2205" t="s">
        <v>7812</v>
      </c>
      <c r="E220" s="2206">
        <v>0</v>
      </c>
      <c r="F220" s="2206">
        <v>0</v>
      </c>
      <c r="G220" s="2206">
        <v>0</v>
      </c>
      <c r="H220" s="2206">
        <v>0</v>
      </c>
      <c r="I220" s="2206">
        <v>0</v>
      </c>
      <c r="J220" s="2206">
        <v>0</v>
      </c>
      <c r="K220" s="2206">
        <v>0</v>
      </c>
      <c r="L220" s="2206">
        <v>0</v>
      </c>
      <c r="M220" s="2206">
        <v>0</v>
      </c>
      <c r="N220" s="2206">
        <v>0</v>
      </c>
      <c r="O220" s="2206">
        <v>0</v>
      </c>
      <c r="P220" s="2207">
        <v>0</v>
      </c>
      <c r="Q220" s="416">
        <v>0</v>
      </c>
      <c r="R220" s="2207">
        <v>0</v>
      </c>
    </row>
    <row r="221" spans="3:18" x14ac:dyDescent="0.4">
      <c r="C221" s="2204"/>
      <c r="D221" s="2205" t="s">
        <v>7813</v>
      </c>
      <c r="E221" s="2206">
        <f>+SUM(E218+E219+E220)</f>
        <v>0</v>
      </c>
      <c r="F221" s="2206">
        <f t="shared" ref="F221:Q221" si="70">+SUM(F218+F219+F220)</f>
        <v>0</v>
      </c>
      <c r="G221" s="2206">
        <f t="shared" si="70"/>
        <v>0</v>
      </c>
      <c r="H221" s="2206">
        <f t="shared" si="70"/>
        <v>0</v>
      </c>
      <c r="I221" s="2206">
        <f t="shared" si="70"/>
        <v>0</v>
      </c>
      <c r="J221" s="2206">
        <f t="shared" si="70"/>
        <v>0</v>
      </c>
      <c r="K221" s="2206">
        <f t="shared" si="70"/>
        <v>0</v>
      </c>
      <c r="L221" s="2206">
        <f t="shared" si="70"/>
        <v>0</v>
      </c>
      <c r="M221" s="2206">
        <f t="shared" si="70"/>
        <v>0.1</v>
      </c>
      <c r="N221" s="2206">
        <f t="shared" si="70"/>
        <v>0</v>
      </c>
      <c r="O221" s="2206">
        <f t="shared" si="70"/>
        <v>0</v>
      </c>
      <c r="P221" s="2207">
        <f t="shared" si="70"/>
        <v>0</v>
      </c>
      <c r="Q221" s="416">
        <f t="shared" si="70"/>
        <v>0</v>
      </c>
      <c r="R221" s="2207">
        <f>+SUM(R218+R219+R220)</f>
        <v>0</v>
      </c>
    </row>
    <row r="222" spans="3:18" x14ac:dyDescent="0.4">
      <c r="C222" s="2204"/>
      <c r="D222" s="2208" t="s">
        <v>7814</v>
      </c>
      <c r="E222" s="2209">
        <f>+E217+E221</f>
        <v>8.7450309365522116E-5</v>
      </c>
      <c r="F222" s="2209">
        <f t="shared" ref="F222:R222" si="71">+F217+F221</f>
        <v>-2.3473720997571945E-2</v>
      </c>
      <c r="G222" s="2209">
        <f t="shared" si="71"/>
        <v>0.2768169641494751</v>
      </c>
      <c r="H222" s="2209">
        <f t="shared" si="71"/>
        <v>2.8804895877838135</v>
      </c>
      <c r="I222" s="2209">
        <f t="shared" si="71"/>
        <v>28.558190405368805</v>
      </c>
      <c r="J222" s="2209">
        <f t="shared" si="71"/>
        <v>4.0870461463928223</v>
      </c>
      <c r="K222" s="2209">
        <f t="shared" si="71"/>
        <v>0.89448904991149902</v>
      </c>
      <c r="L222" s="2209">
        <f t="shared" si="71"/>
        <v>0</v>
      </c>
      <c r="M222" s="2209">
        <f t="shared" si="71"/>
        <v>1.6142355079270301</v>
      </c>
      <c r="N222" s="2209">
        <f t="shared" si="71"/>
        <v>2.05157555091361</v>
      </c>
      <c r="O222" s="2209">
        <f t="shared" si="71"/>
        <v>-3.3527356230132601</v>
      </c>
      <c r="P222" s="2210">
        <f t="shared" si="71"/>
        <v>2.5062595547674298</v>
      </c>
      <c r="Q222" s="2211">
        <f t="shared" si="71"/>
        <v>0</v>
      </c>
      <c r="R222" s="2210">
        <f t="shared" si="71"/>
        <v>0</v>
      </c>
    </row>
    <row r="223" spans="3:18" x14ac:dyDescent="0.4">
      <c r="C223" s="2212" t="s">
        <v>7839</v>
      </c>
      <c r="D223" s="2212" t="s">
        <v>7809</v>
      </c>
      <c r="E223" s="2213">
        <v>0.7859741598367691</v>
      </c>
      <c r="F223" s="2213">
        <v>-1.1408389210700989</v>
      </c>
      <c r="G223" s="2213">
        <v>-10.163014590740204</v>
      </c>
      <c r="H223" s="2213">
        <v>9.1672534942626953</v>
      </c>
      <c r="I223" s="2213">
        <v>0.90746322274208069</v>
      </c>
      <c r="J223" s="2213">
        <v>-1.7466144859790802</v>
      </c>
      <c r="K223" s="2213">
        <v>-2.577942926203832</v>
      </c>
      <c r="L223" s="2213">
        <v>-7.7863999999999995</v>
      </c>
      <c r="M223" s="2213">
        <v>0</v>
      </c>
      <c r="N223" s="2213">
        <v>0</v>
      </c>
      <c r="O223" s="2214">
        <v>0</v>
      </c>
      <c r="P223" s="2215">
        <v>0</v>
      </c>
      <c r="Q223" s="2216">
        <v>0.9</v>
      </c>
      <c r="R223" s="2215">
        <v>0.79084813892017836</v>
      </c>
    </row>
    <row r="224" spans="3:18" x14ac:dyDescent="0.4">
      <c r="C224" s="2212"/>
      <c r="D224" s="2212" t="s">
        <v>7810</v>
      </c>
      <c r="E224" s="2213">
        <v>6.2</v>
      </c>
      <c r="F224" s="2213">
        <v>5.2</v>
      </c>
      <c r="G224" s="2213">
        <v>0</v>
      </c>
      <c r="H224" s="2213">
        <v>0</v>
      </c>
      <c r="I224" s="2213">
        <v>6.6</v>
      </c>
      <c r="J224" s="2213">
        <v>0</v>
      </c>
      <c r="K224" s="2213">
        <v>0.3</v>
      </c>
      <c r="L224" s="2213">
        <v>0.3</v>
      </c>
      <c r="M224" s="2213">
        <v>0.4</v>
      </c>
      <c r="N224" s="2213">
        <v>0</v>
      </c>
      <c r="O224" s="2213">
        <v>0</v>
      </c>
      <c r="P224" s="2215">
        <v>2.15</v>
      </c>
      <c r="Q224" s="2213">
        <v>0</v>
      </c>
      <c r="R224" s="2216">
        <v>0</v>
      </c>
    </row>
    <row r="225" spans="3:18" x14ac:dyDescent="0.4">
      <c r="C225" s="2212"/>
      <c r="D225" s="2212" t="s">
        <v>7811</v>
      </c>
      <c r="E225" s="2213">
        <v>19.899999999999999</v>
      </c>
      <c r="F225" s="2213">
        <v>1.3</v>
      </c>
      <c r="G225" s="2213">
        <v>0</v>
      </c>
      <c r="H225" s="2213">
        <v>0</v>
      </c>
      <c r="I225" s="2213">
        <v>1</v>
      </c>
      <c r="J225" s="2213">
        <v>0</v>
      </c>
      <c r="K225" s="2213">
        <v>0</v>
      </c>
      <c r="L225" s="2213">
        <v>0</v>
      </c>
      <c r="M225" s="2213">
        <v>9</v>
      </c>
      <c r="N225" s="2213">
        <v>0.1</v>
      </c>
      <c r="O225" s="2213">
        <v>0.23</v>
      </c>
      <c r="P225" s="2215">
        <v>4.03</v>
      </c>
      <c r="Q225" s="2213">
        <v>0.2</v>
      </c>
      <c r="R225" s="2216">
        <v>0.64</v>
      </c>
    </row>
    <row r="226" spans="3:18" x14ac:dyDescent="0.4">
      <c r="C226" s="2212"/>
      <c r="D226" s="2212" t="s">
        <v>7812</v>
      </c>
      <c r="E226" s="2213">
        <v>0</v>
      </c>
      <c r="F226" s="2213">
        <v>0</v>
      </c>
      <c r="G226" s="2213">
        <v>0</v>
      </c>
      <c r="H226" s="2213">
        <v>560</v>
      </c>
      <c r="I226" s="2213">
        <v>164</v>
      </c>
      <c r="J226" s="2213">
        <v>421.4</v>
      </c>
      <c r="K226" s="2213">
        <v>0</v>
      </c>
      <c r="L226" s="2213">
        <v>8.6</v>
      </c>
      <c r="M226" s="2213">
        <v>0</v>
      </c>
      <c r="N226" s="2213">
        <v>0</v>
      </c>
      <c r="O226" s="2213">
        <v>0</v>
      </c>
      <c r="P226" s="2215">
        <v>0</v>
      </c>
      <c r="Q226" s="2213">
        <v>0</v>
      </c>
      <c r="R226" s="2215">
        <v>15</v>
      </c>
    </row>
    <row r="227" spans="3:18" x14ac:dyDescent="0.4">
      <c r="C227" s="2212"/>
      <c r="D227" s="2212" t="s">
        <v>7813</v>
      </c>
      <c r="E227" s="2213">
        <f>+SUM(E224+E225+E226)</f>
        <v>26.099999999999998</v>
      </c>
      <c r="F227" s="2213">
        <f t="shared" ref="F227:Q227" si="72">+SUM(F224+F225+F226)</f>
        <v>6.5</v>
      </c>
      <c r="G227" s="2213">
        <f t="shared" si="72"/>
        <v>0</v>
      </c>
      <c r="H227" s="2213">
        <f t="shared" si="72"/>
        <v>560</v>
      </c>
      <c r="I227" s="2213">
        <f t="shared" si="72"/>
        <v>171.6</v>
      </c>
      <c r="J227" s="2213">
        <f t="shared" si="72"/>
        <v>421.4</v>
      </c>
      <c r="K227" s="2213">
        <f t="shared" si="72"/>
        <v>0.3</v>
      </c>
      <c r="L227" s="2213">
        <f t="shared" si="72"/>
        <v>8.9</v>
      </c>
      <c r="M227" s="2213">
        <f t="shared" si="72"/>
        <v>9.4</v>
      </c>
      <c r="N227" s="2213">
        <f t="shared" si="72"/>
        <v>0.1</v>
      </c>
      <c r="O227" s="2213">
        <f t="shared" si="72"/>
        <v>0.23</v>
      </c>
      <c r="P227" s="2215">
        <f t="shared" si="72"/>
        <v>6.18</v>
      </c>
      <c r="Q227" s="2213">
        <f t="shared" si="72"/>
        <v>0.2</v>
      </c>
      <c r="R227" s="2215">
        <f>+SUM(R224+R225+R226)</f>
        <v>15.64</v>
      </c>
    </row>
    <row r="228" spans="3:18" x14ac:dyDescent="0.4">
      <c r="C228" s="2212"/>
      <c r="D228" s="2217" t="s">
        <v>7814</v>
      </c>
      <c r="E228" s="2218">
        <f>+E223+E227</f>
        <v>26.885974159836767</v>
      </c>
      <c r="F228" s="2218">
        <f t="shared" ref="F228:Q228" si="73">+F223+F227</f>
        <v>5.3591610789299011</v>
      </c>
      <c r="G228" s="2218">
        <f t="shared" si="73"/>
        <v>-10.163014590740204</v>
      </c>
      <c r="H228" s="2218">
        <f t="shared" si="73"/>
        <v>569.1672534942627</v>
      </c>
      <c r="I228" s="2218">
        <f t="shared" si="73"/>
        <v>172.50746322274208</v>
      </c>
      <c r="J228" s="2218">
        <f t="shared" si="73"/>
        <v>419.6533855140209</v>
      </c>
      <c r="K228" s="2218">
        <f t="shared" si="73"/>
        <v>-2.2779429262038322</v>
      </c>
      <c r="L228" s="2218">
        <f t="shared" si="73"/>
        <v>1.1136000000000008</v>
      </c>
      <c r="M228" s="2218">
        <f t="shared" si="73"/>
        <v>9.4</v>
      </c>
      <c r="N228" s="2218">
        <f t="shared" si="73"/>
        <v>0.1</v>
      </c>
      <c r="O228" s="2218">
        <f t="shared" si="73"/>
        <v>0.23</v>
      </c>
      <c r="P228" s="2219">
        <f t="shared" si="73"/>
        <v>6.18</v>
      </c>
      <c r="Q228" s="2218">
        <f t="shared" si="73"/>
        <v>1.1000000000000001</v>
      </c>
      <c r="R228" s="2218">
        <f>+R223+R227</f>
        <v>16.430848138920179</v>
      </c>
    </row>
    <row r="229" spans="3:18" x14ac:dyDescent="0.4">
      <c r="C229" s="2204" t="s">
        <v>7840</v>
      </c>
      <c r="D229" s="2205" t="s">
        <v>7809</v>
      </c>
      <c r="E229" s="2206">
        <v>0.788040860905312</v>
      </c>
      <c r="F229" s="2206">
        <v>0.95324883610010147</v>
      </c>
      <c r="G229" s="2206">
        <v>4.6793085411190987</v>
      </c>
      <c r="H229" s="2206">
        <v>7.1336584687232971</v>
      </c>
      <c r="I229" s="2206">
        <v>11.001918792724609</v>
      </c>
      <c r="J229" s="2206">
        <v>1.9480770528316498</v>
      </c>
      <c r="K229" s="2206">
        <v>0.54955124808475375</v>
      </c>
      <c r="L229" s="2206">
        <v>0.99939999999999996</v>
      </c>
      <c r="M229" s="2206">
        <v>2.68551582832887</v>
      </c>
      <c r="N229" s="2206">
        <v>0.94579866107212496</v>
      </c>
      <c r="O229" s="1758">
        <v>1.3438150642419999</v>
      </c>
      <c r="P229" s="2207">
        <v>0.98596575576516199</v>
      </c>
      <c r="Q229" s="536">
        <v>2.4</v>
      </c>
      <c r="R229" s="2207">
        <v>3.6294499228264829</v>
      </c>
    </row>
    <row r="230" spans="3:18" x14ac:dyDescent="0.4">
      <c r="C230" s="2204"/>
      <c r="D230" s="2205" t="s">
        <v>7810</v>
      </c>
      <c r="E230" s="2206">
        <v>0</v>
      </c>
      <c r="F230" s="2206">
        <v>0</v>
      </c>
      <c r="G230" s="2206">
        <v>0.7</v>
      </c>
      <c r="H230" s="2206">
        <v>8</v>
      </c>
      <c r="I230" s="2206">
        <v>0</v>
      </c>
      <c r="J230" s="2206">
        <v>0</v>
      </c>
      <c r="K230" s="2206">
        <v>0</v>
      </c>
      <c r="L230" s="2206">
        <v>0</v>
      </c>
      <c r="M230" s="2206">
        <v>0</v>
      </c>
      <c r="N230" s="2206">
        <v>0</v>
      </c>
      <c r="O230" s="2206">
        <v>0</v>
      </c>
      <c r="P230" s="2207">
        <v>0</v>
      </c>
      <c r="Q230" s="416">
        <v>0</v>
      </c>
      <c r="R230" s="1578">
        <v>0</v>
      </c>
    </row>
    <row r="231" spans="3:18" x14ac:dyDescent="0.4">
      <c r="C231" s="2204"/>
      <c r="D231" s="2205" t="s">
        <v>7811</v>
      </c>
      <c r="E231" s="2206">
        <v>0</v>
      </c>
      <c r="F231" s="2206">
        <v>0</v>
      </c>
      <c r="G231" s="2206">
        <v>18.3</v>
      </c>
      <c r="H231" s="2206">
        <v>16.2</v>
      </c>
      <c r="I231" s="2206">
        <v>0</v>
      </c>
      <c r="J231" s="2206">
        <v>42</v>
      </c>
      <c r="K231" s="2206">
        <v>0</v>
      </c>
      <c r="L231" s="2206">
        <v>0.5</v>
      </c>
      <c r="M231" s="2206">
        <v>19.899999999999999</v>
      </c>
      <c r="N231" s="2206">
        <v>11</v>
      </c>
      <c r="O231" s="2206">
        <v>4.12</v>
      </c>
      <c r="P231" s="2207">
        <v>4.7</v>
      </c>
      <c r="Q231" s="416">
        <v>1.9</v>
      </c>
      <c r="R231" s="1578">
        <v>3.45</v>
      </c>
    </row>
    <row r="232" spans="3:18" x14ac:dyDescent="0.4">
      <c r="C232" s="2204"/>
      <c r="D232" s="2205" t="s">
        <v>7812</v>
      </c>
      <c r="E232" s="2206">
        <v>0</v>
      </c>
      <c r="F232" s="2206">
        <v>0</v>
      </c>
      <c r="G232" s="2206">
        <v>0</v>
      </c>
      <c r="H232" s="2206">
        <v>502</v>
      </c>
      <c r="I232" s="2206">
        <v>0</v>
      </c>
      <c r="J232" s="2206">
        <v>0</v>
      </c>
      <c r="K232" s="2206">
        <v>0</v>
      </c>
      <c r="L232" s="2206">
        <v>0</v>
      </c>
      <c r="M232" s="2206">
        <v>0</v>
      </c>
      <c r="N232" s="2206">
        <v>0</v>
      </c>
      <c r="O232" s="2206">
        <v>0</v>
      </c>
      <c r="P232" s="2207">
        <v>0</v>
      </c>
      <c r="Q232" s="416">
        <v>0</v>
      </c>
      <c r="R232" s="2207">
        <v>0</v>
      </c>
    </row>
    <row r="233" spans="3:18" x14ac:dyDescent="0.4">
      <c r="C233" s="2204"/>
      <c r="D233" s="2205" t="s">
        <v>7813</v>
      </c>
      <c r="E233" s="2206">
        <f>+SUM(E230+E231+E232)</f>
        <v>0</v>
      </c>
      <c r="F233" s="2206">
        <f t="shared" ref="F233:Q233" si="74">+SUM(F230+F231+F232)</f>
        <v>0</v>
      </c>
      <c r="G233" s="2206">
        <f t="shared" si="74"/>
        <v>19</v>
      </c>
      <c r="H233" s="2206">
        <f t="shared" si="74"/>
        <v>526.20000000000005</v>
      </c>
      <c r="I233" s="2206">
        <f t="shared" si="74"/>
        <v>0</v>
      </c>
      <c r="J233" s="2206">
        <f t="shared" si="74"/>
        <v>42</v>
      </c>
      <c r="K233" s="2206">
        <f t="shared" si="74"/>
        <v>0</v>
      </c>
      <c r="L233" s="2206">
        <f t="shared" si="74"/>
        <v>0.5</v>
      </c>
      <c r="M233" s="2206">
        <f t="shared" si="74"/>
        <v>19.899999999999999</v>
      </c>
      <c r="N233" s="2206">
        <f t="shared" si="74"/>
        <v>11</v>
      </c>
      <c r="O233" s="2206">
        <f t="shared" si="74"/>
        <v>4.12</v>
      </c>
      <c r="P233" s="2207">
        <f t="shared" si="74"/>
        <v>4.7</v>
      </c>
      <c r="Q233" s="416">
        <f t="shared" si="74"/>
        <v>1.9</v>
      </c>
      <c r="R233" s="2207">
        <f>+SUM(R230+R231+R232)</f>
        <v>3.45</v>
      </c>
    </row>
    <row r="234" spans="3:18" x14ac:dyDescent="0.4">
      <c r="C234" s="2204"/>
      <c r="D234" s="2208" t="s">
        <v>7814</v>
      </c>
      <c r="E234" s="2209">
        <f>+E229+E233</f>
        <v>0.788040860905312</v>
      </c>
      <c r="F234" s="2209">
        <f t="shared" ref="F234:R234" si="75">+F229+F233</f>
        <v>0.95324883610010147</v>
      </c>
      <c r="G234" s="2209">
        <f t="shared" si="75"/>
        <v>23.679308541119099</v>
      </c>
      <c r="H234" s="2209">
        <f t="shared" si="75"/>
        <v>533.33365846872334</v>
      </c>
      <c r="I234" s="2209">
        <f t="shared" si="75"/>
        <v>11.001918792724609</v>
      </c>
      <c r="J234" s="2209">
        <f t="shared" si="75"/>
        <v>43.94807705283165</v>
      </c>
      <c r="K234" s="2209">
        <f t="shared" si="75"/>
        <v>0.54955124808475375</v>
      </c>
      <c r="L234" s="2209">
        <f t="shared" si="75"/>
        <v>1.4994000000000001</v>
      </c>
      <c r="M234" s="2209">
        <f t="shared" si="75"/>
        <v>22.58551582832887</v>
      </c>
      <c r="N234" s="2209">
        <f t="shared" si="75"/>
        <v>11.945798661072125</v>
      </c>
      <c r="O234" s="2209">
        <f t="shared" si="75"/>
        <v>5.4638150642420005</v>
      </c>
      <c r="P234" s="2210">
        <f t="shared" si="75"/>
        <v>5.6859657557651619</v>
      </c>
      <c r="Q234" s="2211">
        <f t="shared" si="75"/>
        <v>4.3</v>
      </c>
      <c r="R234" s="2210">
        <f t="shared" si="75"/>
        <v>7.0794499228264831</v>
      </c>
    </row>
    <row r="235" spans="3:18" x14ac:dyDescent="0.4">
      <c r="C235" s="2212" t="s">
        <v>7841</v>
      </c>
      <c r="D235" s="2212" t="s">
        <v>7809</v>
      </c>
      <c r="E235" s="2213">
        <v>0</v>
      </c>
      <c r="F235" s="2213">
        <v>0</v>
      </c>
      <c r="G235" s="2213">
        <v>0</v>
      </c>
      <c r="H235" s="2213">
        <v>0</v>
      </c>
      <c r="I235" s="2213">
        <v>0</v>
      </c>
      <c r="J235" s="2213">
        <v>0</v>
      </c>
      <c r="K235" s="2213">
        <v>0</v>
      </c>
      <c r="L235" s="2213">
        <v>0</v>
      </c>
      <c r="M235" s="2213">
        <v>0</v>
      </c>
      <c r="N235" s="2213">
        <v>0</v>
      </c>
      <c r="O235" s="2214">
        <v>0</v>
      </c>
      <c r="P235" s="2215">
        <v>0</v>
      </c>
      <c r="Q235" s="2216"/>
      <c r="R235" s="2215">
        <v>0</v>
      </c>
    </row>
    <row r="236" spans="3:18" x14ac:dyDescent="0.4">
      <c r="C236" s="2212"/>
      <c r="D236" s="2212" t="s">
        <v>7810</v>
      </c>
      <c r="E236" s="2213">
        <v>0</v>
      </c>
      <c r="F236" s="2213">
        <v>0</v>
      </c>
      <c r="G236" s="2213">
        <v>0</v>
      </c>
      <c r="H236" s="2213">
        <v>0</v>
      </c>
      <c r="I236" s="2213">
        <v>0</v>
      </c>
      <c r="J236" s="2213">
        <v>0</v>
      </c>
      <c r="K236" s="2213">
        <v>0</v>
      </c>
      <c r="L236" s="2213">
        <v>0</v>
      </c>
      <c r="M236" s="2213">
        <v>0</v>
      </c>
      <c r="N236" s="2213">
        <v>0</v>
      </c>
      <c r="O236" s="2213">
        <v>0</v>
      </c>
      <c r="P236" s="2215">
        <v>0</v>
      </c>
      <c r="Q236" s="2213">
        <v>0</v>
      </c>
      <c r="R236" s="2216">
        <v>0</v>
      </c>
    </row>
    <row r="237" spans="3:18" x14ac:dyDescent="0.4">
      <c r="C237" s="2212"/>
      <c r="D237" s="2212" t="s">
        <v>7811</v>
      </c>
      <c r="E237" s="2213">
        <v>0</v>
      </c>
      <c r="F237" s="2213">
        <v>0</v>
      </c>
      <c r="G237" s="2213">
        <v>0</v>
      </c>
      <c r="H237" s="2213">
        <v>0</v>
      </c>
      <c r="I237" s="2213">
        <v>0</v>
      </c>
      <c r="J237" s="2213">
        <v>0</v>
      </c>
      <c r="K237" s="2213">
        <v>0</v>
      </c>
      <c r="L237" s="2213">
        <v>10</v>
      </c>
      <c r="M237" s="2213">
        <v>0</v>
      </c>
      <c r="N237" s="2213">
        <v>0</v>
      </c>
      <c r="O237" s="2213">
        <v>3</v>
      </c>
      <c r="P237" s="2215">
        <v>2</v>
      </c>
      <c r="Q237" s="2213">
        <v>0</v>
      </c>
      <c r="R237" s="2216">
        <v>0.13</v>
      </c>
    </row>
    <row r="238" spans="3:18" x14ac:dyDescent="0.4">
      <c r="C238" s="2212"/>
      <c r="D238" s="2212" t="s">
        <v>7812</v>
      </c>
      <c r="E238" s="2213">
        <v>0</v>
      </c>
      <c r="F238" s="2213">
        <v>0</v>
      </c>
      <c r="G238" s="2213">
        <v>0</v>
      </c>
      <c r="H238" s="2213">
        <v>0</v>
      </c>
      <c r="I238" s="2213">
        <v>0</v>
      </c>
      <c r="J238" s="2213">
        <v>0</v>
      </c>
      <c r="K238" s="2213">
        <v>0</v>
      </c>
      <c r="L238" s="2213">
        <v>0</v>
      </c>
      <c r="M238" s="2213">
        <v>0</v>
      </c>
      <c r="N238" s="2213">
        <v>0</v>
      </c>
      <c r="O238" s="2213">
        <v>0</v>
      </c>
      <c r="P238" s="2215">
        <v>0</v>
      </c>
      <c r="Q238" s="2213">
        <v>0</v>
      </c>
      <c r="R238" s="2215">
        <v>0</v>
      </c>
    </row>
    <row r="239" spans="3:18" x14ac:dyDescent="0.4">
      <c r="C239" s="2212"/>
      <c r="D239" s="2212" t="s">
        <v>7813</v>
      </c>
      <c r="E239" s="2213">
        <f>+SUM(E236+E237+E238)</f>
        <v>0</v>
      </c>
      <c r="F239" s="2213">
        <f t="shared" ref="F239:Q239" si="76">+SUM(F236+F237+F238)</f>
        <v>0</v>
      </c>
      <c r="G239" s="2213">
        <f t="shared" si="76"/>
        <v>0</v>
      </c>
      <c r="H239" s="2213">
        <f t="shared" si="76"/>
        <v>0</v>
      </c>
      <c r="I239" s="2213">
        <f t="shared" si="76"/>
        <v>0</v>
      </c>
      <c r="J239" s="2213">
        <f t="shared" si="76"/>
        <v>0</v>
      </c>
      <c r="K239" s="2213">
        <f t="shared" si="76"/>
        <v>0</v>
      </c>
      <c r="L239" s="2213">
        <f t="shared" si="76"/>
        <v>10</v>
      </c>
      <c r="M239" s="2213">
        <f t="shared" si="76"/>
        <v>0</v>
      </c>
      <c r="N239" s="2213">
        <f t="shared" si="76"/>
        <v>0</v>
      </c>
      <c r="O239" s="2213">
        <f t="shared" si="76"/>
        <v>3</v>
      </c>
      <c r="P239" s="2215">
        <f t="shared" si="76"/>
        <v>2</v>
      </c>
      <c r="Q239" s="2213">
        <f t="shared" si="76"/>
        <v>0</v>
      </c>
      <c r="R239" s="2215">
        <f>+SUM(R236+R237+R238)</f>
        <v>0.13</v>
      </c>
    </row>
    <row r="240" spans="3:18" x14ac:dyDescent="0.4">
      <c r="C240" s="2212"/>
      <c r="D240" s="2217" t="s">
        <v>7814</v>
      </c>
      <c r="E240" s="2218">
        <f>+E235+E239</f>
        <v>0</v>
      </c>
      <c r="F240" s="2218">
        <f t="shared" ref="F240:R240" si="77">+F235+F239</f>
        <v>0</v>
      </c>
      <c r="G240" s="2218">
        <f t="shared" si="77"/>
        <v>0</v>
      </c>
      <c r="H240" s="2218">
        <f t="shared" si="77"/>
        <v>0</v>
      </c>
      <c r="I240" s="2218">
        <f t="shared" si="77"/>
        <v>0</v>
      </c>
      <c r="J240" s="2218">
        <f t="shared" si="77"/>
        <v>0</v>
      </c>
      <c r="K240" s="2218">
        <f t="shared" si="77"/>
        <v>0</v>
      </c>
      <c r="L240" s="2218">
        <f t="shared" si="77"/>
        <v>10</v>
      </c>
      <c r="M240" s="2218">
        <f t="shared" si="77"/>
        <v>0</v>
      </c>
      <c r="N240" s="2218">
        <f t="shared" si="77"/>
        <v>0</v>
      </c>
      <c r="O240" s="2218">
        <f t="shared" si="77"/>
        <v>3</v>
      </c>
      <c r="P240" s="2219">
        <f t="shared" si="77"/>
        <v>2</v>
      </c>
      <c r="Q240" s="2218">
        <f t="shared" si="77"/>
        <v>0</v>
      </c>
      <c r="R240" s="2218">
        <f t="shared" si="77"/>
        <v>0.13</v>
      </c>
    </row>
    <row r="241" spans="3:18" x14ac:dyDescent="0.4">
      <c r="C241" s="2204" t="s">
        <v>7842</v>
      </c>
      <c r="D241" s="2205" t="s">
        <v>7809</v>
      </c>
      <c r="E241" s="2206">
        <v>0</v>
      </c>
      <c r="F241" s="2206">
        <v>0</v>
      </c>
      <c r="G241" s="2206">
        <v>0</v>
      </c>
      <c r="H241" s="2206">
        <v>0</v>
      </c>
      <c r="I241" s="2206">
        <v>0</v>
      </c>
      <c r="J241" s="2206">
        <v>0</v>
      </c>
      <c r="K241" s="2206">
        <v>0</v>
      </c>
      <c r="L241" s="2206">
        <v>0</v>
      </c>
      <c r="M241" s="2206">
        <v>0</v>
      </c>
      <c r="N241" s="2206">
        <v>0</v>
      </c>
      <c r="O241" s="1758">
        <v>0</v>
      </c>
      <c r="P241" s="2207">
        <v>0</v>
      </c>
      <c r="Q241" s="536"/>
      <c r="R241" s="2207">
        <v>0</v>
      </c>
    </row>
    <row r="242" spans="3:18" x14ac:dyDescent="0.4">
      <c r="C242" s="2204"/>
      <c r="D242" s="2205" t="s">
        <v>7810</v>
      </c>
      <c r="E242" s="2206">
        <v>0</v>
      </c>
      <c r="F242" s="2206">
        <v>0</v>
      </c>
      <c r="G242" s="2206">
        <v>0</v>
      </c>
      <c r="H242" s="2206">
        <v>0</v>
      </c>
      <c r="I242" s="2206">
        <v>0</v>
      </c>
      <c r="J242" s="2206">
        <v>0</v>
      </c>
      <c r="K242" s="2206">
        <v>0</v>
      </c>
      <c r="L242" s="2206">
        <v>0</v>
      </c>
      <c r="M242" s="2206">
        <v>0</v>
      </c>
      <c r="N242" s="2206">
        <v>0</v>
      </c>
      <c r="O242" s="2206">
        <v>0</v>
      </c>
      <c r="P242" s="2207">
        <v>0</v>
      </c>
      <c r="Q242" s="416">
        <v>0</v>
      </c>
      <c r="R242" s="1578">
        <v>0.05</v>
      </c>
    </row>
    <row r="243" spans="3:18" x14ac:dyDescent="0.4">
      <c r="C243" s="2204"/>
      <c r="D243" s="2205" t="s">
        <v>7811</v>
      </c>
      <c r="E243" s="2206">
        <v>0</v>
      </c>
      <c r="F243" s="2206">
        <v>0</v>
      </c>
      <c r="G243" s="2206">
        <v>0</v>
      </c>
      <c r="H243" s="2206">
        <v>0</v>
      </c>
      <c r="I243" s="2206">
        <v>0</v>
      </c>
      <c r="J243" s="2206">
        <v>0</v>
      </c>
      <c r="K243" s="2206">
        <v>0</v>
      </c>
      <c r="L243" s="2206">
        <v>10</v>
      </c>
      <c r="M243" s="2206">
        <v>0</v>
      </c>
      <c r="N243" s="2206">
        <v>0</v>
      </c>
      <c r="O243" s="2206">
        <v>3</v>
      </c>
      <c r="P243" s="2207">
        <v>2</v>
      </c>
      <c r="Q243" s="416">
        <v>0</v>
      </c>
      <c r="R243" s="1578">
        <v>0</v>
      </c>
    </row>
    <row r="244" spans="3:18" x14ac:dyDescent="0.4">
      <c r="C244" s="2204"/>
      <c r="D244" s="2205" t="s">
        <v>7812</v>
      </c>
      <c r="E244" s="2206">
        <v>0</v>
      </c>
      <c r="F244" s="2206">
        <v>0</v>
      </c>
      <c r="G244" s="2206">
        <v>0</v>
      </c>
      <c r="H244" s="2206">
        <v>0</v>
      </c>
      <c r="I244" s="2206">
        <v>0</v>
      </c>
      <c r="J244" s="2206">
        <v>0</v>
      </c>
      <c r="K244" s="2206">
        <v>0</v>
      </c>
      <c r="L244" s="2206">
        <v>0</v>
      </c>
      <c r="M244" s="2206">
        <v>0</v>
      </c>
      <c r="N244" s="2206">
        <v>0</v>
      </c>
      <c r="O244" s="2206">
        <v>0</v>
      </c>
      <c r="P244" s="2207">
        <v>0</v>
      </c>
      <c r="Q244" s="416">
        <v>0</v>
      </c>
      <c r="R244" s="2207">
        <v>0</v>
      </c>
    </row>
    <row r="245" spans="3:18" x14ac:dyDescent="0.4">
      <c r="C245" s="2204"/>
      <c r="D245" s="2205" t="s">
        <v>7813</v>
      </c>
      <c r="E245" s="2206">
        <f>+SUM(E242+E243+E244)</f>
        <v>0</v>
      </c>
      <c r="F245" s="2206">
        <f t="shared" ref="F245:Q245" si="78">+SUM(F242+F243+F244)</f>
        <v>0</v>
      </c>
      <c r="G245" s="2206">
        <f t="shared" si="78"/>
        <v>0</v>
      </c>
      <c r="H245" s="2206">
        <f t="shared" si="78"/>
        <v>0</v>
      </c>
      <c r="I245" s="2206">
        <f t="shared" si="78"/>
        <v>0</v>
      </c>
      <c r="J245" s="2206">
        <f t="shared" si="78"/>
        <v>0</v>
      </c>
      <c r="K245" s="2206">
        <f t="shared" si="78"/>
        <v>0</v>
      </c>
      <c r="L245" s="2206">
        <f t="shared" si="78"/>
        <v>10</v>
      </c>
      <c r="M245" s="2206">
        <f t="shared" si="78"/>
        <v>0</v>
      </c>
      <c r="N245" s="2206">
        <f t="shared" si="78"/>
        <v>0</v>
      </c>
      <c r="O245" s="2206">
        <f t="shared" si="78"/>
        <v>3</v>
      </c>
      <c r="P245" s="2207">
        <f t="shared" si="78"/>
        <v>2</v>
      </c>
      <c r="Q245" s="416">
        <f t="shared" si="78"/>
        <v>0</v>
      </c>
      <c r="R245" s="2207">
        <f>+SUM(R242+R243+R244)</f>
        <v>0.05</v>
      </c>
    </row>
    <row r="246" spans="3:18" x14ac:dyDescent="0.4">
      <c r="C246" s="2204"/>
      <c r="D246" s="2208" t="s">
        <v>7814</v>
      </c>
      <c r="E246" s="2209">
        <f>+E241+E245</f>
        <v>0</v>
      </c>
      <c r="F246" s="2209">
        <f t="shared" ref="F246:R246" si="79">+F241+F245</f>
        <v>0</v>
      </c>
      <c r="G246" s="2209">
        <f t="shared" si="79"/>
        <v>0</v>
      </c>
      <c r="H246" s="2209">
        <f t="shared" si="79"/>
        <v>0</v>
      </c>
      <c r="I246" s="2209">
        <f t="shared" si="79"/>
        <v>0</v>
      </c>
      <c r="J246" s="2209">
        <f t="shared" si="79"/>
        <v>0</v>
      </c>
      <c r="K246" s="2209">
        <f t="shared" si="79"/>
        <v>0</v>
      </c>
      <c r="L246" s="2209">
        <f t="shared" si="79"/>
        <v>10</v>
      </c>
      <c r="M246" s="2209">
        <f t="shared" si="79"/>
        <v>0</v>
      </c>
      <c r="N246" s="2209">
        <f t="shared" si="79"/>
        <v>0</v>
      </c>
      <c r="O246" s="2209">
        <f t="shared" si="79"/>
        <v>3</v>
      </c>
      <c r="P246" s="2210">
        <f t="shared" si="79"/>
        <v>2</v>
      </c>
      <c r="Q246" s="2211">
        <f t="shared" si="79"/>
        <v>0</v>
      </c>
      <c r="R246" s="2210">
        <f t="shared" si="79"/>
        <v>0.05</v>
      </c>
    </row>
    <row r="247" spans="3:18" x14ac:dyDescent="0.4">
      <c r="C247" s="2212" t="s">
        <v>7843</v>
      </c>
      <c r="D247" s="2212" t="s">
        <v>7809</v>
      </c>
      <c r="E247" s="2213">
        <v>0</v>
      </c>
      <c r="F247" s="2213">
        <v>0</v>
      </c>
      <c r="G247" s="2213">
        <v>0</v>
      </c>
      <c r="H247" s="2213">
        <v>0</v>
      </c>
      <c r="I247" s="2213">
        <v>0</v>
      </c>
      <c r="J247" s="2213">
        <v>0</v>
      </c>
      <c r="K247" s="2213">
        <v>0</v>
      </c>
      <c r="L247" s="2213">
        <v>0</v>
      </c>
      <c r="M247" s="2213">
        <v>0</v>
      </c>
      <c r="N247" s="2213">
        <v>0</v>
      </c>
      <c r="O247" s="2214">
        <v>0</v>
      </c>
      <c r="P247" s="2215">
        <v>0</v>
      </c>
      <c r="Q247" s="2216"/>
      <c r="R247" s="2215">
        <v>0</v>
      </c>
    </row>
    <row r="248" spans="3:18" x14ac:dyDescent="0.4">
      <c r="C248" s="2212"/>
      <c r="D248" s="2212" t="s">
        <v>7810</v>
      </c>
      <c r="E248" s="2213">
        <v>0</v>
      </c>
      <c r="F248" s="2213">
        <v>0</v>
      </c>
      <c r="G248" s="2213">
        <v>0</v>
      </c>
      <c r="H248" s="2213">
        <v>0</v>
      </c>
      <c r="I248" s="2213">
        <v>0</v>
      </c>
      <c r="J248" s="2213">
        <v>0</v>
      </c>
      <c r="K248" s="2213">
        <v>0</v>
      </c>
      <c r="L248" s="2213">
        <v>1</v>
      </c>
      <c r="M248" s="2213">
        <v>0</v>
      </c>
      <c r="N248" s="2213">
        <v>0</v>
      </c>
      <c r="O248" s="2213">
        <v>0</v>
      </c>
      <c r="P248" s="2215">
        <v>0</v>
      </c>
      <c r="Q248" s="2213">
        <v>0</v>
      </c>
      <c r="R248" s="2216">
        <v>0</v>
      </c>
    </row>
    <row r="249" spans="3:18" x14ac:dyDescent="0.4">
      <c r="C249" s="2212"/>
      <c r="D249" s="2212" t="s">
        <v>7811</v>
      </c>
      <c r="E249" s="2213">
        <v>0</v>
      </c>
      <c r="F249" s="2213">
        <v>0</v>
      </c>
      <c r="G249" s="2213">
        <v>0</v>
      </c>
      <c r="H249" s="2213">
        <v>0</v>
      </c>
      <c r="I249" s="2213">
        <v>0</v>
      </c>
      <c r="J249" s="2213">
        <v>0</v>
      </c>
      <c r="K249" s="2213">
        <v>0</v>
      </c>
      <c r="L249" s="2213">
        <v>0</v>
      </c>
      <c r="M249" s="2213">
        <v>0</v>
      </c>
      <c r="N249" s="2213">
        <v>0.1</v>
      </c>
      <c r="O249" s="2213">
        <v>0.25</v>
      </c>
      <c r="P249" s="2215">
        <v>0</v>
      </c>
      <c r="Q249" s="2213">
        <v>0</v>
      </c>
      <c r="R249" s="2216">
        <v>0</v>
      </c>
    </row>
    <row r="250" spans="3:18" x14ac:dyDescent="0.4">
      <c r="C250" s="2212"/>
      <c r="D250" s="2212" t="s">
        <v>7812</v>
      </c>
      <c r="E250" s="2213">
        <v>0</v>
      </c>
      <c r="F250" s="2213">
        <v>0</v>
      </c>
      <c r="G250" s="2213">
        <v>0</v>
      </c>
      <c r="H250" s="2213">
        <v>0</v>
      </c>
      <c r="I250" s="2213">
        <v>0</v>
      </c>
      <c r="J250" s="2213">
        <v>0</v>
      </c>
      <c r="K250" s="2213">
        <v>0</v>
      </c>
      <c r="L250" s="2213">
        <v>0</v>
      </c>
      <c r="M250" s="2213">
        <v>0</v>
      </c>
      <c r="N250" s="2213">
        <v>0</v>
      </c>
      <c r="O250" s="2213">
        <v>0</v>
      </c>
      <c r="P250" s="2215">
        <v>0</v>
      </c>
      <c r="Q250" s="2213">
        <v>0</v>
      </c>
      <c r="R250" s="2215">
        <v>0</v>
      </c>
    </row>
    <row r="251" spans="3:18" x14ac:dyDescent="0.4">
      <c r="C251" s="2212"/>
      <c r="D251" s="2212" t="s">
        <v>7813</v>
      </c>
      <c r="E251" s="2213">
        <f>+SUM(E248+E249+E250)</f>
        <v>0</v>
      </c>
      <c r="F251" s="2213">
        <f t="shared" ref="F251:N251" si="80">+SUM(F248+F249+F250)</f>
        <v>0</v>
      </c>
      <c r="G251" s="2213">
        <f t="shared" si="80"/>
        <v>0</v>
      </c>
      <c r="H251" s="2213">
        <f t="shared" si="80"/>
        <v>0</v>
      </c>
      <c r="I251" s="2213">
        <f t="shared" si="80"/>
        <v>0</v>
      </c>
      <c r="J251" s="2213">
        <f t="shared" si="80"/>
        <v>0</v>
      </c>
      <c r="K251" s="2213">
        <f t="shared" si="80"/>
        <v>0</v>
      </c>
      <c r="L251" s="2213">
        <f t="shared" si="80"/>
        <v>1</v>
      </c>
      <c r="M251" s="2213">
        <f t="shared" si="80"/>
        <v>0</v>
      </c>
      <c r="N251" s="2213">
        <f t="shared" si="80"/>
        <v>0.1</v>
      </c>
      <c r="O251" s="2213">
        <f>+SUM(O248+O249+O250)</f>
        <v>0.25</v>
      </c>
      <c r="P251" s="2215">
        <f>+SUM(P248+P249+P250)</f>
        <v>0</v>
      </c>
      <c r="Q251" s="2213">
        <f t="shared" ref="Q251" si="81">+SUM(Q248+Q249+Q250)</f>
        <v>0</v>
      </c>
      <c r="R251" s="2215">
        <f>+SUM(R248+R249+R250)</f>
        <v>0</v>
      </c>
    </row>
    <row r="252" spans="3:18" x14ac:dyDescent="0.4">
      <c r="C252" s="2212"/>
      <c r="D252" s="2217" t="s">
        <v>7814</v>
      </c>
      <c r="E252" s="2218">
        <f>+E247+E251</f>
        <v>0</v>
      </c>
      <c r="F252" s="2218">
        <f t="shared" ref="F252:R252" si="82">+F247+F251</f>
        <v>0</v>
      </c>
      <c r="G252" s="2218">
        <f t="shared" si="82"/>
        <v>0</v>
      </c>
      <c r="H252" s="2218">
        <f t="shared" si="82"/>
        <v>0</v>
      </c>
      <c r="I252" s="2218">
        <f t="shared" si="82"/>
        <v>0</v>
      </c>
      <c r="J252" s="2218">
        <f t="shared" si="82"/>
        <v>0</v>
      </c>
      <c r="K252" s="2218">
        <f t="shared" si="82"/>
        <v>0</v>
      </c>
      <c r="L252" s="2218">
        <f t="shared" si="82"/>
        <v>1</v>
      </c>
      <c r="M252" s="2218">
        <f t="shared" si="82"/>
        <v>0</v>
      </c>
      <c r="N252" s="2218">
        <f t="shared" si="82"/>
        <v>0.1</v>
      </c>
      <c r="O252" s="2218">
        <f t="shared" si="82"/>
        <v>0.25</v>
      </c>
      <c r="P252" s="2219">
        <f t="shared" si="82"/>
        <v>0</v>
      </c>
      <c r="Q252" s="2218">
        <f t="shared" si="82"/>
        <v>0</v>
      </c>
      <c r="R252" s="2218">
        <f t="shared" si="82"/>
        <v>0</v>
      </c>
    </row>
    <row r="253" spans="3:18" x14ac:dyDescent="0.4">
      <c r="C253" s="2204" t="s">
        <v>7844</v>
      </c>
      <c r="D253" s="2205" t="s">
        <v>7809</v>
      </c>
      <c r="E253" s="2206">
        <v>14.797740145037096</v>
      </c>
      <c r="F253" s="2206">
        <v>50.686206516809762</v>
      </c>
      <c r="G253" s="2206">
        <v>161.60459597781301</v>
      </c>
      <c r="H253" s="2206">
        <v>89.668719857931137</v>
      </c>
      <c r="I253" s="2206">
        <v>102.12419643066823</v>
      </c>
      <c r="J253" s="2206">
        <v>32.778298748657107</v>
      </c>
      <c r="K253" s="2206">
        <v>58.333305019885302</v>
      </c>
      <c r="L253" s="2206">
        <v>11.6836</v>
      </c>
      <c r="M253" s="2206">
        <v>394.08476482489164</v>
      </c>
      <c r="N253" s="2206">
        <v>291.3812011469077</v>
      </c>
      <c r="O253" s="1758">
        <v>147.5</v>
      </c>
      <c r="P253" s="2207">
        <v>54.5</v>
      </c>
      <c r="Q253" s="536">
        <v>-110.2</v>
      </c>
      <c r="R253" s="2207">
        <v>-9.1512466775878387</v>
      </c>
    </row>
    <row r="254" spans="3:18" x14ac:dyDescent="0.4">
      <c r="C254" s="2204"/>
      <c r="D254" s="2205" t="s">
        <v>7810</v>
      </c>
      <c r="E254" s="2206">
        <v>0</v>
      </c>
      <c r="F254" s="2206">
        <v>0</v>
      </c>
      <c r="G254" s="2206">
        <v>0</v>
      </c>
      <c r="H254" s="2206">
        <v>0</v>
      </c>
      <c r="I254" s="2206">
        <v>0</v>
      </c>
      <c r="J254" s="2206">
        <v>0</v>
      </c>
      <c r="K254" s="2206">
        <v>0</v>
      </c>
      <c r="L254" s="2206">
        <v>0</v>
      </c>
      <c r="M254" s="2206">
        <v>0</v>
      </c>
      <c r="N254" s="2206">
        <v>0</v>
      </c>
      <c r="O254" s="2206">
        <v>0</v>
      </c>
      <c r="P254" s="2207">
        <v>0.245</v>
      </c>
      <c r="Q254" s="416">
        <v>0</v>
      </c>
      <c r="R254" s="1578">
        <v>0</v>
      </c>
    </row>
    <row r="255" spans="3:18" x14ac:dyDescent="0.4">
      <c r="C255" s="2204"/>
      <c r="D255" s="2205" t="s">
        <v>7811</v>
      </c>
      <c r="E255" s="2206">
        <v>0</v>
      </c>
      <c r="F255" s="2206">
        <v>0</v>
      </c>
      <c r="G255" s="2206">
        <v>0</v>
      </c>
      <c r="H255" s="2206">
        <v>0</v>
      </c>
      <c r="I255" s="2206">
        <v>0</v>
      </c>
      <c r="J255" s="2206">
        <v>0</v>
      </c>
      <c r="K255" s="2206">
        <v>0</v>
      </c>
      <c r="L255" s="2206">
        <v>0</v>
      </c>
      <c r="M255" s="2206">
        <v>0</v>
      </c>
      <c r="N255" s="2206">
        <v>0</v>
      </c>
      <c r="O255" s="2206">
        <v>1.75</v>
      </c>
      <c r="P255" s="2207">
        <v>21.323</v>
      </c>
      <c r="Q255" s="416">
        <v>1.67</v>
      </c>
      <c r="R255" s="1578">
        <v>0</v>
      </c>
    </row>
    <row r="256" spans="3:18" x14ac:dyDescent="0.4">
      <c r="C256" s="2204"/>
      <c r="D256" s="2205" t="s">
        <v>7812</v>
      </c>
      <c r="E256" s="2206">
        <v>0</v>
      </c>
      <c r="F256" s="2206">
        <v>0</v>
      </c>
      <c r="G256" s="2206">
        <v>0</v>
      </c>
      <c r="H256" s="2206">
        <v>0</v>
      </c>
      <c r="I256" s="2206">
        <v>0</v>
      </c>
      <c r="J256" s="2206">
        <v>0</v>
      </c>
      <c r="K256" s="2206">
        <v>0</v>
      </c>
      <c r="L256" s="2206">
        <v>0</v>
      </c>
      <c r="M256" s="2206">
        <v>0</v>
      </c>
      <c r="N256" s="2206">
        <v>0</v>
      </c>
      <c r="O256" s="2206">
        <v>0</v>
      </c>
      <c r="P256" s="2207">
        <v>0</v>
      </c>
      <c r="Q256" s="416">
        <v>0</v>
      </c>
      <c r="R256" s="2207">
        <v>0</v>
      </c>
    </row>
    <row r="257" spans="3:18" x14ac:dyDescent="0.4">
      <c r="C257" s="2204"/>
      <c r="D257" s="2205" t="s">
        <v>7813</v>
      </c>
      <c r="E257" s="2206">
        <f>+SUM(E254+E255+E256)</f>
        <v>0</v>
      </c>
      <c r="F257" s="2206">
        <f t="shared" ref="F257:N257" si="83">+SUM(F254+F255+F256)</f>
        <v>0</v>
      </c>
      <c r="G257" s="2206">
        <f t="shared" si="83"/>
        <v>0</v>
      </c>
      <c r="H257" s="2206">
        <f t="shared" si="83"/>
        <v>0</v>
      </c>
      <c r="I257" s="2206">
        <f t="shared" si="83"/>
        <v>0</v>
      </c>
      <c r="J257" s="2206">
        <f t="shared" si="83"/>
        <v>0</v>
      </c>
      <c r="K257" s="2206">
        <f t="shared" si="83"/>
        <v>0</v>
      </c>
      <c r="L257" s="2206">
        <f t="shared" si="83"/>
        <v>0</v>
      </c>
      <c r="M257" s="2206">
        <f t="shared" si="83"/>
        <v>0</v>
      </c>
      <c r="N257" s="2206">
        <f t="shared" si="83"/>
        <v>0</v>
      </c>
      <c r="O257" s="2206">
        <f>+SUM(O254+O255+O256)</f>
        <v>1.75</v>
      </c>
      <c r="P257" s="2207">
        <f>+SUM(P254+P255+P256)</f>
        <v>21.568000000000001</v>
      </c>
      <c r="Q257" s="416">
        <f t="shared" ref="Q257" si="84">+SUM(Q254+Q255+Q256)</f>
        <v>1.67</v>
      </c>
      <c r="R257" s="2207">
        <f>+SUM(R254+R255+R256)</f>
        <v>0</v>
      </c>
    </row>
    <row r="258" spans="3:18" ht="19.5" thickBot="1" x14ac:dyDescent="0.45">
      <c r="C258" s="2220"/>
      <c r="D258" s="2221" t="s">
        <v>7814</v>
      </c>
      <c r="E258" s="2222">
        <f>+E253+E257</f>
        <v>14.797740145037096</v>
      </c>
      <c r="F258" s="2222">
        <f t="shared" ref="F258:P258" si="85">+F253+F257</f>
        <v>50.686206516809762</v>
      </c>
      <c r="G258" s="2222">
        <f t="shared" si="85"/>
        <v>161.60459597781301</v>
      </c>
      <c r="H258" s="2222">
        <f t="shared" si="85"/>
        <v>89.668719857931137</v>
      </c>
      <c r="I258" s="2222">
        <f t="shared" si="85"/>
        <v>102.12419643066823</v>
      </c>
      <c r="J258" s="2222">
        <f t="shared" si="85"/>
        <v>32.778298748657107</v>
      </c>
      <c r="K258" s="2222">
        <f t="shared" si="85"/>
        <v>58.333305019885302</v>
      </c>
      <c r="L258" s="2222">
        <f t="shared" si="85"/>
        <v>11.6836</v>
      </c>
      <c r="M258" s="2222">
        <f t="shared" si="85"/>
        <v>394.08476482489164</v>
      </c>
      <c r="N258" s="2222">
        <f t="shared" si="85"/>
        <v>291.3812011469077</v>
      </c>
      <c r="O258" s="2222">
        <f t="shared" si="85"/>
        <v>149.25</v>
      </c>
      <c r="P258" s="2223">
        <f t="shared" si="85"/>
        <v>76.067999999999998</v>
      </c>
      <c r="Q258" s="2224">
        <f>+Q253+Q257</f>
        <v>-108.53</v>
      </c>
      <c r="R258" s="2223">
        <f>+R253+R257</f>
        <v>-9.1512466775878387</v>
      </c>
    </row>
    <row r="259" spans="3:18" ht="19.5" thickTop="1" x14ac:dyDescent="0.4">
      <c r="C259" s="2212" t="s">
        <v>5870</v>
      </c>
      <c r="D259" s="2212" t="s">
        <v>7845</v>
      </c>
      <c r="E259" s="2213">
        <v>0</v>
      </c>
      <c r="F259" s="2213">
        <v>0</v>
      </c>
      <c r="G259" s="2213">
        <v>0</v>
      </c>
      <c r="H259" s="2213">
        <v>0</v>
      </c>
      <c r="I259" s="2213">
        <v>0</v>
      </c>
      <c r="J259" s="2213">
        <v>0</v>
      </c>
      <c r="K259" s="2213">
        <v>0</v>
      </c>
      <c r="L259" s="2213">
        <v>0</v>
      </c>
      <c r="M259" s="2213">
        <v>0</v>
      </c>
      <c r="N259" s="2213">
        <v>0</v>
      </c>
      <c r="O259" s="2216">
        <v>0</v>
      </c>
      <c r="P259" s="2215">
        <v>0</v>
      </c>
      <c r="Q259" s="2215">
        <v>0</v>
      </c>
      <c r="R259" s="2215">
        <v>0</v>
      </c>
    </row>
    <row r="260" spans="3:18" x14ac:dyDescent="0.4">
      <c r="C260" s="2212"/>
      <c r="D260" s="2212" t="s">
        <v>7846</v>
      </c>
      <c r="E260" s="2213">
        <v>0</v>
      </c>
      <c r="F260" s="2213">
        <v>0</v>
      </c>
      <c r="G260" s="2213">
        <v>0</v>
      </c>
      <c r="H260" s="2213">
        <v>0</v>
      </c>
      <c r="I260" s="2213">
        <v>0</v>
      </c>
      <c r="J260" s="2213">
        <v>0</v>
      </c>
      <c r="K260" s="2213">
        <v>0</v>
      </c>
      <c r="L260" s="2213">
        <v>0</v>
      </c>
      <c r="M260" s="2213">
        <v>0</v>
      </c>
      <c r="N260" s="2213">
        <v>1.3</v>
      </c>
      <c r="O260" s="2216">
        <v>0</v>
      </c>
      <c r="P260" s="2215">
        <v>0</v>
      </c>
      <c r="Q260" s="2215">
        <v>0</v>
      </c>
      <c r="R260" s="2215">
        <v>0</v>
      </c>
    </row>
    <row r="261" spans="3:18" x14ac:dyDescent="0.4">
      <c r="C261" s="2212"/>
      <c r="D261" s="2212" t="s">
        <v>7847</v>
      </c>
      <c r="E261" s="2213">
        <v>500</v>
      </c>
      <c r="F261" s="2213">
        <v>0</v>
      </c>
      <c r="G261" s="2213">
        <v>0</v>
      </c>
      <c r="H261" s="2213">
        <v>0</v>
      </c>
      <c r="I261" s="2213">
        <v>0</v>
      </c>
      <c r="J261" s="2213">
        <v>0</v>
      </c>
      <c r="K261" s="2213">
        <v>0</v>
      </c>
      <c r="L261" s="2213">
        <v>0</v>
      </c>
      <c r="M261" s="2213">
        <v>0</v>
      </c>
      <c r="N261" s="2213">
        <v>0</v>
      </c>
      <c r="O261" s="2216">
        <v>588.1</v>
      </c>
      <c r="P261" s="2215">
        <v>300</v>
      </c>
      <c r="Q261" s="2215">
        <v>180</v>
      </c>
      <c r="R261" s="2215">
        <v>660</v>
      </c>
    </row>
    <row r="262" spans="3:18" x14ac:dyDescent="0.4">
      <c r="C262" s="2212"/>
      <c r="D262" s="2217" t="s">
        <v>7848</v>
      </c>
      <c r="E262" s="2218">
        <f>+E259+E260+E261</f>
        <v>500</v>
      </c>
      <c r="F262" s="2218">
        <f t="shared" ref="F262:Q262" si="86">+F259+F260+F261</f>
        <v>0</v>
      </c>
      <c r="G262" s="2218">
        <f t="shared" si="86"/>
        <v>0</v>
      </c>
      <c r="H262" s="2218">
        <f t="shared" si="86"/>
        <v>0</v>
      </c>
      <c r="I262" s="2218">
        <f t="shared" si="86"/>
        <v>0</v>
      </c>
      <c r="J262" s="2218">
        <f t="shared" si="86"/>
        <v>0</v>
      </c>
      <c r="K262" s="2218">
        <f t="shared" si="86"/>
        <v>0</v>
      </c>
      <c r="L262" s="2218">
        <f t="shared" si="86"/>
        <v>0</v>
      </c>
      <c r="M262" s="2218">
        <f t="shared" si="86"/>
        <v>0</v>
      </c>
      <c r="N262" s="2218">
        <f t="shared" si="86"/>
        <v>1.3</v>
      </c>
      <c r="O262" s="2218">
        <f t="shared" si="86"/>
        <v>588.1</v>
      </c>
      <c r="P262" s="2219">
        <f t="shared" si="86"/>
        <v>300</v>
      </c>
      <c r="Q262" s="2219">
        <f t="shared" si="86"/>
        <v>180</v>
      </c>
      <c r="R262" s="2219">
        <f>+R261+R260+R259</f>
        <v>660</v>
      </c>
    </row>
    <row r="263" spans="3:18" x14ac:dyDescent="0.4">
      <c r="C263" s="2204" t="s">
        <v>7849</v>
      </c>
      <c r="D263" s="2204" t="s">
        <v>7845</v>
      </c>
      <c r="E263" s="1448">
        <v>0</v>
      </c>
      <c r="F263" s="1448">
        <v>0</v>
      </c>
      <c r="G263" s="1448">
        <v>0</v>
      </c>
      <c r="H263" s="1448">
        <v>0</v>
      </c>
      <c r="I263" s="1448">
        <v>0</v>
      </c>
      <c r="J263" s="1448">
        <v>0</v>
      </c>
      <c r="K263" s="1448">
        <v>0</v>
      </c>
      <c r="L263" s="1448">
        <v>0</v>
      </c>
      <c r="M263" s="1448">
        <v>0</v>
      </c>
      <c r="N263" s="1448">
        <v>0</v>
      </c>
      <c r="O263" s="536">
        <v>5</v>
      </c>
      <c r="P263" s="416">
        <v>0.75</v>
      </c>
      <c r="Q263" s="416">
        <v>0</v>
      </c>
      <c r="R263" s="416">
        <v>0</v>
      </c>
    </row>
    <row r="264" spans="3:18" x14ac:dyDescent="0.4">
      <c r="C264" s="2204"/>
      <c r="D264" s="2204" t="s">
        <v>7846</v>
      </c>
      <c r="E264" s="1448">
        <v>0</v>
      </c>
      <c r="F264" s="1448">
        <v>0</v>
      </c>
      <c r="G264" s="1448">
        <v>0</v>
      </c>
      <c r="H264" s="1448">
        <v>0</v>
      </c>
      <c r="I264" s="1448">
        <v>0</v>
      </c>
      <c r="J264" s="1448">
        <v>0</v>
      </c>
      <c r="K264" s="1448">
        <v>0</v>
      </c>
      <c r="L264" s="1448">
        <v>0</v>
      </c>
      <c r="M264" s="1448">
        <v>0</v>
      </c>
      <c r="N264" s="1448">
        <v>0</v>
      </c>
      <c r="O264" s="536">
        <v>0</v>
      </c>
      <c r="P264" s="416">
        <v>0</v>
      </c>
      <c r="Q264" s="416">
        <v>0.11</v>
      </c>
      <c r="R264" s="416">
        <v>0</v>
      </c>
    </row>
    <row r="265" spans="3:18" x14ac:dyDescent="0.4">
      <c r="C265" s="2204"/>
      <c r="D265" s="2204" t="s">
        <v>7847</v>
      </c>
      <c r="E265" s="1448">
        <v>52.8</v>
      </c>
      <c r="F265" s="1448">
        <v>0</v>
      </c>
      <c r="G265" s="1448">
        <v>0</v>
      </c>
      <c r="H265" s="1448">
        <v>0</v>
      </c>
      <c r="I265" s="1448">
        <v>0</v>
      </c>
      <c r="J265" s="1448">
        <v>0</v>
      </c>
      <c r="K265" s="1448">
        <v>0</v>
      </c>
      <c r="L265" s="1448">
        <v>0</v>
      </c>
      <c r="M265" s="1448">
        <v>0</v>
      </c>
      <c r="N265" s="1448">
        <v>500</v>
      </c>
      <c r="O265" s="536">
        <v>550</v>
      </c>
      <c r="P265" s="416">
        <v>500</v>
      </c>
      <c r="Q265" s="416">
        <v>0</v>
      </c>
      <c r="R265" s="416">
        <v>0</v>
      </c>
    </row>
    <row r="266" spans="3:18" x14ac:dyDescent="0.4">
      <c r="C266" s="2204"/>
      <c r="D266" s="2225" t="s">
        <v>7848</v>
      </c>
      <c r="E266" s="2226">
        <f>+E263+E264+E265</f>
        <v>52.8</v>
      </c>
      <c r="F266" s="2226">
        <f t="shared" ref="F266:Q266" si="87">+F263+F264+F265</f>
        <v>0</v>
      </c>
      <c r="G266" s="2226">
        <f t="shared" si="87"/>
        <v>0</v>
      </c>
      <c r="H266" s="2226">
        <f t="shared" si="87"/>
        <v>0</v>
      </c>
      <c r="I266" s="2226">
        <f t="shared" si="87"/>
        <v>0</v>
      </c>
      <c r="J266" s="2226">
        <f t="shared" si="87"/>
        <v>0</v>
      </c>
      <c r="K266" s="2226">
        <f t="shared" si="87"/>
        <v>0</v>
      </c>
      <c r="L266" s="2226">
        <f t="shared" si="87"/>
        <v>0</v>
      </c>
      <c r="M266" s="2226">
        <f t="shared" si="87"/>
        <v>0</v>
      </c>
      <c r="N266" s="2226">
        <f t="shared" si="87"/>
        <v>500</v>
      </c>
      <c r="O266" s="2226">
        <f t="shared" si="87"/>
        <v>555</v>
      </c>
      <c r="P266" s="2211">
        <f t="shared" si="87"/>
        <v>500.75</v>
      </c>
      <c r="Q266" s="2211">
        <f t="shared" si="87"/>
        <v>0.11</v>
      </c>
      <c r="R266" s="2211">
        <f>+R265+R264+R263</f>
        <v>0</v>
      </c>
    </row>
    <row r="267" spans="3:18" x14ac:dyDescent="0.4">
      <c r="C267" s="2212" t="s">
        <v>7850</v>
      </c>
      <c r="D267" s="2212" t="s">
        <v>7845</v>
      </c>
      <c r="E267" s="2213">
        <v>5.6</v>
      </c>
      <c r="F267" s="2213">
        <v>5.4</v>
      </c>
      <c r="G267" s="2213">
        <v>3.7</v>
      </c>
      <c r="H267" s="2213">
        <v>0.4</v>
      </c>
      <c r="I267" s="2213">
        <v>6.3</v>
      </c>
      <c r="J267" s="2213">
        <v>0</v>
      </c>
      <c r="K267" s="2213">
        <v>3.8</v>
      </c>
      <c r="L267" s="2213">
        <v>1.5</v>
      </c>
      <c r="M267" s="2213">
        <v>5.5</v>
      </c>
      <c r="N267" s="2213">
        <v>9</v>
      </c>
      <c r="O267" s="2216">
        <v>6.59</v>
      </c>
      <c r="P267" s="2215">
        <v>3.67</v>
      </c>
      <c r="Q267" s="2216">
        <v>0</v>
      </c>
      <c r="R267" s="2216">
        <v>2.5</v>
      </c>
    </row>
    <row r="268" spans="3:18" x14ac:dyDescent="0.4">
      <c r="C268" s="2212"/>
      <c r="D268" s="2212" t="s">
        <v>7846</v>
      </c>
      <c r="E268" s="2213">
        <v>10.6</v>
      </c>
      <c r="F268" s="2213">
        <v>1</v>
      </c>
      <c r="G268" s="2213">
        <v>0</v>
      </c>
      <c r="H268" s="2213">
        <v>2.2999999999999998</v>
      </c>
      <c r="I268" s="2213">
        <v>0</v>
      </c>
      <c r="J268" s="2213">
        <v>5.5</v>
      </c>
      <c r="K268" s="2213">
        <v>0</v>
      </c>
      <c r="L268" s="2213">
        <v>1.4</v>
      </c>
      <c r="M268" s="2213">
        <v>0</v>
      </c>
      <c r="N268" s="2213">
        <v>0</v>
      </c>
      <c r="O268" s="2216">
        <v>0</v>
      </c>
      <c r="P268" s="2215">
        <v>0</v>
      </c>
      <c r="Q268" s="2216">
        <v>2.27</v>
      </c>
      <c r="R268" s="2216">
        <v>21.21</v>
      </c>
    </row>
    <row r="269" spans="3:18" x14ac:dyDescent="0.4">
      <c r="C269" s="2212"/>
      <c r="D269" s="2212" t="s">
        <v>7847</v>
      </c>
      <c r="E269" s="2213">
        <v>20</v>
      </c>
      <c r="F269" s="2213">
        <v>132.4</v>
      </c>
      <c r="G269" s="2213">
        <v>703.2</v>
      </c>
      <c r="H269" s="2213">
        <v>450</v>
      </c>
      <c r="I269" s="2213">
        <v>61</v>
      </c>
      <c r="J269" s="2213">
        <v>397.2</v>
      </c>
      <c r="K269" s="2213">
        <v>26</v>
      </c>
      <c r="L269" s="2213">
        <v>28</v>
      </c>
      <c r="M269" s="2213">
        <v>146</v>
      </c>
      <c r="N269" s="2213">
        <v>528</v>
      </c>
      <c r="O269" s="2216">
        <v>745</v>
      </c>
      <c r="P269" s="2215">
        <v>500</v>
      </c>
      <c r="Q269" s="2216">
        <v>350</v>
      </c>
      <c r="R269" s="2216">
        <v>225</v>
      </c>
    </row>
    <row r="270" spans="3:18" x14ac:dyDescent="0.4">
      <c r="C270" s="2212"/>
      <c r="D270" s="2217" t="s">
        <v>7848</v>
      </c>
      <c r="E270" s="2218">
        <f>+E267+E268+E269</f>
        <v>36.200000000000003</v>
      </c>
      <c r="F270" s="2218">
        <f t="shared" ref="F270:Q270" si="88">+F267+F268+F269</f>
        <v>138.80000000000001</v>
      </c>
      <c r="G270" s="2218">
        <f t="shared" si="88"/>
        <v>706.90000000000009</v>
      </c>
      <c r="H270" s="2218">
        <f t="shared" si="88"/>
        <v>452.7</v>
      </c>
      <c r="I270" s="2218">
        <f t="shared" si="88"/>
        <v>67.3</v>
      </c>
      <c r="J270" s="2218">
        <f t="shared" si="88"/>
        <v>402.7</v>
      </c>
      <c r="K270" s="2218">
        <f t="shared" si="88"/>
        <v>29.8</v>
      </c>
      <c r="L270" s="2218">
        <f t="shared" si="88"/>
        <v>30.9</v>
      </c>
      <c r="M270" s="2218">
        <f t="shared" si="88"/>
        <v>151.5</v>
      </c>
      <c r="N270" s="2218">
        <f t="shared" si="88"/>
        <v>537</v>
      </c>
      <c r="O270" s="2218">
        <f t="shared" si="88"/>
        <v>751.59</v>
      </c>
      <c r="P270" s="2219">
        <f t="shared" si="88"/>
        <v>503.67</v>
      </c>
      <c r="Q270" s="2219">
        <f t="shared" si="88"/>
        <v>352.27</v>
      </c>
      <c r="R270" s="2219">
        <f>+R269+R268+R267</f>
        <v>248.71</v>
      </c>
    </row>
    <row r="271" spans="3:18" x14ac:dyDescent="0.4">
      <c r="C271" s="2204" t="s">
        <v>7851</v>
      </c>
      <c r="D271" s="2204" t="s">
        <v>7845</v>
      </c>
      <c r="E271" s="1448">
        <v>14.2</v>
      </c>
      <c r="F271" s="1448">
        <v>27.5</v>
      </c>
      <c r="G271" s="1448">
        <v>6.4</v>
      </c>
      <c r="H271" s="1448">
        <v>1.4</v>
      </c>
      <c r="I271" s="1448">
        <v>2.8</v>
      </c>
      <c r="J271" s="1448">
        <v>0.7</v>
      </c>
      <c r="K271" s="1448">
        <v>3.1</v>
      </c>
      <c r="L271" s="1448">
        <v>0</v>
      </c>
      <c r="M271" s="1448">
        <v>0</v>
      </c>
      <c r="N271" s="1448">
        <v>0</v>
      </c>
      <c r="O271" s="536">
        <v>2.31</v>
      </c>
      <c r="P271" s="416">
        <v>0.08</v>
      </c>
      <c r="Q271" s="1382">
        <v>0.23</v>
      </c>
      <c r="R271" s="1382">
        <v>0</v>
      </c>
    </row>
    <row r="272" spans="3:18" x14ac:dyDescent="0.4">
      <c r="C272" s="2204"/>
      <c r="D272" s="2204" t="s">
        <v>7846</v>
      </c>
      <c r="E272" s="1448">
        <v>16.600000000000001</v>
      </c>
      <c r="F272" s="1448">
        <v>2</v>
      </c>
      <c r="G272" s="1448">
        <v>0</v>
      </c>
      <c r="H272" s="1448">
        <v>0.9</v>
      </c>
      <c r="I272" s="1448">
        <v>2.9</v>
      </c>
      <c r="J272" s="1448">
        <v>0</v>
      </c>
      <c r="K272" s="1448">
        <v>0</v>
      </c>
      <c r="L272" s="1448">
        <v>8.6999999999999993</v>
      </c>
      <c r="M272" s="1448">
        <v>4.7</v>
      </c>
      <c r="N272" s="1448">
        <v>0</v>
      </c>
      <c r="O272" s="536">
        <v>10.82</v>
      </c>
      <c r="P272" s="416">
        <v>10.95</v>
      </c>
      <c r="Q272" s="1382">
        <v>4.24</v>
      </c>
      <c r="R272" s="1382">
        <v>2</v>
      </c>
    </row>
    <row r="273" spans="3:18" x14ac:dyDescent="0.4">
      <c r="C273" s="2204"/>
      <c r="D273" s="2204" t="s">
        <v>7847</v>
      </c>
      <c r="E273" s="1448">
        <v>0</v>
      </c>
      <c r="F273" s="1448">
        <v>0</v>
      </c>
      <c r="G273" s="1448">
        <v>0</v>
      </c>
      <c r="H273" s="1448">
        <v>0</v>
      </c>
      <c r="I273" s="1448">
        <v>0</v>
      </c>
      <c r="J273" s="1448">
        <v>0</v>
      </c>
      <c r="K273" s="1448">
        <v>0</v>
      </c>
      <c r="L273" s="1448">
        <v>0</v>
      </c>
      <c r="M273" s="1448">
        <v>0</v>
      </c>
      <c r="N273" s="1448">
        <v>0</v>
      </c>
      <c r="O273" s="536">
        <v>0</v>
      </c>
      <c r="P273" s="416">
        <v>0</v>
      </c>
      <c r="Q273" s="1382">
        <v>0</v>
      </c>
      <c r="R273" s="1382">
        <v>0</v>
      </c>
    </row>
    <row r="274" spans="3:18" x14ac:dyDescent="0.4">
      <c r="C274" s="2204"/>
      <c r="D274" s="2225" t="s">
        <v>7848</v>
      </c>
      <c r="E274" s="2226">
        <f>+E271+E272+E273</f>
        <v>30.8</v>
      </c>
      <c r="F274" s="2226">
        <f t="shared" ref="F274:Q274" si="89">+F271+F272+F273</f>
        <v>29.5</v>
      </c>
      <c r="G274" s="2226">
        <f t="shared" si="89"/>
        <v>6.4</v>
      </c>
      <c r="H274" s="2226">
        <f t="shared" si="89"/>
        <v>2.2999999999999998</v>
      </c>
      <c r="I274" s="2226">
        <f t="shared" si="89"/>
        <v>5.6999999999999993</v>
      </c>
      <c r="J274" s="2226">
        <f t="shared" si="89"/>
        <v>0.7</v>
      </c>
      <c r="K274" s="2226">
        <f t="shared" si="89"/>
        <v>3.1</v>
      </c>
      <c r="L274" s="2226">
        <f t="shared" si="89"/>
        <v>8.6999999999999993</v>
      </c>
      <c r="M274" s="2226">
        <f t="shared" si="89"/>
        <v>4.7</v>
      </c>
      <c r="N274" s="2226">
        <f t="shared" si="89"/>
        <v>0</v>
      </c>
      <c r="O274" s="2226">
        <f t="shared" si="89"/>
        <v>13.13</v>
      </c>
      <c r="P274" s="2211">
        <f t="shared" si="89"/>
        <v>11.03</v>
      </c>
      <c r="Q274" s="2211">
        <f t="shared" si="89"/>
        <v>4.4700000000000006</v>
      </c>
      <c r="R274" s="2211">
        <f>+R273+R272+R271</f>
        <v>2</v>
      </c>
    </row>
    <row r="275" spans="3:18" x14ac:dyDescent="0.4">
      <c r="C275" s="2212" t="s">
        <v>7852</v>
      </c>
      <c r="D275" s="2212" t="s">
        <v>7845</v>
      </c>
      <c r="E275" s="2213">
        <v>0</v>
      </c>
      <c r="F275" s="2213">
        <v>0</v>
      </c>
      <c r="G275" s="2213">
        <v>0</v>
      </c>
      <c r="H275" s="2213">
        <v>0</v>
      </c>
      <c r="I275" s="2213">
        <v>0</v>
      </c>
      <c r="J275" s="2213">
        <v>0</v>
      </c>
      <c r="K275" s="2213">
        <v>0</v>
      </c>
      <c r="L275" s="2213">
        <v>0</v>
      </c>
      <c r="M275" s="2213">
        <v>0</v>
      </c>
      <c r="N275" s="2213">
        <v>0</v>
      </c>
      <c r="O275" s="2216">
        <v>0.2</v>
      </c>
      <c r="P275" s="2215">
        <v>0</v>
      </c>
      <c r="Q275" s="2215">
        <v>0</v>
      </c>
      <c r="R275" s="2215">
        <v>0</v>
      </c>
    </row>
    <row r="276" spans="3:18" x14ac:dyDescent="0.4">
      <c r="C276" s="2212"/>
      <c r="D276" s="2212" t="s">
        <v>7846</v>
      </c>
      <c r="E276" s="2213">
        <v>14.5</v>
      </c>
      <c r="F276" s="2213">
        <v>0</v>
      </c>
      <c r="G276" s="2213">
        <v>0</v>
      </c>
      <c r="H276" s="2213">
        <v>10.8</v>
      </c>
      <c r="I276" s="2213">
        <v>0</v>
      </c>
      <c r="J276" s="2213">
        <v>0</v>
      </c>
      <c r="K276" s="2213">
        <v>0</v>
      </c>
      <c r="L276" s="2213">
        <v>1.3</v>
      </c>
      <c r="M276" s="2213">
        <v>13.3</v>
      </c>
      <c r="N276" s="2213">
        <v>6.5</v>
      </c>
      <c r="O276" s="2216">
        <v>6.4</v>
      </c>
      <c r="P276" s="2215">
        <v>1.49</v>
      </c>
      <c r="Q276" s="2215">
        <v>23.95</v>
      </c>
      <c r="R276" s="2215">
        <v>14.5</v>
      </c>
    </row>
    <row r="277" spans="3:18" x14ac:dyDescent="0.4">
      <c r="C277" s="2212"/>
      <c r="D277" s="2212" t="s">
        <v>7847</v>
      </c>
      <c r="E277" s="2213">
        <v>0</v>
      </c>
      <c r="F277" s="2213">
        <v>0</v>
      </c>
      <c r="G277" s="2213">
        <v>0</v>
      </c>
      <c r="H277" s="2213">
        <v>0</v>
      </c>
      <c r="I277" s="2213">
        <v>0</v>
      </c>
      <c r="J277" s="2213">
        <v>0</v>
      </c>
      <c r="K277" s="2213">
        <v>0</v>
      </c>
      <c r="L277" s="2213">
        <v>0</v>
      </c>
      <c r="M277" s="2213">
        <v>0</v>
      </c>
      <c r="N277" s="2213">
        <v>0</v>
      </c>
      <c r="O277" s="2216">
        <v>0</v>
      </c>
      <c r="P277" s="2215">
        <v>0</v>
      </c>
      <c r="Q277" s="2215">
        <v>0</v>
      </c>
      <c r="R277" s="2215">
        <v>0</v>
      </c>
    </row>
    <row r="278" spans="3:18" x14ac:dyDescent="0.4">
      <c r="C278" s="2212"/>
      <c r="D278" s="2217" t="s">
        <v>7848</v>
      </c>
      <c r="E278" s="2218">
        <f>+E275+E276+E277</f>
        <v>14.5</v>
      </c>
      <c r="F278" s="2218">
        <f t="shared" ref="F278:Q278" si="90">+F275+F276+F277</f>
        <v>0</v>
      </c>
      <c r="G278" s="2218">
        <f t="shared" si="90"/>
        <v>0</v>
      </c>
      <c r="H278" s="2218">
        <f t="shared" si="90"/>
        <v>10.8</v>
      </c>
      <c r="I278" s="2218">
        <f t="shared" si="90"/>
        <v>0</v>
      </c>
      <c r="J278" s="2218">
        <f t="shared" si="90"/>
        <v>0</v>
      </c>
      <c r="K278" s="2218">
        <f t="shared" si="90"/>
        <v>0</v>
      </c>
      <c r="L278" s="2218">
        <f t="shared" si="90"/>
        <v>1.3</v>
      </c>
      <c r="M278" s="2218">
        <f t="shared" si="90"/>
        <v>13.3</v>
      </c>
      <c r="N278" s="2218">
        <f t="shared" si="90"/>
        <v>6.5</v>
      </c>
      <c r="O278" s="2218">
        <f t="shared" si="90"/>
        <v>6.6000000000000005</v>
      </c>
      <c r="P278" s="2219">
        <f t="shared" si="90"/>
        <v>1.49</v>
      </c>
      <c r="Q278" s="2219">
        <f t="shared" si="90"/>
        <v>23.95</v>
      </c>
      <c r="R278" s="2219">
        <f>+R277+R276+R275</f>
        <v>14.5</v>
      </c>
    </row>
    <row r="279" spans="3:18" x14ac:dyDescent="0.4">
      <c r="C279" s="2204" t="s">
        <v>7853</v>
      </c>
      <c r="D279" s="2204" t="s">
        <v>7845</v>
      </c>
      <c r="E279" s="1448">
        <v>0</v>
      </c>
      <c r="F279" s="1448">
        <v>0.5</v>
      </c>
      <c r="G279" s="1448">
        <v>0</v>
      </c>
      <c r="H279" s="1448">
        <v>0</v>
      </c>
      <c r="I279" s="1448">
        <v>0.6</v>
      </c>
      <c r="J279" s="1448">
        <v>0</v>
      </c>
      <c r="K279" s="1448">
        <v>0</v>
      </c>
      <c r="L279" s="1448">
        <v>0</v>
      </c>
      <c r="M279" s="1448">
        <v>0</v>
      </c>
      <c r="N279" s="1448">
        <v>0</v>
      </c>
      <c r="O279" s="536">
        <v>0</v>
      </c>
      <c r="P279" s="416">
        <v>0</v>
      </c>
      <c r="Q279" s="416">
        <v>0</v>
      </c>
      <c r="R279" s="416">
        <v>0.25</v>
      </c>
    </row>
    <row r="280" spans="3:18" x14ac:dyDescent="0.4">
      <c r="C280" s="2204"/>
      <c r="D280" s="2204" t="s">
        <v>7846</v>
      </c>
      <c r="E280" s="1448">
        <v>3.4</v>
      </c>
      <c r="F280" s="1448">
        <v>0</v>
      </c>
      <c r="G280" s="1448">
        <v>0</v>
      </c>
      <c r="H280" s="1448">
        <v>0</v>
      </c>
      <c r="I280" s="1448">
        <v>7.7</v>
      </c>
      <c r="J280" s="1448">
        <v>0</v>
      </c>
      <c r="K280" s="1448">
        <v>13.4</v>
      </c>
      <c r="L280" s="1448">
        <v>22.4</v>
      </c>
      <c r="M280" s="1448">
        <v>7.8</v>
      </c>
      <c r="N280" s="1448">
        <v>14.3</v>
      </c>
      <c r="O280" s="536">
        <v>17.12</v>
      </c>
      <c r="P280" s="416">
        <v>20.03</v>
      </c>
      <c r="Q280" s="536">
        <v>12.88</v>
      </c>
      <c r="R280" s="536">
        <v>13.11</v>
      </c>
    </row>
    <row r="281" spans="3:18" x14ac:dyDescent="0.4">
      <c r="C281" s="2204"/>
      <c r="D281" s="2204" t="s">
        <v>7847</v>
      </c>
      <c r="E281" s="1448">
        <v>0</v>
      </c>
      <c r="F281" s="1448">
        <v>0</v>
      </c>
      <c r="G281" s="1448">
        <v>0</v>
      </c>
      <c r="H281" s="1448">
        <v>0</v>
      </c>
      <c r="I281" s="1448">
        <v>0</v>
      </c>
      <c r="J281" s="1448">
        <v>0</v>
      </c>
      <c r="K281" s="1448">
        <v>0</v>
      </c>
      <c r="L281" s="1448">
        <v>0</v>
      </c>
      <c r="M281" s="1448">
        <v>0</v>
      </c>
      <c r="N281" s="1448">
        <v>0</v>
      </c>
      <c r="O281" s="536">
        <v>0</v>
      </c>
      <c r="P281" s="416">
        <v>0</v>
      </c>
      <c r="Q281" s="536">
        <v>0</v>
      </c>
      <c r="R281" s="536">
        <v>0</v>
      </c>
    </row>
    <row r="282" spans="3:18" x14ac:dyDescent="0.4">
      <c r="C282" s="2204"/>
      <c r="D282" s="2225" t="s">
        <v>7848</v>
      </c>
      <c r="E282" s="2226">
        <f>+E279+E280+E281</f>
        <v>3.4</v>
      </c>
      <c r="F282" s="2226">
        <f t="shared" ref="F282:Q282" si="91">+F279+F280+F281</f>
        <v>0.5</v>
      </c>
      <c r="G282" s="2226">
        <f t="shared" si="91"/>
        <v>0</v>
      </c>
      <c r="H282" s="2226">
        <f t="shared" si="91"/>
        <v>0</v>
      </c>
      <c r="I282" s="2226">
        <f t="shared" si="91"/>
        <v>8.3000000000000007</v>
      </c>
      <c r="J282" s="2226">
        <f t="shared" si="91"/>
        <v>0</v>
      </c>
      <c r="K282" s="2226">
        <f t="shared" si="91"/>
        <v>13.4</v>
      </c>
      <c r="L282" s="2226">
        <f t="shared" si="91"/>
        <v>22.4</v>
      </c>
      <c r="M282" s="2226">
        <f t="shared" si="91"/>
        <v>7.8</v>
      </c>
      <c r="N282" s="2226">
        <f t="shared" si="91"/>
        <v>14.3</v>
      </c>
      <c r="O282" s="2226">
        <f t="shared" si="91"/>
        <v>17.12</v>
      </c>
      <c r="P282" s="2211">
        <f t="shared" si="91"/>
        <v>20.03</v>
      </c>
      <c r="Q282" s="2211">
        <f t="shared" si="91"/>
        <v>12.88</v>
      </c>
      <c r="R282" s="2211">
        <f>+R281+R280+R279</f>
        <v>13.36</v>
      </c>
    </row>
    <row r="283" spans="3:18" x14ac:dyDescent="0.4">
      <c r="C283" s="2212" t="s">
        <v>7854</v>
      </c>
      <c r="D283" s="2212" t="s">
        <v>7845</v>
      </c>
      <c r="E283" s="2213">
        <v>1.2</v>
      </c>
      <c r="F283" s="2213">
        <v>1.1000000000000001</v>
      </c>
      <c r="G283" s="2213">
        <v>0</v>
      </c>
      <c r="H283" s="2213">
        <v>0</v>
      </c>
      <c r="I283" s="2213">
        <v>0.6</v>
      </c>
      <c r="J283" s="2213">
        <v>0</v>
      </c>
      <c r="K283" s="2213">
        <v>0.6</v>
      </c>
      <c r="L283" s="2213">
        <v>0</v>
      </c>
      <c r="M283" s="2213">
        <v>0</v>
      </c>
      <c r="N283" s="2213">
        <v>0.8</v>
      </c>
      <c r="O283" s="2216">
        <v>0.72</v>
      </c>
      <c r="P283" s="2215">
        <v>0</v>
      </c>
      <c r="Q283" s="2216">
        <v>0</v>
      </c>
      <c r="R283" s="2216">
        <v>0</v>
      </c>
    </row>
    <row r="284" spans="3:18" x14ac:dyDescent="0.4">
      <c r="C284" s="2212"/>
      <c r="D284" s="2212" t="s">
        <v>7846</v>
      </c>
      <c r="E284" s="2213">
        <v>0</v>
      </c>
      <c r="F284" s="2213">
        <v>0</v>
      </c>
      <c r="G284" s="2213">
        <v>0</v>
      </c>
      <c r="H284" s="2213">
        <v>0</v>
      </c>
      <c r="I284" s="2213">
        <v>0</v>
      </c>
      <c r="J284" s="2213">
        <v>0</v>
      </c>
      <c r="K284" s="2213">
        <v>0</v>
      </c>
      <c r="L284" s="2213">
        <v>0.4</v>
      </c>
      <c r="M284" s="2213">
        <v>0</v>
      </c>
      <c r="N284" s="2213">
        <v>0</v>
      </c>
      <c r="O284" s="2216">
        <v>0</v>
      </c>
      <c r="P284" s="2215">
        <v>0</v>
      </c>
      <c r="Q284" s="2216">
        <v>0</v>
      </c>
      <c r="R284" s="2216">
        <v>0</v>
      </c>
    </row>
    <row r="285" spans="3:18" x14ac:dyDescent="0.4">
      <c r="C285" s="2212"/>
      <c r="D285" s="2212" t="s">
        <v>7847</v>
      </c>
      <c r="E285" s="2213">
        <v>0</v>
      </c>
      <c r="F285" s="2213">
        <v>0</v>
      </c>
      <c r="G285" s="2213">
        <v>0</v>
      </c>
      <c r="H285" s="2213">
        <v>0</v>
      </c>
      <c r="I285" s="2213">
        <v>0</v>
      </c>
      <c r="J285" s="2213">
        <v>0</v>
      </c>
      <c r="K285" s="2213">
        <v>0</v>
      </c>
      <c r="L285" s="2213">
        <v>0</v>
      </c>
      <c r="M285" s="2213">
        <v>0</v>
      </c>
      <c r="N285" s="2213">
        <v>0</v>
      </c>
      <c r="O285" s="2216">
        <v>0</v>
      </c>
      <c r="P285" s="2215">
        <v>0</v>
      </c>
      <c r="Q285" s="2216">
        <v>0</v>
      </c>
      <c r="R285" s="2216">
        <v>0</v>
      </c>
    </row>
    <row r="286" spans="3:18" x14ac:dyDescent="0.4">
      <c r="C286" s="2212"/>
      <c r="D286" s="2217" t="s">
        <v>7848</v>
      </c>
      <c r="E286" s="2218">
        <f>+E283+E284+E285</f>
        <v>1.2</v>
      </c>
      <c r="F286" s="2218">
        <f t="shared" ref="F286:P286" si="92">+F283+F284+F285</f>
        <v>1.1000000000000001</v>
      </c>
      <c r="G286" s="2218">
        <f t="shared" si="92"/>
        <v>0</v>
      </c>
      <c r="H286" s="2218">
        <f t="shared" si="92"/>
        <v>0</v>
      </c>
      <c r="I286" s="2218">
        <f t="shared" si="92"/>
        <v>0.6</v>
      </c>
      <c r="J286" s="2218">
        <f t="shared" si="92"/>
        <v>0</v>
      </c>
      <c r="K286" s="2218">
        <f t="shared" si="92"/>
        <v>0.6</v>
      </c>
      <c r="L286" s="2218">
        <f t="shared" si="92"/>
        <v>0.4</v>
      </c>
      <c r="M286" s="2218">
        <f t="shared" si="92"/>
        <v>0</v>
      </c>
      <c r="N286" s="2218">
        <f t="shared" si="92"/>
        <v>0.8</v>
      </c>
      <c r="O286" s="2218">
        <f t="shared" si="92"/>
        <v>0.72</v>
      </c>
      <c r="P286" s="2219">
        <f t="shared" si="92"/>
        <v>0</v>
      </c>
      <c r="Q286" s="2216">
        <v>0</v>
      </c>
      <c r="R286" s="2216">
        <f>+R285+R284+R283</f>
        <v>0</v>
      </c>
    </row>
    <row r="287" spans="3:18" x14ac:dyDescent="0.4">
      <c r="C287" s="2204" t="s">
        <v>7855</v>
      </c>
      <c r="D287" s="2204" t="s">
        <v>7845</v>
      </c>
      <c r="E287" s="1448">
        <v>1.2</v>
      </c>
      <c r="F287" s="1448">
        <v>0.8</v>
      </c>
      <c r="G287" s="1448">
        <v>0</v>
      </c>
      <c r="H287" s="1448">
        <v>0.7</v>
      </c>
      <c r="I287" s="1448">
        <v>0.4</v>
      </c>
      <c r="J287" s="1448">
        <v>1.3</v>
      </c>
      <c r="K287" s="1448">
        <v>0.5</v>
      </c>
      <c r="L287" s="1448">
        <v>1.6</v>
      </c>
      <c r="M287" s="1448">
        <v>0</v>
      </c>
      <c r="N287" s="1448">
        <v>0</v>
      </c>
      <c r="O287" s="536">
        <v>0.78</v>
      </c>
      <c r="P287" s="416">
        <v>4.72</v>
      </c>
      <c r="Q287" s="416">
        <v>3.41</v>
      </c>
      <c r="R287" s="416">
        <v>0.71</v>
      </c>
    </row>
    <row r="288" spans="3:18" x14ac:dyDescent="0.4">
      <c r="C288" s="2204"/>
      <c r="D288" s="2204" t="s">
        <v>7846</v>
      </c>
      <c r="E288" s="1448">
        <v>0</v>
      </c>
      <c r="F288" s="1448">
        <v>0</v>
      </c>
      <c r="G288" s="1448">
        <v>0</v>
      </c>
      <c r="H288" s="1448">
        <v>0</v>
      </c>
      <c r="I288" s="1448">
        <v>0</v>
      </c>
      <c r="J288" s="1448">
        <v>0</v>
      </c>
      <c r="K288" s="1448">
        <v>0</v>
      </c>
      <c r="L288" s="1448">
        <v>0</v>
      </c>
      <c r="M288" s="1448">
        <v>0</v>
      </c>
      <c r="N288" s="1448">
        <v>0</v>
      </c>
      <c r="O288" s="536">
        <v>1.39</v>
      </c>
      <c r="P288" s="416">
        <v>0.19</v>
      </c>
      <c r="Q288" s="416">
        <v>0</v>
      </c>
      <c r="R288" s="416">
        <v>0</v>
      </c>
    </row>
    <row r="289" spans="3:18" x14ac:dyDescent="0.4">
      <c r="C289" s="2204"/>
      <c r="D289" s="2204" t="s">
        <v>7847</v>
      </c>
      <c r="E289" s="1448">
        <v>0</v>
      </c>
      <c r="F289" s="1448">
        <v>0</v>
      </c>
      <c r="G289" s="1448">
        <v>0</v>
      </c>
      <c r="H289" s="1448">
        <v>0</v>
      </c>
      <c r="I289" s="1448">
        <v>0</v>
      </c>
      <c r="J289" s="1448">
        <v>0</v>
      </c>
      <c r="K289" s="1448">
        <v>0</v>
      </c>
      <c r="L289" s="1448">
        <v>0</v>
      </c>
      <c r="M289" s="1448">
        <v>0</v>
      </c>
      <c r="N289" s="1448">
        <v>0</v>
      </c>
      <c r="O289" s="536">
        <v>0</v>
      </c>
      <c r="P289" s="416">
        <v>0</v>
      </c>
      <c r="Q289" s="416">
        <v>0</v>
      </c>
      <c r="R289" s="416">
        <v>0</v>
      </c>
    </row>
    <row r="290" spans="3:18" x14ac:dyDescent="0.4">
      <c r="C290" s="2204"/>
      <c r="D290" s="2225" t="s">
        <v>7848</v>
      </c>
      <c r="E290" s="2226">
        <f>+E287+E288+E289</f>
        <v>1.2</v>
      </c>
      <c r="F290" s="2226">
        <f t="shared" ref="F290:Q290" si="93">+F287+F288+F289</f>
        <v>0.8</v>
      </c>
      <c r="G290" s="2226">
        <f t="shared" si="93"/>
        <v>0</v>
      </c>
      <c r="H290" s="2226">
        <f t="shared" si="93"/>
        <v>0.7</v>
      </c>
      <c r="I290" s="2226">
        <f t="shared" si="93"/>
        <v>0.4</v>
      </c>
      <c r="J290" s="2226">
        <f t="shared" si="93"/>
        <v>1.3</v>
      </c>
      <c r="K290" s="2226">
        <f t="shared" si="93"/>
        <v>0.5</v>
      </c>
      <c r="L290" s="2226">
        <f t="shared" si="93"/>
        <v>1.6</v>
      </c>
      <c r="M290" s="2226">
        <f t="shared" si="93"/>
        <v>0</v>
      </c>
      <c r="N290" s="2226">
        <f t="shared" si="93"/>
        <v>0</v>
      </c>
      <c r="O290" s="2226">
        <f t="shared" si="93"/>
        <v>2.17</v>
      </c>
      <c r="P290" s="2211">
        <f t="shared" si="93"/>
        <v>4.91</v>
      </c>
      <c r="Q290" s="2211">
        <f t="shared" si="93"/>
        <v>3.41</v>
      </c>
      <c r="R290" s="2211">
        <f>+R289+R288+R287</f>
        <v>0.71</v>
      </c>
    </row>
    <row r="291" spans="3:18" x14ac:dyDescent="0.4">
      <c r="C291" s="2212" t="s">
        <v>7856</v>
      </c>
      <c r="D291" s="2212" t="s">
        <v>7845</v>
      </c>
      <c r="E291" s="2213">
        <v>1.2</v>
      </c>
      <c r="F291" s="2213">
        <v>1.7</v>
      </c>
      <c r="G291" s="2213">
        <v>2</v>
      </c>
      <c r="H291" s="2213">
        <v>0</v>
      </c>
      <c r="I291" s="2213">
        <v>0</v>
      </c>
      <c r="J291" s="2213">
        <v>0.6</v>
      </c>
      <c r="K291" s="2213">
        <v>0.7</v>
      </c>
      <c r="L291" s="2213">
        <v>1.1000000000000001</v>
      </c>
      <c r="M291" s="2213">
        <v>0</v>
      </c>
      <c r="N291" s="2213">
        <v>0.2</v>
      </c>
      <c r="O291" s="2216">
        <v>0</v>
      </c>
      <c r="P291" s="2215">
        <v>0</v>
      </c>
      <c r="Q291" s="2216">
        <v>0</v>
      </c>
      <c r="R291" s="2216">
        <v>0</v>
      </c>
    </row>
    <row r="292" spans="3:18" x14ac:dyDescent="0.4">
      <c r="C292" s="2212"/>
      <c r="D292" s="2212" t="s">
        <v>7846</v>
      </c>
      <c r="E292" s="2213">
        <v>0</v>
      </c>
      <c r="F292" s="2213">
        <v>0</v>
      </c>
      <c r="G292" s="2213">
        <v>0</v>
      </c>
      <c r="H292" s="2213">
        <v>0</v>
      </c>
      <c r="I292" s="2213">
        <v>0</v>
      </c>
      <c r="J292" s="2213">
        <v>0</v>
      </c>
      <c r="K292" s="2213">
        <v>0</v>
      </c>
      <c r="L292" s="2213">
        <v>0</v>
      </c>
      <c r="M292" s="2213">
        <v>0</v>
      </c>
      <c r="N292" s="2213">
        <v>0</v>
      </c>
      <c r="O292" s="2216">
        <v>0</v>
      </c>
      <c r="P292" s="2215">
        <v>0</v>
      </c>
      <c r="Q292" s="2216">
        <v>0</v>
      </c>
      <c r="R292" s="2216">
        <v>0</v>
      </c>
    </row>
    <row r="293" spans="3:18" x14ac:dyDescent="0.4">
      <c r="C293" s="2212"/>
      <c r="D293" s="2212" t="s">
        <v>7847</v>
      </c>
      <c r="E293" s="2213">
        <v>0</v>
      </c>
      <c r="F293" s="2213">
        <v>0</v>
      </c>
      <c r="G293" s="2213">
        <v>0</v>
      </c>
      <c r="H293" s="2213">
        <v>0</v>
      </c>
      <c r="I293" s="2213">
        <v>0</v>
      </c>
      <c r="J293" s="2213">
        <v>0</v>
      </c>
      <c r="K293" s="2213">
        <v>0</v>
      </c>
      <c r="L293" s="2213">
        <v>0</v>
      </c>
      <c r="M293" s="2213">
        <v>0</v>
      </c>
      <c r="N293" s="2213">
        <v>0</v>
      </c>
      <c r="O293" s="2216">
        <v>0</v>
      </c>
      <c r="P293" s="2215">
        <v>0</v>
      </c>
      <c r="Q293" s="2216">
        <v>0</v>
      </c>
      <c r="R293" s="2216">
        <v>0</v>
      </c>
    </row>
    <row r="294" spans="3:18" x14ac:dyDescent="0.4">
      <c r="C294" s="2212"/>
      <c r="D294" s="2217" t="s">
        <v>7848</v>
      </c>
      <c r="E294" s="2218">
        <f>+E291+E292+E293</f>
        <v>1.2</v>
      </c>
      <c r="F294" s="2218">
        <f t="shared" ref="F294:Q294" si="94">+F291+F292+F293</f>
        <v>1.7</v>
      </c>
      <c r="G294" s="2218">
        <f t="shared" si="94"/>
        <v>2</v>
      </c>
      <c r="H294" s="2218">
        <f t="shared" si="94"/>
        <v>0</v>
      </c>
      <c r="I294" s="2218">
        <f t="shared" si="94"/>
        <v>0</v>
      </c>
      <c r="J294" s="2218">
        <f t="shared" si="94"/>
        <v>0.6</v>
      </c>
      <c r="K294" s="2218">
        <f t="shared" si="94"/>
        <v>0.7</v>
      </c>
      <c r="L294" s="2218">
        <f t="shared" si="94"/>
        <v>1.1000000000000001</v>
      </c>
      <c r="M294" s="2218">
        <f t="shared" si="94"/>
        <v>0</v>
      </c>
      <c r="N294" s="2218">
        <f t="shared" si="94"/>
        <v>0.2</v>
      </c>
      <c r="O294" s="2218">
        <f t="shared" si="94"/>
        <v>0</v>
      </c>
      <c r="P294" s="2219">
        <f t="shared" si="94"/>
        <v>0</v>
      </c>
      <c r="Q294" s="2219">
        <f t="shared" si="94"/>
        <v>0</v>
      </c>
      <c r="R294" s="2219">
        <f>+R293+R292+R291</f>
        <v>0</v>
      </c>
    </row>
    <row r="295" spans="3:18" x14ac:dyDescent="0.4">
      <c r="C295" s="2204" t="s">
        <v>7857</v>
      </c>
      <c r="D295" s="2204" t="s">
        <v>7845</v>
      </c>
      <c r="E295" s="1448">
        <v>0.7</v>
      </c>
      <c r="F295" s="1448">
        <v>0</v>
      </c>
      <c r="G295" s="1448">
        <v>1</v>
      </c>
      <c r="H295" s="1448">
        <v>0</v>
      </c>
      <c r="I295" s="1448">
        <v>1.7</v>
      </c>
      <c r="J295" s="1448">
        <v>0</v>
      </c>
      <c r="K295" s="1448">
        <v>1.2</v>
      </c>
      <c r="L295" s="1448">
        <v>1.6</v>
      </c>
      <c r="M295" s="1448">
        <v>2</v>
      </c>
      <c r="N295" s="1448">
        <v>2</v>
      </c>
      <c r="O295" s="536">
        <v>2.65</v>
      </c>
      <c r="P295" s="416">
        <v>0</v>
      </c>
      <c r="Q295" s="536">
        <v>0</v>
      </c>
      <c r="R295" s="536">
        <v>0</v>
      </c>
    </row>
    <row r="296" spans="3:18" x14ac:dyDescent="0.4">
      <c r="C296" s="2204"/>
      <c r="D296" s="2204" t="s">
        <v>7846</v>
      </c>
      <c r="E296" s="1448">
        <v>0</v>
      </c>
      <c r="F296" s="1448">
        <v>0</v>
      </c>
      <c r="G296" s="1448">
        <v>0</v>
      </c>
      <c r="H296" s="1448">
        <v>0</v>
      </c>
      <c r="I296" s="1448">
        <v>0</v>
      </c>
      <c r="J296" s="1448">
        <v>0</v>
      </c>
      <c r="K296" s="1448">
        <v>0</v>
      </c>
      <c r="L296" s="1448">
        <v>0</v>
      </c>
      <c r="M296" s="1448">
        <v>3</v>
      </c>
      <c r="N296" s="1448">
        <v>1.4</v>
      </c>
      <c r="O296" s="536">
        <v>0</v>
      </c>
      <c r="P296" s="416">
        <v>0</v>
      </c>
      <c r="Q296" s="536">
        <v>0</v>
      </c>
      <c r="R296" s="536">
        <v>0</v>
      </c>
    </row>
    <row r="297" spans="3:18" x14ac:dyDescent="0.4">
      <c r="C297" s="2204"/>
      <c r="D297" s="2204" t="s">
        <v>7847</v>
      </c>
      <c r="E297" s="1448">
        <v>0</v>
      </c>
      <c r="F297" s="1448">
        <v>0</v>
      </c>
      <c r="G297" s="1448">
        <v>0</v>
      </c>
      <c r="H297" s="1448">
        <v>0</v>
      </c>
      <c r="I297" s="1448">
        <v>0</v>
      </c>
      <c r="J297" s="1448">
        <v>0</v>
      </c>
      <c r="K297" s="1448">
        <v>0</v>
      </c>
      <c r="L297" s="1448">
        <v>0</v>
      </c>
      <c r="M297" s="1448">
        <v>0</v>
      </c>
      <c r="N297" s="1448">
        <v>0</v>
      </c>
      <c r="O297" s="536">
        <v>0</v>
      </c>
      <c r="P297" s="416">
        <v>0</v>
      </c>
      <c r="Q297" s="536">
        <v>0</v>
      </c>
      <c r="R297" s="536">
        <v>0</v>
      </c>
    </row>
    <row r="298" spans="3:18" x14ac:dyDescent="0.4">
      <c r="C298" s="2204"/>
      <c r="D298" s="2225" t="s">
        <v>7848</v>
      </c>
      <c r="E298" s="2226">
        <f>+E295+E296+E297</f>
        <v>0.7</v>
      </c>
      <c r="F298" s="2226">
        <f t="shared" ref="F298:Q298" si="95">+F295+F296+F297</f>
        <v>0</v>
      </c>
      <c r="G298" s="2226">
        <f t="shared" si="95"/>
        <v>1</v>
      </c>
      <c r="H298" s="2226">
        <f t="shared" si="95"/>
        <v>0</v>
      </c>
      <c r="I298" s="2226">
        <f t="shared" si="95"/>
        <v>1.7</v>
      </c>
      <c r="J298" s="2226">
        <f t="shared" si="95"/>
        <v>0</v>
      </c>
      <c r="K298" s="2226">
        <f t="shared" si="95"/>
        <v>1.2</v>
      </c>
      <c r="L298" s="2226">
        <f t="shared" si="95"/>
        <v>1.6</v>
      </c>
      <c r="M298" s="2226">
        <f t="shared" si="95"/>
        <v>5</v>
      </c>
      <c r="N298" s="2226">
        <f t="shared" si="95"/>
        <v>3.4</v>
      </c>
      <c r="O298" s="2226">
        <f t="shared" si="95"/>
        <v>2.65</v>
      </c>
      <c r="P298" s="2211">
        <f t="shared" si="95"/>
        <v>0</v>
      </c>
      <c r="Q298" s="2211">
        <f t="shared" si="95"/>
        <v>0</v>
      </c>
      <c r="R298" s="2211">
        <f>+R297+R296+R295</f>
        <v>0</v>
      </c>
    </row>
    <row r="299" spans="3:18" x14ac:dyDescent="0.4">
      <c r="C299" s="2212" t="s">
        <v>7858</v>
      </c>
      <c r="D299" s="2212" t="s">
        <v>7845</v>
      </c>
      <c r="E299" s="2213">
        <v>0.7</v>
      </c>
      <c r="F299" s="2213">
        <v>0</v>
      </c>
      <c r="G299" s="2213">
        <v>0</v>
      </c>
      <c r="H299" s="2213">
        <v>0</v>
      </c>
      <c r="I299" s="2213">
        <v>0</v>
      </c>
      <c r="J299" s="2213">
        <v>0</v>
      </c>
      <c r="K299" s="2213">
        <v>0</v>
      </c>
      <c r="L299" s="2213">
        <v>0</v>
      </c>
      <c r="M299" s="2213">
        <v>0</v>
      </c>
      <c r="N299" s="2213">
        <v>0</v>
      </c>
      <c r="O299" s="2216">
        <v>0</v>
      </c>
      <c r="P299" s="2215">
        <v>0</v>
      </c>
      <c r="Q299" s="2216">
        <v>0</v>
      </c>
      <c r="R299" s="2216">
        <v>0</v>
      </c>
    </row>
    <row r="300" spans="3:18" x14ac:dyDescent="0.4">
      <c r="C300" s="2212"/>
      <c r="D300" s="2212" t="s">
        <v>7846</v>
      </c>
      <c r="E300" s="2213">
        <v>0</v>
      </c>
      <c r="F300" s="2213">
        <v>0</v>
      </c>
      <c r="G300" s="2213">
        <v>0</v>
      </c>
      <c r="H300" s="2213">
        <v>0</v>
      </c>
      <c r="I300" s="2213">
        <v>0</v>
      </c>
      <c r="J300" s="2213">
        <v>0</v>
      </c>
      <c r="K300" s="2213">
        <v>0</v>
      </c>
      <c r="L300" s="2213">
        <v>0</v>
      </c>
      <c r="M300" s="2213">
        <v>0</v>
      </c>
      <c r="N300" s="2213">
        <v>0.19</v>
      </c>
      <c r="O300" s="2216">
        <v>0</v>
      </c>
      <c r="P300" s="2215">
        <v>0</v>
      </c>
      <c r="Q300" s="2216">
        <v>0</v>
      </c>
      <c r="R300" s="2216">
        <v>0</v>
      </c>
    </row>
    <row r="301" spans="3:18" x14ac:dyDescent="0.4">
      <c r="C301" s="2212"/>
      <c r="D301" s="2212" t="s">
        <v>7847</v>
      </c>
      <c r="E301" s="2213">
        <v>0</v>
      </c>
      <c r="F301" s="2213">
        <v>0</v>
      </c>
      <c r="G301" s="2213">
        <v>0</v>
      </c>
      <c r="H301" s="2213">
        <v>0</v>
      </c>
      <c r="I301" s="2213">
        <v>0</v>
      </c>
      <c r="J301" s="2213">
        <v>0</v>
      </c>
      <c r="K301" s="2213">
        <v>0</v>
      </c>
      <c r="L301" s="2213">
        <v>0</v>
      </c>
      <c r="M301" s="2213">
        <v>0</v>
      </c>
      <c r="N301" s="2213">
        <v>0</v>
      </c>
      <c r="O301" s="2216">
        <v>0</v>
      </c>
      <c r="P301" s="2215">
        <v>0</v>
      </c>
      <c r="Q301" s="2216">
        <v>0</v>
      </c>
      <c r="R301" s="2216">
        <v>0</v>
      </c>
    </row>
    <row r="302" spans="3:18" x14ac:dyDescent="0.4">
      <c r="C302" s="2212"/>
      <c r="D302" s="2217" t="s">
        <v>7848</v>
      </c>
      <c r="E302" s="2218">
        <f>+E299+E300+E301</f>
        <v>0.7</v>
      </c>
      <c r="F302" s="2218">
        <f t="shared" ref="F302:Q302" si="96">+F299+F300+F301</f>
        <v>0</v>
      </c>
      <c r="G302" s="2218">
        <f t="shared" si="96"/>
        <v>0</v>
      </c>
      <c r="H302" s="2218">
        <f t="shared" si="96"/>
        <v>0</v>
      </c>
      <c r="I302" s="2218">
        <f t="shared" si="96"/>
        <v>0</v>
      </c>
      <c r="J302" s="2218">
        <f t="shared" si="96"/>
        <v>0</v>
      </c>
      <c r="K302" s="2218">
        <f t="shared" si="96"/>
        <v>0</v>
      </c>
      <c r="L302" s="2218">
        <f t="shared" si="96"/>
        <v>0</v>
      </c>
      <c r="M302" s="2218">
        <f t="shared" si="96"/>
        <v>0</v>
      </c>
      <c r="N302" s="2218">
        <f t="shared" si="96"/>
        <v>0.19</v>
      </c>
      <c r="O302" s="2218">
        <f t="shared" si="96"/>
        <v>0</v>
      </c>
      <c r="P302" s="2219">
        <f t="shared" si="96"/>
        <v>0</v>
      </c>
      <c r="Q302" s="2219">
        <f t="shared" si="96"/>
        <v>0</v>
      </c>
      <c r="R302" s="2219">
        <f>+R301+R300+R299</f>
        <v>0</v>
      </c>
    </row>
    <row r="303" spans="3:18" x14ac:dyDescent="0.4">
      <c r="C303" s="2204" t="s">
        <v>7859</v>
      </c>
      <c r="D303" s="2204" t="s">
        <v>7845</v>
      </c>
      <c r="E303" s="1448">
        <v>0.4</v>
      </c>
      <c r="F303" s="1448">
        <v>0.9</v>
      </c>
      <c r="G303" s="1448">
        <v>0</v>
      </c>
      <c r="H303" s="1448">
        <v>0</v>
      </c>
      <c r="I303" s="1448">
        <v>0</v>
      </c>
      <c r="J303" s="1448">
        <v>0.2</v>
      </c>
      <c r="K303" s="1448">
        <v>0</v>
      </c>
      <c r="L303" s="1448">
        <v>0</v>
      </c>
      <c r="M303" s="1448">
        <v>0</v>
      </c>
      <c r="N303" s="1448">
        <v>0</v>
      </c>
      <c r="O303" s="536">
        <v>0.16</v>
      </c>
      <c r="P303" s="416">
        <v>0.2</v>
      </c>
      <c r="Q303" s="536">
        <v>0.16</v>
      </c>
      <c r="R303" s="536">
        <v>0.11</v>
      </c>
    </row>
    <row r="304" spans="3:18" x14ac:dyDescent="0.4">
      <c r="C304" s="2204"/>
      <c r="D304" s="2204" t="s">
        <v>7846</v>
      </c>
      <c r="E304" s="1448">
        <v>0</v>
      </c>
      <c r="F304" s="1448">
        <v>0</v>
      </c>
      <c r="G304" s="1448">
        <v>0</v>
      </c>
      <c r="H304" s="1448">
        <v>0.6</v>
      </c>
      <c r="I304" s="1448">
        <v>0</v>
      </c>
      <c r="J304" s="1448">
        <v>0</v>
      </c>
      <c r="K304" s="1448">
        <v>0</v>
      </c>
      <c r="L304" s="1448">
        <v>0</v>
      </c>
      <c r="M304" s="1448">
        <v>0</v>
      </c>
      <c r="N304" s="1448">
        <v>0</v>
      </c>
      <c r="O304" s="536">
        <v>0</v>
      </c>
      <c r="P304" s="416">
        <v>0</v>
      </c>
      <c r="Q304" s="416">
        <v>0</v>
      </c>
      <c r="R304" s="416">
        <v>0.09</v>
      </c>
    </row>
    <row r="305" spans="3:18" x14ac:dyDescent="0.4">
      <c r="C305" s="2204"/>
      <c r="D305" s="2204" t="s">
        <v>7847</v>
      </c>
      <c r="E305" s="1448">
        <v>0</v>
      </c>
      <c r="F305" s="1448">
        <v>0</v>
      </c>
      <c r="G305" s="1448">
        <v>0</v>
      </c>
      <c r="H305" s="1448">
        <v>0</v>
      </c>
      <c r="I305" s="1448">
        <v>0</v>
      </c>
      <c r="J305" s="1448">
        <v>0</v>
      </c>
      <c r="K305" s="1448">
        <v>0</v>
      </c>
      <c r="L305" s="1448">
        <v>0</v>
      </c>
      <c r="M305" s="1448">
        <v>0</v>
      </c>
      <c r="N305" s="1448">
        <v>0</v>
      </c>
      <c r="O305" s="536">
        <v>0</v>
      </c>
      <c r="P305" s="416">
        <v>0</v>
      </c>
      <c r="Q305" s="416">
        <v>0</v>
      </c>
      <c r="R305" s="416">
        <v>0</v>
      </c>
    </row>
    <row r="306" spans="3:18" x14ac:dyDescent="0.4">
      <c r="C306" s="2204"/>
      <c r="D306" s="2225" t="s">
        <v>7848</v>
      </c>
      <c r="E306" s="2226">
        <f>+E303+E304+E305</f>
        <v>0.4</v>
      </c>
      <c r="F306" s="2226">
        <f t="shared" ref="F306:Q306" si="97">+F303+F304+F305</f>
        <v>0.9</v>
      </c>
      <c r="G306" s="2226">
        <f t="shared" si="97"/>
        <v>0</v>
      </c>
      <c r="H306" s="2226">
        <f t="shared" si="97"/>
        <v>0.6</v>
      </c>
      <c r="I306" s="2226">
        <f t="shared" si="97"/>
        <v>0</v>
      </c>
      <c r="J306" s="2226">
        <f t="shared" si="97"/>
        <v>0.2</v>
      </c>
      <c r="K306" s="2226">
        <f t="shared" si="97"/>
        <v>0</v>
      </c>
      <c r="L306" s="2226">
        <f t="shared" si="97"/>
        <v>0</v>
      </c>
      <c r="M306" s="2226">
        <f t="shared" si="97"/>
        <v>0</v>
      </c>
      <c r="N306" s="2226">
        <f t="shared" si="97"/>
        <v>0</v>
      </c>
      <c r="O306" s="2226">
        <f t="shared" si="97"/>
        <v>0.16</v>
      </c>
      <c r="P306" s="2211">
        <f t="shared" si="97"/>
        <v>0.2</v>
      </c>
      <c r="Q306" s="2211">
        <f t="shared" si="97"/>
        <v>0.16</v>
      </c>
      <c r="R306" s="2211">
        <f>+R305+R304+R303</f>
        <v>0.2</v>
      </c>
    </row>
    <row r="307" spans="3:18" x14ac:dyDescent="0.4">
      <c r="C307" s="2212" t="s">
        <v>7860</v>
      </c>
      <c r="D307" s="2212" t="s">
        <v>7845</v>
      </c>
      <c r="E307" s="2213">
        <v>0.4</v>
      </c>
      <c r="F307" s="2213">
        <v>0.3</v>
      </c>
      <c r="G307" s="2213">
        <v>0.5</v>
      </c>
      <c r="H307" s="2213">
        <v>1</v>
      </c>
      <c r="I307" s="2213">
        <v>0.5</v>
      </c>
      <c r="J307" s="2213">
        <v>0.6</v>
      </c>
      <c r="K307" s="2213">
        <v>0.6</v>
      </c>
      <c r="L307" s="2213">
        <v>0.6</v>
      </c>
      <c r="M307" s="2213">
        <v>3.3</v>
      </c>
      <c r="N307" s="2213">
        <v>0</v>
      </c>
      <c r="O307" s="2216">
        <v>1.97</v>
      </c>
      <c r="P307" s="2215">
        <v>0.33</v>
      </c>
      <c r="Q307" s="2215">
        <v>0.44</v>
      </c>
      <c r="R307" s="2215">
        <v>0.55000000000000004</v>
      </c>
    </row>
    <row r="308" spans="3:18" x14ac:dyDescent="0.4">
      <c r="C308" s="2212"/>
      <c r="D308" s="2212" t="s">
        <v>7846</v>
      </c>
      <c r="E308" s="2213">
        <v>0</v>
      </c>
      <c r="F308" s="2213">
        <v>0</v>
      </c>
      <c r="G308" s="2213">
        <v>0</v>
      </c>
      <c r="H308" s="2213">
        <v>0</v>
      </c>
      <c r="I308" s="2213">
        <v>0</v>
      </c>
      <c r="J308" s="2213">
        <v>0</v>
      </c>
      <c r="K308" s="2213">
        <v>0</v>
      </c>
      <c r="L308" s="2213">
        <v>0</v>
      </c>
      <c r="M308" s="2213">
        <v>0</v>
      </c>
      <c r="N308" s="2213">
        <v>0</v>
      </c>
      <c r="O308" s="2216">
        <v>0</v>
      </c>
      <c r="P308" s="2215">
        <v>0</v>
      </c>
      <c r="Q308" s="2215">
        <v>0</v>
      </c>
      <c r="R308" s="2215">
        <v>0</v>
      </c>
    </row>
    <row r="309" spans="3:18" x14ac:dyDescent="0.4">
      <c r="C309" s="2212"/>
      <c r="D309" s="2212" t="s">
        <v>7847</v>
      </c>
      <c r="E309" s="2213">
        <v>0</v>
      </c>
      <c r="F309" s="2213">
        <v>0</v>
      </c>
      <c r="G309" s="2213">
        <v>0</v>
      </c>
      <c r="H309" s="2213">
        <v>0</v>
      </c>
      <c r="I309" s="2213">
        <v>0</v>
      </c>
      <c r="J309" s="2213">
        <v>0</v>
      </c>
      <c r="K309" s="2213">
        <v>0</v>
      </c>
      <c r="L309" s="2213">
        <v>0</v>
      </c>
      <c r="M309" s="2213">
        <v>0</v>
      </c>
      <c r="N309" s="2213">
        <v>0</v>
      </c>
      <c r="O309" s="2216">
        <v>0</v>
      </c>
      <c r="P309" s="2215">
        <v>0</v>
      </c>
      <c r="Q309" s="2215">
        <v>0</v>
      </c>
      <c r="R309" s="2215">
        <v>0</v>
      </c>
    </row>
    <row r="310" spans="3:18" x14ac:dyDescent="0.4">
      <c r="C310" s="2212"/>
      <c r="D310" s="2217" t="s">
        <v>7848</v>
      </c>
      <c r="E310" s="2218">
        <f>+E307+E308+E309</f>
        <v>0.4</v>
      </c>
      <c r="F310" s="2218">
        <f t="shared" ref="F310:Q310" si="98">+F307+F308+F309</f>
        <v>0.3</v>
      </c>
      <c r="G310" s="2218">
        <f t="shared" si="98"/>
        <v>0.5</v>
      </c>
      <c r="H310" s="2218">
        <f t="shared" si="98"/>
        <v>1</v>
      </c>
      <c r="I310" s="2218">
        <f t="shared" si="98"/>
        <v>0.5</v>
      </c>
      <c r="J310" s="2218">
        <f t="shared" si="98"/>
        <v>0.6</v>
      </c>
      <c r="K310" s="2218">
        <f t="shared" si="98"/>
        <v>0.6</v>
      </c>
      <c r="L310" s="2218">
        <f t="shared" si="98"/>
        <v>0.6</v>
      </c>
      <c r="M310" s="2218">
        <f t="shared" si="98"/>
        <v>3.3</v>
      </c>
      <c r="N310" s="2218">
        <f t="shared" si="98"/>
        <v>0</v>
      </c>
      <c r="O310" s="2218">
        <f t="shared" si="98"/>
        <v>1.97</v>
      </c>
      <c r="P310" s="2219">
        <f t="shared" si="98"/>
        <v>0.33</v>
      </c>
      <c r="Q310" s="2219">
        <f t="shared" si="98"/>
        <v>0.44</v>
      </c>
      <c r="R310" s="2219">
        <f>+R309+R308+R307</f>
        <v>0.55000000000000004</v>
      </c>
    </row>
    <row r="311" spans="3:18" x14ac:dyDescent="0.4">
      <c r="C311" s="2204" t="s">
        <v>7861</v>
      </c>
      <c r="D311" s="2204" t="s">
        <v>7845</v>
      </c>
      <c r="E311" s="1448">
        <v>0.3</v>
      </c>
      <c r="F311" s="1448">
        <v>0</v>
      </c>
      <c r="G311" s="1448">
        <v>0</v>
      </c>
      <c r="H311" s="1448">
        <v>0.3</v>
      </c>
      <c r="I311" s="1448">
        <v>0.2</v>
      </c>
      <c r="J311" s="1448">
        <v>0</v>
      </c>
      <c r="K311" s="1448">
        <v>0.7</v>
      </c>
      <c r="L311" s="1448">
        <v>0</v>
      </c>
      <c r="M311" s="1448">
        <v>0</v>
      </c>
      <c r="N311" s="1448">
        <v>0.1</v>
      </c>
      <c r="O311" s="536">
        <v>0</v>
      </c>
      <c r="P311" s="416">
        <v>0.04</v>
      </c>
      <c r="Q311" s="536">
        <v>0</v>
      </c>
      <c r="R311" s="536">
        <v>0</v>
      </c>
    </row>
    <row r="312" spans="3:18" x14ac:dyDescent="0.4">
      <c r="C312" s="2204"/>
      <c r="D312" s="2204" t="s">
        <v>7846</v>
      </c>
      <c r="E312" s="1448">
        <v>0</v>
      </c>
      <c r="F312" s="1448">
        <v>0</v>
      </c>
      <c r="G312" s="1448">
        <v>0</v>
      </c>
      <c r="H312" s="1448">
        <v>0</v>
      </c>
      <c r="I312" s="1448">
        <v>0</v>
      </c>
      <c r="J312" s="1448">
        <v>0</v>
      </c>
      <c r="K312" s="1448">
        <v>0</v>
      </c>
      <c r="L312" s="1448">
        <v>0</v>
      </c>
      <c r="M312" s="1448">
        <v>0</v>
      </c>
      <c r="N312" s="1448">
        <v>0</v>
      </c>
      <c r="O312" s="536">
        <v>0.35</v>
      </c>
      <c r="P312" s="416">
        <v>0</v>
      </c>
      <c r="Q312" s="536">
        <v>0</v>
      </c>
      <c r="R312" s="536">
        <v>0.39</v>
      </c>
    </row>
    <row r="313" spans="3:18" x14ac:dyDescent="0.4">
      <c r="C313" s="2204"/>
      <c r="D313" s="2204" t="s">
        <v>7847</v>
      </c>
      <c r="E313" s="1448">
        <v>0</v>
      </c>
      <c r="F313" s="1448">
        <v>0</v>
      </c>
      <c r="G313" s="1448">
        <v>0</v>
      </c>
      <c r="H313" s="1448">
        <v>0</v>
      </c>
      <c r="I313" s="1448">
        <v>0</v>
      </c>
      <c r="J313" s="1448">
        <v>0</v>
      </c>
      <c r="K313" s="1448">
        <v>0</v>
      </c>
      <c r="L313" s="1448">
        <v>0</v>
      </c>
      <c r="M313" s="1448">
        <v>0</v>
      </c>
      <c r="N313" s="1448">
        <v>0</v>
      </c>
      <c r="O313" s="536">
        <v>0</v>
      </c>
      <c r="P313" s="416">
        <v>0</v>
      </c>
      <c r="Q313" s="536">
        <v>0</v>
      </c>
      <c r="R313" s="536">
        <v>0</v>
      </c>
    </row>
    <row r="314" spans="3:18" x14ac:dyDescent="0.4">
      <c r="C314" s="2204"/>
      <c r="D314" s="2225" t="s">
        <v>7848</v>
      </c>
      <c r="E314" s="2226">
        <f>+E311+E312+E313</f>
        <v>0.3</v>
      </c>
      <c r="F314" s="2226">
        <f t="shared" ref="F314:Q314" si="99">+F311+F312+F313</f>
        <v>0</v>
      </c>
      <c r="G314" s="2226">
        <f t="shared" si="99"/>
        <v>0</v>
      </c>
      <c r="H314" s="2226">
        <f t="shared" si="99"/>
        <v>0.3</v>
      </c>
      <c r="I314" s="2226">
        <f t="shared" si="99"/>
        <v>0.2</v>
      </c>
      <c r="J314" s="2226">
        <f t="shared" si="99"/>
        <v>0</v>
      </c>
      <c r="K314" s="2226">
        <f t="shared" si="99"/>
        <v>0.7</v>
      </c>
      <c r="L314" s="2226">
        <f t="shared" si="99"/>
        <v>0</v>
      </c>
      <c r="M314" s="2226">
        <f t="shared" si="99"/>
        <v>0</v>
      </c>
      <c r="N314" s="2226">
        <f t="shared" si="99"/>
        <v>0.1</v>
      </c>
      <c r="O314" s="2226">
        <f t="shared" si="99"/>
        <v>0.35</v>
      </c>
      <c r="P314" s="2211">
        <f t="shared" si="99"/>
        <v>0.04</v>
      </c>
      <c r="Q314" s="2211">
        <f t="shared" si="99"/>
        <v>0</v>
      </c>
      <c r="R314" s="2211">
        <f>+R313+R312+R311</f>
        <v>0.39</v>
      </c>
    </row>
    <row r="315" spans="3:18" x14ac:dyDescent="0.4">
      <c r="C315" s="2212" t="s">
        <v>7862</v>
      </c>
      <c r="D315" s="2212" t="s">
        <v>7845</v>
      </c>
      <c r="E315" s="2213">
        <v>0</v>
      </c>
      <c r="F315" s="2213">
        <v>0</v>
      </c>
      <c r="G315" s="2213">
        <v>0</v>
      </c>
      <c r="H315" s="2213">
        <v>0</v>
      </c>
      <c r="I315" s="2213">
        <v>0</v>
      </c>
      <c r="J315" s="2213">
        <v>0</v>
      </c>
      <c r="K315" s="2213">
        <v>0.1</v>
      </c>
      <c r="L315" s="2213">
        <v>0</v>
      </c>
      <c r="M315" s="2213">
        <v>0</v>
      </c>
      <c r="N315" s="2213">
        <v>0</v>
      </c>
      <c r="O315" s="2216">
        <v>0</v>
      </c>
      <c r="P315" s="2215">
        <v>0.1</v>
      </c>
      <c r="Q315" s="2216">
        <v>0</v>
      </c>
      <c r="R315" s="2216">
        <v>0</v>
      </c>
    </row>
    <row r="316" spans="3:18" x14ac:dyDescent="0.4">
      <c r="C316" s="2212"/>
      <c r="D316" s="2212" t="s">
        <v>7846</v>
      </c>
      <c r="E316" s="2213">
        <v>0</v>
      </c>
      <c r="F316" s="2213">
        <v>1.2</v>
      </c>
      <c r="G316" s="2213">
        <v>0</v>
      </c>
      <c r="H316" s="2213">
        <v>1.1000000000000001</v>
      </c>
      <c r="I316" s="2213">
        <v>0</v>
      </c>
      <c r="J316" s="2213">
        <v>3.1</v>
      </c>
      <c r="K316" s="2213">
        <v>0</v>
      </c>
      <c r="L316" s="2213">
        <v>0.3</v>
      </c>
      <c r="M316" s="2213">
        <v>2.4</v>
      </c>
      <c r="N316" s="2213">
        <v>0.2</v>
      </c>
      <c r="O316" s="2216">
        <v>3.75</v>
      </c>
      <c r="P316" s="2215">
        <v>0.8</v>
      </c>
      <c r="Q316" s="2216">
        <v>0.97</v>
      </c>
      <c r="R316" s="2216">
        <v>2.89</v>
      </c>
    </row>
    <row r="317" spans="3:18" x14ac:dyDescent="0.4">
      <c r="C317" s="2212"/>
      <c r="D317" s="2212" t="s">
        <v>7847</v>
      </c>
      <c r="E317" s="2213">
        <v>0</v>
      </c>
      <c r="F317" s="2213">
        <v>167</v>
      </c>
      <c r="G317" s="2213">
        <v>27</v>
      </c>
      <c r="H317" s="2213">
        <v>485</v>
      </c>
      <c r="I317" s="2213">
        <v>329</v>
      </c>
      <c r="J317" s="2213">
        <v>317.10000000000002</v>
      </c>
      <c r="K317" s="2213">
        <v>341.8</v>
      </c>
      <c r="L317" s="2213">
        <v>0</v>
      </c>
      <c r="M317" s="2213">
        <v>561.6</v>
      </c>
      <c r="N317" s="2213">
        <v>695.1</v>
      </c>
      <c r="O317" s="2216">
        <v>1340</v>
      </c>
      <c r="P317" s="2215">
        <v>589.9</v>
      </c>
      <c r="Q317" s="2216">
        <v>1190</v>
      </c>
      <c r="R317" s="2216">
        <v>1000</v>
      </c>
    </row>
    <row r="318" spans="3:18" x14ac:dyDescent="0.4">
      <c r="C318" s="2212"/>
      <c r="D318" s="2217" t="s">
        <v>7848</v>
      </c>
      <c r="E318" s="2218">
        <f>+E315+E316+E317</f>
        <v>0</v>
      </c>
      <c r="F318" s="2218">
        <f t="shared" ref="F318:Q318" si="100">+F315+F316+F317</f>
        <v>168.2</v>
      </c>
      <c r="G318" s="2218">
        <f t="shared" si="100"/>
        <v>27</v>
      </c>
      <c r="H318" s="2218">
        <f t="shared" si="100"/>
        <v>486.1</v>
      </c>
      <c r="I318" s="2218">
        <f t="shared" si="100"/>
        <v>329</v>
      </c>
      <c r="J318" s="2218">
        <f t="shared" si="100"/>
        <v>320.20000000000005</v>
      </c>
      <c r="K318" s="2218">
        <f t="shared" si="100"/>
        <v>341.90000000000003</v>
      </c>
      <c r="L318" s="2218">
        <f t="shared" si="100"/>
        <v>0.3</v>
      </c>
      <c r="M318" s="2218">
        <f t="shared" si="100"/>
        <v>564</v>
      </c>
      <c r="N318" s="2218">
        <f t="shared" si="100"/>
        <v>695.30000000000007</v>
      </c>
      <c r="O318" s="2218">
        <f t="shared" si="100"/>
        <v>1343.75</v>
      </c>
      <c r="P318" s="2219">
        <f t="shared" si="100"/>
        <v>590.79999999999995</v>
      </c>
      <c r="Q318" s="2219">
        <f t="shared" si="100"/>
        <v>1190.97</v>
      </c>
      <c r="R318" s="2219">
        <f>+R317+R316+R315</f>
        <v>1002.89</v>
      </c>
    </row>
    <row r="319" spans="3:18" x14ac:dyDescent="0.4">
      <c r="C319" s="2204" t="s">
        <v>7863</v>
      </c>
      <c r="D319" s="2204" t="s">
        <v>7845</v>
      </c>
      <c r="E319" s="1448">
        <v>1</v>
      </c>
      <c r="F319" s="1448">
        <v>0.6</v>
      </c>
      <c r="G319" s="1448">
        <v>0.1</v>
      </c>
      <c r="H319" s="1448">
        <v>0.8</v>
      </c>
      <c r="I319" s="1448">
        <v>0.6</v>
      </c>
      <c r="J319" s="1448">
        <v>0.3</v>
      </c>
      <c r="K319" s="1448">
        <v>2.7</v>
      </c>
      <c r="L319" s="1448">
        <v>1.7</v>
      </c>
      <c r="M319" s="1448">
        <v>2.5</v>
      </c>
      <c r="N319" s="1448">
        <v>10.8</v>
      </c>
      <c r="O319" s="536">
        <v>6.13</v>
      </c>
      <c r="P319" s="416">
        <v>0</v>
      </c>
      <c r="Q319" s="1382">
        <v>0.15</v>
      </c>
      <c r="R319" s="1382">
        <v>13.51</v>
      </c>
    </row>
    <row r="320" spans="3:18" x14ac:dyDescent="0.4">
      <c r="C320" s="2204"/>
      <c r="D320" s="2204" t="s">
        <v>7846</v>
      </c>
      <c r="E320" s="1448">
        <v>0</v>
      </c>
      <c r="F320" s="1448">
        <v>3.5</v>
      </c>
      <c r="G320" s="1448">
        <v>0</v>
      </c>
      <c r="H320" s="1448">
        <v>0</v>
      </c>
      <c r="I320" s="1448">
        <v>0</v>
      </c>
      <c r="J320" s="1448">
        <v>0</v>
      </c>
      <c r="K320" s="1448">
        <v>0</v>
      </c>
      <c r="L320" s="1448">
        <v>0</v>
      </c>
      <c r="M320" s="1448">
        <v>1.3</v>
      </c>
      <c r="N320" s="1448">
        <v>0</v>
      </c>
      <c r="O320" s="536">
        <v>0</v>
      </c>
      <c r="P320" s="416">
        <v>19.59</v>
      </c>
      <c r="Q320" s="1382">
        <v>1.1599999999999999</v>
      </c>
      <c r="R320" s="1382">
        <v>0</v>
      </c>
    </row>
    <row r="321" spans="3:18" x14ac:dyDescent="0.4">
      <c r="C321" s="2204"/>
      <c r="D321" s="2204" t="s">
        <v>7847</v>
      </c>
      <c r="E321" s="1448">
        <v>0</v>
      </c>
      <c r="F321" s="1448">
        <v>0</v>
      </c>
      <c r="G321" s="1448">
        <v>0</v>
      </c>
      <c r="H321" s="1448">
        <v>0</v>
      </c>
      <c r="I321" s="1448">
        <v>0</v>
      </c>
      <c r="J321" s="1448">
        <v>0</v>
      </c>
      <c r="K321" s="1448">
        <v>0</v>
      </c>
      <c r="L321" s="1448">
        <v>0</v>
      </c>
      <c r="M321" s="1448">
        <v>0</v>
      </c>
      <c r="N321" s="1448">
        <v>0</v>
      </c>
      <c r="O321" s="536">
        <v>0</v>
      </c>
      <c r="P321" s="416">
        <v>0</v>
      </c>
      <c r="Q321" s="1382">
        <v>0</v>
      </c>
      <c r="R321" s="1382">
        <v>0</v>
      </c>
    </row>
    <row r="322" spans="3:18" x14ac:dyDescent="0.4">
      <c r="C322" s="2204"/>
      <c r="D322" s="2225" t="s">
        <v>7848</v>
      </c>
      <c r="E322" s="2226">
        <f>+E319+E320+E321</f>
        <v>1</v>
      </c>
      <c r="F322" s="2226">
        <f t="shared" ref="F322:Q322" si="101">+F319+F320+F321</f>
        <v>4.0999999999999996</v>
      </c>
      <c r="G322" s="2226">
        <f t="shared" si="101"/>
        <v>0.1</v>
      </c>
      <c r="H322" s="2226">
        <f t="shared" si="101"/>
        <v>0.8</v>
      </c>
      <c r="I322" s="2226">
        <f t="shared" si="101"/>
        <v>0.6</v>
      </c>
      <c r="J322" s="2226">
        <f t="shared" si="101"/>
        <v>0.3</v>
      </c>
      <c r="K322" s="2226">
        <f t="shared" si="101"/>
        <v>2.7</v>
      </c>
      <c r="L322" s="2226">
        <f t="shared" si="101"/>
        <v>1.7</v>
      </c>
      <c r="M322" s="2226">
        <f t="shared" si="101"/>
        <v>3.8</v>
      </c>
      <c r="N322" s="2226">
        <f t="shared" si="101"/>
        <v>10.8</v>
      </c>
      <c r="O322" s="2226">
        <f t="shared" si="101"/>
        <v>6.13</v>
      </c>
      <c r="P322" s="2211">
        <f t="shared" si="101"/>
        <v>19.59</v>
      </c>
      <c r="Q322" s="2211">
        <f t="shared" si="101"/>
        <v>1.3099999999999998</v>
      </c>
      <c r="R322" s="2211">
        <f>+R321+R320+R319</f>
        <v>13.51</v>
      </c>
    </row>
    <row r="323" spans="3:18" x14ac:dyDescent="0.4">
      <c r="C323" s="2212" t="s">
        <v>7864</v>
      </c>
      <c r="D323" s="2212" t="s">
        <v>7845</v>
      </c>
      <c r="E323" s="2213">
        <v>0</v>
      </c>
      <c r="F323" s="2213">
        <v>2.1</v>
      </c>
      <c r="G323" s="2213">
        <v>1.9</v>
      </c>
      <c r="H323" s="2213">
        <v>1.2</v>
      </c>
      <c r="I323" s="2213">
        <v>1.5</v>
      </c>
      <c r="J323" s="2213">
        <v>0</v>
      </c>
      <c r="K323" s="2213">
        <v>1.3</v>
      </c>
      <c r="L323" s="2213">
        <v>0</v>
      </c>
      <c r="M323" s="2213">
        <v>0</v>
      </c>
      <c r="N323" s="2213">
        <v>0</v>
      </c>
      <c r="O323" s="2216">
        <v>0</v>
      </c>
      <c r="P323" s="2215">
        <v>0</v>
      </c>
      <c r="Q323" s="2216">
        <v>0</v>
      </c>
      <c r="R323" s="2216">
        <v>0</v>
      </c>
    </row>
    <row r="324" spans="3:18" x14ac:dyDescent="0.4">
      <c r="C324" s="2212"/>
      <c r="D324" s="2212" t="s">
        <v>7846</v>
      </c>
      <c r="E324" s="2213">
        <v>0</v>
      </c>
      <c r="F324" s="2213">
        <v>0</v>
      </c>
      <c r="G324" s="2213">
        <v>0</v>
      </c>
      <c r="H324" s="2213">
        <v>0</v>
      </c>
      <c r="I324" s="2213">
        <v>0</v>
      </c>
      <c r="J324" s="2213">
        <v>0</v>
      </c>
      <c r="K324" s="2213">
        <v>0</v>
      </c>
      <c r="L324" s="2213">
        <v>0</v>
      </c>
      <c r="M324" s="2213">
        <v>0</v>
      </c>
      <c r="N324" s="2213">
        <v>0</v>
      </c>
      <c r="O324" s="2216">
        <v>0.01</v>
      </c>
      <c r="P324" s="2215">
        <v>0</v>
      </c>
      <c r="Q324" s="2216">
        <v>0</v>
      </c>
      <c r="R324" s="2216">
        <v>0</v>
      </c>
    </row>
    <row r="325" spans="3:18" x14ac:dyDescent="0.4">
      <c r="C325" s="2212"/>
      <c r="D325" s="2212" t="s">
        <v>7847</v>
      </c>
      <c r="E325" s="2213">
        <v>0</v>
      </c>
      <c r="F325" s="2213">
        <v>0</v>
      </c>
      <c r="G325" s="2213">
        <v>0</v>
      </c>
      <c r="H325" s="2213">
        <v>0</v>
      </c>
      <c r="I325" s="2213">
        <v>0</v>
      </c>
      <c r="J325" s="2213">
        <v>0</v>
      </c>
      <c r="K325" s="2213">
        <v>0</v>
      </c>
      <c r="L325" s="2213">
        <v>0</v>
      </c>
      <c r="M325" s="2213">
        <v>0</v>
      </c>
      <c r="N325" s="2213">
        <v>0</v>
      </c>
      <c r="O325" s="2216">
        <v>0</v>
      </c>
      <c r="P325" s="2215">
        <v>0</v>
      </c>
      <c r="Q325" s="2216">
        <v>0</v>
      </c>
      <c r="R325" s="2216">
        <v>0</v>
      </c>
    </row>
    <row r="326" spans="3:18" x14ac:dyDescent="0.4">
      <c r="C326" s="2212"/>
      <c r="D326" s="2217" t="s">
        <v>7848</v>
      </c>
      <c r="E326" s="2218">
        <f>+E323+E324+E325</f>
        <v>0</v>
      </c>
      <c r="F326" s="2218">
        <f t="shared" ref="F326:Q326" si="102">+F323+F324+F325</f>
        <v>2.1</v>
      </c>
      <c r="G326" s="2218">
        <f t="shared" si="102"/>
        <v>1.9</v>
      </c>
      <c r="H326" s="2218">
        <f t="shared" si="102"/>
        <v>1.2</v>
      </c>
      <c r="I326" s="2218">
        <f t="shared" si="102"/>
        <v>1.5</v>
      </c>
      <c r="J326" s="2218">
        <f t="shared" si="102"/>
        <v>0</v>
      </c>
      <c r="K326" s="2218">
        <f t="shared" si="102"/>
        <v>1.3</v>
      </c>
      <c r="L326" s="2218">
        <f t="shared" si="102"/>
        <v>0</v>
      </c>
      <c r="M326" s="2218">
        <f t="shared" si="102"/>
        <v>0</v>
      </c>
      <c r="N326" s="2218">
        <f t="shared" si="102"/>
        <v>0</v>
      </c>
      <c r="O326" s="2218">
        <f t="shared" si="102"/>
        <v>0.01</v>
      </c>
      <c r="P326" s="2219">
        <f t="shared" si="102"/>
        <v>0</v>
      </c>
      <c r="Q326" s="2219">
        <f t="shared" si="102"/>
        <v>0</v>
      </c>
      <c r="R326" s="2219">
        <f>+R325+R324+R323</f>
        <v>0</v>
      </c>
    </row>
    <row r="327" spans="3:18" x14ac:dyDescent="0.4">
      <c r="C327" s="2204" t="s">
        <v>7865</v>
      </c>
      <c r="D327" s="2204" t="s">
        <v>7845</v>
      </c>
      <c r="E327" s="1448">
        <v>0</v>
      </c>
      <c r="F327" s="1448">
        <v>1.3</v>
      </c>
      <c r="G327" s="1448">
        <v>0</v>
      </c>
      <c r="H327" s="1448">
        <v>0</v>
      </c>
      <c r="I327" s="1448">
        <v>0.5</v>
      </c>
      <c r="J327" s="1448">
        <v>0.2</v>
      </c>
      <c r="K327" s="1448">
        <v>1</v>
      </c>
      <c r="L327" s="1448">
        <v>0.1</v>
      </c>
      <c r="M327" s="1448">
        <v>0</v>
      </c>
      <c r="N327" s="1448">
        <v>0.4</v>
      </c>
      <c r="O327" s="536">
        <v>0</v>
      </c>
      <c r="P327" s="416">
        <v>0</v>
      </c>
      <c r="Q327" s="416">
        <v>0.67</v>
      </c>
      <c r="R327" s="416">
        <v>0.42</v>
      </c>
    </row>
    <row r="328" spans="3:18" x14ac:dyDescent="0.4">
      <c r="C328" s="2204"/>
      <c r="D328" s="2204" t="s">
        <v>7846</v>
      </c>
      <c r="E328" s="1448">
        <v>0</v>
      </c>
      <c r="F328" s="1448">
        <v>0</v>
      </c>
      <c r="G328" s="1448">
        <v>0.4</v>
      </c>
      <c r="H328" s="1448">
        <v>0.4</v>
      </c>
      <c r="I328" s="1448">
        <v>0</v>
      </c>
      <c r="J328" s="1448">
        <v>0</v>
      </c>
      <c r="K328" s="1448">
        <v>0</v>
      </c>
      <c r="L328" s="1448">
        <v>0</v>
      </c>
      <c r="M328" s="1448">
        <v>0</v>
      </c>
      <c r="N328" s="1448">
        <v>0</v>
      </c>
      <c r="O328" s="536">
        <v>0.01</v>
      </c>
      <c r="P328" s="416">
        <v>0</v>
      </c>
      <c r="Q328" s="416">
        <v>0</v>
      </c>
      <c r="R328" s="416">
        <v>0</v>
      </c>
    </row>
    <row r="329" spans="3:18" x14ac:dyDescent="0.4">
      <c r="C329" s="2204"/>
      <c r="D329" s="2204" t="s">
        <v>7847</v>
      </c>
      <c r="E329" s="1448">
        <v>0</v>
      </c>
      <c r="F329" s="1448">
        <v>0</v>
      </c>
      <c r="G329" s="1448">
        <v>0</v>
      </c>
      <c r="H329" s="1448">
        <v>0</v>
      </c>
      <c r="I329" s="1448">
        <v>0</v>
      </c>
      <c r="J329" s="1448">
        <v>0</v>
      </c>
      <c r="K329" s="1448">
        <v>0</v>
      </c>
      <c r="L329" s="1448">
        <v>0</v>
      </c>
      <c r="M329" s="1448">
        <v>0</v>
      </c>
      <c r="N329" s="1448">
        <v>0</v>
      </c>
      <c r="O329" s="536">
        <v>0</v>
      </c>
      <c r="P329" s="416">
        <v>0</v>
      </c>
      <c r="Q329" s="416">
        <v>0</v>
      </c>
      <c r="R329" s="416">
        <v>0</v>
      </c>
    </row>
    <row r="330" spans="3:18" x14ac:dyDescent="0.4">
      <c r="C330" s="2204"/>
      <c r="D330" s="2225" t="s">
        <v>7848</v>
      </c>
      <c r="E330" s="2226">
        <f>+E327+E328+E329</f>
        <v>0</v>
      </c>
      <c r="F330" s="2226">
        <f t="shared" ref="F330:Q330" si="103">+F327+F328+F329</f>
        <v>1.3</v>
      </c>
      <c r="G330" s="2226">
        <f t="shared" si="103"/>
        <v>0.4</v>
      </c>
      <c r="H330" s="2226">
        <f t="shared" si="103"/>
        <v>0.4</v>
      </c>
      <c r="I330" s="2226">
        <f t="shared" si="103"/>
        <v>0.5</v>
      </c>
      <c r="J330" s="2226">
        <f t="shared" si="103"/>
        <v>0.2</v>
      </c>
      <c r="K330" s="2226">
        <f t="shared" si="103"/>
        <v>1</v>
      </c>
      <c r="L330" s="2226">
        <f t="shared" si="103"/>
        <v>0.1</v>
      </c>
      <c r="M330" s="2226">
        <f t="shared" si="103"/>
        <v>0</v>
      </c>
      <c r="N330" s="2226">
        <f t="shared" si="103"/>
        <v>0.4</v>
      </c>
      <c r="O330" s="2226">
        <f t="shared" si="103"/>
        <v>0.01</v>
      </c>
      <c r="P330" s="2211">
        <f t="shared" si="103"/>
        <v>0</v>
      </c>
      <c r="Q330" s="2211">
        <f t="shared" si="103"/>
        <v>0.67</v>
      </c>
      <c r="R330" s="2211">
        <f>+R329+R328+R327</f>
        <v>0.42</v>
      </c>
    </row>
    <row r="331" spans="3:18" x14ac:dyDescent="0.4">
      <c r="C331" s="2212" t="s">
        <v>7866</v>
      </c>
      <c r="D331" s="2212" t="s">
        <v>7845</v>
      </c>
      <c r="E331" s="2213">
        <v>0</v>
      </c>
      <c r="F331" s="2213">
        <v>0</v>
      </c>
      <c r="G331" s="2213">
        <v>0</v>
      </c>
      <c r="H331" s="2213">
        <v>0</v>
      </c>
      <c r="I331" s="2213">
        <v>0</v>
      </c>
      <c r="J331" s="2213">
        <v>0</v>
      </c>
      <c r="K331" s="2213">
        <v>0</v>
      </c>
      <c r="L331" s="2213">
        <v>0</v>
      </c>
      <c r="M331" s="2213">
        <v>0</v>
      </c>
      <c r="N331" s="2213">
        <v>0</v>
      </c>
      <c r="O331" s="2216">
        <v>0</v>
      </c>
      <c r="P331" s="2215">
        <v>0</v>
      </c>
      <c r="Q331" s="2216">
        <v>0</v>
      </c>
      <c r="R331" s="2216">
        <v>0</v>
      </c>
    </row>
    <row r="332" spans="3:18" x14ac:dyDescent="0.4">
      <c r="C332" s="2212"/>
      <c r="D332" s="2212" t="s">
        <v>7846</v>
      </c>
      <c r="E332" s="2213">
        <v>0</v>
      </c>
      <c r="F332" s="2213">
        <v>0</v>
      </c>
      <c r="G332" s="2213">
        <v>0</v>
      </c>
      <c r="H332" s="2213">
        <v>0</v>
      </c>
      <c r="I332" s="2213">
        <v>0</v>
      </c>
      <c r="J332" s="2213">
        <v>0</v>
      </c>
      <c r="K332" s="2213">
        <v>0</v>
      </c>
      <c r="L332" s="2213">
        <v>0</v>
      </c>
      <c r="M332" s="2213">
        <v>0</v>
      </c>
      <c r="N332" s="2213">
        <v>0</v>
      </c>
      <c r="O332" s="2216">
        <v>0</v>
      </c>
      <c r="P332" s="2215">
        <v>0</v>
      </c>
      <c r="Q332" s="2216">
        <v>0</v>
      </c>
      <c r="R332" s="2216">
        <v>0</v>
      </c>
    </row>
    <row r="333" spans="3:18" x14ac:dyDescent="0.4">
      <c r="C333" s="2212"/>
      <c r="D333" s="2212" t="s">
        <v>7847</v>
      </c>
      <c r="E333" s="2213">
        <v>0</v>
      </c>
      <c r="F333" s="2213">
        <v>0</v>
      </c>
      <c r="G333" s="2213">
        <v>0</v>
      </c>
      <c r="H333" s="2213">
        <v>0</v>
      </c>
      <c r="I333" s="2213">
        <v>0</v>
      </c>
      <c r="J333" s="2213">
        <v>70</v>
      </c>
      <c r="K333" s="2213">
        <v>0</v>
      </c>
      <c r="L333" s="2213">
        <v>0</v>
      </c>
      <c r="M333" s="2213">
        <v>0</v>
      </c>
      <c r="N333" s="2213">
        <v>0</v>
      </c>
      <c r="O333" s="2216">
        <v>0</v>
      </c>
      <c r="P333" s="2215">
        <v>0</v>
      </c>
      <c r="Q333" s="2216">
        <v>0</v>
      </c>
      <c r="R333" s="2216">
        <v>250</v>
      </c>
    </row>
    <row r="334" spans="3:18" x14ac:dyDescent="0.4">
      <c r="C334" s="2212"/>
      <c r="D334" s="2217" t="s">
        <v>7848</v>
      </c>
      <c r="E334" s="2218">
        <f>+E331+E332+E333</f>
        <v>0</v>
      </c>
      <c r="F334" s="2218">
        <f t="shared" ref="F334:Q334" si="104">+F331+F332+F333</f>
        <v>0</v>
      </c>
      <c r="G334" s="2218">
        <f t="shared" si="104"/>
        <v>0</v>
      </c>
      <c r="H334" s="2218">
        <f t="shared" si="104"/>
        <v>0</v>
      </c>
      <c r="I334" s="2218">
        <f t="shared" si="104"/>
        <v>0</v>
      </c>
      <c r="J334" s="2218">
        <f t="shared" si="104"/>
        <v>70</v>
      </c>
      <c r="K334" s="2218">
        <f t="shared" si="104"/>
        <v>0</v>
      </c>
      <c r="L334" s="2218">
        <f t="shared" si="104"/>
        <v>0</v>
      </c>
      <c r="M334" s="2218">
        <f t="shared" si="104"/>
        <v>0</v>
      </c>
      <c r="N334" s="2218">
        <f t="shared" si="104"/>
        <v>0</v>
      </c>
      <c r="O334" s="2218">
        <f t="shared" si="104"/>
        <v>0</v>
      </c>
      <c r="P334" s="2219">
        <f t="shared" si="104"/>
        <v>0</v>
      </c>
      <c r="Q334" s="2219">
        <f t="shared" si="104"/>
        <v>0</v>
      </c>
      <c r="R334" s="2219">
        <f>+R333+R332+R331</f>
        <v>250</v>
      </c>
    </row>
    <row r="335" spans="3:18" x14ac:dyDescent="0.4">
      <c r="C335" s="2204" t="s">
        <v>7867</v>
      </c>
      <c r="D335" s="2204" t="s">
        <v>7845</v>
      </c>
      <c r="E335" s="1448">
        <v>0</v>
      </c>
      <c r="F335" s="1448">
        <v>0</v>
      </c>
      <c r="G335" s="1448">
        <v>0</v>
      </c>
      <c r="H335" s="1448">
        <v>0</v>
      </c>
      <c r="I335" s="1448">
        <v>0</v>
      </c>
      <c r="J335" s="1448">
        <v>0</v>
      </c>
      <c r="K335" s="1448">
        <v>2</v>
      </c>
      <c r="L335" s="1448">
        <v>0.7</v>
      </c>
      <c r="M335" s="1448">
        <v>4.8</v>
      </c>
      <c r="N335" s="1448">
        <v>0</v>
      </c>
      <c r="O335" s="536">
        <v>0</v>
      </c>
      <c r="P335" s="416">
        <v>0</v>
      </c>
      <c r="Q335" s="416">
        <v>0</v>
      </c>
      <c r="R335" s="416">
        <v>0</v>
      </c>
    </row>
    <row r="336" spans="3:18" x14ac:dyDescent="0.4">
      <c r="C336" s="2204"/>
      <c r="D336" s="2204" t="s">
        <v>7846</v>
      </c>
      <c r="E336" s="1448">
        <v>0</v>
      </c>
      <c r="F336" s="1448">
        <v>0</v>
      </c>
      <c r="G336" s="1448">
        <v>0</v>
      </c>
      <c r="H336" s="1448">
        <v>0</v>
      </c>
      <c r="I336" s="1448">
        <v>0</v>
      </c>
      <c r="J336" s="1448">
        <v>0</v>
      </c>
      <c r="K336" s="1448">
        <v>0</v>
      </c>
      <c r="L336" s="1448">
        <v>0</v>
      </c>
      <c r="M336" s="1448">
        <v>0</v>
      </c>
      <c r="N336" s="1448">
        <v>9.1</v>
      </c>
      <c r="O336" s="536">
        <v>11.05</v>
      </c>
      <c r="P336" s="416">
        <v>12.07</v>
      </c>
      <c r="Q336" s="416">
        <v>9.98</v>
      </c>
      <c r="R336" s="416">
        <v>11.46</v>
      </c>
    </row>
    <row r="337" spans="3:18" x14ac:dyDescent="0.4">
      <c r="C337" s="2204"/>
      <c r="D337" s="2204" t="s">
        <v>7847</v>
      </c>
      <c r="E337" s="1448">
        <v>0</v>
      </c>
      <c r="F337" s="1448">
        <v>0</v>
      </c>
      <c r="G337" s="1448">
        <v>0</v>
      </c>
      <c r="H337" s="1448">
        <v>0</v>
      </c>
      <c r="I337" s="1448">
        <v>0</v>
      </c>
      <c r="J337" s="1448">
        <v>0</v>
      </c>
      <c r="K337" s="1448">
        <v>0</v>
      </c>
      <c r="L337" s="1448">
        <v>0</v>
      </c>
      <c r="M337" s="1448">
        <v>0</v>
      </c>
      <c r="N337" s="1448">
        <v>0</v>
      </c>
      <c r="O337" s="536">
        <v>0</v>
      </c>
      <c r="P337" s="416">
        <v>0</v>
      </c>
      <c r="Q337" s="416">
        <v>0</v>
      </c>
      <c r="R337" s="416">
        <v>0</v>
      </c>
    </row>
    <row r="338" spans="3:18" x14ac:dyDescent="0.4">
      <c r="C338" s="2204"/>
      <c r="D338" s="2225" t="s">
        <v>7848</v>
      </c>
      <c r="E338" s="2226">
        <f>+E335+E336+E337</f>
        <v>0</v>
      </c>
      <c r="F338" s="2226">
        <f t="shared" ref="F338:Q338" si="105">+F335+F336+F337</f>
        <v>0</v>
      </c>
      <c r="G338" s="2226">
        <f t="shared" si="105"/>
        <v>0</v>
      </c>
      <c r="H338" s="2226">
        <f t="shared" si="105"/>
        <v>0</v>
      </c>
      <c r="I338" s="2226">
        <f t="shared" si="105"/>
        <v>0</v>
      </c>
      <c r="J338" s="2226">
        <f t="shared" si="105"/>
        <v>0</v>
      </c>
      <c r="K338" s="2226">
        <f t="shared" si="105"/>
        <v>2</v>
      </c>
      <c r="L338" s="2226">
        <f t="shared" si="105"/>
        <v>0.7</v>
      </c>
      <c r="M338" s="2226">
        <f t="shared" si="105"/>
        <v>4.8</v>
      </c>
      <c r="N338" s="2226">
        <f t="shared" si="105"/>
        <v>9.1</v>
      </c>
      <c r="O338" s="2226">
        <f t="shared" si="105"/>
        <v>11.05</v>
      </c>
      <c r="P338" s="2211">
        <f t="shared" si="105"/>
        <v>12.07</v>
      </c>
      <c r="Q338" s="2211">
        <f t="shared" si="105"/>
        <v>9.98</v>
      </c>
      <c r="R338" s="2211">
        <f>+R337+R336+R335</f>
        <v>11.46</v>
      </c>
    </row>
    <row r="339" spans="3:18" x14ac:dyDescent="0.4">
      <c r="C339" s="2212" t="s">
        <v>7868</v>
      </c>
      <c r="D339" s="2212" t="s">
        <v>7845</v>
      </c>
      <c r="E339" s="2213">
        <v>0</v>
      </c>
      <c r="F339" s="2213">
        <v>0</v>
      </c>
      <c r="G339" s="2213">
        <v>0</v>
      </c>
      <c r="H339" s="2213">
        <v>0</v>
      </c>
      <c r="I339" s="2213">
        <v>0</v>
      </c>
      <c r="J339" s="2213">
        <v>0</v>
      </c>
      <c r="K339" s="2213">
        <v>1.6</v>
      </c>
      <c r="L339" s="2213">
        <v>0.7</v>
      </c>
      <c r="M339" s="2213">
        <v>0</v>
      </c>
      <c r="N339" s="2213">
        <v>0.6</v>
      </c>
      <c r="O339" s="2216">
        <v>2.78</v>
      </c>
      <c r="P339" s="2215">
        <v>1.19</v>
      </c>
      <c r="Q339" s="2216">
        <v>0.1</v>
      </c>
      <c r="R339" s="2216">
        <v>0</v>
      </c>
    </row>
    <row r="340" spans="3:18" x14ac:dyDescent="0.4">
      <c r="C340" s="2212"/>
      <c r="D340" s="2212" t="s">
        <v>7846</v>
      </c>
      <c r="E340" s="2213">
        <v>0</v>
      </c>
      <c r="F340" s="2213">
        <v>0</v>
      </c>
      <c r="G340" s="2213">
        <v>0</v>
      </c>
      <c r="H340" s="2213">
        <v>0</v>
      </c>
      <c r="I340" s="2213">
        <v>0</v>
      </c>
      <c r="J340" s="2213">
        <v>0</v>
      </c>
      <c r="K340" s="2213">
        <v>0</v>
      </c>
      <c r="L340" s="2213">
        <v>0</v>
      </c>
      <c r="M340" s="2213">
        <v>0</v>
      </c>
      <c r="N340" s="2213">
        <v>0</v>
      </c>
      <c r="O340" s="2216">
        <v>0</v>
      </c>
      <c r="P340" s="2215">
        <v>0</v>
      </c>
      <c r="Q340" s="2216">
        <v>0</v>
      </c>
      <c r="R340" s="2216">
        <v>0.03</v>
      </c>
    </row>
    <row r="341" spans="3:18" x14ac:dyDescent="0.4">
      <c r="C341" s="2212"/>
      <c r="D341" s="2212" t="s">
        <v>7847</v>
      </c>
      <c r="E341" s="2213">
        <v>0</v>
      </c>
      <c r="F341" s="2213">
        <v>0</v>
      </c>
      <c r="G341" s="2213">
        <v>0</v>
      </c>
      <c r="H341" s="2213">
        <v>0</v>
      </c>
      <c r="I341" s="2213">
        <v>0</v>
      </c>
      <c r="J341" s="2213">
        <v>0</v>
      </c>
      <c r="K341" s="2213">
        <v>0</v>
      </c>
      <c r="L341" s="2213">
        <v>0</v>
      </c>
      <c r="M341" s="2213">
        <v>0</v>
      </c>
      <c r="N341" s="2213">
        <v>0</v>
      </c>
      <c r="O341" s="2216">
        <v>0</v>
      </c>
      <c r="P341" s="2215">
        <v>0</v>
      </c>
      <c r="Q341" s="2216">
        <v>0</v>
      </c>
      <c r="R341" s="2216">
        <v>0</v>
      </c>
    </row>
    <row r="342" spans="3:18" x14ac:dyDescent="0.4">
      <c r="C342" s="2212"/>
      <c r="D342" s="2217" t="s">
        <v>7848</v>
      </c>
      <c r="E342" s="2218">
        <f>+E339+E340+E341</f>
        <v>0</v>
      </c>
      <c r="F342" s="2218">
        <f t="shared" ref="F342:Q342" si="106">+F339+F340+F341</f>
        <v>0</v>
      </c>
      <c r="G342" s="2218">
        <f t="shared" si="106"/>
        <v>0</v>
      </c>
      <c r="H342" s="2218">
        <f t="shared" si="106"/>
        <v>0</v>
      </c>
      <c r="I342" s="2218">
        <f t="shared" si="106"/>
        <v>0</v>
      </c>
      <c r="J342" s="2218">
        <f t="shared" si="106"/>
        <v>0</v>
      </c>
      <c r="K342" s="2218">
        <f t="shared" si="106"/>
        <v>1.6</v>
      </c>
      <c r="L342" s="2218">
        <f t="shared" si="106"/>
        <v>0.7</v>
      </c>
      <c r="M342" s="2218">
        <f t="shared" si="106"/>
        <v>0</v>
      </c>
      <c r="N342" s="2218">
        <f t="shared" si="106"/>
        <v>0.6</v>
      </c>
      <c r="O342" s="2218">
        <f t="shared" si="106"/>
        <v>2.78</v>
      </c>
      <c r="P342" s="2219">
        <f t="shared" si="106"/>
        <v>1.19</v>
      </c>
      <c r="Q342" s="2219">
        <f t="shared" si="106"/>
        <v>0.1</v>
      </c>
      <c r="R342" s="2219">
        <f>+R341+R340+R339</f>
        <v>0.03</v>
      </c>
    </row>
    <row r="343" spans="3:18" x14ac:dyDescent="0.4">
      <c r="C343" s="2204" t="s">
        <v>7869</v>
      </c>
      <c r="D343" s="2204" t="s">
        <v>7845</v>
      </c>
      <c r="E343" s="1448">
        <v>0</v>
      </c>
      <c r="F343" s="1448">
        <v>0</v>
      </c>
      <c r="G343" s="1448">
        <v>0</v>
      </c>
      <c r="H343" s="1448">
        <v>0</v>
      </c>
      <c r="I343" s="1448">
        <v>0</v>
      </c>
      <c r="J343" s="1448">
        <v>0</v>
      </c>
      <c r="K343" s="1448">
        <v>0</v>
      </c>
      <c r="L343" s="1448">
        <v>0</v>
      </c>
      <c r="M343" s="1448">
        <v>0</v>
      </c>
      <c r="N343" s="1448">
        <v>0</v>
      </c>
      <c r="O343" s="536">
        <v>0</v>
      </c>
      <c r="P343" s="416">
        <v>0</v>
      </c>
      <c r="Q343" s="536">
        <v>0</v>
      </c>
      <c r="R343" s="536">
        <v>0</v>
      </c>
    </row>
    <row r="344" spans="3:18" x14ac:dyDescent="0.4">
      <c r="C344" s="2204"/>
      <c r="D344" s="2204" t="s">
        <v>7846</v>
      </c>
      <c r="E344" s="1448">
        <v>0</v>
      </c>
      <c r="F344" s="1448">
        <v>0</v>
      </c>
      <c r="G344" s="1448">
        <v>0</v>
      </c>
      <c r="H344" s="1448">
        <v>0</v>
      </c>
      <c r="I344" s="1448">
        <v>0</v>
      </c>
      <c r="J344" s="1448">
        <v>0</v>
      </c>
      <c r="K344" s="1448">
        <v>0</v>
      </c>
      <c r="L344" s="1448">
        <v>0</v>
      </c>
      <c r="M344" s="1448">
        <v>0</v>
      </c>
      <c r="N344" s="1448">
        <v>0</v>
      </c>
      <c r="O344" s="536">
        <v>0</v>
      </c>
      <c r="P344" s="416">
        <v>0</v>
      </c>
      <c r="Q344" s="536">
        <v>0</v>
      </c>
      <c r="R344" s="536">
        <v>0</v>
      </c>
    </row>
    <row r="345" spans="3:18" x14ac:dyDescent="0.4">
      <c r="C345" s="2204"/>
      <c r="D345" s="2204" t="s">
        <v>7847</v>
      </c>
      <c r="E345" s="1448">
        <v>0</v>
      </c>
      <c r="F345" s="1448">
        <v>0</v>
      </c>
      <c r="G345" s="1448">
        <v>0</v>
      </c>
      <c r="H345" s="1448">
        <v>0</v>
      </c>
      <c r="I345" s="1448">
        <v>0</v>
      </c>
      <c r="J345" s="1448">
        <v>0</v>
      </c>
      <c r="K345" s="1448">
        <v>0</v>
      </c>
      <c r="L345" s="1448">
        <v>0</v>
      </c>
      <c r="M345" s="1448">
        <v>0</v>
      </c>
      <c r="N345" s="1448">
        <v>0</v>
      </c>
      <c r="O345" s="536">
        <v>0</v>
      </c>
      <c r="P345" s="416">
        <v>0</v>
      </c>
      <c r="Q345" s="536">
        <v>0</v>
      </c>
      <c r="R345" s="536">
        <v>0</v>
      </c>
    </row>
    <row r="346" spans="3:18" x14ac:dyDescent="0.4">
      <c r="C346" s="2204"/>
      <c r="D346" s="2225" t="s">
        <v>7848</v>
      </c>
      <c r="E346" s="2226">
        <f>+E343+E344+E345</f>
        <v>0</v>
      </c>
      <c r="F346" s="2226">
        <f t="shared" ref="F346:Q346" si="107">+F343+F344+F345</f>
        <v>0</v>
      </c>
      <c r="G346" s="2226">
        <f t="shared" si="107"/>
        <v>0</v>
      </c>
      <c r="H346" s="2226">
        <f t="shared" si="107"/>
        <v>0</v>
      </c>
      <c r="I346" s="2226">
        <f t="shared" si="107"/>
        <v>0</v>
      </c>
      <c r="J346" s="2226">
        <f t="shared" si="107"/>
        <v>0</v>
      </c>
      <c r="K346" s="2226">
        <f t="shared" si="107"/>
        <v>0</v>
      </c>
      <c r="L346" s="2226">
        <f t="shared" si="107"/>
        <v>0</v>
      </c>
      <c r="M346" s="2226">
        <f t="shared" si="107"/>
        <v>0</v>
      </c>
      <c r="N346" s="2226">
        <f t="shared" si="107"/>
        <v>0</v>
      </c>
      <c r="O346" s="2226">
        <f t="shared" si="107"/>
        <v>0</v>
      </c>
      <c r="P346" s="2211">
        <f t="shared" si="107"/>
        <v>0</v>
      </c>
      <c r="Q346" s="2211">
        <f t="shared" si="107"/>
        <v>0</v>
      </c>
      <c r="R346" s="2211">
        <f>+R345+R344+R343</f>
        <v>0</v>
      </c>
    </row>
    <row r="347" spans="3:18" x14ac:dyDescent="0.4">
      <c r="C347" s="2212" t="s">
        <v>7870</v>
      </c>
      <c r="D347" s="2212" t="s">
        <v>7845</v>
      </c>
      <c r="E347" s="2213">
        <v>0</v>
      </c>
      <c r="F347" s="2213">
        <v>0</v>
      </c>
      <c r="G347" s="2213">
        <v>0</v>
      </c>
      <c r="H347" s="2213">
        <v>0</v>
      </c>
      <c r="I347" s="2213">
        <v>0</v>
      </c>
      <c r="J347" s="2213">
        <v>0</v>
      </c>
      <c r="K347" s="2213">
        <v>0</v>
      </c>
      <c r="L347" s="2213">
        <v>0</v>
      </c>
      <c r="M347" s="2213">
        <v>0</v>
      </c>
      <c r="N347" s="2213">
        <v>0</v>
      </c>
      <c r="O347" s="2216">
        <v>0</v>
      </c>
      <c r="P347" s="2215">
        <v>0</v>
      </c>
      <c r="Q347" s="2216">
        <v>0</v>
      </c>
      <c r="R347" s="2216">
        <v>0</v>
      </c>
    </row>
    <row r="348" spans="3:18" x14ac:dyDescent="0.4">
      <c r="C348" s="2212"/>
      <c r="D348" s="2212" t="s">
        <v>7846</v>
      </c>
      <c r="E348" s="2213">
        <v>0</v>
      </c>
      <c r="F348" s="2213">
        <v>0</v>
      </c>
      <c r="G348" s="2213">
        <v>0</v>
      </c>
      <c r="H348" s="2213">
        <v>0</v>
      </c>
      <c r="I348" s="2213">
        <v>0</v>
      </c>
      <c r="J348" s="2213">
        <v>0</v>
      </c>
      <c r="K348" s="2213">
        <v>0</v>
      </c>
      <c r="L348" s="2213">
        <v>0</v>
      </c>
      <c r="M348" s="2213">
        <v>3</v>
      </c>
      <c r="N348" s="2213">
        <v>0.6</v>
      </c>
      <c r="O348" s="2216">
        <v>0</v>
      </c>
      <c r="P348" s="2215">
        <v>54.1</v>
      </c>
      <c r="Q348" s="2216">
        <v>0</v>
      </c>
      <c r="R348" s="2216">
        <v>0</v>
      </c>
    </row>
    <row r="349" spans="3:18" x14ac:dyDescent="0.4">
      <c r="C349" s="2212"/>
      <c r="D349" s="2212" t="s">
        <v>7847</v>
      </c>
      <c r="E349" s="2213">
        <v>0</v>
      </c>
      <c r="F349" s="2213">
        <v>0</v>
      </c>
      <c r="G349" s="2213">
        <v>0</v>
      </c>
      <c r="H349" s="2213">
        <v>0</v>
      </c>
      <c r="I349" s="2213">
        <v>0</v>
      </c>
      <c r="J349" s="2213">
        <v>0</v>
      </c>
      <c r="K349" s="2213">
        <v>0</v>
      </c>
      <c r="L349" s="2213">
        <v>0</v>
      </c>
      <c r="M349" s="2213">
        <v>0</v>
      </c>
      <c r="N349" s="2213">
        <v>0</v>
      </c>
      <c r="O349" s="2216">
        <v>0</v>
      </c>
      <c r="P349" s="2215">
        <v>0</v>
      </c>
      <c r="Q349" s="2216">
        <v>0</v>
      </c>
      <c r="R349" s="2216">
        <v>0</v>
      </c>
    </row>
    <row r="350" spans="3:18" x14ac:dyDescent="0.4">
      <c r="C350" s="2212"/>
      <c r="D350" s="2217" t="s">
        <v>7848</v>
      </c>
      <c r="E350" s="2218">
        <f>+E347+E348+E349</f>
        <v>0</v>
      </c>
      <c r="F350" s="2218">
        <f t="shared" ref="F350:Q350" si="108">+F347+F348+F349</f>
        <v>0</v>
      </c>
      <c r="G350" s="2218">
        <f t="shared" si="108"/>
        <v>0</v>
      </c>
      <c r="H350" s="2218">
        <f t="shared" si="108"/>
        <v>0</v>
      </c>
      <c r="I350" s="2218">
        <f t="shared" si="108"/>
        <v>0</v>
      </c>
      <c r="J350" s="2218">
        <f t="shared" si="108"/>
        <v>0</v>
      </c>
      <c r="K350" s="2218">
        <f t="shared" si="108"/>
        <v>0</v>
      </c>
      <c r="L350" s="2218">
        <f t="shared" si="108"/>
        <v>0</v>
      </c>
      <c r="M350" s="2218">
        <f t="shared" si="108"/>
        <v>3</v>
      </c>
      <c r="N350" s="2218">
        <f t="shared" si="108"/>
        <v>0.6</v>
      </c>
      <c r="O350" s="2218">
        <f t="shared" si="108"/>
        <v>0</v>
      </c>
      <c r="P350" s="2219">
        <f t="shared" si="108"/>
        <v>54.1</v>
      </c>
      <c r="Q350" s="2219">
        <f t="shared" si="108"/>
        <v>0</v>
      </c>
      <c r="R350" s="2219">
        <f>+R349+R348+R347</f>
        <v>0</v>
      </c>
    </row>
    <row r="351" spans="3:18" x14ac:dyDescent="0.4">
      <c r="C351" s="2204" t="s">
        <v>7871</v>
      </c>
      <c r="D351" s="2204" t="s">
        <v>7845</v>
      </c>
      <c r="E351" s="1448">
        <v>0</v>
      </c>
      <c r="F351" s="1448">
        <v>0</v>
      </c>
      <c r="G351" s="1448">
        <v>0</v>
      </c>
      <c r="H351" s="1448">
        <v>0</v>
      </c>
      <c r="I351" s="1448">
        <v>0</v>
      </c>
      <c r="J351" s="1448">
        <v>0</v>
      </c>
      <c r="K351" s="1448">
        <v>0</v>
      </c>
      <c r="L351" s="1448">
        <v>0</v>
      </c>
      <c r="M351" s="1448">
        <v>0</v>
      </c>
      <c r="N351" s="1448">
        <v>0</v>
      </c>
      <c r="O351" s="536">
        <v>0</v>
      </c>
      <c r="P351" s="416">
        <v>0</v>
      </c>
      <c r="Q351" s="536">
        <v>0</v>
      </c>
      <c r="R351" s="536">
        <v>0</v>
      </c>
    </row>
    <row r="352" spans="3:18" x14ac:dyDescent="0.4">
      <c r="C352" s="2204"/>
      <c r="D352" s="2204" t="s">
        <v>7846</v>
      </c>
      <c r="E352" s="1448">
        <v>0</v>
      </c>
      <c r="F352" s="1448">
        <v>0</v>
      </c>
      <c r="G352" s="1448">
        <v>0</v>
      </c>
      <c r="H352" s="1448">
        <v>0</v>
      </c>
      <c r="I352" s="1448">
        <v>0</v>
      </c>
      <c r="J352" s="1448">
        <v>0</v>
      </c>
      <c r="K352" s="1448">
        <v>0</v>
      </c>
      <c r="L352" s="1448">
        <v>0</v>
      </c>
      <c r="M352" s="1448">
        <v>3</v>
      </c>
      <c r="N352" s="1448">
        <v>2.2000000000000002</v>
      </c>
      <c r="O352" s="536">
        <v>0</v>
      </c>
      <c r="P352" s="416">
        <v>0</v>
      </c>
      <c r="Q352" s="536">
        <v>0</v>
      </c>
      <c r="R352" s="536">
        <v>0</v>
      </c>
    </row>
    <row r="353" spans="3:18" x14ac:dyDescent="0.4">
      <c r="C353" s="2204"/>
      <c r="D353" s="2204" t="s">
        <v>7847</v>
      </c>
      <c r="E353" s="1448">
        <v>0</v>
      </c>
      <c r="F353" s="1448">
        <v>0</v>
      </c>
      <c r="G353" s="1448">
        <v>0</v>
      </c>
      <c r="H353" s="1448">
        <v>0</v>
      </c>
      <c r="I353" s="1448">
        <v>0</v>
      </c>
      <c r="J353" s="1448">
        <v>0</v>
      </c>
      <c r="K353" s="1448">
        <v>0</v>
      </c>
      <c r="L353" s="1448">
        <v>0</v>
      </c>
      <c r="M353" s="1448">
        <v>0</v>
      </c>
      <c r="N353" s="1448">
        <v>0</v>
      </c>
      <c r="O353" s="536">
        <v>0</v>
      </c>
      <c r="P353" s="416">
        <v>0</v>
      </c>
      <c r="Q353" s="536">
        <v>0</v>
      </c>
      <c r="R353" s="536">
        <v>0</v>
      </c>
    </row>
    <row r="354" spans="3:18" x14ac:dyDescent="0.4">
      <c r="C354" s="2204"/>
      <c r="D354" s="2225" t="s">
        <v>7848</v>
      </c>
      <c r="E354" s="2226">
        <f>+E351+E352+E353</f>
        <v>0</v>
      </c>
      <c r="F354" s="2226">
        <f t="shared" ref="F354:Q354" si="109">+F351+F352+F353</f>
        <v>0</v>
      </c>
      <c r="G354" s="2226">
        <f t="shared" si="109"/>
        <v>0</v>
      </c>
      <c r="H354" s="2226">
        <f t="shared" si="109"/>
        <v>0</v>
      </c>
      <c r="I354" s="2226">
        <f t="shared" si="109"/>
        <v>0</v>
      </c>
      <c r="J354" s="2226">
        <f t="shared" si="109"/>
        <v>0</v>
      </c>
      <c r="K354" s="2226">
        <f t="shared" si="109"/>
        <v>0</v>
      </c>
      <c r="L354" s="2226">
        <f t="shared" si="109"/>
        <v>0</v>
      </c>
      <c r="M354" s="2226">
        <f t="shared" si="109"/>
        <v>3</v>
      </c>
      <c r="N354" s="2226">
        <f t="shared" si="109"/>
        <v>2.2000000000000002</v>
      </c>
      <c r="O354" s="2226">
        <f t="shared" si="109"/>
        <v>0</v>
      </c>
      <c r="P354" s="2211">
        <f t="shared" si="109"/>
        <v>0</v>
      </c>
      <c r="Q354" s="2211">
        <f t="shared" si="109"/>
        <v>0</v>
      </c>
      <c r="R354" s="2211">
        <f>+R353+R352+R351</f>
        <v>0</v>
      </c>
    </row>
    <row r="355" spans="3:18" ht="17.45" customHeight="1" x14ac:dyDescent="0.4">
      <c r="C355" s="2212" t="s">
        <v>7872</v>
      </c>
      <c r="D355" s="2212" t="s">
        <v>7845</v>
      </c>
      <c r="E355" s="2213">
        <v>0</v>
      </c>
      <c r="F355" s="2213">
        <v>0</v>
      </c>
      <c r="G355" s="2213">
        <v>0</v>
      </c>
      <c r="H355" s="2213">
        <v>0</v>
      </c>
      <c r="I355" s="2213">
        <v>0</v>
      </c>
      <c r="J355" s="2213">
        <v>0</v>
      </c>
      <c r="K355" s="2213">
        <v>0</v>
      </c>
      <c r="L355" s="2213">
        <v>0</v>
      </c>
      <c r="M355" s="2213">
        <v>0</v>
      </c>
      <c r="N355" s="2213">
        <v>0</v>
      </c>
      <c r="O355" s="2216">
        <v>0</v>
      </c>
      <c r="P355" s="2215">
        <v>0</v>
      </c>
      <c r="Q355" s="2216">
        <v>0</v>
      </c>
      <c r="R355" s="2216">
        <v>0</v>
      </c>
    </row>
    <row r="356" spans="3:18" ht="17.45" customHeight="1" x14ac:dyDescent="0.4">
      <c r="C356" s="2212"/>
      <c r="D356" s="2212" t="s">
        <v>7846</v>
      </c>
      <c r="E356" s="2213">
        <v>0</v>
      </c>
      <c r="F356" s="2213">
        <v>0</v>
      </c>
      <c r="G356" s="2213">
        <v>0</v>
      </c>
      <c r="H356" s="2213">
        <v>0</v>
      </c>
      <c r="I356" s="2213">
        <v>0</v>
      </c>
      <c r="J356" s="2213">
        <v>0</v>
      </c>
      <c r="K356" s="2213">
        <v>0</v>
      </c>
      <c r="L356" s="2213">
        <v>0</v>
      </c>
      <c r="M356" s="2213">
        <v>0</v>
      </c>
      <c r="N356" s="2213">
        <v>0</v>
      </c>
      <c r="O356" s="2216">
        <v>0</v>
      </c>
      <c r="P356" s="2215">
        <v>0</v>
      </c>
      <c r="Q356" s="2216">
        <v>0</v>
      </c>
      <c r="R356" s="2216">
        <v>0</v>
      </c>
    </row>
    <row r="357" spans="3:18" x14ac:dyDescent="0.4">
      <c r="C357" s="2212"/>
      <c r="D357" s="2212" t="s">
        <v>7847</v>
      </c>
      <c r="E357" s="2213">
        <v>0</v>
      </c>
      <c r="F357" s="2213">
        <v>0</v>
      </c>
      <c r="G357" s="2213">
        <v>0</v>
      </c>
      <c r="H357" s="2213">
        <v>0</v>
      </c>
      <c r="I357" s="2213">
        <v>0</v>
      </c>
      <c r="J357" s="2213">
        <v>0</v>
      </c>
      <c r="K357" s="2213">
        <v>0</v>
      </c>
      <c r="L357" s="2213">
        <v>0</v>
      </c>
      <c r="M357" s="2213">
        <v>0</v>
      </c>
      <c r="N357" s="2213">
        <v>0</v>
      </c>
      <c r="O357" s="2216">
        <v>1029.7</v>
      </c>
      <c r="P357" s="2215">
        <v>1778</v>
      </c>
      <c r="Q357" s="2216">
        <v>710</v>
      </c>
      <c r="R357" s="2216">
        <v>0</v>
      </c>
    </row>
    <row r="358" spans="3:18" x14ac:dyDescent="0.4">
      <c r="C358" s="2212"/>
      <c r="D358" s="2217" t="s">
        <v>7848</v>
      </c>
      <c r="E358" s="2218">
        <f>+E355+E356+E357</f>
        <v>0</v>
      </c>
      <c r="F358" s="2218">
        <f t="shared" ref="F358:Q358" si="110">+F355+F356+F357</f>
        <v>0</v>
      </c>
      <c r="G358" s="2218">
        <f t="shared" si="110"/>
        <v>0</v>
      </c>
      <c r="H358" s="2218">
        <f t="shared" si="110"/>
        <v>0</v>
      </c>
      <c r="I358" s="2218">
        <f t="shared" si="110"/>
        <v>0</v>
      </c>
      <c r="J358" s="2218">
        <f t="shared" si="110"/>
        <v>0</v>
      </c>
      <c r="K358" s="2218">
        <f t="shared" si="110"/>
        <v>0</v>
      </c>
      <c r="L358" s="2218">
        <f t="shared" si="110"/>
        <v>0</v>
      </c>
      <c r="M358" s="2218">
        <f t="shared" si="110"/>
        <v>0</v>
      </c>
      <c r="N358" s="2218">
        <f t="shared" si="110"/>
        <v>0</v>
      </c>
      <c r="O358" s="2218">
        <f t="shared" si="110"/>
        <v>1029.7</v>
      </c>
      <c r="P358" s="2219">
        <f t="shared" si="110"/>
        <v>1778</v>
      </c>
      <c r="Q358" s="2219">
        <f t="shared" si="110"/>
        <v>710</v>
      </c>
      <c r="R358" s="2219">
        <f>+R357+R356+R355</f>
        <v>0</v>
      </c>
    </row>
    <row r="359" spans="3:18" x14ac:dyDescent="0.4">
      <c r="C359" s="2204" t="s">
        <v>7873</v>
      </c>
      <c r="D359" s="2204" t="s">
        <v>7845</v>
      </c>
      <c r="E359" s="1448">
        <v>0</v>
      </c>
      <c r="F359" s="1448">
        <v>0</v>
      </c>
      <c r="G359" s="1448">
        <v>0</v>
      </c>
      <c r="H359" s="1448">
        <v>0</v>
      </c>
      <c r="I359" s="1448">
        <v>0</v>
      </c>
      <c r="J359" s="1448">
        <v>0</v>
      </c>
      <c r="K359" s="1448">
        <v>0</v>
      </c>
      <c r="L359" s="1448">
        <v>0</v>
      </c>
      <c r="M359" s="1448">
        <v>0</v>
      </c>
      <c r="N359" s="1448">
        <v>0.1</v>
      </c>
      <c r="O359" s="536">
        <v>0</v>
      </c>
      <c r="P359" s="416">
        <v>0</v>
      </c>
      <c r="Q359" s="536">
        <v>0</v>
      </c>
      <c r="R359" s="536">
        <v>0</v>
      </c>
    </row>
    <row r="360" spans="3:18" x14ac:dyDescent="0.4">
      <c r="C360" s="2204"/>
      <c r="D360" s="2204" t="s">
        <v>7846</v>
      </c>
      <c r="E360" s="1448">
        <v>0</v>
      </c>
      <c r="F360" s="1448">
        <v>0</v>
      </c>
      <c r="G360" s="1448">
        <v>0</v>
      </c>
      <c r="H360" s="1448">
        <v>0</v>
      </c>
      <c r="I360" s="1448">
        <v>0</v>
      </c>
      <c r="J360" s="1448">
        <v>0</v>
      </c>
      <c r="K360" s="1448">
        <v>0</v>
      </c>
      <c r="L360" s="1448">
        <v>0</v>
      </c>
      <c r="M360" s="1448">
        <v>3</v>
      </c>
      <c r="N360" s="1448">
        <v>0</v>
      </c>
      <c r="O360" s="536">
        <v>0</v>
      </c>
      <c r="P360" s="416">
        <v>0</v>
      </c>
      <c r="Q360" s="536">
        <v>0</v>
      </c>
      <c r="R360" s="536">
        <f>0.01+1.39+0.02+0.02+0.01</f>
        <v>1.45</v>
      </c>
    </row>
    <row r="361" spans="3:18" x14ac:dyDescent="0.4">
      <c r="C361" s="2204"/>
      <c r="D361" s="2204" t="s">
        <v>7847</v>
      </c>
      <c r="E361" s="1448">
        <v>0</v>
      </c>
      <c r="F361" s="1448">
        <v>0</v>
      </c>
      <c r="G361" s="1448">
        <v>0</v>
      </c>
      <c r="H361" s="1448">
        <v>0</v>
      </c>
      <c r="I361" s="1448">
        <v>0</v>
      </c>
      <c r="J361" s="1448">
        <v>0</v>
      </c>
      <c r="K361" s="1448">
        <v>0</v>
      </c>
      <c r="L361" s="1448">
        <v>0</v>
      </c>
      <c r="M361" s="1448">
        <v>0</v>
      </c>
      <c r="N361" s="1448">
        <v>0</v>
      </c>
      <c r="O361" s="536">
        <v>0</v>
      </c>
      <c r="P361" s="416">
        <v>0</v>
      </c>
      <c r="Q361" s="536">
        <v>0</v>
      </c>
      <c r="R361" s="536">
        <v>0</v>
      </c>
    </row>
    <row r="362" spans="3:18" x14ac:dyDescent="0.4">
      <c r="C362" s="2204"/>
      <c r="D362" s="2225" t="s">
        <v>7848</v>
      </c>
      <c r="E362" s="2226">
        <f>+E359+E360+E361</f>
        <v>0</v>
      </c>
      <c r="F362" s="2226">
        <f t="shared" ref="F362:Q362" si="111">+F359+F360+F361</f>
        <v>0</v>
      </c>
      <c r="G362" s="2226">
        <f t="shared" si="111"/>
        <v>0</v>
      </c>
      <c r="H362" s="2226">
        <f t="shared" si="111"/>
        <v>0</v>
      </c>
      <c r="I362" s="2226">
        <f t="shared" si="111"/>
        <v>0</v>
      </c>
      <c r="J362" s="2226">
        <f t="shared" si="111"/>
        <v>0</v>
      </c>
      <c r="K362" s="2226">
        <f t="shared" si="111"/>
        <v>0</v>
      </c>
      <c r="L362" s="2226">
        <f t="shared" si="111"/>
        <v>0</v>
      </c>
      <c r="M362" s="2226">
        <f t="shared" si="111"/>
        <v>3</v>
      </c>
      <c r="N362" s="2226">
        <f t="shared" si="111"/>
        <v>0.1</v>
      </c>
      <c r="O362" s="2226">
        <f t="shared" si="111"/>
        <v>0</v>
      </c>
      <c r="P362" s="2211">
        <f t="shared" si="111"/>
        <v>0</v>
      </c>
      <c r="Q362" s="2211">
        <f t="shared" si="111"/>
        <v>0</v>
      </c>
      <c r="R362" s="2211">
        <f>+R361+R360+R359</f>
        <v>1.45</v>
      </c>
    </row>
    <row r="363" spans="3:18" x14ac:dyDescent="0.4">
      <c r="C363" s="2212" t="s">
        <v>6257</v>
      </c>
      <c r="D363" s="2212" t="s">
        <v>7845</v>
      </c>
      <c r="E363" s="2213">
        <v>0</v>
      </c>
      <c r="F363" s="2213">
        <v>0</v>
      </c>
      <c r="G363" s="2213">
        <v>0</v>
      </c>
      <c r="H363" s="2213">
        <v>0</v>
      </c>
      <c r="I363" s="2213">
        <v>0</v>
      </c>
      <c r="J363" s="2213">
        <v>0</v>
      </c>
      <c r="K363" s="2213">
        <v>0.2</v>
      </c>
      <c r="L363" s="2213">
        <v>0</v>
      </c>
      <c r="M363" s="2213">
        <v>0</v>
      </c>
      <c r="N363" s="2213">
        <v>0</v>
      </c>
      <c r="O363" s="2216">
        <v>0</v>
      </c>
      <c r="P363" s="2215">
        <v>0.4</v>
      </c>
      <c r="Q363" s="2216">
        <v>0</v>
      </c>
      <c r="R363" s="2216">
        <v>0</v>
      </c>
    </row>
    <row r="364" spans="3:18" x14ac:dyDescent="0.4">
      <c r="C364" s="2212"/>
      <c r="D364" s="2212" t="s">
        <v>7846</v>
      </c>
      <c r="E364" s="2213">
        <v>0</v>
      </c>
      <c r="F364" s="2213">
        <v>0</v>
      </c>
      <c r="G364" s="2213">
        <v>0</v>
      </c>
      <c r="H364" s="2213">
        <v>0</v>
      </c>
      <c r="I364" s="2213">
        <v>0</v>
      </c>
      <c r="J364" s="2213">
        <v>0</v>
      </c>
      <c r="K364" s="2213">
        <v>0</v>
      </c>
      <c r="L364" s="2213">
        <v>0</v>
      </c>
      <c r="M364" s="2213">
        <v>0</v>
      </c>
      <c r="N364" s="2213">
        <v>0</v>
      </c>
      <c r="O364" s="2216">
        <v>0.24199999999999999</v>
      </c>
      <c r="P364" s="2215">
        <v>3.43</v>
      </c>
      <c r="Q364" s="2216">
        <v>0</v>
      </c>
      <c r="R364" s="2216">
        <v>0</v>
      </c>
    </row>
    <row r="365" spans="3:18" x14ac:dyDescent="0.4">
      <c r="C365" s="2212"/>
      <c r="D365" s="2212" t="s">
        <v>7847</v>
      </c>
      <c r="E365" s="2213">
        <v>0</v>
      </c>
      <c r="F365" s="2213">
        <v>0</v>
      </c>
      <c r="G365" s="2213">
        <v>0</v>
      </c>
      <c r="H365" s="2213">
        <v>0</v>
      </c>
      <c r="I365" s="2213">
        <v>0</v>
      </c>
      <c r="J365" s="2213">
        <v>0</v>
      </c>
      <c r="K365" s="2213">
        <v>0</v>
      </c>
      <c r="L365" s="2213">
        <v>0</v>
      </c>
      <c r="M365" s="2213">
        <v>0</v>
      </c>
      <c r="N365" s="2213">
        <v>0</v>
      </c>
      <c r="O365" s="2216">
        <v>0</v>
      </c>
      <c r="P365" s="2215">
        <v>0</v>
      </c>
      <c r="Q365" s="2215">
        <v>0</v>
      </c>
      <c r="R365" s="2215">
        <v>0</v>
      </c>
    </row>
    <row r="366" spans="3:18" ht="19.5" thickBot="1" x14ac:dyDescent="0.45">
      <c r="C366" s="2212"/>
      <c r="D366" s="2227" t="s">
        <v>7848</v>
      </c>
      <c r="E366" s="2228">
        <f>+E363+E364+E365</f>
        <v>0</v>
      </c>
      <c r="F366" s="2228">
        <f t="shared" ref="F366:Q366" si="112">+F363+F364+F365</f>
        <v>0</v>
      </c>
      <c r="G366" s="2228">
        <f t="shared" si="112"/>
        <v>0</v>
      </c>
      <c r="H366" s="2228">
        <f t="shared" si="112"/>
        <v>0</v>
      </c>
      <c r="I366" s="2228">
        <f t="shared" si="112"/>
        <v>0</v>
      </c>
      <c r="J366" s="2228">
        <f t="shared" si="112"/>
        <v>0</v>
      </c>
      <c r="K366" s="2228">
        <f t="shared" si="112"/>
        <v>0.2</v>
      </c>
      <c r="L366" s="2228">
        <f t="shared" si="112"/>
        <v>0</v>
      </c>
      <c r="M366" s="2228">
        <f t="shared" si="112"/>
        <v>0</v>
      </c>
      <c r="N366" s="2228">
        <f t="shared" si="112"/>
        <v>0</v>
      </c>
      <c r="O366" s="2228">
        <f t="shared" si="112"/>
        <v>0.24199999999999999</v>
      </c>
      <c r="P366" s="2229">
        <f t="shared" si="112"/>
        <v>3.83</v>
      </c>
      <c r="Q366" s="2229">
        <f t="shared" si="112"/>
        <v>0</v>
      </c>
      <c r="R366" s="2229">
        <f>+R365+R364+R363</f>
        <v>0</v>
      </c>
    </row>
    <row r="367" spans="3:18" x14ac:dyDescent="0.4">
      <c r="C367" s="3563" t="s">
        <v>7874</v>
      </c>
      <c r="D367" s="2225" t="s">
        <v>7875</v>
      </c>
      <c r="E367" s="2226">
        <f t="shared" ref="E367:Q370" si="113">+SUM(E13+E19+E25+E31+E37+E67+E73+E79+E85+E91+E103+E109+E115+E121+E127+E133+E139+E145+E151+E157+E163+E169+E175+E181+E187+E193+E199+E205+E211+E217+E223+E229+E241+E247+E253)</f>
        <v>1683.5499735993274</v>
      </c>
      <c r="F367" s="2226">
        <f t="shared" si="113"/>
        <v>2461.4423447189038</v>
      </c>
      <c r="G367" s="2226">
        <f t="shared" si="113"/>
        <v>2265.2059138124341</v>
      </c>
      <c r="H367" s="2226">
        <f t="shared" si="113"/>
        <v>2750.0742216281187</v>
      </c>
      <c r="I367" s="2226">
        <f t="shared" si="113"/>
        <v>2957.4878854649842</v>
      </c>
      <c r="J367" s="2226">
        <f t="shared" si="113"/>
        <v>2762.3616352040435</v>
      </c>
      <c r="K367" s="2226">
        <f t="shared" si="113"/>
        <v>2214.979584071426</v>
      </c>
      <c r="L367" s="2226">
        <f t="shared" si="113"/>
        <v>2778.3139999999999</v>
      </c>
      <c r="M367" s="2226">
        <f t="shared" si="113"/>
        <v>2487.180400512294</v>
      </c>
      <c r="N367" s="2226">
        <f t="shared" si="113"/>
        <v>2812.0760126848459</v>
      </c>
      <c r="O367" s="2226">
        <f t="shared" si="113"/>
        <v>1761.0464276200889</v>
      </c>
      <c r="P367" s="2226">
        <f t="shared" si="113"/>
        <v>3195.4010615726079</v>
      </c>
      <c r="Q367" s="2226">
        <f t="shared" si="113"/>
        <v>3163.8880076225505</v>
      </c>
      <c r="R367" s="2226">
        <f>+SUMIF(D13:D258,D13,R13:R258)</f>
        <v>3788.1791991904179</v>
      </c>
    </row>
    <row r="368" spans="3:18" x14ac:dyDescent="0.4">
      <c r="C368" s="3564"/>
      <c r="D368" s="2204" t="s">
        <v>7876</v>
      </c>
      <c r="E368" s="1448">
        <f t="shared" si="113"/>
        <v>27.2</v>
      </c>
      <c r="F368" s="1448">
        <f t="shared" si="113"/>
        <v>46.2</v>
      </c>
      <c r="G368" s="1448">
        <f t="shared" si="113"/>
        <v>0.7</v>
      </c>
      <c r="H368" s="1448">
        <f t="shared" si="113"/>
        <v>19.7</v>
      </c>
      <c r="I368" s="1448">
        <f t="shared" si="113"/>
        <v>32.5</v>
      </c>
      <c r="J368" s="1448">
        <f t="shared" si="113"/>
        <v>13.7</v>
      </c>
      <c r="K368" s="1448">
        <f t="shared" si="113"/>
        <v>27.7</v>
      </c>
      <c r="L368" s="1448">
        <f t="shared" si="113"/>
        <v>5</v>
      </c>
      <c r="M368" s="1448">
        <f t="shared" si="113"/>
        <v>4.5</v>
      </c>
      <c r="N368" s="1448">
        <f t="shared" si="113"/>
        <v>5.3000000000000007</v>
      </c>
      <c r="O368" s="1448">
        <f t="shared" si="113"/>
        <v>7.8500000000000005</v>
      </c>
      <c r="P368" s="1448">
        <f t="shared" si="113"/>
        <v>8.6549999999999994</v>
      </c>
      <c r="Q368" s="1448">
        <f t="shared" si="113"/>
        <v>48.44</v>
      </c>
      <c r="R368" s="1448">
        <f>+SUMIF(D13:D258,D14,R13:R258)</f>
        <v>0.70400000000000007</v>
      </c>
    </row>
    <row r="369" spans="3:18" x14ac:dyDescent="0.4">
      <c r="C369" s="3564"/>
      <c r="D369" s="2204" t="s">
        <v>7877</v>
      </c>
      <c r="E369" s="1448">
        <f t="shared" si="113"/>
        <v>44.9</v>
      </c>
      <c r="F369" s="1448">
        <f t="shared" si="113"/>
        <v>5.0999999999999996</v>
      </c>
      <c r="G369" s="1448">
        <f t="shared" si="113"/>
        <v>24.700000000000003</v>
      </c>
      <c r="H369" s="1448">
        <f t="shared" si="113"/>
        <v>21.9</v>
      </c>
      <c r="I369" s="1448">
        <f t="shared" si="113"/>
        <v>28.5</v>
      </c>
      <c r="J369" s="1448">
        <f t="shared" si="113"/>
        <v>55.4</v>
      </c>
      <c r="K369" s="1448">
        <f t="shared" si="113"/>
        <v>15</v>
      </c>
      <c r="L369" s="1448">
        <f t="shared" si="113"/>
        <v>65.5</v>
      </c>
      <c r="M369" s="1448">
        <f t="shared" si="113"/>
        <v>90.800000000000011</v>
      </c>
      <c r="N369" s="1448">
        <f t="shared" si="113"/>
        <v>71.199999999999989</v>
      </c>
      <c r="O369" s="1448">
        <f t="shared" si="113"/>
        <v>33.317999999999998</v>
      </c>
      <c r="P369" s="1448">
        <f t="shared" si="113"/>
        <v>78.143000000000001</v>
      </c>
      <c r="Q369" s="1448">
        <f t="shared" si="113"/>
        <v>82.340000000000018</v>
      </c>
      <c r="R369" s="1448">
        <f>+SUMIF(D13:D258,D15,R13:R258)</f>
        <v>75.91</v>
      </c>
    </row>
    <row r="370" spans="3:18" x14ac:dyDescent="0.4">
      <c r="C370" s="3564"/>
      <c r="D370" s="2204" t="s">
        <v>7878</v>
      </c>
      <c r="E370" s="1448">
        <f t="shared" si="113"/>
        <v>40.5</v>
      </c>
      <c r="F370" s="1448">
        <f t="shared" si="113"/>
        <v>0</v>
      </c>
      <c r="G370" s="1448">
        <f t="shared" si="113"/>
        <v>0</v>
      </c>
      <c r="H370" s="1448">
        <f t="shared" si="113"/>
        <v>1112</v>
      </c>
      <c r="I370" s="1448">
        <f t="shared" si="113"/>
        <v>164</v>
      </c>
      <c r="J370" s="1448">
        <f t="shared" si="113"/>
        <v>421.4</v>
      </c>
      <c r="K370" s="1448">
        <f t="shared" si="113"/>
        <v>0</v>
      </c>
      <c r="L370" s="1448">
        <f t="shared" si="113"/>
        <v>8.6</v>
      </c>
      <c r="M370" s="1448">
        <f t="shared" si="113"/>
        <v>0</v>
      </c>
      <c r="N370" s="1448">
        <f t="shared" si="113"/>
        <v>97.7</v>
      </c>
      <c r="O370" s="1448">
        <f t="shared" si="113"/>
        <v>154.29</v>
      </c>
      <c r="P370" s="1448">
        <f t="shared" si="113"/>
        <v>85</v>
      </c>
      <c r="Q370" s="1448">
        <f t="shared" si="113"/>
        <v>180</v>
      </c>
      <c r="R370" s="1448">
        <f>+SUMIF(D13:D258,D16,R13:R258)</f>
        <v>15</v>
      </c>
    </row>
    <row r="371" spans="3:18" ht="19.5" thickBot="1" x14ac:dyDescent="0.45">
      <c r="C371" s="3565"/>
      <c r="D371" s="2225" t="s">
        <v>7879</v>
      </c>
      <c r="E371" s="2226">
        <f>SUM(E368:E370)</f>
        <v>112.6</v>
      </c>
      <c r="F371" s="2226">
        <f>SUM(F368:F370)</f>
        <v>51.300000000000004</v>
      </c>
      <c r="G371" s="2226">
        <f t="shared" ref="G371:Q371" si="114">SUM(G368:G370)</f>
        <v>25.400000000000002</v>
      </c>
      <c r="H371" s="2226">
        <f t="shared" si="114"/>
        <v>1153.5999999999999</v>
      </c>
      <c r="I371" s="2226">
        <f t="shared" si="114"/>
        <v>225</v>
      </c>
      <c r="J371" s="2226">
        <f t="shared" si="114"/>
        <v>490.5</v>
      </c>
      <c r="K371" s="2226">
        <f t="shared" si="114"/>
        <v>42.7</v>
      </c>
      <c r="L371" s="2226">
        <f t="shared" si="114"/>
        <v>79.099999999999994</v>
      </c>
      <c r="M371" s="2226">
        <f t="shared" si="114"/>
        <v>95.300000000000011</v>
      </c>
      <c r="N371" s="2226">
        <f t="shared" si="114"/>
        <v>174.2</v>
      </c>
      <c r="O371" s="2226">
        <f t="shared" si="114"/>
        <v>195.458</v>
      </c>
      <c r="P371" s="2226">
        <f t="shared" si="114"/>
        <v>171.798</v>
      </c>
      <c r="Q371" s="2226">
        <f t="shared" si="114"/>
        <v>310.78000000000003</v>
      </c>
      <c r="R371" s="2226">
        <f>+SUMIF(D13:D258,D17,R13:R258)</f>
        <v>91.61399999999999</v>
      </c>
    </row>
    <row r="372" spans="3:18" x14ac:dyDescent="0.4">
      <c r="C372" s="3560" t="s">
        <v>7880</v>
      </c>
      <c r="D372" s="2212" t="s">
        <v>7881</v>
      </c>
      <c r="E372" s="2213">
        <f t="shared" ref="E372:P372" si="115">+SUM(E259+E263+E267+E271+E275+E279+E283+E287+E291+E295+E299+E303+E307+E311+E315+E319+E323+E327+E331+E335+E339+E343+E347+E351+E355+E359+E363)</f>
        <v>26.899999999999991</v>
      </c>
      <c r="F372" s="2213">
        <f t="shared" si="115"/>
        <v>42.199999999999996</v>
      </c>
      <c r="G372" s="2213">
        <f t="shared" si="115"/>
        <v>15.600000000000001</v>
      </c>
      <c r="H372" s="2213">
        <f t="shared" si="115"/>
        <v>5.8</v>
      </c>
      <c r="I372" s="2213">
        <f t="shared" si="115"/>
        <v>15.699999999999998</v>
      </c>
      <c r="J372" s="2213">
        <f t="shared" si="115"/>
        <v>3.9000000000000004</v>
      </c>
      <c r="K372" s="2213">
        <f t="shared" si="115"/>
        <v>20.099999999999998</v>
      </c>
      <c r="L372" s="2213">
        <f t="shared" si="115"/>
        <v>9.5999999999999979</v>
      </c>
      <c r="M372" s="2213">
        <f t="shared" si="115"/>
        <v>18.100000000000001</v>
      </c>
      <c r="N372" s="2213">
        <f t="shared" si="115"/>
        <v>24</v>
      </c>
      <c r="O372" s="2213">
        <f t="shared" si="115"/>
        <v>29.29</v>
      </c>
      <c r="P372" s="2213">
        <f t="shared" si="115"/>
        <v>11.479999999999997</v>
      </c>
      <c r="Q372" s="2213">
        <f>+SUM(Q259+Q263+Q267+Q271+Q275+Q279+Q283+Q287+Q291+Q295+Q299+Q303+Q307+Q311+Q315+Q319+Q323+Q327+Q331+Q335+Q339+Q343+Q347+Q351+Q355+Q359+Q363)</f>
        <v>5.16</v>
      </c>
      <c r="R372" s="2213">
        <f>+SUMIF(D259:D366,D259,R259:R366)</f>
        <v>18.05</v>
      </c>
    </row>
    <row r="373" spans="3:18" x14ac:dyDescent="0.4">
      <c r="C373" s="3561"/>
      <c r="D373" s="2212" t="s">
        <v>7882</v>
      </c>
      <c r="E373" s="2213">
        <f t="shared" ref="E373:Q374" si="116">+SUM(E260+E264+E268+E272+E276+E280+E284+E288+E292+E296+E300+E304+E308+E312+E316+E320+E324+E328+E332+E336+E340+E344+E348+E352+E356+E360+E364)</f>
        <v>45.1</v>
      </c>
      <c r="F373" s="2213">
        <f t="shared" si="116"/>
        <v>7.7</v>
      </c>
      <c r="G373" s="2213">
        <f t="shared" si="116"/>
        <v>0.4</v>
      </c>
      <c r="H373" s="2213">
        <f t="shared" si="116"/>
        <v>16.099999999999998</v>
      </c>
      <c r="I373" s="2213">
        <f t="shared" si="116"/>
        <v>10.6</v>
      </c>
      <c r="J373" s="2213">
        <f t="shared" si="116"/>
        <v>8.6</v>
      </c>
      <c r="K373" s="2213">
        <f t="shared" si="116"/>
        <v>13.4</v>
      </c>
      <c r="L373" s="2213">
        <f t="shared" si="116"/>
        <v>34.499999999999993</v>
      </c>
      <c r="M373" s="2213">
        <f t="shared" si="116"/>
        <v>41.5</v>
      </c>
      <c r="N373" s="2213">
        <f t="shared" si="116"/>
        <v>35.790000000000006</v>
      </c>
      <c r="O373" s="2213">
        <f t="shared" si="116"/>
        <v>51.142000000000003</v>
      </c>
      <c r="P373" s="2213">
        <f>+SUM(P260+P264+P268+P272+P276+P280+P284+P288+P292+P296+P300+P304+P308+P312+P316+P320+P324+P328+P332+P336+P340+P344+P348+P352+P356+P360+P364)</f>
        <v>122.65</v>
      </c>
      <c r="Q373" s="2213">
        <f>+SUM(Q260+Q264+Q268+Q272+Q276+Q280+Q284+Q288+Q292+Q296+Q300+Q304+Q308+Q312+Q316+Q320+Q324+Q328+Q332+Q336+Q340+Q344+Q348+Q352+Q356+Q360+Q364)</f>
        <v>55.56</v>
      </c>
      <c r="R373" s="2213">
        <f>+SUMIF(D259:D366,D260,R259:R366)</f>
        <v>67.13000000000001</v>
      </c>
    </row>
    <row r="374" spans="3:18" x14ac:dyDescent="0.4">
      <c r="C374" s="3561"/>
      <c r="D374" s="2212" t="s">
        <v>7883</v>
      </c>
      <c r="E374" s="2213">
        <f t="shared" si="116"/>
        <v>572.79999999999995</v>
      </c>
      <c r="F374" s="2213">
        <f t="shared" si="116"/>
        <v>299.39999999999998</v>
      </c>
      <c r="G374" s="2213">
        <f t="shared" si="116"/>
        <v>730.2</v>
      </c>
      <c r="H374" s="2213">
        <f t="shared" si="116"/>
        <v>935</v>
      </c>
      <c r="I374" s="2213">
        <f t="shared" si="116"/>
        <v>390</v>
      </c>
      <c r="J374" s="2213">
        <f t="shared" si="116"/>
        <v>784.3</v>
      </c>
      <c r="K374" s="2213">
        <f t="shared" si="116"/>
        <v>367.8</v>
      </c>
      <c r="L374" s="2213">
        <f t="shared" si="116"/>
        <v>28</v>
      </c>
      <c r="M374" s="2213">
        <f t="shared" si="116"/>
        <v>707.6</v>
      </c>
      <c r="N374" s="2213">
        <f t="shared" si="116"/>
        <v>1723.1</v>
      </c>
      <c r="O374" s="2213">
        <f t="shared" si="116"/>
        <v>4252.8</v>
      </c>
      <c r="P374" s="2213">
        <f t="shared" si="116"/>
        <v>3667.9</v>
      </c>
      <c r="Q374" s="2213">
        <f t="shared" si="116"/>
        <v>2430</v>
      </c>
      <c r="R374" s="2213">
        <f>+SUMIF(D259:D366,D261,R259:R366)</f>
        <v>2135</v>
      </c>
    </row>
    <row r="375" spans="3:18" x14ac:dyDescent="0.4">
      <c r="C375" s="3561"/>
      <c r="D375" s="2217" t="s">
        <v>7884</v>
      </c>
      <c r="E375" s="2218">
        <f>SUM(E372:E374)</f>
        <v>644.79999999999995</v>
      </c>
      <c r="F375" s="2218">
        <f t="shared" ref="F375:P375" si="117">SUM(F372:F374)</f>
        <v>349.29999999999995</v>
      </c>
      <c r="G375" s="2218">
        <f t="shared" si="117"/>
        <v>746.2</v>
      </c>
      <c r="H375" s="2218">
        <f t="shared" si="117"/>
        <v>956.9</v>
      </c>
      <c r="I375" s="2218">
        <f t="shared" si="117"/>
        <v>416.3</v>
      </c>
      <c r="J375" s="2218">
        <f t="shared" si="117"/>
        <v>796.8</v>
      </c>
      <c r="K375" s="2218">
        <f t="shared" si="117"/>
        <v>401.3</v>
      </c>
      <c r="L375" s="2218">
        <f t="shared" si="117"/>
        <v>72.099999999999994</v>
      </c>
      <c r="M375" s="2218">
        <f t="shared" si="117"/>
        <v>767.2</v>
      </c>
      <c r="N375" s="2218">
        <f t="shared" si="117"/>
        <v>1782.8899999999999</v>
      </c>
      <c r="O375" s="2218">
        <f t="shared" si="117"/>
        <v>4333.232</v>
      </c>
      <c r="P375" s="2218">
        <f t="shared" si="117"/>
        <v>3802.03</v>
      </c>
      <c r="Q375" s="2218">
        <f>SUM(Q372:Q374)</f>
        <v>2490.7199999999998</v>
      </c>
      <c r="R375" s="2218">
        <f>SUM(R372:R374)</f>
        <v>2220.1799999999998</v>
      </c>
    </row>
    <row r="376" spans="3:18" x14ac:dyDescent="0.4">
      <c r="C376" s="2204"/>
      <c r="D376" s="2225" t="s">
        <v>7885</v>
      </c>
      <c r="E376" s="2226">
        <f>+E371+E375</f>
        <v>757.4</v>
      </c>
      <c r="F376" s="2226">
        <f t="shared" ref="F376:Q376" si="118">+F371+F375</f>
        <v>400.59999999999997</v>
      </c>
      <c r="G376" s="2226">
        <f t="shared" si="118"/>
        <v>771.6</v>
      </c>
      <c r="H376" s="2226">
        <f t="shared" si="118"/>
        <v>2110.5</v>
      </c>
      <c r="I376" s="2226">
        <f t="shared" si="118"/>
        <v>641.29999999999995</v>
      </c>
      <c r="J376" s="2226">
        <f t="shared" si="118"/>
        <v>1287.3</v>
      </c>
      <c r="K376" s="2226">
        <f t="shared" si="118"/>
        <v>444</v>
      </c>
      <c r="L376" s="2226">
        <f t="shared" si="118"/>
        <v>151.19999999999999</v>
      </c>
      <c r="M376" s="2226">
        <f t="shared" si="118"/>
        <v>862.5</v>
      </c>
      <c r="N376" s="2226">
        <f t="shared" si="118"/>
        <v>1957.09</v>
      </c>
      <c r="O376" s="2226">
        <f t="shared" si="118"/>
        <v>4528.6899999999996</v>
      </c>
      <c r="P376" s="2226">
        <f t="shared" si="118"/>
        <v>3973.8280000000004</v>
      </c>
      <c r="Q376" s="2226">
        <f t="shared" si="118"/>
        <v>2801.5</v>
      </c>
      <c r="R376" s="2226">
        <f>+R371+R375</f>
        <v>2311.7939999999999</v>
      </c>
    </row>
    <row r="377" spans="3:18" x14ac:dyDescent="0.4">
      <c r="C377" s="2204"/>
      <c r="D377" s="2225" t="s">
        <v>7886</v>
      </c>
      <c r="E377" s="2226">
        <f>+E367+E376</f>
        <v>2440.9499735993272</v>
      </c>
      <c r="F377" s="2226">
        <f t="shared" ref="F377:Q377" si="119">+F367+F376</f>
        <v>2862.0423447189037</v>
      </c>
      <c r="G377" s="2226">
        <f t="shared" si="119"/>
        <v>3036.805913812434</v>
      </c>
      <c r="H377" s="2226">
        <f t="shared" si="119"/>
        <v>4860.5742216281187</v>
      </c>
      <c r="I377" s="2226">
        <f t="shared" si="119"/>
        <v>3598.7878854649844</v>
      </c>
      <c r="J377" s="2226">
        <f t="shared" si="119"/>
        <v>4049.6616352040437</v>
      </c>
      <c r="K377" s="2226">
        <f t="shared" si="119"/>
        <v>2658.979584071426</v>
      </c>
      <c r="L377" s="2226">
        <f t="shared" si="119"/>
        <v>2929.5139999999997</v>
      </c>
      <c r="M377" s="2226">
        <f t="shared" si="119"/>
        <v>3349.680400512294</v>
      </c>
      <c r="N377" s="2226">
        <f t="shared" si="119"/>
        <v>4769.1660126848456</v>
      </c>
      <c r="O377" s="2226">
        <f t="shared" si="119"/>
        <v>6289.7364276200888</v>
      </c>
      <c r="P377" s="2226">
        <f t="shared" si="119"/>
        <v>7169.2290615726088</v>
      </c>
      <c r="Q377" s="2226">
        <f t="shared" si="119"/>
        <v>5965.3880076225505</v>
      </c>
      <c r="R377" s="2226">
        <f>+R367+R376</f>
        <v>6099.9731991904173</v>
      </c>
    </row>
    <row r="378" spans="3:18" x14ac:dyDescent="0.4">
      <c r="C378" s="2204"/>
      <c r="D378" s="2225" t="s">
        <v>7887</v>
      </c>
      <c r="E378" s="2226">
        <v>37658.6</v>
      </c>
      <c r="F378" s="2226">
        <v>42762.6</v>
      </c>
      <c r="G378" s="2226">
        <v>47231.7</v>
      </c>
      <c r="H378" s="2226">
        <v>50949.7</v>
      </c>
      <c r="I378" s="2226">
        <v>52016.4</v>
      </c>
      <c r="J378" s="2226">
        <v>56441.9</v>
      </c>
      <c r="K378" s="2226">
        <v>58847</v>
      </c>
      <c r="L378" s="2226">
        <v>60516</v>
      </c>
      <c r="M378" s="2226">
        <v>62420.2</v>
      </c>
      <c r="N378" s="2226">
        <v>64417.7</v>
      </c>
      <c r="O378" s="2226">
        <v>62395.6</v>
      </c>
      <c r="P378" s="2226">
        <v>64616.5</v>
      </c>
      <c r="Q378" s="2226">
        <v>68380.800000000003</v>
      </c>
      <c r="R378" s="2226">
        <v>86497.9</v>
      </c>
    </row>
    <row r="379" spans="3:18" x14ac:dyDescent="0.4">
      <c r="C379" s="2230"/>
      <c r="D379" s="2231" t="s">
        <v>7888</v>
      </c>
      <c r="E379" s="2232">
        <f>+E377/E378*100</f>
        <v>6.4817862947622249</v>
      </c>
      <c r="F379" s="2232">
        <f t="shared" ref="F379:Q379" si="120">+F377/F378*100</f>
        <v>6.6928632606972069</v>
      </c>
      <c r="G379" s="2232">
        <f t="shared" si="120"/>
        <v>6.4295926545359041</v>
      </c>
      <c r="H379" s="2232">
        <f t="shared" si="120"/>
        <v>9.5399466957177737</v>
      </c>
      <c r="I379" s="2232">
        <f t="shared" si="120"/>
        <v>6.918563924964019</v>
      </c>
      <c r="J379" s="2232">
        <f t="shared" si="120"/>
        <v>7.1749208215953821</v>
      </c>
      <c r="K379" s="2232">
        <f t="shared" si="120"/>
        <v>4.5184624264132855</v>
      </c>
      <c r="L379" s="2232">
        <f t="shared" si="120"/>
        <v>4.84089166501421</v>
      </c>
      <c r="M379" s="2232">
        <f t="shared" si="120"/>
        <v>5.3663403842222461</v>
      </c>
      <c r="N379" s="2232">
        <f t="shared" si="120"/>
        <v>7.4035024732097634</v>
      </c>
      <c r="O379" s="2232">
        <f t="shared" si="120"/>
        <v>10.080416612100995</v>
      </c>
      <c r="P379" s="2232">
        <f t="shared" si="120"/>
        <v>11.095043930842136</v>
      </c>
      <c r="Q379" s="2232">
        <f t="shared" si="120"/>
        <v>8.7237762758296924</v>
      </c>
      <c r="R379" s="2232">
        <f>+R377/R378*100</f>
        <v>7.0521633463823026</v>
      </c>
    </row>
    <row r="380" spans="3:18" x14ac:dyDescent="0.4">
      <c r="C380" s="115" t="s">
        <v>7889</v>
      </c>
      <c r="O380" s="536"/>
      <c r="Q380" s="536"/>
      <c r="R380" s="536"/>
    </row>
    <row r="381" spans="3:18" x14ac:dyDescent="0.4">
      <c r="C381" s="115" t="s">
        <v>7890</v>
      </c>
      <c r="O381" s="536"/>
      <c r="Q381" s="536"/>
      <c r="R381" s="536"/>
    </row>
    <row r="382" spans="3:18" x14ac:dyDescent="0.4">
      <c r="C382" s="1048" t="s">
        <v>7809</v>
      </c>
      <c r="D382" s="115" t="s">
        <v>7891</v>
      </c>
      <c r="O382" s="536"/>
      <c r="Q382" s="536"/>
      <c r="R382" s="536"/>
    </row>
    <row r="383" spans="3:18" x14ac:dyDescent="0.4">
      <c r="C383" s="1048" t="s">
        <v>7810</v>
      </c>
      <c r="D383" s="115" t="s">
        <v>7892</v>
      </c>
      <c r="L383" s="2233"/>
      <c r="M383" s="2233"/>
      <c r="N383" s="2233"/>
      <c r="O383" s="536"/>
      <c r="Q383" s="536"/>
      <c r="R383" s="536"/>
    </row>
    <row r="384" spans="3:18" x14ac:dyDescent="0.4">
      <c r="C384" s="1048" t="s">
        <v>7811</v>
      </c>
      <c r="D384" s="115" t="s">
        <v>7893</v>
      </c>
      <c r="O384" s="536"/>
      <c r="Q384" s="536"/>
      <c r="R384" s="536"/>
    </row>
    <row r="385" spans="3:18" x14ac:dyDescent="0.4">
      <c r="C385" s="1048" t="s">
        <v>7812</v>
      </c>
      <c r="D385" s="115" t="s">
        <v>7894</v>
      </c>
      <c r="O385" s="536"/>
      <c r="Q385" s="536"/>
      <c r="R385" s="536"/>
    </row>
    <row r="386" spans="3:18" x14ac:dyDescent="0.4">
      <c r="C386" s="1048" t="s">
        <v>7895</v>
      </c>
      <c r="D386" s="115" t="s">
        <v>7896</v>
      </c>
      <c r="O386" s="536"/>
      <c r="Q386" s="536"/>
      <c r="R386" s="536"/>
    </row>
    <row r="387" spans="3:18" x14ac:dyDescent="0.4">
      <c r="C387" s="1048" t="s">
        <v>7845</v>
      </c>
      <c r="D387" s="115" t="s">
        <v>7897</v>
      </c>
      <c r="O387" s="536"/>
      <c r="Q387" s="536"/>
      <c r="R387" s="536"/>
    </row>
    <row r="388" spans="3:18" x14ac:dyDescent="0.4">
      <c r="C388" s="1048" t="s">
        <v>7846</v>
      </c>
      <c r="D388" s="115" t="s">
        <v>7898</v>
      </c>
      <c r="O388" s="536"/>
      <c r="Q388" s="536"/>
      <c r="R388" s="536"/>
    </row>
    <row r="389" spans="3:18" x14ac:dyDescent="0.4">
      <c r="C389" s="1048" t="s">
        <v>7847</v>
      </c>
      <c r="D389" s="115" t="s">
        <v>7899</v>
      </c>
      <c r="O389" s="536"/>
      <c r="Q389" s="536"/>
      <c r="R389" s="536"/>
    </row>
    <row r="390" spans="3:18" x14ac:dyDescent="0.4">
      <c r="C390" s="1048" t="s">
        <v>7900</v>
      </c>
      <c r="D390" s="115" t="s">
        <v>7901</v>
      </c>
      <c r="O390" s="536"/>
      <c r="Q390" s="536"/>
      <c r="R390" s="536"/>
    </row>
    <row r="391" spans="3:18" x14ac:dyDescent="0.4">
      <c r="C391" s="243" t="s">
        <v>7902</v>
      </c>
      <c r="D391" s="243"/>
      <c r="E391" s="243"/>
      <c r="F391" s="243"/>
      <c r="G391" s="243"/>
      <c r="H391" s="243"/>
      <c r="I391" s="243"/>
      <c r="J391" s="243"/>
      <c r="K391" s="243"/>
      <c r="L391" s="243"/>
      <c r="M391" s="243"/>
      <c r="N391" s="243"/>
      <c r="O391" s="243"/>
      <c r="Q391" s="536"/>
      <c r="R391" s="536"/>
    </row>
  </sheetData>
  <mergeCells count="14">
    <mergeCell ref="A5:B5"/>
    <mergeCell ref="C5:P5"/>
    <mergeCell ref="C1:D1"/>
    <mergeCell ref="A3:B3"/>
    <mergeCell ref="C3:P3"/>
    <mergeCell ref="A4:B4"/>
    <mergeCell ref="C4:P4"/>
    <mergeCell ref="C372:C375"/>
    <mergeCell ref="A6:B6"/>
    <mergeCell ref="C6:P6"/>
    <mergeCell ref="C11:C12"/>
    <mergeCell ref="D11:D12"/>
    <mergeCell ref="E11:R11"/>
    <mergeCell ref="C367:C371"/>
  </mergeCells>
  <hyperlinks>
    <hyperlink ref="A1" location="'ODS 17.'!A1" display="REGRESAR" xr:uid="{524E8DF6-1BED-4A91-918B-2F7B0C28A507}"/>
    <hyperlink ref="C1:D1" location="'Metadato 17.3.1'!A1" display="VER METADATO" xr:uid="{5BD66895-9F02-4D6A-A1F6-41F0A2D9F2FC}"/>
  </hyperlinks>
  <pageMargins left="0.7" right="0.7" top="0.75" bottom="0.75" header="0.3" footer="0.3"/>
  <pageSetup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9681-8C0E-4BE9-A2F0-183BE011A854}">
  <sheetPr>
    <tabColor theme="0" tint="-0.499984740745262"/>
  </sheetPr>
  <dimension ref="B1:F4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244</v>
      </c>
    </row>
    <row r="4" spans="2:6" ht="37.5" x14ac:dyDescent="0.4">
      <c r="B4" s="2425" t="s">
        <v>234</v>
      </c>
      <c r="C4" s="2425"/>
      <c r="D4" s="49" t="s">
        <v>7797</v>
      </c>
    </row>
    <row r="5" spans="2:6" ht="20.25" customHeight="1" x14ac:dyDescent="0.4">
      <c r="B5" s="2425" t="s">
        <v>79</v>
      </c>
      <c r="C5" s="2425"/>
      <c r="D5" s="49" t="s">
        <v>7705</v>
      </c>
    </row>
    <row r="6" spans="2:6" x14ac:dyDescent="0.4">
      <c r="B6" s="2425" t="s">
        <v>80</v>
      </c>
      <c r="C6" s="2425"/>
      <c r="D6" s="50" t="s">
        <v>7706</v>
      </c>
    </row>
    <row r="7" spans="2:6" ht="31.9" customHeight="1" x14ac:dyDescent="0.4">
      <c r="B7" s="2426" t="s">
        <v>81</v>
      </c>
      <c r="C7" s="2426"/>
      <c r="D7" s="93" t="s">
        <v>7903</v>
      </c>
    </row>
    <row r="8" spans="2:6" ht="15" customHeight="1" x14ac:dyDescent="0.4">
      <c r="B8" s="2426" t="s">
        <v>82</v>
      </c>
      <c r="C8" s="2426"/>
      <c r="D8" s="1047" t="s">
        <v>7904</v>
      </c>
    </row>
    <row r="10" spans="2:6" ht="23.25" customHeight="1" x14ac:dyDescent="0.4">
      <c r="B10" s="3555" t="s">
        <v>85</v>
      </c>
      <c r="C10" s="3555"/>
      <c r="D10" s="3555"/>
    </row>
    <row r="11" spans="2:6" x14ac:dyDescent="0.4">
      <c r="B11" s="2427" t="s">
        <v>86</v>
      </c>
      <c r="C11" s="2428"/>
      <c r="D11" s="49"/>
    </row>
    <row r="12" spans="2:6" ht="15" customHeight="1" x14ac:dyDescent="0.4">
      <c r="B12" s="2426" t="s">
        <v>88</v>
      </c>
      <c r="C12" s="2426"/>
      <c r="D12" s="184" t="s">
        <v>7905</v>
      </c>
    </row>
    <row r="13" spans="2:6" x14ac:dyDescent="0.4">
      <c r="B13" s="2425" t="s">
        <v>90</v>
      </c>
      <c r="C13" s="2425"/>
      <c r="D13" s="54" t="s">
        <v>7706</v>
      </c>
    </row>
    <row r="14" spans="2:6" x14ac:dyDescent="0.4">
      <c r="B14" s="2425" t="s">
        <v>91</v>
      </c>
      <c r="C14" s="2428"/>
      <c r="D14" s="54" t="s">
        <v>214</v>
      </c>
    </row>
    <row r="15" spans="2:6" ht="56.25" x14ac:dyDescent="0.4">
      <c r="B15" s="2425" t="s">
        <v>93</v>
      </c>
      <c r="C15" s="2425"/>
      <c r="D15" s="49" t="s">
        <v>7906</v>
      </c>
    </row>
    <row r="16" spans="2:6" ht="93.75" x14ac:dyDescent="0.4">
      <c r="B16" s="2425" t="s">
        <v>95</v>
      </c>
      <c r="C16" s="2425"/>
      <c r="D16" s="49" t="s">
        <v>7907</v>
      </c>
    </row>
    <row r="17" spans="2:4" x14ac:dyDescent="0.4">
      <c r="B17" s="2425" t="s">
        <v>97</v>
      </c>
      <c r="C17" s="2425"/>
      <c r="D17" s="55" t="s">
        <v>98</v>
      </c>
    </row>
    <row r="18" spans="2:4" ht="37.5" x14ac:dyDescent="0.4">
      <c r="B18" s="2426" t="s">
        <v>99</v>
      </c>
      <c r="C18" s="2426"/>
      <c r="D18" s="49" t="s">
        <v>7908</v>
      </c>
    </row>
    <row r="19" spans="2:4" ht="120.75" customHeight="1" x14ac:dyDescent="0.4">
      <c r="B19" s="2435" t="s">
        <v>100</v>
      </c>
      <c r="C19" s="2436"/>
      <c r="D19" s="756" t="s">
        <v>7909</v>
      </c>
    </row>
    <row r="20" spans="2:4" x14ac:dyDescent="0.4">
      <c r="B20" s="2425" t="s">
        <v>102</v>
      </c>
      <c r="C20" s="2425"/>
      <c r="D20" s="49" t="s">
        <v>140</v>
      </c>
    </row>
    <row r="21" spans="2:4" x14ac:dyDescent="0.4">
      <c r="B21" s="2432" t="s">
        <v>104</v>
      </c>
      <c r="C21" s="57" t="s">
        <v>105</v>
      </c>
      <c r="D21" s="49" t="s">
        <v>7808</v>
      </c>
    </row>
    <row r="22" spans="2:4" x14ac:dyDescent="0.4">
      <c r="B22" s="2433"/>
      <c r="C22" s="58" t="s">
        <v>107</v>
      </c>
      <c r="D22" s="55" t="s">
        <v>7910</v>
      </c>
    </row>
    <row r="23" spans="2:4" x14ac:dyDescent="0.4">
      <c r="B23" s="2425" t="s">
        <v>109</v>
      </c>
      <c r="C23" s="2425"/>
      <c r="D23" s="49" t="s">
        <v>143</v>
      </c>
    </row>
    <row r="24" spans="2:4" x14ac:dyDescent="0.4">
      <c r="B24" s="2425" t="s">
        <v>111</v>
      </c>
      <c r="C24" s="2425"/>
      <c r="D24" s="49" t="s">
        <v>7911</v>
      </c>
    </row>
    <row r="25" spans="2:4" x14ac:dyDescent="0.4">
      <c r="B25" s="2425" t="s">
        <v>113</v>
      </c>
      <c r="C25" s="2425"/>
      <c r="D25" s="55" t="s">
        <v>220</v>
      </c>
    </row>
    <row r="26" spans="2:4" ht="15" customHeight="1" x14ac:dyDescent="0.4">
      <c r="B26" s="2426" t="s">
        <v>115</v>
      </c>
      <c r="C26" s="2426"/>
      <c r="D26" s="49" t="s">
        <v>7912</v>
      </c>
    </row>
    <row r="27" spans="2:4" x14ac:dyDescent="0.4">
      <c r="B27" s="2427" t="s">
        <v>117</v>
      </c>
      <c r="C27" s="2428"/>
      <c r="D27" s="49" t="s">
        <v>7913</v>
      </c>
    </row>
    <row r="28" spans="2:4" x14ac:dyDescent="0.4">
      <c r="B28" s="60" t="s">
        <v>118</v>
      </c>
      <c r="C28" s="61"/>
      <c r="D28" s="49"/>
    </row>
    <row r="29" spans="2:4" ht="56.25" x14ac:dyDescent="0.4">
      <c r="B29" s="2429" t="s">
        <v>120</v>
      </c>
      <c r="C29" s="2430"/>
      <c r="D29" s="62" t="s">
        <v>7914</v>
      </c>
    </row>
    <row r="30" spans="2:4" x14ac:dyDescent="0.4">
      <c r="B30" s="63"/>
      <c r="C30" s="63"/>
      <c r="D30" s="64"/>
    </row>
    <row r="31" spans="2:4" ht="23.25" customHeight="1" x14ac:dyDescent="0.4">
      <c r="B31" s="3555" t="s">
        <v>121</v>
      </c>
      <c r="C31" s="3555"/>
      <c r="D31" s="3555"/>
    </row>
    <row r="32" spans="2:4" x14ac:dyDescent="0.4">
      <c r="B32" s="2427" t="s">
        <v>122</v>
      </c>
      <c r="C32" s="2504"/>
      <c r="D32" s="55" t="s">
        <v>366</v>
      </c>
    </row>
    <row r="33" spans="2:4" x14ac:dyDescent="0.4">
      <c r="B33" s="2427" t="s">
        <v>124</v>
      </c>
      <c r="C33" s="2504"/>
      <c r="D33" s="55" t="s">
        <v>367</v>
      </c>
    </row>
    <row r="34" spans="2:4" x14ac:dyDescent="0.4">
      <c r="B34" s="2427" t="s">
        <v>126</v>
      </c>
      <c r="C34" s="2504"/>
      <c r="D34" s="245" t="s">
        <v>368</v>
      </c>
    </row>
    <row r="35" spans="2:4" x14ac:dyDescent="0.4">
      <c r="B35" s="2427" t="s">
        <v>128</v>
      </c>
      <c r="C35" s="2504"/>
      <c r="D35" s="246" t="s">
        <v>369</v>
      </c>
    </row>
    <row r="36" spans="2:4" x14ac:dyDescent="0.4">
      <c r="B36" s="2427" t="s">
        <v>130</v>
      </c>
      <c r="C36" s="2504"/>
      <c r="D36" s="247" t="s">
        <v>370</v>
      </c>
    </row>
    <row r="37" spans="2:4" x14ac:dyDescent="0.4">
      <c r="B37" s="2427" t="s">
        <v>122</v>
      </c>
      <c r="C37" s="2504"/>
      <c r="D37" s="55" t="s">
        <v>371</v>
      </c>
    </row>
    <row r="38" spans="2:4" x14ac:dyDescent="0.4">
      <c r="B38" s="2427" t="s">
        <v>124</v>
      </c>
      <c r="C38" s="2504"/>
      <c r="D38" s="55" t="s">
        <v>372</v>
      </c>
    </row>
    <row r="39" spans="2:4" x14ac:dyDescent="0.4">
      <c r="B39" s="2427" t="s">
        <v>126</v>
      </c>
      <c r="C39" s="2504"/>
      <c r="D39" s="55" t="s">
        <v>373</v>
      </c>
    </row>
    <row r="40" spans="2:4" x14ac:dyDescent="0.4">
      <c r="B40" s="2427" t="s">
        <v>128</v>
      </c>
      <c r="C40" s="2504"/>
      <c r="D40" s="246" t="s">
        <v>374</v>
      </c>
    </row>
    <row r="41" spans="2:4" x14ac:dyDescent="0.4">
      <c r="B41" s="2427" t="s">
        <v>130</v>
      </c>
      <c r="C41" s="2504"/>
      <c r="D41" s="247" t="s">
        <v>375</v>
      </c>
    </row>
    <row r="42" spans="2:4" x14ac:dyDescent="0.4">
      <c r="B42" s="2427" t="s">
        <v>122</v>
      </c>
      <c r="C42" s="2504"/>
      <c r="D42" s="55" t="s">
        <v>7915</v>
      </c>
    </row>
    <row r="43" spans="2:4" x14ac:dyDescent="0.4">
      <c r="B43" s="2427" t="s">
        <v>124</v>
      </c>
      <c r="C43" s="2504"/>
      <c r="D43" s="55" t="s">
        <v>7916</v>
      </c>
    </row>
    <row r="44" spans="2:4" x14ac:dyDescent="0.4">
      <c r="B44" s="2427" t="s">
        <v>126</v>
      </c>
      <c r="C44" s="2504"/>
      <c r="D44" s="55" t="s">
        <v>7917</v>
      </c>
    </row>
    <row r="45" spans="2:4" x14ac:dyDescent="0.4">
      <c r="B45" s="2427" t="s">
        <v>128</v>
      </c>
      <c r="C45" s="2504"/>
      <c r="D45" s="246" t="s">
        <v>7918</v>
      </c>
    </row>
    <row r="46" spans="2:4" x14ac:dyDescent="0.4">
      <c r="B46" s="2427" t="s">
        <v>130</v>
      </c>
      <c r="C46" s="2504"/>
      <c r="D46" s="2234" t="s">
        <v>7919</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xr:uid="{9E8B92E9-453E-4547-9117-8BCED5DA6AFA}">
      <formula1>Tipo_operación</formula1>
    </dataValidation>
    <dataValidation type="list" allowBlank="1" showInputMessage="1" showErrorMessage="1" sqref="D14" xr:uid="{230CF9C2-A8E6-476F-BEAD-28210E371B4E}">
      <formula1>Tipo_indicador</formula1>
    </dataValidation>
    <dataValidation type="list" allowBlank="1" showInputMessage="1" showErrorMessage="1" sqref="D7" xr:uid="{4F1BDACB-9E21-448D-A4D4-CB89FDA65B66}">
      <formula1>Nombre_indicador_ODS</formula1>
    </dataValidation>
    <dataValidation type="list" allowBlank="1" showInputMessage="1" showErrorMessage="1" sqref="D6" xr:uid="{A58C1A8F-A0D8-47CA-A0D2-9C473B8CD3BC}">
      <formula1>Numero_indicador</formula1>
    </dataValidation>
    <dataValidation type="list" allowBlank="1" showInputMessage="1" showErrorMessage="1" sqref="D5" xr:uid="{7690B728-9EBF-4CF4-9DCD-53848512E197}">
      <formula1>Metas_ODS</formula1>
    </dataValidation>
    <dataValidation type="list" allowBlank="1" showInputMessage="1" showErrorMessage="1" sqref="D4" xr:uid="{F7E1483D-897A-4211-9F50-536A8E768EC0}">
      <formula1>ODS</formula1>
    </dataValidation>
    <dataValidation allowBlank="1" showDropDown="1" showInputMessage="1" showErrorMessage="1" sqref="D13" xr:uid="{E84296D5-BC8C-4B8B-8D0E-91E6B0C30B4B}"/>
  </dataValidations>
  <hyperlinks>
    <hyperlink ref="B1" location="'17.3.1'!A1" display="REGRESAR" xr:uid="{B4FF3DE5-EA76-4F01-A8E6-87D68D2476DA}"/>
    <hyperlink ref="D8" r:id="rId1" xr:uid="{B5CA8AA6-1E52-491A-BE31-8DD1C73DB04A}"/>
    <hyperlink ref="D41" r:id="rId2" xr:uid="{0184C0A9-95BC-4EDD-BF89-4FDBE54DA4CF}"/>
    <hyperlink ref="D36" r:id="rId3" xr:uid="{462DAA01-128B-49EE-A7C6-323EDE3004C6}"/>
    <hyperlink ref="D46" r:id="rId4" xr:uid="{DB6FD6CA-528F-406F-B502-39622854638B}"/>
  </hyperlinks>
  <pageMargins left="0.7" right="0.7" top="0.75" bottom="0.75" header="0.3" footer="0.3"/>
  <pageSetup orientation="portrait" r:id="rId5"/>
  <drawing r:id="rId6"/>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4F9A-0739-4D35-A592-72CA375AA536}">
  <dimension ref="A1:T72"/>
  <sheetViews>
    <sheetView showGridLines="0" workbookViewId="0">
      <pane ySplit="1" topLeftCell="A2" activePane="bottomLeft" state="frozen"/>
      <selection pane="bottomLeft"/>
    </sheetView>
  </sheetViews>
  <sheetFormatPr baseColWidth="10" defaultColWidth="11.42578125" defaultRowHeight="18.75" x14ac:dyDescent="0.4"/>
  <cols>
    <col min="1" max="1" width="15.42578125" style="115" customWidth="1"/>
    <col min="2" max="2" width="15.42578125" style="1048" customWidth="1"/>
    <col min="3" max="3" width="5.42578125" style="115" customWidth="1"/>
    <col min="4" max="4" width="11.7109375" style="115" customWidth="1"/>
    <col min="5" max="5" width="7.5703125" style="115" customWidth="1"/>
    <col min="6" max="6" width="8.7109375" style="115" customWidth="1"/>
    <col min="7" max="16384" width="11.42578125" style="115"/>
  </cols>
  <sheetData>
    <row r="1" spans="1:20" x14ac:dyDescent="0.4">
      <c r="A1" s="90" t="s">
        <v>39</v>
      </c>
      <c r="C1" s="2541" t="s">
        <v>149</v>
      </c>
      <c r="D1" s="2541"/>
    </row>
    <row r="3" spans="1:20" ht="19.5" x14ac:dyDescent="0.4">
      <c r="A3" s="3547" t="s">
        <v>41</v>
      </c>
      <c r="B3" s="3547"/>
      <c r="C3" s="3547" t="s">
        <v>7696</v>
      </c>
      <c r="D3" s="3548"/>
      <c r="E3" s="3548"/>
      <c r="F3" s="3548"/>
      <c r="G3" s="3548"/>
      <c r="H3" s="3548"/>
      <c r="I3" s="3548"/>
      <c r="J3" s="3548"/>
      <c r="K3" s="3548"/>
      <c r="L3" s="3548"/>
      <c r="M3" s="3548"/>
      <c r="N3" s="3548"/>
      <c r="O3" s="3548"/>
      <c r="P3" s="3548"/>
      <c r="Q3" s="3548"/>
      <c r="R3" s="3548"/>
      <c r="S3" s="3548"/>
      <c r="T3" s="3548"/>
    </row>
    <row r="4" spans="1:20" ht="19.5" x14ac:dyDescent="0.4">
      <c r="A4" s="3547" t="s">
        <v>42</v>
      </c>
      <c r="B4" s="3548"/>
      <c r="C4" s="3558" t="s">
        <v>7705</v>
      </c>
      <c r="D4" s="3559"/>
      <c r="E4" s="3559"/>
      <c r="F4" s="3559"/>
      <c r="G4" s="3559"/>
      <c r="H4" s="3559"/>
      <c r="I4" s="3559"/>
      <c r="J4" s="3559"/>
      <c r="K4" s="3559"/>
      <c r="L4" s="3559"/>
      <c r="M4" s="3559"/>
      <c r="N4" s="3559"/>
      <c r="O4" s="3559"/>
      <c r="P4" s="3559"/>
      <c r="Q4" s="3559"/>
      <c r="R4" s="3559"/>
      <c r="S4" s="3559"/>
      <c r="T4" s="3559"/>
    </row>
    <row r="5" spans="1:20" ht="19.5" x14ac:dyDescent="0.4">
      <c r="A5" s="3547" t="s">
        <v>43</v>
      </c>
      <c r="B5" s="3548"/>
      <c r="C5" s="3547" t="s">
        <v>7709</v>
      </c>
      <c r="D5" s="3548"/>
      <c r="E5" s="3548"/>
      <c r="F5" s="3548"/>
      <c r="G5" s="3548"/>
      <c r="H5" s="3548"/>
      <c r="I5" s="3548"/>
      <c r="J5" s="3548"/>
      <c r="K5" s="3548"/>
      <c r="L5" s="3548"/>
      <c r="M5" s="3548"/>
      <c r="N5" s="3548"/>
      <c r="O5" s="3548"/>
      <c r="P5" s="3548"/>
      <c r="Q5" s="3548"/>
      <c r="R5" s="3548"/>
      <c r="S5" s="3548"/>
      <c r="T5" s="3548"/>
    </row>
    <row r="6" spans="1:20" ht="19.5" x14ac:dyDescent="0.4">
      <c r="A6" s="3547" t="s">
        <v>132</v>
      </c>
      <c r="B6" s="3548"/>
      <c r="C6" s="3547" t="s">
        <v>7920</v>
      </c>
      <c r="D6" s="3548"/>
      <c r="E6" s="3548"/>
      <c r="F6" s="3548"/>
      <c r="G6" s="3548"/>
      <c r="H6" s="3548"/>
      <c r="I6" s="3548"/>
      <c r="J6" s="3548"/>
      <c r="K6" s="3548"/>
      <c r="L6" s="3548"/>
      <c r="M6" s="3548"/>
      <c r="N6" s="3548"/>
      <c r="O6" s="3548"/>
      <c r="P6" s="3548"/>
      <c r="Q6" s="3548"/>
      <c r="R6" s="3548"/>
      <c r="S6" s="3548"/>
      <c r="T6" s="3548"/>
    </row>
    <row r="9" spans="1:20" ht="19.5" x14ac:dyDescent="0.4">
      <c r="C9" s="163" t="s">
        <v>7921</v>
      </c>
      <c r="D9" s="163"/>
      <c r="E9" s="163"/>
      <c r="F9" s="163"/>
      <c r="G9" s="163"/>
      <c r="H9" s="163"/>
      <c r="L9" s="532" t="s">
        <v>7922</v>
      </c>
      <c r="M9" s="1032"/>
      <c r="N9" s="1032"/>
      <c r="O9" s="1032"/>
      <c r="P9" s="1032"/>
      <c r="Q9" s="1032"/>
      <c r="R9" s="1032"/>
    </row>
    <row r="10" spans="1:20" ht="19.5" x14ac:dyDescent="0.4">
      <c r="C10" s="138" t="s">
        <v>7923</v>
      </c>
      <c r="D10" s="138"/>
      <c r="E10" s="138"/>
      <c r="F10" s="138"/>
      <c r="G10" s="138"/>
      <c r="H10" s="138"/>
      <c r="L10" s="532"/>
      <c r="M10" s="1032"/>
      <c r="N10" s="1032"/>
      <c r="O10" s="1032"/>
      <c r="P10" s="1032"/>
      <c r="Q10" s="1032"/>
      <c r="R10" s="1032"/>
    </row>
    <row r="11" spans="1:20" ht="11.45" customHeight="1" x14ac:dyDescent="0.4">
      <c r="C11" s="533"/>
      <c r="D11" s="533"/>
      <c r="E11" s="533"/>
      <c r="F11" s="533"/>
      <c r="G11" s="533"/>
      <c r="H11" s="533"/>
      <c r="L11" s="339"/>
    </row>
    <row r="12" spans="1:20" ht="54" customHeight="1" x14ac:dyDescent="0.4">
      <c r="A12" s="536"/>
      <c r="C12" s="3566" t="s">
        <v>1002</v>
      </c>
      <c r="D12" s="3566" t="s">
        <v>7924</v>
      </c>
      <c r="E12" s="3551" t="s">
        <v>7925</v>
      </c>
      <c r="F12" s="3551"/>
      <c r="G12" s="3562" t="s">
        <v>7926</v>
      </c>
      <c r="H12" s="3562"/>
    </row>
    <row r="13" spans="1:20" x14ac:dyDescent="0.4">
      <c r="A13" s="536"/>
      <c r="C13" s="3567"/>
      <c r="D13" s="3567"/>
      <c r="E13" s="2235" t="s">
        <v>7927</v>
      </c>
      <c r="F13" s="2235" t="s">
        <v>7928</v>
      </c>
      <c r="G13" s="2235" t="s">
        <v>7927</v>
      </c>
      <c r="H13" s="2235" t="s">
        <v>7928</v>
      </c>
    </row>
    <row r="14" spans="1:20" ht="16.149999999999999" customHeight="1" x14ac:dyDescent="0.4">
      <c r="C14" s="198">
        <v>2010</v>
      </c>
      <c r="D14" s="115" t="s">
        <v>5002</v>
      </c>
      <c r="E14" s="2233">
        <v>116.66307764868701</v>
      </c>
      <c r="F14" s="2233">
        <v>58.510205212196105</v>
      </c>
      <c r="G14" s="1446">
        <v>0.30979118987447735</v>
      </c>
      <c r="H14" s="1446">
        <v>0.15537003187134829</v>
      </c>
    </row>
    <row r="15" spans="1:20" x14ac:dyDescent="0.4">
      <c r="C15" s="198"/>
      <c r="D15" s="115" t="s">
        <v>5003</v>
      </c>
      <c r="E15" s="2233">
        <v>131.402714863093</v>
      </c>
      <c r="F15" s="2233">
        <v>53.372139365533698</v>
      </c>
      <c r="G15" s="1446">
        <v>0.34893133466578313</v>
      </c>
      <c r="H15" s="1446">
        <v>0.14172623329881101</v>
      </c>
    </row>
    <row r="16" spans="1:20" x14ac:dyDescent="0.4">
      <c r="C16" s="198"/>
      <c r="D16" s="115" t="s">
        <v>5000</v>
      </c>
      <c r="E16" s="2233">
        <v>129.27019396149799</v>
      </c>
      <c r="F16" s="2233">
        <v>52.277196624381006</v>
      </c>
      <c r="G16" s="1446">
        <v>0.34326856456874599</v>
      </c>
      <c r="H16" s="1446">
        <v>0.13881868429991029</v>
      </c>
    </row>
    <row r="17" spans="3:12" x14ac:dyDescent="0.4">
      <c r="C17" s="198"/>
      <c r="D17" s="115" t="s">
        <v>5001</v>
      </c>
      <c r="E17" s="2233">
        <v>128.129799526722</v>
      </c>
      <c r="F17" s="2233">
        <v>62.869366797889199</v>
      </c>
      <c r="G17" s="1446">
        <v>0.34024032156336809</v>
      </c>
      <c r="H17" s="1446">
        <v>0.16694550100609534</v>
      </c>
    </row>
    <row r="18" spans="3:12" x14ac:dyDescent="0.4">
      <c r="C18" s="198">
        <v>2011</v>
      </c>
      <c r="D18" s="115" t="s">
        <v>5002</v>
      </c>
      <c r="E18" s="2233">
        <v>131.50180006787599</v>
      </c>
      <c r="F18" s="2233">
        <v>61.0197712877276</v>
      </c>
      <c r="G18" s="1446">
        <v>0.30751581503589726</v>
      </c>
      <c r="H18" s="1446">
        <v>0.14269420411860584</v>
      </c>
    </row>
    <row r="19" spans="3:12" x14ac:dyDescent="0.4">
      <c r="C19" s="198"/>
      <c r="D19" s="115" t="s">
        <v>5003</v>
      </c>
      <c r="E19" s="2233">
        <v>125.669378227905</v>
      </c>
      <c r="F19" s="2233">
        <v>66.067016639052909</v>
      </c>
      <c r="G19" s="1446">
        <v>0.29387674732103641</v>
      </c>
      <c r="H19" s="1446">
        <v>0.15449714344793677</v>
      </c>
    </row>
    <row r="20" spans="3:12" x14ac:dyDescent="0.4">
      <c r="C20" s="198"/>
      <c r="D20" s="115" t="s">
        <v>5000</v>
      </c>
      <c r="E20" s="2233">
        <v>109.933281419983</v>
      </c>
      <c r="F20" s="2233">
        <v>59.197613947590099</v>
      </c>
      <c r="G20" s="1446">
        <v>0.25707802188249368</v>
      </c>
      <c r="H20" s="1446">
        <v>0.13843310503641229</v>
      </c>
    </row>
    <row r="21" spans="3:12" x14ac:dyDescent="0.4">
      <c r="C21" s="198"/>
      <c r="D21" s="115" t="s">
        <v>5001</v>
      </c>
      <c r="E21" s="2233">
        <v>119.944213595148</v>
      </c>
      <c r="F21" s="2233">
        <v>71.257876433654801</v>
      </c>
      <c r="G21" s="1446">
        <v>0.28048849965181655</v>
      </c>
      <c r="H21" s="1446">
        <v>0.16663592390303428</v>
      </c>
    </row>
    <row r="22" spans="3:12" x14ac:dyDescent="0.4">
      <c r="C22" s="198">
        <v>2012</v>
      </c>
      <c r="D22" s="115" t="s">
        <v>5002</v>
      </c>
      <c r="E22" s="2233">
        <v>122.259462556047</v>
      </c>
      <c r="F22" s="2233">
        <v>69.003029943378905</v>
      </c>
      <c r="G22" s="1446">
        <v>0.2588506827339862</v>
      </c>
      <c r="H22" s="1446">
        <v>0.14609487918670624</v>
      </c>
    </row>
    <row r="23" spans="3:12" x14ac:dyDescent="0.4">
      <c r="C23" s="198"/>
      <c r="D23" s="115" t="s">
        <v>5003</v>
      </c>
      <c r="E23" s="2233">
        <v>123.60961440863001</v>
      </c>
      <c r="F23" s="2233">
        <v>67.084175374998907</v>
      </c>
      <c r="G23" s="1446">
        <v>0.26170925679875812</v>
      </c>
      <c r="H23" s="1446">
        <v>0.14203223401627871</v>
      </c>
    </row>
    <row r="24" spans="3:12" x14ac:dyDescent="0.4">
      <c r="C24" s="198"/>
      <c r="D24" s="115" t="s">
        <v>5000</v>
      </c>
      <c r="E24" s="2233">
        <v>140.59726113464899</v>
      </c>
      <c r="F24" s="2233">
        <v>68.323339519244897</v>
      </c>
      <c r="G24" s="1446">
        <v>0.29767591214911965</v>
      </c>
      <c r="H24" s="1446">
        <v>0.14465582222819731</v>
      </c>
      <c r="L24" s="155" t="s">
        <v>7929</v>
      </c>
    </row>
    <row r="25" spans="3:12" x14ac:dyDescent="0.4">
      <c r="C25" s="198"/>
      <c r="D25" s="115" t="s">
        <v>5001</v>
      </c>
      <c r="E25" s="2233">
        <v>140.32140694676499</v>
      </c>
      <c r="F25" s="2233">
        <v>76.842054651570507</v>
      </c>
      <c r="G25" s="1446">
        <v>0.29709186700957829</v>
      </c>
      <c r="H25" s="1446">
        <v>0.16269185135770506</v>
      </c>
    </row>
    <row r="26" spans="3:12" x14ac:dyDescent="0.4">
      <c r="C26" s="198">
        <v>2013</v>
      </c>
      <c r="D26" s="115" t="s">
        <v>5002</v>
      </c>
      <c r="E26" s="2233">
        <v>134.276616921618</v>
      </c>
      <c r="F26" s="2233">
        <v>74.283437227665402</v>
      </c>
      <c r="G26" s="1446">
        <v>0.26354757520082089</v>
      </c>
      <c r="H26" s="1446">
        <v>0.145797683973238</v>
      </c>
    </row>
    <row r="27" spans="3:12" x14ac:dyDescent="0.4">
      <c r="C27" s="198"/>
      <c r="D27" s="115" t="s">
        <v>5003</v>
      </c>
      <c r="E27" s="2233">
        <v>137.38731690134301</v>
      </c>
      <c r="F27" s="2233">
        <v>90.378758001616006</v>
      </c>
      <c r="G27" s="1446">
        <v>0.26965301228755006</v>
      </c>
      <c r="H27" s="1446">
        <v>0.17738831277594472</v>
      </c>
    </row>
    <row r="28" spans="3:12" x14ac:dyDescent="0.4">
      <c r="C28" s="198"/>
      <c r="D28" s="115" t="s">
        <v>5000</v>
      </c>
      <c r="E28" s="2233">
        <v>139.78967369777101</v>
      </c>
      <c r="F28" s="2233">
        <v>75.297876551747905</v>
      </c>
      <c r="G28" s="1446">
        <v>0.27436816912558232</v>
      </c>
      <c r="H28" s="1446">
        <v>0.14778874563519787</v>
      </c>
    </row>
    <row r="29" spans="3:12" x14ac:dyDescent="0.4">
      <c r="C29" s="198"/>
      <c r="D29" s="115" t="s">
        <v>5001</v>
      </c>
      <c r="E29" s="2233">
        <v>149.61328616500199</v>
      </c>
      <c r="F29" s="2233">
        <v>92.697264173849703</v>
      </c>
      <c r="G29" s="1446">
        <v>0.29364918249042282</v>
      </c>
      <c r="H29" s="1446">
        <v>0.18193889420842907</v>
      </c>
    </row>
    <row r="30" spans="3:12" x14ac:dyDescent="0.4">
      <c r="C30" s="198">
        <v>2014</v>
      </c>
      <c r="D30" s="115" t="s">
        <v>5002</v>
      </c>
      <c r="E30" s="2233">
        <v>142.30717205649501</v>
      </c>
      <c r="F30" s="2233">
        <v>87.929403663891904</v>
      </c>
      <c r="G30" s="1446">
        <v>0.27358130842556039</v>
      </c>
      <c r="H30" s="1446">
        <v>0.16904166498296233</v>
      </c>
    </row>
    <row r="31" spans="3:12" x14ac:dyDescent="0.4">
      <c r="C31" s="198"/>
      <c r="D31" s="115" t="s">
        <v>5003</v>
      </c>
      <c r="E31" s="2233">
        <v>137.679379784567</v>
      </c>
      <c r="F31" s="2233">
        <v>77.954211690083199</v>
      </c>
      <c r="G31" s="1446">
        <v>0.26468451533650134</v>
      </c>
      <c r="H31" s="1446">
        <v>0.14986465490993997</v>
      </c>
    </row>
    <row r="32" spans="3:12" x14ac:dyDescent="0.4">
      <c r="C32" s="198"/>
      <c r="D32" s="115" t="s">
        <v>5000</v>
      </c>
      <c r="E32" s="2233">
        <v>138.52207652238801</v>
      </c>
      <c r="F32" s="2233">
        <v>77.305358162262408</v>
      </c>
      <c r="G32" s="1446">
        <v>0.26630457476714969</v>
      </c>
      <c r="H32" s="1446">
        <v>0.14861725328883768</v>
      </c>
    </row>
    <row r="33" spans="3:8" x14ac:dyDescent="0.4">
      <c r="C33" s="198"/>
      <c r="D33" s="115" t="s">
        <v>5001</v>
      </c>
      <c r="E33" s="2233">
        <v>139.99675601532201</v>
      </c>
      <c r="F33" s="2233">
        <v>85.196451403952494</v>
      </c>
      <c r="G33" s="1446">
        <v>0.2691396022598263</v>
      </c>
      <c r="H33" s="1446">
        <v>0.16378764549586305</v>
      </c>
    </row>
    <row r="34" spans="3:8" x14ac:dyDescent="0.4">
      <c r="C34" s="198">
        <v>2015</v>
      </c>
      <c r="D34" s="115" t="s">
        <v>5002</v>
      </c>
      <c r="E34" s="2233">
        <v>120.387079431754</v>
      </c>
      <c r="F34" s="2233">
        <v>78.919676209345198</v>
      </c>
      <c r="G34" s="1446">
        <v>0.21329373216688097</v>
      </c>
      <c r="H34" s="1446">
        <v>0.13982457552378375</v>
      </c>
    </row>
    <row r="35" spans="3:8" x14ac:dyDescent="0.4">
      <c r="C35" s="198"/>
      <c r="D35" s="115" t="s">
        <v>5003</v>
      </c>
      <c r="E35" s="2233">
        <v>129.16809891499298</v>
      </c>
      <c r="F35" s="2233">
        <v>71.971931505662894</v>
      </c>
      <c r="G35" s="1446">
        <v>0.22885135202650952</v>
      </c>
      <c r="H35" s="1446">
        <v>0.12751502864395306</v>
      </c>
    </row>
    <row r="36" spans="3:8" x14ac:dyDescent="0.4">
      <c r="C36" s="198"/>
      <c r="D36" s="115" t="s">
        <v>5000</v>
      </c>
      <c r="E36" s="2233">
        <v>131.501057950816</v>
      </c>
      <c r="F36" s="2233">
        <v>79.785552250632506</v>
      </c>
      <c r="G36" s="1446">
        <v>0.23298473197136674</v>
      </c>
      <c r="H36" s="1446">
        <v>0.14135867646976402</v>
      </c>
    </row>
    <row r="37" spans="3:8" x14ac:dyDescent="0.4">
      <c r="C37" s="198"/>
      <c r="D37" s="115" t="s">
        <v>5001</v>
      </c>
      <c r="E37" s="2233">
        <v>136.44827133582299</v>
      </c>
      <c r="F37" s="2233">
        <v>81.755816393154902</v>
      </c>
      <c r="G37" s="1446">
        <v>0.24174987198219547</v>
      </c>
      <c r="H37" s="1446">
        <v>0.14484945799130938</v>
      </c>
    </row>
    <row r="38" spans="3:8" x14ac:dyDescent="0.4">
      <c r="C38" s="198">
        <v>2016</v>
      </c>
      <c r="D38" s="115" t="s">
        <v>5002</v>
      </c>
      <c r="E38" s="2233">
        <v>118.834489053832</v>
      </c>
      <c r="F38" s="2233">
        <v>76.055925218780899</v>
      </c>
      <c r="G38" s="1446">
        <v>0.20193799089889283</v>
      </c>
      <c r="H38" s="1446">
        <v>0.12924346169973952</v>
      </c>
    </row>
    <row r="39" spans="3:8" x14ac:dyDescent="0.4">
      <c r="C39" s="198"/>
      <c r="D39" s="115" t="s">
        <v>5003</v>
      </c>
      <c r="E39" s="2233">
        <v>129.780737337304</v>
      </c>
      <c r="F39" s="2233">
        <v>79.683902217765507</v>
      </c>
      <c r="G39" s="1446">
        <v>0.22053918491120902</v>
      </c>
      <c r="H39" s="1446">
        <v>0.13540856067088472</v>
      </c>
    </row>
    <row r="40" spans="3:8" x14ac:dyDescent="0.4">
      <c r="C40" s="198"/>
      <c r="D40" s="115" t="s">
        <v>5000</v>
      </c>
      <c r="E40" s="2233">
        <v>133.19531875002801</v>
      </c>
      <c r="F40" s="2233">
        <v>76.243386566972902</v>
      </c>
      <c r="G40" s="1446">
        <v>0.22634165619489355</v>
      </c>
      <c r="H40" s="1446">
        <v>0.12956201878132836</v>
      </c>
    </row>
    <row r="41" spans="3:8" x14ac:dyDescent="0.4">
      <c r="C41" s="198"/>
      <c r="D41" s="115" t="s">
        <v>5001</v>
      </c>
      <c r="E41" s="2233">
        <v>132.98522796933801</v>
      </c>
      <c r="F41" s="2233">
        <v>89.290100653645695</v>
      </c>
      <c r="G41" s="1446">
        <v>0.22598464443427838</v>
      </c>
      <c r="H41" s="1446">
        <v>0.15173257929344958</v>
      </c>
    </row>
    <row r="42" spans="3:8" x14ac:dyDescent="0.4">
      <c r="C42" s="198">
        <v>2017</v>
      </c>
      <c r="D42" s="115" t="s">
        <v>5002</v>
      </c>
      <c r="E42" s="2233">
        <v>126.76014152717801</v>
      </c>
      <c r="F42" s="2233">
        <v>83.753758035020994</v>
      </c>
      <c r="G42" s="1446">
        <v>0.20946534479545317</v>
      </c>
      <c r="H42" s="1446">
        <v>0.13839926015670481</v>
      </c>
    </row>
    <row r="43" spans="3:8" x14ac:dyDescent="0.4">
      <c r="C43" s="198"/>
      <c r="D43" s="115" t="s">
        <v>5003</v>
      </c>
      <c r="E43" s="2233">
        <v>132.32606937490257</v>
      </c>
      <c r="F43" s="2233">
        <v>79.691774592280296</v>
      </c>
      <c r="G43" s="1446">
        <v>0.21866278637041603</v>
      </c>
      <c r="H43" s="1446">
        <v>0.1316870180265185</v>
      </c>
    </row>
    <row r="44" spans="3:8" x14ac:dyDescent="0.4">
      <c r="C44" s="198"/>
      <c r="D44" s="115" t="s">
        <v>5000</v>
      </c>
      <c r="E44" s="2233">
        <v>135.55850920748574</v>
      </c>
      <c r="F44" s="2233">
        <v>81.846922923966403</v>
      </c>
      <c r="G44" s="1446">
        <v>0.2240042455696977</v>
      </c>
      <c r="H44" s="1446">
        <v>0.13524830221998235</v>
      </c>
    </row>
    <row r="45" spans="3:8" x14ac:dyDescent="0.4">
      <c r="C45" s="198"/>
      <c r="D45" s="115" t="s">
        <v>5001</v>
      </c>
      <c r="E45" s="2233">
        <v>132.51614222417936</v>
      </c>
      <c r="F45" s="2233">
        <v>90.180702879586406</v>
      </c>
      <c r="G45" s="1446">
        <v>0.21897687307330505</v>
      </c>
      <c r="H45" s="1446">
        <v>0.14901949299669118</v>
      </c>
    </row>
    <row r="46" spans="3:8" x14ac:dyDescent="0.4">
      <c r="C46" s="198">
        <v>2018</v>
      </c>
      <c r="D46" s="115" t="s">
        <v>5002</v>
      </c>
      <c r="E46" s="2233">
        <v>111.48286080586701</v>
      </c>
      <c r="F46" s="2233">
        <v>84.972212575128594</v>
      </c>
      <c r="G46" s="1446">
        <v>0.17860071479930095</v>
      </c>
      <c r="H46" s="1446">
        <v>0.13612942648128962</v>
      </c>
    </row>
    <row r="47" spans="3:8" x14ac:dyDescent="0.4">
      <c r="C47" s="198"/>
      <c r="D47" s="115" t="s">
        <v>5003</v>
      </c>
      <c r="E47" s="2233">
        <v>125.459794747218</v>
      </c>
      <c r="F47" s="2233">
        <v>91.232070061720506</v>
      </c>
      <c r="G47" s="1446">
        <v>0.20099241137564611</v>
      </c>
      <c r="H47" s="1446">
        <v>0.14615800857512329</v>
      </c>
    </row>
    <row r="48" spans="3:8" x14ac:dyDescent="0.4">
      <c r="C48" s="198"/>
      <c r="D48" s="115" t="s">
        <v>5000</v>
      </c>
      <c r="E48" s="2233">
        <v>131.05921014063</v>
      </c>
      <c r="F48" s="2233">
        <v>92.666716144409406</v>
      </c>
      <c r="G48" s="1446">
        <v>0.20996293459771401</v>
      </c>
      <c r="H48" s="1446">
        <v>0.14845637815408882</v>
      </c>
    </row>
    <row r="49" spans="3:8" x14ac:dyDescent="0.4">
      <c r="C49" s="198"/>
      <c r="D49" s="115" t="s">
        <v>5001</v>
      </c>
      <c r="E49" s="2233">
        <v>131.036455560006</v>
      </c>
      <c r="F49" s="2233">
        <v>95.304726222341202</v>
      </c>
      <c r="G49" s="1446">
        <v>0.20992648070394929</v>
      </c>
      <c r="H49" s="1446">
        <v>0.15268259267855125</v>
      </c>
    </row>
    <row r="50" spans="3:8" x14ac:dyDescent="0.4">
      <c r="C50" s="198">
        <v>2019</v>
      </c>
      <c r="D50" s="115" t="s">
        <v>5002</v>
      </c>
      <c r="E50" s="2233">
        <v>118.72199290968219</v>
      </c>
      <c r="F50" s="2233">
        <v>91.427651510841613</v>
      </c>
      <c r="G50" s="1446">
        <v>0.18430035095248223</v>
      </c>
      <c r="H50" s="1446">
        <v>0.14192945929595466</v>
      </c>
    </row>
    <row r="51" spans="3:8" x14ac:dyDescent="0.4">
      <c r="C51" s="198"/>
      <c r="D51" s="115" t="s">
        <v>5003</v>
      </c>
      <c r="E51" s="2233">
        <v>129.6071452305325</v>
      </c>
      <c r="F51" s="2233">
        <v>89.147545641115315</v>
      </c>
      <c r="G51" s="1446">
        <v>0.20119812485044999</v>
      </c>
      <c r="H51" s="1446">
        <v>0.13838989344382935</v>
      </c>
    </row>
    <row r="52" spans="3:8" x14ac:dyDescent="0.4">
      <c r="C52" s="198"/>
      <c r="D52" s="115" t="s">
        <v>5000</v>
      </c>
      <c r="E52" s="2233">
        <v>135.01263092912569</v>
      </c>
      <c r="F52" s="2233">
        <v>92.359040278241807</v>
      </c>
      <c r="G52" s="1446">
        <v>0.2095894337133094</v>
      </c>
      <c r="H52" s="1446">
        <v>0.14337531842026738</v>
      </c>
    </row>
    <row r="53" spans="3:8" x14ac:dyDescent="0.4">
      <c r="C53" s="198"/>
      <c r="D53" s="115" t="s">
        <v>5001</v>
      </c>
      <c r="E53" s="2233">
        <v>135.44347076591615</v>
      </c>
      <c r="F53" s="2233">
        <v>107.49067817284518</v>
      </c>
      <c r="G53" s="1446">
        <v>0.21025825615453306</v>
      </c>
      <c r="H53" s="1446">
        <v>0.16686520522315179</v>
      </c>
    </row>
    <row r="54" spans="3:8" x14ac:dyDescent="0.4">
      <c r="C54" s="198">
        <v>2020</v>
      </c>
      <c r="D54" s="115" t="s">
        <v>5002</v>
      </c>
      <c r="E54" s="2233">
        <v>103.79581777172299</v>
      </c>
      <c r="F54" s="2233">
        <v>88.696670355701002</v>
      </c>
      <c r="G54" s="1446">
        <v>0.16698704277882426</v>
      </c>
      <c r="H54" s="1446">
        <v>0.14269548624397194</v>
      </c>
    </row>
    <row r="55" spans="3:8" x14ac:dyDescent="0.4">
      <c r="C55" s="198"/>
      <c r="D55" s="115" t="s">
        <v>5003</v>
      </c>
      <c r="E55" s="2233">
        <v>118.620249631473</v>
      </c>
      <c r="F55" s="2233">
        <v>84.520314893067805</v>
      </c>
      <c r="G55" s="1446">
        <v>0.1908366360503003</v>
      </c>
      <c r="H55" s="1446">
        <v>0.13597655225154379</v>
      </c>
    </row>
    <row r="56" spans="3:8" x14ac:dyDescent="0.4">
      <c r="C56" s="198"/>
      <c r="D56" s="115" t="s">
        <v>5000</v>
      </c>
      <c r="E56" s="2233">
        <v>138.438997066208</v>
      </c>
      <c r="F56" s="2233">
        <v>82.204401874115504</v>
      </c>
      <c r="G56" s="1446">
        <v>0.22272110015255628</v>
      </c>
      <c r="H56" s="1446">
        <v>0.13225070399802022</v>
      </c>
    </row>
    <row r="57" spans="3:8" x14ac:dyDescent="0.4">
      <c r="C57" s="198"/>
      <c r="D57" s="115" t="s">
        <v>5001</v>
      </c>
      <c r="E57" s="2233">
        <v>134.405667080277</v>
      </c>
      <c r="F57" s="2233">
        <v>94.103012917496798</v>
      </c>
      <c r="G57" s="1446">
        <v>0.21623226600335169</v>
      </c>
      <c r="H57" s="1446">
        <v>0.15139322740565406</v>
      </c>
    </row>
    <row r="58" spans="3:8" x14ac:dyDescent="0.4">
      <c r="C58" s="198">
        <v>2021</v>
      </c>
      <c r="D58" s="115" t="s">
        <v>5002</v>
      </c>
      <c r="E58" s="2233">
        <v>126.555329613578</v>
      </c>
      <c r="F58" s="2233">
        <v>88.221590944278901</v>
      </c>
      <c r="G58" s="1446">
        <v>0.19585611188938415</v>
      </c>
      <c r="H58" s="1446">
        <v>0.13653109544892963</v>
      </c>
    </row>
    <row r="59" spans="3:8" x14ac:dyDescent="0.4">
      <c r="C59" s="198"/>
      <c r="D59" s="115" t="s">
        <v>5003</v>
      </c>
      <c r="E59" s="2233">
        <v>139.81280548778599</v>
      </c>
      <c r="F59" s="2233">
        <v>86.629062677836998</v>
      </c>
      <c r="G59" s="1446">
        <v>0.21637328557237309</v>
      </c>
      <c r="H59" s="1446">
        <v>0.13406651023318547</v>
      </c>
    </row>
    <row r="60" spans="3:8" x14ac:dyDescent="0.4">
      <c r="C60" s="198"/>
      <c r="D60" s="115" t="s">
        <v>5000</v>
      </c>
      <c r="E60" s="2233">
        <v>149.30488044772699</v>
      </c>
      <c r="F60" s="2233">
        <v>106.678797324136</v>
      </c>
      <c r="G60" s="1446">
        <v>0.23106315206075501</v>
      </c>
      <c r="H60" s="1446">
        <v>0.16509533441805563</v>
      </c>
    </row>
    <row r="61" spans="3:8" x14ac:dyDescent="0.4">
      <c r="C61" s="198"/>
      <c r="D61" s="115" t="s">
        <v>5001</v>
      </c>
      <c r="E61" s="2233">
        <v>143.14142834803201</v>
      </c>
      <c r="F61" s="2233">
        <v>106.206750701293</v>
      </c>
      <c r="G61" s="1446">
        <v>0.22152463821271232</v>
      </c>
      <c r="H61" s="1446">
        <v>0.16436479848201216</v>
      </c>
    </row>
    <row r="62" spans="3:8" x14ac:dyDescent="0.4">
      <c r="C62" s="198">
        <v>2022</v>
      </c>
      <c r="D62" s="115" t="s">
        <v>5002</v>
      </c>
      <c r="E62" s="2233">
        <v>141</v>
      </c>
      <c r="F62" s="2233">
        <v>96.723219550575394</v>
      </c>
      <c r="G62" s="1446">
        <v>0.20362885077869897</v>
      </c>
      <c r="H62" s="1446">
        <v>0.13968537617517343</v>
      </c>
    </row>
    <row r="63" spans="3:8" x14ac:dyDescent="0.4">
      <c r="C63" s="155"/>
      <c r="D63" s="115" t="s">
        <v>5003</v>
      </c>
      <c r="E63" s="1446">
        <v>143</v>
      </c>
      <c r="F63" s="729">
        <v>96.548155455549207</v>
      </c>
      <c r="G63" s="1446">
        <v>0.20651720327201384</v>
      </c>
      <c r="H63" s="1446">
        <v>0.13943255276749406</v>
      </c>
    </row>
    <row r="64" spans="3:8" x14ac:dyDescent="0.4">
      <c r="D64" s="115" t="s">
        <v>5000</v>
      </c>
      <c r="E64" s="1446">
        <v>150</v>
      </c>
      <c r="F64" s="729">
        <v>116</v>
      </c>
      <c r="G64" s="1446">
        <v>0.21662643699861592</v>
      </c>
      <c r="H64" s="1446">
        <v>0.16752444461226298</v>
      </c>
    </row>
    <row r="65" spans="3:8" x14ac:dyDescent="0.4">
      <c r="D65" s="115" t="s">
        <v>5001</v>
      </c>
      <c r="E65" s="1446">
        <v>141</v>
      </c>
      <c r="F65" s="729">
        <v>114.524340938728</v>
      </c>
      <c r="G65" s="1446">
        <v>0.20362885077869897</v>
      </c>
      <c r="H65" s="1446">
        <v>0.16539333284780916</v>
      </c>
    </row>
    <row r="66" spans="3:8" x14ac:dyDescent="0.4">
      <c r="C66" s="198">
        <v>2023</v>
      </c>
      <c r="D66" s="115" t="s">
        <v>5002</v>
      </c>
      <c r="E66" s="1446">
        <v>163</v>
      </c>
      <c r="F66" s="2233">
        <v>109.74082568999999</v>
      </c>
      <c r="G66" s="1446">
        <v>0.18844379084659732</v>
      </c>
      <c r="H66" s="1446">
        <v>0.12687102578932058</v>
      </c>
    </row>
    <row r="67" spans="3:8" x14ac:dyDescent="0.4">
      <c r="C67" s="155"/>
      <c r="D67" s="115" t="s">
        <v>5003</v>
      </c>
      <c r="E67" s="1446">
        <v>139</v>
      </c>
      <c r="F67" s="729">
        <v>101.40823145</v>
      </c>
      <c r="G67" s="1446">
        <v>0.16069746581396951</v>
      </c>
      <c r="H67" s="1446">
        <v>0.11723773961648548</v>
      </c>
    </row>
    <row r="68" spans="3:8" x14ac:dyDescent="0.4">
      <c r="D68" s="115" t="s">
        <v>5000</v>
      </c>
      <c r="E68" s="1446">
        <v>140</v>
      </c>
      <c r="F68" s="729">
        <v>103.96879822</v>
      </c>
      <c r="G68" s="1446">
        <v>0.16185356269032899</v>
      </c>
      <c r="H68" s="1446">
        <v>0.1201980028609924</v>
      </c>
    </row>
    <row r="69" spans="3:8" x14ac:dyDescent="0.4">
      <c r="D69" s="115" t="s">
        <v>5001</v>
      </c>
      <c r="E69" s="1446">
        <v>147</v>
      </c>
      <c r="F69" s="729">
        <v>113.66747891</v>
      </c>
      <c r="G69" s="1446">
        <v>0.16994624082484544</v>
      </c>
      <c r="H69" s="1446">
        <v>0.13141061731150952</v>
      </c>
    </row>
    <row r="70" spans="3:8" x14ac:dyDescent="0.4">
      <c r="C70" s="606">
        <v>2024</v>
      </c>
      <c r="D70" s="120" t="s">
        <v>5002</v>
      </c>
      <c r="E70" s="2177">
        <v>166.30475410140002</v>
      </c>
      <c r="F70" s="736">
        <v>114.13045871759999</v>
      </c>
      <c r="G70" s="2177">
        <v>0.17546042396378556</v>
      </c>
      <c r="H70" s="2177">
        <v>0.120413747532205</v>
      </c>
    </row>
    <row r="71" spans="3:8" x14ac:dyDescent="0.4">
      <c r="C71" s="198"/>
      <c r="E71" s="1446"/>
      <c r="F71" s="729"/>
      <c r="G71" s="1446"/>
      <c r="H71" s="1446"/>
    </row>
    <row r="72" spans="3:8" x14ac:dyDescent="0.4">
      <c r="C72" s="115" t="s">
        <v>7930</v>
      </c>
    </row>
  </sheetData>
  <mergeCells count="13">
    <mergeCell ref="A5:B5"/>
    <mergeCell ref="C5:T5"/>
    <mergeCell ref="C1:D1"/>
    <mergeCell ref="A3:B3"/>
    <mergeCell ref="C3:T3"/>
    <mergeCell ref="A4:B4"/>
    <mergeCell ref="C4:T4"/>
    <mergeCell ref="A6:B6"/>
    <mergeCell ref="C6:T6"/>
    <mergeCell ref="C12:C13"/>
    <mergeCell ref="D12:D13"/>
    <mergeCell ref="E12:F12"/>
    <mergeCell ref="G12:H12"/>
  </mergeCells>
  <hyperlinks>
    <hyperlink ref="A1" location="'ODS 17.'!A1" display="REGRESAR" xr:uid="{08AF8281-CF51-4474-91BC-57AADE2E4FDE}"/>
    <hyperlink ref="C1:D1" location="'Metadato 17.3.2'!A1" display="VER METADATO" xr:uid="{E13572C3-7599-46DA-B83F-465542E0AF4D}"/>
  </hyperlinks>
  <pageMargins left="0.7" right="0.7" top="0.75" bottom="0.75" header="0.3" footer="0.3"/>
  <pageSetup orientation="portrait" r:id="rId1"/>
  <drawing r:id="rId2"/>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08F4-BB82-49A6-AF13-70870C563B48}">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0.7109375" style="243" customWidth="1"/>
    <col min="2" max="2" width="26.42578125" style="243" customWidth="1"/>
    <col min="3" max="3" width="24" style="243" customWidth="1"/>
    <col min="4" max="4" width="85.710937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55" t="s">
        <v>75</v>
      </c>
      <c r="C3" s="3555"/>
      <c r="D3" s="3555"/>
      <c r="F3" s="1046" t="s">
        <v>76</v>
      </c>
    </row>
    <row r="4" spans="2:6" ht="37.5" x14ac:dyDescent="0.25">
      <c r="B4" s="2425" t="s">
        <v>234</v>
      </c>
      <c r="C4" s="2425"/>
      <c r="D4" s="49" t="s">
        <v>7797</v>
      </c>
    </row>
    <row r="5" spans="2:6" ht="18" customHeight="1" x14ac:dyDescent="0.25">
      <c r="B5" s="2425" t="s">
        <v>79</v>
      </c>
      <c r="C5" s="2425"/>
      <c r="D5" s="49" t="s">
        <v>7705</v>
      </c>
    </row>
    <row r="6" spans="2:6" x14ac:dyDescent="0.25">
      <c r="B6" s="2425" t="s">
        <v>80</v>
      </c>
      <c r="C6" s="2425"/>
      <c r="D6" s="50" t="s">
        <v>7708</v>
      </c>
    </row>
    <row r="7" spans="2:6" ht="21" customHeight="1" x14ac:dyDescent="0.25">
      <c r="B7" s="2426" t="s">
        <v>81</v>
      </c>
      <c r="C7" s="2426"/>
      <c r="D7" s="93" t="s">
        <v>7709</v>
      </c>
    </row>
    <row r="8" spans="2:6" s="155" customFormat="1" x14ac:dyDescent="0.25">
      <c r="B8" s="2437" t="s">
        <v>82</v>
      </c>
      <c r="C8" s="2437"/>
      <c r="D8" s="1047" t="s">
        <v>7931</v>
      </c>
    </row>
    <row r="9" spans="2:6" x14ac:dyDescent="0.4">
      <c r="B9" s="115"/>
      <c r="C9" s="115"/>
      <c r="D9" s="115"/>
    </row>
    <row r="10" spans="2:6" ht="23.25" customHeight="1" x14ac:dyDescent="0.25">
      <c r="B10" s="3555" t="s">
        <v>85</v>
      </c>
      <c r="C10" s="3555"/>
      <c r="D10" s="3555"/>
    </row>
    <row r="11" spans="2:6" x14ac:dyDescent="0.25">
      <c r="B11" s="2427" t="s">
        <v>86</v>
      </c>
      <c r="C11" s="2428"/>
      <c r="D11" s="49" t="s">
        <v>167</v>
      </c>
    </row>
    <row r="12" spans="2:6" ht="18.75" customHeight="1" x14ac:dyDescent="0.25">
      <c r="B12" s="2426" t="s">
        <v>88</v>
      </c>
      <c r="C12" s="2426"/>
      <c r="D12" s="184" t="s">
        <v>7932</v>
      </c>
    </row>
    <row r="13" spans="2:6" x14ac:dyDescent="0.25">
      <c r="B13" s="2425" t="s">
        <v>90</v>
      </c>
      <c r="C13" s="2425"/>
      <c r="D13" s="55" t="s">
        <v>7708</v>
      </c>
    </row>
    <row r="14" spans="2:6" x14ac:dyDescent="0.25">
      <c r="B14" s="2425" t="s">
        <v>91</v>
      </c>
      <c r="C14" s="2428"/>
      <c r="D14" s="54" t="s">
        <v>92</v>
      </c>
    </row>
    <row r="15" spans="2:6" ht="281.25" x14ac:dyDescent="0.25">
      <c r="B15" s="2425" t="s">
        <v>93</v>
      </c>
      <c r="C15" s="2425"/>
      <c r="D15" s="2236" t="s">
        <v>7933</v>
      </c>
    </row>
    <row r="16" spans="2:6" ht="45.75" customHeight="1" x14ac:dyDescent="0.25">
      <c r="B16" s="2425" t="s">
        <v>95</v>
      </c>
      <c r="C16" s="2425"/>
      <c r="D16" s="55"/>
    </row>
    <row r="17" spans="2:4" x14ac:dyDescent="0.25">
      <c r="B17" s="2425" t="s">
        <v>97</v>
      </c>
      <c r="C17" s="2425"/>
      <c r="D17" s="55" t="s">
        <v>238</v>
      </c>
    </row>
    <row r="18" spans="2:4" x14ac:dyDescent="0.25">
      <c r="B18" s="2426" t="s">
        <v>99</v>
      </c>
      <c r="C18" s="2426"/>
      <c r="D18" s="49"/>
    </row>
    <row r="19" spans="2:4" ht="37.5" customHeight="1" x14ac:dyDescent="0.25">
      <c r="B19" s="2435" t="s">
        <v>100</v>
      </c>
      <c r="C19" s="2436"/>
      <c r="D19" s="55" t="s">
        <v>7934</v>
      </c>
    </row>
    <row r="20" spans="2:4" x14ac:dyDescent="0.25">
      <c r="B20" s="2425" t="s">
        <v>102</v>
      </c>
      <c r="C20" s="2425"/>
      <c r="D20" s="55" t="s">
        <v>140</v>
      </c>
    </row>
    <row r="21" spans="2:4" x14ac:dyDescent="0.25">
      <c r="B21" s="2432" t="s">
        <v>104</v>
      </c>
      <c r="C21" s="57" t="s">
        <v>105</v>
      </c>
      <c r="D21" s="55" t="s">
        <v>5419</v>
      </c>
    </row>
    <row r="22" spans="2:4" x14ac:dyDescent="0.25">
      <c r="B22" s="2433"/>
      <c r="C22" s="58" t="s">
        <v>107</v>
      </c>
      <c r="D22" s="55"/>
    </row>
    <row r="23" spans="2:4" x14ac:dyDescent="0.25">
      <c r="B23" s="2425" t="s">
        <v>109</v>
      </c>
      <c r="C23" s="2425"/>
      <c r="D23" s="55" t="s">
        <v>5866</v>
      </c>
    </row>
    <row r="24" spans="2:4" x14ac:dyDescent="0.25">
      <c r="B24" s="2425" t="s">
        <v>111</v>
      </c>
      <c r="C24" s="2425"/>
      <c r="D24" s="50" t="s">
        <v>3388</v>
      </c>
    </row>
    <row r="25" spans="2:4" x14ac:dyDescent="0.25">
      <c r="B25" s="2425" t="s">
        <v>113</v>
      </c>
      <c r="C25" s="2425"/>
      <c r="D25" s="55" t="s">
        <v>220</v>
      </c>
    </row>
    <row r="26" spans="2:4" ht="15" customHeight="1" x14ac:dyDescent="0.25">
      <c r="B26" s="2426" t="s">
        <v>115</v>
      </c>
      <c r="C26" s="2426"/>
      <c r="D26" s="50" t="s">
        <v>7935</v>
      </c>
    </row>
    <row r="27" spans="2:4" x14ac:dyDescent="0.25">
      <c r="B27" s="2427" t="s">
        <v>117</v>
      </c>
      <c r="C27" s="2428"/>
      <c r="D27" s="49"/>
    </row>
    <row r="28" spans="2:4" x14ac:dyDescent="0.25">
      <c r="B28" s="60" t="s">
        <v>118</v>
      </c>
      <c r="C28" s="61"/>
      <c r="D28" s="49"/>
    </row>
    <row r="29" spans="2:4" x14ac:dyDescent="0.25">
      <c r="B29" s="2429" t="s">
        <v>120</v>
      </c>
      <c r="C29" s="2430"/>
      <c r="D29" s="62"/>
    </row>
    <row r="30" spans="2:4" x14ac:dyDescent="0.25">
      <c r="B30" s="63"/>
      <c r="C30" s="63"/>
      <c r="D30" s="64"/>
    </row>
    <row r="31" spans="2:4" ht="23.25" customHeight="1" x14ac:dyDescent="0.25">
      <c r="B31" s="3555" t="s">
        <v>121</v>
      </c>
      <c r="C31" s="3555"/>
      <c r="D31" s="3555"/>
    </row>
    <row r="32" spans="2:4" x14ac:dyDescent="0.25">
      <c r="B32" s="2427" t="s">
        <v>122</v>
      </c>
      <c r="C32" s="2428"/>
      <c r="D32" s="50" t="s">
        <v>7936</v>
      </c>
    </row>
    <row r="33" spans="2:4" x14ac:dyDescent="0.25">
      <c r="B33" s="2427" t="s">
        <v>124</v>
      </c>
      <c r="C33" s="2428"/>
      <c r="D33" s="50" t="s">
        <v>7937</v>
      </c>
    </row>
    <row r="34" spans="2:4" x14ac:dyDescent="0.25">
      <c r="B34" s="2427" t="s">
        <v>126</v>
      </c>
      <c r="C34" s="2428"/>
      <c r="D34" s="50" t="s">
        <v>3388</v>
      </c>
    </row>
    <row r="35" spans="2:4" ht="37.5" x14ac:dyDescent="0.25">
      <c r="B35" s="2427" t="s">
        <v>128</v>
      </c>
      <c r="C35" s="2428"/>
      <c r="D35" s="50" t="s">
        <v>7938</v>
      </c>
    </row>
    <row r="36" spans="2:4" ht="37.5" x14ac:dyDescent="0.25">
      <c r="B36" s="2427" t="s">
        <v>130</v>
      </c>
      <c r="C36" s="2428"/>
      <c r="D36" s="50" t="s">
        <v>7939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1E8F764F-9C26-43E0-A83C-EF5D710C6679}">
      <formula1>ODS</formula1>
    </dataValidation>
    <dataValidation type="list" allowBlank="1" showInputMessage="1" showErrorMessage="1" sqref="D5" xr:uid="{FA02FF05-DAD5-49AE-AD22-0B0F03210005}">
      <formula1>Metas_ODS</formula1>
    </dataValidation>
    <dataValidation type="list" allowBlank="1" showInputMessage="1" showErrorMessage="1" sqref="D6" xr:uid="{0A8C3FCF-799B-4146-9B84-312211BC4F20}">
      <formula1>Numero_indicador</formula1>
    </dataValidation>
    <dataValidation type="list" allowBlank="1" showInputMessage="1" showErrorMessage="1" sqref="D7" xr:uid="{ED8D3243-4719-4316-9518-8B37815E50EB}">
      <formula1>Nombre_indicador_ODS</formula1>
    </dataValidation>
    <dataValidation type="list" allowBlank="1" showInputMessage="1" showErrorMessage="1" sqref="D14" xr:uid="{1B72FCD6-E8F3-44EB-BE56-32AE489B4615}">
      <formula1>Tipo_indicador</formula1>
    </dataValidation>
    <dataValidation type="list" allowBlank="1" showInputMessage="1" showErrorMessage="1" sqref="D25" xr:uid="{82764EEF-E5DD-4AFD-A19D-AE18F903F7E9}">
      <formula1>Tipo_operación</formula1>
    </dataValidation>
  </dataValidations>
  <hyperlinks>
    <hyperlink ref="B1" location="'17.3.2'!A1" display="REGRESAR" xr:uid="{183F0CBE-AC79-4D5E-BBE2-90BD27935621}"/>
    <hyperlink ref="D8" r:id="rId1" xr:uid="{F7E0EB80-575D-459D-B8A6-20B0885DD100}"/>
  </hyperlinks>
  <pageMargins left="0.7" right="0.7" top="0.75" bottom="0.75" header="0.3" footer="0.3"/>
  <pageSetup orientation="portrait" r:id="rId2"/>
  <drawing r:id="rId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1E27-3C4E-4059-85B5-664D665A5398}">
  <dimension ref="A1:P33"/>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8.5703125" style="1048" customWidth="1"/>
    <col min="3" max="3" width="10" style="115" customWidth="1"/>
    <col min="4" max="4" width="16.5703125" style="115" customWidth="1"/>
    <col min="5" max="5" width="15.7109375" style="115" customWidth="1"/>
    <col min="6" max="6" width="11.5703125" style="115" bestFit="1" customWidth="1"/>
    <col min="7" max="16384" width="11.42578125" style="115"/>
  </cols>
  <sheetData>
    <row r="1" spans="1:16" x14ac:dyDescent="0.4">
      <c r="A1" s="90" t="s">
        <v>39</v>
      </c>
      <c r="C1" s="2541" t="s">
        <v>149</v>
      </c>
      <c r="D1" s="2541"/>
    </row>
    <row r="3" spans="1:16" ht="19.5" x14ac:dyDescent="0.4">
      <c r="A3" s="3547" t="s">
        <v>41</v>
      </c>
      <c r="B3" s="3547"/>
      <c r="C3" s="3547" t="s">
        <v>7696</v>
      </c>
      <c r="D3" s="3548"/>
      <c r="E3" s="3548"/>
      <c r="F3" s="3548"/>
      <c r="G3" s="3548"/>
      <c r="H3" s="3548"/>
      <c r="I3" s="3548"/>
      <c r="J3" s="3548"/>
      <c r="K3" s="3548"/>
      <c r="L3" s="3548"/>
      <c r="M3" s="3548"/>
      <c r="N3" s="3548"/>
      <c r="O3" s="3548"/>
      <c r="P3" s="3548"/>
    </row>
    <row r="4" spans="1:16" s="155" customFormat="1" ht="39" customHeight="1" x14ac:dyDescent="0.25">
      <c r="A4" s="3547" t="s">
        <v>42</v>
      </c>
      <c r="B4" s="3548"/>
      <c r="C4" s="3558" t="s">
        <v>7710</v>
      </c>
      <c r="D4" s="3559"/>
      <c r="E4" s="3559"/>
      <c r="F4" s="3559"/>
      <c r="G4" s="3559"/>
      <c r="H4" s="3559"/>
      <c r="I4" s="3559"/>
      <c r="J4" s="3559"/>
      <c r="K4" s="3559"/>
      <c r="L4" s="3559"/>
      <c r="M4" s="3559"/>
      <c r="N4" s="3559"/>
      <c r="O4" s="3559"/>
      <c r="P4" s="3559"/>
    </row>
    <row r="5" spans="1:16" ht="19.5" x14ac:dyDescent="0.4">
      <c r="A5" s="3547" t="s">
        <v>43</v>
      </c>
      <c r="B5" s="3548"/>
      <c r="C5" s="3547" t="s">
        <v>7712</v>
      </c>
      <c r="D5" s="3548"/>
      <c r="E5" s="3548"/>
      <c r="F5" s="3548"/>
      <c r="G5" s="3548"/>
      <c r="H5" s="3548"/>
      <c r="I5" s="3548"/>
      <c r="J5" s="3548"/>
      <c r="K5" s="3548"/>
      <c r="L5" s="3548"/>
      <c r="M5" s="3548"/>
      <c r="N5" s="3548"/>
      <c r="O5" s="3548"/>
      <c r="P5" s="3548"/>
    </row>
    <row r="6" spans="1:16" ht="19.5" x14ac:dyDescent="0.4">
      <c r="A6" s="3547" t="s">
        <v>132</v>
      </c>
      <c r="B6" s="3548"/>
      <c r="C6" s="3547" t="s">
        <v>7940</v>
      </c>
      <c r="D6" s="3548"/>
      <c r="E6" s="3548"/>
      <c r="F6" s="3548"/>
      <c r="G6" s="3548"/>
      <c r="H6" s="3548"/>
      <c r="I6" s="3548"/>
      <c r="J6" s="3548"/>
      <c r="K6" s="3548"/>
      <c r="L6" s="3548"/>
      <c r="M6" s="3548"/>
      <c r="N6" s="3548"/>
      <c r="O6" s="3548"/>
      <c r="P6" s="3548"/>
    </row>
    <row r="9" spans="1:16" ht="19.5" x14ac:dyDescent="0.4">
      <c r="C9" s="138" t="s">
        <v>7941</v>
      </c>
      <c r="D9" s="138"/>
      <c r="E9" s="138"/>
      <c r="F9" s="138"/>
      <c r="G9" s="575"/>
      <c r="H9" s="575"/>
      <c r="I9" s="2193" t="s">
        <v>7942</v>
      </c>
      <c r="J9" s="1032"/>
      <c r="K9" s="1032"/>
      <c r="L9" s="1032"/>
      <c r="M9" s="1032"/>
      <c r="N9" s="1032"/>
      <c r="O9" s="1032"/>
      <c r="P9" s="1032"/>
    </row>
    <row r="10" spans="1:16" ht="19.5" x14ac:dyDescent="0.4">
      <c r="C10" s="138" t="s">
        <v>7943</v>
      </c>
      <c r="D10" s="138"/>
      <c r="E10" s="138"/>
      <c r="F10" s="138"/>
      <c r="G10" s="575"/>
      <c r="H10" s="575"/>
      <c r="I10" s="2193" t="s">
        <v>7944</v>
      </c>
      <c r="J10" s="1032"/>
      <c r="K10" s="1032"/>
      <c r="L10" s="1032"/>
      <c r="M10" s="1032"/>
      <c r="N10" s="1032"/>
      <c r="O10" s="1032"/>
      <c r="P10" s="1032"/>
    </row>
    <row r="11" spans="1:16" ht="17.45" customHeight="1" x14ac:dyDescent="0.4">
      <c r="C11" s="533"/>
      <c r="D11" s="533"/>
      <c r="E11" s="533"/>
      <c r="F11" s="533"/>
      <c r="G11" s="575"/>
      <c r="H11" s="575"/>
      <c r="I11" s="2194"/>
    </row>
    <row r="12" spans="1:16" ht="93.75" x14ac:dyDescent="0.4">
      <c r="A12" s="536"/>
      <c r="C12" s="2201" t="s">
        <v>46</v>
      </c>
      <c r="D12" s="2201" t="s">
        <v>7945</v>
      </c>
      <c r="E12" s="2201" t="s">
        <v>7946</v>
      </c>
      <c r="F12" s="2201" t="s">
        <v>5</v>
      </c>
      <c r="G12" s="1089"/>
      <c r="H12" s="1089"/>
    </row>
    <row r="13" spans="1:16" x14ac:dyDescent="0.4">
      <c r="A13" s="536"/>
      <c r="C13" s="198">
        <v>2006</v>
      </c>
      <c r="D13" s="2237">
        <v>2029927.3265549734</v>
      </c>
      <c r="E13" s="2237">
        <v>5030197.4981452581</v>
      </c>
      <c r="F13" s="2238">
        <v>40.354823589003239</v>
      </c>
      <c r="G13" s="2239"/>
      <c r="H13" s="2239"/>
      <c r="I13" s="2240"/>
    </row>
    <row r="14" spans="1:16" x14ac:dyDescent="0.4">
      <c r="A14" s="536"/>
      <c r="C14" s="198">
        <v>2007</v>
      </c>
      <c r="D14" s="2237">
        <v>1721738.3236026443</v>
      </c>
      <c r="E14" s="2237">
        <v>5636474.551021657</v>
      </c>
      <c r="F14" s="2238">
        <v>30.546369153579612</v>
      </c>
      <c r="G14" s="2239"/>
      <c r="H14" s="2239"/>
      <c r="I14" s="2240"/>
    </row>
    <row r="15" spans="1:16" x14ac:dyDescent="0.4">
      <c r="A15" s="536"/>
      <c r="C15" s="198">
        <v>2008</v>
      </c>
      <c r="D15" s="2237">
        <v>1403242.6341826287</v>
      </c>
      <c r="E15" s="2237">
        <v>6290129.3883025749</v>
      </c>
      <c r="F15" s="2238">
        <v>22.308644982600288</v>
      </c>
      <c r="G15" s="2239"/>
      <c r="H15" s="2239"/>
      <c r="I15" s="2240"/>
    </row>
    <row r="16" spans="1:16" x14ac:dyDescent="0.4">
      <c r="A16" s="536"/>
      <c r="C16" s="198">
        <v>2009</v>
      </c>
      <c r="D16" s="2237">
        <v>2211972.1642143601</v>
      </c>
      <c r="E16" s="2237">
        <v>6104341.2512586853</v>
      </c>
      <c r="F16" s="2238">
        <v>36.23605026600147</v>
      </c>
      <c r="G16" s="2239"/>
      <c r="H16" s="2239"/>
      <c r="I16" s="2240"/>
    </row>
    <row r="17" spans="1:15" x14ac:dyDescent="0.4">
      <c r="A17" s="536"/>
      <c r="C17" s="198">
        <v>2010</v>
      </c>
      <c r="D17" s="2237">
        <v>2427142.4409202905</v>
      </c>
      <c r="E17" s="2237">
        <v>6500883.51237748</v>
      </c>
      <c r="F17" s="2238">
        <v>37.335578099485808</v>
      </c>
      <c r="G17" s="2239"/>
      <c r="H17" s="2239"/>
      <c r="I17" s="2240"/>
    </row>
    <row r="18" spans="1:15" x14ac:dyDescent="0.4">
      <c r="A18" s="536"/>
      <c r="C18" s="198">
        <v>2011</v>
      </c>
      <c r="D18" s="2237">
        <v>2862381.0185894961</v>
      </c>
      <c r="E18" s="2237">
        <v>7021692.7141709076</v>
      </c>
      <c r="F18" s="2238">
        <v>40.764828868297663</v>
      </c>
      <c r="G18" s="2239"/>
      <c r="H18" s="2239"/>
      <c r="I18" s="2240"/>
    </row>
    <row r="19" spans="1:15" x14ac:dyDescent="0.4">
      <c r="A19" s="536"/>
      <c r="C19" s="198">
        <v>2012</v>
      </c>
      <c r="D19" s="2237">
        <v>3174726.0614682855</v>
      </c>
      <c r="E19" s="2237">
        <v>7518095.8072228301</v>
      </c>
      <c r="F19" s="2238">
        <v>42.227794681975766</v>
      </c>
      <c r="G19" s="2239"/>
      <c r="H19" s="2239"/>
      <c r="I19" s="2240"/>
    </row>
    <row r="20" spans="1:15" x14ac:dyDescent="0.4">
      <c r="A20" s="536"/>
      <c r="C20" s="198">
        <v>2013</v>
      </c>
      <c r="D20" s="2237">
        <v>2855133.8028823347</v>
      </c>
      <c r="E20" s="2237">
        <v>7789537.8002988026</v>
      </c>
      <c r="F20" s="2238">
        <v>36.653443067864863</v>
      </c>
      <c r="G20" s="2239"/>
      <c r="H20" s="2239"/>
      <c r="I20" s="2240"/>
    </row>
    <row r="21" spans="1:15" x14ac:dyDescent="0.4">
      <c r="A21" s="536"/>
      <c r="C21" s="198">
        <v>2014</v>
      </c>
      <c r="D21" s="2237">
        <v>2940729.4718329264</v>
      </c>
      <c r="E21" s="2237">
        <v>8782032.6598613951</v>
      </c>
      <c r="F21" s="2238">
        <v>33.485749663328392</v>
      </c>
      <c r="G21" s="2239"/>
      <c r="H21" s="2239"/>
      <c r="J21" s="243"/>
      <c r="K21" s="243"/>
      <c r="L21" s="243"/>
      <c r="M21" s="243"/>
      <c r="N21" s="243"/>
      <c r="O21" s="243"/>
    </row>
    <row r="22" spans="1:15" x14ac:dyDescent="0.4">
      <c r="A22" s="536"/>
      <c r="C22" s="198">
        <v>2015</v>
      </c>
      <c r="D22" s="2237">
        <v>4053902.3040375905</v>
      </c>
      <c r="E22" s="2237">
        <v>9050265.553589901</v>
      </c>
      <c r="F22" s="2238">
        <v>44.793186233409024</v>
      </c>
      <c r="G22" s="2239"/>
      <c r="H22" s="2239"/>
      <c r="I22" s="243" t="s">
        <v>7947</v>
      </c>
      <c r="J22" s="155"/>
      <c r="K22" s="155"/>
      <c r="L22" s="155"/>
    </row>
    <row r="23" spans="1:15" ht="17.45" customHeight="1" x14ac:dyDescent="0.4">
      <c r="A23" s="536"/>
      <c r="C23" s="198">
        <v>2016</v>
      </c>
      <c r="D23" s="2241">
        <v>5661756.1644183481</v>
      </c>
      <c r="E23" s="2241">
        <v>10020826.565404294</v>
      </c>
      <c r="F23" s="2238">
        <v>56.499891775044631</v>
      </c>
      <c r="G23" s="2242"/>
      <c r="H23" s="2242"/>
      <c r="I23" s="155" t="s">
        <v>7948</v>
      </c>
    </row>
    <row r="24" spans="1:15" x14ac:dyDescent="0.4">
      <c r="A24" s="536"/>
      <c r="C24" s="301">
        <v>2017</v>
      </c>
      <c r="D24" s="2237">
        <v>6987716.4944583932</v>
      </c>
      <c r="E24" s="2237">
        <v>11251900.411085404</v>
      </c>
      <c r="F24" s="2238">
        <v>62.102544807222735</v>
      </c>
    </row>
    <row r="25" spans="1:15" x14ac:dyDescent="0.4">
      <c r="A25" s="536"/>
      <c r="C25" s="301">
        <v>2018</v>
      </c>
      <c r="D25" s="2237">
        <v>9611669.0531998985</v>
      </c>
      <c r="E25" s="2237">
        <v>12150829.752311554</v>
      </c>
      <c r="F25" s="2238">
        <v>79.102985138701257</v>
      </c>
    </row>
    <row r="26" spans="1:15" x14ac:dyDescent="0.4">
      <c r="A26" s="536"/>
      <c r="C26" s="301">
        <v>2019</v>
      </c>
      <c r="D26" s="2237">
        <v>7057725.7012062147</v>
      </c>
      <c r="E26" s="2237">
        <v>12986007.066178398</v>
      </c>
      <c r="F26" s="2238">
        <v>54.348697526800329</v>
      </c>
    </row>
    <row r="27" spans="1:15" x14ac:dyDescent="0.4">
      <c r="C27" s="301">
        <v>2020</v>
      </c>
      <c r="D27" s="2237">
        <v>5852865.974775142</v>
      </c>
      <c r="E27" s="2237">
        <v>11644354.836270753</v>
      </c>
      <c r="F27" s="2238">
        <v>50.263548793138582</v>
      </c>
      <c r="I27" s="470"/>
    </row>
    <row r="28" spans="1:15" x14ac:dyDescent="0.4">
      <c r="C28" s="301">
        <v>2021</v>
      </c>
      <c r="D28" s="2241">
        <v>7351309.2400000002</v>
      </c>
      <c r="E28" s="2237">
        <v>14588704.175477561</v>
      </c>
      <c r="F28" s="2243">
        <f>+D28/E28*100</f>
        <v>50.390419543614854</v>
      </c>
      <c r="I28" s="470"/>
    </row>
    <row r="29" spans="1:15" x14ac:dyDescent="0.4">
      <c r="C29" s="301">
        <v>2022</v>
      </c>
      <c r="D29" s="2241">
        <v>5565561.3953439705</v>
      </c>
      <c r="E29" s="2237">
        <v>19001781.342683621</v>
      </c>
      <c r="F29" s="2243">
        <f t="shared" ref="F29:F30" si="0">+D29/E29*100</f>
        <v>29.289682345949714</v>
      </c>
      <c r="I29" s="470"/>
    </row>
    <row r="30" spans="1:15" ht="20.100000000000001" customHeight="1" x14ac:dyDescent="0.4">
      <c r="C30" s="732">
        <v>2023</v>
      </c>
      <c r="D30" s="2244"/>
      <c r="E30" s="2244">
        <v>18313413.193114094</v>
      </c>
      <c r="F30" s="2244">
        <f t="shared" si="0"/>
        <v>0</v>
      </c>
      <c r="G30" s="545"/>
      <c r="H30" s="545"/>
    </row>
    <row r="31" spans="1:15" x14ac:dyDescent="0.4">
      <c r="C31" s="3185" t="s">
        <v>7949</v>
      </c>
      <c r="D31" s="3185"/>
      <c r="E31" s="3185"/>
      <c r="F31" s="3185"/>
      <c r="G31" s="545"/>
      <c r="H31" s="545"/>
    </row>
    <row r="32" spans="1:15" x14ac:dyDescent="0.4">
      <c r="C32" s="3068" t="s">
        <v>7950</v>
      </c>
      <c r="D32" s="3068"/>
      <c r="E32" s="3068"/>
      <c r="F32" s="3068"/>
    </row>
    <row r="33" spans="3:6" x14ac:dyDescent="0.4">
      <c r="C33" s="155" t="s">
        <v>7948</v>
      </c>
      <c r="D33" s="155"/>
      <c r="E33" s="155"/>
      <c r="F33" s="155"/>
    </row>
  </sheetData>
  <mergeCells count="11">
    <mergeCell ref="A6:B6"/>
    <mergeCell ref="C6:P6"/>
    <mergeCell ref="C31:F31"/>
    <mergeCell ref="C32:F32"/>
    <mergeCell ref="C1:D1"/>
    <mergeCell ref="A3:B3"/>
    <mergeCell ref="C3:P3"/>
    <mergeCell ref="A4:B4"/>
    <mergeCell ref="C4:P4"/>
    <mergeCell ref="A5:B5"/>
    <mergeCell ref="C5:P5"/>
  </mergeCells>
  <hyperlinks>
    <hyperlink ref="A1" location="'ODS 17.'!A1" display="REGRESAR" xr:uid="{39E4D4DF-62FE-45C8-A6CB-9C53056623BF}"/>
    <hyperlink ref="C1:D1" location="'Metadato 17.4.1'!A1" display="VER METADATO" xr:uid="{52C671AA-D8A3-4B8F-9A15-94C520D3E13E}"/>
  </hyperlinks>
  <pageMargins left="0.7" right="0.7" top="0.75" bottom="0.75" header="0.3" footer="0.3"/>
  <pageSetup paperSize="9" orientation="portrait" r:id="rId1"/>
  <drawing r:id="rId2"/>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04E9-8536-48A6-A812-2029416ECF00}">
  <sheetPr>
    <tabColor theme="0" tint="-0.499984740745262"/>
  </sheetPr>
  <dimension ref="B1:F41"/>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0" style="115" customWidth="1"/>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265</v>
      </c>
    </row>
    <row r="4" spans="2:6" s="155" customFormat="1" ht="16.5" customHeight="1" x14ac:dyDescent="0.25">
      <c r="B4" s="2425" t="s">
        <v>234</v>
      </c>
      <c r="C4" s="2425"/>
      <c r="D4" s="49" t="s">
        <v>7797</v>
      </c>
    </row>
    <row r="5" spans="2:6" ht="75" x14ac:dyDescent="0.4">
      <c r="B5" s="2425" t="s">
        <v>79</v>
      </c>
      <c r="C5" s="2425"/>
      <c r="D5" s="49" t="s">
        <v>7710</v>
      </c>
    </row>
    <row r="6" spans="2:6" ht="16.5" customHeight="1" x14ac:dyDescent="0.4">
      <c r="B6" s="2425" t="s">
        <v>80</v>
      </c>
      <c r="C6" s="2425"/>
      <c r="D6" s="50" t="s">
        <v>7711</v>
      </c>
    </row>
    <row r="7" spans="2:6" ht="14.65" customHeight="1" x14ac:dyDescent="0.4">
      <c r="B7" s="2426" t="s">
        <v>81</v>
      </c>
      <c r="C7" s="2426"/>
      <c r="D7" s="93" t="s">
        <v>7951</v>
      </c>
    </row>
    <row r="8" spans="2:6" x14ac:dyDescent="0.4">
      <c r="B8" s="2426" t="s">
        <v>82</v>
      </c>
      <c r="C8" s="2426"/>
      <c r="D8" s="1047" t="s">
        <v>7952</v>
      </c>
    </row>
    <row r="10" spans="2:6" ht="23.25" customHeight="1" x14ac:dyDescent="0.4">
      <c r="B10" s="3555" t="s">
        <v>85</v>
      </c>
      <c r="C10" s="3555"/>
      <c r="D10" s="3555"/>
    </row>
    <row r="11" spans="2:6" x14ac:dyDescent="0.4">
      <c r="B11" s="2427" t="s">
        <v>86</v>
      </c>
      <c r="C11" s="2428"/>
      <c r="D11" s="49" t="s">
        <v>7953</v>
      </c>
    </row>
    <row r="12" spans="2:6" ht="35.1" customHeight="1" x14ac:dyDescent="0.4">
      <c r="B12" s="2426" t="s">
        <v>88</v>
      </c>
      <c r="C12" s="2426"/>
      <c r="D12" s="184" t="s">
        <v>7954</v>
      </c>
    </row>
    <row r="13" spans="2:6" x14ac:dyDescent="0.4">
      <c r="B13" s="2425" t="s">
        <v>90</v>
      </c>
      <c r="C13" s="2425"/>
      <c r="D13" s="55" t="s">
        <v>7711</v>
      </c>
    </row>
    <row r="14" spans="2:6" x14ac:dyDescent="0.4">
      <c r="B14" s="2425" t="s">
        <v>91</v>
      </c>
      <c r="C14" s="2428"/>
      <c r="D14" s="54" t="s">
        <v>214</v>
      </c>
    </row>
    <row r="15" spans="2:6" ht="123" customHeight="1" x14ac:dyDescent="0.4">
      <c r="B15" s="2425" t="s">
        <v>93</v>
      </c>
      <c r="C15" s="2425"/>
      <c r="D15" s="55" t="s">
        <v>7955</v>
      </c>
    </row>
    <row r="16" spans="2:6" ht="49.5" customHeight="1" x14ac:dyDescent="0.4">
      <c r="B16" s="2425" t="s">
        <v>95</v>
      </c>
      <c r="C16" s="2425"/>
      <c r="D16" s="55"/>
    </row>
    <row r="17" spans="2:4" x14ac:dyDescent="0.4">
      <c r="B17" s="2425" t="s">
        <v>97</v>
      </c>
      <c r="C17" s="2425"/>
      <c r="D17" s="55" t="s">
        <v>98</v>
      </c>
    </row>
    <row r="18" spans="2:4" x14ac:dyDescent="0.4">
      <c r="B18" s="2426" t="s">
        <v>99</v>
      </c>
      <c r="C18" s="2426"/>
      <c r="D18" s="49"/>
    </row>
    <row r="19" spans="2:4" ht="37.5" x14ac:dyDescent="0.4">
      <c r="B19" s="2435" t="s">
        <v>100</v>
      </c>
      <c r="C19" s="2436"/>
      <c r="D19" s="55" t="s">
        <v>7956</v>
      </c>
    </row>
    <row r="20" spans="2:4" x14ac:dyDescent="0.4">
      <c r="B20" s="2425" t="s">
        <v>102</v>
      </c>
      <c r="C20" s="2425"/>
      <c r="D20" s="55" t="s">
        <v>1521</v>
      </c>
    </row>
    <row r="21" spans="2:4" x14ac:dyDescent="0.4">
      <c r="B21" s="2432" t="s">
        <v>104</v>
      </c>
      <c r="C21" s="57" t="s">
        <v>105</v>
      </c>
      <c r="D21" s="55" t="s">
        <v>313</v>
      </c>
    </row>
    <row r="22" spans="2:4" x14ac:dyDescent="0.4">
      <c r="B22" s="2433"/>
      <c r="C22" s="58" t="s">
        <v>107</v>
      </c>
      <c r="D22" s="55"/>
    </row>
    <row r="23" spans="2:4" x14ac:dyDescent="0.4">
      <c r="B23" s="2425" t="s">
        <v>109</v>
      </c>
      <c r="C23" s="2425"/>
      <c r="D23" s="55" t="s">
        <v>143</v>
      </c>
    </row>
    <row r="24" spans="2:4" ht="37.5" x14ac:dyDescent="0.4">
      <c r="B24" s="2425" t="s">
        <v>111</v>
      </c>
      <c r="C24" s="2425"/>
      <c r="D24" s="50" t="s">
        <v>7957</v>
      </c>
    </row>
    <row r="25" spans="2:4" x14ac:dyDescent="0.4">
      <c r="B25" s="2425" t="s">
        <v>113</v>
      </c>
      <c r="C25" s="2425"/>
      <c r="D25" s="55" t="s">
        <v>220</v>
      </c>
    </row>
    <row r="26" spans="2:4" ht="14.65" customHeight="1" x14ac:dyDescent="0.4">
      <c r="B26" s="2426" t="s">
        <v>115</v>
      </c>
      <c r="C26" s="2426"/>
      <c r="D26" s="50" t="s">
        <v>7958</v>
      </c>
    </row>
    <row r="27" spans="2:4" x14ac:dyDescent="0.4">
      <c r="B27" s="2427" t="s">
        <v>117</v>
      </c>
      <c r="C27" s="2428"/>
      <c r="D27" s="49"/>
    </row>
    <row r="28" spans="2:4" x14ac:dyDescent="0.4">
      <c r="B28" s="60" t="s">
        <v>118</v>
      </c>
      <c r="C28" s="61"/>
      <c r="D28" s="49"/>
    </row>
    <row r="29" spans="2:4" ht="14.65" customHeight="1"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0" t="s">
        <v>7596</v>
      </c>
    </row>
    <row r="33" spans="2:4" x14ac:dyDescent="0.4">
      <c r="B33" s="2427" t="s">
        <v>124</v>
      </c>
      <c r="C33" s="2428"/>
      <c r="D33" s="50" t="s">
        <v>7597</v>
      </c>
    </row>
    <row r="34" spans="2:4" x14ac:dyDescent="0.4">
      <c r="B34" s="2427" t="s">
        <v>126</v>
      </c>
      <c r="C34" s="2428"/>
      <c r="D34" s="50" t="s">
        <v>647</v>
      </c>
    </row>
    <row r="35" spans="2:4" x14ac:dyDescent="0.4">
      <c r="B35" s="2427" t="s">
        <v>128</v>
      </c>
      <c r="C35" s="2428"/>
      <c r="D35" s="50" t="s">
        <v>7598</v>
      </c>
    </row>
    <row r="36" spans="2:4" ht="19.5" thickBot="1" x14ac:dyDescent="0.45">
      <c r="B36" s="2427" t="s">
        <v>130</v>
      </c>
      <c r="C36" s="2428"/>
      <c r="D36" s="50" t="s">
        <v>7599</v>
      </c>
    </row>
    <row r="37" spans="2:4" x14ac:dyDescent="0.4">
      <c r="B37" s="2427" t="s">
        <v>122</v>
      </c>
      <c r="C37" s="2428"/>
      <c r="D37" s="1287" t="s">
        <v>3394</v>
      </c>
    </row>
    <row r="38" spans="2:4" x14ac:dyDescent="0.4">
      <c r="B38" s="2427" t="s">
        <v>124</v>
      </c>
      <c r="C38" s="2428"/>
      <c r="D38" s="1288" t="s">
        <v>7959</v>
      </c>
    </row>
    <row r="39" spans="2:4" x14ac:dyDescent="0.4">
      <c r="B39" s="2427" t="s">
        <v>126</v>
      </c>
      <c r="C39" s="2428"/>
      <c r="D39" s="1288" t="s">
        <v>3388</v>
      </c>
    </row>
    <row r="40" spans="2:4" x14ac:dyDescent="0.4">
      <c r="B40" s="2427" t="s">
        <v>128</v>
      </c>
      <c r="C40" s="2428"/>
      <c r="D40" s="1288" t="s">
        <v>3396</v>
      </c>
    </row>
    <row r="41" spans="2:4" ht="19.5" thickBot="1" x14ac:dyDescent="0.45">
      <c r="B41" s="2427" t="s">
        <v>130</v>
      </c>
      <c r="C41" s="2428"/>
      <c r="D41" s="1289" t="s">
        <v>3397</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5BDC3624-7585-4C36-B413-EBA854E1CE2A}">
      <formula1>ODS</formula1>
    </dataValidation>
    <dataValidation type="list" allowBlank="1" showInputMessage="1" showErrorMessage="1" sqref="D5" xr:uid="{D39F45A4-D072-4FC7-8F73-CB76FA104703}">
      <formula1>Metas_ODS</formula1>
    </dataValidation>
    <dataValidation type="list" allowBlank="1" showInputMessage="1" showErrorMessage="1" sqref="D6" xr:uid="{0C5C0DE5-1ECE-42DF-9AAE-A41774A24542}">
      <formula1>Numero_indicador</formula1>
    </dataValidation>
    <dataValidation type="list" allowBlank="1" showInputMessage="1" showErrorMessage="1" sqref="D7" xr:uid="{DBB1BD54-DC55-47DA-863B-69ADE6795DBC}">
      <formula1>Nombre_indicador_ODS</formula1>
    </dataValidation>
    <dataValidation type="list" allowBlank="1" showInputMessage="1" showErrorMessage="1" sqref="D14" xr:uid="{3630202B-9B44-4A5B-8371-71BEE1AFBA71}">
      <formula1>Tipo_indicador</formula1>
    </dataValidation>
    <dataValidation type="list" allowBlank="1" showInputMessage="1" showErrorMessage="1" sqref="D25" xr:uid="{F28D8E8A-ABE9-420F-B3DF-7F4F26E5DDDA}">
      <formula1>Tipo_operación</formula1>
    </dataValidation>
  </dataValidations>
  <hyperlinks>
    <hyperlink ref="B1" location="'17.4.1'!A1" display="REGRESAR" xr:uid="{8CD0B190-DF91-4E6D-BBD9-CA01874B7BD2}"/>
    <hyperlink ref="D8" r:id="rId1" xr:uid="{0C3927AD-F357-41A5-B296-131A6BE3ADF3}"/>
    <hyperlink ref="D41" r:id="rId2" xr:uid="{83B6EF45-197A-4C03-996D-1492FC133762}"/>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B8F9-D5E1-42BC-A53C-F2B7A6863856}">
  <sheetPr>
    <tabColor theme="0" tint="-0.499984740745262"/>
  </sheetPr>
  <dimension ref="A1:D41"/>
  <sheetViews>
    <sheetView showGridLines="0" zoomScaleNormal="100" workbookViewId="0">
      <pane ySplit="1" topLeftCell="A9" activePane="bottomLeft" state="frozen"/>
      <selection pane="bottomLeft"/>
    </sheetView>
  </sheetViews>
  <sheetFormatPr baseColWidth="10" defaultColWidth="11.42578125" defaultRowHeight="18.75" x14ac:dyDescent="0.25"/>
  <cols>
    <col min="1" max="1" width="10" style="222" customWidth="1"/>
    <col min="2" max="2" width="26.42578125" style="222" customWidth="1"/>
    <col min="3" max="3" width="24" style="222" customWidth="1"/>
    <col min="4" max="4" width="85.7109375" style="222" customWidth="1"/>
    <col min="5" max="5" width="11.42578125" style="222"/>
    <col min="6" max="6" width="26.42578125" style="222" customWidth="1"/>
    <col min="7" max="7" width="24" style="222" customWidth="1"/>
    <col min="8" max="8" width="85.7109375" style="222" customWidth="1"/>
    <col min="9" max="9" width="11.42578125" style="222"/>
    <col min="10" max="10" width="26.42578125" style="222" customWidth="1"/>
    <col min="11" max="11" width="24" style="222" customWidth="1"/>
    <col min="12" max="12" width="85.7109375" style="222" customWidth="1"/>
    <col min="13" max="16384" width="11.42578125" style="222"/>
  </cols>
  <sheetData>
    <row r="1" spans="1:4" x14ac:dyDescent="0.25">
      <c r="B1" s="223" t="s">
        <v>39</v>
      </c>
    </row>
    <row r="2" spans="1:4" x14ac:dyDescent="0.25">
      <c r="B2" s="373"/>
    </row>
    <row r="3" spans="1:4" ht="19.5" x14ac:dyDescent="0.25">
      <c r="B3" s="2514" t="s">
        <v>75</v>
      </c>
      <c r="C3" s="2514"/>
      <c r="D3" s="2514"/>
    </row>
    <row r="4" spans="1:4" ht="21.6" customHeight="1" x14ac:dyDescent="0.25">
      <c r="A4" s="224"/>
      <c r="B4" s="2445" t="s">
        <v>234</v>
      </c>
      <c r="C4" s="2445"/>
      <c r="D4" s="49" t="s">
        <v>396</v>
      </c>
    </row>
    <row r="5" spans="1:4" ht="51" customHeight="1" x14ac:dyDescent="0.25">
      <c r="B5" s="2445" t="s">
        <v>79</v>
      </c>
      <c r="C5" s="2445"/>
      <c r="D5" s="49" t="s">
        <v>422</v>
      </c>
    </row>
    <row r="6" spans="1:4" x14ac:dyDescent="0.25">
      <c r="B6" s="2445" t="s">
        <v>80</v>
      </c>
      <c r="C6" s="2445"/>
      <c r="D6" s="50" t="s">
        <v>423</v>
      </c>
    </row>
    <row r="7" spans="1:4" ht="15" customHeight="1" x14ac:dyDescent="0.25">
      <c r="B7" s="2446" t="s">
        <v>81</v>
      </c>
      <c r="C7" s="2446"/>
      <c r="D7" s="93" t="s">
        <v>424</v>
      </c>
    </row>
    <row r="8" spans="1:4" x14ac:dyDescent="0.4">
      <c r="B8" s="5"/>
      <c r="C8" s="5"/>
      <c r="D8" s="5"/>
    </row>
    <row r="9" spans="1:4" ht="19.5" x14ac:dyDescent="0.25">
      <c r="B9" s="2514" t="s">
        <v>85</v>
      </c>
      <c r="C9" s="2514"/>
      <c r="D9" s="2514"/>
    </row>
    <row r="10" spans="1:4" x14ac:dyDescent="0.25">
      <c r="B10" s="2453" t="s">
        <v>86</v>
      </c>
      <c r="C10" s="2454"/>
      <c r="D10" s="49" t="s">
        <v>167</v>
      </c>
    </row>
    <row r="11" spans="1:4" ht="37.5" x14ac:dyDescent="0.25">
      <c r="B11" s="2455" t="s">
        <v>88</v>
      </c>
      <c r="C11" s="2455"/>
      <c r="D11" s="169" t="s">
        <v>637</v>
      </c>
    </row>
    <row r="12" spans="1:4" x14ac:dyDescent="0.25">
      <c r="B12" s="2445" t="s">
        <v>90</v>
      </c>
      <c r="C12" s="2445"/>
      <c r="D12" s="54" t="s">
        <v>423</v>
      </c>
    </row>
    <row r="13" spans="1:4" x14ac:dyDescent="0.25">
      <c r="B13" s="2445" t="s">
        <v>91</v>
      </c>
      <c r="C13" s="2456"/>
      <c r="D13" s="54" t="s">
        <v>214</v>
      </c>
    </row>
    <row r="14" spans="1:4" ht="225" x14ac:dyDescent="0.25">
      <c r="B14" s="2445" t="s">
        <v>93</v>
      </c>
      <c r="C14" s="2445"/>
      <c r="D14" s="56" t="s">
        <v>638</v>
      </c>
    </row>
    <row r="15" spans="1:4" ht="49.5" customHeight="1" x14ac:dyDescent="0.25">
      <c r="B15" s="2445" t="s">
        <v>95</v>
      </c>
      <c r="C15" s="2445"/>
      <c r="D15" s="56"/>
    </row>
    <row r="16" spans="1:4" x14ac:dyDescent="0.25">
      <c r="B16" s="2445" t="s">
        <v>97</v>
      </c>
      <c r="C16" s="2445"/>
      <c r="D16" s="56" t="s">
        <v>639</v>
      </c>
    </row>
    <row r="17" spans="2:4" ht="37.5" x14ac:dyDescent="0.25">
      <c r="B17" s="2446" t="s">
        <v>99</v>
      </c>
      <c r="C17" s="2446"/>
      <c r="D17" s="49" t="s">
        <v>640</v>
      </c>
    </row>
    <row r="18" spans="2:4" ht="37.5" x14ac:dyDescent="0.25">
      <c r="B18" s="2457" t="s">
        <v>100</v>
      </c>
      <c r="C18" s="2458"/>
      <c r="D18" s="56" t="s">
        <v>641</v>
      </c>
    </row>
    <row r="19" spans="2:4" x14ac:dyDescent="0.25">
      <c r="B19" s="2445" t="s">
        <v>102</v>
      </c>
      <c r="C19" s="2445"/>
      <c r="D19" s="56" t="s">
        <v>140</v>
      </c>
    </row>
    <row r="20" spans="2:4" x14ac:dyDescent="0.25">
      <c r="B20" s="2451" t="s">
        <v>104</v>
      </c>
      <c r="C20" s="95" t="s">
        <v>105</v>
      </c>
      <c r="D20" s="56" t="s">
        <v>642</v>
      </c>
    </row>
    <row r="21" spans="2:4" x14ac:dyDescent="0.25">
      <c r="B21" s="2452"/>
      <c r="C21" s="96" t="s">
        <v>107</v>
      </c>
      <c r="D21" s="56" t="s">
        <v>642</v>
      </c>
    </row>
    <row r="22" spans="2:4" x14ac:dyDescent="0.25">
      <c r="B22" s="2444" t="s">
        <v>109</v>
      </c>
      <c r="C22" s="2444"/>
      <c r="D22" s="56" t="s">
        <v>643</v>
      </c>
    </row>
    <row r="23" spans="2:4" x14ac:dyDescent="0.25">
      <c r="B23" s="2444" t="s">
        <v>111</v>
      </c>
      <c r="C23" s="2444"/>
      <c r="D23" s="56" t="s">
        <v>644</v>
      </c>
    </row>
    <row r="24" spans="2:4" x14ac:dyDescent="0.25">
      <c r="B24" s="2445" t="s">
        <v>113</v>
      </c>
      <c r="C24" s="2445"/>
      <c r="D24" s="56" t="s">
        <v>220</v>
      </c>
    </row>
    <row r="25" spans="2:4" ht="15" customHeight="1" x14ac:dyDescent="0.25">
      <c r="B25" s="2446" t="s">
        <v>115</v>
      </c>
      <c r="C25" s="2446"/>
      <c r="D25" s="59" t="s">
        <v>645</v>
      </c>
    </row>
    <row r="26" spans="2:4" ht="15" customHeight="1" x14ac:dyDescent="0.25">
      <c r="B26" s="2447" t="s">
        <v>117</v>
      </c>
      <c r="C26" s="2448"/>
      <c r="D26" s="49"/>
    </row>
    <row r="27" spans="2:4" x14ac:dyDescent="0.25">
      <c r="B27" s="97" t="s">
        <v>118</v>
      </c>
      <c r="C27" s="98"/>
      <c r="D27" s="56" t="s">
        <v>646</v>
      </c>
    </row>
    <row r="28" spans="2:4" x14ac:dyDescent="0.25">
      <c r="B28" s="2449" t="s">
        <v>120</v>
      </c>
      <c r="C28" s="2450"/>
      <c r="D28" s="62"/>
    </row>
    <row r="29" spans="2:4" x14ac:dyDescent="0.25">
      <c r="B29" s="63"/>
      <c r="C29" s="63"/>
      <c r="D29" s="64"/>
    </row>
    <row r="30" spans="2:4" ht="19.5" x14ac:dyDescent="0.25">
      <c r="B30" s="2514" t="s">
        <v>121</v>
      </c>
      <c r="C30" s="2514"/>
      <c r="D30" s="2514"/>
    </row>
    <row r="31" spans="2:4" x14ac:dyDescent="0.25">
      <c r="B31" s="2442" t="s">
        <v>122</v>
      </c>
      <c r="C31" s="2443"/>
      <c r="D31" s="59" t="s">
        <v>392</v>
      </c>
    </row>
    <row r="32" spans="2:4" x14ac:dyDescent="0.25">
      <c r="B32" s="2442" t="s">
        <v>124</v>
      </c>
      <c r="C32" s="2443"/>
      <c r="D32" s="59" t="s">
        <v>393</v>
      </c>
    </row>
    <row r="33" spans="2:4" x14ac:dyDescent="0.25">
      <c r="B33" s="2442" t="s">
        <v>126</v>
      </c>
      <c r="C33" s="2443"/>
      <c r="D33" s="59" t="s">
        <v>647</v>
      </c>
    </row>
    <row r="34" spans="2:4" x14ac:dyDescent="0.25">
      <c r="B34" s="2442" t="s">
        <v>128</v>
      </c>
      <c r="C34" s="2443"/>
      <c r="D34" s="59" t="s">
        <v>648</v>
      </c>
    </row>
    <row r="35" spans="2:4" x14ac:dyDescent="0.25">
      <c r="B35" s="2442" t="s">
        <v>130</v>
      </c>
      <c r="C35" s="2443"/>
      <c r="D35" s="65" t="s">
        <v>395</v>
      </c>
    </row>
    <row r="36" spans="2:4" x14ac:dyDescent="0.25">
      <c r="B36" s="206"/>
      <c r="C36" s="207"/>
      <c r="D36" s="206"/>
    </row>
    <row r="37" spans="2:4" x14ac:dyDescent="0.25">
      <c r="B37" s="2442" t="s">
        <v>122</v>
      </c>
      <c r="C37" s="2443"/>
      <c r="D37" s="59" t="s">
        <v>392</v>
      </c>
    </row>
    <row r="38" spans="2:4" x14ac:dyDescent="0.25">
      <c r="B38" s="2442" t="s">
        <v>124</v>
      </c>
      <c r="C38" s="2443"/>
      <c r="D38" s="59" t="s">
        <v>393</v>
      </c>
    </row>
    <row r="39" spans="2:4" x14ac:dyDescent="0.25">
      <c r="B39" s="2442" t="s">
        <v>126</v>
      </c>
      <c r="C39" s="2443"/>
      <c r="D39" s="59" t="s">
        <v>647</v>
      </c>
    </row>
    <row r="40" spans="2:4" x14ac:dyDescent="0.25">
      <c r="B40" s="2442" t="s">
        <v>128</v>
      </c>
      <c r="C40" s="2443"/>
      <c r="D40" s="59" t="s">
        <v>648</v>
      </c>
    </row>
    <row r="41" spans="2:4" x14ac:dyDescent="0.25">
      <c r="B41" s="2442" t="s">
        <v>130</v>
      </c>
      <c r="C41" s="2443"/>
      <c r="D41" s="65" t="s">
        <v>395</v>
      </c>
    </row>
  </sheetData>
  <mergeCells count="34">
    <mergeCell ref="B15:C15"/>
    <mergeCell ref="B3:D3"/>
    <mergeCell ref="B4:C4"/>
    <mergeCell ref="B5:C5"/>
    <mergeCell ref="B6:C6"/>
    <mergeCell ref="B7:C7"/>
    <mergeCell ref="B9:D9"/>
    <mergeCell ref="B10:C10"/>
    <mergeCell ref="B11:C11"/>
    <mergeCell ref="B12:C12"/>
    <mergeCell ref="B13:C13"/>
    <mergeCell ref="B14:C14"/>
    <mergeCell ref="B30:D30"/>
    <mergeCell ref="B16:C16"/>
    <mergeCell ref="B17:C17"/>
    <mergeCell ref="B18:C18"/>
    <mergeCell ref="B19:C19"/>
    <mergeCell ref="B20:B21"/>
    <mergeCell ref="B22:C22"/>
    <mergeCell ref="B23:C23"/>
    <mergeCell ref="B24:C24"/>
    <mergeCell ref="B25:C25"/>
    <mergeCell ref="B26:C26"/>
    <mergeCell ref="B28:C28"/>
    <mergeCell ref="B38:C38"/>
    <mergeCell ref="B39:C39"/>
    <mergeCell ref="B40:C40"/>
    <mergeCell ref="B41:C41"/>
    <mergeCell ref="B31:C31"/>
    <mergeCell ref="B32:C32"/>
    <mergeCell ref="B33:C33"/>
    <mergeCell ref="B34:C34"/>
    <mergeCell ref="B35:C35"/>
    <mergeCell ref="B37:C37"/>
  </mergeCells>
  <dataValidations count="7">
    <dataValidation allowBlank="1" showDropDown="1" showInputMessage="1" showErrorMessage="1" sqref="D12" xr:uid="{282A9726-6CF2-4C8F-A5D9-95355C8F4FFD}"/>
    <dataValidation type="list" allowBlank="1" showInputMessage="1" showErrorMessage="1" sqref="D4" xr:uid="{00257FEA-9F20-4167-813E-0AFAA4AA47F8}">
      <formula1>ODS</formula1>
    </dataValidation>
    <dataValidation type="list" allowBlank="1" showInputMessage="1" showErrorMessage="1" sqref="D5" xr:uid="{E01A9B6B-8F02-463E-8054-33A2406322ED}">
      <formula1>Metas_ODS</formula1>
    </dataValidation>
    <dataValidation type="list" allowBlank="1" showInputMessage="1" showErrorMessage="1" sqref="D6" xr:uid="{B95559B2-67F0-4AD4-94F5-290FFD4AB2B5}">
      <formula1>Numero_indicador</formula1>
    </dataValidation>
    <dataValidation type="list" allowBlank="1" showInputMessage="1" showErrorMessage="1" sqref="D7" xr:uid="{3181287E-64EF-4CFA-AD27-A6AF8D926915}">
      <formula1>Nombre_indicador_ODS</formula1>
    </dataValidation>
    <dataValidation type="list" allowBlank="1" showInputMessage="1" showErrorMessage="1" sqref="D13" xr:uid="{C5180874-BF67-40E5-B8EF-F640D2DDCE3F}">
      <formula1>Tipo_indicador</formula1>
    </dataValidation>
    <dataValidation type="list" allowBlank="1" showInputMessage="1" showErrorMessage="1" sqref="D24" xr:uid="{795988D1-CD97-48E2-808A-FC7E95B49E4A}">
      <formula1>Tipo_operación</formula1>
    </dataValidation>
  </dataValidations>
  <hyperlinks>
    <hyperlink ref="B1" location="'2.a.1'!A1" display="REGRESAR" xr:uid="{95AD4156-1D85-4E1B-B934-5D677F145F57}"/>
    <hyperlink ref="D41" r:id="rId1" xr:uid="{DA6ACFA4-F34B-4B11-9A04-31FACB5477B4}"/>
    <hyperlink ref="D35" r:id="rId2" xr:uid="{344AC82A-1A9A-4966-B227-49B888236F4C}"/>
  </hyperlinks>
  <pageMargins left="0.7" right="0.7" top="0.75" bottom="0.75" header="0.3" footer="0.3"/>
  <pageSetup orientation="portrait" r:id="rId3"/>
  <drawing r:id="rId4"/>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34F5-A9C0-440C-BFFA-28C1188EA8A4}">
  <sheetPr>
    <tabColor rgb="FF7030A0"/>
  </sheetPr>
  <dimension ref="A1:Q18"/>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1" width="15.28515625" style="115" customWidth="1"/>
    <col min="2" max="2" width="18.7109375" style="115" customWidth="1"/>
    <col min="3" max="3" width="11.7109375" style="1048" customWidth="1"/>
    <col min="4" max="5" width="11.7109375" style="115" customWidth="1"/>
    <col min="6" max="16384" width="11.42578125" style="115"/>
  </cols>
  <sheetData>
    <row r="1" spans="1:17" x14ac:dyDescent="0.4">
      <c r="A1" s="90" t="s">
        <v>39</v>
      </c>
      <c r="B1" s="1311"/>
      <c r="C1" s="2541" t="s">
        <v>149</v>
      </c>
      <c r="D1" s="2541"/>
    </row>
    <row r="2" spans="1:17" ht="15" customHeight="1" x14ac:dyDescent="0.4"/>
    <row r="3" spans="1:17" ht="18" customHeight="1" x14ac:dyDescent="0.4">
      <c r="A3" s="3547" t="s">
        <v>41</v>
      </c>
      <c r="B3" s="3547"/>
      <c r="C3" s="3547" t="s">
        <v>7696</v>
      </c>
      <c r="D3" s="3548"/>
      <c r="E3" s="3548"/>
      <c r="F3" s="3548"/>
      <c r="G3" s="3548"/>
      <c r="H3" s="3548"/>
      <c r="I3" s="3548"/>
      <c r="J3" s="3548"/>
      <c r="K3" s="3548"/>
      <c r="L3" s="3548"/>
      <c r="M3" s="3548"/>
      <c r="N3" s="3548"/>
      <c r="O3" s="3548"/>
      <c r="P3" s="3548"/>
    </row>
    <row r="4" spans="1:17" ht="17.45" customHeight="1" x14ac:dyDescent="0.4">
      <c r="A4" s="3547" t="s">
        <v>42</v>
      </c>
      <c r="B4" s="3548"/>
      <c r="C4" s="3558" t="s">
        <v>7713</v>
      </c>
      <c r="D4" s="3559"/>
      <c r="E4" s="3559"/>
      <c r="F4" s="3559"/>
      <c r="G4" s="3559"/>
      <c r="H4" s="3559"/>
      <c r="I4" s="3559"/>
      <c r="J4" s="3559"/>
      <c r="K4" s="3559"/>
      <c r="L4" s="3559"/>
      <c r="M4" s="3559"/>
      <c r="N4" s="3559"/>
      <c r="O4" s="3559"/>
      <c r="P4" s="3559"/>
    </row>
    <row r="5" spans="1:17" ht="19.5" x14ac:dyDescent="0.4">
      <c r="A5" s="3547" t="s">
        <v>43</v>
      </c>
      <c r="B5" s="3548"/>
      <c r="C5" s="3547" t="s">
        <v>7715</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7" spans="1:17" ht="11.25" customHeight="1" x14ac:dyDescent="0.4"/>
    <row r="9" spans="1:17" ht="11.25" customHeight="1" x14ac:dyDescent="0.4">
      <c r="C9" s="2506" t="s">
        <v>650</v>
      </c>
      <c r="D9" s="2506"/>
      <c r="E9" s="2506"/>
      <c r="F9" s="2506"/>
      <c r="G9" s="2506"/>
      <c r="H9" s="2506"/>
      <c r="I9" s="2506"/>
      <c r="J9" s="2506"/>
      <c r="K9" s="2506"/>
      <c r="L9" s="2506"/>
      <c r="M9" s="2506"/>
      <c r="N9" s="2506"/>
      <c r="O9" s="2506"/>
      <c r="P9" s="2506"/>
    </row>
    <row r="10" spans="1:17" ht="11.25" customHeight="1" x14ac:dyDescent="0.4">
      <c r="C10" s="2506"/>
      <c r="D10" s="2506"/>
      <c r="E10" s="2506"/>
      <c r="F10" s="2506"/>
      <c r="G10" s="2506"/>
      <c r="H10" s="2506"/>
      <c r="I10" s="2506"/>
      <c r="J10" s="2506"/>
      <c r="K10" s="2506"/>
      <c r="L10" s="2506"/>
      <c r="M10" s="2506"/>
      <c r="N10" s="2506"/>
      <c r="O10" s="2506"/>
      <c r="P10" s="2506"/>
    </row>
    <row r="11" spans="1:17" x14ac:dyDescent="0.4">
      <c r="C11" s="221"/>
      <c r="D11" s="220"/>
      <c r="E11" s="220"/>
      <c r="F11" s="220"/>
      <c r="G11" s="220"/>
      <c r="H11" s="220"/>
      <c r="I11" s="220"/>
      <c r="J11" s="220"/>
      <c r="K11" s="220"/>
      <c r="L11" s="220"/>
      <c r="M11" s="220"/>
      <c r="N11" s="220"/>
      <c r="O11" s="220"/>
      <c r="P11" s="220"/>
      <c r="Q11" s="220"/>
    </row>
    <row r="12" spans="1:17" x14ac:dyDescent="0.4">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494" t="s">
        <v>316</v>
      </c>
      <c r="D17" s="2494"/>
      <c r="E17" s="2494"/>
      <c r="F17" s="2494"/>
      <c r="G17" s="2494"/>
      <c r="H17" s="2494"/>
      <c r="I17" s="2494"/>
      <c r="J17" s="2494"/>
      <c r="K17" s="2494"/>
      <c r="L17" s="2494"/>
      <c r="M17" s="2494"/>
      <c r="N17" s="2494"/>
      <c r="O17" s="2494"/>
      <c r="P17" s="2494"/>
      <c r="Q17" s="2494"/>
    </row>
    <row r="18" spans="3:17" x14ac:dyDescent="0.4">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65F8059-9BFF-4E70-8D4C-8D5F133D72E4}"/>
    <hyperlink ref="C1:D1" location="'Metadato 17.5.1'!A1" display="VER METADATO" xr:uid="{80219A27-D420-4D1F-AD49-69A4BC9F1EB9}"/>
  </hyperlinks>
  <pageMargins left="0.7" right="0.7" top="0.75" bottom="0.75" header="0.3" footer="0.3"/>
  <drawing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9FA9-F2B3-486A-8763-C185A2E3DE9F}">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x14ac:dyDescent="0.4">
      <c r="B5" s="2425" t="s">
        <v>79</v>
      </c>
      <c r="C5" s="2425"/>
      <c r="D5" s="49" t="s">
        <v>7713</v>
      </c>
    </row>
    <row r="6" spans="2:6" x14ac:dyDescent="0.4">
      <c r="B6" s="2425" t="s">
        <v>80</v>
      </c>
      <c r="C6" s="2425"/>
      <c r="D6" s="50" t="s">
        <v>7714</v>
      </c>
    </row>
    <row r="7" spans="2:6" ht="37.5" x14ac:dyDescent="0.4">
      <c r="B7" s="2426" t="s">
        <v>81</v>
      </c>
      <c r="C7" s="2426"/>
      <c r="D7" s="93" t="s">
        <v>7715</v>
      </c>
    </row>
    <row r="8" spans="2:6" x14ac:dyDescent="0.4">
      <c r="B8" s="2426" t="s">
        <v>82</v>
      </c>
      <c r="C8" s="2426"/>
      <c r="D8" s="1047" t="s">
        <v>353</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EA649789-82F1-4ED2-AF79-FFEBA1AF9241}"/>
    <dataValidation type="list" allowBlank="1" showInputMessage="1" showErrorMessage="1" sqref="D4" xr:uid="{F23FE5ED-4B6A-4518-9D1D-8AA64C20D657}">
      <formula1>ODS</formula1>
    </dataValidation>
    <dataValidation type="list" allowBlank="1" showInputMessage="1" showErrorMessage="1" sqref="D5" xr:uid="{97BDA32C-251A-4F39-910A-C037430AD1A4}">
      <formula1>Metas_ODS</formula1>
    </dataValidation>
    <dataValidation type="list" allowBlank="1" showInputMessage="1" showErrorMessage="1" sqref="D6" xr:uid="{3A72BE93-8680-4247-9CE6-37E4FBDA7A68}">
      <formula1>Numero_indicador</formula1>
    </dataValidation>
    <dataValidation type="list" allowBlank="1" showInputMessage="1" showErrorMessage="1" sqref="D7" xr:uid="{7E7C9F1D-568C-4316-BDE0-29A886620AD0}">
      <formula1>Nombre_indicador_ODS</formula1>
    </dataValidation>
    <dataValidation type="list" allowBlank="1" showInputMessage="1" showErrorMessage="1" sqref="D14" xr:uid="{AD9DB528-3B26-44CA-8BCE-FCD60B1CF120}">
      <formula1>Tipo_indicador</formula1>
    </dataValidation>
    <dataValidation type="list" allowBlank="1" showInputMessage="1" showErrorMessage="1" sqref="D25" xr:uid="{86EA32C2-D0AE-4FAA-8BEB-EC100535D25F}">
      <formula1>Tipo_operación</formula1>
    </dataValidation>
  </dataValidations>
  <hyperlinks>
    <hyperlink ref="B1" location="'17.5.1'!A1" display="REGRESAR" xr:uid="{7643EA37-580C-4F6E-A0F8-4ADAE6D9DBAC}"/>
    <hyperlink ref="D8" r:id="rId1" xr:uid="{4FA36A9E-1EB0-44BE-9E57-BF46093F323B}"/>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EA52-4824-4A5C-B2B3-D2D3ABBF04EF}">
  <dimension ref="A1:P30"/>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1" width="15.42578125" style="115" customWidth="1"/>
    <col min="2" max="2" width="18" style="115" customWidth="1"/>
    <col min="3" max="3" width="13.28515625" style="115" customWidth="1"/>
    <col min="4" max="4" width="13" style="115" customWidth="1"/>
    <col min="5" max="16384" width="11.42578125" style="115"/>
  </cols>
  <sheetData>
    <row r="1" spans="1:16" x14ac:dyDescent="0.4">
      <c r="A1" s="90" t="s">
        <v>39</v>
      </c>
      <c r="C1" s="2541" t="s">
        <v>149</v>
      </c>
      <c r="D1" s="2541"/>
    </row>
    <row r="3" spans="1:16" ht="20.45" customHeight="1" x14ac:dyDescent="0.4">
      <c r="A3" s="3547" t="s">
        <v>41</v>
      </c>
      <c r="B3" s="3547"/>
      <c r="C3" s="3547" t="s">
        <v>7960</v>
      </c>
      <c r="D3" s="3548"/>
      <c r="E3" s="3548"/>
      <c r="F3" s="3548"/>
      <c r="G3" s="3548"/>
      <c r="H3" s="3548"/>
      <c r="I3" s="3548"/>
      <c r="J3" s="3548"/>
      <c r="K3" s="3548"/>
      <c r="L3" s="3548"/>
      <c r="M3" s="3548"/>
      <c r="N3" s="3548"/>
      <c r="O3" s="3548"/>
      <c r="P3" s="3548"/>
    </row>
    <row r="4" spans="1:16" ht="37.15" customHeight="1" x14ac:dyDescent="0.4">
      <c r="A4" s="3547" t="s">
        <v>42</v>
      </c>
      <c r="B4" s="3548"/>
      <c r="C4" s="3558" t="s">
        <v>7716</v>
      </c>
      <c r="D4" s="3559"/>
      <c r="E4" s="3559"/>
      <c r="F4" s="3559"/>
      <c r="G4" s="3559"/>
      <c r="H4" s="3559"/>
      <c r="I4" s="3559"/>
      <c r="J4" s="3559"/>
      <c r="K4" s="3559"/>
      <c r="L4" s="3559"/>
      <c r="M4" s="3559"/>
      <c r="N4" s="3559"/>
      <c r="O4" s="3559"/>
      <c r="P4" s="3559"/>
    </row>
    <row r="5" spans="1:16" ht="20.45" customHeight="1" x14ac:dyDescent="0.4">
      <c r="A5" s="3547" t="s">
        <v>43</v>
      </c>
      <c r="B5" s="3548"/>
      <c r="C5" s="3547" t="s">
        <v>7961</v>
      </c>
      <c r="D5" s="3548"/>
      <c r="E5" s="3548"/>
      <c r="F5" s="3548"/>
      <c r="G5" s="3548"/>
      <c r="H5" s="3548"/>
      <c r="I5" s="3548"/>
      <c r="J5" s="3548"/>
      <c r="K5" s="3548"/>
      <c r="L5" s="3548"/>
      <c r="M5" s="3548"/>
      <c r="N5" s="3548"/>
      <c r="O5" s="3548"/>
      <c r="P5" s="3548"/>
    </row>
    <row r="6" spans="1:16" ht="20.45" customHeight="1" x14ac:dyDescent="0.4">
      <c r="A6" s="3547" t="s">
        <v>132</v>
      </c>
      <c r="B6" s="3548"/>
      <c r="C6" s="3547" t="s">
        <v>7962</v>
      </c>
      <c r="D6" s="3548"/>
      <c r="E6" s="3548"/>
      <c r="F6" s="3548"/>
      <c r="G6" s="3548"/>
      <c r="H6" s="3548"/>
      <c r="I6" s="3548"/>
      <c r="J6" s="3548"/>
      <c r="K6" s="3548"/>
      <c r="L6" s="3548"/>
      <c r="M6" s="3548"/>
      <c r="N6" s="3548"/>
      <c r="O6" s="3548"/>
      <c r="P6" s="3548"/>
    </row>
    <row r="9" spans="1:16" ht="19.5" x14ac:dyDescent="0.4">
      <c r="A9" s="536"/>
      <c r="C9" s="163" t="s">
        <v>7962</v>
      </c>
      <c r="D9" s="163"/>
      <c r="E9" s="163"/>
      <c r="F9" s="163"/>
      <c r="I9" s="532" t="s">
        <v>7963</v>
      </c>
      <c r="J9" s="1032"/>
      <c r="K9" s="1032"/>
      <c r="L9" s="1032"/>
      <c r="M9" s="1032"/>
      <c r="N9" s="1032"/>
    </row>
    <row r="10" spans="1:16" ht="12.6" customHeight="1" x14ac:dyDescent="0.4">
      <c r="A10" s="536"/>
      <c r="C10" s="575"/>
      <c r="D10" s="575"/>
      <c r="E10" s="575"/>
      <c r="F10" s="575"/>
      <c r="I10" s="339"/>
    </row>
    <row r="11" spans="1:16" ht="56.25" x14ac:dyDescent="0.4">
      <c r="A11" s="536"/>
      <c r="C11" s="2245" t="s">
        <v>46</v>
      </c>
      <c r="D11" s="2201" t="s">
        <v>7964</v>
      </c>
      <c r="E11" s="2246" t="s">
        <v>177</v>
      </c>
      <c r="F11" s="2246" t="s">
        <v>7965</v>
      </c>
    </row>
    <row r="12" spans="1:16" x14ac:dyDescent="0.4">
      <c r="A12" s="536"/>
      <c r="C12" s="2124">
        <v>2010</v>
      </c>
      <c r="D12" s="2247">
        <v>392289</v>
      </c>
      <c r="E12" s="2248">
        <v>4533894</v>
      </c>
      <c r="F12" s="1478">
        <v>8.652363729721074</v>
      </c>
    </row>
    <row r="13" spans="1:16" x14ac:dyDescent="0.4">
      <c r="A13" s="536"/>
      <c r="C13" s="2124">
        <v>2011</v>
      </c>
      <c r="D13" s="1589">
        <v>419782</v>
      </c>
      <c r="E13" s="1589">
        <v>4592149</v>
      </c>
      <c r="F13" s="1478">
        <v>9.1412974622556895</v>
      </c>
    </row>
    <row r="14" spans="1:16" x14ac:dyDescent="0.4">
      <c r="A14" s="536"/>
      <c r="C14" s="2124">
        <v>2012</v>
      </c>
      <c r="D14" s="1589">
        <v>447947</v>
      </c>
      <c r="E14" s="1589">
        <v>4652459</v>
      </c>
      <c r="F14" s="1478">
        <v>9.6281772714171154</v>
      </c>
    </row>
    <row r="15" spans="1:16" x14ac:dyDescent="0.4">
      <c r="A15" s="536"/>
      <c r="C15" s="2124">
        <v>2013</v>
      </c>
      <c r="D15" s="1589">
        <v>484883</v>
      </c>
      <c r="E15" s="1589">
        <v>4713168</v>
      </c>
      <c r="F15" s="1478">
        <v>10.28783612211574</v>
      </c>
    </row>
    <row r="16" spans="1:16" x14ac:dyDescent="0.4">
      <c r="A16" s="536"/>
      <c r="C16" s="2124">
        <v>2014</v>
      </c>
      <c r="D16" s="1589">
        <v>515840</v>
      </c>
      <c r="E16" s="1589">
        <v>4773130</v>
      </c>
      <c r="F16" s="1478">
        <v>10.80716427166241</v>
      </c>
    </row>
    <row r="17" spans="1:15" x14ac:dyDescent="0.4">
      <c r="A17" s="536"/>
      <c r="C17" s="2124">
        <v>2015</v>
      </c>
      <c r="D17" s="1589">
        <v>558656</v>
      </c>
      <c r="E17" s="1589">
        <v>4832234</v>
      </c>
      <c r="F17" s="1478">
        <v>11.561029536235207</v>
      </c>
    </row>
    <row r="18" spans="1:15" x14ac:dyDescent="0.4">
      <c r="A18" s="536"/>
      <c r="C18" s="2124">
        <v>2016</v>
      </c>
      <c r="D18" s="1589">
        <v>636087</v>
      </c>
      <c r="E18" s="1589">
        <v>4890379</v>
      </c>
      <c r="F18" s="1478">
        <v>13.006906008716298</v>
      </c>
    </row>
    <row r="19" spans="1:15" x14ac:dyDescent="0.4">
      <c r="C19" s="2124">
        <v>2017</v>
      </c>
      <c r="D19" s="1589">
        <v>744041</v>
      </c>
      <c r="E19" s="1589">
        <v>4947490</v>
      </c>
      <c r="F19" s="1478">
        <v>15.038757026290098</v>
      </c>
    </row>
    <row r="20" spans="1:15" x14ac:dyDescent="0.4">
      <c r="C20" s="2124">
        <v>2018</v>
      </c>
      <c r="D20" s="1589">
        <v>834784</v>
      </c>
      <c r="E20" s="1589">
        <v>5003402</v>
      </c>
      <c r="F20" s="1478">
        <v>16.684327983240205</v>
      </c>
    </row>
    <row r="21" spans="1:15" ht="12.75" customHeight="1" x14ac:dyDescent="0.4">
      <c r="C21" s="2124">
        <v>2019</v>
      </c>
      <c r="D21" s="1589">
        <v>904734</v>
      </c>
      <c r="E21" s="1589">
        <v>5058007</v>
      </c>
      <c r="F21" s="1478">
        <v>17.867412994881199</v>
      </c>
    </row>
    <row r="22" spans="1:15" x14ac:dyDescent="0.4">
      <c r="C22" s="2124">
        <v>2020</v>
      </c>
      <c r="D22" s="1589">
        <v>992725</v>
      </c>
      <c r="E22" s="1589">
        <v>5111237</v>
      </c>
      <c r="F22" s="1478">
        <v>19.4223982526347</v>
      </c>
    </row>
    <row r="23" spans="1:15" x14ac:dyDescent="0.4">
      <c r="C23" s="2124">
        <v>2021</v>
      </c>
      <c r="D23" s="1589">
        <v>1058767</v>
      </c>
      <c r="E23" s="1589">
        <v>5163431</v>
      </c>
      <c r="F23" s="1478">
        <v>20.50666</v>
      </c>
    </row>
    <row r="24" spans="1:15" x14ac:dyDescent="0.4">
      <c r="C24" s="2124">
        <v>2022</v>
      </c>
      <c r="D24" s="1589">
        <v>1105670</v>
      </c>
      <c r="E24" s="1589">
        <v>5213362</v>
      </c>
      <c r="F24" s="1478">
        <v>21.2</v>
      </c>
    </row>
    <row r="25" spans="1:15" x14ac:dyDescent="0.4">
      <c r="C25" s="2124">
        <v>2023</v>
      </c>
      <c r="D25" s="1589">
        <v>1149924</v>
      </c>
      <c r="E25" s="1589">
        <v>5262225</v>
      </c>
      <c r="F25" s="1478">
        <v>21.9</v>
      </c>
      <c r="I25" s="155" t="s">
        <v>7966</v>
      </c>
    </row>
    <row r="26" spans="1:15" x14ac:dyDescent="0.4">
      <c r="C26" s="1534" t="s">
        <v>7967</v>
      </c>
      <c r="D26" s="1534"/>
      <c r="E26" s="1534"/>
      <c r="F26" s="1534"/>
    </row>
    <row r="27" spans="1:15" x14ac:dyDescent="0.4">
      <c r="C27" s="115" t="s">
        <v>7968</v>
      </c>
    </row>
    <row r="29" spans="1:15" ht="8.4499999999999993" customHeight="1" x14ac:dyDescent="0.4"/>
    <row r="30" spans="1:15" ht="34.9" customHeight="1" x14ac:dyDescent="0.4">
      <c r="J30" s="155"/>
      <c r="K30" s="155"/>
      <c r="L30" s="155"/>
      <c r="M30" s="155"/>
      <c r="N30" s="155"/>
      <c r="O30" s="155"/>
    </row>
  </sheetData>
  <mergeCells count="9">
    <mergeCell ref="A6:B6"/>
    <mergeCell ref="C6:P6"/>
    <mergeCell ref="C1:D1"/>
    <mergeCell ref="A3:B3"/>
    <mergeCell ref="C3:P3"/>
    <mergeCell ref="A4:B4"/>
    <mergeCell ref="C4:P4"/>
    <mergeCell ref="A5:B5"/>
    <mergeCell ref="C5:P5"/>
  </mergeCells>
  <hyperlinks>
    <hyperlink ref="A1" location="'ODS 17.'!A1" display="REGRESAR" xr:uid="{DC051716-A7EF-41AA-84F7-2B115B8BFAC6}"/>
    <hyperlink ref="C1:D1" location="'Metadato 17.6.1'!A1" display="VER METADATO" xr:uid="{CE2A89B7-8ABE-4019-A2CC-03C114CBB322}"/>
  </hyperlinks>
  <pageMargins left="0.7" right="0.7" top="0.75" bottom="0.75" header="0.3" footer="0.3"/>
  <pageSetup orientation="portrait" r:id="rId1"/>
  <drawing r:id="rId2"/>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0A0B-B51D-4C48-BD75-919B282A12F1}">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3.28515625" style="115" customWidth="1"/>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76</v>
      </c>
    </row>
    <row r="4" spans="2:6" ht="37.5" x14ac:dyDescent="0.4">
      <c r="B4" s="2425" t="s">
        <v>234</v>
      </c>
      <c r="C4" s="2425"/>
      <c r="D4" s="49" t="s">
        <v>7797</v>
      </c>
    </row>
    <row r="5" spans="2:6" ht="76.5" customHeight="1" x14ac:dyDescent="0.4">
      <c r="B5" s="2425" t="s">
        <v>79</v>
      </c>
      <c r="C5" s="2425"/>
      <c r="D5" s="49" t="s">
        <v>7716</v>
      </c>
    </row>
    <row r="6" spans="2:6" x14ac:dyDescent="0.4">
      <c r="B6" s="2425" t="s">
        <v>80</v>
      </c>
      <c r="C6" s="2425"/>
      <c r="D6" s="50" t="s">
        <v>7717</v>
      </c>
    </row>
    <row r="7" spans="2:6" ht="37.5" x14ac:dyDescent="0.4">
      <c r="B7" s="2426" t="s">
        <v>81</v>
      </c>
      <c r="C7" s="2426"/>
      <c r="D7" s="93" t="s">
        <v>7718</v>
      </c>
    </row>
    <row r="8" spans="2:6" x14ac:dyDescent="0.4">
      <c r="B8" s="2426" t="s">
        <v>82</v>
      </c>
      <c r="C8" s="2426"/>
      <c r="D8" s="1047" t="s">
        <v>353</v>
      </c>
    </row>
    <row r="10" spans="2:6" ht="23.25" customHeight="1" x14ac:dyDescent="0.4">
      <c r="B10" s="3555" t="s">
        <v>85</v>
      </c>
      <c r="C10" s="3555"/>
      <c r="D10" s="3555"/>
    </row>
    <row r="11" spans="2:6" ht="16.5" customHeight="1" x14ac:dyDescent="0.4">
      <c r="B11" s="2427" t="s">
        <v>86</v>
      </c>
      <c r="C11" s="2428"/>
      <c r="D11" s="49" t="s">
        <v>167</v>
      </c>
    </row>
    <row r="12" spans="2:6" ht="15" customHeight="1" x14ac:dyDescent="0.4">
      <c r="B12" s="2426" t="s">
        <v>88</v>
      </c>
      <c r="C12" s="2426"/>
      <c r="D12" s="184" t="s">
        <v>7969</v>
      </c>
    </row>
    <row r="13" spans="2:6" x14ac:dyDescent="0.4">
      <c r="B13" s="2425" t="s">
        <v>90</v>
      </c>
      <c r="C13" s="2425"/>
      <c r="D13" s="55" t="s">
        <v>7970</v>
      </c>
    </row>
    <row r="14" spans="2:6" x14ac:dyDescent="0.4">
      <c r="B14" s="2425" t="s">
        <v>91</v>
      </c>
      <c r="C14" s="2428"/>
      <c r="D14" s="54" t="s">
        <v>214</v>
      </c>
    </row>
    <row r="15" spans="2:6" ht="225" x14ac:dyDescent="0.4">
      <c r="B15" s="2425" t="s">
        <v>93</v>
      </c>
      <c r="C15" s="2425"/>
      <c r="D15" s="55" t="s">
        <v>7971</v>
      </c>
    </row>
    <row r="16" spans="2:6" ht="104.25" customHeight="1" x14ac:dyDescent="0.4">
      <c r="B16" s="2425" t="s">
        <v>95</v>
      </c>
      <c r="C16" s="2425"/>
      <c r="D16" s="55"/>
    </row>
    <row r="17" spans="2:4" x14ac:dyDescent="0.4">
      <c r="B17" s="2425" t="s">
        <v>97</v>
      </c>
      <c r="C17" s="2425"/>
      <c r="D17" s="49" t="s">
        <v>98</v>
      </c>
    </row>
    <row r="18" spans="2:4" x14ac:dyDescent="0.4">
      <c r="B18" s="2426" t="s">
        <v>99</v>
      </c>
      <c r="C18" s="2426"/>
      <c r="D18" s="49"/>
    </row>
    <row r="19" spans="2:4" ht="37.5" x14ac:dyDescent="0.4">
      <c r="B19" s="2435" t="s">
        <v>100</v>
      </c>
      <c r="C19" s="2436"/>
      <c r="D19" s="55" t="s">
        <v>7972</v>
      </c>
    </row>
    <row r="20" spans="2:4" x14ac:dyDescent="0.4">
      <c r="B20" s="2425" t="s">
        <v>102</v>
      </c>
      <c r="C20" s="2425"/>
      <c r="D20" s="55" t="s">
        <v>140</v>
      </c>
    </row>
    <row r="21" spans="2:4" x14ac:dyDescent="0.4">
      <c r="B21" s="2432" t="s">
        <v>104</v>
      </c>
      <c r="C21" s="57" t="s">
        <v>105</v>
      </c>
      <c r="D21" s="55" t="s">
        <v>313</v>
      </c>
    </row>
    <row r="22" spans="2:4" x14ac:dyDescent="0.4">
      <c r="B22" s="2433"/>
      <c r="C22" s="58" t="s">
        <v>107</v>
      </c>
      <c r="D22" s="55"/>
    </row>
    <row r="23" spans="2:4" x14ac:dyDescent="0.4">
      <c r="B23" s="2425" t="s">
        <v>109</v>
      </c>
      <c r="C23" s="2425"/>
      <c r="D23" s="55" t="s">
        <v>143</v>
      </c>
    </row>
    <row r="24" spans="2:4" x14ac:dyDescent="0.4">
      <c r="B24" s="2425" t="s">
        <v>111</v>
      </c>
      <c r="C24" s="2425"/>
      <c r="D24" s="50" t="s">
        <v>7973</v>
      </c>
    </row>
    <row r="25" spans="2:4" x14ac:dyDescent="0.4">
      <c r="B25" s="2425" t="s">
        <v>113</v>
      </c>
      <c r="C25" s="2425"/>
      <c r="D25" s="55" t="s">
        <v>220</v>
      </c>
    </row>
    <row r="26" spans="2:4" ht="15" customHeight="1" x14ac:dyDescent="0.4">
      <c r="B26" s="2426" t="s">
        <v>115</v>
      </c>
      <c r="C26" s="2426"/>
      <c r="D26" s="50" t="s">
        <v>7974</v>
      </c>
    </row>
    <row r="27" spans="2:4" x14ac:dyDescent="0.4">
      <c r="B27" s="2427" t="s">
        <v>117</v>
      </c>
      <c r="C27" s="2428"/>
      <c r="D27" s="49"/>
    </row>
    <row r="28" spans="2:4" ht="168.75" x14ac:dyDescent="0.4">
      <c r="B28" s="60" t="s">
        <v>118</v>
      </c>
      <c r="C28" s="61"/>
      <c r="D28" s="55" t="s">
        <v>7975</v>
      </c>
    </row>
    <row r="29" spans="2:4" x14ac:dyDescent="0.4">
      <c r="B29" s="2429" t="s">
        <v>120</v>
      </c>
      <c r="C29" s="2430"/>
      <c r="D29" s="55"/>
    </row>
    <row r="30" spans="2:4" x14ac:dyDescent="0.4">
      <c r="B30" s="63"/>
      <c r="C30" s="63"/>
      <c r="D30" s="64"/>
    </row>
    <row r="31" spans="2:4" ht="23.25" customHeight="1" x14ac:dyDescent="0.4">
      <c r="B31" s="3555" t="s">
        <v>121</v>
      </c>
      <c r="C31" s="3555"/>
      <c r="D31" s="3555"/>
    </row>
    <row r="32" spans="2:4" x14ac:dyDescent="0.4">
      <c r="B32" s="2427" t="s">
        <v>122</v>
      </c>
      <c r="C32" s="2428"/>
      <c r="D32" s="50" t="s">
        <v>5580</v>
      </c>
    </row>
    <row r="33" spans="2:4" ht="14.25" customHeight="1" x14ac:dyDescent="0.4">
      <c r="B33" s="2427" t="s">
        <v>124</v>
      </c>
      <c r="C33" s="2428"/>
      <c r="D33" s="50" t="s">
        <v>5581</v>
      </c>
    </row>
    <row r="34" spans="2:4" x14ac:dyDescent="0.4">
      <c r="B34" s="2427" t="s">
        <v>126</v>
      </c>
      <c r="C34" s="2428"/>
      <c r="D34" s="50" t="s">
        <v>7973</v>
      </c>
    </row>
    <row r="35" spans="2:4" x14ac:dyDescent="0.4">
      <c r="B35" s="2427" t="s">
        <v>128</v>
      </c>
      <c r="C35" s="2428"/>
      <c r="D35" s="50" t="s">
        <v>5583</v>
      </c>
    </row>
    <row r="36" spans="2:4" x14ac:dyDescent="0.4">
      <c r="B36" s="2427" t="s">
        <v>130</v>
      </c>
      <c r="C36" s="2428"/>
      <c r="D36" s="50" t="s">
        <v>5584</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9C88E55C-8251-413B-A8EA-DB8725A2D9D4}">
      <formula1>ODS</formula1>
    </dataValidation>
    <dataValidation type="list" allowBlank="1" showInputMessage="1" showErrorMessage="1" sqref="D5" xr:uid="{841C8697-9666-4CF9-9D0D-1664B30476F5}">
      <formula1>Metas_ODS</formula1>
    </dataValidation>
    <dataValidation type="list" allowBlank="1" showInputMessage="1" showErrorMessage="1" sqref="D6" xr:uid="{F3A83919-B424-4AA8-A75F-DA03290473DB}">
      <formula1>Numero_indicador</formula1>
    </dataValidation>
    <dataValidation type="list" allowBlank="1" showInputMessage="1" showErrorMessage="1" sqref="D7" xr:uid="{CB18B883-8287-402F-8CEE-C8E06E8C96C9}">
      <formula1>Nombre_indicador_ODS</formula1>
    </dataValidation>
    <dataValidation type="list" allowBlank="1" showInputMessage="1" showErrorMessage="1" sqref="D14" xr:uid="{8B57B677-7512-4D8A-B9CB-A3D9E64FEC04}">
      <formula1>Tipo_indicador</formula1>
    </dataValidation>
    <dataValidation type="list" allowBlank="1" showInputMessage="1" showErrorMessage="1" sqref="D25" xr:uid="{2145E0E5-0DB0-4518-B947-663A88EDDB98}">
      <formula1>Tipo_operación</formula1>
    </dataValidation>
  </dataValidations>
  <hyperlinks>
    <hyperlink ref="B1" location="'17.6.1'!A1" display="REGRESAR" xr:uid="{F61812B6-3B73-44D6-ADB5-09800D1B8DBF}"/>
    <hyperlink ref="D8" r:id="rId1" xr:uid="{0BE936B4-B6EF-45B1-B702-C2764413F809}"/>
  </hyperlinks>
  <pageMargins left="0.7" right="0.7" top="0.75" bottom="0.75" header="0.3" footer="0.3"/>
  <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888C-6263-471C-B8AE-CAB0EF4B19E5}">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 style="115" customWidth="1"/>
    <col min="2" max="2" width="18.5703125" style="115" customWidth="1"/>
    <col min="3" max="3" width="12.7109375" style="1048" customWidth="1"/>
    <col min="4" max="5" width="12.7109375" style="115" customWidth="1"/>
    <col min="6" max="16384" width="11.42578125" style="115"/>
  </cols>
  <sheetData>
    <row r="1" spans="1:16" x14ac:dyDescent="0.4">
      <c r="A1" s="90" t="s">
        <v>39</v>
      </c>
      <c r="B1" s="1311"/>
      <c r="C1" s="2541" t="s">
        <v>149</v>
      </c>
      <c r="D1" s="2541"/>
    </row>
    <row r="3" spans="1:16" ht="19.5" x14ac:dyDescent="0.4">
      <c r="A3" s="3547" t="s">
        <v>41</v>
      </c>
      <c r="B3" s="3547"/>
      <c r="C3" s="3547" t="s">
        <v>7960</v>
      </c>
      <c r="D3" s="3548"/>
      <c r="E3" s="3548"/>
      <c r="F3" s="3548"/>
      <c r="G3" s="3548"/>
      <c r="H3" s="3548"/>
      <c r="I3" s="3548"/>
      <c r="J3" s="3548"/>
      <c r="K3" s="3548"/>
      <c r="L3" s="3548"/>
      <c r="M3" s="3548"/>
      <c r="N3" s="3548"/>
      <c r="O3" s="3548"/>
      <c r="P3" s="3548"/>
    </row>
    <row r="4" spans="1:16" ht="36.6" customHeight="1" x14ac:dyDescent="0.4">
      <c r="A4" s="3547" t="s">
        <v>42</v>
      </c>
      <c r="B4" s="3548"/>
      <c r="C4" s="3558" t="s">
        <v>7719</v>
      </c>
      <c r="D4" s="3559"/>
      <c r="E4" s="3559"/>
      <c r="F4" s="3559"/>
      <c r="G4" s="3559"/>
      <c r="H4" s="3559"/>
      <c r="I4" s="3559"/>
      <c r="J4" s="3559"/>
      <c r="K4" s="3559"/>
      <c r="L4" s="3559"/>
      <c r="M4" s="3559"/>
      <c r="N4" s="3559"/>
      <c r="O4" s="3559"/>
      <c r="P4" s="3559"/>
    </row>
    <row r="5" spans="1:16" ht="19.149999999999999" customHeight="1" x14ac:dyDescent="0.4">
      <c r="A5" s="3547" t="s">
        <v>43</v>
      </c>
      <c r="B5" s="3548"/>
      <c r="C5" s="3547" t="s">
        <v>7721</v>
      </c>
      <c r="D5" s="3548"/>
      <c r="E5" s="3548"/>
      <c r="F5" s="3548"/>
      <c r="G5" s="3548"/>
      <c r="H5" s="3548"/>
      <c r="I5" s="3548"/>
      <c r="J5" s="3548"/>
      <c r="K5" s="3548"/>
      <c r="L5" s="3548"/>
      <c r="M5" s="3548"/>
      <c r="N5" s="3548"/>
      <c r="O5" s="3548"/>
      <c r="P5" s="3548"/>
    </row>
    <row r="6" spans="1:16" ht="19.149999999999999" customHeight="1" x14ac:dyDescent="0.4">
      <c r="A6" s="3547" t="s">
        <v>132</v>
      </c>
      <c r="B6" s="3548"/>
      <c r="C6" s="3547" t="s">
        <v>242</v>
      </c>
      <c r="D6" s="3548"/>
      <c r="E6" s="3548"/>
      <c r="F6" s="3548"/>
      <c r="G6" s="3548"/>
      <c r="H6" s="3548"/>
      <c r="I6" s="3548"/>
      <c r="J6" s="3548"/>
      <c r="K6" s="3548"/>
      <c r="L6" s="3548"/>
      <c r="M6" s="3548"/>
      <c r="N6" s="3548"/>
      <c r="O6" s="3548"/>
      <c r="P6" s="3548"/>
    </row>
    <row r="7" spans="1:16" x14ac:dyDescent="0.4">
      <c r="A7" s="536"/>
    </row>
    <row r="8" spans="1:16" x14ac:dyDescent="0.4">
      <c r="A8" s="536"/>
    </row>
    <row r="9" spans="1:16" ht="11.25" customHeight="1" x14ac:dyDescent="0.4">
      <c r="A9" s="536"/>
      <c r="C9" s="2506" t="s">
        <v>650</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row r="11" spans="1:16" ht="19.5" x14ac:dyDescent="0.4">
      <c r="A11" s="536"/>
      <c r="C11" s="1061"/>
      <c r="D11" s="1032"/>
      <c r="E11" s="1032"/>
      <c r="F11" s="1032"/>
      <c r="G11" s="1032"/>
      <c r="H11" s="1032"/>
      <c r="I11" s="1032"/>
      <c r="J11" s="1032"/>
      <c r="K11" s="1032"/>
      <c r="L11" s="1032"/>
      <c r="M11" s="1032"/>
      <c r="N11" s="1032"/>
      <c r="O11" s="1032"/>
      <c r="P11" s="1032"/>
    </row>
    <row r="12" spans="1:16" ht="19.5" x14ac:dyDescent="0.4">
      <c r="A12" s="536"/>
      <c r="C12" s="1061"/>
      <c r="D12" s="1032"/>
      <c r="E12" s="1032"/>
      <c r="F12" s="1032"/>
      <c r="G12" s="1032"/>
      <c r="H12" s="1032"/>
      <c r="I12" s="1032"/>
      <c r="J12" s="1032"/>
      <c r="K12" s="1032"/>
      <c r="L12" s="1032"/>
      <c r="M12" s="1032"/>
      <c r="N12" s="1032"/>
      <c r="O12" s="1032"/>
      <c r="P12" s="1032"/>
    </row>
    <row r="13" spans="1:16" ht="18.600000000000001" customHeight="1" x14ac:dyDescent="0.4">
      <c r="A13" s="536"/>
      <c r="C13" s="2506" t="s">
        <v>5814</v>
      </c>
      <c r="D13" s="2506"/>
      <c r="E13" s="2506"/>
      <c r="F13" s="2506"/>
      <c r="G13" s="2506"/>
      <c r="H13" s="2506"/>
      <c r="I13" s="2506"/>
      <c r="J13" s="2506"/>
      <c r="K13" s="2506"/>
      <c r="L13" s="2506"/>
      <c r="M13" s="2506"/>
      <c r="N13" s="2506"/>
      <c r="O13" s="2506"/>
      <c r="P13" s="2506"/>
    </row>
    <row r="14" spans="1:16" ht="18.600000000000001" customHeight="1" x14ac:dyDescent="0.4">
      <c r="A14" s="536"/>
      <c r="C14" s="2506"/>
      <c r="D14" s="2506"/>
      <c r="E14" s="2506"/>
      <c r="F14" s="2506"/>
      <c r="G14" s="2506"/>
      <c r="H14" s="2506"/>
      <c r="I14" s="2506"/>
      <c r="J14" s="2506"/>
      <c r="K14" s="2506"/>
      <c r="L14" s="2506"/>
      <c r="M14" s="2506"/>
      <c r="N14" s="2506"/>
      <c r="O14" s="2506"/>
      <c r="P14" s="2506"/>
    </row>
    <row r="15" spans="1:16" ht="18.600000000000001" customHeight="1" x14ac:dyDescent="0.4">
      <c r="A15" s="536"/>
      <c r="C15" s="2506"/>
      <c r="D15" s="2506"/>
      <c r="E15" s="2506"/>
      <c r="F15" s="2506"/>
      <c r="G15" s="2506"/>
      <c r="H15" s="2506"/>
      <c r="I15" s="2506"/>
      <c r="J15" s="2506"/>
      <c r="K15" s="2506"/>
      <c r="L15" s="2506"/>
      <c r="M15" s="2506"/>
      <c r="N15" s="2506"/>
      <c r="O15" s="2506"/>
      <c r="P15" s="2506"/>
    </row>
    <row r="16" spans="1:16" ht="18.600000000000001" customHeight="1" x14ac:dyDescent="0.4">
      <c r="A16" s="536"/>
      <c r="C16" s="2506"/>
      <c r="D16" s="2506"/>
      <c r="E16" s="2506"/>
      <c r="F16" s="2506"/>
      <c r="G16" s="2506"/>
      <c r="H16" s="2506"/>
      <c r="I16" s="2506"/>
      <c r="J16" s="2506"/>
      <c r="K16" s="2506"/>
      <c r="L16" s="2506"/>
      <c r="M16" s="2506"/>
      <c r="N16" s="2506"/>
      <c r="O16" s="2506"/>
      <c r="P16" s="2506"/>
    </row>
    <row r="17" spans="1:17" ht="18.600000000000001" customHeight="1" x14ac:dyDescent="0.4">
      <c r="A17" s="536"/>
      <c r="C17" s="2506"/>
      <c r="D17" s="2506"/>
      <c r="E17" s="2506"/>
      <c r="F17" s="2506"/>
      <c r="G17" s="2506"/>
      <c r="H17" s="2506"/>
      <c r="I17" s="2506"/>
      <c r="J17" s="2506"/>
      <c r="K17" s="2506"/>
      <c r="L17" s="2506"/>
      <c r="M17" s="2506"/>
      <c r="N17" s="2506"/>
      <c r="O17" s="2506"/>
      <c r="P17" s="2506"/>
    </row>
    <row r="18" spans="1:17" ht="18.600000000000001" customHeight="1" x14ac:dyDescent="0.4">
      <c r="A18" s="536"/>
      <c r="C18" s="2506"/>
      <c r="D18" s="2506"/>
      <c r="E18" s="2506"/>
      <c r="F18" s="2506"/>
      <c r="G18" s="2506"/>
      <c r="H18" s="2506"/>
      <c r="I18" s="2506"/>
      <c r="J18" s="2506"/>
      <c r="K18" s="2506"/>
      <c r="L18" s="2506"/>
      <c r="M18" s="2506"/>
      <c r="N18" s="2506"/>
      <c r="O18" s="2506"/>
      <c r="P18" s="2506"/>
    </row>
    <row r="19" spans="1:17" ht="18.600000000000001" customHeight="1" x14ac:dyDescent="0.4">
      <c r="A19" s="536"/>
      <c r="C19" s="2506"/>
      <c r="D19" s="2506"/>
      <c r="E19" s="2506"/>
      <c r="F19" s="2506"/>
      <c r="G19" s="2506"/>
      <c r="H19" s="2506"/>
      <c r="I19" s="2506"/>
      <c r="J19" s="2506"/>
      <c r="K19" s="2506"/>
      <c r="L19" s="2506"/>
      <c r="M19" s="2506"/>
      <c r="N19" s="2506"/>
      <c r="O19" s="2506"/>
      <c r="P19" s="2506"/>
    </row>
    <row r="20" spans="1:17" x14ac:dyDescent="0.4">
      <c r="A20" s="536"/>
      <c r="C20" s="221"/>
      <c r="D20" s="220"/>
      <c r="E20" s="220"/>
      <c r="F20" s="220"/>
      <c r="G20" s="220"/>
      <c r="H20" s="220"/>
      <c r="I20" s="220"/>
      <c r="J20" s="220"/>
      <c r="K20" s="220"/>
      <c r="L20" s="220"/>
      <c r="M20" s="220"/>
      <c r="N20" s="220"/>
      <c r="O20" s="220"/>
      <c r="P20" s="220"/>
      <c r="Q20" s="220"/>
    </row>
    <row r="21" spans="1:17" x14ac:dyDescent="0.4">
      <c r="A21" s="536"/>
      <c r="C21" s="221"/>
      <c r="D21" s="220"/>
      <c r="E21" s="220"/>
      <c r="F21" s="220"/>
      <c r="G21" s="220"/>
      <c r="H21" s="220"/>
      <c r="I21" s="220"/>
      <c r="J21" s="220"/>
      <c r="K21" s="220"/>
      <c r="L21" s="220"/>
      <c r="M21" s="220"/>
      <c r="N21" s="220"/>
      <c r="O21" s="220"/>
      <c r="P21" s="220"/>
      <c r="Q21" s="220"/>
    </row>
    <row r="22" spans="1:17" x14ac:dyDescent="0.4">
      <c r="A22" s="536"/>
      <c r="C22" s="221"/>
      <c r="D22" s="220"/>
      <c r="E22" s="220"/>
      <c r="F22" s="220"/>
      <c r="G22" s="220"/>
      <c r="H22" s="220"/>
      <c r="I22" s="220"/>
      <c r="J22" s="220"/>
      <c r="K22" s="220"/>
      <c r="L22" s="220"/>
      <c r="M22" s="220"/>
      <c r="N22" s="220"/>
      <c r="O22" s="220"/>
      <c r="P22" s="220"/>
      <c r="Q22" s="220"/>
    </row>
    <row r="23" spans="1:17" x14ac:dyDescent="0.4">
      <c r="A23" s="536"/>
      <c r="C23" s="221"/>
      <c r="D23" s="220"/>
      <c r="E23" s="220"/>
      <c r="F23" s="220"/>
      <c r="G23" s="220"/>
      <c r="H23" s="220"/>
      <c r="I23" s="220"/>
      <c r="J23" s="220"/>
      <c r="K23" s="220"/>
      <c r="L23" s="220"/>
      <c r="M23" s="220"/>
      <c r="N23" s="220"/>
      <c r="O23" s="220"/>
      <c r="P23" s="220"/>
      <c r="Q23" s="220"/>
    </row>
    <row r="24" spans="1:17" x14ac:dyDescent="0.4">
      <c r="A24" s="536"/>
      <c r="C24" s="221"/>
      <c r="D24" s="220"/>
      <c r="E24" s="220"/>
      <c r="F24" s="220"/>
      <c r="G24" s="220"/>
      <c r="H24" s="220"/>
      <c r="I24" s="220"/>
      <c r="J24" s="220"/>
      <c r="K24" s="220"/>
      <c r="L24" s="220"/>
      <c r="M24" s="220"/>
      <c r="N24" s="220"/>
      <c r="O24" s="220"/>
      <c r="P24" s="220"/>
      <c r="Q24" s="220"/>
    </row>
    <row r="25" spans="1:17" x14ac:dyDescent="0.4">
      <c r="A25" s="536"/>
      <c r="C25" s="221"/>
      <c r="D25" s="220"/>
      <c r="E25" s="220"/>
      <c r="F25" s="220"/>
      <c r="G25" s="220"/>
      <c r="H25" s="220"/>
      <c r="I25" s="220"/>
      <c r="J25" s="220"/>
      <c r="K25" s="220"/>
      <c r="L25" s="220"/>
      <c r="M25" s="220"/>
      <c r="N25" s="220"/>
      <c r="O25" s="220"/>
      <c r="P25" s="220"/>
      <c r="Q25" s="220"/>
    </row>
    <row r="26" spans="1:17" x14ac:dyDescent="0.4">
      <c r="A26" s="536"/>
      <c r="C26" s="2494" t="s">
        <v>316</v>
      </c>
      <c r="D26" s="2494"/>
      <c r="E26" s="2494"/>
      <c r="F26" s="2494"/>
      <c r="G26" s="2494"/>
      <c r="H26" s="2494"/>
      <c r="I26" s="2494"/>
      <c r="J26" s="2494"/>
      <c r="K26" s="2494"/>
      <c r="L26" s="2494"/>
      <c r="M26" s="2494"/>
      <c r="N26" s="2494"/>
      <c r="O26" s="2494"/>
      <c r="P26" s="2494"/>
      <c r="Q26" s="2494"/>
    </row>
    <row r="27" spans="1:17" x14ac:dyDescent="0.4">
      <c r="A27" s="536"/>
      <c r="C27" s="221"/>
      <c r="D27" s="220"/>
      <c r="E27" s="220"/>
      <c r="F27" s="220"/>
      <c r="G27" s="220"/>
      <c r="H27" s="220"/>
      <c r="I27" s="220"/>
      <c r="J27" s="220"/>
      <c r="K27" s="220"/>
      <c r="L27" s="220"/>
      <c r="M27" s="220"/>
      <c r="N27" s="220"/>
      <c r="O27" s="220"/>
      <c r="P27" s="220"/>
      <c r="Q27" s="220"/>
    </row>
    <row r="28" spans="1:17" x14ac:dyDescent="0.4">
      <c r="A28" s="536"/>
    </row>
  </sheetData>
  <mergeCells count="12">
    <mergeCell ref="A5:B5"/>
    <mergeCell ref="C5:P5"/>
    <mergeCell ref="C1:D1"/>
    <mergeCell ref="A3:B3"/>
    <mergeCell ref="C3:P3"/>
    <mergeCell ref="A4:B4"/>
    <mergeCell ref="C4:P4"/>
    <mergeCell ref="A6:B6"/>
    <mergeCell ref="C6:P6"/>
    <mergeCell ref="C9:P10"/>
    <mergeCell ref="C13:P19"/>
    <mergeCell ref="C26:Q26"/>
  </mergeCells>
  <hyperlinks>
    <hyperlink ref="A1" location="'ODS 17.'!A1" display="REGRESAR" xr:uid="{961CD6FC-9D33-4673-917D-045400E443F5}"/>
    <hyperlink ref="C1:D1" location="'Metadato 17.7.1'!A1" display="VER METADATO" xr:uid="{E07C6630-7BAE-4899-A6B0-8FF0C6911779}"/>
  </hyperlinks>
  <pageMargins left="0.7" right="0.7" top="0.75" bottom="0.75" header="0.3" footer="0.3"/>
  <drawing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8FA2-3B86-458D-8AC1-AB3A69809667}">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25"/>
  <cols>
    <col min="1" max="1" width="11.42578125" style="243"/>
    <col min="2" max="2" width="26.42578125" style="243" customWidth="1"/>
    <col min="3" max="3" width="24" style="243" customWidth="1"/>
    <col min="4" max="4" width="68.42578125" style="243" customWidth="1"/>
    <col min="5" max="5" width="11.42578125" style="243"/>
    <col min="6" max="6" width="7.28515625" style="243" customWidth="1"/>
    <col min="7" max="16384" width="11.42578125" style="243"/>
  </cols>
  <sheetData>
    <row r="1" spans="2:6" x14ac:dyDescent="0.25">
      <c r="B1" s="223" t="s">
        <v>39</v>
      </c>
    </row>
    <row r="2" spans="2:6" ht="19.5" thickBot="1" x14ac:dyDescent="0.3"/>
    <row r="3" spans="2:6" ht="23.25" customHeight="1" thickBot="1" x14ac:dyDescent="0.3">
      <c r="B3" s="3555" t="s">
        <v>75</v>
      </c>
      <c r="C3" s="3555"/>
      <c r="D3" s="3555"/>
      <c r="F3" s="1286" t="s">
        <v>317</v>
      </c>
    </row>
    <row r="4" spans="2:6" ht="37.5" x14ac:dyDescent="0.25">
      <c r="B4" s="2425" t="s">
        <v>234</v>
      </c>
      <c r="C4" s="2425"/>
      <c r="D4" s="49" t="s">
        <v>7797</v>
      </c>
    </row>
    <row r="5" spans="2:6" ht="56.25" x14ac:dyDescent="0.25">
      <c r="B5" s="2425" t="s">
        <v>79</v>
      </c>
      <c r="C5" s="2425"/>
      <c r="D5" s="49" t="s">
        <v>7719</v>
      </c>
    </row>
    <row r="6" spans="2:6" x14ac:dyDescent="0.25">
      <c r="B6" s="2425" t="s">
        <v>80</v>
      </c>
      <c r="C6" s="2425"/>
      <c r="D6" s="50" t="s">
        <v>7720</v>
      </c>
    </row>
    <row r="7" spans="2:6" ht="56.25" x14ac:dyDescent="0.25">
      <c r="B7" s="2426" t="s">
        <v>81</v>
      </c>
      <c r="C7" s="2426"/>
      <c r="D7" s="93" t="s">
        <v>7721</v>
      </c>
    </row>
    <row r="8" spans="2:6" x14ac:dyDescent="0.25">
      <c r="B8" s="2426" t="s">
        <v>82</v>
      </c>
      <c r="C8" s="2426"/>
      <c r="D8" s="1047" t="s">
        <v>7976</v>
      </c>
    </row>
    <row r="9" spans="2:6" x14ac:dyDescent="0.4">
      <c r="B9" s="115"/>
      <c r="C9" s="115"/>
      <c r="D9" s="115"/>
    </row>
    <row r="10" spans="2:6" ht="23.25" customHeight="1" x14ac:dyDescent="0.25">
      <c r="B10" s="3555" t="s">
        <v>85</v>
      </c>
      <c r="C10" s="3555"/>
      <c r="D10" s="3555"/>
    </row>
    <row r="11" spans="2:6" x14ac:dyDescent="0.25">
      <c r="B11" s="2427" t="s">
        <v>86</v>
      </c>
      <c r="C11" s="2428"/>
      <c r="D11" s="49"/>
    </row>
    <row r="12" spans="2:6" x14ac:dyDescent="0.25">
      <c r="B12" s="2426" t="s">
        <v>88</v>
      </c>
      <c r="C12" s="2426"/>
      <c r="D12" s="184"/>
    </row>
    <row r="13" spans="2:6" x14ac:dyDescent="0.25">
      <c r="B13" s="2425" t="s">
        <v>90</v>
      </c>
      <c r="C13" s="2425"/>
      <c r="D13" s="54"/>
    </row>
    <row r="14" spans="2:6" x14ac:dyDescent="0.25">
      <c r="B14" s="2425" t="s">
        <v>91</v>
      </c>
      <c r="C14" s="2428"/>
      <c r="D14" s="54"/>
    </row>
    <row r="15" spans="2:6" x14ac:dyDescent="0.25">
      <c r="B15" s="2425" t="s">
        <v>93</v>
      </c>
      <c r="C15" s="2425"/>
      <c r="D15" s="49"/>
    </row>
    <row r="16" spans="2:6" x14ac:dyDescent="0.25">
      <c r="B16" s="2425" t="s">
        <v>95</v>
      </c>
      <c r="C16" s="2425"/>
      <c r="D16" s="49"/>
    </row>
    <row r="17" spans="2:4" x14ac:dyDescent="0.25">
      <c r="B17" s="2425" t="s">
        <v>97</v>
      </c>
      <c r="C17" s="2425"/>
      <c r="D17" s="55"/>
    </row>
    <row r="18" spans="2:4" x14ac:dyDescent="0.25">
      <c r="B18" s="2426" t="s">
        <v>99</v>
      </c>
      <c r="C18" s="2426"/>
      <c r="D18" s="49"/>
    </row>
    <row r="19" spans="2:4" x14ac:dyDescent="0.25">
      <c r="B19" s="2435" t="s">
        <v>100</v>
      </c>
      <c r="C19" s="2436"/>
      <c r="D19" s="55"/>
    </row>
    <row r="20" spans="2:4" x14ac:dyDescent="0.25">
      <c r="B20" s="2425" t="s">
        <v>102</v>
      </c>
      <c r="C20" s="2425"/>
      <c r="D20" s="49"/>
    </row>
    <row r="21" spans="2:4" x14ac:dyDescent="0.25">
      <c r="B21" s="2432" t="s">
        <v>104</v>
      </c>
      <c r="C21" s="57" t="s">
        <v>105</v>
      </c>
      <c r="D21" s="49"/>
    </row>
    <row r="22" spans="2:4" x14ac:dyDescent="0.25">
      <c r="B22" s="2433"/>
      <c r="C22" s="58" t="s">
        <v>107</v>
      </c>
      <c r="D22" s="55"/>
    </row>
    <row r="23" spans="2:4" x14ac:dyDescent="0.25">
      <c r="B23" s="2425" t="s">
        <v>109</v>
      </c>
      <c r="C23" s="2425"/>
      <c r="D23" s="49"/>
    </row>
    <row r="24" spans="2:4" x14ac:dyDescent="0.25">
      <c r="B24" s="2425" t="s">
        <v>111</v>
      </c>
      <c r="C24" s="2425"/>
      <c r="D24" s="50" t="s">
        <v>321</v>
      </c>
    </row>
    <row r="25" spans="2:4" x14ac:dyDescent="0.25">
      <c r="B25" s="2425" t="s">
        <v>113</v>
      </c>
      <c r="C25" s="2425"/>
      <c r="D25" s="55"/>
    </row>
    <row r="26" spans="2:4" x14ac:dyDescent="0.25">
      <c r="B26" s="2426" t="s">
        <v>115</v>
      </c>
      <c r="C26" s="2426"/>
      <c r="D26" s="49"/>
    </row>
    <row r="27" spans="2:4" x14ac:dyDescent="0.25">
      <c r="B27" s="2427" t="s">
        <v>117</v>
      </c>
      <c r="C27" s="2428"/>
      <c r="D27" s="49"/>
    </row>
    <row r="28" spans="2:4" x14ac:dyDescent="0.25">
      <c r="B28" s="60" t="s">
        <v>118</v>
      </c>
      <c r="C28" s="61"/>
      <c r="D28" s="49"/>
    </row>
    <row r="29" spans="2:4" x14ac:dyDescent="0.25">
      <c r="B29" s="2429" t="s">
        <v>120</v>
      </c>
      <c r="C29" s="2430"/>
      <c r="D29" s="62"/>
    </row>
    <row r="30" spans="2:4" x14ac:dyDescent="0.25">
      <c r="B30" s="63"/>
      <c r="C30" s="63"/>
      <c r="D30" s="64"/>
    </row>
    <row r="31" spans="2:4" ht="23.25" customHeight="1" x14ac:dyDescent="0.25">
      <c r="B31" s="3555" t="s">
        <v>121</v>
      </c>
      <c r="C31" s="3555"/>
      <c r="D31" s="3555"/>
    </row>
    <row r="32" spans="2:4" x14ac:dyDescent="0.25">
      <c r="B32" s="2427" t="s">
        <v>122</v>
      </c>
      <c r="C32" s="2428"/>
      <c r="D32" s="55"/>
    </row>
    <row r="33" spans="2:4" x14ac:dyDescent="0.25">
      <c r="B33" s="2427" t="s">
        <v>124</v>
      </c>
      <c r="C33" s="2428"/>
      <c r="D33" s="55"/>
    </row>
    <row r="34" spans="2:4" x14ac:dyDescent="0.25">
      <c r="B34" s="2427" t="s">
        <v>126</v>
      </c>
      <c r="C34" s="2428"/>
      <c r="D34" s="55"/>
    </row>
    <row r="35" spans="2:4" x14ac:dyDescent="0.25">
      <c r="B35" s="2427" t="s">
        <v>128</v>
      </c>
      <c r="C35" s="2428"/>
      <c r="D35" s="246"/>
    </row>
    <row r="36" spans="2:4" x14ac:dyDescent="0.25">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DCAEE50-BAB3-4705-85FD-B7EE65F48E85}"/>
    <dataValidation type="list" allowBlank="1" showInputMessage="1" showErrorMessage="1" sqref="D4" xr:uid="{3B62AD09-213C-4DB0-A666-DED164B0D0F7}">
      <formula1>ODS</formula1>
    </dataValidation>
    <dataValidation type="list" allowBlank="1" showInputMessage="1" showErrorMessage="1" sqref="D5" xr:uid="{463F3BE4-77D9-4699-86CE-4C40EB9450D7}">
      <formula1>Metas_ODS</formula1>
    </dataValidation>
    <dataValidation type="list" allowBlank="1" showInputMessage="1" showErrorMessage="1" sqref="D6" xr:uid="{5AE7CCC9-2BBB-4154-8758-CD592F6C53C9}">
      <formula1>Numero_indicador</formula1>
    </dataValidation>
    <dataValidation type="list" allowBlank="1" showInputMessage="1" showErrorMessage="1" sqref="D7" xr:uid="{75CDCF70-9CC0-4DB6-8095-691D7F2D626F}">
      <formula1>Nombre_indicador_ODS</formula1>
    </dataValidation>
    <dataValidation type="list" allowBlank="1" showInputMessage="1" showErrorMessage="1" sqref="D14" xr:uid="{6E9B0EDA-718B-41B9-93B3-31A685676E5A}">
      <formula1>Tipo_indicador</formula1>
    </dataValidation>
    <dataValidation type="list" allowBlank="1" showInputMessage="1" showErrorMessage="1" sqref="D25" xr:uid="{B49F0536-7F6B-4657-B56A-1B9F9354AA81}">
      <formula1>Tipo_operación</formula1>
    </dataValidation>
  </dataValidations>
  <hyperlinks>
    <hyperlink ref="B1" location="'17.7.1'!A1" display="REGRESAR" xr:uid="{29729239-D7EB-44B5-ABDF-8431BE0DAC4B}"/>
    <hyperlink ref="D8" r:id="rId1" xr:uid="{469CE864-5CE7-481C-95BB-4F238792D204}"/>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B2837-5F4B-4D02-80B5-530A59A2A9EA}">
  <dimension ref="A1:S49"/>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1" width="15.5703125" style="115" customWidth="1"/>
    <col min="2" max="2" width="17.42578125" style="115" customWidth="1"/>
    <col min="3" max="3" width="9.28515625" style="115" customWidth="1"/>
    <col min="4" max="4" width="8.7109375" style="115" customWidth="1"/>
    <col min="5" max="5" width="7.7109375" style="115" customWidth="1"/>
    <col min="6" max="6" width="8.28515625" style="115" customWidth="1"/>
    <col min="7" max="7" width="2.7109375" style="115" customWidth="1"/>
    <col min="8" max="13" width="11.42578125" style="115"/>
    <col min="14" max="19" width="10.7109375" style="115" customWidth="1"/>
    <col min="20" max="16384" width="11.42578125" style="115"/>
  </cols>
  <sheetData>
    <row r="1" spans="1:19" x14ac:dyDescent="0.4">
      <c r="A1" s="90" t="s">
        <v>39</v>
      </c>
      <c r="C1" s="2541" t="s">
        <v>149</v>
      </c>
      <c r="D1" s="2541"/>
    </row>
    <row r="3" spans="1:19" ht="21" customHeight="1" x14ac:dyDescent="0.4">
      <c r="A3" s="3547" t="s">
        <v>41</v>
      </c>
      <c r="B3" s="3547"/>
      <c r="C3" s="3547" t="s">
        <v>7960</v>
      </c>
      <c r="D3" s="3548"/>
      <c r="E3" s="3548"/>
      <c r="F3" s="3548"/>
      <c r="G3" s="3548"/>
      <c r="H3" s="3548"/>
      <c r="I3" s="3548"/>
      <c r="J3" s="3548"/>
      <c r="K3" s="3548"/>
      <c r="L3" s="3548"/>
      <c r="M3" s="3548"/>
      <c r="N3" s="3548"/>
      <c r="O3" s="3548"/>
      <c r="P3" s="3548"/>
      <c r="Q3" s="3548"/>
      <c r="R3" s="3548"/>
      <c r="S3" s="3548"/>
    </row>
    <row r="4" spans="1:19" ht="39" customHeight="1" x14ac:dyDescent="0.4">
      <c r="A4" s="3547" t="s">
        <v>42</v>
      </c>
      <c r="B4" s="3548"/>
      <c r="C4" s="3558" t="s">
        <v>7722</v>
      </c>
      <c r="D4" s="3559"/>
      <c r="E4" s="3559"/>
      <c r="F4" s="3559"/>
      <c r="G4" s="3559"/>
      <c r="H4" s="3559"/>
      <c r="I4" s="3559"/>
      <c r="J4" s="3559"/>
      <c r="K4" s="3559"/>
      <c r="L4" s="3559"/>
      <c r="M4" s="3559"/>
      <c r="N4" s="3559"/>
      <c r="O4" s="3559"/>
      <c r="P4" s="3559"/>
      <c r="Q4" s="3559"/>
      <c r="R4" s="3559"/>
      <c r="S4" s="3559"/>
    </row>
    <row r="5" spans="1:19" ht="17.45" customHeight="1" x14ac:dyDescent="0.4">
      <c r="A5" s="3547" t="s">
        <v>43</v>
      </c>
      <c r="B5" s="3548"/>
      <c r="C5" s="3547" t="s">
        <v>7724</v>
      </c>
      <c r="D5" s="3548"/>
      <c r="E5" s="3548"/>
      <c r="F5" s="3548"/>
      <c r="G5" s="3548"/>
      <c r="H5" s="3548"/>
      <c r="I5" s="3548"/>
      <c r="J5" s="3548"/>
      <c r="K5" s="3548"/>
      <c r="L5" s="3548"/>
      <c r="M5" s="3548"/>
      <c r="N5" s="3548"/>
      <c r="O5" s="3548"/>
      <c r="P5" s="3548"/>
      <c r="Q5" s="3548"/>
      <c r="R5" s="3548"/>
      <c r="S5" s="3548"/>
    </row>
    <row r="6" spans="1:19" ht="19.5" x14ac:dyDescent="0.4">
      <c r="A6" s="3547" t="s">
        <v>132</v>
      </c>
      <c r="B6" s="3548"/>
      <c r="C6" s="3547" t="s">
        <v>7977</v>
      </c>
      <c r="D6" s="3548"/>
      <c r="E6" s="3548"/>
      <c r="F6" s="3548"/>
      <c r="G6" s="3548"/>
      <c r="H6" s="3548"/>
      <c r="I6" s="3548"/>
      <c r="J6" s="3548"/>
      <c r="K6" s="3548"/>
      <c r="L6" s="3548"/>
      <c r="M6" s="3548"/>
      <c r="N6" s="3548"/>
      <c r="O6" s="3548"/>
      <c r="P6" s="3548"/>
      <c r="Q6" s="3548"/>
      <c r="R6" s="3548"/>
      <c r="S6" s="3548"/>
    </row>
    <row r="9" spans="1:19" ht="19.5" x14ac:dyDescent="0.4">
      <c r="C9" s="163" t="s">
        <v>7978</v>
      </c>
      <c r="D9" s="163"/>
      <c r="E9" s="163"/>
      <c r="F9" s="163"/>
      <c r="G9" s="163"/>
      <c r="H9" s="163"/>
      <c r="I9" s="163"/>
      <c r="J9" s="163"/>
      <c r="K9" s="163"/>
      <c r="L9" s="163"/>
      <c r="M9" s="163"/>
    </row>
    <row r="10" spans="1:19" ht="13.15" customHeight="1" x14ac:dyDescent="0.4">
      <c r="C10" s="533"/>
      <c r="D10" s="533"/>
      <c r="E10" s="533"/>
      <c r="F10" s="533"/>
      <c r="G10" s="533"/>
      <c r="H10" s="533"/>
      <c r="I10" s="533"/>
      <c r="J10" s="533"/>
      <c r="K10" s="533"/>
      <c r="L10" s="533"/>
      <c r="M10" s="533"/>
    </row>
    <row r="11" spans="1:19" x14ac:dyDescent="0.4">
      <c r="A11" s="536"/>
      <c r="C11" s="3549" t="s">
        <v>247</v>
      </c>
      <c r="D11" s="2249"/>
      <c r="E11" s="3562" t="s">
        <v>49</v>
      </c>
      <c r="F11" s="3562"/>
      <c r="G11" s="2250"/>
      <c r="H11" s="3562" t="s">
        <v>5124</v>
      </c>
      <c r="I11" s="3562"/>
      <c r="J11" s="3562"/>
      <c r="K11" s="3562"/>
      <c r="L11" s="3562"/>
      <c r="M11" s="3562"/>
    </row>
    <row r="12" spans="1:19" ht="37.5" x14ac:dyDescent="0.4">
      <c r="A12" s="835"/>
      <c r="C12" s="3550"/>
      <c r="D12" s="2198" t="s">
        <v>7979</v>
      </c>
      <c r="E12" s="2198" t="s">
        <v>1433</v>
      </c>
      <c r="F12" s="2198" t="s">
        <v>56</v>
      </c>
      <c r="G12" s="2198"/>
      <c r="H12" s="2198" t="s">
        <v>7980</v>
      </c>
      <c r="I12" s="2198" t="s">
        <v>7981</v>
      </c>
      <c r="J12" s="2198" t="s">
        <v>7982</v>
      </c>
      <c r="K12" s="2198" t="s">
        <v>7983</v>
      </c>
      <c r="L12" s="2198" t="s">
        <v>7984</v>
      </c>
      <c r="M12" s="2198" t="s">
        <v>7985</v>
      </c>
    </row>
    <row r="13" spans="1:19" x14ac:dyDescent="0.4">
      <c r="A13" s="536"/>
      <c r="C13" s="1487">
        <v>2010</v>
      </c>
      <c r="D13" s="2251">
        <v>38.381041233191318</v>
      </c>
      <c r="E13" s="417">
        <v>44.648223167209729</v>
      </c>
      <c r="F13" s="417">
        <v>21.38822312830256</v>
      </c>
      <c r="G13" s="2251"/>
      <c r="H13" s="417">
        <v>45.052093619175835</v>
      </c>
      <c r="I13" s="417">
        <v>23.441390914189569</v>
      </c>
      <c r="J13" s="417">
        <v>29.451610028138887</v>
      </c>
      <c r="K13" s="417">
        <v>27.65902379549161</v>
      </c>
      <c r="L13" s="417">
        <v>25.666444857883945</v>
      </c>
      <c r="M13" s="417">
        <v>29.439328600392944</v>
      </c>
    </row>
    <row r="14" spans="1:19" x14ac:dyDescent="0.4">
      <c r="A14" s="536"/>
      <c r="C14" s="1487">
        <v>2011</v>
      </c>
      <c r="D14" s="2251">
        <v>43.6720242265732</v>
      </c>
      <c r="E14" s="417">
        <v>49.927220215958748</v>
      </c>
      <c r="F14" s="417">
        <v>26.748417543208742</v>
      </c>
      <c r="G14" s="2251"/>
      <c r="H14" s="417">
        <v>50.343877883585407</v>
      </c>
      <c r="I14" s="417">
        <v>30.771408440071468</v>
      </c>
      <c r="J14" s="417">
        <v>33.016731690494886</v>
      </c>
      <c r="K14" s="417">
        <v>31.830870304868309</v>
      </c>
      <c r="L14" s="417">
        <v>31.34473096272643</v>
      </c>
      <c r="M14" s="417">
        <v>34.646503622855533</v>
      </c>
    </row>
    <row r="15" spans="1:19" x14ac:dyDescent="0.4">
      <c r="A15" s="536"/>
      <c r="C15" s="1487">
        <v>2012</v>
      </c>
      <c r="D15" s="2251">
        <v>47.500914524434698</v>
      </c>
      <c r="E15" s="417">
        <v>55.091534447781285</v>
      </c>
      <c r="F15" s="417">
        <v>35.08683602241576</v>
      </c>
      <c r="G15" s="2251"/>
      <c r="H15" s="417">
        <v>53.517301046417842</v>
      </c>
      <c r="I15" s="417">
        <v>35.186972132338148</v>
      </c>
      <c r="J15" s="417">
        <v>40.511425262422563</v>
      </c>
      <c r="K15" s="417">
        <v>37.007600904052573</v>
      </c>
      <c r="L15" s="417">
        <v>31.196217923949359</v>
      </c>
      <c r="M15" s="417">
        <v>38.135661604505913</v>
      </c>
    </row>
    <row r="16" spans="1:19" x14ac:dyDescent="0.4">
      <c r="A16" s="835"/>
      <c r="C16" s="1487">
        <v>2013</v>
      </c>
      <c r="D16" s="2251">
        <v>50.154003781532765</v>
      </c>
      <c r="E16" s="417">
        <v>55.530154044304822</v>
      </c>
      <c r="F16" s="417">
        <v>35.503950586898583</v>
      </c>
      <c r="G16" s="2251"/>
      <c r="H16" s="417">
        <v>56.108567233459759</v>
      </c>
      <c r="I16" s="417">
        <v>33.702959656589464</v>
      </c>
      <c r="J16" s="417">
        <v>39.70569559972062</v>
      </c>
      <c r="K16" s="417">
        <v>40.351730036735972</v>
      </c>
      <c r="L16" s="417">
        <v>40.70031235434837</v>
      </c>
      <c r="M16" s="417">
        <v>45.143019722407992</v>
      </c>
    </row>
    <row r="17" spans="1:13" x14ac:dyDescent="0.4">
      <c r="A17" s="536"/>
      <c r="C17" s="1487">
        <v>2014</v>
      </c>
      <c r="D17" s="2251">
        <v>54.706277328204536</v>
      </c>
      <c r="E17" s="417">
        <v>59.978952116064043</v>
      </c>
      <c r="F17" s="417">
        <v>40.413628810883431</v>
      </c>
      <c r="G17" s="2251"/>
      <c r="H17" s="417">
        <v>60.110530056702196</v>
      </c>
      <c r="I17" s="417">
        <v>42.833843685988512</v>
      </c>
      <c r="J17" s="417">
        <v>48.885605509822774</v>
      </c>
      <c r="K17" s="417">
        <v>43.688033813078057</v>
      </c>
      <c r="L17" s="417">
        <v>46.091609196573188</v>
      </c>
      <c r="M17" s="417">
        <v>46.834881799310743</v>
      </c>
    </row>
    <row r="18" spans="1:13" x14ac:dyDescent="0.4">
      <c r="A18" s="536"/>
      <c r="C18" s="1487">
        <v>2015</v>
      </c>
      <c r="D18" s="2251">
        <v>59.762950137168083</v>
      </c>
      <c r="E18" s="417">
        <v>65.229877195766335</v>
      </c>
      <c r="F18" s="417">
        <v>45.019490820254056</v>
      </c>
      <c r="G18" s="2251"/>
      <c r="H18" s="417">
        <v>66.056544113569956</v>
      </c>
      <c r="I18" s="417">
        <v>46.710431628262178</v>
      </c>
      <c r="J18" s="417">
        <v>51.637827459252307</v>
      </c>
      <c r="K18" s="417">
        <v>49.149742756566475</v>
      </c>
      <c r="L18" s="417">
        <v>50.383236165970445</v>
      </c>
      <c r="M18" s="417">
        <v>48.257105777321414</v>
      </c>
    </row>
    <row r="19" spans="1:13" x14ac:dyDescent="0.4">
      <c r="A19" s="536"/>
      <c r="C19" s="1487">
        <v>2016</v>
      </c>
      <c r="D19" s="2251">
        <v>66.028712851113951</v>
      </c>
      <c r="E19" s="417">
        <v>71.228641669759853</v>
      </c>
      <c r="F19" s="417">
        <v>51.96089096131147</v>
      </c>
      <c r="G19" s="2251"/>
      <c r="H19" s="417">
        <v>71.192521343297898</v>
      </c>
      <c r="I19" s="417">
        <v>57.280693549707131</v>
      </c>
      <c r="J19" s="417">
        <v>55.982118098492847</v>
      </c>
      <c r="K19" s="417">
        <v>65.728760059756155</v>
      </c>
      <c r="L19" s="417">
        <v>52.238664295277871</v>
      </c>
      <c r="M19" s="417">
        <v>56.177971382219702</v>
      </c>
    </row>
    <row r="20" spans="1:13" x14ac:dyDescent="0.4">
      <c r="A20" s="536"/>
      <c r="C20" s="1487">
        <v>2017</v>
      </c>
      <c r="D20" s="1446">
        <v>71.581664619502206</v>
      </c>
      <c r="E20" s="1446">
        <v>76.131060022003609</v>
      </c>
      <c r="F20" s="1446">
        <v>59.406809003559879</v>
      </c>
      <c r="G20" s="2251"/>
      <c r="H20" s="1446">
        <v>76.110446824393705</v>
      </c>
      <c r="I20" s="1446">
        <v>60.840990083228021</v>
      </c>
      <c r="J20" s="1446">
        <v>64.064904389871288</v>
      </c>
      <c r="K20" s="1446">
        <v>69.252672402843871</v>
      </c>
      <c r="L20" s="1446">
        <v>64.308662789132782</v>
      </c>
      <c r="M20" s="1446">
        <v>61.856864229077999</v>
      </c>
    </row>
    <row r="21" spans="1:13" x14ac:dyDescent="0.4">
      <c r="A21" s="536"/>
      <c r="C21" s="1487">
        <v>2018</v>
      </c>
      <c r="D21" s="1446">
        <v>73.479728436990598</v>
      </c>
      <c r="E21" s="1446">
        <v>78.107446151296102</v>
      </c>
      <c r="F21" s="1446">
        <v>61.0638785955149</v>
      </c>
      <c r="G21" s="2251"/>
      <c r="H21" s="1446">
        <v>77.349007593139504</v>
      </c>
      <c r="I21" s="1446">
        <v>63.538331504825017</v>
      </c>
      <c r="J21" s="1446">
        <v>69.423170424095318</v>
      </c>
      <c r="K21" s="1446">
        <v>67.253921777970177</v>
      </c>
      <c r="L21" s="1446">
        <v>70.382497610443266</v>
      </c>
      <c r="M21" s="1446">
        <v>64.565012773967993</v>
      </c>
    </row>
    <row r="22" spans="1:13" x14ac:dyDescent="0.4">
      <c r="A22" s="536"/>
      <c r="C22" s="1487">
        <v>2019</v>
      </c>
      <c r="D22" s="1446">
        <v>81.202596443526929</v>
      </c>
      <c r="E22" s="1446">
        <v>84.383143457964522</v>
      </c>
      <c r="F22" s="1446">
        <v>72.681522030258748</v>
      </c>
      <c r="G22" s="2251"/>
      <c r="H22" s="1446">
        <v>84.23400997459656</v>
      </c>
      <c r="I22" s="1446">
        <v>75.382005272087227</v>
      </c>
      <c r="J22" s="1446">
        <v>80.332067188189342</v>
      </c>
      <c r="K22" s="1446">
        <v>75.988038470863984</v>
      </c>
      <c r="L22" s="1446">
        <v>76.591818490383829</v>
      </c>
      <c r="M22" s="1446">
        <v>73.553744817840425</v>
      </c>
    </row>
    <row r="23" spans="1:13" x14ac:dyDescent="0.4">
      <c r="A23" s="835"/>
      <c r="C23" s="1487">
        <v>2020</v>
      </c>
      <c r="D23" s="1446">
        <v>80.530186080668201</v>
      </c>
      <c r="E23" s="1446">
        <v>83.088943403255271</v>
      </c>
      <c r="F23" s="1446">
        <v>73.685290611998866</v>
      </c>
      <c r="G23" s="2251"/>
      <c r="H23" s="1446">
        <v>82.380773143842219</v>
      </c>
      <c r="I23" s="1446">
        <v>75.288839126342779</v>
      </c>
      <c r="J23" s="1446">
        <v>72.411408571952748</v>
      </c>
      <c r="K23" s="1446">
        <v>85.369346783547783</v>
      </c>
      <c r="L23" s="1446">
        <v>72.293295731316505</v>
      </c>
      <c r="M23" s="1446">
        <v>81.725042541123088</v>
      </c>
    </row>
    <row r="24" spans="1:13" x14ac:dyDescent="0.4">
      <c r="A24" s="835"/>
      <c r="C24" s="1487">
        <v>2021</v>
      </c>
      <c r="D24" s="1446">
        <v>82.749016069472248</v>
      </c>
      <c r="E24" s="1446">
        <v>85.647409391422656</v>
      </c>
      <c r="F24" s="1446">
        <v>75.053351931995664</v>
      </c>
      <c r="G24" s="2251"/>
      <c r="H24" s="1446">
        <v>85.762320648783529</v>
      </c>
      <c r="I24" s="1446">
        <v>75.687511459631537</v>
      </c>
      <c r="J24" s="1446">
        <v>83.861686418668668</v>
      </c>
      <c r="K24" s="1446">
        <v>79.009225289804846</v>
      </c>
      <c r="L24" s="1446">
        <v>79.242376517166775</v>
      </c>
      <c r="M24" s="1446">
        <v>72.881230166484045</v>
      </c>
    </row>
    <row r="25" spans="1:13" x14ac:dyDescent="0.4">
      <c r="A25" s="835"/>
      <c r="C25" s="1487">
        <v>2022</v>
      </c>
      <c r="D25" s="1446">
        <v>82.598011210477267</v>
      </c>
      <c r="E25" s="1446">
        <v>84.947849852966613</v>
      </c>
      <c r="F25" s="1446">
        <v>76.345697413506798</v>
      </c>
      <c r="G25" s="2251"/>
      <c r="H25" s="1446">
        <v>85.026568889438892</v>
      </c>
      <c r="I25" s="1446">
        <v>74.348626340680028</v>
      </c>
      <c r="J25" s="1446">
        <v>74.971212733652408</v>
      </c>
      <c r="K25" s="1446">
        <v>82.850913422905535</v>
      </c>
      <c r="L25" s="1446">
        <v>84.39596554850408</v>
      </c>
      <c r="M25" s="1446">
        <v>75.337208563313069</v>
      </c>
    </row>
    <row r="26" spans="1:13" x14ac:dyDescent="0.4">
      <c r="A26" s="835"/>
      <c r="C26" s="2286">
        <v>2023</v>
      </c>
      <c r="D26" s="1446">
        <v>85.395147988035873</v>
      </c>
      <c r="E26" s="1446">
        <v>87.551431147825511</v>
      </c>
      <c r="F26" s="1446">
        <v>79.662772199119999</v>
      </c>
      <c r="G26" s="2251"/>
      <c r="H26" s="1446">
        <v>87.853156520074577</v>
      </c>
      <c r="I26" s="1446">
        <v>76.931968253396178</v>
      </c>
      <c r="J26" s="1446">
        <v>73.932955491686585</v>
      </c>
      <c r="K26" s="1446">
        <v>82.083810064668427</v>
      </c>
      <c r="L26" s="1446">
        <v>86.402091158940181</v>
      </c>
      <c r="M26" s="1446">
        <v>84.892963459326111</v>
      </c>
    </row>
    <row r="27" spans="1:13" x14ac:dyDescent="0.4">
      <c r="A27" s="536"/>
      <c r="C27" s="2252">
        <v>2024</v>
      </c>
      <c r="D27" s="2177">
        <v>87.858425682659089</v>
      </c>
      <c r="E27" s="2177">
        <v>89.259164949429291</v>
      </c>
      <c r="F27" s="2177">
        <v>84.145061479888199</v>
      </c>
      <c r="G27" s="2253"/>
      <c r="H27" s="2177">
        <v>89.398366476141959</v>
      </c>
      <c r="I27" s="2177">
        <v>81.834580136989729</v>
      </c>
      <c r="J27" s="2177">
        <v>85.413675772187077</v>
      </c>
      <c r="K27" s="2177">
        <v>90.410757444163565</v>
      </c>
      <c r="L27" s="2177">
        <v>88.276431547395035</v>
      </c>
      <c r="M27" s="2177">
        <v>81.254644055962203</v>
      </c>
    </row>
    <row r="28" spans="1:13" s="2279" customFormat="1" x14ac:dyDescent="0.4">
      <c r="A28" s="536"/>
      <c r="C28" s="2286" t="s">
        <v>8130</v>
      </c>
      <c r="D28" s="1446"/>
      <c r="E28" s="1446"/>
      <c r="F28" s="1446"/>
      <c r="G28" s="2251"/>
      <c r="H28" s="1446"/>
      <c r="I28" s="1446"/>
      <c r="J28" s="1446"/>
      <c r="K28" s="1446"/>
      <c r="L28" s="1446"/>
      <c r="M28" s="1446"/>
    </row>
    <row r="29" spans="1:13" x14ac:dyDescent="0.4">
      <c r="A29" s="536"/>
    </row>
    <row r="30" spans="1:13" x14ac:dyDescent="0.4">
      <c r="A30" s="536"/>
    </row>
    <row r="31" spans="1:13" ht="22.15" customHeight="1" x14ac:dyDescent="0.4">
      <c r="A31" s="536"/>
      <c r="C31" s="138" t="s">
        <v>8141</v>
      </c>
      <c r="D31" s="138"/>
      <c r="E31" s="138"/>
      <c r="F31" s="138"/>
      <c r="G31" s="138"/>
      <c r="H31" s="138"/>
      <c r="I31" s="138"/>
      <c r="J31" s="1032"/>
      <c r="K31" s="1032"/>
      <c r="L31" s="1032"/>
    </row>
    <row r="32" spans="1:13" x14ac:dyDescent="0.4">
      <c r="A32" s="835"/>
    </row>
    <row r="33" spans="1:1" x14ac:dyDescent="0.4">
      <c r="A33" s="536"/>
    </row>
    <row r="34" spans="1:1" x14ac:dyDescent="0.4">
      <c r="A34" s="536"/>
    </row>
    <row r="35" spans="1:1" x14ac:dyDescent="0.4">
      <c r="A35" s="536"/>
    </row>
    <row r="36" spans="1:1" x14ac:dyDescent="0.4">
      <c r="A36" s="835"/>
    </row>
    <row r="37" spans="1:1" x14ac:dyDescent="0.4">
      <c r="A37" s="536"/>
    </row>
    <row r="38" spans="1:1" x14ac:dyDescent="0.4">
      <c r="A38" s="536"/>
    </row>
    <row r="39" spans="1:1" x14ac:dyDescent="0.4">
      <c r="A39" s="536"/>
    </row>
    <row r="40" spans="1:1" x14ac:dyDescent="0.4">
      <c r="A40" s="835"/>
    </row>
    <row r="41" spans="1:1" x14ac:dyDescent="0.4">
      <c r="A41" s="536"/>
    </row>
    <row r="42" spans="1:1" x14ac:dyDescent="0.4">
      <c r="A42" s="536"/>
    </row>
    <row r="43" spans="1:1" x14ac:dyDescent="0.4">
      <c r="A43" s="536"/>
    </row>
    <row r="44" spans="1:1" x14ac:dyDescent="0.4">
      <c r="A44" s="835"/>
    </row>
    <row r="45" spans="1:1" x14ac:dyDescent="0.4">
      <c r="A45" s="536"/>
    </row>
    <row r="49" spans="3:3" x14ac:dyDescent="0.4">
      <c r="C49" s="115" t="s">
        <v>8113</v>
      </c>
    </row>
  </sheetData>
  <mergeCells count="12">
    <mergeCell ref="A5:B5"/>
    <mergeCell ref="C5:S5"/>
    <mergeCell ref="C1:D1"/>
    <mergeCell ref="A3:B3"/>
    <mergeCell ref="C3:S3"/>
    <mergeCell ref="A4:B4"/>
    <mergeCell ref="C4:S4"/>
    <mergeCell ref="A6:B6"/>
    <mergeCell ref="C6:S6"/>
    <mergeCell ref="C11:C12"/>
    <mergeCell ref="E11:F11"/>
    <mergeCell ref="H11:M11"/>
  </mergeCells>
  <hyperlinks>
    <hyperlink ref="A1" location="'ODS 17.'!A1" display="REGRESAR" xr:uid="{BFA98E39-A957-43F5-839F-53990922EF59}"/>
    <hyperlink ref="C1:D1" location="'Metadato 17.8.1'!A1" display="VER METADATO" xr:uid="{2EEFAD2B-3CB1-4A8B-941F-CA8880590B2E}"/>
  </hyperlinks>
  <pageMargins left="0.7" right="0.7" top="0.75" bottom="0.75" header="0.3" footer="0.3"/>
  <pageSetup orientation="portrait" r:id="rId1"/>
  <drawing r:id="rId2"/>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BE7A-8E31-43DA-8A6F-BB322EE7987F}">
  <sheetPr>
    <tabColor theme="0" tint="-0.499984740745262"/>
  </sheetPr>
  <dimension ref="A1:N43"/>
  <sheetViews>
    <sheetView showGridLines="0" zoomScaleNormal="100" workbookViewId="0">
      <pane ySplit="1" topLeftCell="A2" activePane="bottomLeft" state="frozen"/>
      <selection sqref="A1:B1"/>
      <selection pane="bottomLeft" activeCell="B1" sqref="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2.7109375" style="115" customWidth="1"/>
    <col min="6" max="6" width="7.28515625" style="115" customWidth="1"/>
    <col min="7" max="7" width="11.42578125" style="115"/>
    <col min="8" max="8" width="2.7109375" style="115" customWidth="1"/>
    <col min="9"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76</v>
      </c>
    </row>
    <row r="4" spans="2:6" ht="37.5" x14ac:dyDescent="0.4">
      <c r="B4" s="2425" t="s">
        <v>234</v>
      </c>
      <c r="C4" s="2425"/>
      <c r="D4" s="49" t="s">
        <v>7797</v>
      </c>
    </row>
    <row r="5" spans="2:6" ht="62.25" customHeight="1" x14ac:dyDescent="0.4">
      <c r="B5" s="2425" t="s">
        <v>79</v>
      </c>
      <c r="C5" s="2425"/>
      <c r="D5" s="49" t="s">
        <v>7722</v>
      </c>
    </row>
    <row r="6" spans="2:6" x14ac:dyDescent="0.4">
      <c r="B6" s="2425" t="s">
        <v>80</v>
      </c>
      <c r="C6" s="2425"/>
      <c r="D6" s="50" t="s">
        <v>7723</v>
      </c>
    </row>
    <row r="7" spans="2:6" ht="15" customHeight="1" x14ac:dyDescent="0.4">
      <c r="B7" s="2426" t="s">
        <v>81</v>
      </c>
      <c r="C7" s="2426"/>
      <c r="D7" s="93" t="s">
        <v>7724</v>
      </c>
    </row>
    <row r="8" spans="2:6" ht="15" customHeight="1" x14ac:dyDescent="0.4">
      <c r="B8" s="2426" t="s">
        <v>82</v>
      </c>
      <c r="C8" s="2426"/>
      <c r="D8" s="1047" t="s">
        <v>7986</v>
      </c>
    </row>
    <row r="10" spans="2:6" ht="19.5" x14ac:dyDescent="0.4">
      <c r="B10" s="3555" t="s">
        <v>85</v>
      </c>
      <c r="C10" s="3555"/>
      <c r="D10" s="3555"/>
    </row>
    <row r="11" spans="2:6" ht="17.25" customHeight="1" x14ac:dyDescent="0.4">
      <c r="B11" s="2427" t="s">
        <v>86</v>
      </c>
      <c r="C11" s="2428"/>
      <c r="D11" s="49" t="s">
        <v>167</v>
      </c>
    </row>
    <row r="12" spans="2:6" ht="31.5" customHeight="1" x14ac:dyDescent="0.4">
      <c r="B12" s="2426" t="s">
        <v>88</v>
      </c>
      <c r="C12" s="2426"/>
      <c r="D12" s="184" t="s">
        <v>7987</v>
      </c>
    </row>
    <row r="13" spans="2:6" x14ac:dyDescent="0.4">
      <c r="B13" s="2425" t="s">
        <v>90</v>
      </c>
      <c r="C13" s="2425"/>
      <c r="D13" s="55" t="s">
        <v>7723</v>
      </c>
    </row>
    <row r="14" spans="2:6" x14ac:dyDescent="0.4">
      <c r="B14" s="2425" t="s">
        <v>91</v>
      </c>
      <c r="C14" s="2428"/>
      <c r="D14" s="54" t="s">
        <v>92</v>
      </c>
    </row>
    <row r="15" spans="2:6" ht="56.25" x14ac:dyDescent="0.4">
      <c r="B15" s="2425" t="s">
        <v>93</v>
      </c>
      <c r="C15" s="2425"/>
      <c r="D15" s="55" t="s">
        <v>7988</v>
      </c>
    </row>
    <row r="16" spans="2:6" ht="50.25" customHeight="1" x14ac:dyDescent="0.4">
      <c r="B16" s="2425" t="s">
        <v>95</v>
      </c>
      <c r="C16" s="2425"/>
      <c r="D16" s="55"/>
    </row>
    <row r="17" spans="2:4" x14ac:dyDescent="0.4">
      <c r="B17" s="2425" t="s">
        <v>97</v>
      </c>
      <c r="C17" s="2425"/>
      <c r="D17" s="55" t="s">
        <v>238</v>
      </c>
    </row>
    <row r="18" spans="2:4" ht="15" customHeight="1" x14ac:dyDescent="0.4">
      <c r="B18" s="2426" t="s">
        <v>99</v>
      </c>
      <c r="C18" s="2426"/>
      <c r="D18" s="49"/>
    </row>
    <row r="19" spans="2:4" ht="37.5" x14ac:dyDescent="0.4">
      <c r="B19" s="2435" t="s">
        <v>100</v>
      </c>
      <c r="C19" s="2436"/>
      <c r="D19" s="55" t="s">
        <v>7989</v>
      </c>
    </row>
    <row r="20" spans="2:4" x14ac:dyDescent="0.4">
      <c r="B20" s="2425" t="s">
        <v>102</v>
      </c>
      <c r="C20" s="2425"/>
      <c r="D20" s="55" t="s">
        <v>1521</v>
      </c>
    </row>
    <row r="21" spans="2:4" x14ac:dyDescent="0.4">
      <c r="B21" s="2432" t="s">
        <v>104</v>
      </c>
      <c r="C21" s="57" t="s">
        <v>105</v>
      </c>
      <c r="D21" s="49" t="s">
        <v>7990</v>
      </c>
    </row>
    <row r="22" spans="2:4" ht="15" customHeight="1" x14ac:dyDescent="0.4">
      <c r="B22" s="2433"/>
      <c r="C22" s="58" t="s">
        <v>107</v>
      </c>
      <c r="D22" s="55"/>
    </row>
    <row r="23" spans="2:4" x14ac:dyDescent="0.4">
      <c r="B23" s="2425" t="s">
        <v>109</v>
      </c>
      <c r="C23" s="2425"/>
      <c r="D23" s="55" t="s">
        <v>143</v>
      </c>
    </row>
    <row r="24" spans="2:4" x14ac:dyDescent="0.4">
      <c r="B24" s="2425" t="s">
        <v>111</v>
      </c>
      <c r="C24" s="2425"/>
      <c r="D24" s="50" t="s">
        <v>127</v>
      </c>
    </row>
    <row r="25" spans="2:4" x14ac:dyDescent="0.4">
      <c r="B25" s="2425" t="s">
        <v>113</v>
      </c>
      <c r="C25" s="2425"/>
      <c r="D25" s="55" t="s">
        <v>144</v>
      </c>
    </row>
    <row r="26" spans="2:4" ht="15" customHeight="1" x14ac:dyDescent="0.4">
      <c r="B26" s="2426" t="s">
        <v>115</v>
      </c>
      <c r="C26" s="2426"/>
      <c r="D26" s="50" t="s">
        <v>116</v>
      </c>
    </row>
    <row r="27" spans="2:4" x14ac:dyDescent="0.4">
      <c r="B27" s="2427" t="s">
        <v>117</v>
      </c>
      <c r="C27" s="2428"/>
      <c r="D27" s="49"/>
    </row>
    <row r="28" spans="2:4" ht="63" customHeight="1" x14ac:dyDescent="0.4">
      <c r="B28" s="60" t="s">
        <v>118</v>
      </c>
      <c r="C28" s="61"/>
      <c r="D28" s="49" t="s">
        <v>7991</v>
      </c>
    </row>
    <row r="29" spans="2:4" x14ac:dyDescent="0.4">
      <c r="B29" s="2429" t="s">
        <v>120</v>
      </c>
      <c r="C29" s="2430"/>
      <c r="D29" s="62"/>
    </row>
    <row r="30" spans="2:4" x14ac:dyDescent="0.4">
      <c r="B30" s="63"/>
      <c r="C30" s="63"/>
      <c r="D30" s="64"/>
    </row>
    <row r="31" spans="2:4" ht="19.5" x14ac:dyDescent="0.4">
      <c r="B31" s="3555" t="s">
        <v>121</v>
      </c>
      <c r="C31" s="3555"/>
      <c r="D31" s="3555"/>
    </row>
    <row r="32" spans="2:4" x14ac:dyDescent="0.4">
      <c r="B32" s="2427" t="s">
        <v>122</v>
      </c>
      <c r="C32" s="2428"/>
      <c r="D32" s="50" t="s">
        <v>123</v>
      </c>
    </row>
    <row r="33" spans="1:14" x14ac:dyDescent="0.4">
      <c r="B33" s="2427" t="s">
        <v>124</v>
      </c>
      <c r="C33" s="2428"/>
      <c r="D33" s="50" t="s">
        <v>4704</v>
      </c>
    </row>
    <row r="34" spans="1:14" x14ac:dyDescent="0.4">
      <c r="B34" s="2427" t="s">
        <v>126</v>
      </c>
      <c r="C34" s="2428"/>
      <c r="D34" s="50" t="s">
        <v>127</v>
      </c>
    </row>
    <row r="35" spans="1:14" s="1048" customFormat="1" x14ac:dyDescent="0.4">
      <c r="A35" s="115"/>
      <c r="B35" s="2427" t="s">
        <v>128</v>
      </c>
      <c r="C35" s="2428"/>
      <c r="D35" s="50" t="s">
        <v>2812</v>
      </c>
      <c r="E35" s="115"/>
      <c r="F35" s="115"/>
      <c r="G35" s="115"/>
      <c r="H35" s="115"/>
      <c r="I35" s="115"/>
      <c r="J35" s="115"/>
      <c r="K35" s="115"/>
      <c r="L35" s="115"/>
      <c r="M35" s="115"/>
      <c r="N35" s="115"/>
    </row>
    <row r="36" spans="1:14" s="1048" customFormat="1" x14ac:dyDescent="0.4">
      <c r="A36" s="115"/>
      <c r="B36" s="2427" t="s">
        <v>130</v>
      </c>
      <c r="C36" s="2428"/>
      <c r="D36" s="50" t="s">
        <v>131</v>
      </c>
      <c r="E36" s="115"/>
      <c r="F36" s="115"/>
      <c r="G36" s="115"/>
      <c r="H36" s="115"/>
      <c r="I36" s="115"/>
      <c r="J36" s="115"/>
      <c r="K36" s="115"/>
      <c r="L36" s="115"/>
      <c r="M36" s="115"/>
      <c r="N36" s="115"/>
    </row>
    <row r="37" spans="1:14" s="1048" customFormat="1" x14ac:dyDescent="0.4">
      <c r="A37" s="115"/>
      <c r="B37" s="115"/>
      <c r="C37" s="115"/>
      <c r="D37" s="115"/>
      <c r="E37" s="115"/>
      <c r="F37" s="115"/>
      <c r="G37" s="115"/>
      <c r="H37" s="115"/>
      <c r="I37" s="115"/>
      <c r="J37" s="115"/>
      <c r="K37" s="115"/>
      <c r="L37" s="115"/>
      <c r="M37" s="115"/>
      <c r="N37" s="115"/>
    </row>
    <row r="38" spans="1:14" s="1048" customFormat="1" x14ac:dyDescent="0.4">
      <c r="A38" s="115"/>
      <c r="B38" s="115"/>
      <c r="C38" s="115"/>
      <c r="D38" s="115"/>
      <c r="E38" s="115"/>
      <c r="F38" s="115"/>
      <c r="G38" s="115"/>
      <c r="H38" s="115"/>
      <c r="I38" s="115"/>
      <c r="J38" s="115"/>
      <c r="K38" s="115"/>
      <c r="L38" s="115"/>
      <c r="M38" s="115"/>
      <c r="N38" s="115"/>
    </row>
    <row r="39" spans="1:14" s="1048" customFormat="1" x14ac:dyDescent="0.4">
      <c r="A39" s="115"/>
      <c r="B39" s="115"/>
      <c r="C39" s="115"/>
      <c r="D39" s="115"/>
      <c r="E39" s="115"/>
      <c r="F39" s="115"/>
      <c r="G39" s="115"/>
      <c r="H39" s="115"/>
      <c r="I39" s="115"/>
      <c r="J39" s="115"/>
      <c r="K39" s="115"/>
      <c r="L39" s="115"/>
      <c r="M39" s="115"/>
      <c r="N39" s="115"/>
    </row>
    <row r="40" spans="1:14" s="1048" customFormat="1" x14ac:dyDescent="0.4">
      <c r="A40" s="115"/>
      <c r="B40" s="115"/>
      <c r="C40" s="115"/>
      <c r="D40" s="115"/>
      <c r="E40" s="115"/>
      <c r="F40" s="115"/>
      <c r="G40" s="115"/>
      <c r="H40" s="115"/>
      <c r="I40" s="115"/>
      <c r="J40" s="115"/>
      <c r="K40" s="115"/>
      <c r="L40" s="115"/>
      <c r="M40" s="115"/>
      <c r="N40" s="115"/>
    </row>
    <row r="41" spans="1:14" s="1048" customFormat="1" x14ac:dyDescent="0.4">
      <c r="A41" s="115"/>
      <c r="B41" s="115"/>
      <c r="C41" s="115"/>
      <c r="D41" s="115"/>
      <c r="E41" s="115"/>
      <c r="F41" s="115"/>
      <c r="G41" s="115"/>
      <c r="H41" s="115"/>
      <c r="I41" s="115"/>
      <c r="J41" s="115"/>
      <c r="K41" s="115"/>
      <c r="L41" s="115"/>
      <c r="M41" s="115"/>
      <c r="N41" s="115"/>
    </row>
    <row r="42" spans="1:14" s="1048" customFormat="1" x14ac:dyDescent="0.4">
      <c r="A42" s="115"/>
      <c r="B42" s="115"/>
      <c r="C42" s="115"/>
      <c r="D42" s="115"/>
      <c r="E42" s="115"/>
      <c r="F42" s="115"/>
      <c r="G42" s="115"/>
      <c r="H42" s="115"/>
      <c r="I42" s="115"/>
      <c r="J42" s="115"/>
      <c r="K42" s="115"/>
      <c r="L42" s="115"/>
      <c r="M42" s="115"/>
      <c r="N42" s="115"/>
    </row>
    <row r="43" spans="1:14" s="1048" customFormat="1" x14ac:dyDescent="0.4">
      <c r="A43" s="115"/>
      <c r="B43" s="115"/>
      <c r="C43" s="115"/>
      <c r="D43" s="115"/>
      <c r="E43" s="115"/>
      <c r="F43" s="115"/>
      <c r="G43" s="115"/>
      <c r="H43" s="115"/>
      <c r="I43" s="115"/>
      <c r="J43" s="115"/>
      <c r="K43" s="115"/>
      <c r="L43" s="115"/>
      <c r="M43" s="115"/>
      <c r="N43" s="11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43DF75D6-A617-4876-96A4-85870792B2E4}">
      <formula1>ODS</formula1>
    </dataValidation>
    <dataValidation type="list" allowBlank="1" showInputMessage="1" showErrorMessage="1" sqref="D5" xr:uid="{F72252B2-61ED-44BB-8FEE-839556716D44}">
      <formula1>Metas_ODS</formula1>
    </dataValidation>
    <dataValidation type="list" allowBlank="1" showInputMessage="1" showErrorMessage="1" sqref="D6" xr:uid="{3A7B6962-B46F-4AD8-BC83-2A53054FC2E3}">
      <formula1>Numero_indicador</formula1>
    </dataValidation>
    <dataValidation type="list" allowBlank="1" showInputMessage="1" showErrorMessage="1" sqref="D7" xr:uid="{DF96C6F5-08D9-4EFE-972A-7ABC9822411C}">
      <formula1>Nombre_indicador_ODS</formula1>
    </dataValidation>
    <dataValidation type="list" allowBlank="1" showInputMessage="1" showErrorMessage="1" sqref="D14" xr:uid="{AADFB244-76AB-499D-8819-55A75625C93D}">
      <formula1>Tipo_indicador</formula1>
    </dataValidation>
    <dataValidation type="list" allowBlank="1" showInputMessage="1" showErrorMessage="1" sqref="D25" xr:uid="{67573209-8542-4952-873C-4987DFD4D18F}">
      <formula1>Tipo_operación</formula1>
    </dataValidation>
  </dataValidations>
  <hyperlinks>
    <hyperlink ref="B1" location="'17.8.1'!A1" display="REGRESAR" xr:uid="{8EDC1797-5B30-4A64-A486-E13A7996D5AD}"/>
    <hyperlink ref="D8" r:id="rId1" xr:uid="{4E38DCEC-A276-4970-A6DE-AE11107A5E42}"/>
  </hyperlinks>
  <pageMargins left="0.7" right="0.7" top="0.75" bottom="0.75" header="0.3" footer="0.3"/>
  <drawing r:id="rId2"/>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6A154-9D32-47D6-AF9F-A9F98D57EB41}">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8.42578125" style="115" customWidth="1"/>
    <col min="3" max="3" width="11.28515625" style="1048" customWidth="1"/>
    <col min="4" max="16" width="11.28515625" style="115" customWidth="1"/>
    <col min="17" max="16384" width="11.42578125" style="115"/>
  </cols>
  <sheetData>
    <row r="1" spans="1:16" x14ac:dyDescent="0.4">
      <c r="A1" s="90" t="s">
        <v>39</v>
      </c>
      <c r="B1" s="1311"/>
      <c r="C1" s="2541" t="s">
        <v>149</v>
      </c>
      <c r="D1" s="2541"/>
    </row>
    <row r="3" spans="1:16" ht="17.25" customHeight="1" x14ac:dyDescent="0.4">
      <c r="A3" s="3547" t="s">
        <v>41</v>
      </c>
      <c r="B3" s="3547"/>
      <c r="C3" s="3547" t="s">
        <v>7992</v>
      </c>
      <c r="D3" s="3548"/>
      <c r="E3" s="3548"/>
      <c r="F3" s="3548"/>
      <c r="G3" s="3548"/>
      <c r="H3" s="3548"/>
      <c r="I3" s="3548"/>
      <c r="J3" s="3548"/>
      <c r="K3" s="3548"/>
      <c r="L3" s="3548"/>
      <c r="M3" s="3548"/>
      <c r="N3" s="3548"/>
      <c r="O3" s="3548"/>
      <c r="P3" s="3548"/>
    </row>
    <row r="4" spans="1:16" ht="40.9" customHeight="1" x14ac:dyDescent="0.4">
      <c r="A4" s="3547" t="s">
        <v>42</v>
      </c>
      <c r="B4" s="3548"/>
      <c r="C4" s="3558" t="s">
        <v>7725</v>
      </c>
      <c r="D4" s="3559"/>
      <c r="E4" s="3559"/>
      <c r="F4" s="3559"/>
      <c r="G4" s="3559"/>
      <c r="H4" s="3559"/>
      <c r="I4" s="3559"/>
      <c r="J4" s="3559"/>
      <c r="K4" s="3559"/>
      <c r="L4" s="3559"/>
      <c r="M4" s="3559"/>
      <c r="N4" s="3559"/>
      <c r="O4" s="3559"/>
      <c r="P4" s="3559"/>
    </row>
    <row r="5" spans="1:16" ht="19.899999999999999" customHeight="1" x14ac:dyDescent="0.4">
      <c r="A5" s="3547" t="s">
        <v>43</v>
      </c>
      <c r="B5" s="3548"/>
      <c r="C5" s="3547" t="s">
        <v>7727</v>
      </c>
      <c r="D5" s="3548"/>
      <c r="E5" s="3548"/>
      <c r="F5" s="3548"/>
      <c r="G5" s="3548"/>
      <c r="H5" s="3548"/>
      <c r="I5" s="3548"/>
      <c r="J5" s="3548"/>
      <c r="K5" s="3548"/>
      <c r="L5" s="3548"/>
      <c r="M5" s="3548"/>
      <c r="N5" s="3548"/>
      <c r="O5" s="3548"/>
      <c r="P5" s="3548"/>
    </row>
    <row r="6" spans="1:16" ht="19.5" x14ac:dyDescent="0.4">
      <c r="A6" s="3547" t="s">
        <v>132</v>
      </c>
      <c r="B6" s="3548"/>
      <c r="C6" s="3547" t="s">
        <v>242</v>
      </c>
      <c r="D6" s="3548"/>
      <c r="E6" s="3548"/>
      <c r="F6" s="3548"/>
      <c r="G6" s="3548"/>
      <c r="H6" s="3548"/>
      <c r="I6" s="3548"/>
      <c r="J6" s="3548"/>
      <c r="K6" s="3548"/>
      <c r="L6" s="3548"/>
      <c r="M6" s="3548"/>
      <c r="N6" s="3548"/>
      <c r="O6" s="3548"/>
      <c r="P6" s="3548"/>
    </row>
    <row r="7" spans="1:16" x14ac:dyDescent="0.4">
      <c r="A7" s="536"/>
    </row>
    <row r="8" spans="1:16" x14ac:dyDescent="0.4">
      <c r="A8" s="536"/>
    </row>
    <row r="9" spans="1:16" ht="11.25" customHeight="1" x14ac:dyDescent="0.4">
      <c r="A9" s="536"/>
      <c r="C9" s="2506" t="s">
        <v>650</v>
      </c>
      <c r="D9" s="2506"/>
      <c r="E9" s="2506"/>
      <c r="F9" s="2506"/>
      <c r="G9" s="2506"/>
      <c r="H9" s="2506"/>
      <c r="I9" s="2506"/>
      <c r="J9" s="2506"/>
      <c r="K9" s="2506"/>
      <c r="L9" s="2506"/>
      <c r="M9" s="2506"/>
      <c r="N9" s="2506"/>
      <c r="O9" s="2506"/>
      <c r="P9" s="2506"/>
    </row>
    <row r="10" spans="1:16" ht="11.25" customHeight="1" x14ac:dyDescent="0.4">
      <c r="A10" s="536"/>
      <c r="C10" s="2506"/>
      <c r="D10" s="2506"/>
      <c r="E10" s="2506"/>
      <c r="F10" s="2506"/>
      <c r="G10" s="2506"/>
      <c r="H10" s="2506"/>
      <c r="I10" s="2506"/>
      <c r="J10" s="2506"/>
      <c r="K10" s="2506"/>
      <c r="L10" s="2506"/>
      <c r="M10" s="2506"/>
      <c r="N10" s="2506"/>
      <c r="O10" s="2506"/>
      <c r="P10" s="2506"/>
    </row>
    <row r="11" spans="1:16" x14ac:dyDescent="0.4">
      <c r="A11" s="536"/>
    </row>
    <row r="12" spans="1:16" x14ac:dyDescent="0.4">
      <c r="A12" s="536"/>
    </row>
    <row r="13" spans="1:16" ht="17.45" customHeight="1" x14ac:dyDescent="0.4">
      <c r="A13" s="536"/>
      <c r="C13" s="2506" t="s">
        <v>5814</v>
      </c>
      <c r="D13" s="2506"/>
      <c r="E13" s="2506"/>
      <c r="F13" s="2506"/>
      <c r="G13" s="2506"/>
      <c r="H13" s="2506"/>
      <c r="I13" s="2506"/>
      <c r="J13" s="2506"/>
      <c r="K13" s="2506"/>
      <c r="L13" s="2506"/>
      <c r="M13" s="2506"/>
      <c r="N13" s="2506"/>
      <c r="O13" s="2506"/>
      <c r="P13" s="2506"/>
    </row>
    <row r="14" spans="1:16" x14ac:dyDescent="0.4">
      <c r="A14" s="536"/>
      <c r="C14" s="2506"/>
      <c r="D14" s="2506"/>
      <c r="E14" s="2506"/>
      <c r="F14" s="2506"/>
      <c r="G14" s="2506"/>
      <c r="H14" s="2506"/>
      <c r="I14" s="2506"/>
      <c r="J14" s="2506"/>
      <c r="K14" s="2506"/>
      <c r="L14" s="2506"/>
      <c r="M14" s="2506"/>
      <c r="N14" s="2506"/>
      <c r="O14" s="2506"/>
      <c r="P14" s="2506"/>
    </row>
    <row r="15" spans="1:16" x14ac:dyDescent="0.4">
      <c r="A15" s="536"/>
      <c r="C15" s="2506"/>
      <c r="D15" s="2506"/>
      <c r="E15" s="2506"/>
      <c r="F15" s="2506"/>
      <c r="G15" s="2506"/>
      <c r="H15" s="2506"/>
      <c r="I15" s="2506"/>
      <c r="J15" s="2506"/>
      <c r="K15" s="2506"/>
      <c r="L15" s="2506"/>
      <c r="M15" s="2506"/>
      <c r="N15" s="2506"/>
      <c r="O15" s="2506"/>
      <c r="P15" s="2506"/>
    </row>
    <row r="16" spans="1:16" x14ac:dyDescent="0.4">
      <c r="A16" s="536"/>
      <c r="C16" s="2506"/>
      <c r="D16" s="2506"/>
      <c r="E16" s="2506"/>
      <c r="F16" s="2506"/>
      <c r="G16" s="2506"/>
      <c r="H16" s="2506"/>
      <c r="I16" s="2506"/>
      <c r="J16" s="2506"/>
      <c r="K16" s="2506"/>
      <c r="L16" s="2506"/>
      <c r="M16" s="2506"/>
      <c r="N16" s="2506"/>
      <c r="O16" s="2506"/>
      <c r="P16" s="2506"/>
    </row>
    <row r="17" spans="1:17" x14ac:dyDescent="0.4">
      <c r="A17" s="536"/>
      <c r="C17" s="221"/>
      <c r="D17" s="220"/>
      <c r="E17" s="220"/>
      <c r="F17" s="220"/>
      <c r="G17" s="220"/>
      <c r="H17" s="220"/>
      <c r="I17" s="220"/>
      <c r="J17" s="220"/>
      <c r="K17" s="220"/>
      <c r="L17" s="220"/>
      <c r="M17" s="220"/>
      <c r="N17" s="220"/>
      <c r="O17" s="220"/>
      <c r="P17" s="220"/>
      <c r="Q17" s="220"/>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c r="C19" s="221"/>
      <c r="D19" s="220"/>
      <c r="E19" s="220"/>
      <c r="F19" s="220"/>
      <c r="G19" s="220"/>
      <c r="H19" s="220"/>
      <c r="I19" s="220"/>
      <c r="J19" s="220"/>
      <c r="K19" s="220"/>
      <c r="L19" s="220"/>
      <c r="M19" s="220"/>
      <c r="N19" s="220"/>
      <c r="O19" s="220"/>
      <c r="P19" s="220"/>
      <c r="Q19" s="220"/>
    </row>
    <row r="20" spans="1:17" x14ac:dyDescent="0.4">
      <c r="A20" s="536"/>
      <c r="C20" s="221"/>
      <c r="D20" s="220"/>
      <c r="E20" s="220"/>
      <c r="F20" s="220"/>
      <c r="G20" s="220"/>
      <c r="H20" s="220"/>
      <c r="I20" s="220"/>
      <c r="J20" s="220"/>
      <c r="K20" s="220"/>
      <c r="L20" s="220"/>
      <c r="M20" s="220"/>
      <c r="N20" s="220"/>
      <c r="O20" s="220"/>
      <c r="P20" s="220"/>
      <c r="Q20" s="220"/>
    </row>
    <row r="21" spans="1:17" x14ac:dyDescent="0.4">
      <c r="C21" s="221"/>
      <c r="D21" s="220"/>
      <c r="E21" s="220"/>
      <c r="F21" s="220"/>
      <c r="G21" s="220"/>
      <c r="H21" s="220"/>
      <c r="I21" s="220"/>
      <c r="J21" s="220"/>
      <c r="K21" s="220"/>
      <c r="L21" s="220"/>
      <c r="M21" s="220"/>
      <c r="N21" s="220"/>
      <c r="O21" s="220"/>
      <c r="P21" s="220"/>
      <c r="Q21" s="220"/>
    </row>
    <row r="22" spans="1:17" x14ac:dyDescent="0.4">
      <c r="C22" s="221"/>
      <c r="D22" s="220"/>
      <c r="E22" s="220"/>
      <c r="F22" s="220"/>
      <c r="G22" s="220"/>
      <c r="H22" s="220"/>
      <c r="I22" s="220"/>
      <c r="J22" s="220"/>
      <c r="K22" s="220"/>
      <c r="L22" s="220"/>
      <c r="M22" s="220"/>
      <c r="N22" s="220"/>
      <c r="O22" s="220"/>
      <c r="P22" s="220"/>
      <c r="Q22" s="220"/>
    </row>
    <row r="23" spans="1:17" x14ac:dyDescent="0.4">
      <c r="C23" s="2494" t="s">
        <v>316</v>
      </c>
      <c r="D23" s="2494"/>
      <c r="E23" s="2494"/>
      <c r="F23" s="2494"/>
      <c r="G23" s="2494"/>
      <c r="H23" s="2494"/>
      <c r="I23" s="2494"/>
      <c r="J23" s="2494"/>
      <c r="K23" s="2494"/>
      <c r="L23" s="2494"/>
      <c r="M23" s="2494"/>
      <c r="N23" s="2494"/>
      <c r="O23" s="2494"/>
      <c r="P23" s="2494"/>
      <c r="Q23" s="2494"/>
    </row>
    <row r="24" spans="1:17" x14ac:dyDescent="0.4">
      <c r="C24" s="221"/>
      <c r="D24" s="220"/>
      <c r="E24" s="220"/>
      <c r="F24" s="220"/>
      <c r="G24" s="220"/>
      <c r="H24" s="220"/>
      <c r="I24" s="220"/>
      <c r="J24" s="220"/>
      <c r="K24" s="220"/>
      <c r="L24" s="220"/>
      <c r="M24" s="220"/>
      <c r="N24" s="220"/>
      <c r="O24" s="220"/>
      <c r="P24" s="220"/>
      <c r="Q24" s="220"/>
    </row>
  </sheetData>
  <mergeCells count="12">
    <mergeCell ref="A5:B5"/>
    <mergeCell ref="C5:P5"/>
    <mergeCell ref="C1:D1"/>
    <mergeCell ref="A3:B3"/>
    <mergeCell ref="C3:P3"/>
    <mergeCell ref="A4:B4"/>
    <mergeCell ref="C4:P4"/>
    <mergeCell ref="A6:B6"/>
    <mergeCell ref="C6:P6"/>
    <mergeCell ref="C9:P10"/>
    <mergeCell ref="C13:P16"/>
    <mergeCell ref="C23:Q23"/>
  </mergeCells>
  <hyperlinks>
    <hyperlink ref="A1" location="'ODS 17.'!A1" display="REGRESAR" xr:uid="{C67AD2AC-CF86-4A69-B57D-D3601F410596}"/>
    <hyperlink ref="C1:D1" location="'Metadato 17.9.1'!A1" display="VER METADATO" xr:uid="{4C2DFCA8-7B43-4172-9836-F1494A8C8BE2}"/>
  </hyperlinks>
  <pageMargins left="0.7" right="0.7" top="0.75" bottom="0.75" header="0.3" footer="0.3"/>
  <drawing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E2C1-7ADA-47EB-9820-B8D0F84C7CB1}">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63.75" customHeight="1" x14ac:dyDescent="0.4">
      <c r="B5" s="2425" t="s">
        <v>79</v>
      </c>
      <c r="C5" s="2425"/>
      <c r="D5" s="49" t="s">
        <v>7725</v>
      </c>
    </row>
    <row r="6" spans="2:6" x14ac:dyDescent="0.4">
      <c r="B6" s="2425" t="s">
        <v>80</v>
      </c>
      <c r="C6" s="2425"/>
      <c r="D6" s="50" t="s">
        <v>7726</v>
      </c>
    </row>
    <row r="7" spans="2:6" ht="37.5" x14ac:dyDescent="0.4">
      <c r="B7" s="2426" t="s">
        <v>81</v>
      </c>
      <c r="C7" s="2426"/>
      <c r="D7" s="93" t="s">
        <v>7727</v>
      </c>
    </row>
    <row r="8" spans="2:6" x14ac:dyDescent="0.4">
      <c r="B8" s="2426" t="s">
        <v>82</v>
      </c>
      <c r="C8" s="2426"/>
      <c r="D8" s="1047" t="s">
        <v>7993</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ht="45" customHeight="1" x14ac:dyDescent="0.4">
      <c r="B22" s="2433"/>
      <c r="C22" s="58" t="s">
        <v>107</v>
      </c>
      <c r="D22" s="55"/>
    </row>
    <row r="23" spans="2:4" x14ac:dyDescent="0.4">
      <c r="B23" s="2425" t="s">
        <v>109</v>
      </c>
      <c r="C23" s="2425"/>
      <c r="D23" s="49"/>
    </row>
    <row r="24" spans="2:4" x14ac:dyDescent="0.4">
      <c r="B24" s="2425" t="s">
        <v>111</v>
      </c>
      <c r="C24" s="2425"/>
      <c r="D24" s="49"/>
    </row>
    <row r="25" spans="2:4" x14ac:dyDescent="0.4">
      <c r="B25" s="2425" t="s">
        <v>113</v>
      </c>
      <c r="C25" s="2425"/>
      <c r="D25" s="55"/>
    </row>
    <row r="26" spans="2:4" x14ac:dyDescent="0.4">
      <c r="B26" s="2426" t="s">
        <v>115</v>
      </c>
      <c r="C26" s="2426"/>
      <c r="D26" s="49"/>
    </row>
    <row r="27" spans="2:4" x14ac:dyDescent="0.4">
      <c r="B27" s="2427" t="s">
        <v>117</v>
      </c>
      <c r="C27" s="2428"/>
      <c r="D27" s="49"/>
    </row>
    <row r="28" spans="2:4" ht="75" x14ac:dyDescent="0.4">
      <c r="B28" s="60" t="s">
        <v>118</v>
      </c>
      <c r="C28" s="61"/>
      <c r="D28" s="55" t="s">
        <v>7994</v>
      </c>
    </row>
    <row r="29" spans="2:4" x14ac:dyDescent="0.4">
      <c r="B29" s="2429" t="s">
        <v>120</v>
      </c>
      <c r="C29" s="2430"/>
      <c r="D29" s="55"/>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482B6785-7085-4F31-A519-F96E37E292A2}"/>
    <dataValidation type="list" allowBlank="1" showInputMessage="1" showErrorMessage="1" sqref="D4" xr:uid="{AA3834E7-09C6-43A9-BD94-290CD3F25645}">
      <formula1>ODS</formula1>
    </dataValidation>
    <dataValidation type="list" allowBlank="1" showInputMessage="1" showErrorMessage="1" sqref="D5" xr:uid="{3ABC93EB-D7DE-4EE9-9840-631F517C6222}">
      <formula1>Metas_ODS</formula1>
    </dataValidation>
    <dataValidation type="list" allowBlank="1" showInputMessage="1" showErrorMessage="1" sqref="D6" xr:uid="{179A1951-0FB0-4F23-8C8C-614942F7FABB}">
      <formula1>Numero_indicador</formula1>
    </dataValidation>
    <dataValidation type="list" allowBlank="1" showInputMessage="1" showErrorMessage="1" sqref="D7" xr:uid="{E2777935-6C8A-4BDF-84C7-241BACC5040E}">
      <formula1>Nombre_indicador_ODS</formula1>
    </dataValidation>
    <dataValidation type="list" allowBlank="1" showInputMessage="1" showErrorMessage="1" sqref="D14" xr:uid="{8A3478E1-2F14-4F06-B5D1-89CDA349257D}">
      <formula1>Tipo_indicador</formula1>
    </dataValidation>
    <dataValidation type="list" allowBlank="1" showInputMessage="1" showErrorMessage="1" sqref="D25" xr:uid="{13C680F8-0F07-44B3-86C5-0DD4FE4E7BA2}">
      <formula1>Tipo_operación</formula1>
    </dataValidation>
  </dataValidations>
  <hyperlinks>
    <hyperlink ref="B1" location="'17.9.1'!A1" display="REGRESAR" xr:uid="{FF6AA11E-FDD9-4935-B4F1-B448EDAF3716}"/>
    <hyperlink ref="D8" r:id="rId1" xr:uid="{4138B3F3-1F5D-482D-977E-FCFD3DE207AC}"/>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9F3A-5D68-40A5-9C65-E28A0FA2CCD7}">
  <sheetPr>
    <tabColor rgb="FF7030A0"/>
  </sheetPr>
  <dimension ref="A1:P32"/>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5703125" style="16" customWidth="1"/>
    <col min="3" max="3" width="11.7109375" style="218" customWidth="1"/>
    <col min="4" max="5" width="11.7109375" style="16" customWidth="1"/>
    <col min="6" max="16384" width="11.42578125" style="16"/>
  </cols>
  <sheetData>
    <row r="1" spans="1:16" x14ac:dyDescent="0.4">
      <c r="A1" s="15" t="s">
        <v>39</v>
      </c>
      <c r="B1" s="161"/>
      <c r="C1" s="2421" t="s">
        <v>149</v>
      </c>
      <c r="D1" s="2421"/>
    </row>
    <row r="3" spans="1:16" x14ac:dyDescent="0.4">
      <c r="A3" s="2508" t="s">
        <v>41</v>
      </c>
      <c r="B3" s="2508"/>
      <c r="C3" s="2508" t="s">
        <v>396</v>
      </c>
      <c r="D3" s="2508"/>
      <c r="E3" s="2508"/>
      <c r="F3" s="2508"/>
      <c r="G3" s="2508"/>
      <c r="H3" s="2508"/>
      <c r="I3" s="2508"/>
      <c r="J3" s="2508"/>
      <c r="K3" s="2508"/>
      <c r="L3" s="2508"/>
      <c r="M3" s="2508"/>
      <c r="N3" s="2508"/>
      <c r="O3" s="2508"/>
      <c r="P3" s="2508"/>
    </row>
    <row r="4" spans="1:16" ht="39" customHeight="1" x14ac:dyDescent="0.4">
      <c r="A4" s="2508" t="s">
        <v>42</v>
      </c>
      <c r="B4" s="2508"/>
      <c r="C4" s="2509" t="s">
        <v>422</v>
      </c>
      <c r="D4" s="2509"/>
      <c r="E4" s="2509"/>
      <c r="F4" s="2509"/>
      <c r="G4" s="2509"/>
      <c r="H4" s="2509"/>
      <c r="I4" s="2509"/>
      <c r="J4" s="2509"/>
      <c r="K4" s="2509"/>
      <c r="L4" s="2509"/>
      <c r="M4" s="2509"/>
      <c r="N4" s="2509"/>
      <c r="O4" s="2509"/>
      <c r="P4" s="2509"/>
    </row>
    <row r="5" spans="1:16" x14ac:dyDescent="0.4">
      <c r="A5" s="2508" t="s">
        <v>43</v>
      </c>
      <c r="B5" s="2508"/>
      <c r="C5" s="2508" t="s">
        <v>649</v>
      </c>
      <c r="D5" s="2508"/>
      <c r="E5" s="2508"/>
      <c r="F5" s="2508"/>
      <c r="G5" s="2508"/>
      <c r="H5" s="2508"/>
      <c r="I5" s="2508"/>
      <c r="J5" s="2508"/>
      <c r="K5" s="2508"/>
      <c r="L5" s="2508"/>
      <c r="M5" s="2508"/>
      <c r="N5" s="2508"/>
      <c r="O5" s="2508"/>
      <c r="P5" s="2508"/>
    </row>
    <row r="6" spans="1:16" x14ac:dyDescent="0.4">
      <c r="A6" s="2508" t="s">
        <v>132</v>
      </c>
      <c r="B6" s="2508"/>
      <c r="C6" s="2508"/>
      <c r="D6" s="2508"/>
      <c r="E6" s="2508"/>
      <c r="F6" s="2508"/>
      <c r="G6" s="2508"/>
      <c r="H6" s="2508"/>
      <c r="I6" s="2508"/>
      <c r="J6" s="2508"/>
      <c r="K6" s="2508"/>
      <c r="L6" s="2508"/>
      <c r="M6" s="2508"/>
      <c r="N6" s="2508"/>
      <c r="O6" s="2508"/>
      <c r="P6" s="2508"/>
    </row>
    <row r="7" spans="1:16" x14ac:dyDescent="0.4">
      <c r="A7" s="363"/>
    </row>
    <row r="8" spans="1:16" x14ac:dyDescent="0.4">
      <c r="A8" s="217"/>
    </row>
    <row r="9" spans="1:16" ht="11.25" customHeight="1" x14ac:dyDescent="0.4">
      <c r="A9" s="217"/>
      <c r="C9" s="2506" t="s">
        <v>650</v>
      </c>
      <c r="D9" s="2506"/>
      <c r="E9" s="2506"/>
      <c r="F9" s="2506"/>
      <c r="G9" s="2506"/>
      <c r="H9" s="2506"/>
      <c r="I9" s="2506"/>
      <c r="J9" s="2506"/>
      <c r="K9" s="2506"/>
      <c r="L9" s="2506"/>
      <c r="M9" s="2506"/>
      <c r="N9" s="2506"/>
      <c r="O9" s="2506"/>
      <c r="P9" s="2506"/>
    </row>
    <row r="10" spans="1:16" ht="11.25" customHeight="1" x14ac:dyDescent="0.4">
      <c r="A10" s="217"/>
      <c r="C10" s="2506"/>
      <c r="D10" s="2506"/>
      <c r="E10" s="2506"/>
      <c r="F10" s="2506"/>
      <c r="G10" s="2506"/>
      <c r="H10" s="2506"/>
      <c r="I10" s="2506"/>
      <c r="J10" s="2506"/>
      <c r="K10" s="2506"/>
      <c r="L10" s="2506"/>
      <c r="M10" s="2506"/>
      <c r="N10" s="2506"/>
      <c r="O10" s="2506"/>
      <c r="P10" s="2506"/>
    </row>
    <row r="11" spans="1:16" x14ac:dyDescent="0.4">
      <c r="A11" s="217"/>
    </row>
    <row r="12" spans="1:16" ht="11.25" customHeight="1" x14ac:dyDescent="0.4">
      <c r="A12" s="217"/>
    </row>
    <row r="13" spans="1:16" ht="11.25" customHeight="1" x14ac:dyDescent="0.4">
      <c r="A13" s="217"/>
      <c r="C13" s="2493" t="s">
        <v>651</v>
      </c>
      <c r="D13" s="2493"/>
      <c r="E13" s="2493"/>
      <c r="F13" s="2493"/>
      <c r="G13" s="2493"/>
      <c r="H13" s="2493"/>
      <c r="I13" s="2493"/>
      <c r="J13" s="2493"/>
      <c r="K13" s="2493"/>
      <c r="L13" s="2493"/>
      <c r="M13" s="2493"/>
      <c r="N13" s="2493"/>
      <c r="O13" s="374"/>
    </row>
    <row r="14" spans="1:16" ht="11.25" customHeight="1" x14ac:dyDescent="0.4">
      <c r="A14" s="217"/>
      <c r="C14" s="2493"/>
      <c r="D14" s="2493"/>
      <c r="E14" s="2493"/>
      <c r="F14" s="2493"/>
      <c r="G14" s="2493"/>
      <c r="H14" s="2493"/>
      <c r="I14" s="2493"/>
      <c r="J14" s="2493"/>
      <c r="K14" s="2493"/>
      <c r="L14" s="2493"/>
      <c r="M14" s="2493"/>
      <c r="N14" s="2493"/>
      <c r="O14" s="374"/>
    </row>
    <row r="15" spans="1:16" ht="11.25" customHeight="1" x14ac:dyDescent="0.4">
      <c r="A15" s="217"/>
      <c r="C15" s="2493"/>
      <c r="D15" s="2493"/>
      <c r="E15" s="2493"/>
      <c r="F15" s="2493"/>
      <c r="G15" s="2493"/>
      <c r="H15" s="2493"/>
      <c r="I15" s="2493"/>
      <c r="J15" s="2493"/>
      <c r="K15" s="2493"/>
      <c r="L15" s="2493"/>
      <c r="M15" s="2493"/>
      <c r="N15" s="2493"/>
      <c r="O15" s="374"/>
    </row>
    <row r="16" spans="1:16" x14ac:dyDescent="0.4">
      <c r="A16" s="217"/>
      <c r="C16" s="2493"/>
      <c r="D16" s="2493"/>
      <c r="E16" s="2493"/>
      <c r="F16" s="2493"/>
      <c r="G16" s="2493"/>
      <c r="H16" s="2493"/>
      <c r="I16" s="2493"/>
      <c r="J16" s="2493"/>
      <c r="K16" s="2493"/>
      <c r="L16" s="2493"/>
      <c r="M16" s="2493"/>
      <c r="N16" s="2493"/>
      <c r="O16" s="374"/>
    </row>
    <row r="17" spans="1:15" x14ac:dyDescent="0.4">
      <c r="A17" s="217"/>
      <c r="C17" s="2493"/>
      <c r="D17" s="2493"/>
      <c r="E17" s="2493"/>
      <c r="F17" s="2493"/>
      <c r="G17" s="2493"/>
      <c r="H17" s="2493"/>
      <c r="I17" s="2493"/>
      <c r="J17" s="2493"/>
      <c r="K17" s="2493"/>
      <c r="L17" s="2493"/>
      <c r="M17" s="2493"/>
      <c r="N17" s="2493"/>
      <c r="O17" s="374"/>
    </row>
    <row r="18" spans="1:15" x14ac:dyDescent="0.4">
      <c r="A18" s="217"/>
      <c r="C18" s="2493"/>
      <c r="D18" s="2493"/>
      <c r="E18" s="2493"/>
      <c r="F18" s="2493"/>
      <c r="G18" s="2493"/>
      <c r="H18" s="2493"/>
      <c r="I18" s="2493"/>
      <c r="J18" s="2493"/>
      <c r="K18" s="2493"/>
      <c r="L18" s="2493"/>
      <c r="M18" s="2493"/>
      <c r="N18" s="2493"/>
      <c r="O18" s="374"/>
    </row>
    <row r="19" spans="1:15" x14ac:dyDescent="0.4">
      <c r="A19" s="217"/>
      <c r="C19" s="2493"/>
      <c r="D19" s="2493"/>
      <c r="E19" s="2493"/>
      <c r="F19" s="2493"/>
      <c r="G19" s="2493"/>
      <c r="H19" s="2493"/>
      <c r="I19" s="2493"/>
      <c r="J19" s="2493"/>
      <c r="K19" s="2493"/>
      <c r="L19" s="2493"/>
      <c r="M19" s="2493"/>
      <c r="N19" s="2493"/>
      <c r="O19" s="374"/>
    </row>
    <row r="20" spans="1:15" x14ac:dyDescent="0.4">
      <c r="A20" s="217"/>
    </row>
    <row r="21" spans="1:15" x14ac:dyDescent="0.4">
      <c r="A21" s="221"/>
      <c r="B21" s="220"/>
      <c r="C21" s="220"/>
      <c r="D21" s="220"/>
      <c r="E21" s="220"/>
      <c r="F21" s="220"/>
      <c r="G21" s="220"/>
      <c r="H21" s="220"/>
      <c r="I21" s="220"/>
      <c r="J21" s="220"/>
      <c r="K21" s="220"/>
      <c r="L21" s="220"/>
      <c r="M21" s="220"/>
      <c r="N21" s="220"/>
      <c r="O21" s="220"/>
    </row>
    <row r="22" spans="1:15" x14ac:dyDescent="0.4">
      <c r="A22" s="221"/>
      <c r="B22" s="220"/>
      <c r="C22" s="220"/>
      <c r="D22" s="220"/>
      <c r="E22" s="220"/>
      <c r="F22" s="220"/>
      <c r="G22" s="220"/>
      <c r="H22" s="220"/>
      <c r="I22" s="220"/>
      <c r="J22" s="220"/>
      <c r="K22" s="220"/>
      <c r="L22" s="220"/>
      <c r="M22" s="220"/>
      <c r="N22" s="220"/>
      <c r="O22" s="220"/>
    </row>
    <row r="23" spans="1:15" x14ac:dyDescent="0.4">
      <c r="A23" s="221"/>
      <c r="B23" s="220"/>
      <c r="C23" s="220"/>
      <c r="D23" s="220"/>
      <c r="E23" s="220"/>
      <c r="F23" s="220"/>
      <c r="G23" s="220"/>
      <c r="H23" s="220"/>
      <c r="I23" s="220"/>
      <c r="J23" s="220"/>
      <c r="K23" s="220"/>
      <c r="L23" s="220"/>
      <c r="M23" s="220"/>
      <c r="N23" s="220"/>
      <c r="O23" s="220"/>
    </row>
    <row r="24" spans="1:15" x14ac:dyDescent="0.4">
      <c r="A24" s="221"/>
      <c r="B24" s="220"/>
      <c r="C24" s="220"/>
      <c r="D24" s="220"/>
      <c r="E24" s="220"/>
      <c r="F24" s="220"/>
      <c r="G24" s="220"/>
      <c r="H24" s="220"/>
      <c r="I24" s="220"/>
      <c r="J24" s="220"/>
      <c r="K24" s="220"/>
      <c r="L24" s="220"/>
      <c r="M24" s="220"/>
      <c r="N24" s="220"/>
      <c r="O24" s="220"/>
    </row>
    <row r="25" spans="1:15" x14ac:dyDescent="0.4">
      <c r="A25" s="221"/>
      <c r="B25" s="220"/>
      <c r="C25" s="220"/>
      <c r="D25" s="220"/>
      <c r="E25" s="220"/>
      <c r="F25" s="220"/>
      <c r="G25" s="220"/>
      <c r="H25" s="220"/>
      <c r="I25" s="220"/>
      <c r="J25" s="220"/>
      <c r="K25" s="220"/>
      <c r="L25" s="220"/>
      <c r="M25" s="220"/>
      <c r="N25" s="220"/>
      <c r="O25" s="220"/>
    </row>
    <row r="26" spans="1:15" x14ac:dyDescent="0.4">
      <c r="A26" s="2494" t="s">
        <v>652</v>
      </c>
      <c r="B26" s="2494"/>
      <c r="C26" s="2494"/>
      <c r="D26" s="2494"/>
      <c r="E26" s="2494"/>
      <c r="F26" s="2494"/>
      <c r="G26" s="2494"/>
      <c r="H26" s="2494"/>
      <c r="I26" s="2494"/>
      <c r="J26" s="2494"/>
      <c r="K26" s="2494"/>
      <c r="L26" s="2494"/>
      <c r="M26" s="2494"/>
      <c r="N26" s="2494"/>
      <c r="O26" s="2494"/>
    </row>
    <row r="27" spans="1:15" x14ac:dyDescent="0.4">
      <c r="A27" s="217"/>
    </row>
    <row r="28" spans="1:15" x14ac:dyDescent="0.4">
      <c r="A28" s="217"/>
    </row>
    <row r="29" spans="1:15" x14ac:dyDescent="0.4">
      <c r="A29" s="217"/>
    </row>
    <row r="30" spans="1:15" x14ac:dyDescent="0.4">
      <c r="A30" s="217"/>
    </row>
    <row r="31" spans="1:15" x14ac:dyDescent="0.4">
      <c r="A31" s="217"/>
    </row>
    <row r="32" spans="1:15" x14ac:dyDescent="0.4">
      <c r="A32" s="217"/>
    </row>
  </sheetData>
  <mergeCells count="12">
    <mergeCell ref="A5:B5"/>
    <mergeCell ref="C5:P5"/>
    <mergeCell ref="C1:D1"/>
    <mergeCell ref="A3:B3"/>
    <mergeCell ref="C3:P3"/>
    <mergeCell ref="A4:B4"/>
    <mergeCell ref="C4:P4"/>
    <mergeCell ref="A6:B6"/>
    <mergeCell ref="C6:P6"/>
    <mergeCell ref="C9:P10"/>
    <mergeCell ref="C13:N19"/>
    <mergeCell ref="A26:O26"/>
  </mergeCells>
  <hyperlinks>
    <hyperlink ref="A1" location="'ODS 2.'!A1" display="REGRESAR" xr:uid="{4858020F-80D1-4A87-BAF3-786B8A90EE16}"/>
    <hyperlink ref="C1" location="'Metadato 2.a.2'!A1" display="VER METADATO" xr:uid="{B946AD44-37C0-4EBE-9108-C467EAC5FD39}"/>
  </hyperlinks>
  <pageMargins left="0.7" right="0.7" top="0.75" bottom="0.75" header="0.3" footer="0.3"/>
  <pageSetup paperSize="9" orientation="portrait" r:id="rId1"/>
  <drawing r:id="rId2"/>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A44A7-9C26-4A30-8FEF-179FE01E376D}">
  <dimension ref="A1:P44"/>
  <sheetViews>
    <sheetView showGridLines="0" workbookViewId="0">
      <pane ySplit="1" topLeftCell="A2" activePane="bottomLeft" state="frozen"/>
      <selection activeCell="B1" sqref="B1"/>
      <selection pane="bottomLeft"/>
    </sheetView>
  </sheetViews>
  <sheetFormatPr baseColWidth="10" defaultColWidth="11.42578125" defaultRowHeight="18.75" x14ac:dyDescent="0.4"/>
  <cols>
    <col min="1" max="1" width="15.28515625" style="115" customWidth="1"/>
    <col min="2" max="2" width="18.28515625" style="115" customWidth="1"/>
    <col min="3" max="3" width="11.5703125" style="1048" customWidth="1"/>
    <col min="4" max="5" width="11.5703125" style="115" customWidth="1"/>
    <col min="6" max="16384" width="11.42578125" style="115"/>
  </cols>
  <sheetData>
    <row r="1" spans="1:16" x14ac:dyDescent="0.4">
      <c r="A1" s="90" t="s">
        <v>39</v>
      </c>
      <c r="B1" s="1311"/>
      <c r="C1" s="2541" t="s">
        <v>149</v>
      </c>
      <c r="D1" s="2541"/>
    </row>
    <row r="3" spans="1:16" ht="19.899999999999999" customHeight="1" x14ac:dyDescent="0.4">
      <c r="A3" s="3547" t="s">
        <v>41</v>
      </c>
      <c r="B3" s="3547"/>
      <c r="C3" s="3547" t="s">
        <v>7992</v>
      </c>
      <c r="D3" s="3548"/>
      <c r="E3" s="3548"/>
      <c r="F3" s="3548"/>
      <c r="G3" s="3548"/>
      <c r="H3" s="3548"/>
      <c r="I3" s="3548"/>
      <c r="J3" s="3548"/>
      <c r="K3" s="3548"/>
      <c r="L3" s="3548"/>
      <c r="M3" s="3548"/>
      <c r="N3" s="3548"/>
      <c r="O3" s="3548"/>
      <c r="P3" s="3548"/>
    </row>
    <row r="4" spans="1:16" ht="37.9" customHeight="1" x14ac:dyDescent="0.4">
      <c r="A4" s="3547" t="s">
        <v>42</v>
      </c>
      <c r="B4" s="3548"/>
      <c r="C4" s="3558" t="s">
        <v>7728</v>
      </c>
      <c r="D4" s="3559"/>
      <c r="E4" s="3559"/>
      <c r="F4" s="3559"/>
      <c r="G4" s="3559"/>
      <c r="H4" s="3559"/>
      <c r="I4" s="3559"/>
      <c r="J4" s="3559"/>
      <c r="K4" s="3559"/>
      <c r="L4" s="3559"/>
      <c r="M4" s="3559"/>
      <c r="N4" s="3559"/>
      <c r="O4" s="3559"/>
      <c r="P4" s="3559"/>
    </row>
    <row r="5" spans="1:16" ht="18.600000000000001" customHeight="1" x14ac:dyDescent="0.4">
      <c r="A5" s="3547" t="s">
        <v>43</v>
      </c>
      <c r="B5" s="3548"/>
      <c r="C5" s="3547" t="s">
        <v>7730</v>
      </c>
      <c r="D5" s="3548"/>
      <c r="E5" s="3548"/>
      <c r="F5" s="3548"/>
      <c r="G5" s="3548"/>
      <c r="H5" s="3548"/>
      <c r="I5" s="3548"/>
      <c r="J5" s="3548"/>
      <c r="K5" s="3548"/>
      <c r="L5" s="3548"/>
      <c r="M5" s="3548"/>
      <c r="N5" s="3548"/>
      <c r="O5" s="3548"/>
      <c r="P5" s="3548"/>
    </row>
    <row r="6" spans="1:16" ht="19.5" x14ac:dyDescent="0.4">
      <c r="A6" s="3547" t="s">
        <v>132</v>
      </c>
      <c r="B6" s="3548"/>
      <c r="C6" s="3547" t="s">
        <v>7995</v>
      </c>
      <c r="D6" s="3548"/>
      <c r="E6" s="3548"/>
      <c r="F6" s="3548"/>
      <c r="G6" s="3548"/>
      <c r="H6" s="3548"/>
      <c r="I6" s="3548"/>
      <c r="J6" s="3548"/>
      <c r="K6" s="3548"/>
      <c r="L6" s="3548"/>
      <c r="M6" s="3548"/>
      <c r="N6" s="3548"/>
      <c r="O6" s="3548"/>
      <c r="P6" s="3548"/>
    </row>
    <row r="7" spans="1:16" x14ac:dyDescent="0.4">
      <c r="A7" s="536"/>
    </row>
    <row r="8" spans="1:16" x14ac:dyDescent="0.4">
      <c r="A8" s="536"/>
    </row>
    <row r="9" spans="1:16" x14ac:dyDescent="0.4">
      <c r="A9" s="536"/>
    </row>
    <row r="10" spans="1:16" ht="19.5" x14ac:dyDescent="0.4">
      <c r="A10" s="835"/>
      <c r="C10" s="163" t="s">
        <v>7995</v>
      </c>
      <c r="D10" s="163"/>
      <c r="H10" s="138" t="s">
        <v>7996</v>
      </c>
      <c r="I10" s="1032"/>
      <c r="J10" s="1032"/>
    </row>
    <row r="11" spans="1:16" ht="10.15" customHeight="1" x14ac:dyDescent="0.4">
      <c r="A11" s="835"/>
      <c r="C11" s="533"/>
      <c r="D11" s="533"/>
      <c r="G11" s="226"/>
    </row>
    <row r="12" spans="1:16" x14ac:dyDescent="0.4">
      <c r="A12" s="536"/>
      <c r="C12" s="3549" t="s">
        <v>46</v>
      </c>
      <c r="D12" s="3566" t="s">
        <v>1312</v>
      </c>
    </row>
    <row r="13" spans="1:16" x14ac:dyDescent="0.4">
      <c r="C13" s="3550"/>
      <c r="D13" s="3567"/>
    </row>
    <row r="14" spans="1:16" x14ac:dyDescent="0.4">
      <c r="C14" s="2254">
        <v>1997</v>
      </c>
      <c r="D14" s="2255">
        <v>6.8635419999999998</v>
      </c>
    </row>
    <row r="15" spans="1:16" x14ac:dyDescent="0.4">
      <c r="C15" s="2254">
        <v>1998</v>
      </c>
      <c r="D15" s="2255">
        <v>7.0245389999999999</v>
      </c>
    </row>
    <row r="16" spans="1:16" x14ac:dyDescent="0.4">
      <c r="C16" s="2256">
        <v>1999</v>
      </c>
      <c r="D16" s="2255">
        <v>5.6960369999999996</v>
      </c>
    </row>
    <row r="17" spans="3:8" x14ac:dyDescent="0.4">
      <c r="C17" s="2254">
        <v>2000</v>
      </c>
      <c r="D17" s="2255">
        <v>4.9469810000000001</v>
      </c>
    </row>
    <row r="18" spans="3:8" x14ac:dyDescent="0.4">
      <c r="C18" s="2254">
        <v>2001</v>
      </c>
      <c r="D18" s="2255">
        <v>4.9165660000000004</v>
      </c>
    </row>
    <row r="19" spans="3:8" x14ac:dyDescent="0.4">
      <c r="C19" s="2254">
        <v>2002</v>
      </c>
      <c r="D19" s="2255">
        <v>4.6566710000000002</v>
      </c>
    </row>
    <row r="20" spans="3:8" x14ac:dyDescent="0.4">
      <c r="C20" s="2256">
        <v>2003</v>
      </c>
      <c r="D20" s="2255">
        <v>4.7142499999999998</v>
      </c>
    </row>
    <row r="21" spans="3:8" x14ac:dyDescent="0.4">
      <c r="C21" s="2254">
        <v>2004</v>
      </c>
      <c r="D21" s="2255">
        <v>4.6617509999999998</v>
      </c>
    </row>
    <row r="22" spans="3:8" x14ac:dyDescent="0.4">
      <c r="C22" s="2254">
        <v>2005</v>
      </c>
      <c r="D22" s="2255">
        <v>4.6486559999999999</v>
      </c>
    </row>
    <row r="23" spans="3:8" x14ac:dyDescent="0.4">
      <c r="C23" s="2254">
        <v>2006</v>
      </c>
      <c r="D23" s="2255">
        <v>4.6061019999999999</v>
      </c>
    </row>
    <row r="24" spans="3:8" x14ac:dyDescent="0.4">
      <c r="C24" s="2256">
        <v>2007</v>
      </c>
      <c r="D24" s="2255">
        <v>4.5346299999999999</v>
      </c>
    </row>
    <row r="25" spans="3:8" x14ac:dyDescent="0.4">
      <c r="C25" s="2254">
        <v>2008</v>
      </c>
      <c r="D25" s="2255">
        <v>4.4135759999999999</v>
      </c>
    </row>
    <row r="26" spans="3:8" x14ac:dyDescent="0.4">
      <c r="C26" s="2254">
        <v>2009</v>
      </c>
      <c r="D26" s="2255">
        <v>3.0869949999999999</v>
      </c>
      <c r="H26" s="115" t="s">
        <v>7997</v>
      </c>
    </row>
    <row r="27" spans="3:8" x14ac:dyDescent="0.4">
      <c r="C27" s="2254">
        <v>2010</v>
      </c>
      <c r="D27" s="2255">
        <v>3.0121850000000001</v>
      </c>
      <c r="H27" s="115" t="s">
        <v>7998</v>
      </c>
    </row>
    <row r="28" spans="3:8" x14ac:dyDescent="0.4">
      <c r="C28" s="2256">
        <v>2011</v>
      </c>
      <c r="D28" s="2255">
        <v>2.8617219999999999</v>
      </c>
    </row>
    <row r="29" spans="3:8" x14ac:dyDescent="0.4">
      <c r="C29" s="2254">
        <v>2012</v>
      </c>
      <c r="D29" s="2255">
        <v>2.5749599999999999</v>
      </c>
    </row>
    <row r="30" spans="3:8" x14ac:dyDescent="0.4">
      <c r="C30" s="2254">
        <v>2013</v>
      </c>
      <c r="D30" s="2255">
        <v>2.3490380000000002</v>
      </c>
    </row>
    <row r="31" spans="3:8" x14ac:dyDescent="0.4">
      <c r="C31" s="2254">
        <v>2014</v>
      </c>
      <c r="D31" s="2255">
        <v>1.9139379999999999</v>
      </c>
    </row>
    <row r="32" spans="3:8" ht="20.45" customHeight="1" x14ac:dyDescent="0.4">
      <c r="C32" s="2256">
        <v>2015</v>
      </c>
      <c r="D32" s="2255">
        <v>1.8159430000000001</v>
      </c>
    </row>
    <row r="33" spans="3:4" x14ac:dyDescent="0.4">
      <c r="C33" s="2254">
        <v>2016</v>
      </c>
      <c r="D33" s="2255">
        <v>1.499153</v>
      </c>
    </row>
    <row r="34" spans="3:4" x14ac:dyDescent="0.4">
      <c r="C34" s="2254">
        <v>2017</v>
      </c>
      <c r="D34" s="2257">
        <v>1.431759</v>
      </c>
    </row>
    <row r="35" spans="3:4" x14ac:dyDescent="0.4">
      <c r="C35" s="2254">
        <v>2018</v>
      </c>
      <c r="D35" s="2257">
        <v>1.3245130000000001</v>
      </c>
    </row>
    <row r="36" spans="3:4" x14ac:dyDescent="0.4">
      <c r="C36" s="2254">
        <v>2019</v>
      </c>
      <c r="D36" s="2257">
        <v>1.248659</v>
      </c>
    </row>
    <row r="37" spans="3:4" x14ac:dyDescent="0.4">
      <c r="C37" s="2254">
        <v>2020</v>
      </c>
      <c r="D37" s="2257">
        <v>1.04</v>
      </c>
    </row>
    <row r="38" spans="3:4" x14ac:dyDescent="0.4">
      <c r="C38" s="2254">
        <v>2021</v>
      </c>
      <c r="D38" s="2257">
        <v>0.98331900000000005</v>
      </c>
    </row>
    <row r="39" spans="3:4" x14ac:dyDescent="0.4">
      <c r="C39" s="2254">
        <v>2022</v>
      </c>
      <c r="D39" s="2257">
        <v>0.88393100000000002</v>
      </c>
    </row>
    <row r="40" spans="3:4" x14ac:dyDescent="0.4">
      <c r="C40" s="2258">
        <v>2023</v>
      </c>
      <c r="D40" s="2259">
        <v>0.80578499999999997</v>
      </c>
    </row>
    <row r="41" spans="3:4" x14ac:dyDescent="0.4">
      <c r="C41" s="2254"/>
      <c r="D41" s="2260"/>
    </row>
    <row r="42" spans="3:4" x14ac:dyDescent="0.4">
      <c r="C42" s="2261" t="s">
        <v>7999</v>
      </c>
      <c r="D42" s="41"/>
    </row>
    <row r="43" spans="3:4" x14ac:dyDescent="0.4">
      <c r="C43" s="2261" t="s">
        <v>8000</v>
      </c>
      <c r="D43" s="41"/>
    </row>
    <row r="44" spans="3:4" x14ac:dyDescent="0.4">
      <c r="C44" s="2261" t="s">
        <v>8001</v>
      </c>
      <c r="D44" s="1577"/>
    </row>
  </sheetData>
  <mergeCells count="11">
    <mergeCell ref="A6:B6"/>
    <mergeCell ref="C6:P6"/>
    <mergeCell ref="C12:C13"/>
    <mergeCell ref="D12:D13"/>
    <mergeCell ref="C1:D1"/>
    <mergeCell ref="A3:B3"/>
    <mergeCell ref="C3:P3"/>
    <mergeCell ref="A4:B4"/>
    <mergeCell ref="C4:P4"/>
    <mergeCell ref="A5:B5"/>
    <mergeCell ref="C5:P5"/>
  </mergeCells>
  <hyperlinks>
    <hyperlink ref="A1" location="'ODS 17.'!A1" display="REGRESAR" xr:uid="{6933890B-C636-4717-AF20-AA2DA3FD3BDE}"/>
    <hyperlink ref="C1:D1" location="'Metadato 17.10.1'!A1" display="VER METADATO" xr:uid="{92FC85DB-3DBD-462D-BE60-458106F799CC}"/>
  </hyperlinks>
  <pageMargins left="0.7" right="0.7" top="0.75" bottom="0.75" header="0.3" footer="0.3"/>
  <pageSetup paperSize="9" orientation="portrait" r:id="rId1"/>
  <drawing r:id="rId2"/>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172E-65D5-473F-A488-AC6D26D16009}">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56.25" x14ac:dyDescent="0.4">
      <c r="B5" s="2425" t="s">
        <v>79</v>
      </c>
      <c r="C5" s="2425"/>
      <c r="D5" s="49" t="s">
        <v>7728</v>
      </c>
    </row>
    <row r="6" spans="2:6" x14ac:dyDescent="0.4">
      <c r="B6" s="2425" t="s">
        <v>80</v>
      </c>
      <c r="C6" s="2425"/>
      <c r="D6" s="50" t="s">
        <v>7729</v>
      </c>
    </row>
    <row r="7" spans="2:6" ht="15" customHeight="1" x14ac:dyDescent="0.4">
      <c r="B7" s="2426" t="s">
        <v>81</v>
      </c>
      <c r="C7" s="2426"/>
      <c r="D7" s="93" t="s">
        <v>7730</v>
      </c>
    </row>
    <row r="8" spans="2:6" ht="15" customHeight="1" x14ac:dyDescent="0.4">
      <c r="B8" s="2426" t="s">
        <v>210</v>
      </c>
      <c r="C8" s="2426"/>
      <c r="D8" s="1047" t="s">
        <v>8002</v>
      </c>
    </row>
    <row r="10" spans="2:6" ht="23.25" customHeight="1" x14ac:dyDescent="0.4">
      <c r="B10" s="3555" t="s">
        <v>85</v>
      </c>
      <c r="C10" s="3555"/>
      <c r="D10" s="3555"/>
    </row>
    <row r="11" spans="2:6" x14ac:dyDescent="0.4">
      <c r="B11" s="2427" t="s">
        <v>86</v>
      </c>
      <c r="C11" s="2428"/>
      <c r="D11" s="49"/>
    </row>
    <row r="12" spans="2:6" ht="15" customHeight="1" x14ac:dyDescent="0.4">
      <c r="B12" s="2426" t="s">
        <v>88</v>
      </c>
      <c r="C12" s="2426"/>
      <c r="D12" s="184" t="s">
        <v>8003</v>
      </c>
    </row>
    <row r="13" spans="2:6" x14ac:dyDescent="0.4">
      <c r="B13" s="2425" t="s">
        <v>90</v>
      </c>
      <c r="C13" s="2425"/>
      <c r="D13" s="2050" t="s">
        <v>7729</v>
      </c>
    </row>
    <row r="14" spans="2:6" x14ac:dyDescent="0.4">
      <c r="B14" s="2425" t="s">
        <v>91</v>
      </c>
      <c r="C14" s="2428"/>
      <c r="D14" s="2050" t="s">
        <v>92</v>
      </c>
    </row>
    <row r="15" spans="2:6" ht="56.25" x14ac:dyDescent="0.4">
      <c r="B15" s="2425" t="s">
        <v>93</v>
      </c>
      <c r="C15" s="2425"/>
      <c r="D15" s="2050" t="s">
        <v>8004</v>
      </c>
    </row>
    <row r="16" spans="2:6" ht="46.9" customHeight="1" x14ac:dyDescent="0.4">
      <c r="B16" s="2425" t="s">
        <v>95</v>
      </c>
      <c r="C16" s="2425"/>
      <c r="D16" s="2262"/>
    </row>
    <row r="17" spans="2:4" x14ac:dyDescent="0.4">
      <c r="B17" s="2425" t="s">
        <v>97</v>
      </c>
      <c r="C17" s="2425"/>
      <c r="D17" s="2050" t="s">
        <v>98</v>
      </c>
    </row>
    <row r="18" spans="2:4" ht="37.5" x14ac:dyDescent="0.4">
      <c r="B18" s="2426" t="s">
        <v>99</v>
      </c>
      <c r="C18" s="2426"/>
      <c r="D18" s="2263" t="s">
        <v>8005</v>
      </c>
    </row>
    <row r="19" spans="2:4" ht="15" customHeight="1" x14ac:dyDescent="0.4">
      <c r="B19" s="2435" t="s">
        <v>100</v>
      </c>
      <c r="C19" s="2436"/>
      <c r="D19" s="459" t="s">
        <v>8006</v>
      </c>
    </row>
    <row r="20" spans="2:4" x14ac:dyDescent="0.4">
      <c r="B20" s="2425" t="s">
        <v>102</v>
      </c>
      <c r="C20" s="2425"/>
      <c r="D20" s="2263"/>
    </row>
    <row r="21" spans="2:4" x14ac:dyDescent="0.4">
      <c r="B21" s="2432" t="s">
        <v>104</v>
      </c>
      <c r="C21" s="57" t="s">
        <v>105</v>
      </c>
      <c r="D21" s="2263" t="s">
        <v>140</v>
      </c>
    </row>
    <row r="22" spans="2:4" x14ac:dyDescent="0.4">
      <c r="B22" s="2433"/>
      <c r="C22" s="58" t="s">
        <v>107</v>
      </c>
      <c r="D22" s="2263" t="s">
        <v>8007</v>
      </c>
    </row>
    <row r="23" spans="2:4" x14ac:dyDescent="0.4">
      <c r="B23" s="2425" t="s">
        <v>109</v>
      </c>
      <c r="C23" s="2425"/>
      <c r="D23" s="2050" t="s">
        <v>143</v>
      </c>
    </row>
    <row r="24" spans="2:4" x14ac:dyDescent="0.4">
      <c r="B24" s="2425" t="s">
        <v>111</v>
      </c>
      <c r="C24" s="2425"/>
      <c r="D24" s="2050" t="s">
        <v>8008</v>
      </c>
    </row>
    <row r="25" spans="2:4" x14ac:dyDescent="0.4">
      <c r="B25" s="2425" t="s">
        <v>113</v>
      </c>
      <c r="C25" s="2425"/>
      <c r="D25" s="2050" t="s">
        <v>220</v>
      </c>
    </row>
    <row r="26" spans="2:4" ht="15" customHeight="1" x14ac:dyDescent="0.4">
      <c r="B26" s="2426" t="s">
        <v>115</v>
      </c>
      <c r="C26" s="2426"/>
      <c r="D26" s="2050" t="s">
        <v>8009</v>
      </c>
    </row>
    <row r="27" spans="2:4" x14ac:dyDescent="0.4">
      <c r="B27" s="2427" t="s">
        <v>117</v>
      </c>
      <c r="C27" s="2428"/>
      <c r="D27" s="2262"/>
    </row>
    <row r="28" spans="2:4" ht="71.45" customHeight="1" x14ac:dyDescent="0.4">
      <c r="B28" s="60" t="s">
        <v>118</v>
      </c>
      <c r="C28" s="61"/>
      <c r="D28" s="2050" t="s">
        <v>8010</v>
      </c>
    </row>
    <row r="29" spans="2:4" x14ac:dyDescent="0.4">
      <c r="B29" s="2429" t="s">
        <v>120</v>
      </c>
      <c r="C29" s="2430"/>
      <c r="D29" s="2264" t="s">
        <v>8011</v>
      </c>
    </row>
    <row r="30" spans="2:4" x14ac:dyDescent="0.4">
      <c r="B30" s="63"/>
      <c r="C30" s="63"/>
      <c r="D30" s="64"/>
    </row>
    <row r="31" spans="2:4" ht="23.25" customHeight="1" x14ac:dyDescent="0.4">
      <c r="B31" s="3568" t="s">
        <v>121</v>
      </c>
      <c r="C31" s="3568"/>
      <c r="D31" s="3568"/>
    </row>
    <row r="32" spans="2:4" x14ac:dyDescent="0.4">
      <c r="B32" s="2427" t="s">
        <v>122</v>
      </c>
      <c r="C32" s="2428"/>
      <c r="D32" s="2050" t="s">
        <v>8012</v>
      </c>
    </row>
    <row r="33" spans="2:4" x14ac:dyDescent="0.4">
      <c r="B33" s="2427" t="s">
        <v>124</v>
      </c>
      <c r="C33" s="2428"/>
      <c r="D33" s="2050" t="s">
        <v>8013</v>
      </c>
    </row>
    <row r="34" spans="2:4" x14ac:dyDescent="0.4">
      <c r="B34" s="2427" t="s">
        <v>126</v>
      </c>
      <c r="C34" s="2428"/>
      <c r="D34" s="2050" t="s">
        <v>7917</v>
      </c>
    </row>
    <row r="35" spans="2:4" x14ac:dyDescent="0.4">
      <c r="B35" s="2427" t="s">
        <v>128</v>
      </c>
      <c r="C35" s="2428"/>
      <c r="D35" s="2050" t="s">
        <v>8014</v>
      </c>
    </row>
    <row r="36" spans="2:4" x14ac:dyDescent="0.4">
      <c r="B36" s="2427" t="s">
        <v>130</v>
      </c>
      <c r="C36" s="2428"/>
      <c r="D36" s="2265" t="s">
        <v>8015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4C119E5-C9AD-4D41-ABE8-7810055793D9}">
      <formula1>Tipo_operación</formula1>
    </dataValidation>
    <dataValidation type="list" allowBlank="1" showInputMessage="1" showErrorMessage="1" sqref="D14" xr:uid="{1A4A44C3-F101-4B17-AE2C-647574C8A9E4}">
      <formula1>Tipo_indicador</formula1>
    </dataValidation>
    <dataValidation type="list" allowBlank="1" showInputMessage="1" showErrorMessage="1" sqref="D7" xr:uid="{05C6C7D2-9C16-4998-B63A-615E275E4D37}">
      <formula1>Nombre_indicador_ODS</formula1>
    </dataValidation>
    <dataValidation type="list" allowBlank="1" showInputMessage="1" showErrorMessage="1" sqref="D6" xr:uid="{8F077EA6-79A1-4602-A41F-CD4FBBF3F410}">
      <formula1>Numero_indicador</formula1>
    </dataValidation>
    <dataValidation type="list" allowBlank="1" showInputMessage="1" showErrorMessage="1" sqref="D5" xr:uid="{B6788FAA-582F-49D1-8603-9C52E31D20DA}">
      <formula1>Metas_ODS</formula1>
    </dataValidation>
    <dataValidation type="list" allowBlank="1" showInputMessage="1" showErrorMessage="1" sqref="D4" xr:uid="{2F0CC584-3ACF-41BC-8EC1-92F901ACEEC8}">
      <formula1>ODS</formula1>
    </dataValidation>
    <dataValidation allowBlank="1" showDropDown="1" showInputMessage="1" showErrorMessage="1" sqref="D13" xr:uid="{1FE8EA76-DD72-44AF-A4E6-569FABA3FFB7}"/>
  </dataValidations>
  <hyperlinks>
    <hyperlink ref="B1" location="'17.10.1'!A1" display="REGRESAR" xr:uid="{E1DABABA-7251-4021-815E-1CA7ED8FF64B}"/>
    <hyperlink ref="D8" r:id="rId1" xr:uid="{B3DFA7A6-0967-4DB1-865B-BA2758C74AFC}"/>
    <hyperlink ref="D36" r:id="rId2" xr:uid="{82D4429E-E24F-4F3A-8DA6-AF1B01FF3502}"/>
    <hyperlink ref="D29" r:id="rId3" xr:uid="{222BF6BE-E891-4561-85EE-38E8891FFDB6}"/>
  </hyperlinks>
  <pageMargins left="0.7" right="0.7" top="0.75" bottom="0.75" header="0.3" footer="0.3"/>
  <pageSetup orientation="portrait" horizontalDpi="4294967293" verticalDpi="0" r:id="rId4"/>
  <drawing r:id="rId5"/>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0057-7326-4FA3-9C5F-447430FE1679}">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8.42578125" style="115" customWidth="1"/>
    <col min="3" max="3" width="12.42578125" style="1048" customWidth="1"/>
    <col min="4" max="5" width="12.42578125" style="115" customWidth="1"/>
    <col min="6" max="16384" width="11.42578125" style="115"/>
  </cols>
  <sheetData>
    <row r="1" spans="1:17" x14ac:dyDescent="0.4">
      <c r="A1" s="90" t="s">
        <v>39</v>
      </c>
      <c r="B1" s="1311"/>
      <c r="C1" s="2541" t="s">
        <v>149</v>
      </c>
      <c r="D1" s="2541"/>
    </row>
    <row r="3" spans="1:17" ht="18.600000000000001" customHeight="1" x14ac:dyDescent="0.4">
      <c r="A3" s="3547" t="s">
        <v>41</v>
      </c>
      <c r="B3" s="3547"/>
      <c r="C3" s="3547" t="s">
        <v>7992</v>
      </c>
      <c r="D3" s="3548"/>
      <c r="E3" s="3548"/>
      <c r="F3" s="3548"/>
      <c r="G3" s="3548"/>
      <c r="H3" s="3548"/>
      <c r="I3" s="3548"/>
      <c r="J3" s="3548"/>
      <c r="K3" s="3548"/>
      <c r="L3" s="3548"/>
      <c r="M3" s="3548"/>
      <c r="N3" s="3548"/>
      <c r="O3" s="3548"/>
      <c r="P3" s="3548"/>
    </row>
    <row r="4" spans="1:17" ht="19.899999999999999" customHeight="1" x14ac:dyDescent="0.4">
      <c r="A4" s="3547" t="s">
        <v>42</v>
      </c>
      <c r="B4" s="3548"/>
      <c r="C4" s="3558" t="s">
        <v>7731</v>
      </c>
      <c r="D4" s="3559"/>
      <c r="E4" s="3559"/>
      <c r="F4" s="3559"/>
      <c r="G4" s="3559"/>
      <c r="H4" s="3559"/>
      <c r="I4" s="3559"/>
      <c r="J4" s="3559"/>
      <c r="K4" s="3559"/>
      <c r="L4" s="3559"/>
      <c r="M4" s="3559"/>
      <c r="N4" s="3559"/>
      <c r="O4" s="3559"/>
      <c r="P4" s="3559"/>
    </row>
    <row r="5" spans="1:17" ht="18.600000000000001" customHeight="1" x14ac:dyDescent="0.4">
      <c r="A5" s="3547" t="s">
        <v>43</v>
      </c>
      <c r="B5" s="3548"/>
      <c r="C5" s="3547" t="s">
        <v>7733</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2E1A3337-AE06-4B80-8E2C-BEAF6F133A76}"/>
    <hyperlink ref="C1:D1" location="'Metadato 17.11.1'!A1" display="VER METADATO" xr:uid="{1AC860F6-BA19-4667-9E37-9F89C153954B}"/>
  </hyperlinks>
  <pageMargins left="0.7" right="0.7" top="0.75" bottom="0.75" header="0.3" footer="0.3"/>
  <drawing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64F7-C8FE-4DEB-9A89-207B60D643E2}">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0.25" thickBot="1" x14ac:dyDescent="0.45">
      <c r="B3" s="3555" t="s">
        <v>75</v>
      </c>
      <c r="C3" s="3555"/>
      <c r="D3" s="3555"/>
      <c r="F3" s="1046" t="s">
        <v>317</v>
      </c>
    </row>
    <row r="4" spans="2:6" ht="37.5" x14ac:dyDescent="0.4">
      <c r="B4" s="2425" t="s">
        <v>234</v>
      </c>
      <c r="C4" s="2425"/>
      <c r="D4" s="49" t="s">
        <v>7797</v>
      </c>
    </row>
    <row r="5" spans="2:6" ht="37.5" x14ac:dyDescent="0.4">
      <c r="B5" s="2425" t="s">
        <v>79</v>
      </c>
      <c r="C5" s="2425"/>
      <c r="D5" s="49" t="s">
        <v>7731</v>
      </c>
    </row>
    <row r="6" spans="2:6" x14ac:dyDescent="0.4">
      <c r="B6" s="2425" t="s">
        <v>80</v>
      </c>
      <c r="C6" s="2425"/>
      <c r="D6" s="50" t="s">
        <v>7732</v>
      </c>
    </row>
    <row r="7" spans="2:6" ht="19.149999999999999" customHeight="1" x14ac:dyDescent="0.4">
      <c r="B7" s="2426" t="s">
        <v>81</v>
      </c>
      <c r="C7" s="2426"/>
      <c r="D7" s="93" t="s">
        <v>7733</v>
      </c>
    </row>
    <row r="8" spans="2:6" x14ac:dyDescent="0.4">
      <c r="B8" s="2426" t="s">
        <v>82</v>
      </c>
      <c r="C8" s="2426"/>
      <c r="D8" s="1047" t="s">
        <v>8016</v>
      </c>
    </row>
    <row r="10" spans="2:6" ht="19.5"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ht="37.5" x14ac:dyDescent="0.4">
      <c r="B28" s="60" t="s">
        <v>118</v>
      </c>
      <c r="C28" s="61"/>
      <c r="D28" s="49" t="s">
        <v>8017</v>
      </c>
    </row>
    <row r="29" spans="2:4" x14ac:dyDescent="0.4">
      <c r="B29" s="2429" t="s">
        <v>120</v>
      </c>
      <c r="C29" s="2430"/>
      <c r="D29" s="62"/>
    </row>
    <row r="30" spans="2:4" x14ac:dyDescent="0.4">
      <c r="B30" s="63"/>
      <c r="C30" s="63"/>
      <c r="D30" s="64"/>
    </row>
    <row r="31" spans="2:4" ht="19.5"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BA030D9-B3EB-4257-BD01-28533CD914F3}">
      <formula1>Tipo_operación</formula1>
    </dataValidation>
    <dataValidation type="list" allowBlank="1" showInputMessage="1" showErrorMessage="1" sqref="D14" xr:uid="{BB9B7687-EBAF-4695-BB4A-A79B57AA1CB9}">
      <formula1>Tipo_indicador</formula1>
    </dataValidation>
    <dataValidation type="list" allowBlank="1" showInputMessage="1" showErrorMessage="1" sqref="D7" xr:uid="{76144CA9-E213-4F7F-B102-459F7F186387}">
      <formula1>Nombre_indicador_ODS</formula1>
    </dataValidation>
    <dataValidation type="list" allowBlank="1" showInputMessage="1" showErrorMessage="1" sqref="D6" xr:uid="{DCDD4825-040E-429A-8D8E-3FBFFC2EA586}">
      <formula1>Numero_indicador</formula1>
    </dataValidation>
    <dataValidation type="list" allowBlank="1" showInputMessage="1" showErrorMessage="1" sqref="D5" xr:uid="{BD7C40D5-BCBA-4314-B0B5-25B77AB51826}">
      <formula1>Metas_ODS</formula1>
    </dataValidation>
    <dataValidation type="list" allowBlank="1" showInputMessage="1" showErrorMessage="1" sqref="D4" xr:uid="{C318B8E9-15B7-4393-A108-7807A3BC3939}">
      <formula1>ODS</formula1>
    </dataValidation>
    <dataValidation allowBlank="1" showDropDown="1" showInputMessage="1" showErrorMessage="1" sqref="D13" xr:uid="{701E5D1C-3D5A-4A67-ACEA-D4420AFD4CFE}"/>
  </dataValidations>
  <hyperlinks>
    <hyperlink ref="B1" location="'17.11.1'!A1" display="REGRESAR" xr:uid="{F9448E9E-38C4-4B9D-B01F-A447DC1330F3}"/>
    <hyperlink ref="D8" r:id="rId1" xr:uid="{76CCB480-D446-4174-983D-FD4F875EB745}"/>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F6963-3A89-4E8D-955A-241CC5EB0C5B}">
  <sheetPr>
    <tabColor rgb="FF7030A0"/>
  </sheetPr>
  <dimension ref="A1:Q26"/>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8.42578125" style="115" customWidth="1"/>
    <col min="3" max="3" width="11.7109375" style="1048" customWidth="1"/>
    <col min="4" max="5" width="11.7109375" style="115" customWidth="1"/>
    <col min="6" max="16384" width="11.42578125" style="115"/>
  </cols>
  <sheetData>
    <row r="1" spans="1:17" x14ac:dyDescent="0.4">
      <c r="A1" s="90" t="s">
        <v>39</v>
      </c>
      <c r="B1" s="1311"/>
      <c r="C1" s="2541" t="s">
        <v>149</v>
      </c>
      <c r="D1" s="2541"/>
    </row>
    <row r="3" spans="1:17" ht="19.899999999999999" customHeight="1" x14ac:dyDescent="0.4">
      <c r="A3" s="3547" t="s">
        <v>41</v>
      </c>
      <c r="B3" s="3547"/>
      <c r="C3" s="3547" t="s">
        <v>7992</v>
      </c>
      <c r="D3" s="3548"/>
      <c r="E3" s="3548"/>
      <c r="F3" s="3548"/>
      <c r="G3" s="3548"/>
      <c r="H3" s="3548"/>
      <c r="I3" s="3548"/>
      <c r="J3" s="3548"/>
      <c r="K3" s="3548"/>
      <c r="L3" s="3548"/>
      <c r="M3" s="3548"/>
      <c r="N3" s="3548"/>
      <c r="O3" s="3548"/>
      <c r="P3" s="3548"/>
    </row>
    <row r="4" spans="1:17" ht="58.9" customHeight="1" x14ac:dyDescent="0.4">
      <c r="A4" s="3547" t="s">
        <v>42</v>
      </c>
      <c r="B4" s="3548"/>
      <c r="C4" s="3558" t="s">
        <v>7734</v>
      </c>
      <c r="D4" s="3559"/>
      <c r="E4" s="3559"/>
      <c r="F4" s="3559"/>
      <c r="G4" s="3559"/>
      <c r="H4" s="3559"/>
      <c r="I4" s="3559"/>
      <c r="J4" s="3559"/>
      <c r="K4" s="3559"/>
      <c r="L4" s="3559"/>
      <c r="M4" s="3559"/>
      <c r="N4" s="3559"/>
      <c r="O4" s="3559"/>
      <c r="P4" s="3559"/>
    </row>
    <row r="5" spans="1:17" ht="37.9" customHeight="1" x14ac:dyDescent="0.4">
      <c r="A5" s="3547" t="s">
        <v>43</v>
      </c>
      <c r="B5" s="3548"/>
      <c r="C5" s="3558" t="s">
        <v>8018</v>
      </c>
      <c r="D5" s="3559"/>
      <c r="E5" s="3559"/>
      <c r="F5" s="3559"/>
      <c r="G5" s="3559"/>
      <c r="H5" s="3559"/>
      <c r="I5" s="3559"/>
      <c r="J5" s="3559"/>
      <c r="K5" s="3559"/>
      <c r="L5" s="3559"/>
      <c r="M5" s="3559"/>
      <c r="N5" s="3559"/>
      <c r="O5" s="3559"/>
      <c r="P5" s="3559"/>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row r="21" spans="1:17" x14ac:dyDescent="0.4">
      <c r="A21" s="536"/>
    </row>
    <row r="22" spans="1:17" x14ac:dyDescent="0.4">
      <c r="A22" s="536"/>
    </row>
    <row r="23" spans="1:17" x14ac:dyDescent="0.4">
      <c r="A23" s="536"/>
    </row>
    <row r="24" spans="1:17" x14ac:dyDescent="0.4">
      <c r="A24" s="536"/>
    </row>
    <row r="25" spans="1:17" x14ac:dyDescent="0.4">
      <c r="A25" s="536"/>
    </row>
    <row r="26" spans="1:17" x14ac:dyDescent="0.4">
      <c r="A26"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BCA07BB0-F3F1-4382-97A7-4042D84B5B46}"/>
    <hyperlink ref="C1:D1" location="'Metadato 17.12.1'!A1" display="VER METADATO" xr:uid="{A22C3A04-FB4B-4B18-8A41-942DEAC09A1D}"/>
  </hyperlinks>
  <pageMargins left="0.7" right="0.7" top="0.75" bottom="0.75" header="0.3" footer="0.3"/>
  <drawing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B096-7FA9-4486-A227-A55415EC50BD}">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75" x14ac:dyDescent="0.4">
      <c r="B5" s="2425" t="s">
        <v>79</v>
      </c>
      <c r="C5" s="2425"/>
      <c r="D5" s="49" t="s">
        <v>7734</v>
      </c>
    </row>
    <row r="6" spans="2:6" ht="19.5" customHeight="1" x14ac:dyDescent="0.4">
      <c r="B6" s="2425" t="s">
        <v>80</v>
      </c>
      <c r="C6" s="2425"/>
      <c r="D6" s="50" t="s">
        <v>7735</v>
      </c>
    </row>
    <row r="7" spans="2:6" ht="75" x14ac:dyDescent="0.4">
      <c r="B7" s="2426" t="s">
        <v>81</v>
      </c>
      <c r="C7" s="2426"/>
      <c r="D7" s="93" t="s">
        <v>8018</v>
      </c>
    </row>
    <row r="8" spans="2:6" x14ac:dyDescent="0.4">
      <c r="B8" s="2426" t="s">
        <v>82</v>
      </c>
      <c r="C8" s="2426"/>
      <c r="D8" s="1047" t="s">
        <v>8019</v>
      </c>
    </row>
    <row r="10" spans="2:6" ht="23.25" customHeight="1" x14ac:dyDescent="0.4">
      <c r="B10" s="3555" t="s">
        <v>85</v>
      </c>
      <c r="C10" s="3555"/>
      <c r="D10" s="3555"/>
    </row>
    <row r="11" spans="2:6" x14ac:dyDescent="0.4">
      <c r="B11" s="2427" t="s">
        <v>86</v>
      </c>
      <c r="C11" s="2428"/>
      <c r="D11" s="49"/>
    </row>
    <row r="12" spans="2:6" ht="15" customHeight="1"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ht="15" customHeight="1" x14ac:dyDescent="0.4">
      <c r="B18" s="2426" t="s">
        <v>99</v>
      </c>
      <c r="C18" s="2426"/>
      <c r="D18" s="49"/>
    </row>
    <row r="19" spans="2:4" ht="15" customHeight="1" x14ac:dyDescent="0.4">
      <c r="B19" s="2435" t="s">
        <v>100</v>
      </c>
      <c r="C19" s="2436"/>
      <c r="D19" s="55"/>
    </row>
    <row r="20" spans="2:4" x14ac:dyDescent="0.4">
      <c r="B20" s="2425" t="s">
        <v>102</v>
      </c>
      <c r="C20" s="2425"/>
      <c r="D20" s="49"/>
    </row>
    <row r="21" spans="2:4" x14ac:dyDescent="0.4">
      <c r="B21" s="2432" t="s">
        <v>104</v>
      </c>
      <c r="C21" s="57" t="s">
        <v>105</v>
      </c>
      <c r="D21" s="49"/>
    </row>
    <row r="22" spans="2:4" ht="33.75" customHeight="1"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ht="15" customHeight="1" x14ac:dyDescent="0.4">
      <c r="B26" s="2426" t="s">
        <v>115</v>
      </c>
      <c r="C26" s="2426"/>
      <c r="D26" s="49"/>
    </row>
    <row r="27" spans="2:4" x14ac:dyDescent="0.4">
      <c r="B27" s="2427" t="s">
        <v>117</v>
      </c>
      <c r="C27" s="2428"/>
      <c r="D27" s="49"/>
    </row>
    <row r="28" spans="2:4" ht="56.25" x14ac:dyDescent="0.4">
      <c r="B28" s="60" t="s">
        <v>118</v>
      </c>
      <c r="C28" s="61"/>
      <c r="D28" s="49" t="s">
        <v>8020</v>
      </c>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8B5CE1A5-CE96-442F-AC73-EF4A5E352273}">
      <formula1>Tipo_operación</formula1>
    </dataValidation>
    <dataValidation type="list" allowBlank="1" showInputMessage="1" showErrorMessage="1" sqref="D14" xr:uid="{3929EDD5-F588-4DF6-A7E9-CA0FA6AB4D0D}">
      <formula1>Tipo_indicador</formula1>
    </dataValidation>
    <dataValidation type="list" allowBlank="1" showInputMessage="1" showErrorMessage="1" sqref="D7" xr:uid="{CA8DDFE9-A428-4436-9CEA-C96F1FB3835F}">
      <formula1>Nombre_indicador_ODS</formula1>
    </dataValidation>
    <dataValidation type="list" allowBlank="1" showInputMessage="1" showErrorMessage="1" sqref="D6" xr:uid="{1CE77BD4-8280-4C3C-AAC7-7D37E583BBFE}">
      <formula1>Numero_indicador</formula1>
    </dataValidation>
    <dataValidation type="list" allowBlank="1" showInputMessage="1" showErrorMessage="1" sqref="D5" xr:uid="{926575AE-486E-4A9A-9C8C-E8E8C0F4252A}">
      <formula1>Metas_ODS</formula1>
    </dataValidation>
    <dataValidation type="list" allowBlank="1" showInputMessage="1" showErrorMessage="1" sqref="D4" xr:uid="{FBB21F73-E2E6-44C6-8B29-EE98557D95A9}">
      <formula1>ODS</formula1>
    </dataValidation>
    <dataValidation allowBlank="1" showDropDown="1" showInputMessage="1" showErrorMessage="1" sqref="D13" xr:uid="{F8048F78-2D35-453E-B0D0-BD99C807889D}"/>
  </dataValidations>
  <hyperlinks>
    <hyperlink ref="B1" location="'17.12.1'!A1" display="REGRESAR" xr:uid="{5323DC50-4F02-40C8-89A5-E3DA0505CEBE}"/>
    <hyperlink ref="D8" r:id="rId1" xr:uid="{0C90894D-69B6-4FE2-AB1E-A5BA639582EE}"/>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B7FC-5CFF-4330-B0EA-7E5C77ED0BEF}">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6.28515625" style="115" customWidth="1"/>
    <col min="2" max="2" width="17.85546875" style="115" customWidth="1"/>
    <col min="3" max="3" width="12.42578125" style="1048" customWidth="1"/>
    <col min="4" max="5" width="12.42578125" style="115" customWidth="1"/>
    <col min="6" max="16384" width="11.42578125" style="115"/>
  </cols>
  <sheetData>
    <row r="1" spans="1:17" x14ac:dyDescent="0.4">
      <c r="A1" s="90" t="s">
        <v>39</v>
      </c>
      <c r="B1" s="1311"/>
      <c r="C1" s="2541" t="s">
        <v>149</v>
      </c>
      <c r="D1" s="2541"/>
    </row>
    <row r="3" spans="1:17" ht="21.6" customHeight="1" x14ac:dyDescent="0.4">
      <c r="A3" s="3547" t="s">
        <v>41</v>
      </c>
      <c r="B3" s="3547"/>
      <c r="C3" s="3547" t="s">
        <v>8021</v>
      </c>
      <c r="D3" s="3548"/>
      <c r="E3" s="3548"/>
      <c r="F3" s="3548"/>
      <c r="G3" s="3548"/>
      <c r="H3" s="3548"/>
      <c r="I3" s="3548"/>
      <c r="J3" s="3548"/>
      <c r="K3" s="3548"/>
      <c r="L3" s="3548"/>
      <c r="M3" s="3548"/>
      <c r="N3" s="3548"/>
      <c r="O3" s="3548"/>
      <c r="P3" s="3548"/>
    </row>
    <row r="4" spans="1:17" ht="19.149999999999999" customHeight="1" x14ac:dyDescent="0.4">
      <c r="A4" s="3547" t="s">
        <v>42</v>
      </c>
      <c r="B4" s="3548"/>
      <c r="C4" s="3558" t="s">
        <v>7737</v>
      </c>
      <c r="D4" s="3559"/>
      <c r="E4" s="3559"/>
      <c r="F4" s="3559"/>
      <c r="G4" s="3559"/>
      <c r="H4" s="3559"/>
      <c r="I4" s="3559"/>
      <c r="J4" s="3559"/>
      <c r="K4" s="3559"/>
      <c r="L4" s="3559"/>
      <c r="M4" s="3559"/>
      <c r="N4" s="3559"/>
      <c r="O4" s="3559"/>
      <c r="P4" s="3559"/>
    </row>
    <row r="5" spans="1:17" ht="19.149999999999999" customHeight="1" x14ac:dyDescent="0.4">
      <c r="A5" s="3547" t="s">
        <v>43</v>
      </c>
      <c r="B5" s="3548"/>
      <c r="C5" s="3547" t="s">
        <v>7739</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81C6941F-265C-4482-8F5F-07604B812AB9}"/>
    <hyperlink ref="C1:D1" location="'Metadata 17.13.1'!A1" display="VER METADATO" xr:uid="{20A6A242-212C-493F-A8CD-D8267136204E}"/>
  </hyperlinks>
  <pageMargins left="0.7" right="0.7" top="0.75" bottom="0.75" header="0.3" footer="0.3"/>
  <drawing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20C7-04E4-40E5-B307-C653E7C0A06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37.5" x14ac:dyDescent="0.4">
      <c r="B5" s="2425" t="s">
        <v>79</v>
      </c>
      <c r="C5" s="2425"/>
      <c r="D5" s="49" t="s">
        <v>7737</v>
      </c>
    </row>
    <row r="6" spans="2:6" x14ac:dyDescent="0.4">
      <c r="B6" s="2425" t="s">
        <v>80</v>
      </c>
      <c r="C6" s="2425"/>
      <c r="D6" s="50" t="s">
        <v>7738</v>
      </c>
    </row>
    <row r="7" spans="2:6" x14ac:dyDescent="0.4">
      <c r="B7" s="2426" t="s">
        <v>81</v>
      </c>
      <c r="C7" s="2426"/>
      <c r="D7" s="93" t="s">
        <v>7739</v>
      </c>
    </row>
    <row r="8" spans="2:6" x14ac:dyDescent="0.4">
      <c r="B8" s="2435" t="s">
        <v>165</v>
      </c>
      <c r="C8" s="2436"/>
      <c r="D8" s="1047" t="s">
        <v>8022</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5371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t="s">
        <v>8023</v>
      </c>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6E4353F-BAC7-465A-857B-144936A7B476}"/>
    <dataValidation type="list" allowBlank="1" showInputMessage="1" showErrorMessage="1" sqref="D4" xr:uid="{A06C58FC-3844-4E92-9E8A-B811DE723604}">
      <formula1>ODS</formula1>
    </dataValidation>
    <dataValidation type="list" allowBlank="1" showInputMessage="1" showErrorMessage="1" sqref="D5" xr:uid="{D5688096-DA7E-4FA2-9DBD-167FC87A0772}">
      <formula1>Metas_ODS</formula1>
    </dataValidation>
    <dataValidation type="list" allowBlank="1" showInputMessage="1" showErrorMessage="1" sqref="D6" xr:uid="{E6C59B07-E966-4B92-A037-E4DE21A107CC}">
      <formula1>Numero_indicador</formula1>
    </dataValidation>
    <dataValidation type="list" allowBlank="1" showInputMessage="1" showErrorMessage="1" sqref="D7" xr:uid="{4FD06D75-6175-46FD-A577-B65174E938E1}">
      <formula1>Nombre_indicador_ODS</formula1>
    </dataValidation>
    <dataValidation type="list" allowBlank="1" showInputMessage="1" showErrorMessage="1" sqref="D14" xr:uid="{594C1062-E9EA-44DE-933C-5901FB621F1D}">
      <formula1>Tipo_indicador</formula1>
    </dataValidation>
    <dataValidation type="list" allowBlank="1" showInputMessage="1" showErrorMessage="1" sqref="D25" xr:uid="{27221F4D-C604-4FD8-B8C1-41772713167D}">
      <formula1>Tipo_operación</formula1>
    </dataValidation>
  </dataValidations>
  <hyperlinks>
    <hyperlink ref="B1" location="'17.13.1'!A1" display="REGRESAR" xr:uid="{3C0EC938-2DEA-4A68-B731-1DD599BBEC32}"/>
    <hyperlink ref="D8" r:id="rId1" xr:uid="{A6E3F151-F3D9-49A3-8EE1-CA79DB78F7AF}"/>
  </hyperlinks>
  <pageMargins left="0.7" right="0.7" top="0.75" bottom="0.75" header="0.3" footer="0.3"/>
  <pageSetup orientation="portrait"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F9B3-6884-4A08-91F0-B11567BC2ACC}">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8.140625" style="115" customWidth="1"/>
    <col min="3" max="3" width="11.28515625" style="1048" customWidth="1"/>
    <col min="4" max="5" width="11.28515625" style="115" customWidth="1"/>
    <col min="6" max="16384" width="11.42578125" style="115"/>
  </cols>
  <sheetData>
    <row r="1" spans="1:17" x14ac:dyDescent="0.4">
      <c r="A1" s="90" t="s">
        <v>39</v>
      </c>
      <c r="B1" s="1311"/>
      <c r="C1" s="2541" t="s">
        <v>149</v>
      </c>
      <c r="D1" s="2541"/>
    </row>
    <row r="3" spans="1:17" ht="19.5" x14ac:dyDescent="0.4">
      <c r="A3" s="3547" t="s">
        <v>41</v>
      </c>
      <c r="B3" s="3547"/>
      <c r="C3" s="3558" t="s">
        <v>8021</v>
      </c>
      <c r="D3" s="3559"/>
      <c r="E3" s="3559"/>
      <c r="F3" s="3559"/>
      <c r="G3" s="3559"/>
      <c r="H3" s="3559"/>
      <c r="I3" s="3559"/>
      <c r="J3" s="3559"/>
      <c r="K3" s="3559"/>
      <c r="L3" s="3559"/>
      <c r="M3" s="3559"/>
      <c r="N3" s="3559"/>
      <c r="O3" s="3559"/>
      <c r="P3" s="3559"/>
    </row>
    <row r="4" spans="1:17" ht="19.149999999999999" customHeight="1" x14ac:dyDescent="0.4">
      <c r="A4" s="3547" t="s">
        <v>42</v>
      </c>
      <c r="B4" s="3548"/>
      <c r="C4" s="3558" t="s">
        <v>7740</v>
      </c>
      <c r="D4" s="3559"/>
      <c r="E4" s="3559"/>
      <c r="F4" s="3559"/>
      <c r="G4" s="3559"/>
      <c r="H4" s="3559"/>
      <c r="I4" s="3559"/>
      <c r="J4" s="3559"/>
      <c r="K4" s="3559"/>
      <c r="L4" s="3559"/>
      <c r="M4" s="3559"/>
      <c r="N4" s="3559"/>
      <c r="O4" s="3559"/>
      <c r="P4" s="3559"/>
    </row>
    <row r="5" spans="1:17" ht="21.6" customHeight="1" x14ac:dyDescent="0.4">
      <c r="A5" s="3547" t="s">
        <v>43</v>
      </c>
      <c r="B5" s="3548"/>
      <c r="C5" s="3547" t="s">
        <v>8024</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9" spans="1:17" ht="11.25" customHeight="1" x14ac:dyDescent="0.4">
      <c r="C9" s="2506" t="s">
        <v>650</v>
      </c>
      <c r="D9" s="2506"/>
      <c r="E9" s="2506"/>
      <c r="F9" s="2506"/>
      <c r="G9" s="2506"/>
      <c r="H9" s="2506"/>
      <c r="I9" s="2506"/>
      <c r="J9" s="2506"/>
      <c r="K9" s="2506"/>
      <c r="L9" s="2506"/>
      <c r="M9" s="2506"/>
      <c r="N9" s="2506"/>
      <c r="O9" s="2506"/>
      <c r="P9" s="2506"/>
    </row>
    <row r="10" spans="1:17" ht="11.25" customHeight="1" x14ac:dyDescent="0.4">
      <c r="C10" s="2506"/>
      <c r="D10" s="2506"/>
      <c r="E10" s="2506"/>
      <c r="F10" s="2506"/>
      <c r="G10" s="2506"/>
      <c r="H10" s="2506"/>
      <c r="I10" s="2506"/>
      <c r="J10" s="2506"/>
      <c r="K10" s="2506"/>
      <c r="L10" s="2506"/>
      <c r="M10" s="2506"/>
      <c r="N10" s="2506"/>
      <c r="O10" s="2506"/>
      <c r="P10" s="2506"/>
    </row>
    <row r="11" spans="1:17" x14ac:dyDescent="0.4">
      <c r="C11" s="221"/>
      <c r="D11" s="220"/>
      <c r="E11" s="220"/>
      <c r="F11" s="220"/>
      <c r="G11" s="220"/>
      <c r="H11" s="220"/>
      <c r="I11" s="220"/>
      <c r="J11" s="220"/>
      <c r="K11" s="220"/>
      <c r="L11" s="220"/>
      <c r="M11" s="220"/>
      <c r="N11" s="220"/>
      <c r="O11" s="220"/>
      <c r="P11" s="220"/>
      <c r="Q11" s="220"/>
    </row>
    <row r="12" spans="1:17" x14ac:dyDescent="0.4">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494" t="s">
        <v>316</v>
      </c>
      <c r="D17" s="2494"/>
      <c r="E17" s="2494"/>
      <c r="F17" s="2494"/>
      <c r="G17" s="2494"/>
      <c r="H17" s="2494"/>
      <c r="I17" s="2494"/>
      <c r="J17" s="2494"/>
      <c r="K17" s="2494"/>
      <c r="L17" s="2494"/>
      <c r="M17" s="2494"/>
      <c r="N17" s="2494"/>
      <c r="O17" s="2494"/>
      <c r="P17" s="2494"/>
      <c r="Q17" s="2494"/>
    </row>
    <row r="18" spans="3:17" x14ac:dyDescent="0.4">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7B6FBA5-06B1-40A5-AB38-3C6DB57F4C8B}"/>
    <hyperlink ref="C1:D1" location="'Metadato 17.14.1'!A1" display="VER METADATO" xr:uid="{732DC38F-F442-4491-A028-4104E0E5A28B}"/>
  </hyperlinks>
  <pageMargins left="0.7" right="0.7" top="0.75" bottom="0.75" header="0.3" footer="0.3"/>
  <drawing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06BBD-3625-4591-9344-3B852B2151F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243"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x14ac:dyDescent="0.4">
      <c r="B5" s="2425" t="s">
        <v>79</v>
      </c>
      <c r="C5" s="2425"/>
      <c r="D5" s="49" t="s">
        <v>7740</v>
      </c>
    </row>
    <row r="6" spans="2:6" x14ac:dyDescent="0.4">
      <c r="B6" s="2425" t="s">
        <v>80</v>
      </c>
      <c r="C6" s="2425"/>
      <c r="D6" s="50" t="s">
        <v>7741</v>
      </c>
    </row>
    <row r="7" spans="2:6" ht="33" customHeight="1" x14ac:dyDescent="0.4">
      <c r="B7" s="2426" t="s">
        <v>81</v>
      </c>
      <c r="C7" s="2426"/>
      <c r="D7" s="667" t="s">
        <v>7742</v>
      </c>
    </row>
    <row r="8" spans="2:6" x14ac:dyDescent="0.4">
      <c r="B8" s="2426" t="s">
        <v>82</v>
      </c>
      <c r="C8" s="2426"/>
      <c r="D8" s="1345" t="s">
        <v>353</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1655"/>
    </row>
    <row r="14" spans="2:6" x14ac:dyDescent="0.4">
      <c r="B14" s="2425" t="s">
        <v>91</v>
      </c>
      <c r="C14" s="2428"/>
      <c r="D14" s="1655"/>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461F8936-83F8-447E-B14B-F75C5365DB80}">
      <formula1>Tipo_operación</formula1>
    </dataValidation>
    <dataValidation type="list" allowBlank="1" showInputMessage="1" showErrorMessage="1" sqref="D14" xr:uid="{F9F6BC79-5E8F-4C91-BE49-B266588BE7C2}">
      <formula1>Tipo_indicador</formula1>
    </dataValidation>
    <dataValidation type="list" allowBlank="1" showInputMessage="1" showErrorMessage="1" sqref="D7" xr:uid="{669062DF-FE96-4717-A8BC-DDCEEB8480B6}">
      <formula1>Nombre_indicador_ODS</formula1>
    </dataValidation>
    <dataValidation type="list" allowBlank="1" showInputMessage="1" showErrorMessage="1" sqref="D6" xr:uid="{541C9DFE-EAAD-48B4-9084-9AAFFCE4AB55}">
      <formula1>Numero_indicador</formula1>
    </dataValidation>
    <dataValidation type="list" allowBlank="1" showInputMessage="1" showErrorMessage="1" sqref="D5" xr:uid="{693364E1-A619-45FC-AFA3-2762EDFE0311}">
      <formula1>Metas_ODS</formula1>
    </dataValidation>
    <dataValidation type="list" allowBlank="1" showInputMessage="1" showErrorMessage="1" sqref="D4" xr:uid="{8BA599CD-CA6E-4D9C-AE16-89650849DE21}">
      <formula1>ODS</formula1>
    </dataValidation>
    <dataValidation allowBlank="1" showDropDown="1" showInputMessage="1" showErrorMessage="1" sqref="D13" xr:uid="{C2DE71F7-2913-4BB0-871C-B39C195980C9}"/>
  </dataValidations>
  <hyperlinks>
    <hyperlink ref="B1" location="'17.14.1'!A1" display="REGRESAR" xr:uid="{3A65BD5D-2A5A-462A-9250-A4D73070F744}"/>
    <hyperlink ref="D8" r:id="rId1" xr:uid="{553EBE98-14A6-4C87-AE6F-F43EC54E6AE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48A40-9721-4A66-A641-47CB0BC0D6A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317</v>
      </c>
    </row>
    <row r="4" spans="1:6" ht="24" customHeight="1" x14ac:dyDescent="0.25">
      <c r="A4" s="224"/>
      <c r="B4" s="2445" t="s">
        <v>234</v>
      </c>
      <c r="C4" s="2445"/>
      <c r="D4" s="49" t="s">
        <v>396</v>
      </c>
    </row>
    <row r="5" spans="1:6" ht="60.6" customHeight="1" x14ac:dyDescent="0.25">
      <c r="B5" s="2445" t="s">
        <v>79</v>
      </c>
      <c r="C5" s="2445"/>
      <c r="D5" s="49" t="s">
        <v>422</v>
      </c>
    </row>
    <row r="6" spans="1:6" x14ac:dyDescent="0.25">
      <c r="B6" s="2445" t="s">
        <v>80</v>
      </c>
      <c r="C6" s="2445"/>
      <c r="D6" s="50" t="s">
        <v>425</v>
      </c>
    </row>
    <row r="7" spans="1:6" ht="37.5" x14ac:dyDescent="0.25">
      <c r="B7" s="2446" t="s">
        <v>81</v>
      </c>
      <c r="C7" s="2446"/>
      <c r="D7" s="93" t="s">
        <v>426</v>
      </c>
    </row>
    <row r="8" spans="1:6" x14ac:dyDescent="0.25">
      <c r="B8" s="2457" t="s">
        <v>82</v>
      </c>
      <c r="C8" s="2458"/>
      <c r="D8" s="94" t="s">
        <v>653</v>
      </c>
    </row>
    <row r="9" spans="1:6" x14ac:dyDescent="0.4">
      <c r="B9" s="5"/>
      <c r="C9" s="5"/>
      <c r="D9" s="5"/>
    </row>
    <row r="10" spans="1:6" ht="23.25" customHeight="1" x14ac:dyDescent="0.25">
      <c r="B10" s="2514" t="s">
        <v>85</v>
      </c>
      <c r="C10" s="2514"/>
      <c r="D10" s="2514"/>
    </row>
    <row r="11" spans="1:6" x14ac:dyDescent="0.25">
      <c r="B11" s="2453" t="s">
        <v>86</v>
      </c>
      <c r="C11" s="2454"/>
      <c r="D11" s="49"/>
    </row>
    <row r="12" spans="1:6"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654</v>
      </c>
    </row>
    <row r="25" spans="2:4" x14ac:dyDescent="0.25">
      <c r="B25" s="2445" t="s">
        <v>113</v>
      </c>
      <c r="C25" s="2445"/>
      <c r="D25" s="56"/>
    </row>
    <row r="26" spans="2:4" x14ac:dyDescent="0.25">
      <c r="B26" s="2446" t="s">
        <v>115</v>
      </c>
      <c r="C26" s="2446"/>
      <c r="D26" s="49"/>
    </row>
    <row r="27" spans="2:4" x14ac:dyDescent="0.25">
      <c r="B27" s="2447" t="s">
        <v>117</v>
      </c>
      <c r="C27" s="2448"/>
      <c r="D27" s="49"/>
    </row>
    <row r="28" spans="2:4" ht="37.5" x14ac:dyDescent="0.25">
      <c r="B28" s="97" t="s">
        <v>118</v>
      </c>
      <c r="C28" s="98"/>
      <c r="D28" s="56" t="s">
        <v>655</v>
      </c>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BE88F81-9575-4F12-9ACC-306762FBD8BB}">
      <formula1>Tipo_operación</formula1>
    </dataValidation>
    <dataValidation type="list" allowBlank="1" showInputMessage="1" showErrorMessage="1" sqref="D14" xr:uid="{83BC1B22-8725-4F7B-A0E5-194CA5A2906B}">
      <formula1>Tipo_indicador</formula1>
    </dataValidation>
    <dataValidation type="list" allowBlank="1" showInputMessage="1" showErrorMessage="1" sqref="D7" xr:uid="{34E2967C-5CDB-4D8E-A307-B61735439994}">
      <formula1>Nombre_indicador_ODS</formula1>
    </dataValidation>
    <dataValidation type="list" allowBlank="1" showInputMessage="1" showErrorMessage="1" sqref="D6" xr:uid="{0C3E0615-2DB1-47F5-98C8-1B0CC6296B81}">
      <formula1>Numero_indicador</formula1>
    </dataValidation>
    <dataValidation type="list" allowBlank="1" showInputMessage="1" showErrorMessage="1" sqref="D5" xr:uid="{9DF4AD7F-6A1B-446D-A6B6-7466756106D7}">
      <formula1>Metas_ODS</formula1>
    </dataValidation>
    <dataValidation type="list" allowBlank="1" showInputMessage="1" showErrorMessage="1" sqref="D4" xr:uid="{8C9C74A0-32CE-4344-AD99-BB60FDE366A4}">
      <formula1>ODS</formula1>
    </dataValidation>
    <dataValidation allowBlank="1" showDropDown="1" showInputMessage="1" showErrorMessage="1" sqref="D13" xr:uid="{5729FD22-419B-4F3C-9010-367F90C33E43}"/>
  </dataValidations>
  <hyperlinks>
    <hyperlink ref="B1" location="'2.a.2'!A1" display="REGRESAR" xr:uid="{1664D045-0E93-4DE1-B06E-ECE922A37695}"/>
    <hyperlink ref="D8" r:id="rId1" xr:uid="{832BFCC8-83CB-43F2-9D9E-E59AFE374819}"/>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C83F-F4A7-40E5-92B5-F94964DF84A0}">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7.85546875" style="115" customWidth="1"/>
    <col min="3" max="3" width="11" style="1048" customWidth="1"/>
    <col min="4" max="5" width="11" style="115" customWidth="1"/>
    <col min="6" max="16384" width="11.42578125" style="115"/>
  </cols>
  <sheetData>
    <row r="1" spans="1:17" x14ac:dyDescent="0.4">
      <c r="A1" s="90" t="s">
        <v>39</v>
      </c>
      <c r="B1" s="1311"/>
      <c r="C1" s="2541" t="s">
        <v>149</v>
      </c>
      <c r="D1" s="2541"/>
    </row>
    <row r="3" spans="1:17" ht="19.5" x14ac:dyDescent="0.4">
      <c r="A3" s="3547" t="s">
        <v>41</v>
      </c>
      <c r="B3" s="3547"/>
      <c r="C3" s="3558" t="s">
        <v>8021</v>
      </c>
      <c r="D3" s="3559"/>
      <c r="E3" s="3559"/>
      <c r="F3" s="3559"/>
      <c r="G3" s="3559"/>
      <c r="H3" s="3559"/>
      <c r="I3" s="3559"/>
      <c r="J3" s="3559"/>
      <c r="K3" s="3559"/>
      <c r="L3" s="3559"/>
      <c r="M3" s="3559"/>
      <c r="N3" s="3559"/>
      <c r="O3" s="3559"/>
      <c r="P3" s="3559"/>
    </row>
    <row r="4" spans="1:17" ht="19.5" x14ac:dyDescent="0.4">
      <c r="A4" s="3547" t="s">
        <v>42</v>
      </c>
      <c r="B4" s="3548"/>
      <c r="C4" s="3558" t="s">
        <v>8025</v>
      </c>
      <c r="D4" s="3559"/>
      <c r="E4" s="3559"/>
      <c r="F4" s="3559"/>
      <c r="G4" s="3559"/>
      <c r="H4" s="3559"/>
      <c r="I4" s="3559"/>
      <c r="J4" s="3559"/>
      <c r="K4" s="3559"/>
      <c r="L4" s="3559"/>
      <c r="M4" s="3559"/>
      <c r="N4" s="3559"/>
      <c r="O4" s="3559"/>
      <c r="P4" s="3559"/>
    </row>
    <row r="5" spans="1:17" ht="20.45" customHeight="1" x14ac:dyDescent="0.4">
      <c r="A5" s="3547" t="s">
        <v>43</v>
      </c>
      <c r="B5" s="3548"/>
      <c r="C5" s="3547" t="s">
        <v>7745</v>
      </c>
      <c r="D5" s="3548"/>
      <c r="E5" s="3548"/>
      <c r="F5" s="3548"/>
      <c r="G5" s="3548"/>
      <c r="H5" s="3548"/>
      <c r="I5" s="3548"/>
      <c r="J5" s="3548"/>
      <c r="K5" s="3548"/>
      <c r="L5" s="3548"/>
      <c r="M5" s="3548"/>
      <c r="N5" s="3548"/>
      <c r="O5" s="3548"/>
      <c r="P5" s="3548"/>
    </row>
    <row r="6" spans="1:17" ht="20.45" customHeight="1"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row r="21" spans="1:17" x14ac:dyDescent="0.4">
      <c r="A21" s="536"/>
    </row>
    <row r="22" spans="1:17" x14ac:dyDescent="0.4">
      <c r="A22" s="536"/>
    </row>
    <row r="23" spans="1:17" x14ac:dyDescent="0.4">
      <c r="A23" s="536"/>
    </row>
    <row r="24" spans="1:17" x14ac:dyDescent="0.4">
      <c r="A24" s="536"/>
    </row>
    <row r="25" spans="1:17" x14ac:dyDescent="0.4">
      <c r="A25" s="536"/>
    </row>
    <row r="26" spans="1:17" x14ac:dyDescent="0.4">
      <c r="A26" s="536"/>
    </row>
    <row r="27" spans="1:17" x14ac:dyDescent="0.4">
      <c r="A27" s="536"/>
    </row>
    <row r="28" spans="1:17" x14ac:dyDescent="0.4">
      <c r="A28" s="536"/>
    </row>
    <row r="29" spans="1:17" x14ac:dyDescent="0.4">
      <c r="A29"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72EB8ED-F240-4EAA-A9BA-2F5D650B6050}"/>
    <hyperlink ref="C1:D1" location="'Metadato 17.15.1'!A1" display="VER METADATO" xr:uid="{46460CDB-184E-4DAF-8F22-A5F675D28F15}"/>
  </hyperlinks>
  <pageMargins left="0.7" right="0.7" top="0.75" bottom="0.75" header="0.3" footer="0.3"/>
  <drawing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516B-9965-4191-A623-59EADF8E8328}">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37.5" x14ac:dyDescent="0.4">
      <c r="B5" s="2425" t="s">
        <v>79</v>
      </c>
      <c r="C5" s="2425"/>
      <c r="D5" s="49" t="s">
        <v>7743</v>
      </c>
    </row>
    <row r="6" spans="2:6" x14ac:dyDescent="0.4">
      <c r="B6" s="2425" t="s">
        <v>80</v>
      </c>
      <c r="C6" s="2425"/>
      <c r="D6" s="50" t="s">
        <v>7744</v>
      </c>
    </row>
    <row r="7" spans="2:6" ht="37.5" x14ac:dyDescent="0.4">
      <c r="B7" s="2426" t="s">
        <v>81</v>
      </c>
      <c r="C7" s="2426"/>
      <c r="D7" s="93" t="s">
        <v>7745</v>
      </c>
    </row>
    <row r="8" spans="2:6" x14ac:dyDescent="0.4">
      <c r="B8" s="2426" t="s">
        <v>165</v>
      </c>
      <c r="C8" s="2426"/>
      <c r="D8" s="1047" t="s">
        <v>8026</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ht="45" customHeight="1"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ht="56.25" x14ac:dyDescent="0.4">
      <c r="B28" s="60" t="s">
        <v>118</v>
      </c>
      <c r="C28" s="61"/>
      <c r="D28" s="49" t="s">
        <v>8027</v>
      </c>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6C3C408-3D46-48AD-85CB-8692DF398F59}">
      <formula1>Tipo_operación</formula1>
    </dataValidation>
    <dataValidation type="list" allowBlank="1" showInputMessage="1" showErrorMessage="1" sqref="D14" xr:uid="{8863205E-7A8E-4157-A6F2-B5EB06CAC6AD}">
      <formula1>Tipo_indicador</formula1>
    </dataValidation>
    <dataValidation type="list" allowBlank="1" showInputMessage="1" showErrorMessage="1" sqref="D7" xr:uid="{5DA781AF-D4AD-450A-A701-1CE04EE1C185}">
      <formula1>Nombre_indicador_ODS</formula1>
    </dataValidation>
    <dataValidation type="list" allowBlank="1" showInputMessage="1" showErrorMessage="1" sqref="D6" xr:uid="{C5CC09B8-E5E1-47AA-BC6F-9D96D0959A91}">
      <formula1>Numero_indicador</formula1>
    </dataValidation>
    <dataValidation type="list" allowBlank="1" showInputMessage="1" showErrorMessage="1" sqref="D5" xr:uid="{8ED91B3E-0567-4C9A-A7C1-46AE79776EC3}">
      <formula1>Metas_ODS</formula1>
    </dataValidation>
    <dataValidation type="list" allowBlank="1" showInputMessage="1" showErrorMessage="1" sqref="D4" xr:uid="{24186A20-1820-40E0-A7B5-FA29CC6D35EC}">
      <formula1>ODS</formula1>
    </dataValidation>
    <dataValidation allowBlank="1" showDropDown="1" showInputMessage="1" showErrorMessage="1" sqref="D13" xr:uid="{89675C95-315F-4D45-A613-FA9DE1B89D81}"/>
  </dataValidations>
  <hyperlinks>
    <hyperlink ref="B1" location="'17.15.1'!A1" display="REGRESAR" xr:uid="{819520A3-AFA8-40A2-8379-835D52F148FF}"/>
    <hyperlink ref="D8" r:id="rId1" xr:uid="{C4BB5EF0-785F-4EBC-8E16-2E0756E51115}"/>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93B7C-D0ED-470B-9419-4803B56CE79E}">
  <sheetPr>
    <tabColor rgb="FF7030A0"/>
  </sheetPr>
  <dimension ref="A1:Q1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28515625" style="115" customWidth="1"/>
    <col min="2" max="2" width="18.7109375" style="115" customWidth="1"/>
    <col min="3" max="3" width="11.28515625" style="1048" customWidth="1"/>
    <col min="4" max="5" width="11.28515625" style="115" customWidth="1"/>
    <col min="6" max="16384" width="11.42578125" style="115"/>
  </cols>
  <sheetData>
    <row r="1" spans="1:17" x14ac:dyDescent="0.4">
      <c r="A1" s="90" t="s">
        <v>39</v>
      </c>
      <c r="B1" s="1311"/>
      <c r="C1" s="2541" t="s">
        <v>149</v>
      </c>
      <c r="D1" s="2541"/>
    </row>
    <row r="3" spans="1:17" ht="19.5" x14ac:dyDescent="0.4">
      <c r="A3" s="3547" t="s">
        <v>41</v>
      </c>
      <c r="B3" s="3547"/>
      <c r="C3" s="3558" t="s">
        <v>8028</v>
      </c>
      <c r="D3" s="3559"/>
      <c r="E3" s="3559"/>
      <c r="F3" s="3559"/>
      <c r="G3" s="3559"/>
      <c r="H3" s="3559"/>
      <c r="I3" s="3559"/>
      <c r="J3" s="3559"/>
      <c r="K3" s="3559"/>
      <c r="L3" s="3559"/>
      <c r="M3" s="3559"/>
      <c r="N3" s="3559"/>
      <c r="O3" s="3559"/>
      <c r="P3" s="3559"/>
    </row>
    <row r="4" spans="1:17" ht="35.450000000000003" customHeight="1" x14ac:dyDescent="0.4">
      <c r="A4" s="3547" t="s">
        <v>42</v>
      </c>
      <c r="B4" s="3548"/>
      <c r="C4" s="3558" t="s">
        <v>7746</v>
      </c>
      <c r="D4" s="3559"/>
      <c r="E4" s="3559"/>
      <c r="F4" s="3559"/>
      <c r="G4" s="3559"/>
      <c r="H4" s="3559"/>
      <c r="I4" s="3559"/>
      <c r="J4" s="3559"/>
      <c r="K4" s="3559"/>
      <c r="L4" s="3559"/>
      <c r="M4" s="3559"/>
      <c r="N4" s="3559"/>
      <c r="O4" s="3559"/>
      <c r="P4" s="3559"/>
    </row>
    <row r="5" spans="1:17" ht="37.15" customHeight="1" x14ac:dyDescent="0.4">
      <c r="A5" s="3547" t="s">
        <v>43</v>
      </c>
      <c r="B5" s="3548"/>
      <c r="C5" s="3558" t="s">
        <v>7748</v>
      </c>
      <c r="D5" s="3559"/>
      <c r="E5" s="3559"/>
      <c r="F5" s="3559"/>
      <c r="G5" s="3559"/>
      <c r="H5" s="3559"/>
      <c r="I5" s="3559"/>
      <c r="J5" s="3559"/>
      <c r="K5" s="3559"/>
      <c r="L5" s="3559"/>
      <c r="M5" s="3559"/>
      <c r="N5" s="3559"/>
      <c r="O5" s="3559"/>
      <c r="P5" s="3559"/>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C11" s="221"/>
      <c r="D11" s="220"/>
      <c r="E11" s="220"/>
      <c r="F11" s="220"/>
      <c r="G11" s="220"/>
      <c r="H11" s="220"/>
      <c r="I11" s="220"/>
      <c r="J11" s="220"/>
      <c r="K11" s="220"/>
      <c r="L11" s="220"/>
      <c r="M11" s="220"/>
      <c r="N11" s="220"/>
      <c r="O11" s="220"/>
      <c r="P11" s="220"/>
      <c r="Q11" s="220"/>
    </row>
    <row r="12" spans="1:17" x14ac:dyDescent="0.4">
      <c r="C12" s="221"/>
      <c r="D12" s="220"/>
      <c r="E12" s="220"/>
      <c r="F12" s="220"/>
      <c r="G12" s="220"/>
      <c r="H12" s="220"/>
      <c r="I12" s="220"/>
      <c r="J12" s="220"/>
      <c r="K12" s="220"/>
      <c r="L12" s="220"/>
      <c r="M12" s="220"/>
      <c r="N12" s="220"/>
      <c r="O12" s="220"/>
      <c r="P12" s="220"/>
      <c r="Q12" s="220"/>
    </row>
    <row r="13" spans="1:17" x14ac:dyDescent="0.4">
      <c r="C13" s="221"/>
      <c r="D13" s="220"/>
      <c r="E13" s="220"/>
      <c r="F13" s="220"/>
      <c r="G13" s="220"/>
      <c r="H13" s="220"/>
      <c r="I13" s="220"/>
      <c r="J13" s="220"/>
      <c r="K13" s="220"/>
      <c r="L13" s="220"/>
      <c r="M13" s="220"/>
      <c r="N13" s="220"/>
      <c r="O13" s="220"/>
      <c r="P13" s="220"/>
      <c r="Q13" s="220"/>
    </row>
    <row r="14" spans="1:17" x14ac:dyDescent="0.4">
      <c r="C14" s="221"/>
      <c r="D14" s="220"/>
      <c r="E14" s="220"/>
      <c r="F14" s="220"/>
      <c r="G14" s="220"/>
      <c r="H14" s="220"/>
      <c r="I14" s="220"/>
      <c r="J14" s="220"/>
      <c r="K14" s="220"/>
      <c r="L14" s="220"/>
      <c r="M14" s="220"/>
      <c r="N14" s="220"/>
      <c r="O14" s="220"/>
      <c r="P14" s="220"/>
      <c r="Q14" s="220"/>
    </row>
    <row r="15" spans="1:17" x14ac:dyDescent="0.4">
      <c r="C15" s="221"/>
      <c r="D15" s="220"/>
      <c r="E15" s="220"/>
      <c r="F15" s="220"/>
      <c r="G15" s="220"/>
      <c r="H15" s="220"/>
      <c r="I15" s="220"/>
      <c r="J15" s="220"/>
      <c r="K15" s="220"/>
      <c r="L15" s="220"/>
      <c r="M15" s="220"/>
      <c r="N15" s="220"/>
      <c r="O15" s="220"/>
      <c r="P15" s="220"/>
      <c r="Q15" s="220"/>
    </row>
    <row r="16" spans="1:17" x14ac:dyDescent="0.4">
      <c r="C16" s="221"/>
      <c r="D16" s="220"/>
      <c r="E16" s="220"/>
      <c r="F16" s="220"/>
      <c r="G16" s="220"/>
      <c r="H16" s="220"/>
      <c r="I16" s="220"/>
      <c r="J16" s="220"/>
      <c r="K16" s="220"/>
      <c r="L16" s="220"/>
      <c r="M16" s="220"/>
      <c r="N16" s="220"/>
      <c r="O16" s="220"/>
      <c r="P16" s="220"/>
      <c r="Q16" s="220"/>
    </row>
    <row r="17" spans="3:17" x14ac:dyDescent="0.4">
      <c r="C17" s="2494" t="s">
        <v>316</v>
      </c>
      <c r="D17" s="2494"/>
      <c r="E17" s="2494"/>
      <c r="F17" s="2494"/>
      <c r="G17" s="2494"/>
      <c r="H17" s="2494"/>
      <c r="I17" s="2494"/>
      <c r="J17" s="2494"/>
      <c r="K17" s="2494"/>
      <c r="L17" s="2494"/>
      <c r="M17" s="2494"/>
      <c r="N17" s="2494"/>
      <c r="O17" s="2494"/>
      <c r="P17" s="2494"/>
      <c r="Q17" s="2494"/>
    </row>
    <row r="18" spans="3:17" x14ac:dyDescent="0.4">
      <c r="C18" s="221"/>
      <c r="D18" s="220"/>
      <c r="E18" s="220"/>
      <c r="F18" s="220"/>
      <c r="G18" s="220"/>
      <c r="H18" s="220"/>
      <c r="I18" s="220"/>
      <c r="J18" s="220"/>
      <c r="K18" s="220"/>
      <c r="L18" s="220"/>
      <c r="M18" s="220"/>
      <c r="N18" s="220"/>
      <c r="O18" s="220"/>
      <c r="P18" s="220"/>
      <c r="Q18" s="220"/>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6EC0C7E6-043D-42F7-BD44-6A654E2558AB}"/>
    <hyperlink ref="C1:D1" location="'Metadato 17.16.1'!A1" display="VER METADATO" xr:uid="{31EE3648-4EAB-47A9-84C0-7244D6ED91AC}"/>
  </hyperlinks>
  <pageMargins left="0.7" right="0.7" top="0.75" bottom="0.75" header="0.3" footer="0.3"/>
  <drawing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1DE9-E5F5-4EF4-95DC-7451AC6723B5}">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75" x14ac:dyDescent="0.4">
      <c r="B5" s="2425" t="s">
        <v>79</v>
      </c>
      <c r="C5" s="2425"/>
      <c r="D5" s="49" t="s">
        <v>7746</v>
      </c>
    </row>
    <row r="6" spans="2:6" x14ac:dyDescent="0.4">
      <c r="B6" s="2425" t="s">
        <v>80</v>
      </c>
      <c r="C6" s="2425"/>
      <c r="D6" s="50" t="s">
        <v>7747</v>
      </c>
    </row>
    <row r="7" spans="2:6" ht="37.5" x14ac:dyDescent="0.4">
      <c r="B7" s="2426" t="s">
        <v>81</v>
      </c>
      <c r="C7" s="2426"/>
      <c r="D7" s="667" t="s">
        <v>7718</v>
      </c>
    </row>
    <row r="8" spans="2:6" x14ac:dyDescent="0.4">
      <c r="B8" s="2426" t="s">
        <v>82</v>
      </c>
      <c r="C8" s="2426"/>
      <c r="D8" s="1345" t="s">
        <v>8029</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ht="112.5" customHeight="1"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ht="150" x14ac:dyDescent="0.4">
      <c r="B28" s="60" t="s">
        <v>118</v>
      </c>
      <c r="C28" s="61"/>
      <c r="D28" s="49" t="s">
        <v>8030</v>
      </c>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14E3873-2E9C-46ED-AAD4-82F207C01E34}"/>
    <dataValidation type="list" allowBlank="1" showInputMessage="1" showErrorMessage="1" sqref="D4" xr:uid="{0AF94CC6-3B38-429F-BEFB-6771EB46919F}">
      <formula1>ODS</formula1>
    </dataValidation>
    <dataValidation type="list" allowBlank="1" showInputMessage="1" showErrorMessage="1" sqref="D5" xr:uid="{91CD16FE-C05A-40BE-9738-407F41FCC098}">
      <formula1>Metas_ODS</formula1>
    </dataValidation>
    <dataValidation type="list" allowBlank="1" showInputMessage="1" showErrorMessage="1" sqref="D6" xr:uid="{D3AC1CA7-ABC5-4451-A57C-05B40CAB7D9B}">
      <formula1>Numero_indicador</formula1>
    </dataValidation>
    <dataValidation type="list" allowBlank="1" showInputMessage="1" showErrorMessage="1" sqref="D7" xr:uid="{860398C5-0E13-4747-BBB5-27E487C91131}">
      <formula1>Nombre_indicador_ODS</formula1>
    </dataValidation>
    <dataValidation type="list" allowBlank="1" showInputMessage="1" showErrorMessage="1" sqref="D14" xr:uid="{9D353524-9D43-4D2B-9DC5-5441C84C1EF4}">
      <formula1>Tipo_indicador</formula1>
    </dataValidation>
    <dataValidation type="list" allowBlank="1" showInputMessage="1" showErrorMessage="1" sqref="D25" xr:uid="{64D5E6A8-8019-4894-8AA9-9A0FC22A0D87}">
      <formula1>Tipo_operación</formula1>
    </dataValidation>
  </dataValidations>
  <hyperlinks>
    <hyperlink ref="B1" location="'17.16.1'!A1" display="REGRESAR" xr:uid="{F0C5F75E-51B5-44E5-A813-BB6507350F3F}"/>
    <hyperlink ref="D8" r:id="rId1" xr:uid="{4EA5B0E2-29BB-447F-B400-F6FD4CFD618E}"/>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F36B-C8F1-4637-A90F-2DDA24C9D65A}">
  <sheetPr>
    <tabColor rgb="FF7030A0"/>
  </sheetPr>
  <dimension ref="A1:Q27"/>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8.5703125" style="115" customWidth="1"/>
    <col min="3" max="3" width="10.7109375" style="1048" customWidth="1"/>
    <col min="4" max="5" width="10.7109375" style="115" customWidth="1"/>
    <col min="6" max="16384" width="11.42578125" style="115"/>
  </cols>
  <sheetData>
    <row r="1" spans="1:17" x14ac:dyDescent="0.4">
      <c r="A1" s="90" t="s">
        <v>39</v>
      </c>
      <c r="B1" s="1311"/>
      <c r="C1" s="2541" t="s">
        <v>149</v>
      </c>
      <c r="D1" s="2541"/>
    </row>
    <row r="3" spans="1:17" ht="19.5" x14ac:dyDescent="0.4">
      <c r="A3" s="3547" t="s">
        <v>41</v>
      </c>
      <c r="B3" s="3547"/>
      <c r="C3" s="3558" t="s">
        <v>8028</v>
      </c>
      <c r="D3" s="3559"/>
      <c r="E3" s="3559"/>
      <c r="F3" s="3559"/>
      <c r="G3" s="3559"/>
      <c r="H3" s="3559"/>
      <c r="I3" s="3559"/>
      <c r="J3" s="3559"/>
      <c r="K3" s="3559"/>
      <c r="L3" s="3559"/>
      <c r="M3" s="3559"/>
      <c r="N3" s="3559"/>
      <c r="O3" s="3559"/>
      <c r="P3" s="3559"/>
    </row>
    <row r="4" spans="1:17" ht="37.9" customHeight="1" x14ac:dyDescent="0.4">
      <c r="A4" s="3547" t="s">
        <v>42</v>
      </c>
      <c r="B4" s="3548"/>
      <c r="C4" s="3558" t="s">
        <v>7749</v>
      </c>
      <c r="D4" s="3559"/>
      <c r="E4" s="3559"/>
      <c r="F4" s="3559"/>
      <c r="G4" s="3559"/>
      <c r="H4" s="3559"/>
      <c r="I4" s="3559"/>
      <c r="J4" s="3559"/>
      <c r="K4" s="3559"/>
      <c r="L4" s="3559"/>
      <c r="M4" s="3559"/>
      <c r="N4" s="3559"/>
      <c r="O4" s="3559"/>
      <c r="P4" s="3559"/>
    </row>
    <row r="5" spans="1:17" ht="19.5" x14ac:dyDescent="0.4">
      <c r="A5" s="3547" t="s">
        <v>43</v>
      </c>
      <c r="B5" s="3548"/>
      <c r="C5" s="3547" t="s">
        <v>7751</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row r="21" spans="1:17" x14ac:dyDescent="0.4">
      <c r="A21" s="536"/>
    </row>
    <row r="22" spans="1:17" x14ac:dyDescent="0.4">
      <c r="A22" s="536"/>
    </row>
    <row r="23" spans="1:17" x14ac:dyDescent="0.4">
      <c r="A23" s="536"/>
    </row>
    <row r="24" spans="1:17" x14ac:dyDescent="0.4">
      <c r="A24" s="536"/>
    </row>
    <row r="25" spans="1:17" x14ac:dyDescent="0.4">
      <c r="A25" s="536"/>
    </row>
    <row r="26" spans="1:17" x14ac:dyDescent="0.4">
      <c r="A26" s="536"/>
    </row>
    <row r="27" spans="1:17" x14ac:dyDescent="0.4">
      <c r="A27"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A523B-1B38-45DA-BCC4-80F4D711B93C}"/>
    <hyperlink ref="C1:D1" location="'Metadato 17.17.1'!A1" display="VER METADATO" xr:uid="{6C19BA44-0573-4D14-B01D-C4A65012D7E5}"/>
  </hyperlinks>
  <pageMargins left="0.7" right="0.7" top="0.75" bottom="0.75" header="0.3" footer="0.3"/>
  <drawing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3088-2C11-46B7-9C3C-E2D445741C9C}">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37.5" x14ac:dyDescent="0.4">
      <c r="B5" s="2425" t="s">
        <v>79</v>
      </c>
      <c r="C5" s="2425"/>
      <c r="D5" s="49" t="s">
        <v>7749</v>
      </c>
    </row>
    <row r="6" spans="2:6" ht="15.75" customHeight="1" x14ac:dyDescent="0.4">
      <c r="B6" s="2425" t="s">
        <v>80</v>
      </c>
      <c r="C6" s="2425"/>
      <c r="D6" s="50" t="s">
        <v>7750</v>
      </c>
    </row>
    <row r="7" spans="2:6" ht="37.5" x14ac:dyDescent="0.4">
      <c r="B7" s="2426" t="s">
        <v>81</v>
      </c>
      <c r="C7" s="2426"/>
      <c r="D7" s="93" t="s">
        <v>7751</v>
      </c>
    </row>
    <row r="8" spans="2:6" x14ac:dyDescent="0.4">
      <c r="B8" s="2426" t="s">
        <v>82</v>
      </c>
      <c r="C8" s="2426"/>
      <c r="D8" s="1047" t="s">
        <v>353</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50"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19DB06D8-5C80-4ED6-B4D0-873205CEC4C3}"/>
    <dataValidation type="list" allowBlank="1" showInputMessage="1" showErrorMessage="1" sqref="D4" xr:uid="{7AF84FDB-C21C-4D68-A051-2C417B4D085E}">
      <formula1>ODS</formula1>
    </dataValidation>
    <dataValidation type="list" allowBlank="1" showInputMessage="1" showErrorMessage="1" sqref="D5" xr:uid="{B8EE5FB3-0031-4B28-9949-F66A39ACD8AF}">
      <formula1>Metas_ODS</formula1>
    </dataValidation>
    <dataValidation type="list" allowBlank="1" showInputMessage="1" showErrorMessage="1" sqref="D14" xr:uid="{73E3F4E2-8503-4065-A875-E800C0239B77}">
      <formula1>Tipo_indicador</formula1>
    </dataValidation>
    <dataValidation type="list" allowBlank="1" showInputMessage="1" showErrorMessage="1" sqref="D25" xr:uid="{349DED9B-4FBA-4AFD-9B16-8208D589317A}">
      <formula1>Tipo_operación</formula1>
    </dataValidation>
  </dataValidations>
  <hyperlinks>
    <hyperlink ref="B1" location="'17.17.1'!A1" display="REGRESAR" xr:uid="{7C3E49B2-329E-4DBD-828D-17A2C2DE49E7}"/>
    <hyperlink ref="D8" r:id="rId1" xr:uid="{0C2AC979-7E67-4210-B929-87EDEAE3CA61}"/>
  </hyperlinks>
  <pageMargins left="0.7" right="0.7" top="0.75" bottom="0.75" header="0.3" footer="0.3"/>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0B8E-7A60-4F38-9D5F-9D8BF0918AAD}">
  <dimension ref="A1:AX49"/>
  <sheetViews>
    <sheetView showGridLines="0" workbookViewId="0">
      <pane ySplit="1" topLeftCell="A2" activePane="bottomLeft" state="frozen"/>
      <selection sqref="A1:B1"/>
      <selection pane="bottomLeft"/>
    </sheetView>
  </sheetViews>
  <sheetFormatPr baseColWidth="10" defaultColWidth="11.42578125" defaultRowHeight="18.75" x14ac:dyDescent="0.4"/>
  <cols>
    <col min="1" max="1" width="15.28515625" style="115" customWidth="1"/>
    <col min="2" max="2" width="18" style="115" customWidth="1"/>
    <col min="3" max="3" width="11.42578125" style="1048"/>
    <col min="4" max="4" width="8.7109375" style="115" customWidth="1"/>
    <col min="5" max="5" width="7.85546875" style="115" customWidth="1"/>
    <col min="6" max="6" width="7.28515625" style="115" customWidth="1"/>
    <col min="7" max="7" width="8.140625" style="115" customWidth="1"/>
    <col min="8" max="9" width="5.7109375" style="115" customWidth="1"/>
    <col min="10" max="14" width="7.7109375" style="115" customWidth="1"/>
    <col min="15" max="15" width="2" style="115" customWidth="1"/>
    <col min="16" max="20" width="7.5703125" style="115" customWidth="1"/>
    <col min="21" max="21" width="1.28515625" style="115" customWidth="1"/>
    <col min="22" max="26" width="6.7109375" style="115" customWidth="1"/>
    <col min="27" max="27" width="1.5703125" style="115" customWidth="1"/>
    <col min="28" max="28" width="6.28515625" style="115" customWidth="1"/>
    <col min="29" max="32" width="5" style="115" customWidth="1"/>
    <col min="33" max="33" width="2.28515625" style="115" customWidth="1"/>
    <col min="34" max="38" width="6" style="115" customWidth="1"/>
    <col min="39" max="39" width="1.7109375" style="115" customWidth="1"/>
    <col min="40" max="44" width="6.140625" style="115" customWidth="1"/>
    <col min="45" max="45" width="1.7109375" style="115" customWidth="1"/>
    <col min="46" max="50" width="7.42578125" style="115" customWidth="1"/>
    <col min="51" max="16384" width="11.42578125" style="115"/>
  </cols>
  <sheetData>
    <row r="1" spans="1:35" x14ac:dyDescent="0.4">
      <c r="A1" s="90" t="s">
        <v>39</v>
      </c>
      <c r="B1" s="1311"/>
      <c r="C1" s="2541" t="s">
        <v>149</v>
      </c>
      <c r="D1" s="2541"/>
    </row>
    <row r="3" spans="1:35" ht="22.9" customHeight="1" x14ac:dyDescent="0.4">
      <c r="A3" s="3547" t="s">
        <v>41</v>
      </c>
      <c r="B3" s="3547"/>
      <c r="C3" s="3547" t="s">
        <v>8031</v>
      </c>
      <c r="D3" s="3547"/>
      <c r="E3" s="3547"/>
      <c r="F3" s="3547"/>
      <c r="G3" s="3547"/>
      <c r="H3" s="3547"/>
      <c r="I3" s="3547"/>
      <c r="J3" s="3547"/>
      <c r="K3" s="3547"/>
      <c r="L3" s="3547"/>
      <c r="M3" s="3547"/>
      <c r="N3" s="3547"/>
      <c r="O3" s="3547"/>
      <c r="P3" s="3547"/>
      <c r="Q3" s="3547"/>
      <c r="R3" s="3547"/>
      <c r="S3" s="3547"/>
      <c r="T3" s="3547"/>
      <c r="U3" s="3547"/>
      <c r="V3" s="3547"/>
      <c r="W3" s="3547"/>
      <c r="X3" s="3547"/>
      <c r="Y3" s="3547"/>
      <c r="Z3" s="3547"/>
      <c r="AA3" s="3547"/>
      <c r="AB3" s="3547"/>
      <c r="AC3" s="3547"/>
      <c r="AD3" s="3547"/>
      <c r="AE3" s="3547"/>
      <c r="AF3" s="3547"/>
      <c r="AG3" s="3547"/>
      <c r="AH3" s="3547"/>
      <c r="AI3" s="3547"/>
    </row>
    <row r="4" spans="1:35" ht="42.6" customHeight="1" x14ac:dyDescent="0.4">
      <c r="A4" s="3547" t="s">
        <v>42</v>
      </c>
      <c r="B4" s="3548"/>
      <c r="C4" s="3558" t="s">
        <v>7752</v>
      </c>
      <c r="D4" s="3558"/>
      <c r="E4" s="3558"/>
      <c r="F4" s="3558"/>
      <c r="G4" s="3558"/>
      <c r="H4" s="3558"/>
      <c r="I4" s="3558"/>
      <c r="J4" s="3558"/>
      <c r="K4" s="3558"/>
      <c r="L4" s="3558"/>
      <c r="M4" s="3558"/>
      <c r="N4" s="3558"/>
      <c r="O4" s="3558"/>
      <c r="P4" s="3558"/>
      <c r="Q4" s="3558"/>
      <c r="R4" s="3558"/>
      <c r="S4" s="3558"/>
      <c r="T4" s="3558"/>
      <c r="U4" s="3558"/>
      <c r="V4" s="3558"/>
      <c r="W4" s="3558"/>
      <c r="X4" s="3558"/>
      <c r="Y4" s="3558"/>
      <c r="Z4" s="3558"/>
      <c r="AA4" s="3558"/>
      <c r="AB4" s="3558"/>
      <c r="AC4" s="3558"/>
      <c r="AD4" s="3558"/>
      <c r="AE4" s="3558"/>
      <c r="AF4" s="3558"/>
      <c r="AG4" s="3558"/>
      <c r="AH4" s="3558"/>
      <c r="AI4" s="3558"/>
    </row>
    <row r="5" spans="1:35" ht="20.45" customHeight="1" x14ac:dyDescent="0.4">
      <c r="A5" s="3547" t="s">
        <v>43</v>
      </c>
      <c r="B5" s="3548"/>
      <c r="C5" s="3547" t="s">
        <v>7754</v>
      </c>
      <c r="D5" s="3547"/>
      <c r="E5" s="3547"/>
      <c r="F5" s="3547"/>
      <c r="G5" s="3547"/>
      <c r="H5" s="3547"/>
      <c r="I5" s="3547"/>
      <c r="J5" s="3547"/>
      <c r="K5" s="3547"/>
      <c r="L5" s="3547"/>
      <c r="M5" s="3547"/>
      <c r="N5" s="3547"/>
      <c r="O5" s="3547"/>
      <c r="P5" s="3547"/>
      <c r="Q5" s="3547"/>
      <c r="R5" s="3547"/>
      <c r="S5" s="3547"/>
      <c r="T5" s="3547"/>
      <c r="U5" s="3547"/>
      <c r="V5" s="3547"/>
      <c r="W5" s="3547"/>
      <c r="X5" s="3547"/>
      <c r="Y5" s="3547"/>
      <c r="Z5" s="3547"/>
      <c r="AA5" s="3547"/>
      <c r="AB5" s="3547"/>
      <c r="AC5" s="3547"/>
      <c r="AD5" s="3547"/>
      <c r="AE5" s="3547"/>
      <c r="AF5" s="3547"/>
      <c r="AG5" s="3547"/>
      <c r="AH5" s="3547"/>
      <c r="AI5" s="3547"/>
    </row>
    <row r="6" spans="1:35" ht="42" customHeight="1" x14ac:dyDescent="0.4">
      <c r="A6" s="3547" t="s">
        <v>132</v>
      </c>
      <c r="B6" s="3548"/>
      <c r="C6" s="3572" t="s">
        <v>8032</v>
      </c>
      <c r="D6" s="3572"/>
      <c r="E6" s="3572"/>
      <c r="F6" s="3572"/>
      <c r="G6" s="3572"/>
      <c r="H6" s="3572"/>
      <c r="I6" s="3572"/>
      <c r="J6" s="3572"/>
      <c r="K6" s="3572"/>
      <c r="L6" s="3572"/>
      <c r="M6" s="3572"/>
      <c r="N6" s="3572"/>
      <c r="O6" s="3572"/>
      <c r="P6" s="3572"/>
      <c r="Q6" s="3572"/>
      <c r="R6" s="3572"/>
      <c r="S6" s="3572"/>
      <c r="T6" s="3572"/>
      <c r="U6" s="3572"/>
      <c r="V6" s="3572"/>
      <c r="W6" s="3572"/>
      <c r="X6" s="3572"/>
      <c r="Y6" s="3572"/>
      <c r="Z6" s="3572"/>
      <c r="AA6" s="3572"/>
      <c r="AB6" s="3572"/>
      <c r="AC6" s="3572"/>
      <c r="AD6" s="3572"/>
      <c r="AE6" s="3572"/>
      <c r="AF6" s="3572"/>
      <c r="AG6" s="3572"/>
      <c r="AH6" s="3572"/>
      <c r="AI6" s="3572"/>
    </row>
    <row r="7" spans="1:35" x14ac:dyDescent="0.4">
      <c r="A7" s="536"/>
    </row>
    <row r="8" spans="1:35" x14ac:dyDescent="0.4">
      <c r="A8" s="536"/>
    </row>
    <row r="9" spans="1:35" ht="19.5" x14ac:dyDescent="0.4">
      <c r="A9" s="536"/>
      <c r="C9" s="163" t="s">
        <v>8033</v>
      </c>
      <c r="D9" s="163"/>
      <c r="E9" s="163"/>
      <c r="F9" s="163"/>
      <c r="G9" s="163"/>
      <c r="H9" s="163"/>
      <c r="I9" s="163"/>
      <c r="J9" s="163"/>
      <c r="K9" s="138"/>
    </row>
    <row r="10" spans="1:35" ht="19.5" x14ac:dyDescent="0.4">
      <c r="A10" s="536"/>
      <c r="C10" s="138" t="s">
        <v>8034</v>
      </c>
      <c r="D10" s="138"/>
      <c r="E10" s="138"/>
      <c r="F10" s="138"/>
      <c r="G10" s="138"/>
      <c r="H10" s="138"/>
      <c r="I10" s="138"/>
      <c r="J10" s="138"/>
      <c r="K10" s="138"/>
    </row>
    <row r="11" spans="1:35" ht="7.15" customHeight="1" x14ac:dyDescent="0.4">
      <c r="A11" s="536"/>
      <c r="C11" s="533"/>
      <c r="D11" s="533"/>
      <c r="E11" s="533"/>
      <c r="F11" s="533"/>
      <c r="G11" s="533"/>
      <c r="H11" s="533"/>
      <c r="I11" s="533"/>
      <c r="J11" s="533"/>
      <c r="K11" s="533"/>
    </row>
    <row r="12" spans="1:35" x14ac:dyDescent="0.4">
      <c r="A12" s="536"/>
      <c r="C12" s="3551" t="s">
        <v>8035</v>
      </c>
      <c r="D12" s="3551"/>
      <c r="E12" s="3551"/>
      <c r="F12" s="3551"/>
      <c r="G12" s="3551"/>
      <c r="H12" s="2201">
        <v>2020</v>
      </c>
      <c r="I12" s="2201">
        <v>2021</v>
      </c>
      <c r="J12" s="2201">
        <v>2022</v>
      </c>
      <c r="K12" s="2201">
        <v>2023</v>
      </c>
      <c r="L12" s="2201">
        <v>2024</v>
      </c>
    </row>
    <row r="13" spans="1:35" ht="21" customHeight="1" x14ac:dyDescent="0.4">
      <c r="A13" s="536"/>
      <c r="C13" s="2526" t="s">
        <v>8036</v>
      </c>
      <c r="D13" s="2526"/>
      <c r="E13" s="2526"/>
      <c r="F13" s="2526"/>
      <c r="G13" s="2526"/>
      <c r="H13" s="141">
        <v>142</v>
      </c>
      <c r="I13" s="141">
        <v>146</v>
      </c>
      <c r="J13" s="141">
        <v>147</v>
      </c>
      <c r="K13" s="141">
        <v>154</v>
      </c>
      <c r="L13" s="141">
        <v>158</v>
      </c>
    </row>
    <row r="14" spans="1:35" ht="36.6" customHeight="1" x14ac:dyDescent="0.4">
      <c r="A14" s="536"/>
      <c r="C14" s="2526" t="s">
        <v>8037</v>
      </c>
      <c r="D14" s="2526"/>
      <c r="E14" s="2526"/>
      <c r="F14" s="2526"/>
      <c r="G14" s="2526"/>
      <c r="H14" s="141">
        <v>91</v>
      </c>
      <c r="I14" s="141">
        <v>92</v>
      </c>
      <c r="J14" s="141">
        <v>92</v>
      </c>
      <c r="K14" s="141">
        <v>95</v>
      </c>
      <c r="L14" s="141">
        <v>97</v>
      </c>
    </row>
    <row r="15" spans="1:35" ht="34.15" customHeight="1" x14ac:dyDescent="0.4">
      <c r="A15" s="536"/>
      <c r="C15" s="3569" t="s">
        <v>8038</v>
      </c>
      <c r="D15" s="3569"/>
      <c r="E15" s="3569"/>
      <c r="F15" s="3569"/>
      <c r="G15" s="3569"/>
      <c r="H15" s="141">
        <v>7</v>
      </c>
      <c r="I15" s="141">
        <v>7</v>
      </c>
      <c r="J15" s="141">
        <v>7</v>
      </c>
      <c r="K15" s="141">
        <v>8</v>
      </c>
      <c r="L15" s="141">
        <v>8</v>
      </c>
    </row>
    <row r="16" spans="1:35" ht="34.15" customHeight="1" x14ac:dyDescent="0.4">
      <c r="A16" s="536"/>
      <c r="C16" s="3569" t="s">
        <v>8039</v>
      </c>
      <c r="D16" s="3569"/>
      <c r="E16" s="3569"/>
      <c r="F16" s="3569"/>
      <c r="G16" s="3569"/>
      <c r="H16" s="141">
        <v>84</v>
      </c>
      <c r="I16" s="141">
        <v>85</v>
      </c>
      <c r="J16" s="141">
        <v>85</v>
      </c>
      <c r="K16" s="141">
        <v>87</v>
      </c>
      <c r="L16" s="141">
        <v>89</v>
      </c>
    </row>
    <row r="17" spans="1:50" ht="15.75" customHeight="1" x14ac:dyDescent="0.4">
      <c r="A17" s="536"/>
      <c r="C17" s="2526" t="s">
        <v>8040</v>
      </c>
      <c r="D17" s="2526"/>
      <c r="E17" s="2526"/>
      <c r="F17" s="2526"/>
      <c r="G17" s="2526"/>
      <c r="H17" s="141">
        <v>45</v>
      </c>
      <c r="I17" s="141">
        <v>48</v>
      </c>
      <c r="J17" s="141">
        <v>49</v>
      </c>
      <c r="K17" s="141">
        <v>52</v>
      </c>
      <c r="L17" s="141">
        <v>54</v>
      </c>
    </row>
    <row r="18" spans="1:50" x14ac:dyDescent="0.4">
      <c r="A18" s="536"/>
      <c r="C18" s="2529" t="s">
        <v>8041</v>
      </c>
      <c r="D18" s="2529"/>
      <c r="E18" s="2529"/>
      <c r="F18" s="2529"/>
      <c r="G18" s="2529"/>
      <c r="H18" s="694">
        <v>6</v>
      </c>
      <c r="I18" s="694">
        <v>6</v>
      </c>
      <c r="J18" s="694">
        <v>6</v>
      </c>
      <c r="K18" s="694">
        <v>7</v>
      </c>
      <c r="L18" s="694">
        <v>7</v>
      </c>
    </row>
    <row r="19" spans="1:50" ht="16.899999999999999" customHeight="1" x14ac:dyDescent="0.4">
      <c r="A19" s="536"/>
      <c r="C19" s="155" t="s">
        <v>8042</v>
      </c>
      <c r="D19" s="155"/>
      <c r="E19" s="155"/>
      <c r="F19" s="155"/>
      <c r="G19" s="155"/>
      <c r="H19" s="155"/>
      <c r="I19" s="155"/>
      <c r="J19" s="155"/>
      <c r="K19" s="155"/>
      <c r="L19" s="155"/>
    </row>
    <row r="20" spans="1:50" x14ac:dyDescent="0.4">
      <c r="A20" s="536"/>
    </row>
    <row r="21" spans="1:50" x14ac:dyDescent="0.4">
      <c r="A21" s="536"/>
    </row>
    <row r="22" spans="1:50" x14ac:dyDescent="0.4">
      <c r="A22" s="536"/>
    </row>
    <row r="23" spans="1:50" x14ac:dyDescent="0.4">
      <c r="A23" s="536"/>
    </row>
    <row r="24" spans="1:50" ht="19.5" x14ac:dyDescent="0.4">
      <c r="C24" s="2266" t="s">
        <v>8043</v>
      </c>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row>
    <row r="25" spans="1:50" ht="12" customHeight="1" x14ac:dyDescent="0.4">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1440"/>
      <c r="AA25" s="1440"/>
      <c r="AB25" s="1440"/>
      <c r="AC25" s="1440"/>
      <c r="AD25" s="1440"/>
      <c r="AE25" s="1440"/>
      <c r="AF25" s="1440"/>
      <c r="AG25" s="1440"/>
      <c r="AH25" s="1440"/>
      <c r="AI25" s="1440"/>
    </row>
    <row r="26" spans="1:50" ht="17.45" customHeight="1" x14ac:dyDescent="0.4">
      <c r="C26" s="3566" t="s">
        <v>8044</v>
      </c>
      <c r="D26" s="3549" t="s">
        <v>8045</v>
      </c>
      <c r="E26" s="3549"/>
      <c r="F26" s="3549"/>
      <c r="G26" s="3549"/>
      <c r="H26" s="3549"/>
      <c r="I26" s="2197"/>
      <c r="J26" s="3571" t="s">
        <v>8046</v>
      </c>
      <c r="K26" s="3571"/>
      <c r="L26" s="3571"/>
      <c r="M26" s="3571"/>
      <c r="N26" s="3571"/>
      <c r="O26" s="3571"/>
      <c r="P26" s="3571"/>
      <c r="Q26" s="3571"/>
      <c r="R26" s="3571"/>
      <c r="S26" s="3571"/>
      <c r="T26" s="3571"/>
      <c r="U26" s="3571"/>
      <c r="V26" s="3571"/>
      <c r="W26" s="3571"/>
      <c r="X26" s="3571"/>
      <c r="Y26" s="3571"/>
      <c r="Z26" s="3571"/>
      <c r="AA26" s="3571"/>
      <c r="AB26" s="3571"/>
      <c r="AC26" s="3571"/>
      <c r="AD26" s="3571"/>
      <c r="AE26" s="3571"/>
      <c r="AF26" s="3571"/>
      <c r="AG26" s="3571"/>
      <c r="AH26" s="3571"/>
      <c r="AI26" s="3571"/>
      <c r="AJ26" s="3571"/>
      <c r="AK26" s="3571"/>
      <c r="AL26" s="3571"/>
      <c r="AM26" s="3571"/>
      <c r="AN26" s="3571"/>
      <c r="AO26" s="3571"/>
      <c r="AP26" s="3571"/>
      <c r="AQ26" s="3571"/>
      <c r="AR26" s="3571"/>
      <c r="AS26" s="3571"/>
      <c r="AT26" s="3571"/>
      <c r="AU26" s="3571"/>
      <c r="AV26" s="3571"/>
      <c r="AW26" s="3571"/>
      <c r="AX26" s="3571"/>
    </row>
    <row r="27" spans="1:50" ht="17.45" customHeight="1" x14ac:dyDescent="0.4">
      <c r="C27" s="3570"/>
      <c r="D27" s="3550"/>
      <c r="E27" s="3550"/>
      <c r="F27" s="3550"/>
      <c r="G27" s="3550"/>
      <c r="H27" s="3550"/>
      <c r="I27" s="2267"/>
      <c r="J27" s="3550" t="s">
        <v>48</v>
      </c>
      <c r="K27" s="3550"/>
      <c r="L27" s="3550"/>
      <c r="M27" s="3550"/>
      <c r="N27" s="3550"/>
      <c r="O27" s="2267"/>
      <c r="P27" s="3550" t="s">
        <v>105</v>
      </c>
      <c r="Q27" s="3550"/>
      <c r="R27" s="3550"/>
      <c r="S27" s="3550"/>
      <c r="T27" s="3550"/>
      <c r="U27" s="2267"/>
      <c r="V27" s="3550" t="s">
        <v>1389</v>
      </c>
      <c r="W27" s="3550"/>
      <c r="X27" s="3550"/>
      <c r="Y27" s="3550"/>
      <c r="Z27" s="3550"/>
      <c r="AA27" s="2267"/>
      <c r="AB27" s="3550" t="s">
        <v>5690</v>
      </c>
      <c r="AC27" s="3550"/>
      <c r="AD27" s="3550"/>
      <c r="AE27" s="3550"/>
      <c r="AF27" s="3550"/>
      <c r="AG27" s="2267"/>
      <c r="AH27" s="3550" t="s">
        <v>8047</v>
      </c>
      <c r="AI27" s="3550"/>
      <c r="AJ27" s="3550"/>
      <c r="AK27" s="3550"/>
      <c r="AL27" s="3550"/>
      <c r="AM27" s="2267"/>
      <c r="AN27" s="3550" t="s">
        <v>8048</v>
      </c>
      <c r="AO27" s="3550"/>
      <c r="AP27" s="3550"/>
      <c r="AQ27" s="3550"/>
      <c r="AR27" s="3550"/>
      <c r="AS27" s="2267"/>
      <c r="AT27" s="3550" t="s">
        <v>8049</v>
      </c>
      <c r="AU27" s="3550"/>
      <c r="AV27" s="3550"/>
      <c r="AW27" s="3550"/>
      <c r="AX27" s="3550"/>
    </row>
    <row r="28" spans="1:50" x14ac:dyDescent="0.4">
      <c r="C28" s="3567"/>
      <c r="D28" s="2198">
        <v>2020</v>
      </c>
      <c r="E28" s="2198">
        <v>2021</v>
      </c>
      <c r="F28" s="2198">
        <v>2022</v>
      </c>
      <c r="G28" s="2198">
        <v>2023</v>
      </c>
      <c r="H28" s="2198">
        <v>2024</v>
      </c>
      <c r="I28" s="2198"/>
      <c r="J28" s="2198">
        <v>2020</v>
      </c>
      <c r="K28" s="2198">
        <v>2021</v>
      </c>
      <c r="L28" s="2198">
        <v>2022</v>
      </c>
      <c r="M28" s="2198">
        <v>2023</v>
      </c>
      <c r="N28" s="2198">
        <v>2024</v>
      </c>
      <c r="O28" s="2198"/>
      <c r="P28" s="2198">
        <v>2020</v>
      </c>
      <c r="Q28" s="2198">
        <v>2021</v>
      </c>
      <c r="R28" s="2198">
        <v>2022</v>
      </c>
      <c r="S28" s="2198">
        <v>2023</v>
      </c>
      <c r="T28" s="2198">
        <v>2024</v>
      </c>
      <c r="U28" s="2198"/>
      <c r="V28" s="2198">
        <v>2020</v>
      </c>
      <c r="W28" s="2198">
        <v>2021</v>
      </c>
      <c r="X28" s="2198">
        <v>2022</v>
      </c>
      <c r="Y28" s="2198">
        <v>2023</v>
      </c>
      <c r="Z28" s="2198">
        <v>2024</v>
      </c>
      <c r="AA28" s="2198"/>
      <c r="AB28" s="2198">
        <v>2020</v>
      </c>
      <c r="AC28" s="2198">
        <v>2021</v>
      </c>
      <c r="AD28" s="2198">
        <v>2022</v>
      </c>
      <c r="AE28" s="2198">
        <v>2023</v>
      </c>
      <c r="AF28" s="2198">
        <v>2024</v>
      </c>
      <c r="AG28" s="2198"/>
      <c r="AH28" s="2198">
        <v>2020</v>
      </c>
      <c r="AI28" s="2198">
        <v>2021</v>
      </c>
      <c r="AJ28" s="2198">
        <v>2022</v>
      </c>
      <c r="AK28" s="2198">
        <v>2023</v>
      </c>
      <c r="AL28" s="2198">
        <v>2024</v>
      </c>
      <c r="AM28" s="2198"/>
      <c r="AN28" s="2198">
        <v>2020</v>
      </c>
      <c r="AO28" s="2198">
        <v>2021</v>
      </c>
      <c r="AP28" s="2198">
        <v>2022</v>
      </c>
      <c r="AQ28" s="2198">
        <v>2023</v>
      </c>
      <c r="AR28" s="2198">
        <v>2024</v>
      </c>
      <c r="AS28" s="2198"/>
      <c r="AT28" s="2198">
        <v>2020</v>
      </c>
      <c r="AU28" s="2198">
        <v>2021</v>
      </c>
      <c r="AV28" s="2198">
        <v>2022</v>
      </c>
      <c r="AW28" s="2198">
        <v>2023</v>
      </c>
      <c r="AX28" s="2198">
        <v>2024</v>
      </c>
    </row>
    <row r="29" spans="1:50" x14ac:dyDescent="0.4">
      <c r="C29" s="115" t="s">
        <v>6033</v>
      </c>
      <c r="D29" s="283">
        <v>142</v>
      </c>
      <c r="E29" s="283">
        <v>146</v>
      </c>
      <c r="F29" s="283">
        <v>147</v>
      </c>
      <c r="G29" s="283">
        <v>154</v>
      </c>
      <c r="H29" s="283">
        <v>158</v>
      </c>
      <c r="I29" s="283"/>
      <c r="J29" s="283">
        <v>41</v>
      </c>
      <c r="K29" s="283">
        <v>42</v>
      </c>
      <c r="L29" s="283">
        <v>43</v>
      </c>
      <c r="M29" s="283">
        <v>43</v>
      </c>
      <c r="N29">
        <v>43</v>
      </c>
      <c r="O29" s="283"/>
      <c r="P29" s="283">
        <v>39</v>
      </c>
      <c r="Q29" s="283">
        <v>41</v>
      </c>
      <c r="R29" s="283">
        <v>42</v>
      </c>
      <c r="S29" s="283">
        <v>44</v>
      </c>
      <c r="T29">
        <v>44</v>
      </c>
      <c r="U29" s="283"/>
      <c r="V29" s="283">
        <v>26</v>
      </c>
      <c r="W29" s="283">
        <v>28</v>
      </c>
      <c r="X29" s="283">
        <v>31</v>
      </c>
      <c r="Y29" s="283">
        <v>33</v>
      </c>
      <c r="Z29">
        <v>33</v>
      </c>
      <c r="AA29" s="283"/>
      <c r="AB29" s="283">
        <v>1</v>
      </c>
      <c r="AC29" s="283">
        <v>1</v>
      </c>
      <c r="AD29" s="283">
        <v>4</v>
      </c>
      <c r="AE29" s="283">
        <v>6</v>
      </c>
      <c r="AF29">
        <v>6</v>
      </c>
      <c r="AG29" s="283"/>
      <c r="AH29" s="283">
        <v>5</v>
      </c>
      <c r="AI29" s="283">
        <v>5</v>
      </c>
      <c r="AJ29" s="283">
        <v>4</v>
      </c>
      <c r="AK29" s="283">
        <v>5</v>
      </c>
      <c r="AL29">
        <v>5</v>
      </c>
      <c r="AM29" s="283"/>
      <c r="AN29" s="283"/>
      <c r="AO29" s="283">
        <v>1</v>
      </c>
      <c r="AP29" s="283">
        <v>5</v>
      </c>
      <c r="AQ29" s="283">
        <v>6</v>
      </c>
      <c r="AR29">
        <v>6</v>
      </c>
      <c r="AS29" s="283"/>
      <c r="AT29" s="283">
        <v>65</v>
      </c>
      <c r="AU29" s="283">
        <v>66</v>
      </c>
      <c r="AV29" s="283">
        <v>67</v>
      </c>
      <c r="AW29" s="283">
        <v>71</v>
      </c>
      <c r="AX29">
        <v>72</v>
      </c>
    </row>
    <row r="30" spans="1:50" x14ac:dyDescent="0.4">
      <c r="C30" s="115" t="s">
        <v>8050</v>
      </c>
      <c r="D30" s="232">
        <v>9</v>
      </c>
      <c r="E30" s="232">
        <v>9</v>
      </c>
      <c r="F30" s="232">
        <v>9</v>
      </c>
      <c r="G30" s="232">
        <v>9</v>
      </c>
      <c r="H30" s="232">
        <v>10</v>
      </c>
      <c r="I30" s="232"/>
      <c r="J30" s="232">
        <v>4</v>
      </c>
      <c r="K30" s="232">
        <v>4</v>
      </c>
      <c r="L30" s="232">
        <v>4</v>
      </c>
      <c r="M30" s="232">
        <v>4</v>
      </c>
      <c r="N30">
        <v>4</v>
      </c>
      <c r="O30" s="232"/>
      <c r="P30" s="232">
        <v>5</v>
      </c>
      <c r="Q30" s="232">
        <v>5</v>
      </c>
      <c r="R30" s="232">
        <v>5</v>
      </c>
      <c r="S30" s="232">
        <v>5</v>
      </c>
      <c r="T30">
        <v>5</v>
      </c>
      <c r="U30" s="232"/>
      <c r="V30" s="232">
        <v>3</v>
      </c>
      <c r="W30" s="232">
        <v>3</v>
      </c>
      <c r="X30" s="232">
        <v>3</v>
      </c>
      <c r="Y30" s="232">
        <v>3</v>
      </c>
      <c r="Z30">
        <v>3</v>
      </c>
      <c r="AA30" s="232"/>
      <c r="AB30" s="232"/>
      <c r="AC30" s="232"/>
      <c r="AD30" s="232"/>
      <c r="AE30" s="232"/>
      <c r="AF30"/>
      <c r="AG30" s="232"/>
      <c r="AH30" s="232">
        <v>3</v>
      </c>
      <c r="AI30" s="232">
        <v>3</v>
      </c>
      <c r="AJ30" s="232"/>
      <c r="AK30" s="232">
        <v>3</v>
      </c>
      <c r="AL30">
        <v>3</v>
      </c>
      <c r="AM30" s="232"/>
      <c r="AN30" s="232"/>
      <c r="AO30" s="232"/>
      <c r="AP30" s="232">
        <v>3</v>
      </c>
      <c r="AQ30" s="232"/>
      <c r="AR30"/>
      <c r="AS30" s="232"/>
      <c r="AT30" s="232">
        <v>3</v>
      </c>
      <c r="AU30" s="232">
        <v>3</v>
      </c>
      <c r="AV30" s="232">
        <v>3</v>
      </c>
      <c r="AW30" s="232">
        <v>3</v>
      </c>
      <c r="AX30">
        <v>3</v>
      </c>
    </row>
    <row r="31" spans="1:50" x14ac:dyDescent="0.4">
      <c r="C31" s="115" t="s">
        <v>8051</v>
      </c>
      <c r="D31" s="232">
        <v>6</v>
      </c>
      <c r="E31" s="232">
        <v>6</v>
      </c>
      <c r="F31" s="232">
        <v>6</v>
      </c>
      <c r="G31" s="232">
        <v>6</v>
      </c>
      <c r="H31" s="232">
        <v>6</v>
      </c>
      <c r="I31" s="232"/>
      <c r="J31" s="232">
        <v>2</v>
      </c>
      <c r="K31" s="232">
        <v>2</v>
      </c>
      <c r="L31" s="232">
        <v>2</v>
      </c>
      <c r="M31" s="232">
        <v>2</v>
      </c>
      <c r="N31">
        <v>2</v>
      </c>
      <c r="O31" s="232"/>
      <c r="P31" s="232">
        <v>2</v>
      </c>
      <c r="Q31" s="232">
        <v>2</v>
      </c>
      <c r="R31" s="232">
        <v>2</v>
      </c>
      <c r="S31" s="232">
        <v>2</v>
      </c>
      <c r="T31">
        <v>2</v>
      </c>
      <c r="U31" s="232"/>
      <c r="V31" s="232"/>
      <c r="W31" s="232"/>
      <c r="X31" s="232">
        <v>2</v>
      </c>
      <c r="Y31" s="232">
        <v>2</v>
      </c>
      <c r="Z31">
        <v>2</v>
      </c>
      <c r="AA31" s="232"/>
      <c r="AB31" s="232"/>
      <c r="AC31" s="232"/>
      <c r="AD31" s="232">
        <v>2</v>
      </c>
      <c r="AE31" s="232">
        <v>2</v>
      </c>
      <c r="AF31">
        <v>2</v>
      </c>
      <c r="AG31" s="232"/>
      <c r="AH31" s="232"/>
      <c r="AI31" s="232"/>
      <c r="AJ31" s="232">
        <v>2</v>
      </c>
      <c r="AK31" s="232"/>
      <c r="AL31"/>
      <c r="AM31" s="232"/>
      <c r="AN31" s="232"/>
      <c r="AO31" s="232"/>
      <c r="AP31" s="232"/>
      <c r="AQ31" s="232">
        <v>2</v>
      </c>
      <c r="AR31">
        <v>2</v>
      </c>
      <c r="AS31" s="232"/>
      <c r="AT31" s="232">
        <v>3</v>
      </c>
      <c r="AU31" s="232">
        <v>3</v>
      </c>
      <c r="AV31" s="232">
        <v>3</v>
      </c>
      <c r="AW31" s="232">
        <v>3</v>
      </c>
      <c r="AX31">
        <v>3</v>
      </c>
    </row>
    <row r="32" spans="1:50" x14ac:dyDescent="0.4">
      <c r="C32" s="115" t="s">
        <v>8052</v>
      </c>
      <c r="D32" s="232">
        <v>25</v>
      </c>
      <c r="E32" s="232">
        <v>25</v>
      </c>
      <c r="F32" s="232">
        <v>25</v>
      </c>
      <c r="G32" s="232">
        <v>25</v>
      </c>
      <c r="H32" s="232">
        <v>26</v>
      </c>
      <c r="I32" s="232"/>
      <c r="J32" s="232">
        <v>12</v>
      </c>
      <c r="K32" s="232">
        <v>12</v>
      </c>
      <c r="L32" s="232">
        <v>12</v>
      </c>
      <c r="M32" s="232">
        <v>12</v>
      </c>
      <c r="N32">
        <v>12</v>
      </c>
      <c r="O32" s="232"/>
      <c r="P32" s="232">
        <v>12</v>
      </c>
      <c r="Q32" s="232">
        <v>12</v>
      </c>
      <c r="R32" s="232">
        <v>12</v>
      </c>
      <c r="S32" s="232">
        <v>12</v>
      </c>
      <c r="T32">
        <v>12</v>
      </c>
      <c r="U32" s="232"/>
      <c r="V32" s="232">
        <v>12</v>
      </c>
      <c r="W32" s="232">
        <v>12</v>
      </c>
      <c r="X32" s="232">
        <v>12</v>
      </c>
      <c r="Y32" s="232">
        <v>12</v>
      </c>
      <c r="Z32">
        <v>12</v>
      </c>
      <c r="AA32" s="232"/>
      <c r="AB32" s="232"/>
      <c r="AC32" s="232"/>
      <c r="AD32" s="232"/>
      <c r="AE32" s="232"/>
      <c r="AF32"/>
      <c r="AG32" s="232"/>
      <c r="AH32" s="232">
        <v>2</v>
      </c>
      <c r="AI32" s="232">
        <v>2</v>
      </c>
      <c r="AJ32" s="232"/>
      <c r="AK32" s="232">
        <v>2</v>
      </c>
      <c r="AL32">
        <v>2</v>
      </c>
      <c r="AM32" s="232"/>
      <c r="AN32" s="232"/>
      <c r="AO32" s="232"/>
      <c r="AP32" s="232">
        <v>2</v>
      </c>
      <c r="AQ32" s="232"/>
      <c r="AR32"/>
      <c r="AS32" s="232"/>
      <c r="AT32" s="232">
        <v>10</v>
      </c>
      <c r="AU32" s="232">
        <v>10</v>
      </c>
      <c r="AV32" s="232">
        <v>10</v>
      </c>
      <c r="AW32" s="232">
        <v>10</v>
      </c>
      <c r="AX32">
        <v>10</v>
      </c>
    </row>
    <row r="33" spans="3:50" x14ac:dyDescent="0.4">
      <c r="C33" s="115" t="s">
        <v>8053</v>
      </c>
      <c r="D33" s="232">
        <v>10</v>
      </c>
      <c r="E33" s="232">
        <v>10</v>
      </c>
      <c r="F33" s="232">
        <v>10</v>
      </c>
      <c r="G33" s="232">
        <v>11</v>
      </c>
      <c r="H33" s="232">
        <v>11</v>
      </c>
      <c r="I33" s="232"/>
      <c r="J33" s="232">
        <v>5</v>
      </c>
      <c r="K33" s="232">
        <v>5</v>
      </c>
      <c r="L33" s="232">
        <v>5</v>
      </c>
      <c r="M33" s="232">
        <v>5</v>
      </c>
      <c r="N33">
        <v>5</v>
      </c>
      <c r="O33" s="232"/>
      <c r="P33" s="232">
        <v>2</v>
      </c>
      <c r="Q33" s="232">
        <v>2</v>
      </c>
      <c r="R33" s="232">
        <v>2</v>
      </c>
      <c r="S33" s="232">
        <v>2</v>
      </c>
      <c r="T33">
        <v>2</v>
      </c>
      <c r="U33" s="232"/>
      <c r="V33" s="232">
        <v>2</v>
      </c>
      <c r="W33" s="232">
        <v>2</v>
      </c>
      <c r="X33" s="232">
        <v>2</v>
      </c>
      <c r="Y33" s="232">
        <v>2</v>
      </c>
      <c r="Z33">
        <v>2</v>
      </c>
      <c r="AA33" s="232"/>
      <c r="AB33" s="232"/>
      <c r="AC33" s="232"/>
      <c r="AD33" s="232"/>
      <c r="AE33" s="232"/>
      <c r="AF33"/>
      <c r="AG33" s="232"/>
      <c r="AH33" s="232"/>
      <c r="AI33" s="232"/>
      <c r="AJ33" s="232"/>
      <c r="AK33" s="232"/>
      <c r="AL33"/>
      <c r="AM33" s="232"/>
      <c r="AN33" s="232"/>
      <c r="AO33" s="232"/>
      <c r="AP33" s="232"/>
      <c r="AQ33" s="232"/>
      <c r="AR33"/>
      <c r="AS33" s="232"/>
      <c r="AT33" s="232">
        <v>6</v>
      </c>
      <c r="AU33" s="232">
        <v>6</v>
      </c>
      <c r="AV33" s="232">
        <v>6</v>
      </c>
      <c r="AW33" s="232">
        <v>7</v>
      </c>
      <c r="AX33">
        <v>7</v>
      </c>
    </row>
    <row r="34" spans="3:50" x14ac:dyDescent="0.4">
      <c r="C34" s="115" t="s">
        <v>8054</v>
      </c>
      <c r="D34" s="232">
        <v>9</v>
      </c>
      <c r="E34" s="232">
        <v>9</v>
      </c>
      <c r="F34" s="232">
        <v>9</v>
      </c>
      <c r="G34" s="232">
        <v>9</v>
      </c>
      <c r="H34" s="232">
        <v>9</v>
      </c>
      <c r="I34" s="232"/>
      <c r="J34" s="232">
        <v>2</v>
      </c>
      <c r="K34" s="232">
        <v>2</v>
      </c>
      <c r="L34" s="232">
        <v>2</v>
      </c>
      <c r="M34" s="232">
        <v>2</v>
      </c>
      <c r="N34">
        <v>2</v>
      </c>
      <c r="O34" s="232"/>
      <c r="P34" s="232">
        <v>2</v>
      </c>
      <c r="Q34" s="232">
        <v>3</v>
      </c>
      <c r="R34" s="232">
        <v>3</v>
      </c>
      <c r="S34" s="232">
        <v>3</v>
      </c>
      <c r="T34">
        <v>3</v>
      </c>
      <c r="U34" s="232"/>
      <c r="V34" s="232"/>
      <c r="W34" s="232">
        <v>1</v>
      </c>
      <c r="X34" s="232">
        <v>1</v>
      </c>
      <c r="Y34" s="232">
        <v>1</v>
      </c>
      <c r="Z34">
        <v>1</v>
      </c>
      <c r="AA34" s="232"/>
      <c r="AB34" s="232"/>
      <c r="AC34" s="232"/>
      <c r="AD34" s="232"/>
      <c r="AE34" s="232"/>
      <c r="AF34"/>
      <c r="AG34" s="232"/>
      <c r="AH34" s="232"/>
      <c r="AI34" s="232"/>
      <c r="AJ34" s="232"/>
      <c r="AK34" s="232"/>
      <c r="AL34"/>
      <c r="AM34" s="232"/>
      <c r="AN34" s="232"/>
      <c r="AO34" s="232"/>
      <c r="AP34" s="232"/>
      <c r="AQ34" s="232"/>
      <c r="AR34"/>
      <c r="AS34" s="232"/>
      <c r="AT34" s="232">
        <v>5</v>
      </c>
      <c r="AU34" s="232">
        <v>5</v>
      </c>
      <c r="AV34" s="232">
        <v>5</v>
      </c>
      <c r="AW34" s="232">
        <v>5</v>
      </c>
      <c r="AX34">
        <v>5</v>
      </c>
    </row>
    <row r="35" spans="3:50" x14ac:dyDescent="0.4">
      <c r="C35" s="115" t="s">
        <v>8055</v>
      </c>
      <c r="D35" s="232">
        <v>9</v>
      </c>
      <c r="E35" s="232">
        <v>9</v>
      </c>
      <c r="F35" s="232">
        <v>9</v>
      </c>
      <c r="G35" s="232">
        <v>9</v>
      </c>
      <c r="H35" s="232">
        <v>9</v>
      </c>
      <c r="I35" s="232"/>
      <c r="J35" s="232">
        <v>1</v>
      </c>
      <c r="K35" s="232">
        <v>1</v>
      </c>
      <c r="L35" s="232">
        <v>1</v>
      </c>
      <c r="M35" s="232">
        <v>1</v>
      </c>
      <c r="N35">
        <v>1</v>
      </c>
      <c r="O35" s="232"/>
      <c r="P35" s="232">
        <v>3</v>
      </c>
      <c r="Q35" s="232">
        <v>4</v>
      </c>
      <c r="R35" s="232">
        <v>4</v>
      </c>
      <c r="S35" s="232">
        <v>4</v>
      </c>
      <c r="T35">
        <v>4</v>
      </c>
      <c r="U35" s="232"/>
      <c r="V35" s="232">
        <v>1</v>
      </c>
      <c r="W35" s="232">
        <v>1</v>
      </c>
      <c r="X35" s="232">
        <v>1</v>
      </c>
      <c r="Y35" s="232">
        <v>1</v>
      </c>
      <c r="Z35">
        <v>1</v>
      </c>
      <c r="AA35" s="232"/>
      <c r="AB35" s="232"/>
      <c r="AC35" s="232"/>
      <c r="AD35" s="232"/>
      <c r="AE35" s="232"/>
      <c r="AF35"/>
      <c r="AG35" s="232"/>
      <c r="AH35" s="232"/>
      <c r="AI35" s="232"/>
      <c r="AJ35" s="232">
        <v>1</v>
      </c>
      <c r="AK35" s="232"/>
      <c r="AL35"/>
      <c r="AM35" s="232"/>
      <c r="AN35" s="232"/>
      <c r="AO35" s="232">
        <v>1</v>
      </c>
      <c r="AP35" s="232"/>
      <c r="AQ35" s="232">
        <v>1</v>
      </c>
      <c r="AR35">
        <v>1</v>
      </c>
      <c r="AS35" s="232"/>
      <c r="AT35" s="232">
        <v>5</v>
      </c>
      <c r="AU35" s="232">
        <v>6</v>
      </c>
      <c r="AV35" s="232">
        <v>6</v>
      </c>
      <c r="AW35" s="232">
        <v>6</v>
      </c>
      <c r="AX35">
        <v>6</v>
      </c>
    </row>
    <row r="36" spans="3:50" x14ac:dyDescent="0.4">
      <c r="C36" s="115" t="s">
        <v>8056</v>
      </c>
      <c r="D36" s="232">
        <v>5</v>
      </c>
      <c r="E36" s="232">
        <v>5</v>
      </c>
      <c r="F36" s="232">
        <v>5</v>
      </c>
      <c r="G36" s="232">
        <v>5</v>
      </c>
      <c r="H36" s="232">
        <v>5</v>
      </c>
      <c r="I36" s="232"/>
      <c r="J36" s="232">
        <v>2</v>
      </c>
      <c r="K36" s="232">
        <v>2</v>
      </c>
      <c r="L36" s="232">
        <v>2</v>
      </c>
      <c r="M36" s="232">
        <v>2</v>
      </c>
      <c r="N36">
        <v>2</v>
      </c>
      <c r="O36" s="232"/>
      <c r="P36" s="232">
        <v>2</v>
      </c>
      <c r="Q36" s="232">
        <v>2</v>
      </c>
      <c r="R36" s="232">
        <v>2</v>
      </c>
      <c r="S36" s="232">
        <v>2</v>
      </c>
      <c r="T36">
        <v>2</v>
      </c>
      <c r="U36" s="232"/>
      <c r="V36" s="232">
        <v>2</v>
      </c>
      <c r="W36" s="232">
        <v>2</v>
      </c>
      <c r="X36" s="232">
        <v>2</v>
      </c>
      <c r="Y36" s="232">
        <v>2</v>
      </c>
      <c r="Z36">
        <v>2</v>
      </c>
      <c r="AA36" s="232"/>
      <c r="AB36" s="232"/>
      <c r="AC36" s="232"/>
      <c r="AD36" s="232"/>
      <c r="AE36" s="232"/>
      <c r="AF36"/>
      <c r="AG36" s="232"/>
      <c r="AH36" s="232"/>
      <c r="AI36" s="232"/>
      <c r="AJ36" s="232"/>
      <c r="AK36" s="232"/>
      <c r="AL36"/>
      <c r="AM36" s="232"/>
      <c r="AN36" s="232"/>
      <c r="AO36" s="232"/>
      <c r="AP36" s="232"/>
      <c r="AQ36" s="232"/>
      <c r="AR36"/>
      <c r="AS36" s="232"/>
      <c r="AT36" s="232">
        <v>2</v>
      </c>
      <c r="AU36" s="232">
        <v>2</v>
      </c>
      <c r="AV36" s="232">
        <v>2</v>
      </c>
      <c r="AW36" s="232">
        <v>2</v>
      </c>
      <c r="AX36">
        <v>2</v>
      </c>
    </row>
    <row r="37" spans="3:50" x14ac:dyDescent="0.4">
      <c r="C37" s="115" t="s">
        <v>8057</v>
      </c>
      <c r="D37" s="232">
        <v>13</v>
      </c>
      <c r="E37" s="232">
        <v>14</v>
      </c>
      <c r="F37" s="232">
        <v>14</v>
      </c>
      <c r="G37" s="232">
        <v>14</v>
      </c>
      <c r="H37" s="232">
        <v>14</v>
      </c>
      <c r="I37" s="232"/>
      <c r="J37" s="232">
        <v>5</v>
      </c>
      <c r="K37" s="232">
        <v>5</v>
      </c>
      <c r="L37" s="232">
        <v>5</v>
      </c>
      <c r="M37" s="232">
        <v>5</v>
      </c>
      <c r="N37">
        <v>5</v>
      </c>
      <c r="O37" s="232"/>
      <c r="P37" s="232">
        <v>1</v>
      </c>
      <c r="Q37" s="232">
        <v>1</v>
      </c>
      <c r="R37" s="232">
        <v>1</v>
      </c>
      <c r="S37" s="232">
        <v>1</v>
      </c>
      <c r="T37">
        <v>1</v>
      </c>
      <c r="U37" s="232"/>
      <c r="V37" s="232">
        <v>3</v>
      </c>
      <c r="W37" s="232">
        <v>3</v>
      </c>
      <c r="X37" s="232">
        <v>3</v>
      </c>
      <c r="Y37" s="232">
        <v>3</v>
      </c>
      <c r="Z37">
        <v>3</v>
      </c>
      <c r="AA37" s="232"/>
      <c r="AB37" s="232"/>
      <c r="AC37" s="232"/>
      <c r="AD37" s="232"/>
      <c r="AE37" s="232"/>
      <c r="AF37"/>
      <c r="AG37" s="232"/>
      <c r="AH37" s="232"/>
      <c r="AI37" s="232"/>
      <c r="AJ37" s="232"/>
      <c r="AK37" s="232"/>
      <c r="AL37"/>
      <c r="AM37" s="232"/>
      <c r="AN37" s="232"/>
      <c r="AO37" s="232"/>
      <c r="AP37" s="232"/>
      <c r="AQ37" s="232"/>
      <c r="AR37"/>
      <c r="AS37" s="232"/>
      <c r="AT37" s="232">
        <v>4</v>
      </c>
      <c r="AU37" s="232">
        <v>4</v>
      </c>
      <c r="AV37" s="232">
        <v>4</v>
      </c>
      <c r="AW37" s="232">
        <v>4</v>
      </c>
      <c r="AX37">
        <v>4</v>
      </c>
    </row>
    <row r="38" spans="3:50" x14ac:dyDescent="0.4">
      <c r="C38" s="115" t="s">
        <v>8058</v>
      </c>
      <c r="D38" s="232">
        <v>9</v>
      </c>
      <c r="E38" s="232">
        <v>9</v>
      </c>
      <c r="F38" s="232">
        <v>9</v>
      </c>
      <c r="G38" s="232">
        <v>9</v>
      </c>
      <c r="H38" s="232">
        <v>9</v>
      </c>
      <c r="I38" s="232"/>
      <c r="J38" s="232">
        <v>1</v>
      </c>
      <c r="K38" s="232">
        <v>1</v>
      </c>
      <c r="L38" s="232">
        <v>1</v>
      </c>
      <c r="M38" s="232">
        <v>1</v>
      </c>
      <c r="N38">
        <v>1</v>
      </c>
      <c r="O38" s="232"/>
      <c r="P38" s="232"/>
      <c r="Q38" s="232"/>
      <c r="R38" s="232"/>
      <c r="S38" s="232"/>
      <c r="T38"/>
      <c r="U38" s="232"/>
      <c r="V38" s="232"/>
      <c r="W38" s="232"/>
      <c r="X38" s="232"/>
      <c r="Y38" s="232"/>
      <c r="Z38"/>
      <c r="AA38" s="232"/>
      <c r="AB38" s="232"/>
      <c r="AC38" s="232"/>
      <c r="AD38" s="232"/>
      <c r="AE38" s="232"/>
      <c r="AF38"/>
      <c r="AG38" s="232"/>
      <c r="AH38" s="232"/>
      <c r="AI38" s="232"/>
      <c r="AJ38" s="232"/>
      <c r="AK38" s="232"/>
      <c r="AL38"/>
      <c r="AM38" s="232"/>
      <c r="AN38" s="232"/>
      <c r="AO38" s="232"/>
      <c r="AP38" s="232"/>
      <c r="AQ38" s="232"/>
      <c r="AR38"/>
      <c r="AS38" s="232"/>
      <c r="AT38" s="232">
        <v>3</v>
      </c>
      <c r="AU38" s="232">
        <v>3</v>
      </c>
      <c r="AV38" s="232">
        <v>3</v>
      </c>
      <c r="AW38" s="232">
        <v>3</v>
      </c>
      <c r="AX38">
        <v>3</v>
      </c>
    </row>
    <row r="39" spans="3:50" x14ac:dyDescent="0.4">
      <c r="C39" s="115" t="s">
        <v>8059</v>
      </c>
      <c r="D39" s="232">
        <v>5</v>
      </c>
      <c r="E39" s="232">
        <v>6</v>
      </c>
      <c r="F39" s="232">
        <v>6</v>
      </c>
      <c r="G39" s="232">
        <v>7</v>
      </c>
      <c r="H39" s="232">
        <v>7</v>
      </c>
      <c r="I39" s="232"/>
      <c r="J39" s="232">
        <v>1</v>
      </c>
      <c r="K39" s="232">
        <v>2</v>
      </c>
      <c r="L39" s="232">
        <v>2</v>
      </c>
      <c r="M39" s="232">
        <v>2</v>
      </c>
      <c r="N39">
        <v>2</v>
      </c>
      <c r="O39" s="232"/>
      <c r="P39" s="232">
        <v>2</v>
      </c>
      <c r="Q39" s="232">
        <v>2</v>
      </c>
      <c r="R39" s="232">
        <v>2</v>
      </c>
      <c r="S39" s="232">
        <v>3</v>
      </c>
      <c r="T39">
        <v>3</v>
      </c>
      <c r="U39" s="232"/>
      <c r="V39" s="232"/>
      <c r="W39" s="232">
        <v>1</v>
      </c>
      <c r="X39" s="232">
        <v>1</v>
      </c>
      <c r="Y39" s="232">
        <v>2</v>
      </c>
      <c r="Z39">
        <v>2</v>
      </c>
      <c r="AA39" s="232"/>
      <c r="AB39" s="232">
        <v>1</v>
      </c>
      <c r="AC39" s="232">
        <v>1</v>
      </c>
      <c r="AD39" s="232">
        <v>1</v>
      </c>
      <c r="AE39" s="232">
        <v>2</v>
      </c>
      <c r="AF39">
        <v>2</v>
      </c>
      <c r="AG39" s="232"/>
      <c r="AH39" s="232"/>
      <c r="AI39" s="232"/>
      <c r="AJ39" s="232"/>
      <c r="AK39" s="232"/>
      <c r="AL39"/>
      <c r="AM39" s="232"/>
      <c r="AN39" s="232"/>
      <c r="AO39" s="232"/>
      <c r="AP39" s="232"/>
      <c r="AQ39" s="232">
        <v>1</v>
      </c>
      <c r="AR39">
        <v>1</v>
      </c>
      <c r="AS39" s="232"/>
      <c r="AT39" s="232">
        <v>2</v>
      </c>
      <c r="AU39" s="232">
        <v>3</v>
      </c>
      <c r="AV39" s="232">
        <v>3</v>
      </c>
      <c r="AW39" s="232">
        <v>4</v>
      </c>
      <c r="AX39">
        <v>4</v>
      </c>
    </row>
    <row r="40" spans="3:50" x14ac:dyDescent="0.4">
      <c r="C40" s="115" t="s">
        <v>8060</v>
      </c>
      <c r="D40" s="232">
        <v>7</v>
      </c>
      <c r="E40" s="232">
        <v>7</v>
      </c>
      <c r="F40" s="232">
        <v>8</v>
      </c>
      <c r="G40" s="232">
        <v>9</v>
      </c>
      <c r="H40" s="232">
        <v>10</v>
      </c>
      <c r="I40" s="232"/>
      <c r="J40" s="232">
        <v>1</v>
      </c>
      <c r="K40" s="232">
        <v>1</v>
      </c>
      <c r="L40" s="232">
        <v>1</v>
      </c>
      <c r="M40" s="232">
        <v>1</v>
      </c>
      <c r="N40">
        <v>1</v>
      </c>
      <c r="O40" s="232"/>
      <c r="P40" s="232">
        <v>4</v>
      </c>
      <c r="Q40" s="232">
        <v>4</v>
      </c>
      <c r="R40" s="232">
        <v>4</v>
      </c>
      <c r="S40" s="232">
        <v>4</v>
      </c>
      <c r="T40">
        <v>4</v>
      </c>
      <c r="U40" s="232"/>
      <c r="V40" s="232">
        <v>1</v>
      </c>
      <c r="W40" s="232">
        <v>1</v>
      </c>
      <c r="X40" s="232">
        <v>1</v>
      </c>
      <c r="Y40" s="232">
        <v>1</v>
      </c>
      <c r="Z40">
        <v>1</v>
      </c>
      <c r="AA40" s="232"/>
      <c r="AB40" s="232"/>
      <c r="AC40" s="232"/>
      <c r="AD40" s="232"/>
      <c r="AE40" s="232"/>
      <c r="AF40"/>
      <c r="AG40" s="232"/>
      <c r="AH40" s="232"/>
      <c r="AI40" s="232"/>
      <c r="AJ40" s="232"/>
      <c r="AK40" s="232"/>
      <c r="AL40"/>
      <c r="AM40" s="232"/>
      <c r="AN40" s="232"/>
      <c r="AO40" s="232"/>
      <c r="AP40" s="232"/>
      <c r="AQ40" s="232"/>
      <c r="AR40"/>
      <c r="AS40" s="232"/>
      <c r="AT40" s="232">
        <v>5</v>
      </c>
      <c r="AU40" s="232">
        <v>5</v>
      </c>
      <c r="AV40" s="232">
        <v>6</v>
      </c>
      <c r="AW40" s="232">
        <v>7</v>
      </c>
      <c r="AX40">
        <v>7</v>
      </c>
    </row>
    <row r="41" spans="3:50" x14ac:dyDescent="0.4">
      <c r="C41" s="115" t="s">
        <v>8061</v>
      </c>
      <c r="D41" s="232">
        <v>6</v>
      </c>
      <c r="E41" s="232">
        <v>7</v>
      </c>
      <c r="F41" s="232">
        <v>7</v>
      </c>
      <c r="G41" s="232">
        <v>9</v>
      </c>
      <c r="H41" s="232">
        <v>9</v>
      </c>
      <c r="I41" s="232"/>
      <c r="J41" s="232"/>
      <c r="K41" s="232"/>
      <c r="L41" s="232"/>
      <c r="M41" s="232"/>
      <c r="N41"/>
      <c r="O41" s="232"/>
      <c r="P41" s="232"/>
      <c r="Q41" s="232"/>
      <c r="R41" s="232"/>
      <c r="S41" s="232"/>
      <c r="T41"/>
      <c r="U41" s="232"/>
      <c r="V41" s="232"/>
      <c r="W41" s="232"/>
      <c r="X41" s="232"/>
      <c r="Y41" s="232"/>
      <c r="Z41"/>
      <c r="AA41" s="232"/>
      <c r="AB41" s="232"/>
      <c r="AC41" s="232"/>
      <c r="AD41" s="232"/>
      <c r="AE41" s="232"/>
      <c r="AF41"/>
      <c r="AG41" s="232"/>
      <c r="AH41" s="232"/>
      <c r="AI41" s="232"/>
      <c r="AJ41" s="232"/>
      <c r="AK41" s="232"/>
      <c r="AL41"/>
      <c r="AM41" s="232"/>
      <c r="AN41" s="232"/>
      <c r="AO41" s="232"/>
      <c r="AP41" s="232"/>
      <c r="AQ41" s="232"/>
      <c r="AR41"/>
      <c r="AS41" s="232"/>
      <c r="AT41" s="232">
        <v>3</v>
      </c>
      <c r="AU41" s="232">
        <v>3</v>
      </c>
      <c r="AV41" s="232">
        <v>3</v>
      </c>
      <c r="AW41" s="232">
        <v>3</v>
      </c>
      <c r="AX41">
        <v>3</v>
      </c>
    </row>
    <row r="42" spans="3:50" x14ac:dyDescent="0.4">
      <c r="C42" s="115" t="s">
        <v>8062</v>
      </c>
      <c r="D42" s="232">
        <v>3</v>
      </c>
      <c r="E42" s="232">
        <v>4</v>
      </c>
      <c r="F42" s="232">
        <v>4</v>
      </c>
      <c r="G42" s="232">
        <v>4</v>
      </c>
      <c r="H42" s="232">
        <v>4</v>
      </c>
      <c r="I42" s="232"/>
      <c r="J42" s="232"/>
      <c r="K42" s="232"/>
      <c r="L42" s="232"/>
      <c r="M42" s="232"/>
      <c r="N42"/>
      <c r="O42" s="232"/>
      <c r="P42" s="232">
        <v>1</v>
      </c>
      <c r="Q42" s="232">
        <v>1</v>
      </c>
      <c r="R42" s="232">
        <v>1</v>
      </c>
      <c r="S42" s="232">
        <v>1</v>
      </c>
      <c r="T42">
        <v>1</v>
      </c>
      <c r="U42" s="232"/>
      <c r="V42" s="232"/>
      <c r="W42" s="232"/>
      <c r="X42" s="232"/>
      <c r="Y42" s="232"/>
      <c r="Z42"/>
      <c r="AA42" s="232"/>
      <c r="AB42" s="232"/>
      <c r="AC42" s="232"/>
      <c r="AD42" s="232"/>
      <c r="AE42" s="232"/>
      <c r="AF42"/>
      <c r="AG42" s="232"/>
      <c r="AH42" s="232"/>
      <c r="AI42" s="232"/>
      <c r="AJ42" s="232"/>
      <c r="AK42" s="232"/>
      <c r="AL42"/>
      <c r="AM42" s="232"/>
      <c r="AN42" s="232"/>
      <c r="AO42" s="232"/>
      <c r="AP42" s="232"/>
      <c r="AQ42" s="232"/>
      <c r="AR42"/>
      <c r="AS42" s="232"/>
      <c r="AT42" s="232">
        <v>1</v>
      </c>
      <c r="AU42" s="232">
        <v>1</v>
      </c>
      <c r="AV42" s="232">
        <v>1</v>
      </c>
      <c r="AW42" s="232">
        <v>1</v>
      </c>
      <c r="AX42">
        <v>1</v>
      </c>
    </row>
    <row r="43" spans="3:50" x14ac:dyDescent="0.4">
      <c r="C43" s="115" t="s">
        <v>8063</v>
      </c>
      <c r="D43" s="232">
        <v>2</v>
      </c>
      <c r="E43" s="232">
        <v>2</v>
      </c>
      <c r="F43" s="232">
        <v>2</v>
      </c>
      <c r="G43" s="232">
        <v>2</v>
      </c>
      <c r="H43" s="232">
        <v>2</v>
      </c>
      <c r="I43" s="232"/>
      <c r="J43" s="232"/>
      <c r="K43" s="232"/>
      <c r="L43" s="232"/>
      <c r="M43" s="232"/>
      <c r="N43"/>
      <c r="O43" s="232"/>
      <c r="P43" s="232"/>
      <c r="Q43" s="232"/>
      <c r="R43" s="232"/>
      <c r="S43" s="232"/>
      <c r="T43"/>
      <c r="U43" s="232"/>
      <c r="V43" s="232"/>
      <c r="W43" s="232"/>
      <c r="X43" s="232"/>
      <c r="Y43" s="232"/>
      <c r="Z43"/>
      <c r="AA43" s="232"/>
      <c r="AB43" s="232"/>
      <c r="AC43" s="232"/>
      <c r="AD43" s="232"/>
      <c r="AE43" s="232"/>
      <c r="AF43"/>
      <c r="AG43" s="232"/>
      <c r="AH43" s="232"/>
      <c r="AI43" s="232"/>
      <c r="AJ43" s="232"/>
      <c r="AK43" s="232"/>
      <c r="AL43"/>
      <c r="AM43" s="232"/>
      <c r="AN43" s="232"/>
      <c r="AO43" s="232"/>
      <c r="AP43" s="232"/>
      <c r="AQ43" s="232"/>
      <c r="AR43"/>
      <c r="AS43" s="232"/>
      <c r="AT43" s="232">
        <v>1</v>
      </c>
      <c r="AU43" s="232">
        <v>1</v>
      </c>
      <c r="AV43" s="232">
        <v>1</v>
      </c>
      <c r="AW43" s="232">
        <v>1</v>
      </c>
      <c r="AX43">
        <v>1</v>
      </c>
    </row>
    <row r="44" spans="3:50" x14ac:dyDescent="0.4">
      <c r="C44" s="115" t="s">
        <v>8064</v>
      </c>
      <c r="D44" s="232">
        <v>4</v>
      </c>
      <c r="E44" s="232">
        <v>4</v>
      </c>
      <c r="F44" s="232">
        <v>4</v>
      </c>
      <c r="G44" s="232">
        <v>5</v>
      </c>
      <c r="H44" s="232">
        <v>5</v>
      </c>
      <c r="I44" s="232"/>
      <c r="J44" s="232"/>
      <c r="K44" s="232"/>
      <c r="L44" s="232"/>
      <c r="M44" s="232"/>
      <c r="N44"/>
      <c r="O44" s="232"/>
      <c r="P44" s="232"/>
      <c r="Q44" s="232"/>
      <c r="R44" s="232"/>
      <c r="S44" s="232"/>
      <c r="T44"/>
      <c r="U44" s="232"/>
      <c r="V44" s="232"/>
      <c r="W44" s="232"/>
      <c r="X44" s="232"/>
      <c r="Y44" s="232"/>
      <c r="Z44"/>
      <c r="AA44" s="232"/>
      <c r="AB44" s="232"/>
      <c r="AC44" s="232"/>
      <c r="AD44" s="232"/>
      <c r="AE44" s="232"/>
      <c r="AF44"/>
      <c r="AG44" s="232"/>
      <c r="AH44" s="232"/>
      <c r="AI44" s="232"/>
      <c r="AJ44" s="232"/>
      <c r="AK44" s="232"/>
      <c r="AL44"/>
      <c r="AM44" s="232"/>
      <c r="AN44" s="232"/>
      <c r="AO44" s="232"/>
      <c r="AP44" s="232"/>
      <c r="AQ44" s="232"/>
      <c r="AR44"/>
      <c r="AS44" s="232"/>
      <c r="AT44" s="232">
        <v>3</v>
      </c>
      <c r="AU44" s="232">
        <v>2</v>
      </c>
      <c r="AV44" s="232">
        <v>2</v>
      </c>
      <c r="AW44" s="232">
        <v>2</v>
      </c>
      <c r="AX44">
        <v>2</v>
      </c>
    </row>
    <row r="45" spans="3:50" x14ac:dyDescent="0.4">
      <c r="C45" s="115" t="s">
        <v>8065</v>
      </c>
      <c r="D45" s="232">
        <v>11</v>
      </c>
      <c r="E45" s="232">
        <v>11</v>
      </c>
      <c r="F45" s="232">
        <v>11</v>
      </c>
      <c r="G45" s="232">
        <v>12</v>
      </c>
      <c r="H45" s="232">
        <v>13</v>
      </c>
      <c r="I45" s="232"/>
      <c r="J45" s="232">
        <v>5</v>
      </c>
      <c r="K45" s="232">
        <v>5</v>
      </c>
      <c r="L45" s="232">
        <v>6</v>
      </c>
      <c r="M45" s="232">
        <v>6</v>
      </c>
      <c r="N45">
        <v>6</v>
      </c>
      <c r="O45" s="232"/>
      <c r="P45" s="232">
        <v>2</v>
      </c>
      <c r="Q45" s="232">
        <v>2</v>
      </c>
      <c r="R45" s="232">
        <v>3</v>
      </c>
      <c r="S45" s="232">
        <v>4</v>
      </c>
      <c r="T45">
        <v>4</v>
      </c>
      <c r="U45" s="232"/>
      <c r="V45" s="232">
        <v>2</v>
      </c>
      <c r="W45" s="232">
        <v>2</v>
      </c>
      <c r="X45" s="232">
        <v>3</v>
      </c>
      <c r="Y45" s="232">
        <v>4</v>
      </c>
      <c r="Z45">
        <v>4</v>
      </c>
      <c r="AA45" s="232"/>
      <c r="AB45" s="232"/>
      <c r="AC45" s="232"/>
      <c r="AD45" s="232">
        <v>1</v>
      </c>
      <c r="AE45" s="232">
        <v>2</v>
      </c>
      <c r="AF45">
        <v>2</v>
      </c>
      <c r="AG45" s="232"/>
      <c r="AH45" s="232"/>
      <c r="AI45" s="232"/>
      <c r="AJ45" s="232">
        <v>1</v>
      </c>
      <c r="AK45" s="232"/>
      <c r="AL45"/>
      <c r="AM45" s="232"/>
      <c r="AN45" s="232"/>
      <c r="AO45" s="232"/>
      <c r="AP45" s="232"/>
      <c r="AQ45" s="232">
        <v>2</v>
      </c>
      <c r="AR45">
        <v>2</v>
      </c>
      <c r="AS45" s="232"/>
      <c r="AT45" s="232">
        <v>6</v>
      </c>
      <c r="AU45" s="232">
        <v>6</v>
      </c>
      <c r="AV45" s="232">
        <v>6</v>
      </c>
      <c r="AW45" s="232">
        <v>7</v>
      </c>
      <c r="AX45">
        <v>8</v>
      </c>
    </row>
    <row r="46" spans="3:50" x14ac:dyDescent="0.4">
      <c r="C46" s="120" t="s">
        <v>8066</v>
      </c>
      <c r="D46" s="795">
        <v>9</v>
      </c>
      <c r="E46" s="795">
        <v>9</v>
      </c>
      <c r="F46" s="795">
        <v>9</v>
      </c>
      <c r="G46" s="795">
        <v>9</v>
      </c>
      <c r="H46" s="795">
        <v>9</v>
      </c>
      <c r="I46" s="795"/>
      <c r="J46" s="795"/>
      <c r="K46" s="795"/>
      <c r="L46" s="795"/>
      <c r="M46" s="795"/>
      <c r="N46" s="2268"/>
      <c r="O46" s="795"/>
      <c r="P46" s="795">
        <v>1</v>
      </c>
      <c r="Q46" s="795">
        <v>1</v>
      </c>
      <c r="R46" s="795">
        <v>1</v>
      </c>
      <c r="S46" s="795">
        <v>1</v>
      </c>
      <c r="T46" s="2268">
        <v>1</v>
      </c>
      <c r="U46" s="795"/>
      <c r="V46" s="795"/>
      <c r="W46" s="795"/>
      <c r="X46" s="795"/>
      <c r="Y46" s="795"/>
      <c r="Z46" s="2268"/>
      <c r="AA46" s="795"/>
      <c r="AB46" s="795"/>
      <c r="AC46" s="795"/>
      <c r="AD46" s="795"/>
      <c r="AE46" s="795"/>
      <c r="AF46" s="2268"/>
      <c r="AG46" s="795"/>
      <c r="AH46" s="795"/>
      <c r="AI46" s="795"/>
      <c r="AJ46" s="795"/>
      <c r="AK46" s="795"/>
      <c r="AL46" s="2268"/>
      <c r="AM46" s="795"/>
      <c r="AN46" s="795"/>
      <c r="AO46" s="795"/>
      <c r="AP46" s="795"/>
      <c r="AQ46" s="795"/>
      <c r="AR46" s="2268"/>
      <c r="AS46" s="795"/>
      <c r="AT46" s="795">
        <v>3</v>
      </c>
      <c r="AU46" s="795">
        <v>3</v>
      </c>
      <c r="AV46" s="795">
        <v>3</v>
      </c>
      <c r="AW46" s="795">
        <v>3</v>
      </c>
      <c r="AX46" s="2268">
        <v>3</v>
      </c>
    </row>
    <row r="47" spans="3:50" x14ac:dyDescent="0.4">
      <c r="C47" s="155" t="s">
        <v>8067</v>
      </c>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545"/>
      <c r="AO47" s="545"/>
      <c r="AP47"/>
    </row>
    <row r="48" spans="3:50" x14ac:dyDescent="0.4">
      <c r="C48" s="155" t="s">
        <v>8068</v>
      </c>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545"/>
      <c r="AO48" s="545"/>
      <c r="AP48"/>
    </row>
    <row r="49" spans="3:42" x14ac:dyDescent="0.4">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row>
  </sheetData>
  <mergeCells count="26">
    <mergeCell ref="C15:G15"/>
    <mergeCell ref="C1:D1"/>
    <mergeCell ref="A3:B3"/>
    <mergeCell ref="C3:AI3"/>
    <mergeCell ref="A4:B4"/>
    <mergeCell ref="C4:AI4"/>
    <mergeCell ref="A5:B5"/>
    <mergeCell ref="C5:AI5"/>
    <mergeCell ref="A6:B6"/>
    <mergeCell ref="C6:AI6"/>
    <mergeCell ref="C12:G12"/>
    <mergeCell ref="C13:G13"/>
    <mergeCell ref="C14:G14"/>
    <mergeCell ref="AH27:AL27"/>
    <mergeCell ref="AN27:AR27"/>
    <mergeCell ref="AT27:AX27"/>
    <mergeCell ref="C16:G16"/>
    <mergeCell ref="C17:G17"/>
    <mergeCell ref="C18:G18"/>
    <mergeCell ref="C26:C28"/>
    <mergeCell ref="D26:H27"/>
    <mergeCell ref="J26:AX26"/>
    <mergeCell ref="J27:N27"/>
    <mergeCell ref="P27:T27"/>
    <mergeCell ref="V27:Z27"/>
    <mergeCell ref="AB27:AF27"/>
  </mergeCells>
  <hyperlinks>
    <hyperlink ref="A1" location="'ODS 17.'!A1" display="REGRESAR" xr:uid="{14FB55E4-2D2E-46C3-BE3E-83302DD907F4}"/>
    <hyperlink ref="C1:D1" location="'Metadato 17.18.1'!A1" display="VER METADATO" xr:uid="{364E585D-AFC9-4682-BD07-E374FCCD92A4}"/>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E585-6E6C-40E2-B10E-15AF17D9DD11}">
  <sheetPr>
    <tabColor theme="0" tint="-0.499984740745262"/>
  </sheetPr>
  <dimension ref="B1:F36"/>
  <sheetViews>
    <sheetView showGridLines="0" zoomScaleNormal="100" workbookViewId="0">
      <pane ySplit="1" topLeftCell="A4"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244</v>
      </c>
    </row>
    <row r="4" spans="2:6" ht="37.5" x14ac:dyDescent="0.4">
      <c r="B4" s="2425" t="s">
        <v>234</v>
      </c>
      <c r="C4" s="2425"/>
      <c r="D4" s="49" t="s">
        <v>7797</v>
      </c>
    </row>
    <row r="5" spans="2:6" ht="73.900000000000006" customHeight="1" x14ac:dyDescent="0.4">
      <c r="B5" s="2425" t="s">
        <v>79</v>
      </c>
      <c r="C5" s="2425"/>
      <c r="D5" s="49" t="s">
        <v>7752</v>
      </c>
    </row>
    <row r="6" spans="2:6" ht="16.5" customHeight="1" x14ac:dyDescent="0.4">
      <c r="B6" s="2425" t="s">
        <v>80</v>
      </c>
      <c r="C6" s="2425"/>
      <c r="D6" s="50" t="s">
        <v>7753</v>
      </c>
    </row>
    <row r="7" spans="2:6" ht="37.5" x14ac:dyDescent="0.4">
      <c r="B7" s="2426" t="s">
        <v>81</v>
      </c>
      <c r="C7" s="2426"/>
      <c r="D7" s="93" t="s">
        <v>7754</v>
      </c>
    </row>
    <row r="8" spans="2:6" x14ac:dyDescent="0.4">
      <c r="B8" s="2426" t="s">
        <v>82</v>
      </c>
      <c r="C8" s="2426"/>
      <c r="D8" s="1047" t="s">
        <v>353</v>
      </c>
    </row>
    <row r="10" spans="2:6" ht="23.25" customHeight="1" x14ac:dyDescent="0.4">
      <c r="B10" s="3555" t="s">
        <v>85</v>
      </c>
      <c r="C10" s="3555"/>
      <c r="D10" s="3555"/>
    </row>
    <row r="11" spans="2:6" x14ac:dyDescent="0.4">
      <c r="B11" s="2427" t="s">
        <v>86</v>
      </c>
      <c r="C11" s="2428"/>
      <c r="D11" s="49"/>
    </row>
    <row r="12" spans="2:6" ht="37.5" x14ac:dyDescent="0.4">
      <c r="B12" s="2426" t="s">
        <v>88</v>
      </c>
      <c r="C12" s="2426"/>
      <c r="D12" s="184" t="s">
        <v>8069</v>
      </c>
    </row>
    <row r="13" spans="2:6" x14ac:dyDescent="0.4">
      <c r="B13" s="2425" t="s">
        <v>90</v>
      </c>
      <c r="C13" s="2425"/>
      <c r="D13" s="54" t="s">
        <v>7753</v>
      </c>
    </row>
    <row r="14" spans="2:6" x14ac:dyDescent="0.4">
      <c r="B14" s="2425" t="s">
        <v>91</v>
      </c>
      <c r="C14" s="2428"/>
      <c r="D14" s="54" t="s">
        <v>214</v>
      </c>
    </row>
    <row r="15" spans="2:6" ht="75" x14ac:dyDescent="0.4">
      <c r="B15" s="2425" t="s">
        <v>93</v>
      </c>
      <c r="C15" s="2425"/>
      <c r="D15" s="49" t="s">
        <v>8070</v>
      </c>
    </row>
    <row r="16" spans="2:6" ht="131.25" x14ac:dyDescent="0.4">
      <c r="B16" s="2425" t="s">
        <v>95</v>
      </c>
      <c r="C16" s="2425"/>
      <c r="D16" s="49" t="s">
        <v>8071</v>
      </c>
    </row>
    <row r="17" spans="2:4" x14ac:dyDescent="0.4">
      <c r="B17" s="2425" t="s">
        <v>97</v>
      </c>
      <c r="C17" s="2425"/>
      <c r="D17" s="55" t="s">
        <v>270</v>
      </c>
    </row>
    <row r="18" spans="2:4" ht="37.5" x14ac:dyDescent="0.4">
      <c r="B18" s="2426" t="s">
        <v>99</v>
      </c>
      <c r="C18" s="2426"/>
      <c r="D18" s="49" t="s">
        <v>8072</v>
      </c>
    </row>
    <row r="19" spans="2:4" ht="112.5" x14ac:dyDescent="0.4">
      <c r="B19" s="2435" t="s">
        <v>100</v>
      </c>
      <c r="C19" s="2436"/>
      <c r="D19" s="55" t="s">
        <v>8073</v>
      </c>
    </row>
    <row r="20" spans="2:4" x14ac:dyDescent="0.4">
      <c r="B20" s="2425" t="s">
        <v>102</v>
      </c>
      <c r="C20" s="2425"/>
      <c r="D20" s="49" t="s">
        <v>1581</v>
      </c>
    </row>
    <row r="21" spans="2:4" x14ac:dyDescent="0.4">
      <c r="B21" s="2432" t="s">
        <v>104</v>
      </c>
      <c r="C21" s="57" t="s">
        <v>105</v>
      </c>
      <c r="D21" s="49" t="s">
        <v>1581</v>
      </c>
    </row>
    <row r="22" spans="2:4" x14ac:dyDescent="0.4">
      <c r="B22" s="2433"/>
      <c r="C22" s="58" t="s">
        <v>107</v>
      </c>
      <c r="D22" s="55" t="s">
        <v>8074</v>
      </c>
    </row>
    <row r="23" spans="2:4" x14ac:dyDescent="0.4">
      <c r="B23" s="2425" t="s">
        <v>109</v>
      </c>
      <c r="C23" s="2425"/>
      <c r="D23" s="49" t="s">
        <v>143</v>
      </c>
    </row>
    <row r="24" spans="2:4" x14ac:dyDescent="0.4">
      <c r="B24" s="2425" t="s">
        <v>111</v>
      </c>
      <c r="C24" s="2425"/>
      <c r="D24" s="49" t="s">
        <v>127</v>
      </c>
    </row>
    <row r="25" spans="2:4" x14ac:dyDescent="0.4">
      <c r="B25" s="2425" t="s">
        <v>113</v>
      </c>
      <c r="C25" s="2425"/>
      <c r="D25" s="55" t="s">
        <v>1701</v>
      </c>
    </row>
    <row r="26" spans="2:4" x14ac:dyDescent="0.4">
      <c r="B26" s="2426" t="s">
        <v>115</v>
      </c>
      <c r="C26" s="2426"/>
      <c r="D26" s="49" t="s">
        <v>515</v>
      </c>
    </row>
    <row r="27" spans="2:4" x14ac:dyDescent="0.4">
      <c r="B27" s="2427" t="s">
        <v>117</v>
      </c>
      <c r="C27" s="2428"/>
      <c r="D27" s="49"/>
    </row>
    <row r="28" spans="2:4" x14ac:dyDescent="0.4">
      <c r="B28" s="60" t="s">
        <v>118</v>
      </c>
      <c r="C28" s="61"/>
      <c r="D28" s="49" t="s">
        <v>8075</v>
      </c>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t="s">
        <v>8076</v>
      </c>
    </row>
    <row r="33" spans="2:4" x14ac:dyDescent="0.4">
      <c r="B33" s="2427" t="s">
        <v>124</v>
      </c>
      <c r="C33" s="2428"/>
      <c r="D33" s="55" t="s">
        <v>8077</v>
      </c>
    </row>
    <row r="34" spans="2:4" x14ac:dyDescent="0.4">
      <c r="B34" s="2427" t="s">
        <v>126</v>
      </c>
      <c r="C34" s="2428"/>
      <c r="D34" s="55" t="s">
        <v>127</v>
      </c>
    </row>
    <row r="35" spans="2:4" x14ac:dyDescent="0.4">
      <c r="B35" s="2427" t="s">
        <v>128</v>
      </c>
      <c r="C35" s="2428"/>
      <c r="D35" s="246" t="s">
        <v>8078</v>
      </c>
    </row>
    <row r="36" spans="2:4" x14ac:dyDescent="0.4">
      <c r="B36" s="2427" t="s">
        <v>130</v>
      </c>
      <c r="C36" s="2428"/>
      <c r="D36" s="247" t="s">
        <v>8079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80477B06-16ED-43CB-B1A4-880238F5CBA4}"/>
    <dataValidation type="list" allowBlank="1" showInputMessage="1" showErrorMessage="1" sqref="D4" xr:uid="{CDD2CAB7-1F41-43B4-AC9A-3203791158F7}">
      <formula1>ODS</formula1>
    </dataValidation>
    <dataValidation type="list" allowBlank="1" showInputMessage="1" showErrorMessage="1" sqref="D5" xr:uid="{F6C5AF55-9C2B-4CEC-9C25-7BADAA649041}">
      <formula1>Metas_ODS</formula1>
    </dataValidation>
    <dataValidation type="list" allowBlank="1" showInputMessage="1" showErrorMessage="1" sqref="D6" xr:uid="{35BA8E43-D573-4C19-9E27-2D9B8F0C63CE}">
      <formula1>Numero_indicador</formula1>
    </dataValidation>
    <dataValidation type="list" allowBlank="1" showInputMessage="1" showErrorMessage="1" sqref="D7" xr:uid="{3B0FA972-B87F-4DDB-A8F3-7E6AEE87B75F}">
      <formula1>Nombre_indicador_ODS</formula1>
    </dataValidation>
    <dataValidation type="list" allowBlank="1" showInputMessage="1" showErrorMessage="1" sqref="D14" xr:uid="{5FB7B627-71F7-4FE6-B95C-CEF5FDC508E9}">
      <formula1>Tipo_indicador</formula1>
    </dataValidation>
    <dataValidation type="list" allowBlank="1" showInputMessage="1" showErrorMessage="1" sqref="D25" xr:uid="{317807E2-2805-4F91-A479-57BFB6FEF96C}">
      <formula1>Tipo_operación</formula1>
    </dataValidation>
  </dataValidations>
  <hyperlinks>
    <hyperlink ref="B1" location="'17.18.1'!A1" display="REGRESAR" xr:uid="{C2B847FE-F939-4CCE-AB50-906BEBB5C1B7}"/>
    <hyperlink ref="D8" r:id="rId1" xr:uid="{C4CCC839-B25C-4D64-B3FA-5113BDEF9838}"/>
    <hyperlink ref="D36" r:id="rId2" xr:uid="{1932DB65-B4DA-487A-9109-1468CB1890EF}"/>
  </hyperlinks>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B3D1A-B6C0-4FB5-B0E6-2E1D5D0C469A}">
  <sheetPr>
    <tabColor rgb="FF7030A0"/>
  </sheetPr>
  <dimension ref="A1:Q24"/>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5703125" style="115" customWidth="1"/>
    <col min="2" max="2" width="17.5703125" style="115" customWidth="1"/>
    <col min="3" max="3" width="10.42578125" style="1048" customWidth="1"/>
    <col min="4" max="5" width="10.42578125" style="115" customWidth="1"/>
    <col min="6" max="16384" width="11.42578125" style="115"/>
  </cols>
  <sheetData>
    <row r="1" spans="1:17" x14ac:dyDescent="0.4">
      <c r="A1" s="90" t="s">
        <v>39</v>
      </c>
      <c r="B1" s="1311"/>
      <c r="C1" s="2541" t="s">
        <v>149</v>
      </c>
      <c r="D1" s="2541"/>
    </row>
    <row r="3" spans="1:17" ht="19.5" x14ac:dyDescent="0.4">
      <c r="A3" s="3547" t="s">
        <v>41</v>
      </c>
      <c r="B3" s="3547"/>
      <c r="C3" s="3558" t="s">
        <v>8031</v>
      </c>
      <c r="D3" s="3558"/>
      <c r="E3" s="3558"/>
      <c r="F3" s="3558"/>
      <c r="G3" s="3558"/>
      <c r="H3" s="3558"/>
      <c r="I3" s="3558"/>
      <c r="J3" s="3558"/>
      <c r="K3" s="3558"/>
      <c r="L3" s="3558"/>
      <c r="M3" s="3558"/>
      <c r="N3" s="3558"/>
      <c r="O3" s="3558"/>
      <c r="P3" s="3558"/>
      <c r="Q3" s="3558"/>
    </row>
    <row r="4" spans="1:17" ht="59.45" customHeight="1" x14ac:dyDescent="0.4">
      <c r="A4" s="3547" t="s">
        <v>42</v>
      </c>
      <c r="B4" s="3548"/>
      <c r="C4" s="3558" t="s">
        <v>8080</v>
      </c>
      <c r="D4" s="3559"/>
      <c r="E4" s="3559"/>
      <c r="F4" s="3559"/>
      <c r="G4" s="3559"/>
      <c r="H4" s="3559"/>
      <c r="I4" s="3559"/>
      <c r="J4" s="3559"/>
      <c r="K4" s="3559"/>
      <c r="L4" s="3559"/>
      <c r="M4" s="3559"/>
      <c r="N4" s="3559"/>
      <c r="O4" s="3559"/>
      <c r="P4" s="3559"/>
      <c r="Q4" s="3559"/>
    </row>
    <row r="5" spans="1:17" ht="19.5" x14ac:dyDescent="0.4">
      <c r="A5" s="3547" t="s">
        <v>43</v>
      </c>
      <c r="B5" s="3548"/>
      <c r="C5" s="3547" t="s">
        <v>8081</v>
      </c>
      <c r="D5" s="3548"/>
      <c r="E5" s="3548"/>
      <c r="F5" s="3548"/>
      <c r="G5" s="3548"/>
      <c r="H5" s="3548"/>
      <c r="I5" s="3548"/>
      <c r="J5" s="3548"/>
      <c r="K5" s="3548"/>
      <c r="L5" s="3548"/>
      <c r="M5" s="3548"/>
      <c r="N5" s="3548"/>
      <c r="O5" s="3548"/>
      <c r="P5" s="3548"/>
      <c r="Q5" s="3548"/>
    </row>
    <row r="6" spans="1:17" ht="19.5" x14ac:dyDescent="0.4">
      <c r="A6" s="3547" t="s">
        <v>132</v>
      </c>
      <c r="B6" s="3548"/>
      <c r="C6" s="3547" t="s">
        <v>242</v>
      </c>
      <c r="D6" s="3548"/>
      <c r="E6" s="3548"/>
      <c r="F6" s="3548"/>
      <c r="G6" s="3548"/>
      <c r="H6" s="3548"/>
      <c r="I6" s="3548"/>
      <c r="J6" s="3548"/>
      <c r="K6" s="3548"/>
      <c r="L6" s="3548"/>
      <c r="M6" s="3548"/>
      <c r="N6" s="3548"/>
      <c r="O6" s="3548"/>
      <c r="P6" s="3548"/>
      <c r="Q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c r="Q9" s="2506"/>
    </row>
    <row r="10" spans="1:17" ht="11.25" customHeight="1" x14ac:dyDescent="0.4">
      <c r="A10" s="536"/>
      <c r="C10" s="2506"/>
      <c r="D10" s="2506"/>
      <c r="E10" s="2506"/>
      <c r="F10" s="2506"/>
      <c r="G10" s="2506"/>
      <c r="H10" s="2506"/>
      <c r="I10" s="2506"/>
      <c r="J10" s="2506"/>
      <c r="K10" s="2506"/>
      <c r="L10" s="2506"/>
      <c r="M10" s="2506"/>
      <c r="N10" s="2506"/>
      <c r="O10" s="2506"/>
      <c r="P10" s="2506"/>
      <c r="Q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row r="21" spans="1:17" x14ac:dyDescent="0.4">
      <c r="A21" s="536"/>
    </row>
    <row r="22" spans="1:17" x14ac:dyDescent="0.4">
      <c r="A22" s="536"/>
    </row>
    <row r="23" spans="1:17" x14ac:dyDescent="0.4">
      <c r="A23" s="536"/>
    </row>
    <row r="24" spans="1:17" x14ac:dyDescent="0.4">
      <c r="A24" s="536"/>
    </row>
  </sheetData>
  <mergeCells count="11">
    <mergeCell ref="A6:B6"/>
    <mergeCell ref="C6:Q6"/>
    <mergeCell ref="C9:Q10"/>
    <mergeCell ref="C17:Q17"/>
    <mergeCell ref="C1:D1"/>
    <mergeCell ref="A3:B3"/>
    <mergeCell ref="C3:Q3"/>
    <mergeCell ref="A4:B4"/>
    <mergeCell ref="C4:Q4"/>
    <mergeCell ref="A5:B5"/>
    <mergeCell ref="C5:Q5"/>
  </mergeCells>
  <hyperlinks>
    <hyperlink ref="A1" location="'ODS 17.'!A1" display="REGRESAR" xr:uid="{526E3F07-94A4-44B8-8CD1-F7519965EF51}"/>
    <hyperlink ref="C1:D1" location="'Metadato 17.18.2'!A1" display="VER METADATO" xr:uid="{3EFA3767-A572-480D-8406-9AD4A08BD42F}"/>
  </hyperlinks>
  <pageMargins left="0.7" right="0.7" top="0.75" bottom="0.75" header="0.3" footer="0.3"/>
  <drawing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3DB0-70CD-47E1-8878-1BF2B948E2CB}">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93.75" x14ac:dyDescent="0.4">
      <c r="B5" s="2425" t="s">
        <v>79</v>
      </c>
      <c r="C5" s="2425"/>
      <c r="D5" s="49" t="s">
        <v>7752</v>
      </c>
    </row>
    <row r="6" spans="2:6" ht="17.25" customHeight="1" x14ac:dyDescent="0.4">
      <c r="B6" s="2425" t="s">
        <v>80</v>
      </c>
      <c r="C6" s="2425"/>
      <c r="D6" s="50" t="s">
        <v>7755</v>
      </c>
    </row>
    <row r="7" spans="2:6" ht="37.5" x14ac:dyDescent="0.4">
      <c r="B7" s="2426" t="s">
        <v>81</v>
      </c>
      <c r="C7" s="2426"/>
      <c r="D7" s="93" t="s">
        <v>7756</v>
      </c>
    </row>
    <row r="8" spans="2:6" x14ac:dyDescent="0.4">
      <c r="B8" s="2426" t="s">
        <v>82</v>
      </c>
      <c r="C8" s="2426"/>
      <c r="D8" s="1047" t="s">
        <v>8082</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allowBlank="1" showDropDown="1" showInputMessage="1" showErrorMessage="1" sqref="D13" xr:uid="{24D67F28-1D6D-4DA2-922E-A0D7DC108CC7}"/>
    <dataValidation type="list" allowBlank="1" showInputMessage="1" showErrorMessage="1" sqref="D4" xr:uid="{4F010C38-E663-40FA-8B05-A70D38C02CE0}">
      <formula1>ODS</formula1>
    </dataValidation>
    <dataValidation type="list" allowBlank="1" showInputMessage="1" showErrorMessage="1" sqref="D5" xr:uid="{8FD48308-FB7E-4F10-B532-B3015E472521}">
      <formula1>Metas_ODS</formula1>
    </dataValidation>
    <dataValidation type="list" allowBlank="1" showInputMessage="1" showErrorMessage="1" sqref="D6" xr:uid="{5E34929F-9175-459F-B24E-4796DBFE3724}">
      <formula1>Numero_indicador</formula1>
    </dataValidation>
    <dataValidation type="list" allowBlank="1" showInputMessage="1" showErrorMessage="1" sqref="D14" xr:uid="{A7CBB599-8D54-49E1-94A6-11F719F47204}">
      <formula1>Tipo_indicador</formula1>
    </dataValidation>
    <dataValidation type="list" allowBlank="1" showInputMessage="1" showErrorMessage="1" sqref="D25" xr:uid="{4EFD02FE-406D-4A20-B277-109107D12BA4}">
      <formula1>Tipo_operación</formula1>
    </dataValidation>
  </dataValidations>
  <hyperlinks>
    <hyperlink ref="B1" location="'17.18.2'!A1" display="REGRESAR" xr:uid="{087BDE3A-D39E-48D0-B134-98BD8FBEC56A}"/>
    <hyperlink ref="D8" r:id="rId1" xr:uid="{D764DBB6-9310-4904-8360-283BFDA77A38}"/>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2DFC-B8FD-4182-80CD-E78B7EC18466}">
  <sheetPr>
    <tabColor rgb="FFC00000"/>
  </sheetPr>
  <dimension ref="A1:P33"/>
  <sheetViews>
    <sheetView showGridLines="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5703125" style="16" customWidth="1"/>
    <col min="3" max="3" width="11.7109375" style="218" customWidth="1"/>
    <col min="4" max="6" width="11.7109375" style="16" customWidth="1"/>
    <col min="7" max="16384" width="11.42578125" style="16"/>
  </cols>
  <sheetData>
    <row r="1" spans="1:16" x14ac:dyDescent="0.4">
      <c r="A1" s="15" t="s">
        <v>39</v>
      </c>
      <c r="B1" s="161"/>
      <c r="C1" s="2562" t="s">
        <v>149</v>
      </c>
      <c r="D1" s="2562"/>
    </row>
    <row r="3" spans="1:16" ht="17.25" customHeight="1" x14ac:dyDescent="0.4">
      <c r="A3" s="2508" t="s">
        <v>41</v>
      </c>
      <c r="B3" s="2508"/>
      <c r="C3" s="2508" t="s">
        <v>396</v>
      </c>
      <c r="D3" s="2508"/>
      <c r="E3" s="2508"/>
      <c r="F3" s="2508"/>
      <c r="G3" s="2508"/>
      <c r="H3" s="2508"/>
      <c r="I3" s="2508"/>
      <c r="J3" s="2508"/>
      <c r="K3" s="2508"/>
      <c r="L3" s="2508"/>
      <c r="M3" s="2508"/>
      <c r="N3" s="2508"/>
      <c r="O3" s="2508"/>
      <c r="P3" s="2508"/>
    </row>
    <row r="4" spans="1:16" ht="35.450000000000003" customHeight="1" x14ac:dyDescent="0.4">
      <c r="A4" s="2508" t="s">
        <v>42</v>
      </c>
      <c r="B4" s="2508"/>
      <c r="C4" s="2509" t="s">
        <v>427</v>
      </c>
      <c r="D4" s="2509"/>
      <c r="E4" s="2509"/>
      <c r="F4" s="2509"/>
      <c r="G4" s="2509"/>
      <c r="H4" s="2509"/>
      <c r="I4" s="2509"/>
      <c r="J4" s="2509"/>
      <c r="K4" s="2509"/>
      <c r="L4" s="2509"/>
      <c r="M4" s="2509"/>
      <c r="N4" s="2509"/>
      <c r="O4" s="2509"/>
      <c r="P4" s="2509"/>
    </row>
    <row r="5" spans="1:16" ht="16.5" customHeight="1" x14ac:dyDescent="0.4">
      <c r="A5" s="2508" t="s">
        <v>43</v>
      </c>
      <c r="B5" s="2508"/>
      <c r="C5" s="2508" t="s">
        <v>429</v>
      </c>
      <c r="D5" s="2508"/>
      <c r="E5" s="2508"/>
      <c r="F5" s="2508"/>
      <c r="G5" s="2508"/>
      <c r="H5" s="2508"/>
      <c r="I5" s="2508"/>
      <c r="J5" s="2508"/>
      <c r="K5" s="2508"/>
      <c r="L5" s="2508"/>
      <c r="M5" s="2508"/>
      <c r="N5" s="2508"/>
      <c r="O5" s="2508"/>
      <c r="P5" s="2508"/>
    </row>
    <row r="6" spans="1:16" ht="15.75" customHeight="1" x14ac:dyDescent="0.4">
      <c r="A6" s="2508" t="s">
        <v>132</v>
      </c>
      <c r="B6" s="2508"/>
      <c r="C6" s="2508"/>
      <c r="D6" s="2508"/>
      <c r="E6" s="2508"/>
      <c r="F6" s="2508"/>
      <c r="G6" s="2508"/>
      <c r="H6" s="2508"/>
      <c r="I6" s="2508"/>
      <c r="J6" s="2508"/>
      <c r="K6" s="2508"/>
      <c r="L6" s="2508"/>
      <c r="M6" s="2508"/>
      <c r="N6" s="2508"/>
      <c r="O6" s="2508"/>
      <c r="P6" s="2508"/>
    </row>
    <row r="7" spans="1:16" x14ac:dyDescent="0.4">
      <c r="A7" s="217"/>
    </row>
    <row r="8" spans="1:16" x14ac:dyDescent="0.4">
      <c r="A8" s="363"/>
    </row>
    <row r="9" spans="1:16" ht="11.25" customHeight="1" x14ac:dyDescent="0.4">
      <c r="A9" s="217"/>
      <c r="C9" s="2506" t="s">
        <v>650</v>
      </c>
      <c r="D9" s="2506"/>
      <c r="E9" s="2506"/>
      <c r="F9" s="2506"/>
      <c r="G9" s="2506"/>
      <c r="H9" s="2506"/>
      <c r="I9" s="2506"/>
      <c r="J9" s="2506"/>
      <c r="K9" s="2506"/>
      <c r="L9" s="2506"/>
      <c r="M9" s="2506"/>
      <c r="N9" s="2506"/>
      <c r="O9" s="2506"/>
      <c r="P9" s="2506"/>
    </row>
    <row r="10" spans="1:16" ht="11.25" customHeight="1" x14ac:dyDescent="0.4">
      <c r="A10" s="217"/>
      <c r="C10" s="2506"/>
      <c r="D10" s="2506"/>
      <c r="E10" s="2506"/>
      <c r="F10" s="2506"/>
      <c r="G10" s="2506"/>
      <c r="H10" s="2506"/>
      <c r="I10" s="2506"/>
      <c r="J10" s="2506"/>
      <c r="K10" s="2506"/>
      <c r="L10" s="2506"/>
      <c r="M10" s="2506"/>
      <c r="N10" s="2506"/>
      <c r="O10" s="2506"/>
      <c r="P10" s="2506"/>
    </row>
    <row r="11" spans="1:16" x14ac:dyDescent="0.4">
      <c r="A11" s="217"/>
    </row>
    <row r="12" spans="1:16" ht="11.25" customHeight="1" x14ac:dyDescent="0.4">
      <c r="A12" s="217"/>
      <c r="C12" s="2561" t="s">
        <v>656</v>
      </c>
      <c r="D12" s="2561"/>
      <c r="E12" s="2561"/>
      <c r="F12" s="2561"/>
      <c r="G12" s="2561"/>
      <c r="H12" s="2561"/>
      <c r="I12" s="2561"/>
      <c r="J12" s="2561"/>
      <c r="K12" s="2561"/>
      <c r="L12" s="2561"/>
      <c r="M12" s="2561"/>
      <c r="N12" s="2561"/>
      <c r="O12" s="174"/>
    </row>
    <row r="13" spans="1:16" x14ac:dyDescent="0.4">
      <c r="A13" s="217"/>
      <c r="C13" s="2561"/>
      <c r="D13" s="2561"/>
      <c r="E13" s="2561"/>
      <c r="F13" s="2561"/>
      <c r="G13" s="2561"/>
      <c r="H13" s="2561"/>
      <c r="I13" s="2561"/>
      <c r="J13" s="2561"/>
      <c r="K13" s="2561"/>
      <c r="L13" s="2561"/>
      <c r="M13" s="2561"/>
      <c r="N13" s="2561"/>
      <c r="O13" s="174"/>
    </row>
    <row r="14" spans="1:16" x14ac:dyDescent="0.4">
      <c r="A14" s="217"/>
      <c r="C14" s="2561"/>
      <c r="D14" s="2561"/>
      <c r="E14" s="2561"/>
      <c r="F14" s="2561"/>
      <c r="G14" s="2561"/>
      <c r="H14" s="2561"/>
      <c r="I14" s="2561"/>
      <c r="J14" s="2561"/>
      <c r="K14" s="2561"/>
      <c r="L14" s="2561"/>
      <c r="M14" s="2561"/>
      <c r="N14" s="2561"/>
      <c r="O14" s="174"/>
    </row>
    <row r="15" spans="1:16" x14ac:dyDescent="0.4">
      <c r="A15" s="217"/>
      <c r="C15" s="2561"/>
      <c r="D15" s="2561"/>
      <c r="E15" s="2561"/>
      <c r="F15" s="2561"/>
      <c r="G15" s="2561"/>
      <c r="H15" s="2561"/>
      <c r="I15" s="2561"/>
      <c r="J15" s="2561"/>
      <c r="K15" s="2561"/>
      <c r="L15" s="2561"/>
      <c r="M15" s="2561"/>
      <c r="N15" s="2561"/>
      <c r="O15" s="174"/>
    </row>
    <row r="16" spans="1:16" x14ac:dyDescent="0.4">
      <c r="A16" s="217"/>
      <c r="C16" s="2561"/>
      <c r="D16" s="2561"/>
      <c r="E16" s="2561"/>
      <c r="F16" s="2561"/>
      <c r="G16" s="2561"/>
      <c r="H16" s="2561"/>
      <c r="I16" s="2561"/>
      <c r="J16" s="2561"/>
      <c r="K16" s="2561"/>
      <c r="L16" s="2561"/>
      <c r="M16" s="2561"/>
      <c r="N16" s="2561"/>
      <c r="O16" s="174"/>
    </row>
    <row r="17" spans="1:15" x14ac:dyDescent="0.4">
      <c r="A17" s="217"/>
      <c r="C17" s="2561"/>
      <c r="D17" s="2561"/>
      <c r="E17" s="2561"/>
      <c r="F17" s="2561"/>
      <c r="G17" s="2561"/>
      <c r="H17" s="2561"/>
      <c r="I17" s="2561"/>
      <c r="J17" s="2561"/>
      <c r="K17" s="2561"/>
      <c r="L17" s="2561"/>
      <c r="M17" s="2561"/>
      <c r="N17" s="2561"/>
      <c r="O17" s="174"/>
    </row>
    <row r="18" spans="1:15" x14ac:dyDescent="0.4">
      <c r="A18" s="217"/>
      <c r="C18" s="2561"/>
      <c r="D18" s="2561"/>
      <c r="E18" s="2561"/>
      <c r="F18" s="2561"/>
      <c r="G18" s="2561"/>
      <c r="H18" s="2561"/>
      <c r="I18" s="2561"/>
      <c r="J18" s="2561"/>
      <c r="K18" s="2561"/>
      <c r="L18" s="2561"/>
      <c r="M18" s="2561"/>
      <c r="N18" s="2561"/>
      <c r="O18" s="174"/>
    </row>
    <row r="19" spans="1:15" x14ac:dyDescent="0.4">
      <c r="A19" s="217"/>
      <c r="C19" s="2561"/>
      <c r="D19" s="2561"/>
      <c r="E19" s="2561"/>
      <c r="F19" s="2561"/>
      <c r="G19" s="2561"/>
      <c r="H19" s="2561"/>
      <c r="I19" s="2561"/>
      <c r="J19" s="2561"/>
      <c r="K19" s="2561"/>
      <c r="L19" s="2561"/>
      <c r="M19" s="2561"/>
      <c r="N19" s="2561"/>
      <c r="O19" s="174"/>
    </row>
    <row r="20" spans="1:15" x14ac:dyDescent="0.4">
      <c r="A20" s="217"/>
      <c r="C20" s="2561"/>
      <c r="D20" s="2561"/>
      <c r="E20" s="2561"/>
      <c r="F20" s="2561"/>
      <c r="G20" s="2561"/>
      <c r="H20" s="2561"/>
      <c r="I20" s="2561"/>
      <c r="J20" s="2561"/>
      <c r="K20" s="2561"/>
      <c r="L20" s="2561"/>
      <c r="M20" s="2561"/>
      <c r="N20" s="2561"/>
      <c r="O20" s="174"/>
    </row>
    <row r="21" spans="1:15" x14ac:dyDescent="0.4">
      <c r="A21" s="217"/>
    </row>
    <row r="22" spans="1:15" x14ac:dyDescent="0.4">
      <c r="A22" s="217"/>
    </row>
    <row r="23" spans="1:15" x14ac:dyDescent="0.4">
      <c r="A23" s="217"/>
    </row>
    <row r="24" spans="1:15" x14ac:dyDescent="0.4">
      <c r="A24" s="217"/>
    </row>
    <row r="25" spans="1:15" x14ac:dyDescent="0.4">
      <c r="A25" s="217"/>
    </row>
    <row r="26" spans="1:15" x14ac:dyDescent="0.4">
      <c r="A26" s="217"/>
    </row>
    <row r="27" spans="1:15" x14ac:dyDescent="0.4">
      <c r="A27" s="217"/>
    </row>
    <row r="28" spans="1:15" x14ac:dyDescent="0.4">
      <c r="A28" s="217"/>
    </row>
    <row r="29" spans="1:15" x14ac:dyDescent="0.4">
      <c r="A29" s="217"/>
    </row>
    <row r="30" spans="1:15" x14ac:dyDescent="0.4">
      <c r="A30" s="217"/>
    </row>
    <row r="31" spans="1:15" x14ac:dyDescent="0.4">
      <c r="A31" s="217"/>
    </row>
    <row r="32" spans="1:15" x14ac:dyDescent="0.4">
      <c r="A32" s="217"/>
    </row>
    <row r="33" spans="1:1" x14ac:dyDescent="0.4">
      <c r="A33" s="217"/>
    </row>
  </sheetData>
  <mergeCells count="11">
    <mergeCell ref="A6:B6"/>
    <mergeCell ref="C6:P6"/>
    <mergeCell ref="C9:P10"/>
    <mergeCell ref="C12:N20"/>
    <mergeCell ref="C1:D1"/>
    <mergeCell ref="A3:B3"/>
    <mergeCell ref="C3:P3"/>
    <mergeCell ref="A4:B4"/>
    <mergeCell ref="C4:P4"/>
    <mergeCell ref="A5:B5"/>
    <mergeCell ref="C5:P5"/>
  </mergeCells>
  <hyperlinks>
    <hyperlink ref="A1" location="'ODS 2.'!A1" display="REGRESAR" xr:uid="{413CDC48-1576-4FE5-9DB2-D7683546FAAE}"/>
    <hyperlink ref="C1" location="'Metadato 2.b.1'!A1" display="VER METADATO" xr:uid="{86416826-5305-4A24-8223-46758DC3C564}"/>
  </hyperlinks>
  <pageMargins left="0.7" right="0.7" top="0.75" bottom="0.75" header="0.3" footer="0.3"/>
  <pageSetup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522B-3EEB-448E-A7AC-F68D2FAF9C4F}">
  <sheetPr>
    <tabColor rgb="FF7030A0"/>
  </sheetPr>
  <dimension ref="A1:Q29"/>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5.42578125" style="115" customWidth="1"/>
    <col min="2" max="2" width="17.7109375" style="115" customWidth="1"/>
    <col min="3" max="3" width="11.7109375" style="1048" customWidth="1"/>
    <col min="4" max="5" width="11.7109375" style="115" customWidth="1"/>
    <col min="6" max="16384" width="11.42578125" style="115"/>
  </cols>
  <sheetData>
    <row r="1" spans="1:17" x14ac:dyDescent="0.4">
      <c r="A1" s="90" t="s">
        <v>39</v>
      </c>
      <c r="B1" s="1311"/>
      <c r="C1" s="2541" t="s">
        <v>149</v>
      </c>
      <c r="D1" s="2541"/>
    </row>
    <row r="3" spans="1:17" ht="19.5" x14ac:dyDescent="0.4">
      <c r="A3" s="3547" t="s">
        <v>41</v>
      </c>
      <c r="B3" s="3547"/>
      <c r="C3" s="3558" t="s">
        <v>8031</v>
      </c>
      <c r="D3" s="3558"/>
      <c r="E3" s="3558"/>
      <c r="F3" s="3558"/>
      <c r="G3" s="3558"/>
      <c r="H3" s="3558"/>
      <c r="I3" s="3558"/>
      <c r="J3" s="3558"/>
      <c r="K3" s="3558"/>
      <c r="L3" s="3558"/>
      <c r="M3" s="3558"/>
      <c r="N3" s="3558"/>
      <c r="O3" s="3558"/>
      <c r="P3" s="3558"/>
    </row>
    <row r="4" spans="1:17" ht="40.15" customHeight="1" x14ac:dyDescent="0.4">
      <c r="A4" s="3547" t="s">
        <v>42</v>
      </c>
      <c r="B4" s="3548"/>
      <c r="C4" s="3558" t="s">
        <v>7752</v>
      </c>
      <c r="D4" s="3559"/>
      <c r="E4" s="3559"/>
      <c r="F4" s="3559"/>
      <c r="G4" s="3559"/>
      <c r="H4" s="3559"/>
      <c r="I4" s="3559"/>
      <c r="J4" s="3559"/>
      <c r="K4" s="3559"/>
      <c r="L4" s="3559"/>
      <c r="M4" s="3559"/>
      <c r="N4" s="3559"/>
      <c r="O4" s="3559"/>
      <c r="P4" s="3559"/>
    </row>
    <row r="5" spans="1:17" ht="22.15" customHeight="1" x14ac:dyDescent="0.4">
      <c r="A5" s="3547" t="s">
        <v>43</v>
      </c>
      <c r="B5" s="3548"/>
      <c r="C5" s="3547" t="s">
        <v>7758</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row r="21" spans="1:17" x14ac:dyDescent="0.4">
      <c r="A21" s="536"/>
    </row>
    <row r="22" spans="1:17" x14ac:dyDescent="0.4">
      <c r="A22" s="536"/>
    </row>
    <row r="23" spans="1:17" x14ac:dyDescent="0.4">
      <c r="A23" s="536"/>
    </row>
    <row r="24" spans="1:17" x14ac:dyDescent="0.4">
      <c r="A24" s="536"/>
    </row>
    <row r="25" spans="1:17" x14ac:dyDescent="0.4">
      <c r="A25" s="536"/>
    </row>
    <row r="26" spans="1:17" x14ac:dyDescent="0.4">
      <c r="A26" s="536"/>
    </row>
    <row r="27" spans="1:17" x14ac:dyDescent="0.4">
      <c r="A27" s="536"/>
    </row>
    <row r="28" spans="1:17" x14ac:dyDescent="0.4">
      <c r="A28" s="536"/>
    </row>
    <row r="29" spans="1:17" x14ac:dyDescent="0.4">
      <c r="A29"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EBDCD1C6-F8A8-4C2B-82BB-7ED2F95D924B}"/>
    <hyperlink ref="C1:D1" location="'Metadato 17.18.3'!A1" display="VER METADATO" xr:uid="{1EA15996-1662-4578-A822-0CEA0B27C202}"/>
  </hyperlinks>
  <pageMargins left="0.7" right="0.7" top="0.75" bottom="0.75" header="0.3" footer="0.3"/>
  <drawing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CD78-2727-4965-9FE6-05EE4FA4D1C3}">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81" customHeight="1" x14ac:dyDescent="0.4">
      <c r="B5" s="2425" t="s">
        <v>79</v>
      </c>
      <c r="C5" s="2425"/>
      <c r="D5" s="49" t="s">
        <v>7752</v>
      </c>
    </row>
    <row r="6" spans="2:6" ht="19.5" customHeight="1" x14ac:dyDescent="0.4">
      <c r="B6" s="2425" t="s">
        <v>80</v>
      </c>
      <c r="C6" s="2425"/>
      <c r="D6" s="50" t="s">
        <v>7757</v>
      </c>
    </row>
    <row r="7" spans="2:6" ht="37.5" x14ac:dyDescent="0.4">
      <c r="B7" s="2426" t="s">
        <v>81</v>
      </c>
      <c r="C7" s="2426"/>
      <c r="D7" s="93" t="s">
        <v>7758</v>
      </c>
    </row>
    <row r="8" spans="2:6" x14ac:dyDescent="0.4">
      <c r="B8" s="2426" t="s">
        <v>82</v>
      </c>
      <c r="C8" s="2426"/>
      <c r="D8" s="1047" t="s">
        <v>8083</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7132A345-00ED-4219-80BF-2C6B0563E6C7}"/>
    <dataValidation type="list" allowBlank="1" showInputMessage="1" showErrorMessage="1" sqref="D4" xr:uid="{FBD02DAA-4788-4B88-857F-0A2C7F5FC3AA}">
      <formula1>ODS</formula1>
    </dataValidation>
    <dataValidation type="list" allowBlank="1" showInputMessage="1" showErrorMessage="1" sqref="D5" xr:uid="{2943FCA0-CD3F-4F74-9789-EB425BD25C1E}">
      <formula1>Metas_ODS</formula1>
    </dataValidation>
    <dataValidation type="list" allowBlank="1" showInputMessage="1" showErrorMessage="1" sqref="D14" xr:uid="{A3B8B0D9-F2E6-42B5-99E0-B1B0E7DF9F5D}">
      <formula1>Tipo_indicador</formula1>
    </dataValidation>
    <dataValidation type="list" allowBlank="1" showInputMessage="1" showErrorMessage="1" sqref="D25" xr:uid="{AA67E434-E6FF-48CE-8DB7-D13DE3515A26}">
      <formula1>Tipo_operación</formula1>
    </dataValidation>
  </dataValidations>
  <hyperlinks>
    <hyperlink ref="B1" location="'17.18.3'!A1" display="REGRESAR" xr:uid="{918330CD-CC74-4ECB-9084-EC44319CAEA9}"/>
    <hyperlink ref="D8" r:id="rId1" xr:uid="{F35E038C-8D0B-49C5-9757-3A97061C7DE5}"/>
  </hyperlinks>
  <pageMargins left="0.7" right="0.7" top="0.75" bottom="0.75" header="0.3" footer="0.3"/>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EBA62-972F-4117-9DE4-8B03BA9FB6A5}">
  <sheetPr>
    <tabColor rgb="FF7030A0"/>
  </sheetPr>
  <dimension ref="A1:Q20"/>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6" style="115" customWidth="1"/>
    <col min="2" max="2" width="18" style="115" customWidth="1"/>
    <col min="3" max="3" width="11.28515625" style="1048" customWidth="1"/>
    <col min="4" max="5" width="11.28515625" style="115" customWidth="1"/>
    <col min="6" max="16384" width="11.42578125" style="115"/>
  </cols>
  <sheetData>
    <row r="1" spans="1:17" x14ac:dyDescent="0.4">
      <c r="A1" s="90" t="s">
        <v>39</v>
      </c>
      <c r="B1" s="1311"/>
      <c r="C1" s="2541" t="s">
        <v>149</v>
      </c>
      <c r="D1" s="2541"/>
    </row>
    <row r="3" spans="1:17" ht="35.450000000000003" customHeight="1" x14ac:dyDescent="0.4">
      <c r="A3" s="3547" t="s">
        <v>41</v>
      </c>
      <c r="B3" s="3547"/>
      <c r="C3" s="3558" t="s">
        <v>8031</v>
      </c>
      <c r="D3" s="3558"/>
      <c r="E3" s="3558"/>
      <c r="F3" s="3558"/>
      <c r="G3" s="3558"/>
      <c r="H3" s="3558"/>
      <c r="I3" s="3558"/>
      <c r="J3" s="3558"/>
      <c r="K3" s="3558"/>
      <c r="L3" s="3558"/>
      <c r="M3" s="3558"/>
      <c r="N3" s="3558"/>
      <c r="O3" s="3558"/>
      <c r="P3" s="3558"/>
    </row>
    <row r="4" spans="1:17" ht="36.6" customHeight="1" x14ac:dyDescent="0.4">
      <c r="A4" s="3547" t="s">
        <v>42</v>
      </c>
      <c r="B4" s="3548"/>
      <c r="C4" s="3558" t="s">
        <v>7759</v>
      </c>
      <c r="D4" s="3559"/>
      <c r="E4" s="3559"/>
      <c r="F4" s="3559"/>
      <c r="G4" s="3559"/>
      <c r="H4" s="3559"/>
      <c r="I4" s="3559"/>
      <c r="J4" s="3559"/>
      <c r="K4" s="3559"/>
      <c r="L4" s="3559"/>
      <c r="M4" s="3559"/>
      <c r="N4" s="3559"/>
      <c r="O4" s="3559"/>
      <c r="P4" s="3559"/>
    </row>
    <row r="5" spans="1:17" ht="18.600000000000001" customHeight="1" x14ac:dyDescent="0.4">
      <c r="A5" s="3547" t="s">
        <v>43</v>
      </c>
      <c r="B5" s="3548"/>
      <c r="C5" s="3547" t="s">
        <v>7761</v>
      </c>
      <c r="D5" s="3548"/>
      <c r="E5" s="3548"/>
      <c r="F5" s="3548"/>
      <c r="G5" s="3548"/>
      <c r="H5" s="3548"/>
      <c r="I5" s="3548"/>
      <c r="J5" s="3548"/>
      <c r="K5" s="3548"/>
      <c r="L5" s="3548"/>
      <c r="M5" s="3548"/>
      <c r="N5" s="3548"/>
      <c r="O5" s="3548"/>
      <c r="P5" s="3548"/>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00A8CCE4-00E2-4FA0-AA37-D12DD9E5D552}"/>
    <hyperlink ref="C1:D1" location="'Metadato 17.19.1'!A1" display="VER METADATO" xr:uid="{FC4E73B9-C536-4CC2-BF3C-F291E9BDD5D6}"/>
  </hyperlinks>
  <pageMargins left="0.7" right="0.7" top="0.75" bottom="0.75" header="0.3" footer="0.3"/>
  <pageSetup orientation="portrait" r:id="rId1"/>
  <drawing r:id="rId2"/>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B398C-8F34-4E19-AB82-322B7F4E9E3E}">
  <sheetPr>
    <tabColor theme="0" tint="-0.499984740745262"/>
  </sheetPr>
  <dimension ref="B1:F36"/>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53.45" customHeight="1" x14ac:dyDescent="0.4">
      <c r="B5" s="2425" t="s">
        <v>79</v>
      </c>
      <c r="C5" s="2425"/>
      <c r="D5" s="49" t="s">
        <v>7759</v>
      </c>
    </row>
    <row r="6" spans="2:6" ht="19.5" customHeight="1" x14ac:dyDescent="0.4">
      <c r="B6" s="2425" t="s">
        <v>80</v>
      </c>
      <c r="C6" s="2425"/>
      <c r="D6" s="50" t="s">
        <v>7760</v>
      </c>
    </row>
    <row r="7" spans="2:6" ht="37.5" x14ac:dyDescent="0.4">
      <c r="B7" s="2426" t="s">
        <v>81</v>
      </c>
      <c r="C7" s="2426"/>
      <c r="D7" s="93" t="s">
        <v>7761</v>
      </c>
    </row>
    <row r="8" spans="2:6" x14ac:dyDescent="0.4">
      <c r="B8" s="2426" t="s">
        <v>82</v>
      </c>
      <c r="C8" s="2426"/>
      <c r="D8" s="1047" t="s">
        <v>8084</v>
      </c>
    </row>
    <row r="10" spans="2:6" ht="23.25" customHeight="1" x14ac:dyDescent="0.4">
      <c r="B10" s="3555" t="s">
        <v>85</v>
      </c>
      <c r="C10" s="3555"/>
      <c r="D10" s="3555"/>
    </row>
    <row r="11" spans="2:6" x14ac:dyDescent="0.4">
      <c r="B11" s="2427" t="s">
        <v>86</v>
      </c>
      <c r="C11" s="2428"/>
      <c r="D11" s="49"/>
    </row>
    <row r="12" spans="2:6" x14ac:dyDescent="0.4">
      <c r="B12" s="2426" t="s">
        <v>88</v>
      </c>
      <c r="C12" s="2426"/>
      <c r="D12" s="184"/>
    </row>
    <row r="13" spans="2:6" x14ac:dyDescent="0.4">
      <c r="B13" s="2425" t="s">
        <v>90</v>
      </c>
      <c r="C13" s="2425"/>
      <c r="D13" s="54"/>
    </row>
    <row r="14" spans="2:6" x14ac:dyDescent="0.4">
      <c r="B14" s="2425" t="s">
        <v>91</v>
      </c>
      <c r="C14" s="2428"/>
      <c r="D14" s="54"/>
    </row>
    <row r="15" spans="2:6" x14ac:dyDescent="0.4">
      <c r="B15" s="2425" t="s">
        <v>93</v>
      </c>
      <c r="C15" s="2425"/>
      <c r="D15" s="49"/>
    </row>
    <row r="16" spans="2:6" x14ac:dyDescent="0.4">
      <c r="B16" s="2425" t="s">
        <v>95</v>
      </c>
      <c r="C16" s="2425"/>
      <c r="D16" s="49"/>
    </row>
    <row r="17" spans="2:4" x14ac:dyDescent="0.4">
      <c r="B17" s="2425" t="s">
        <v>97</v>
      </c>
      <c r="C17" s="2425"/>
      <c r="D17" s="55"/>
    </row>
    <row r="18" spans="2:4" x14ac:dyDescent="0.4">
      <c r="B18" s="2426" t="s">
        <v>99</v>
      </c>
      <c r="C18" s="2426"/>
      <c r="D18" s="49"/>
    </row>
    <row r="19" spans="2:4" x14ac:dyDescent="0.4">
      <c r="B19" s="2435" t="s">
        <v>100</v>
      </c>
      <c r="C19" s="2436"/>
      <c r="D19" s="55"/>
    </row>
    <row r="20" spans="2:4" x14ac:dyDescent="0.4">
      <c r="B20" s="2425" t="s">
        <v>102</v>
      </c>
      <c r="C20" s="2425"/>
      <c r="D20" s="49"/>
    </row>
    <row r="21" spans="2:4" x14ac:dyDescent="0.4">
      <c r="B21" s="2432" t="s">
        <v>104</v>
      </c>
      <c r="C21" s="57" t="s">
        <v>105</v>
      </c>
      <c r="D21" s="49"/>
    </row>
    <row r="22" spans="2:4" x14ac:dyDescent="0.4">
      <c r="B22" s="2433"/>
      <c r="C22" s="58" t="s">
        <v>107</v>
      </c>
      <c r="D22" s="55"/>
    </row>
    <row r="23" spans="2:4" x14ac:dyDescent="0.4">
      <c r="B23" s="2425" t="s">
        <v>109</v>
      </c>
      <c r="C23" s="2425"/>
      <c r="D23" s="49"/>
    </row>
    <row r="24" spans="2:4" x14ac:dyDescent="0.4">
      <c r="B24" s="2425" t="s">
        <v>111</v>
      </c>
      <c r="C24" s="2425"/>
      <c r="D24" s="826" t="s">
        <v>321</v>
      </c>
    </row>
    <row r="25" spans="2:4" x14ac:dyDescent="0.4">
      <c r="B25" s="2425" t="s">
        <v>113</v>
      </c>
      <c r="C25" s="2425"/>
      <c r="D25" s="55"/>
    </row>
    <row r="26" spans="2:4" x14ac:dyDescent="0.4">
      <c r="B26" s="2426" t="s">
        <v>115</v>
      </c>
      <c r="C26" s="2426"/>
      <c r="D26" s="49"/>
    </row>
    <row r="27" spans="2:4" x14ac:dyDescent="0.4">
      <c r="B27" s="2427" t="s">
        <v>117</v>
      </c>
      <c r="C27" s="2428"/>
      <c r="D27" s="49"/>
    </row>
    <row r="28" spans="2:4" x14ac:dyDescent="0.4">
      <c r="B28" s="60" t="s">
        <v>118</v>
      </c>
      <c r="C28" s="61"/>
      <c r="D28" s="49"/>
    </row>
    <row r="29" spans="2:4" x14ac:dyDescent="0.4">
      <c r="B29" s="2429" t="s">
        <v>120</v>
      </c>
      <c r="C29" s="2430"/>
      <c r="D29" s="62"/>
    </row>
    <row r="30" spans="2:4" x14ac:dyDescent="0.4">
      <c r="B30" s="63"/>
      <c r="C30" s="63"/>
      <c r="D30" s="64"/>
    </row>
    <row r="31" spans="2:4" ht="23.25" customHeight="1" x14ac:dyDescent="0.4">
      <c r="B31" s="3555" t="s">
        <v>121</v>
      </c>
      <c r="C31" s="3555"/>
      <c r="D31" s="3555"/>
    </row>
    <row r="32" spans="2:4" x14ac:dyDescent="0.4">
      <c r="B32" s="2427" t="s">
        <v>122</v>
      </c>
      <c r="C32" s="2428"/>
      <c r="D32" s="55"/>
    </row>
    <row r="33" spans="2:4" x14ac:dyDescent="0.4">
      <c r="B33" s="2427" t="s">
        <v>124</v>
      </c>
      <c r="C33" s="2428"/>
      <c r="D33" s="55"/>
    </row>
    <row r="34" spans="2:4" x14ac:dyDescent="0.4">
      <c r="B34" s="2427" t="s">
        <v>126</v>
      </c>
      <c r="C34" s="2428"/>
      <c r="D34" s="55"/>
    </row>
    <row r="35" spans="2:4" x14ac:dyDescent="0.4">
      <c r="B35" s="2427" t="s">
        <v>128</v>
      </c>
      <c r="C35" s="2428"/>
      <c r="D35" s="246"/>
    </row>
    <row r="36" spans="2:4" x14ac:dyDescent="0.4">
      <c r="B36" s="2427" t="s">
        <v>130</v>
      </c>
      <c r="C36" s="2428"/>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175CF9F7-3312-4D3A-8689-3CC54FA99825}"/>
    <dataValidation type="list" allowBlank="1" showInputMessage="1" showErrorMessage="1" sqref="D4" xr:uid="{AB302662-B0A3-459D-B253-4773AEAE3220}">
      <formula1>ODS</formula1>
    </dataValidation>
    <dataValidation type="list" allowBlank="1" showInputMessage="1" showErrorMessage="1" sqref="D5" xr:uid="{7A96C45C-463F-434A-A7D4-DB917C0FCA14}">
      <formula1>Metas_ODS</formula1>
    </dataValidation>
    <dataValidation type="list" allowBlank="1" showInputMessage="1" showErrorMessage="1" sqref="D14" xr:uid="{EF549B1F-4CC9-42F1-873A-45EDE8CAD438}">
      <formula1>Tipo_indicador</formula1>
    </dataValidation>
    <dataValidation type="list" allowBlank="1" showInputMessage="1" showErrorMessage="1" sqref="D25" xr:uid="{B6F4C0B0-A0FC-4335-BC2A-8FDB6845BFD8}">
      <formula1>Tipo_operación</formula1>
    </dataValidation>
  </dataValidations>
  <hyperlinks>
    <hyperlink ref="B1" location="'17.19.1'!A1" display="REGRESAR" xr:uid="{440BBF58-3BA8-425F-B114-2B85F99A0BBE}"/>
    <hyperlink ref="D8" r:id="rId1" xr:uid="{1B1CFFF4-FFD8-416D-AEEF-F82807E823C6}"/>
  </hyperlinks>
  <pageMargins left="0.7" right="0.7" top="0.75" bottom="0.75" header="0.3" footer="0.3"/>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E3BF2-23B0-4AEB-955C-F19A4CAFF000}">
  <sheetPr>
    <tabColor rgb="FF7030A0"/>
  </sheetPr>
  <dimension ref="A1:Q28"/>
  <sheetViews>
    <sheetView showGridLines="0" workbookViewId="0">
      <pane ySplit="1" topLeftCell="A2" activePane="bottomLeft" state="frozen"/>
      <selection sqref="A1:B1"/>
      <selection pane="bottomLeft" sqref="A1:B1"/>
    </sheetView>
  </sheetViews>
  <sheetFormatPr baseColWidth="10" defaultColWidth="11.42578125" defaultRowHeight="18.75" x14ac:dyDescent="0.4"/>
  <cols>
    <col min="1" max="1" width="16" style="115" customWidth="1"/>
    <col min="2" max="2" width="17.85546875" style="115" customWidth="1"/>
    <col min="3" max="3" width="11" style="1048" customWidth="1"/>
    <col min="4" max="6" width="11" style="115" customWidth="1"/>
    <col min="7" max="16384" width="11.42578125" style="115"/>
  </cols>
  <sheetData>
    <row r="1" spans="1:17" x14ac:dyDescent="0.4">
      <c r="A1" s="90" t="s">
        <v>39</v>
      </c>
      <c r="B1" s="1311"/>
      <c r="C1" s="2541" t="s">
        <v>149</v>
      </c>
      <c r="D1" s="2541"/>
    </row>
    <row r="3" spans="1:17" ht="19.5" x14ac:dyDescent="0.4">
      <c r="A3" s="3547" t="s">
        <v>41</v>
      </c>
      <c r="B3" s="3547"/>
      <c r="C3" s="3558" t="s">
        <v>8031</v>
      </c>
      <c r="D3" s="3558"/>
      <c r="E3" s="3558"/>
      <c r="F3" s="3558"/>
      <c r="G3" s="3558"/>
      <c r="H3" s="3558"/>
      <c r="I3" s="3558"/>
      <c r="J3" s="3558"/>
      <c r="K3" s="3558"/>
      <c r="L3" s="3558"/>
      <c r="M3" s="3558"/>
      <c r="N3" s="3558"/>
      <c r="O3" s="3558"/>
      <c r="P3" s="3558"/>
    </row>
    <row r="4" spans="1:17" ht="36.6" customHeight="1" x14ac:dyDescent="0.4">
      <c r="A4" s="3547" t="s">
        <v>42</v>
      </c>
      <c r="B4" s="3548"/>
      <c r="C4" s="3558" t="s">
        <v>7759</v>
      </c>
      <c r="D4" s="3559"/>
      <c r="E4" s="3559"/>
      <c r="F4" s="3559"/>
      <c r="G4" s="3559"/>
      <c r="H4" s="3559"/>
      <c r="I4" s="3559"/>
      <c r="J4" s="3559"/>
      <c r="K4" s="3559"/>
      <c r="L4" s="3559"/>
      <c r="M4" s="3559"/>
      <c r="N4" s="3559"/>
      <c r="O4" s="3559"/>
      <c r="P4" s="3559"/>
    </row>
    <row r="5" spans="1:17" ht="36" customHeight="1" x14ac:dyDescent="0.4">
      <c r="A5" s="3547" t="s">
        <v>43</v>
      </c>
      <c r="B5" s="3548"/>
      <c r="C5" s="3558" t="s">
        <v>7763</v>
      </c>
      <c r="D5" s="3559"/>
      <c r="E5" s="3559"/>
      <c r="F5" s="3559"/>
      <c r="G5" s="3559"/>
      <c r="H5" s="3559"/>
      <c r="I5" s="3559"/>
      <c r="J5" s="3559"/>
      <c r="K5" s="3559"/>
      <c r="L5" s="3559"/>
      <c r="M5" s="3559"/>
      <c r="N5" s="3559"/>
      <c r="O5" s="3559"/>
      <c r="P5" s="3559"/>
    </row>
    <row r="6" spans="1:17" ht="19.5" x14ac:dyDescent="0.4">
      <c r="A6" s="3547" t="s">
        <v>132</v>
      </c>
      <c r="B6" s="3548"/>
      <c r="C6" s="3547" t="s">
        <v>242</v>
      </c>
      <c r="D6" s="3548"/>
      <c r="E6" s="3548"/>
      <c r="F6" s="3548"/>
      <c r="G6" s="3548"/>
      <c r="H6" s="3548"/>
      <c r="I6" s="3548"/>
      <c r="J6" s="3548"/>
      <c r="K6" s="3548"/>
      <c r="L6" s="3548"/>
      <c r="M6" s="3548"/>
      <c r="N6" s="3548"/>
      <c r="O6" s="3548"/>
      <c r="P6" s="3548"/>
    </row>
    <row r="7" spans="1:17" x14ac:dyDescent="0.4">
      <c r="A7" s="536"/>
    </row>
    <row r="8" spans="1:17" x14ac:dyDescent="0.4">
      <c r="A8" s="536"/>
    </row>
    <row r="9" spans="1:17" ht="11.25" customHeight="1" x14ac:dyDescent="0.4">
      <c r="A9" s="536"/>
      <c r="C9" s="2506" t="s">
        <v>650</v>
      </c>
      <c r="D9" s="2506"/>
      <c r="E9" s="2506"/>
      <c r="F9" s="2506"/>
      <c r="G9" s="2506"/>
      <c r="H9" s="2506"/>
      <c r="I9" s="2506"/>
      <c r="J9" s="2506"/>
      <c r="K9" s="2506"/>
      <c r="L9" s="2506"/>
      <c r="M9" s="2506"/>
      <c r="N9" s="2506"/>
      <c r="O9" s="2506"/>
      <c r="P9" s="2506"/>
    </row>
    <row r="10" spans="1:17" ht="11.25" customHeight="1" x14ac:dyDescent="0.4">
      <c r="A10" s="536"/>
      <c r="C10" s="2506"/>
      <c r="D10" s="2506"/>
      <c r="E10" s="2506"/>
      <c r="F10" s="2506"/>
      <c r="G10" s="2506"/>
      <c r="H10" s="2506"/>
      <c r="I10" s="2506"/>
      <c r="J10" s="2506"/>
      <c r="K10" s="2506"/>
      <c r="L10" s="2506"/>
      <c r="M10" s="2506"/>
      <c r="N10" s="2506"/>
      <c r="O10" s="2506"/>
      <c r="P10" s="2506"/>
    </row>
    <row r="11" spans="1:17" x14ac:dyDescent="0.4">
      <c r="A11" s="536"/>
      <c r="C11" s="221"/>
      <c r="D11" s="220"/>
      <c r="E11" s="220"/>
      <c r="F11" s="220"/>
      <c r="G11" s="220"/>
      <c r="H11" s="220"/>
      <c r="I11" s="220"/>
      <c r="J11" s="220"/>
      <c r="K11" s="220"/>
      <c r="L11" s="220"/>
      <c r="M11" s="220"/>
      <c r="N11" s="220"/>
      <c r="O11" s="220"/>
      <c r="P11" s="220"/>
      <c r="Q11" s="220"/>
    </row>
    <row r="12" spans="1:17" x14ac:dyDescent="0.4">
      <c r="A12" s="536"/>
      <c r="C12" s="221"/>
      <c r="D12" s="220"/>
      <c r="E12" s="220"/>
      <c r="F12" s="220"/>
      <c r="G12" s="220"/>
      <c r="H12" s="220"/>
      <c r="I12" s="220"/>
      <c r="J12" s="220"/>
      <c r="K12" s="220"/>
      <c r="L12" s="220"/>
      <c r="M12" s="220"/>
      <c r="N12" s="220"/>
      <c r="O12" s="220"/>
      <c r="P12" s="220"/>
      <c r="Q12" s="220"/>
    </row>
    <row r="13" spans="1:17" x14ac:dyDescent="0.4">
      <c r="A13" s="536"/>
      <c r="C13" s="221"/>
      <c r="D13" s="220"/>
      <c r="E13" s="220"/>
      <c r="F13" s="220"/>
      <c r="G13" s="220"/>
      <c r="H13" s="220"/>
      <c r="I13" s="220"/>
      <c r="J13" s="220"/>
      <c r="K13" s="220"/>
      <c r="L13" s="220"/>
      <c r="M13" s="220"/>
      <c r="N13" s="220"/>
      <c r="O13" s="220"/>
      <c r="P13" s="220"/>
      <c r="Q13" s="220"/>
    </row>
    <row r="14" spans="1:17" x14ac:dyDescent="0.4">
      <c r="A14" s="536"/>
      <c r="C14" s="221"/>
      <c r="D14" s="220"/>
      <c r="E14" s="220"/>
      <c r="F14" s="220"/>
      <c r="G14" s="220"/>
      <c r="H14" s="220"/>
      <c r="I14" s="220"/>
      <c r="J14" s="220"/>
      <c r="K14" s="220"/>
      <c r="L14" s="220"/>
      <c r="M14" s="220"/>
      <c r="N14" s="220"/>
      <c r="O14" s="220"/>
      <c r="P14" s="220"/>
      <c r="Q14" s="220"/>
    </row>
    <row r="15" spans="1:17" x14ac:dyDescent="0.4">
      <c r="A15" s="536"/>
      <c r="C15" s="221"/>
      <c r="D15" s="220"/>
      <c r="E15" s="220"/>
      <c r="F15" s="220"/>
      <c r="G15" s="220"/>
      <c r="H15" s="220"/>
      <c r="I15" s="220"/>
      <c r="J15" s="220"/>
      <c r="K15" s="220"/>
      <c r="L15" s="220"/>
      <c r="M15" s="220"/>
      <c r="N15" s="220"/>
      <c r="O15" s="220"/>
      <c r="P15" s="220"/>
      <c r="Q15" s="220"/>
    </row>
    <row r="16" spans="1:17" x14ac:dyDescent="0.4">
      <c r="A16" s="536"/>
      <c r="C16" s="221"/>
      <c r="D16" s="220"/>
      <c r="E16" s="220"/>
      <c r="F16" s="220"/>
      <c r="G16" s="220"/>
      <c r="H16" s="220"/>
      <c r="I16" s="220"/>
      <c r="J16" s="220"/>
      <c r="K16" s="220"/>
      <c r="L16" s="220"/>
      <c r="M16" s="220"/>
      <c r="N16" s="220"/>
      <c r="O16" s="220"/>
      <c r="P16" s="220"/>
      <c r="Q16" s="220"/>
    </row>
    <row r="17" spans="1:17" x14ac:dyDescent="0.4">
      <c r="A17" s="536"/>
      <c r="C17" s="2494" t="s">
        <v>316</v>
      </c>
      <c r="D17" s="2494"/>
      <c r="E17" s="2494"/>
      <c r="F17" s="2494"/>
      <c r="G17" s="2494"/>
      <c r="H17" s="2494"/>
      <c r="I17" s="2494"/>
      <c r="J17" s="2494"/>
      <c r="K17" s="2494"/>
      <c r="L17" s="2494"/>
      <c r="M17" s="2494"/>
      <c r="N17" s="2494"/>
      <c r="O17" s="2494"/>
      <c r="P17" s="2494"/>
      <c r="Q17" s="2494"/>
    </row>
    <row r="18" spans="1:17" x14ac:dyDescent="0.4">
      <c r="A18" s="536"/>
      <c r="C18" s="221"/>
      <c r="D18" s="220"/>
      <c r="E18" s="220"/>
      <c r="F18" s="220"/>
      <c r="G18" s="220"/>
      <c r="H18" s="220"/>
      <c r="I18" s="220"/>
      <c r="J18" s="220"/>
      <c r="K18" s="220"/>
      <c r="L18" s="220"/>
      <c r="M18" s="220"/>
      <c r="N18" s="220"/>
      <c r="O18" s="220"/>
      <c r="P18" s="220"/>
      <c r="Q18" s="220"/>
    </row>
    <row r="19" spans="1:17" x14ac:dyDescent="0.4">
      <c r="A19" s="536"/>
    </row>
    <row r="20" spans="1:17" x14ac:dyDescent="0.4">
      <c r="A20" s="536"/>
    </row>
    <row r="21" spans="1:17" x14ac:dyDescent="0.4">
      <c r="A21" s="536"/>
    </row>
    <row r="22" spans="1:17" x14ac:dyDescent="0.4">
      <c r="A22" s="536"/>
    </row>
    <row r="23" spans="1:17" x14ac:dyDescent="0.4">
      <c r="A23" s="536"/>
    </row>
    <row r="24" spans="1:17" x14ac:dyDescent="0.4">
      <c r="A24" s="536"/>
    </row>
    <row r="25" spans="1:17" x14ac:dyDescent="0.4">
      <c r="A25" s="536"/>
    </row>
    <row r="26" spans="1:17" x14ac:dyDescent="0.4">
      <c r="A26" s="536"/>
    </row>
    <row r="27" spans="1:17" x14ac:dyDescent="0.4">
      <c r="A27" s="536"/>
    </row>
    <row r="28" spans="1:17" x14ac:dyDescent="0.4">
      <c r="A28" s="536"/>
    </row>
  </sheetData>
  <mergeCells count="11">
    <mergeCell ref="A6:B6"/>
    <mergeCell ref="C6:P6"/>
    <mergeCell ref="C9:P10"/>
    <mergeCell ref="C17:Q17"/>
    <mergeCell ref="C1:D1"/>
    <mergeCell ref="A3:B3"/>
    <mergeCell ref="C3:P3"/>
    <mergeCell ref="A4:B4"/>
    <mergeCell ref="C4:P4"/>
    <mergeCell ref="A5:B5"/>
    <mergeCell ref="C5:P5"/>
  </mergeCells>
  <hyperlinks>
    <hyperlink ref="A1" location="'ODS 17.'!A1" display="REGRESAR" xr:uid="{1E2DDE1A-9152-47A7-85C8-C3E3880D3489}"/>
    <hyperlink ref="C1:D1" location="'Metadato 17.19.2'!A1" display="VER METADATO" xr:uid="{45F54AAF-D1A8-4E2F-BAC5-4DFD0E888158}"/>
  </hyperlinks>
  <pageMargins left="0.7" right="0.7" top="0.75" bottom="0.75" header="0.3" footer="0.3"/>
  <drawing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7899-52C3-470B-B5AD-82F0BAAFF088}">
  <sheetPr>
    <tabColor theme="0" tint="-0.499984740745262"/>
  </sheetPr>
  <dimension ref="B1:F37"/>
  <sheetViews>
    <sheetView showGridLines="0" zoomScaleNormal="100" workbookViewId="0">
      <pane ySplit="1" topLeftCell="A2" activePane="bottomLeft" state="frozen"/>
      <selection sqref="A1:B1"/>
      <selection pane="bottomLeft" sqref="A1:B1"/>
    </sheetView>
  </sheetViews>
  <sheetFormatPr baseColWidth="10" defaultColWidth="11.42578125" defaultRowHeight="18.75" x14ac:dyDescent="0.4"/>
  <cols>
    <col min="1" max="1" width="11.42578125" style="115"/>
    <col min="2" max="2" width="26.42578125" style="115" customWidth="1"/>
    <col min="3" max="3" width="24" style="115" customWidth="1"/>
    <col min="4" max="4" width="85.7109375" style="115" customWidth="1"/>
    <col min="5" max="5" width="11.42578125" style="115"/>
    <col min="6" max="6" width="7.28515625" style="115" customWidth="1"/>
    <col min="7" max="16384" width="11.42578125" style="115"/>
  </cols>
  <sheetData>
    <row r="1" spans="2:6" x14ac:dyDescent="0.4">
      <c r="B1" s="90" t="s">
        <v>39</v>
      </c>
    </row>
    <row r="2" spans="2:6" ht="19.5" thickBot="1" x14ac:dyDescent="0.45"/>
    <row r="3" spans="2:6" ht="23.25" customHeight="1" thickBot="1" x14ac:dyDescent="0.45">
      <c r="B3" s="3555" t="s">
        <v>75</v>
      </c>
      <c r="C3" s="3555"/>
      <c r="D3" s="3555"/>
      <c r="F3" s="1046" t="s">
        <v>317</v>
      </c>
    </row>
    <row r="4" spans="2:6" ht="37.5" x14ac:dyDescent="0.4">
      <c r="B4" s="2425" t="s">
        <v>234</v>
      </c>
      <c r="C4" s="2425"/>
      <c r="D4" s="49" t="s">
        <v>7797</v>
      </c>
    </row>
    <row r="5" spans="2:6" ht="49.15" customHeight="1" x14ac:dyDescent="0.4">
      <c r="B5" s="2425" t="s">
        <v>79</v>
      </c>
      <c r="C5" s="2425"/>
      <c r="D5" s="49" t="s">
        <v>7759</v>
      </c>
    </row>
    <row r="6" spans="2:6" ht="17.25" customHeight="1" x14ac:dyDescent="0.4">
      <c r="B6" s="2425" t="s">
        <v>80</v>
      </c>
      <c r="C6" s="2425"/>
      <c r="D6" s="50" t="s">
        <v>7762</v>
      </c>
    </row>
    <row r="7" spans="2:6" ht="37.5" x14ac:dyDescent="0.4">
      <c r="B7" s="2426" t="s">
        <v>81</v>
      </c>
      <c r="C7" s="2426"/>
      <c r="D7" s="93" t="s">
        <v>7763</v>
      </c>
    </row>
    <row r="8" spans="2:6" x14ac:dyDescent="0.4">
      <c r="B8" s="2437" t="s">
        <v>82</v>
      </c>
      <c r="C8" s="2437"/>
      <c r="D8" s="1047" t="s">
        <v>8085</v>
      </c>
    </row>
    <row r="9" spans="2:6" x14ac:dyDescent="0.4">
      <c r="B9" s="2437"/>
      <c r="C9" s="2437"/>
      <c r="D9" s="1047" t="s">
        <v>8086</v>
      </c>
    </row>
    <row r="11" spans="2:6" ht="19.5" x14ac:dyDescent="0.4">
      <c r="B11" s="3555" t="s">
        <v>85</v>
      </c>
      <c r="C11" s="3555"/>
      <c r="D11" s="3555"/>
    </row>
    <row r="12" spans="2:6" x14ac:dyDescent="0.4">
      <c r="B12" s="2427" t="s">
        <v>86</v>
      </c>
      <c r="C12" s="2428"/>
      <c r="D12" s="49"/>
    </row>
    <row r="13" spans="2:6" x14ac:dyDescent="0.4">
      <c r="B13" s="2426" t="s">
        <v>88</v>
      </c>
      <c r="C13" s="2426"/>
      <c r="D13" s="184"/>
    </row>
    <row r="14" spans="2:6" x14ac:dyDescent="0.4">
      <c r="B14" s="2425" t="s">
        <v>90</v>
      </c>
      <c r="C14" s="2425"/>
      <c r="D14" s="54"/>
    </row>
    <row r="15" spans="2:6" x14ac:dyDescent="0.4">
      <c r="B15" s="2425" t="s">
        <v>91</v>
      </c>
      <c r="C15" s="2428"/>
      <c r="D15" s="54"/>
    </row>
    <row r="16" spans="2:6" x14ac:dyDescent="0.4">
      <c r="B16" s="2425" t="s">
        <v>93</v>
      </c>
      <c r="C16" s="2425"/>
      <c r="D16" s="49"/>
    </row>
    <row r="17" spans="2:4" x14ac:dyDescent="0.4">
      <c r="B17" s="2425" t="s">
        <v>95</v>
      </c>
      <c r="C17" s="2425"/>
      <c r="D17" s="49"/>
    </row>
    <row r="18" spans="2:4" x14ac:dyDescent="0.4">
      <c r="B18" s="2425" t="s">
        <v>97</v>
      </c>
      <c r="C18" s="2425"/>
      <c r="D18" s="55"/>
    </row>
    <row r="19" spans="2:4" x14ac:dyDescent="0.4">
      <c r="B19" s="2426" t="s">
        <v>99</v>
      </c>
      <c r="C19" s="2426"/>
      <c r="D19" s="49"/>
    </row>
    <row r="20" spans="2:4" x14ac:dyDescent="0.4">
      <c r="B20" s="2435" t="s">
        <v>100</v>
      </c>
      <c r="C20" s="2436"/>
      <c r="D20" s="55"/>
    </row>
    <row r="21" spans="2:4" x14ac:dyDescent="0.4">
      <c r="B21" s="2425" t="s">
        <v>102</v>
      </c>
      <c r="C21" s="2425"/>
      <c r="D21" s="49"/>
    </row>
    <row r="22" spans="2:4" x14ac:dyDescent="0.4">
      <c r="B22" s="2432" t="s">
        <v>104</v>
      </c>
      <c r="C22" s="57" t="s">
        <v>105</v>
      </c>
      <c r="D22" s="49"/>
    </row>
    <row r="23" spans="2:4" x14ac:dyDescent="0.4">
      <c r="B23" s="2433"/>
      <c r="C23" s="58" t="s">
        <v>107</v>
      </c>
      <c r="D23" s="55"/>
    </row>
    <row r="24" spans="2:4" x14ac:dyDescent="0.4">
      <c r="B24" s="2425" t="s">
        <v>109</v>
      </c>
      <c r="C24" s="2425"/>
      <c r="D24" s="49"/>
    </row>
    <row r="25" spans="2:4" x14ac:dyDescent="0.4">
      <c r="B25" s="2425" t="s">
        <v>111</v>
      </c>
      <c r="C25" s="2425"/>
      <c r="D25" s="826" t="s">
        <v>321</v>
      </c>
    </row>
    <row r="26" spans="2:4" x14ac:dyDescent="0.4">
      <c r="B26" s="2425" t="s">
        <v>113</v>
      </c>
      <c r="C26" s="2425"/>
      <c r="D26" s="55"/>
    </row>
    <row r="27" spans="2:4" x14ac:dyDescent="0.4">
      <c r="B27" s="2426" t="s">
        <v>115</v>
      </c>
      <c r="C27" s="2426"/>
      <c r="D27" s="49"/>
    </row>
    <row r="28" spans="2:4" x14ac:dyDescent="0.4">
      <c r="B28" s="2427" t="s">
        <v>117</v>
      </c>
      <c r="C28" s="2428"/>
      <c r="D28" s="49"/>
    </row>
    <row r="29" spans="2:4" x14ac:dyDescent="0.4">
      <c r="B29" s="60" t="s">
        <v>118</v>
      </c>
      <c r="C29" s="61"/>
      <c r="D29" s="49"/>
    </row>
    <row r="30" spans="2:4" x14ac:dyDescent="0.4">
      <c r="B30" s="2429" t="s">
        <v>120</v>
      </c>
      <c r="C30" s="2430"/>
      <c r="D30" s="62"/>
    </row>
    <row r="31" spans="2:4" x14ac:dyDescent="0.4">
      <c r="B31" s="63"/>
      <c r="C31" s="63"/>
      <c r="D31" s="64"/>
    </row>
    <row r="32" spans="2:4" ht="19.5" x14ac:dyDescent="0.4">
      <c r="B32" s="3555" t="s">
        <v>121</v>
      </c>
      <c r="C32" s="3555"/>
      <c r="D32" s="3555"/>
    </row>
    <row r="33" spans="2:4" x14ac:dyDescent="0.4">
      <c r="B33" s="2427" t="s">
        <v>122</v>
      </c>
      <c r="C33" s="2428"/>
      <c r="D33" s="55"/>
    </row>
    <row r="34" spans="2:4" x14ac:dyDescent="0.4">
      <c r="B34" s="2427" t="s">
        <v>124</v>
      </c>
      <c r="C34" s="2428"/>
      <c r="D34" s="55"/>
    </row>
    <row r="35" spans="2:4" x14ac:dyDescent="0.4">
      <c r="B35" s="2427" t="s">
        <v>126</v>
      </c>
      <c r="C35" s="2428"/>
      <c r="D35" s="55"/>
    </row>
    <row r="36" spans="2:4" x14ac:dyDescent="0.4">
      <c r="B36" s="2427" t="s">
        <v>128</v>
      </c>
      <c r="C36" s="2428"/>
      <c r="D36" s="246"/>
    </row>
    <row r="37" spans="2:4" x14ac:dyDescent="0.4">
      <c r="B37" s="2427" t="s">
        <v>130</v>
      </c>
      <c r="C37" s="2428"/>
      <c r="D37" s="55"/>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5">
    <dataValidation allowBlank="1" showDropDown="1" showInputMessage="1" showErrorMessage="1" sqref="D14" xr:uid="{0FC61094-6C66-4581-BDED-FB23715D3804}"/>
    <dataValidation type="list" allowBlank="1" showInputMessage="1" showErrorMessage="1" sqref="D4" xr:uid="{498023F4-E018-4CF4-87E9-A806D3EF5DA8}">
      <formula1>ODS</formula1>
    </dataValidation>
    <dataValidation type="list" allowBlank="1" showInputMessage="1" showErrorMessage="1" sqref="D5" xr:uid="{2993AC2C-20B2-4C4E-944A-DDA507AEA9D6}">
      <formula1>Metas_ODS</formula1>
    </dataValidation>
    <dataValidation type="list" allowBlank="1" showInputMessage="1" showErrorMessage="1" sqref="D15" xr:uid="{7AB815CE-D866-44A7-B774-E07C61A07B78}">
      <formula1>Tipo_indicador</formula1>
    </dataValidation>
    <dataValidation type="list" allowBlank="1" showInputMessage="1" showErrorMessage="1" sqref="D26" xr:uid="{1D0D7AB4-122E-4AB4-B3C1-3108556CDC0B}">
      <formula1>Tipo_operación</formula1>
    </dataValidation>
  </dataValidations>
  <hyperlinks>
    <hyperlink ref="B1" location="'17.19.2'!A1" display="REGRESAR" xr:uid="{ADD0C361-9BBE-49D9-BA1E-A978277AA474}"/>
    <hyperlink ref="D8" r:id="rId1" xr:uid="{8398B5DC-F757-4475-B02F-7070FC375C2A}"/>
    <hyperlink ref="D9" r:id="rId2" xr:uid="{BC190B53-871E-4323-A692-790489A3715A}"/>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46E8-7F4D-4B8D-91F6-809D4E5993FC}">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317</v>
      </c>
    </row>
    <row r="4" spans="1:6" ht="37.5" x14ac:dyDescent="0.25">
      <c r="A4" s="224"/>
      <c r="B4" s="2445" t="s">
        <v>234</v>
      </c>
      <c r="C4" s="2445"/>
      <c r="D4" s="49" t="s">
        <v>396</v>
      </c>
    </row>
    <row r="5" spans="1:6" ht="75" x14ac:dyDescent="0.25">
      <c r="B5" s="2445" t="s">
        <v>79</v>
      </c>
      <c r="C5" s="2445"/>
      <c r="D5" s="49" t="s">
        <v>427</v>
      </c>
    </row>
    <row r="6" spans="1:6" x14ac:dyDescent="0.25">
      <c r="B6" s="2445" t="s">
        <v>80</v>
      </c>
      <c r="C6" s="2445"/>
      <c r="D6" s="50" t="s">
        <v>428</v>
      </c>
    </row>
    <row r="7" spans="1:6" x14ac:dyDescent="0.25">
      <c r="B7" s="2446" t="s">
        <v>81</v>
      </c>
      <c r="C7" s="2446"/>
      <c r="D7" s="93" t="s">
        <v>429</v>
      </c>
    </row>
    <row r="8" spans="1:6" x14ac:dyDescent="0.25">
      <c r="B8" s="2446" t="s">
        <v>210</v>
      </c>
      <c r="C8" s="2446"/>
      <c r="D8" s="94" t="s">
        <v>657</v>
      </c>
    </row>
    <row r="9" spans="1:6" x14ac:dyDescent="0.4">
      <c r="B9" s="5"/>
      <c r="C9" s="5"/>
      <c r="D9" s="5"/>
    </row>
    <row r="10" spans="1:6" ht="23.25" customHeight="1" x14ac:dyDescent="0.25">
      <c r="B10" s="2514" t="s">
        <v>85</v>
      </c>
      <c r="C10" s="2514"/>
      <c r="D10" s="2514"/>
    </row>
    <row r="11" spans="1:6" x14ac:dyDescent="0.25">
      <c r="B11" s="2453" t="s">
        <v>86</v>
      </c>
      <c r="C11" s="2454"/>
      <c r="D11" s="49"/>
    </row>
    <row r="12" spans="1:6" ht="15" customHeight="1" x14ac:dyDescent="0.25">
      <c r="B12" s="2455" t="s">
        <v>88</v>
      </c>
      <c r="C12" s="2455"/>
      <c r="D12" s="184"/>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ht="15" customHeight="1"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654</v>
      </c>
    </row>
    <row r="25" spans="2:4" x14ac:dyDescent="0.25">
      <c r="B25" s="2445" t="s">
        <v>113</v>
      </c>
      <c r="C25" s="2445"/>
      <c r="D25" s="56"/>
    </row>
    <row r="26" spans="2:4" ht="15" customHeight="1" x14ac:dyDescent="0.25">
      <c r="B26" s="2446" t="s">
        <v>115</v>
      </c>
      <c r="C26" s="2446"/>
      <c r="D26" s="49"/>
    </row>
    <row r="27" spans="2:4" x14ac:dyDescent="0.25">
      <c r="B27" s="2447" t="s">
        <v>117</v>
      </c>
      <c r="C27" s="2448"/>
      <c r="D27" s="49"/>
    </row>
    <row r="28" spans="2:4" ht="166.5" customHeight="1" x14ac:dyDescent="0.25">
      <c r="B28" s="97" t="s">
        <v>118</v>
      </c>
      <c r="C28" s="98"/>
      <c r="D28" s="56" t="s">
        <v>658</v>
      </c>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D1545299-C5B1-4B18-9BDB-0CB686128126}">
      <formula1>Tipo_operación</formula1>
    </dataValidation>
    <dataValidation type="list" allowBlank="1" showInputMessage="1" showErrorMessage="1" sqref="D14" xr:uid="{4270AD90-C622-4844-963C-B0AAF5AF7204}">
      <formula1>Tipo_indicador</formula1>
    </dataValidation>
    <dataValidation type="list" allowBlank="1" showInputMessage="1" showErrorMessage="1" sqref="D7" xr:uid="{7DE73A6F-3352-4DB2-8E76-6452B1984ABD}">
      <formula1>Nombre_indicador_ODS</formula1>
    </dataValidation>
    <dataValidation type="list" allowBlank="1" showInputMessage="1" showErrorMessage="1" sqref="D6" xr:uid="{5E911F42-AABA-418E-A582-0A4DE5924E01}">
      <formula1>Numero_indicador</formula1>
    </dataValidation>
    <dataValidation type="list" allowBlank="1" showInputMessage="1" showErrorMessage="1" sqref="D5" xr:uid="{065871EB-BBCE-4098-AB7B-8690E0EC2B7D}">
      <formula1>Metas_ODS</formula1>
    </dataValidation>
    <dataValidation type="list" allowBlank="1" showInputMessage="1" showErrorMessage="1" sqref="D4" xr:uid="{0E97C2D9-4BE5-4A40-8140-3BC254A6DF28}">
      <formula1>ODS</formula1>
    </dataValidation>
    <dataValidation allowBlank="1" showDropDown="1" showInputMessage="1" showErrorMessage="1" sqref="D13" xr:uid="{F0F13217-731C-4EF3-A752-B9A35C121E6D}"/>
  </dataValidations>
  <hyperlinks>
    <hyperlink ref="B1" location="'2.b.1'!A1" display="REGRESAR" xr:uid="{913AA37C-F46F-47FC-97C8-FFFFF3AEA5BC}"/>
    <hyperlink ref="D8" r:id="rId1" xr:uid="{9F01D03C-80DD-4027-9D84-8B8058A5D44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0E9E-E226-4F16-90E6-75567C8A962B}">
  <sheetPr>
    <tabColor theme="5"/>
  </sheetPr>
  <dimension ref="A1:P10"/>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9.5" x14ac:dyDescent="0.4"/>
  <cols>
    <col min="1" max="2" width="15.7109375" style="16" customWidth="1"/>
    <col min="3" max="3" width="11.7109375" style="218" customWidth="1"/>
    <col min="4" max="5" width="11.7109375" style="16" customWidth="1"/>
    <col min="6" max="16384" width="11.42578125" style="16"/>
  </cols>
  <sheetData>
    <row r="1" spans="1:16" x14ac:dyDescent="0.4">
      <c r="A1" s="15" t="s">
        <v>39</v>
      </c>
      <c r="B1" s="161"/>
      <c r="C1" s="2421" t="s">
        <v>149</v>
      </c>
      <c r="D1" s="2421"/>
    </row>
    <row r="3" spans="1:16" x14ac:dyDescent="0.4">
      <c r="A3" s="2508" t="s">
        <v>41</v>
      </c>
      <c r="B3" s="2508"/>
      <c r="C3" s="2508" t="s">
        <v>396</v>
      </c>
      <c r="D3" s="2508"/>
      <c r="E3" s="2508"/>
      <c r="F3" s="2508"/>
      <c r="G3" s="2508"/>
      <c r="H3" s="2508"/>
      <c r="I3" s="2508"/>
      <c r="J3" s="2508"/>
      <c r="K3" s="2508"/>
      <c r="L3" s="2508"/>
      <c r="M3" s="2508"/>
      <c r="N3" s="2508"/>
      <c r="O3" s="2508"/>
      <c r="P3" s="2508"/>
    </row>
    <row r="4" spans="1:16" ht="41.45" customHeight="1" x14ac:dyDescent="0.4">
      <c r="A4" s="2508" t="s">
        <v>42</v>
      </c>
      <c r="B4" s="2508"/>
      <c r="C4" s="2509" t="s">
        <v>430</v>
      </c>
      <c r="D4" s="2509"/>
      <c r="E4" s="2509"/>
      <c r="F4" s="2509"/>
      <c r="G4" s="2509"/>
      <c r="H4" s="2509"/>
      <c r="I4" s="2509"/>
      <c r="J4" s="2509"/>
      <c r="K4" s="2509"/>
      <c r="L4" s="2509"/>
      <c r="M4" s="2509"/>
      <c r="N4" s="2509"/>
      <c r="O4" s="2509"/>
      <c r="P4" s="2509"/>
    </row>
    <row r="5" spans="1:16" x14ac:dyDescent="0.4">
      <c r="A5" s="2508" t="s">
        <v>43</v>
      </c>
      <c r="B5" s="2508"/>
      <c r="C5" s="2508" t="s">
        <v>432</v>
      </c>
      <c r="D5" s="2508"/>
      <c r="E5" s="2508"/>
      <c r="F5" s="2508"/>
      <c r="G5" s="2508"/>
      <c r="H5" s="2508"/>
      <c r="I5" s="2508"/>
      <c r="J5" s="2508"/>
      <c r="K5" s="2508"/>
      <c r="L5" s="2508"/>
      <c r="M5" s="2508"/>
      <c r="N5" s="2508"/>
      <c r="O5" s="2508"/>
      <c r="P5" s="2508"/>
    </row>
    <row r="6" spans="1:16" x14ac:dyDescent="0.4">
      <c r="A6" s="2508" t="s">
        <v>132</v>
      </c>
      <c r="B6" s="2508"/>
      <c r="C6" s="2508"/>
      <c r="D6" s="2508"/>
      <c r="E6" s="2508"/>
      <c r="F6" s="2508"/>
      <c r="G6" s="2508"/>
      <c r="H6" s="2508"/>
      <c r="I6" s="2508"/>
      <c r="J6" s="2508"/>
      <c r="K6" s="2508"/>
      <c r="L6" s="2508"/>
      <c r="M6" s="2508"/>
      <c r="N6" s="2508"/>
      <c r="O6" s="2508"/>
      <c r="P6" s="2508"/>
    </row>
    <row r="9" spans="1:16" ht="11.25" customHeight="1" x14ac:dyDescent="0.4">
      <c r="C9" s="2506" t="s">
        <v>243</v>
      </c>
      <c r="D9" s="2506"/>
      <c r="E9" s="2506"/>
      <c r="F9" s="2506"/>
      <c r="G9" s="2506"/>
      <c r="H9" s="2506"/>
      <c r="I9" s="2506"/>
      <c r="J9" s="2506"/>
      <c r="K9" s="2506"/>
      <c r="L9" s="2506"/>
      <c r="M9" s="2506"/>
      <c r="N9" s="2506"/>
      <c r="O9" s="2506"/>
      <c r="P9" s="2506"/>
    </row>
    <row r="10" spans="1:16" ht="11.25" customHeight="1" x14ac:dyDescent="0.4">
      <c r="C10" s="2506"/>
      <c r="D10" s="2506"/>
      <c r="E10" s="2506"/>
      <c r="F10" s="2506"/>
      <c r="G10" s="2506"/>
      <c r="H10" s="2506"/>
      <c r="I10" s="2506"/>
      <c r="J10" s="2506"/>
      <c r="K10" s="2506"/>
      <c r="L10" s="2506"/>
      <c r="M10" s="2506"/>
      <c r="N10" s="2506"/>
      <c r="O10" s="2506"/>
      <c r="P10" s="2506"/>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7AFC31E2-FD56-461F-B341-27D6ACC4A403}"/>
    <hyperlink ref="C1" location="'Metadato 2.c.1'!A1" display="VER METADATO" xr:uid="{6C500CB2-A4A6-4A4D-A9DA-D15E93C931FC}"/>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6BED-D5D8-4258-B48F-A63856B54E84}">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14" t="s">
        <v>75</v>
      </c>
      <c r="C3" s="2514"/>
      <c r="D3" s="2514"/>
      <c r="F3" s="91" t="s">
        <v>265</v>
      </c>
    </row>
    <row r="4" spans="1:6" ht="34.5" customHeight="1" x14ac:dyDescent="0.25">
      <c r="A4" s="224"/>
      <c r="B4" s="2445" t="s">
        <v>234</v>
      </c>
      <c r="C4" s="2445"/>
      <c r="D4" s="49" t="s">
        <v>396</v>
      </c>
    </row>
    <row r="5" spans="1:6" ht="56.25" x14ac:dyDescent="0.25">
      <c r="B5" s="2445" t="s">
        <v>79</v>
      </c>
      <c r="C5" s="2445"/>
      <c r="D5" s="49" t="s">
        <v>430</v>
      </c>
    </row>
    <row r="6" spans="1:6" x14ac:dyDescent="0.25">
      <c r="B6" s="2445" t="s">
        <v>80</v>
      </c>
      <c r="C6" s="2445"/>
      <c r="D6" s="50" t="s">
        <v>431</v>
      </c>
    </row>
    <row r="7" spans="1:6" x14ac:dyDescent="0.25">
      <c r="B7" s="2446" t="s">
        <v>81</v>
      </c>
      <c r="C7" s="2446"/>
      <c r="D7" s="93" t="s">
        <v>432</v>
      </c>
    </row>
    <row r="8" spans="1:6" x14ac:dyDescent="0.25">
      <c r="B8" s="2457" t="s">
        <v>82</v>
      </c>
      <c r="C8" s="2458"/>
      <c r="D8" s="94" t="s">
        <v>659</v>
      </c>
    </row>
    <row r="9" spans="1:6" x14ac:dyDescent="0.4">
      <c r="B9" s="5"/>
      <c r="C9" s="5"/>
      <c r="D9" s="5"/>
    </row>
    <row r="10" spans="1:6" ht="23.25" customHeight="1" x14ac:dyDescent="0.25">
      <c r="B10" s="2514" t="s">
        <v>85</v>
      </c>
      <c r="C10" s="2514"/>
      <c r="D10" s="2514"/>
    </row>
    <row r="11" spans="1:6" x14ac:dyDescent="0.25">
      <c r="B11" s="2453" t="s">
        <v>86</v>
      </c>
      <c r="C11" s="2454"/>
      <c r="D11" s="49"/>
    </row>
    <row r="12" spans="1:6" x14ac:dyDescent="0.25">
      <c r="B12" s="2455" t="s">
        <v>88</v>
      </c>
      <c r="C12" s="2455"/>
      <c r="D12" s="375"/>
    </row>
    <row r="13" spans="1:6" x14ac:dyDescent="0.25">
      <c r="B13" s="2445" t="s">
        <v>90</v>
      </c>
      <c r="C13" s="2445"/>
      <c r="D13" s="54"/>
    </row>
    <row r="14" spans="1:6" x14ac:dyDescent="0.25">
      <c r="B14" s="2445" t="s">
        <v>91</v>
      </c>
      <c r="C14" s="2456"/>
      <c r="D14" s="54"/>
    </row>
    <row r="15" spans="1:6" x14ac:dyDescent="0.25">
      <c r="B15" s="2445" t="s">
        <v>93</v>
      </c>
      <c r="C15" s="2445"/>
      <c r="D15" s="49"/>
    </row>
    <row r="16" spans="1:6"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49"/>
    </row>
    <row r="25" spans="2:4" x14ac:dyDescent="0.25">
      <c r="B25" s="2445" t="s">
        <v>113</v>
      </c>
      <c r="C25" s="2445"/>
      <c r="D25" s="56"/>
    </row>
    <row r="26" spans="2:4" x14ac:dyDescent="0.25">
      <c r="B26" s="2446" t="s">
        <v>115</v>
      </c>
      <c r="C26" s="2446"/>
      <c r="D26" s="49"/>
    </row>
    <row r="27" spans="2:4" x14ac:dyDescent="0.25">
      <c r="B27" s="2447" t="s">
        <v>117</v>
      </c>
      <c r="C27" s="2448"/>
      <c r="D27" s="49"/>
    </row>
    <row r="28" spans="2:4" ht="182.25" customHeight="1" x14ac:dyDescent="0.25">
      <c r="B28" s="97" t="s">
        <v>118</v>
      </c>
      <c r="C28" s="98"/>
      <c r="D28" s="56" t="s">
        <v>660</v>
      </c>
    </row>
    <row r="29" spans="2:4" x14ac:dyDescent="0.25">
      <c r="B29" s="2449" t="s">
        <v>120</v>
      </c>
      <c r="C29" s="2450"/>
      <c r="D29" s="62"/>
    </row>
    <row r="30" spans="2:4" x14ac:dyDescent="0.25">
      <c r="B30" s="63"/>
      <c r="C30" s="63"/>
      <c r="D30" s="64"/>
    </row>
    <row r="31" spans="2:4" ht="23.25" customHeight="1" x14ac:dyDescent="0.25">
      <c r="B31" s="2514" t="s">
        <v>121</v>
      </c>
      <c r="C31" s="2514"/>
      <c r="D31" s="2514"/>
    </row>
    <row r="32" spans="2:4" x14ac:dyDescent="0.25">
      <c r="B32" s="2442" t="s">
        <v>122</v>
      </c>
      <c r="C32" s="2443"/>
      <c r="D32" s="55"/>
    </row>
    <row r="33" spans="2:4" x14ac:dyDescent="0.25">
      <c r="B33" s="2442" t="s">
        <v>124</v>
      </c>
      <c r="C33" s="2443"/>
      <c r="D33" s="55"/>
    </row>
    <row r="34" spans="2:4" x14ac:dyDescent="0.25">
      <c r="B34" s="2442" t="s">
        <v>126</v>
      </c>
      <c r="C34" s="2443"/>
      <c r="D34" s="185"/>
    </row>
    <row r="35" spans="2:4" x14ac:dyDescent="0.25">
      <c r="B35" s="2442" t="s">
        <v>128</v>
      </c>
      <c r="C35" s="2443"/>
      <c r="D35" s="186"/>
    </row>
    <row r="36" spans="2:4" x14ac:dyDescent="0.25">
      <c r="B36" s="2442" t="s">
        <v>130</v>
      </c>
      <c r="C36" s="2443"/>
      <c r="D36" s="55"/>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E8D3EC7F-CFE0-4428-A6DE-919B9ED8B700}">
      <formula1>Tipo_operación</formula1>
    </dataValidation>
    <dataValidation type="list" allowBlank="1" showInputMessage="1" showErrorMessage="1" sqref="D14" xr:uid="{5F7486E3-EA34-4FC3-9D01-6F71C293611F}">
      <formula1>Tipo_indicador</formula1>
    </dataValidation>
    <dataValidation type="list" allowBlank="1" showInputMessage="1" showErrorMessage="1" sqref="D7" xr:uid="{84655988-3EEE-48F0-B343-10C1CE493540}">
      <formula1>Nombre_indicador_ODS</formula1>
    </dataValidation>
    <dataValidation type="list" allowBlank="1" showInputMessage="1" showErrorMessage="1" sqref="D6" xr:uid="{4B8760C0-79F1-4714-9A43-49FC1381921B}">
      <formula1>Numero_indicador</formula1>
    </dataValidation>
    <dataValidation type="list" allowBlank="1" showInputMessage="1" showErrorMessage="1" sqref="D5" xr:uid="{DAE0AD88-5955-411F-B48C-DCC47890D2F2}">
      <formula1>Metas_ODS</formula1>
    </dataValidation>
    <dataValidation type="list" allowBlank="1" showInputMessage="1" showErrorMessage="1" sqref="D4" xr:uid="{C7AB6149-7E94-468B-81FA-40D283CFF591}">
      <formula1>ODS</formula1>
    </dataValidation>
    <dataValidation allowBlank="1" showDropDown="1" showInputMessage="1" showErrorMessage="1" sqref="D13" xr:uid="{71D207E8-3F88-4F36-B512-1B9B7013BF43}"/>
  </dataValidations>
  <hyperlinks>
    <hyperlink ref="B1" location="'2.c.1'!A1" display="REGRESAR" xr:uid="{A4CFB200-9C98-4363-B21A-7F8B6F0FCF44}"/>
    <hyperlink ref="D8" r:id="rId1" xr:uid="{D4705C46-A716-47F5-9E92-EB1858449697}"/>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D104-F5E6-40BB-BF37-9E55FEB48ACD}">
  <sheetPr>
    <tabColor rgb="FF4C9F38"/>
  </sheetPr>
  <dimension ref="A1:E33"/>
  <sheetViews>
    <sheetView showGridLines="0" workbookViewId="0">
      <pane ySplit="4" topLeftCell="A27" activePane="bottomLeft" state="frozen"/>
      <selection activeCell="R16" sqref="R16"/>
      <selection pane="bottomLeft" sqref="A1:B1"/>
    </sheetView>
  </sheetViews>
  <sheetFormatPr baseColWidth="10" defaultColWidth="11.5703125" defaultRowHeight="18.75" x14ac:dyDescent="0.4"/>
  <cols>
    <col min="1" max="2" width="11.42578125" style="5" customWidth="1"/>
    <col min="3" max="3" width="71.7109375" style="5" customWidth="1"/>
    <col min="4" max="4" width="16.28515625" style="5" customWidth="1"/>
    <col min="5" max="5" width="81.28515625" style="5" customWidth="1"/>
    <col min="6" max="16384" width="11.5703125" style="5"/>
  </cols>
  <sheetData>
    <row r="1" spans="1:5" ht="19.5" x14ac:dyDescent="0.4">
      <c r="A1" s="2410" t="s">
        <v>1</v>
      </c>
      <c r="B1" s="2410"/>
    </row>
    <row r="3" spans="1:5" ht="53.25" customHeight="1" x14ac:dyDescent="0.4">
      <c r="C3" s="2563" t="s">
        <v>661</v>
      </c>
      <c r="D3" s="2563"/>
      <c r="E3" s="2563"/>
    </row>
    <row r="4" spans="1:5" s="263" customFormat="1" ht="50.45" customHeight="1" x14ac:dyDescent="0.4">
      <c r="C4" s="8" t="s">
        <v>3</v>
      </c>
      <c r="D4" s="8" t="s">
        <v>4</v>
      </c>
      <c r="E4" s="8" t="s">
        <v>5</v>
      </c>
    </row>
    <row r="5" spans="1:5" s="3" customFormat="1" ht="24" customHeight="1" x14ac:dyDescent="0.25">
      <c r="C5" s="2408" t="s">
        <v>662</v>
      </c>
      <c r="D5" s="11" t="s">
        <v>663</v>
      </c>
      <c r="E5" s="12" t="s">
        <v>664</v>
      </c>
    </row>
    <row r="6" spans="1:5" s="3" customFormat="1" ht="24" customHeight="1" x14ac:dyDescent="0.25">
      <c r="C6" s="2409"/>
      <c r="D6" s="11" t="s">
        <v>665</v>
      </c>
      <c r="E6" s="12" t="s">
        <v>666</v>
      </c>
    </row>
    <row r="7" spans="1:5" s="3" customFormat="1" ht="47.45" customHeight="1" x14ac:dyDescent="0.25">
      <c r="C7" s="2408" t="s">
        <v>667</v>
      </c>
      <c r="D7" s="11" t="s">
        <v>668</v>
      </c>
      <c r="E7" s="12" t="s">
        <v>669</v>
      </c>
    </row>
    <row r="8" spans="1:5" s="3" customFormat="1" ht="42.6" customHeight="1" x14ac:dyDescent="0.25">
      <c r="C8" s="2409"/>
      <c r="D8" s="11" t="s">
        <v>670</v>
      </c>
      <c r="E8" s="12" t="s">
        <v>671</v>
      </c>
    </row>
    <row r="9" spans="1:5" s="3" customFormat="1" ht="33.75" customHeight="1" x14ac:dyDescent="0.25">
      <c r="C9" s="2408" t="s">
        <v>672</v>
      </c>
      <c r="D9" s="11" t="s">
        <v>673</v>
      </c>
      <c r="E9" s="12" t="s">
        <v>674</v>
      </c>
    </row>
    <row r="10" spans="1:5" s="3" customFormat="1" ht="33.75" customHeight="1" x14ac:dyDescent="0.25">
      <c r="C10" s="2412"/>
      <c r="D10" s="11" t="s">
        <v>675</v>
      </c>
      <c r="E10" s="12" t="s">
        <v>676</v>
      </c>
    </row>
    <row r="11" spans="1:5" s="3" customFormat="1" ht="33.75" customHeight="1" x14ac:dyDescent="0.25">
      <c r="C11" s="2412"/>
      <c r="D11" s="11" t="s">
        <v>677</v>
      </c>
      <c r="E11" s="12" t="s">
        <v>678</v>
      </c>
    </row>
    <row r="12" spans="1:5" s="3" customFormat="1" ht="33.75" customHeight="1" x14ac:dyDescent="0.25">
      <c r="C12" s="2412"/>
      <c r="D12" s="11" t="s">
        <v>679</v>
      </c>
      <c r="E12" s="12" t="s">
        <v>680</v>
      </c>
    </row>
    <row r="13" spans="1:5" s="3" customFormat="1" ht="33.75" customHeight="1" x14ac:dyDescent="0.25">
      <c r="C13" s="2409"/>
      <c r="D13" s="11" t="s">
        <v>681</v>
      </c>
      <c r="E13" s="12" t="s">
        <v>682</v>
      </c>
    </row>
    <row r="14" spans="1:5" s="3" customFormat="1" ht="39.75" customHeight="1" x14ac:dyDescent="0.25">
      <c r="C14" s="2408" t="s">
        <v>683</v>
      </c>
      <c r="D14" s="11" t="s">
        <v>684</v>
      </c>
      <c r="E14" s="12" t="s">
        <v>685</v>
      </c>
    </row>
    <row r="15" spans="1:5" s="3" customFormat="1" ht="27" customHeight="1" x14ac:dyDescent="0.25">
      <c r="C15" s="2409"/>
      <c r="D15" s="11" t="s">
        <v>686</v>
      </c>
      <c r="E15" s="12" t="s">
        <v>687</v>
      </c>
    </row>
    <row r="16" spans="1:5" s="3" customFormat="1" ht="42.75" customHeight="1" x14ac:dyDescent="0.25">
      <c r="C16" s="2564" t="s">
        <v>688</v>
      </c>
      <c r="D16" s="11" t="s">
        <v>689</v>
      </c>
      <c r="E16" s="12" t="s">
        <v>690</v>
      </c>
    </row>
    <row r="17" spans="3:5" s="3" customFormat="1" ht="42.75" customHeight="1" x14ac:dyDescent="0.25">
      <c r="C17" s="2565"/>
      <c r="D17" s="11" t="s">
        <v>691</v>
      </c>
      <c r="E17" s="12" t="s">
        <v>692</v>
      </c>
    </row>
    <row r="18" spans="3:5" s="3" customFormat="1" ht="42.75" customHeight="1" x14ac:dyDescent="0.25">
      <c r="C18" s="2566"/>
      <c r="D18" s="11" t="s">
        <v>693</v>
      </c>
      <c r="E18" s="12" t="s">
        <v>694</v>
      </c>
    </row>
    <row r="19" spans="3:5" s="3" customFormat="1" ht="42.75" customHeight="1" x14ac:dyDescent="0.25">
      <c r="C19" s="10" t="s">
        <v>695</v>
      </c>
      <c r="D19" s="11" t="s">
        <v>696</v>
      </c>
      <c r="E19" s="12" t="s">
        <v>697</v>
      </c>
    </row>
    <row r="20" spans="3:5" s="3" customFormat="1" ht="60" customHeight="1" x14ac:dyDescent="0.25">
      <c r="C20" s="2408" t="s">
        <v>698</v>
      </c>
      <c r="D20" s="11" t="s">
        <v>699</v>
      </c>
      <c r="E20" s="12" t="s">
        <v>700</v>
      </c>
    </row>
    <row r="21" spans="3:5" s="3" customFormat="1" ht="34.5" customHeight="1" x14ac:dyDescent="0.25">
      <c r="C21" s="2409"/>
      <c r="D21" s="11" t="s">
        <v>701</v>
      </c>
      <c r="E21" s="12" t="s">
        <v>702</v>
      </c>
    </row>
    <row r="22" spans="3:5" s="3" customFormat="1" ht="34.5" customHeight="1" x14ac:dyDescent="0.25">
      <c r="C22" s="2408" t="s">
        <v>703</v>
      </c>
      <c r="D22" s="11" t="s">
        <v>704</v>
      </c>
      <c r="E22" s="12" t="s">
        <v>705</v>
      </c>
    </row>
    <row r="23" spans="3:5" s="3" customFormat="1" ht="38.25" customHeight="1" x14ac:dyDescent="0.25">
      <c r="C23" s="2409"/>
      <c r="D23" s="11" t="s">
        <v>706</v>
      </c>
      <c r="E23" s="12" t="s">
        <v>707</v>
      </c>
    </row>
    <row r="24" spans="3:5" s="3" customFormat="1" ht="33.75" customHeight="1" x14ac:dyDescent="0.25">
      <c r="C24" s="2408" t="s">
        <v>708</v>
      </c>
      <c r="D24" s="11" t="s">
        <v>709</v>
      </c>
      <c r="E24" s="12" t="s">
        <v>710</v>
      </c>
    </row>
    <row r="25" spans="3:5" s="3" customFormat="1" ht="60.6" customHeight="1" x14ac:dyDescent="0.25">
      <c r="C25" s="2412"/>
      <c r="D25" s="11" t="s">
        <v>711</v>
      </c>
      <c r="E25" s="12" t="s">
        <v>712</v>
      </c>
    </row>
    <row r="26" spans="3:5" s="3" customFormat="1" ht="27.75" customHeight="1" x14ac:dyDescent="0.25">
      <c r="C26" s="2409"/>
      <c r="D26" s="11" t="s">
        <v>713</v>
      </c>
      <c r="E26" s="12" t="s">
        <v>714</v>
      </c>
    </row>
    <row r="27" spans="3:5" s="3" customFormat="1" ht="43.15" customHeight="1" x14ac:dyDescent="0.25">
      <c r="C27" s="10" t="s">
        <v>715</v>
      </c>
      <c r="D27" s="11" t="s">
        <v>716</v>
      </c>
      <c r="E27" s="12" t="s">
        <v>717</v>
      </c>
    </row>
    <row r="28" spans="3:5" s="3" customFormat="1" ht="59.25" customHeight="1" x14ac:dyDescent="0.25">
      <c r="C28" s="2408" t="s">
        <v>718</v>
      </c>
      <c r="D28" s="11" t="s">
        <v>719</v>
      </c>
      <c r="E28" s="12" t="s">
        <v>720</v>
      </c>
    </row>
    <row r="29" spans="3:5" s="3" customFormat="1" ht="52.5" customHeight="1" x14ac:dyDescent="0.25">
      <c r="C29" s="2412"/>
      <c r="D29" s="13" t="s">
        <v>721</v>
      </c>
      <c r="E29" s="14" t="s">
        <v>722</v>
      </c>
    </row>
    <row r="30" spans="3:5" s="3" customFormat="1" ht="98.45" customHeight="1" x14ac:dyDescent="0.25">
      <c r="C30" s="2409"/>
      <c r="D30" s="11" t="s">
        <v>723</v>
      </c>
      <c r="E30" s="12" t="s">
        <v>724</v>
      </c>
    </row>
    <row r="31" spans="3:5" s="3" customFormat="1" ht="72" customHeight="1" x14ac:dyDescent="0.25">
      <c r="C31" s="10" t="s">
        <v>725</v>
      </c>
      <c r="D31" s="11" t="s">
        <v>726</v>
      </c>
      <c r="E31" s="12" t="s">
        <v>727</v>
      </c>
    </row>
    <row r="32" spans="3:5" s="3" customFormat="1" ht="45" customHeight="1" x14ac:dyDescent="0.25">
      <c r="C32" s="2408" t="s">
        <v>728</v>
      </c>
      <c r="D32" s="11" t="s">
        <v>729</v>
      </c>
      <c r="E32" s="12" t="s">
        <v>730</v>
      </c>
    </row>
    <row r="33" spans="3:5" s="3" customFormat="1" ht="45" customHeight="1" x14ac:dyDescent="0.25">
      <c r="C33" s="2409"/>
      <c r="D33" s="13" t="s">
        <v>731</v>
      </c>
      <c r="E33" s="14" t="s">
        <v>732</v>
      </c>
    </row>
  </sheetData>
  <mergeCells count="12">
    <mergeCell ref="C32:C33"/>
    <mergeCell ref="A1:B1"/>
    <mergeCell ref="C3:E3"/>
    <mergeCell ref="C5:C6"/>
    <mergeCell ref="C7:C8"/>
    <mergeCell ref="C9:C13"/>
    <mergeCell ref="C14:C15"/>
    <mergeCell ref="C16:C18"/>
    <mergeCell ref="C20:C21"/>
    <mergeCell ref="C22:C23"/>
    <mergeCell ref="C24:C26"/>
    <mergeCell ref="C28:C30"/>
  </mergeCells>
  <hyperlinks>
    <hyperlink ref="A1" location="Objetivos!A1" display="REGRESAR A INICIO" xr:uid="{1BC1273A-51A3-4866-984C-0AF908234100}"/>
    <hyperlink ref="A1:B1" location="'Lista de Objetivos'!A1" display="REGRESAR A INICIO" xr:uid="{F92F592A-F4E0-4B72-81F4-E7D72B251E63}"/>
    <hyperlink ref="D5" location="'3.1.1'!A1" display="3.1.1" xr:uid="{B3B6CE67-AFC2-48C1-BC82-30C550E0E874}"/>
    <hyperlink ref="E5" location="'3.1.1'!A1" display="3.1.1 Tasa de mortalidad materna" xr:uid="{8B55D191-FAC4-43A8-9DCC-56EF1DF0EF10}"/>
    <hyperlink ref="D6" location="'3.1.2'!A1" display="3.1.2" xr:uid="{55DA5B57-A018-4452-B878-B2C417907A56}"/>
    <hyperlink ref="E6" location="'3.1.2'!A1" display="3.1.2 Proporción de partos atendidos por personal sanitario especializado" xr:uid="{2137DE0D-8E71-4A65-AFEE-83E326AE1838}"/>
    <hyperlink ref="D7" location="'3.2.1'!A1" display="3.2.1" xr:uid="{153A8F61-4944-4C78-91A8-49F068E42502}"/>
    <hyperlink ref="E7" location="'3.2.1'!A1" display="3.2.1 Tasa de mortalidad de niños menores de 5 años" xr:uid="{A0895AA7-9F9E-47E3-8C54-CBEB2D696C25}"/>
    <hyperlink ref="D8" location="'3.2.2'!A1" display="3.2.2" xr:uid="{B84B05F9-D00B-4917-BC2F-64F11FEC062D}"/>
    <hyperlink ref="E8" location="'3.2.2'!A1" display="3.2.2 Tasa de mortalidad neonatal" xr:uid="{FD96C274-B056-42AD-953E-6821EE5D4275}"/>
    <hyperlink ref="D9" location="'3.3.1'!A1" display="3.3.1" xr:uid="{B61B6160-909F-4F18-B98D-44F9955D6F89}"/>
    <hyperlink ref="E9" location="'3.3.1'!A1" display="3.3.1 Número de nuevas infecciones por el VIH por cada 1.000 habitantes no infectados, desglosado por sexo, edad y poblaciones clave" xr:uid="{63DDAB83-0A86-4D88-A4E4-40645078AA1D}"/>
    <hyperlink ref="D10" location="'3.3.2'!A1" display="3.3.2" xr:uid="{8966CDA9-9029-44A2-8687-497E5F8E590C}"/>
    <hyperlink ref="E10" location="'3.3.2'!A1" display="3.3.2 Incidencia de la tuberculosis por cada 100.000 habitantes" xr:uid="{E2705A22-D31B-4BCA-8C0C-C3DEB08AC12B}"/>
    <hyperlink ref="D11" location="'3.3.3'!A1" display="3.3.3" xr:uid="{675F2671-61E1-4A49-8DBF-625FBF9AD60A}"/>
    <hyperlink ref="E11" location="'3.3.3'!A1" display="3.3.3 Incidencia de la malaria por cada 1.000 habitantes" xr:uid="{1CEBC0FE-7882-4618-A054-73E5DE945A4D}"/>
    <hyperlink ref="D12" location="'3.3.4'!A1" display="3.3.4" xr:uid="{FAD9F2EB-BC49-4557-B12C-947F6F346246}"/>
    <hyperlink ref="E12" location="'3.3.4'!A1" display="3.3.4 Incidencia de la hepatitis B por cada 100.000 habitantes" xr:uid="{D161057C-DF4D-4DD3-B1D6-A22B46187BCF}"/>
    <hyperlink ref="D13" location="'3.3.5'!A1" display="3.3.5" xr:uid="{F55B58C2-68FE-4520-A044-F5287A1B4DCB}"/>
    <hyperlink ref="E13" location="'3.3.5'!A1" display="3.3.5 Número de personas que requieren intervenciones contra enfermedades tropicales desatendidas" xr:uid="{9C26340B-E285-4100-BEDB-D9AAC122AB66}"/>
    <hyperlink ref="D14" location="'3.4.1'!A1" display="3.4.1" xr:uid="{536DEB71-AAC6-493A-A602-B11BA43FD407}"/>
    <hyperlink ref="E14" location="'3.4.1'!A1" display="3.4.1 Tasa de mortalidad atribuida a las enfermedades cardiovasculares, el cáncer, la diabetes o las enfermedades respiratorias crónicas" xr:uid="{1B2F8210-E349-4586-875D-F7FF4DE7EF59}"/>
    <hyperlink ref="D15" location="'3.4.2'!A1" display="3.4.2" xr:uid="{229FE2A5-ABD9-4F48-B72B-4050DF02AF43}"/>
    <hyperlink ref="E15" location="'3.4.2'!A1" display="3.4.2 Tasa de mortalidad por suicidio" xr:uid="{134397FB-9D12-43A8-9116-B9EEF63858C1}"/>
    <hyperlink ref="D16" location="'3.5.1'!A1" display="3.5.1" xr:uid="{53F335CF-1C7E-4AED-808C-1CAFA249D6FB}"/>
    <hyperlink ref="E16" location="'3.5.1'!A1" display="3.5.1 Cobertura de los tratamientos(farmacológicos y psicosociales y servicios de rehabilitación y postratamiento) de trastornos por abuso de sustancias adictivas" xr:uid="{FF1B6F79-AA01-4E1E-B117-EB2812862E75}"/>
    <hyperlink ref="D17" location="'3.5.2.a '!A1" display="3.5.2" xr:uid="{136EED5F-13BD-4C2C-89AF-918BA8207BB4}"/>
    <hyperlink ref="E17" location="'3.5.2.a '!A1" display="3.5.2 Consumo de alcohol per cápita (a partir de los 15 años de edad) durante un año civil en litros de alcohol puro" xr:uid="{7CA22B10-FBA4-4597-A1E9-3E420D6E757C}"/>
    <hyperlink ref="D19" location="'3.6.1'!A1" display="3.6.1" xr:uid="{231FB15E-6601-4888-AED3-8A5CEE7B32F2}"/>
    <hyperlink ref="E19" location="'3.6.1'!A1" display="3.6.1 Tasa de mortalidad por lesiones debidas a accidentes de tráfico" xr:uid="{70F6A9A2-D053-42F1-98F6-0CEFCF544AFB}"/>
    <hyperlink ref="D20" location="'3.7.1'!A1" display="3.7.1" xr:uid="{CE37DB6E-59D4-46C9-901E-00CA7E7FC9DD}"/>
    <hyperlink ref="E20" location="'3.7.1'!A1" display="3.7.1 Proporción de mujeres en edad de procrear (entre 15 y 49 años) que cubren sus necesidades de planificación familiar con métodos modernos" xr:uid="{D274DFCE-A8CE-4C1E-B9FB-D957A02E598C}"/>
    <hyperlink ref="D21" location="'3.7.2'!A1" display="3.7.2" xr:uid="{8347C183-F5AA-4401-9D78-F7F47CDB33B4}"/>
    <hyperlink ref="E21" location="'3.7.2'!A1" display="3.7.2 Tasa de fecundidad de las adolescentes (entre 10 y 14 años y entre 15 y 19 años) por cada 1.000 mujeres de ese grupo de edad" xr:uid="{69A16E06-6F4E-4AF5-AED0-22CD83846CB7}"/>
    <hyperlink ref="D22" location="'3.8.1'!A1" display="3.8.1" xr:uid="{C80BD527-AA10-4A85-84A8-7E1A71FF468D}"/>
    <hyperlink ref="E22" location="'3.8.1'!A1" display="3.8.1 Cobertura de los servicios de salud esenciales" xr:uid="{4279DE07-A948-4772-A605-2C8591C98436}"/>
    <hyperlink ref="D23" location="'3.8.2'!A1" display="3.8.2" xr:uid="{13527F09-7594-43A6-BBBF-66B715B703AC}"/>
    <hyperlink ref="E23" location="'3.8.2'!A1" display="3.8.2 Proporción de la población con grandes gastos sanitarios por hogar como porcentaje del total de gastos o ingresos de los hogares" xr:uid="{14A8FF54-D5CA-4DC6-94F9-F6773ED25A69}"/>
    <hyperlink ref="D24" location="'3.9.1'!A1" display="3.9.1" xr:uid="{03DF2325-60D1-409F-B6C3-BE5B6E68BCCF}"/>
    <hyperlink ref="E24" location="'3.9.1'!A1" display="3.9.1 Tasa de mortalidad atribuida a la contaminación de los hogares y del aire ambiente" xr:uid="{97959D7E-4A98-4CE4-9D82-EA4C46860277}"/>
    <hyperlink ref="D25" location="'3.9.2'!A1" display="3.9.2" xr:uid="{EF333061-DD57-44E8-857C-4A4214978339}"/>
    <hyperlink ref="E25" location="'3.9.2'!A1" display="3.9.2 Tasa de mortalidad atribuida al agua insalubre, el saneamiento deficiente y la falta de higiene (exposición a servicios insalubres de agua, saneamiento e higiene para todos (WASH))" xr:uid="{0A017668-DC83-4143-92F3-A582BD906FA2}"/>
    <hyperlink ref="D26" location="'3.9.3'!A1" display="3.9.3" xr:uid="{B5A8019B-4857-49FA-8154-C3B29146DF08}"/>
    <hyperlink ref="E26" location="'3.9.3'!A1" display="3.9.3 Tasa de mortalidad atribuida a intoxicaciones involuntarias" xr:uid="{639AA15B-2C1D-4BC6-B509-5DFAFF3020AD}"/>
    <hyperlink ref="D27" location="'3.a.1'!A1" display="3.a.1" xr:uid="{8E11CFC4-F8E2-4F36-BF27-7DDE938A3B73}"/>
    <hyperlink ref="E27" location="'3.a.1'!A1" display="3.a.1 Prevalencia del consumo actual de tabaco a partir de los 15 años de edad (edades ajustadas)" xr:uid="{DF25351A-8FAF-42A8-8CA5-5D707574BADA}"/>
    <hyperlink ref="D28" location="'3.b.1'!A1" display="3.b.1" xr:uid="{9B99A831-2F29-46A4-B496-9BC061E361F8}"/>
    <hyperlink ref="E28" location="'3.b.1'!A1" display="3.b.1 Proporción de la población inmunizada con todas las vacunas incluidas en cada programa nacional" xr:uid="{4C84C82A-D920-48E6-9F39-2651D6B7C0EE}"/>
    <hyperlink ref="D29" location="'3.b.2'!A1" display="3.b.2" xr:uid="{98907EF3-2805-412A-BFAB-FAD0D152D55E}"/>
    <hyperlink ref="E29" location="'3.b.2'!A1" display="3.b.2 Total neto de asistencia oficial para el desarrollo destinado a los sectores de la investigación médica y la atención sanitaria básica" xr:uid="{653455BD-4D02-42F2-95F8-C79F3ECD250D}"/>
    <hyperlink ref="D30" location="'3.b.3'!A1" display="3.b.3" xr:uid="{3C24CF09-C2D5-4899-9B23-313A70AE1285}"/>
    <hyperlink ref="E30" location="'3.b.3'!A1" display="3.b.3 Proporción de centros de salud que disponen de un conjunto básico de medicamentos esenciales asequibles de manera sostenible" xr:uid="{AC04F924-8F99-4C0A-BE69-407AC9111D90}"/>
    <hyperlink ref="D31" location="'3.c.1'!A1" display="3.c.1" xr:uid="{524572A9-8624-41E5-B383-C349B54E565A}"/>
    <hyperlink ref="E31" location="'3.c.1'!A1" display="3.c.1 Densidad y distribución del personal sanitario" xr:uid="{CC7216C5-8DCA-4B40-8AF6-3F5F540B9245}"/>
    <hyperlink ref="D32" location="'3.d.1'!A1" display="3.d.1" xr:uid="{08878885-E35A-4F16-AF10-056CE04FEEC3}"/>
    <hyperlink ref="E32" location="'3.d.1'!A1" display="3.d.1 Capacidad prevista en el Reglamento Sanitario Internacional (RSI) y preparación para emergencias de salud" xr:uid="{79AD47E4-FA49-49E9-BE65-BBCD19ED4558}"/>
    <hyperlink ref="D33" location="'3.d.2'!A1" display="3.d.2" xr:uid="{BF364E08-B10F-4889-AF07-EA5DC739D55B}"/>
    <hyperlink ref="E33" location="'3.d.2'!A1" display="3.d.2 Porcentaje de infecciones del torrente sanguíneo debidas a determinados organismos resistentes a los antimicrobianos seleccionadosi" xr:uid="{87A291A4-2E83-4D5A-A8F7-94F97853AD10}"/>
    <hyperlink ref="D18" location="'3.5.2.b '!A1" display="3.5.2.b" xr:uid="{53F6FD30-6A1E-4C6E-AB48-1DA1C712AD40}"/>
    <hyperlink ref="E18" location="'3.5.2.b '!A1" display="3.5.2.b Consumo de alcohol per cápita (a partir de los 15 años de edad) durante un año civil en litros de alcohol puro" xr:uid="{0FBB42FC-B49F-4977-B5F8-5B886BE75183}"/>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53794-55CB-47CB-B907-198590118170}">
  <dimension ref="A1:T145"/>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1" width="15" style="22" customWidth="1"/>
    <col min="2" max="2" width="18.7109375" style="22" customWidth="1"/>
    <col min="3" max="3" width="9" style="22" customWidth="1"/>
    <col min="4" max="4" width="8.28515625" style="22" customWidth="1"/>
    <col min="5" max="5" width="12.5703125" style="22" customWidth="1"/>
    <col min="6" max="6" width="6.28515625" style="22" customWidth="1"/>
    <col min="7" max="8" width="11.42578125" style="22"/>
    <col min="9" max="9" width="7.28515625" style="22" customWidth="1"/>
    <col min="10" max="10" width="8.28515625" style="22" customWidth="1"/>
    <col min="11" max="11" width="8.5703125" style="22" customWidth="1"/>
    <col min="12" max="12" width="7.140625" style="22" customWidth="1"/>
    <col min="13" max="13" width="6.42578125" style="22" customWidth="1"/>
    <col min="14" max="14" width="10.140625" style="22" customWidth="1"/>
    <col min="15" max="15" width="9.28515625" style="22" customWidth="1"/>
    <col min="16" max="16" width="6.7109375" style="22" customWidth="1"/>
    <col min="17" max="17" width="8" style="22" customWidth="1"/>
    <col min="18" max="18" width="11.28515625" style="22" customWidth="1"/>
    <col min="19" max="19" width="10.7109375" style="22" customWidth="1"/>
    <col min="20" max="20" width="12" style="22" customWidth="1"/>
    <col min="21" max="16384" width="11.42578125" style="22"/>
  </cols>
  <sheetData>
    <row r="1" spans="1:20" s="16" customFormat="1" ht="19.5" x14ac:dyDescent="0.4">
      <c r="A1" s="68" t="s">
        <v>39</v>
      </c>
      <c r="C1" s="2562" t="s">
        <v>149</v>
      </c>
      <c r="D1" s="2562"/>
    </row>
    <row r="2" spans="1:20" s="16" customFormat="1" ht="19.5" x14ac:dyDescent="0.4"/>
    <row r="3" spans="1:20" s="16" customFormat="1" ht="16.149999999999999" customHeight="1" x14ac:dyDescent="0.4">
      <c r="A3" s="2574" t="s">
        <v>41</v>
      </c>
      <c r="B3" s="2574"/>
      <c r="C3" s="2574" t="s">
        <v>733</v>
      </c>
      <c r="D3" s="2575"/>
      <c r="E3" s="2575"/>
      <c r="F3" s="2575"/>
      <c r="G3" s="2575"/>
      <c r="H3" s="2575"/>
      <c r="I3" s="2575"/>
      <c r="J3" s="2575"/>
      <c r="K3" s="2575"/>
      <c r="L3" s="2575"/>
      <c r="M3" s="2575"/>
      <c r="N3" s="2575"/>
      <c r="O3" s="2575"/>
      <c r="P3" s="2575"/>
      <c r="Q3" s="2575"/>
      <c r="R3" s="2575"/>
      <c r="S3" s="2575"/>
    </row>
    <row r="4" spans="1:20" s="16" customFormat="1" ht="16.149999999999999" customHeight="1" x14ac:dyDescent="0.4">
      <c r="A4" s="2574" t="s">
        <v>42</v>
      </c>
      <c r="B4" s="2574"/>
      <c r="C4" s="2574" t="s">
        <v>662</v>
      </c>
      <c r="D4" s="2575"/>
      <c r="E4" s="2575"/>
      <c r="F4" s="2575"/>
      <c r="G4" s="2575"/>
      <c r="H4" s="2575"/>
      <c r="I4" s="2575"/>
      <c r="J4" s="2575"/>
      <c r="K4" s="2575"/>
      <c r="L4" s="2575"/>
      <c r="M4" s="2575"/>
      <c r="N4" s="2575"/>
      <c r="O4" s="2575"/>
      <c r="P4" s="2575"/>
      <c r="Q4" s="2575"/>
      <c r="R4" s="2575"/>
      <c r="S4" s="2575"/>
    </row>
    <row r="5" spans="1:20" s="16" customFormat="1" ht="16.149999999999999" customHeight="1" x14ac:dyDescent="0.4">
      <c r="A5" s="2574" t="s">
        <v>43</v>
      </c>
      <c r="B5" s="2574"/>
      <c r="C5" s="2574" t="s">
        <v>664</v>
      </c>
      <c r="D5" s="2575"/>
      <c r="E5" s="2575"/>
      <c r="F5" s="2575"/>
      <c r="G5" s="2575"/>
      <c r="H5" s="2575"/>
      <c r="I5" s="2575"/>
      <c r="J5" s="2575"/>
      <c r="K5" s="2575"/>
      <c r="L5" s="2575"/>
      <c r="M5" s="2575"/>
      <c r="N5" s="2575"/>
      <c r="O5" s="2575"/>
      <c r="P5" s="2575"/>
      <c r="Q5" s="2575"/>
      <c r="R5" s="2575"/>
      <c r="S5" s="2575"/>
    </row>
    <row r="6" spans="1:20" s="16" customFormat="1" ht="36" customHeight="1" x14ac:dyDescent="0.4">
      <c r="A6" s="2574" t="s">
        <v>132</v>
      </c>
      <c r="B6" s="2575"/>
      <c r="C6" s="2574" t="s">
        <v>734</v>
      </c>
      <c r="D6" s="2575"/>
      <c r="E6" s="2575"/>
      <c r="F6" s="2575"/>
      <c r="G6" s="2575"/>
      <c r="H6" s="2575"/>
      <c r="I6" s="2575"/>
      <c r="J6" s="2575"/>
      <c r="K6" s="2575"/>
      <c r="L6" s="2575"/>
      <c r="M6" s="2575"/>
      <c r="N6" s="2575"/>
      <c r="O6" s="2575"/>
      <c r="P6" s="2575"/>
      <c r="Q6" s="2575"/>
      <c r="R6" s="2575"/>
      <c r="S6" s="2575"/>
    </row>
    <row r="7" spans="1:20" s="16" customFormat="1" ht="19.5" x14ac:dyDescent="0.4">
      <c r="C7" s="131"/>
      <c r="D7" s="131"/>
      <c r="E7" s="105"/>
      <c r="F7" s="105"/>
    </row>
    <row r="8" spans="1:20" s="16" customFormat="1" ht="19.5" x14ac:dyDescent="0.4">
      <c r="C8" s="131"/>
      <c r="D8" s="131"/>
      <c r="E8" s="105"/>
      <c r="F8" s="105"/>
    </row>
    <row r="9" spans="1:20" s="16" customFormat="1" ht="19.5" x14ac:dyDescent="0.4">
      <c r="C9" s="163" t="s">
        <v>735</v>
      </c>
      <c r="D9" s="163"/>
      <c r="E9" s="163"/>
      <c r="F9" s="163"/>
      <c r="G9" s="163"/>
      <c r="H9" s="163"/>
      <c r="I9" s="163"/>
      <c r="J9" s="163"/>
      <c r="K9" s="163"/>
      <c r="L9" s="163"/>
      <c r="M9" s="163"/>
      <c r="N9" s="163"/>
      <c r="O9" s="163"/>
      <c r="P9" s="163"/>
      <c r="Q9" s="163"/>
      <c r="R9" s="163"/>
      <c r="S9" s="163"/>
    </row>
    <row r="10" spans="1:20" ht="17.45" customHeight="1" x14ac:dyDescent="0.4">
      <c r="C10" s="2576" t="s">
        <v>247</v>
      </c>
      <c r="D10" s="2578" t="s">
        <v>736</v>
      </c>
      <c r="E10" s="2580" t="s">
        <v>737</v>
      </c>
      <c r="F10" s="2580"/>
      <c r="G10" s="2580"/>
      <c r="H10" s="2580"/>
      <c r="I10" s="376"/>
      <c r="J10" s="2580" t="s">
        <v>8179</v>
      </c>
      <c r="K10" s="2580"/>
      <c r="L10" s="2580"/>
      <c r="M10" s="2580"/>
      <c r="N10" s="2580"/>
      <c r="O10" s="2580"/>
      <c r="P10" s="2580"/>
      <c r="Q10" s="376"/>
      <c r="R10" s="2581" t="s">
        <v>738</v>
      </c>
      <c r="S10" s="2581"/>
      <c r="T10" s="2581"/>
    </row>
    <row r="11" spans="1:20" ht="69.599999999999994" customHeight="1" x14ac:dyDescent="0.4">
      <c r="C11" s="2577"/>
      <c r="D11" s="2579"/>
      <c r="E11" s="2380" t="s">
        <v>739</v>
      </c>
      <c r="F11" s="2381" t="s">
        <v>740</v>
      </c>
      <c r="G11" s="2381" t="s">
        <v>741</v>
      </c>
      <c r="H11" s="2380" t="s">
        <v>742</v>
      </c>
      <c r="I11" s="2381"/>
      <c r="J11" s="2381" t="s">
        <v>328</v>
      </c>
      <c r="K11" s="2381" t="s">
        <v>329</v>
      </c>
      <c r="L11" s="2381" t="s">
        <v>330</v>
      </c>
      <c r="M11" s="2381" t="s">
        <v>331</v>
      </c>
      <c r="N11" s="2381" t="s">
        <v>332</v>
      </c>
      <c r="O11" s="2381" t="s">
        <v>533</v>
      </c>
      <c r="P11" s="2381" t="s">
        <v>334</v>
      </c>
      <c r="Q11" s="660"/>
      <c r="R11" s="2380" t="s">
        <v>743</v>
      </c>
      <c r="S11" s="2380" t="s">
        <v>744</v>
      </c>
      <c r="T11" s="2380" t="s">
        <v>745</v>
      </c>
    </row>
    <row r="12" spans="1:20" ht="18.75" x14ac:dyDescent="0.4">
      <c r="C12" s="2378">
        <v>2010</v>
      </c>
      <c r="D12" s="379">
        <v>22.559995488000901</v>
      </c>
      <c r="E12" s="380">
        <v>15.045512675844428</v>
      </c>
      <c r="F12" s="379">
        <v>15.201033670289579</v>
      </c>
      <c r="G12" s="379">
        <v>41.679071152128614</v>
      </c>
      <c r="H12" s="379">
        <v>73.367571533382247</v>
      </c>
      <c r="I12" s="379"/>
      <c r="J12" s="2571" t="s">
        <v>8178</v>
      </c>
      <c r="K12" s="2571"/>
      <c r="L12" s="2571"/>
      <c r="M12" s="2571"/>
      <c r="N12" s="2571"/>
      <c r="O12" s="2571"/>
      <c r="P12" s="2571"/>
      <c r="Q12" s="379"/>
      <c r="R12" s="380">
        <v>12.689997462000507</v>
      </c>
      <c r="S12" s="380">
        <v>9.8699980260003937</v>
      </c>
      <c r="T12" s="381">
        <v>0</v>
      </c>
    </row>
    <row r="13" spans="1:20" ht="18.75" x14ac:dyDescent="0.4">
      <c r="C13" s="2382">
        <v>2011</v>
      </c>
      <c r="D13" s="379">
        <v>24.503464517622074</v>
      </c>
      <c r="E13" s="380">
        <v>21.570319240724764</v>
      </c>
      <c r="F13" s="379">
        <v>17.394329448599755</v>
      </c>
      <c r="G13" s="379">
        <v>38.995042058938218</v>
      </c>
      <c r="H13" s="379">
        <v>73.691967575534264</v>
      </c>
      <c r="I13" s="379"/>
      <c r="J13" s="2572"/>
      <c r="K13" s="2572"/>
      <c r="L13" s="2572"/>
      <c r="M13" s="2572"/>
      <c r="N13" s="2572"/>
      <c r="O13" s="2572"/>
      <c r="P13" s="2572"/>
      <c r="Q13" s="379"/>
      <c r="R13" s="380">
        <v>19.058250180372724</v>
      </c>
      <c r="S13" s="380">
        <v>4.0839107529370127</v>
      </c>
      <c r="T13" s="381">
        <v>1.3613035843123373</v>
      </c>
    </row>
    <row r="14" spans="1:20" ht="18.75" x14ac:dyDescent="0.4">
      <c r="C14" s="2378">
        <v>2012</v>
      </c>
      <c r="D14" s="379">
        <v>30.003000300030006</v>
      </c>
      <c r="E14" s="380">
        <v>28.103702662825828</v>
      </c>
      <c r="F14" s="379">
        <v>22.853660394606536</v>
      </c>
      <c r="G14" s="379">
        <v>49.398979087765518</v>
      </c>
      <c r="H14" s="379">
        <v>0</v>
      </c>
      <c r="I14" s="379"/>
      <c r="J14" s="2572"/>
      <c r="K14" s="2572"/>
      <c r="L14" s="2572"/>
      <c r="M14" s="2572"/>
      <c r="N14" s="2572"/>
      <c r="O14" s="2572"/>
      <c r="P14" s="2572"/>
      <c r="Q14" s="379"/>
      <c r="R14" s="380">
        <v>23.184136595477728</v>
      </c>
      <c r="S14" s="380">
        <v>6.8188637045522729</v>
      </c>
      <c r="T14" s="381">
        <v>0</v>
      </c>
    </row>
    <row r="15" spans="1:20" ht="18.75" x14ac:dyDescent="0.4">
      <c r="C15" s="2378">
        <v>2013</v>
      </c>
      <c r="D15" s="379">
        <v>19.844082211197733</v>
      </c>
      <c r="E15" s="380">
        <v>0</v>
      </c>
      <c r="F15" s="379">
        <v>15.756716300323014</v>
      </c>
      <c r="G15" s="379">
        <v>33.21707357581797</v>
      </c>
      <c r="H15" s="379">
        <v>137.93103448275861</v>
      </c>
      <c r="I15" s="379"/>
      <c r="J15" s="2572"/>
      <c r="K15" s="2572"/>
      <c r="L15" s="2572"/>
      <c r="M15" s="2572"/>
      <c r="N15" s="2572"/>
      <c r="O15" s="2572"/>
      <c r="P15" s="2572"/>
      <c r="Q15" s="379"/>
      <c r="R15" s="380">
        <v>8.5046066619418852</v>
      </c>
      <c r="S15" s="380">
        <v>9.9220411055988667</v>
      </c>
      <c r="T15" s="381">
        <v>1.4174344436569808</v>
      </c>
    </row>
    <row r="16" spans="1:20" ht="18.75" x14ac:dyDescent="0.4">
      <c r="C16" s="2378">
        <v>2014</v>
      </c>
      <c r="D16" s="379">
        <v>29.250762609168024</v>
      </c>
      <c r="E16" s="380">
        <v>0</v>
      </c>
      <c r="F16" s="379">
        <v>26.028787839350322</v>
      </c>
      <c r="G16" s="379">
        <v>46.444421508927654</v>
      </c>
      <c r="H16" s="379">
        <v>136.33265167007499</v>
      </c>
      <c r="I16" s="379"/>
      <c r="J16" s="2572"/>
      <c r="K16" s="2572"/>
      <c r="L16" s="2572"/>
      <c r="M16" s="2572"/>
      <c r="N16" s="2572"/>
      <c r="O16" s="2572"/>
      <c r="P16" s="2572"/>
      <c r="Q16" s="379"/>
      <c r="R16" s="380">
        <v>18.107614948532589</v>
      </c>
      <c r="S16" s="380">
        <v>11.143147660635439</v>
      </c>
      <c r="T16" s="381">
        <v>0</v>
      </c>
    </row>
    <row r="17" spans="1:20" ht="18.75" x14ac:dyDescent="0.4">
      <c r="C17" s="2382">
        <v>2015</v>
      </c>
      <c r="D17" s="379">
        <v>27.847784012587198</v>
      </c>
      <c r="E17" s="380">
        <v>17.188037126160193</v>
      </c>
      <c r="F17" s="379">
        <v>18.371256856415506</v>
      </c>
      <c r="G17" s="379">
        <v>39.081582804103569</v>
      </c>
      <c r="H17" s="379">
        <v>186.33540372670808</v>
      </c>
      <c r="I17" s="379"/>
      <c r="J17" s="2572"/>
      <c r="K17" s="2572"/>
      <c r="L17" s="2572"/>
      <c r="M17" s="2572"/>
      <c r="N17" s="2572"/>
      <c r="O17" s="2572"/>
      <c r="P17" s="2572"/>
      <c r="Q17" s="379"/>
      <c r="R17" s="380">
        <v>19.493448808811038</v>
      </c>
      <c r="S17" s="380">
        <v>6.9619460031467995</v>
      </c>
      <c r="T17" s="381">
        <v>1.3923892006293599</v>
      </c>
    </row>
    <row r="18" spans="1:20" ht="18.75" x14ac:dyDescent="0.4">
      <c r="C18" s="2382">
        <v>2016</v>
      </c>
      <c r="D18" s="379">
        <v>28.569796011656479</v>
      </c>
      <c r="E18" s="380">
        <v>9.1382619025861285</v>
      </c>
      <c r="F18" s="379">
        <v>29.503272181096449</v>
      </c>
      <c r="G18" s="379">
        <v>29.588716835979881</v>
      </c>
      <c r="H18" s="379">
        <v>133.42228152101399</v>
      </c>
      <c r="I18" s="379"/>
      <c r="J18" s="2572"/>
      <c r="K18" s="2572"/>
      <c r="L18" s="2572"/>
      <c r="M18" s="2572"/>
      <c r="N18" s="2572"/>
      <c r="O18" s="2572"/>
      <c r="P18" s="2572"/>
      <c r="Q18" s="379"/>
      <c r="R18" s="380">
        <v>12.856408205245414</v>
      </c>
      <c r="S18" s="380">
        <v>15.713387806411063</v>
      </c>
      <c r="T18" s="381">
        <v>0</v>
      </c>
    </row>
    <row r="19" spans="1:20" ht="18.75" x14ac:dyDescent="0.4">
      <c r="C19" s="2382">
        <v>2017</v>
      </c>
      <c r="D19" s="379">
        <v>23.252096321809013</v>
      </c>
      <c r="E19" s="380">
        <v>19.694731659281143</v>
      </c>
      <c r="F19" s="379">
        <v>11.005034803422566</v>
      </c>
      <c r="G19" s="379">
        <v>43.348425007224741</v>
      </c>
      <c r="H19" s="379">
        <v>64.641241111829345</v>
      </c>
      <c r="I19" s="379"/>
      <c r="J19" s="2572"/>
      <c r="K19" s="2572"/>
      <c r="L19" s="2572"/>
      <c r="M19" s="2572"/>
      <c r="N19" s="2572"/>
      <c r="O19" s="2572"/>
      <c r="P19" s="2572"/>
      <c r="Q19" s="379"/>
      <c r="R19" s="380">
        <v>14.532560201130634</v>
      </c>
      <c r="S19" s="380">
        <v>8.719536120678379</v>
      </c>
      <c r="T19" s="381">
        <v>0</v>
      </c>
    </row>
    <row r="20" spans="1:20" ht="18.75" x14ac:dyDescent="0.4">
      <c r="A20" s="23"/>
      <c r="C20" s="2382">
        <v>2018</v>
      </c>
      <c r="D20" s="379">
        <v>16.070358953381351</v>
      </c>
      <c r="E20" s="380">
        <v>20.988561234127399</v>
      </c>
      <c r="F20" s="379">
        <v>11.068374885857384</v>
      </c>
      <c r="G20" s="379">
        <v>18.891092849721357</v>
      </c>
      <c r="H20" s="379">
        <v>62.227753578095829</v>
      </c>
      <c r="I20" s="379"/>
      <c r="J20" s="2572"/>
      <c r="K20" s="2572"/>
      <c r="L20" s="2572"/>
      <c r="M20" s="2572"/>
      <c r="N20" s="2572"/>
      <c r="O20" s="2572"/>
      <c r="P20" s="2572"/>
      <c r="Q20" s="379"/>
      <c r="R20" s="380">
        <v>8.76565033820801</v>
      </c>
      <c r="S20" s="380">
        <v>7.3047086151733405</v>
      </c>
      <c r="T20" s="381">
        <v>0</v>
      </c>
    </row>
    <row r="21" spans="1:20" ht="18.75" x14ac:dyDescent="0.4">
      <c r="A21" s="23"/>
      <c r="C21" s="2382">
        <v>2019</v>
      </c>
      <c r="D21" s="379">
        <v>20.225907832093849</v>
      </c>
      <c r="E21" s="380">
        <v>12.436264146250466</v>
      </c>
      <c r="F21" s="379">
        <v>20.696588019632191</v>
      </c>
      <c r="G21" s="379">
        <v>24.146423914618246</v>
      </c>
      <c r="H21" s="379">
        <v>0</v>
      </c>
      <c r="I21" s="379"/>
      <c r="J21" s="2572"/>
      <c r="K21" s="2572"/>
      <c r="L21" s="2572"/>
      <c r="M21" s="2572"/>
      <c r="N21" s="2572"/>
      <c r="O21" s="2572"/>
      <c r="P21" s="2572"/>
      <c r="Q21" s="379"/>
      <c r="R21" s="380">
        <v>15.558390640072192</v>
      </c>
      <c r="S21" s="380">
        <v>3.1116781280144385</v>
      </c>
      <c r="T21" s="381">
        <v>1.5558390640072193</v>
      </c>
    </row>
    <row r="22" spans="1:20" ht="18.75" x14ac:dyDescent="0.4">
      <c r="C22" s="2382">
        <v>2020</v>
      </c>
      <c r="D22" s="379">
        <v>34.390260678175942</v>
      </c>
      <c r="E22" s="380">
        <v>16.168148746968473</v>
      </c>
      <c r="F22" s="379">
        <v>29.911263252351358</v>
      </c>
      <c r="G22" s="379">
        <v>44.65614766299494</v>
      </c>
      <c r="H22" s="379">
        <v>57.870370370370367</v>
      </c>
      <c r="I22" s="379"/>
      <c r="J22" s="2572"/>
      <c r="K22" s="2572"/>
      <c r="L22" s="2572"/>
      <c r="M22" s="2572"/>
      <c r="N22" s="2572"/>
      <c r="O22" s="2572"/>
      <c r="P22" s="2572"/>
      <c r="Q22" s="379"/>
      <c r="R22" s="380">
        <v>18.914643372996768</v>
      </c>
      <c r="S22" s="380">
        <v>12.036591237361579</v>
      </c>
      <c r="T22" s="381">
        <v>3.4390260678175939</v>
      </c>
    </row>
    <row r="23" spans="1:20" ht="18.75" x14ac:dyDescent="0.4">
      <c r="C23" s="2382">
        <v>2021</v>
      </c>
      <c r="D23" s="379">
        <v>40.524609490126728</v>
      </c>
      <c r="E23" s="380">
        <v>19.801980198019802</v>
      </c>
      <c r="F23" s="379">
        <v>17.839940057801403</v>
      </c>
      <c r="G23" s="379">
        <v>77.02182284980745</v>
      </c>
      <c r="H23" s="379">
        <v>57.603686635944698</v>
      </c>
      <c r="I23" s="379"/>
      <c r="J23" s="2572"/>
      <c r="K23" s="2572"/>
      <c r="L23" s="2572"/>
      <c r="M23" s="2572"/>
      <c r="N23" s="2572"/>
      <c r="O23" s="2572"/>
      <c r="P23" s="2572"/>
      <c r="Q23" s="379"/>
      <c r="R23" s="380">
        <v>18.420277040966695</v>
      </c>
      <c r="S23" s="380">
        <v>22.104332449160033</v>
      </c>
      <c r="T23" s="381">
        <v>0</v>
      </c>
    </row>
    <row r="24" spans="1:20" ht="18.75" x14ac:dyDescent="0.4">
      <c r="C24" s="2382">
        <v>2022</v>
      </c>
      <c r="D24" s="379">
        <v>14.971460653129972</v>
      </c>
      <c r="E24" s="380">
        <v>20.247013565499088</v>
      </c>
      <c r="F24" s="379">
        <v>7.3803461382338824</v>
      </c>
      <c r="G24" s="379">
        <v>25.540174694794914</v>
      </c>
      <c r="H24" s="379">
        <v>0</v>
      </c>
      <c r="I24" s="379"/>
      <c r="J24" s="2572"/>
      <c r="K24" s="2572"/>
      <c r="L24" s="2572"/>
      <c r="M24" s="2572"/>
      <c r="N24" s="2572"/>
      <c r="O24" s="2572"/>
      <c r="P24" s="2572"/>
      <c r="Q24" s="379"/>
      <c r="R24" s="380">
        <v>13.100028071488724</v>
      </c>
      <c r="S24" s="380">
        <v>1.8714325816412465</v>
      </c>
      <c r="T24" s="381">
        <v>0</v>
      </c>
    </row>
    <row r="25" spans="1:20" ht="18.75" x14ac:dyDescent="0.4">
      <c r="C25" s="2382">
        <v>2023</v>
      </c>
      <c r="D25" s="379">
        <v>9.9591674136042219</v>
      </c>
      <c r="E25" s="380">
        <v>0</v>
      </c>
      <c r="F25" s="379">
        <v>0</v>
      </c>
      <c r="G25" s="379">
        <v>27.33435381587579</v>
      </c>
      <c r="H25" s="379">
        <v>0</v>
      </c>
      <c r="I25" s="379"/>
      <c r="J25" s="2572"/>
      <c r="K25" s="2572"/>
      <c r="L25" s="2572"/>
      <c r="M25" s="2572"/>
      <c r="N25" s="2572"/>
      <c r="O25" s="2572"/>
      <c r="P25" s="2572"/>
      <c r="Q25" s="379"/>
      <c r="R25" s="380">
        <v>5.975500448162534</v>
      </c>
      <c r="S25" s="380">
        <v>3.9836669654416887</v>
      </c>
      <c r="T25" s="381">
        <v>0</v>
      </c>
    </row>
    <row r="26" spans="1:20" ht="19.5" x14ac:dyDescent="0.4">
      <c r="C26" s="383" t="s">
        <v>8168</v>
      </c>
      <c r="D26" s="384">
        <v>32.733224222585925</v>
      </c>
      <c r="E26" s="385">
        <v>0</v>
      </c>
      <c r="F26" s="384">
        <v>25.657472738935219</v>
      </c>
      <c r="G26" s="384">
        <v>53.934200275663684</v>
      </c>
      <c r="H26" s="384">
        <v>0</v>
      </c>
      <c r="I26" s="384"/>
      <c r="J26" s="2573"/>
      <c r="K26" s="2573"/>
      <c r="L26" s="2573"/>
      <c r="M26" s="2573"/>
      <c r="N26" s="2573"/>
      <c r="O26" s="2573"/>
      <c r="P26" s="2573"/>
      <c r="Q26" s="384"/>
      <c r="R26" s="385">
        <v>24.004364429896345</v>
      </c>
      <c r="S26" s="385">
        <v>8.7288597926895797</v>
      </c>
      <c r="T26" s="386">
        <v>0</v>
      </c>
    </row>
    <row r="27" spans="1:20" ht="18.75" x14ac:dyDescent="0.4">
      <c r="C27" s="2378" t="s">
        <v>8169</v>
      </c>
      <c r="D27" s="379"/>
      <c r="E27" s="380"/>
      <c r="F27" s="379"/>
      <c r="G27" s="379"/>
      <c r="H27" s="379"/>
      <c r="I27" s="379"/>
      <c r="J27" s="2405"/>
      <c r="K27" s="2405"/>
      <c r="L27" s="2405"/>
      <c r="M27" s="2405"/>
      <c r="N27" s="2405"/>
      <c r="O27" s="2405"/>
      <c r="P27" s="2405"/>
      <c r="Q27" s="379"/>
      <c r="R27" s="380"/>
      <c r="S27" s="380"/>
      <c r="T27" s="381"/>
    </row>
    <row r="28" spans="1:20" ht="18.75" x14ac:dyDescent="0.4">
      <c r="C28" s="5" t="s">
        <v>746</v>
      </c>
      <c r="D28" s="5"/>
      <c r="E28" s="5"/>
      <c r="F28" s="5"/>
      <c r="G28" s="5"/>
      <c r="H28" s="5"/>
      <c r="I28" s="5"/>
      <c r="J28" s="5"/>
      <c r="K28" s="5"/>
      <c r="L28" s="5"/>
      <c r="M28" s="5"/>
      <c r="N28" s="5"/>
      <c r="O28" s="5"/>
      <c r="P28" s="5"/>
      <c r="Q28" s="5"/>
      <c r="R28" s="5"/>
      <c r="S28" s="5"/>
      <c r="T28" s="5"/>
    </row>
    <row r="29" spans="1:20" ht="18.75" x14ac:dyDescent="0.4">
      <c r="C29" s="5" t="s">
        <v>8170</v>
      </c>
      <c r="D29" s="5"/>
      <c r="E29" s="5"/>
      <c r="F29" s="5"/>
      <c r="G29" s="5"/>
      <c r="H29" s="5"/>
      <c r="I29" s="5"/>
      <c r="J29" s="5"/>
      <c r="K29" s="5"/>
      <c r="L29" s="5"/>
      <c r="M29" s="5"/>
      <c r="N29" s="5"/>
      <c r="O29" s="5"/>
      <c r="P29" s="5"/>
      <c r="Q29" s="5"/>
      <c r="R29" s="5"/>
      <c r="S29" s="5"/>
      <c r="T29" s="5"/>
    </row>
    <row r="30" spans="1:20" ht="18.75" x14ac:dyDescent="0.4">
      <c r="C30" s="5"/>
      <c r="D30" s="5"/>
      <c r="E30" s="5"/>
      <c r="F30" s="5"/>
      <c r="G30" s="5"/>
      <c r="H30" s="5"/>
      <c r="I30" s="5"/>
      <c r="J30" s="5"/>
      <c r="K30" s="5"/>
      <c r="L30" s="5"/>
      <c r="M30" s="5"/>
      <c r="N30" s="5"/>
      <c r="O30" s="5"/>
      <c r="P30" s="5"/>
      <c r="Q30" s="5"/>
      <c r="R30" s="5"/>
      <c r="S30" s="5"/>
      <c r="T30" s="5"/>
    </row>
    <row r="31" spans="1:20" ht="18.75" x14ac:dyDescent="0.4">
      <c r="C31" s="5"/>
      <c r="D31" s="5"/>
      <c r="E31" s="5"/>
      <c r="F31" s="5"/>
      <c r="G31" s="5"/>
      <c r="H31" s="5"/>
      <c r="I31" s="5"/>
      <c r="J31" s="5"/>
      <c r="K31" s="5"/>
      <c r="L31" s="5"/>
      <c r="M31" s="5"/>
      <c r="N31" s="5"/>
      <c r="O31" s="5"/>
      <c r="P31" s="5"/>
      <c r="Q31" s="5"/>
      <c r="R31" s="5"/>
      <c r="S31" s="5"/>
      <c r="T31" s="5"/>
    </row>
    <row r="32" spans="1:20" ht="18.75" x14ac:dyDescent="0.4">
      <c r="C32" s="5"/>
      <c r="D32" s="5"/>
      <c r="E32" s="5"/>
      <c r="F32" s="5"/>
      <c r="G32" s="5"/>
      <c r="H32" s="5"/>
      <c r="I32" s="5"/>
      <c r="J32" s="5"/>
      <c r="K32" s="5"/>
      <c r="L32" s="5"/>
      <c r="M32" s="5"/>
      <c r="N32" s="5"/>
      <c r="O32" s="5"/>
      <c r="P32" s="5"/>
      <c r="Q32" s="5"/>
      <c r="R32" s="5"/>
      <c r="S32" s="5"/>
      <c r="T32" s="5"/>
    </row>
    <row r="33" spans="3:3" ht="21" x14ac:dyDescent="0.25">
      <c r="C33" s="105" t="s">
        <v>8171</v>
      </c>
    </row>
    <row r="34" spans="3:3" ht="18.75" x14ac:dyDescent="0.25">
      <c r="C34" s="9" t="s">
        <v>747</v>
      </c>
    </row>
    <row r="50" spans="3:19" ht="14.25" x14ac:dyDescent="0.25">
      <c r="D50" s="387"/>
      <c r="E50" s="387"/>
      <c r="F50" s="387"/>
      <c r="G50" s="387"/>
      <c r="H50" s="387"/>
      <c r="I50" s="387"/>
      <c r="J50" s="387"/>
      <c r="K50" s="387"/>
    </row>
    <row r="51" spans="3:19" ht="14.25" x14ac:dyDescent="0.25">
      <c r="D51" s="387"/>
      <c r="E51" s="387"/>
      <c r="F51" s="387"/>
      <c r="G51" s="387"/>
      <c r="H51" s="387"/>
      <c r="I51" s="387"/>
      <c r="J51" s="387"/>
      <c r="K51" s="387"/>
    </row>
    <row r="54" spans="3:19" ht="18.75" x14ac:dyDescent="0.4">
      <c r="C54" s="5" t="s">
        <v>8172</v>
      </c>
    </row>
    <row r="55" spans="3:19" ht="18.75" x14ac:dyDescent="0.4">
      <c r="C55" s="5" t="s">
        <v>8170</v>
      </c>
    </row>
    <row r="58" spans="3:19" ht="18.75" x14ac:dyDescent="0.4">
      <c r="C58" s="154" t="s">
        <v>748</v>
      </c>
      <c r="D58" s="5"/>
      <c r="E58" s="5"/>
      <c r="F58" s="5"/>
      <c r="G58" s="5"/>
      <c r="H58" s="5"/>
      <c r="I58" s="5"/>
      <c r="J58" s="5"/>
      <c r="K58" s="5"/>
      <c r="L58" s="5"/>
      <c r="M58" s="5"/>
      <c r="N58" s="5"/>
      <c r="O58" s="5"/>
      <c r="P58" s="5"/>
    </row>
    <row r="59" spans="3:19" ht="18.75" x14ac:dyDescent="0.4">
      <c r="C59" s="5"/>
      <c r="D59" s="5"/>
      <c r="E59" s="5"/>
      <c r="F59" s="5"/>
      <c r="G59" s="5"/>
      <c r="H59" s="5"/>
      <c r="I59" s="5"/>
      <c r="J59" s="5"/>
      <c r="K59" s="5"/>
      <c r="L59" s="5"/>
      <c r="M59" s="5"/>
      <c r="N59" s="5"/>
      <c r="O59" s="5"/>
      <c r="P59" s="5"/>
    </row>
    <row r="60" spans="3:19" ht="18.75" x14ac:dyDescent="0.25">
      <c r="C60" s="388" t="s">
        <v>749</v>
      </c>
      <c r="D60" s="389" t="s">
        <v>750</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8.75" x14ac:dyDescent="0.4">
      <c r="C61" s="2569" t="s">
        <v>328</v>
      </c>
      <c r="D61" s="391" t="s">
        <v>328</v>
      </c>
      <c r="E61" s="340">
        <v>37.237013591509964</v>
      </c>
      <c r="F61" s="340">
        <v>55.991041433370661</v>
      </c>
      <c r="G61" s="340">
        <v>37.00962250185048</v>
      </c>
      <c r="H61" s="340">
        <v>19.091256204658269</v>
      </c>
      <c r="I61" s="392" t="s">
        <v>751</v>
      </c>
      <c r="J61" s="340">
        <v>39.824771007566703</v>
      </c>
      <c r="K61" s="340">
        <v>20.580366330520683</v>
      </c>
      <c r="L61" s="392" t="s">
        <v>751</v>
      </c>
      <c r="M61" s="392" t="s">
        <v>751</v>
      </c>
      <c r="N61" s="340">
        <v>22.421524663677129</v>
      </c>
      <c r="O61" s="340">
        <v>52.219321148825067</v>
      </c>
      <c r="P61" s="340">
        <v>143.80212827149842</v>
      </c>
      <c r="Q61" s="392" t="s">
        <v>751</v>
      </c>
    </row>
    <row r="62" spans="3:19" ht="18.75" x14ac:dyDescent="0.4">
      <c r="C62" s="2567"/>
      <c r="D62" s="391" t="s">
        <v>752</v>
      </c>
      <c r="E62" s="392" t="s">
        <v>751</v>
      </c>
      <c r="F62" s="340">
        <v>102.04081632653062</v>
      </c>
      <c r="G62" s="392" t="s">
        <v>751</v>
      </c>
      <c r="H62" s="392" t="s">
        <v>751</v>
      </c>
      <c r="I62" s="392" t="s">
        <v>751</v>
      </c>
      <c r="J62" s="340">
        <v>105.82010582010582</v>
      </c>
      <c r="K62" s="340">
        <v>110.01100110011001</v>
      </c>
      <c r="L62" s="392" t="s">
        <v>751</v>
      </c>
      <c r="M62" s="392" t="s">
        <v>751</v>
      </c>
      <c r="N62" s="340">
        <v>242.13075060532688</v>
      </c>
      <c r="O62" s="392" t="s">
        <v>751</v>
      </c>
      <c r="P62" s="392" t="s">
        <v>751</v>
      </c>
      <c r="Q62" s="392" t="s">
        <v>751</v>
      </c>
    </row>
    <row r="63" spans="3:19" ht="18.75" x14ac:dyDescent="0.4">
      <c r="C63" s="2567"/>
      <c r="D63" s="391" t="s">
        <v>753</v>
      </c>
      <c r="E63" s="340">
        <v>92.307692307692307</v>
      </c>
      <c r="F63" s="340">
        <v>29.682398337785695</v>
      </c>
      <c r="G63" s="392" t="s">
        <v>751</v>
      </c>
      <c r="H63" s="392" t="s">
        <v>751</v>
      </c>
      <c r="I63" s="340">
        <v>62.07324643078833</v>
      </c>
      <c r="J63" s="340">
        <v>96.30818619582665</v>
      </c>
      <c r="K63" s="340">
        <v>64.892926670992864</v>
      </c>
      <c r="L63" s="340">
        <v>106.38297872340426</v>
      </c>
      <c r="M63" s="392" t="s">
        <v>751</v>
      </c>
      <c r="N63" s="340">
        <v>38.314176245210732</v>
      </c>
      <c r="O63" s="340">
        <v>84.602368866328248</v>
      </c>
      <c r="P63" s="340">
        <v>47.755491881566378</v>
      </c>
      <c r="Q63" s="392" t="s">
        <v>751</v>
      </c>
    </row>
    <row r="64" spans="3:19" ht="18.75" x14ac:dyDescent="0.4">
      <c r="C64" s="2567"/>
      <c r="D64" s="391" t="s">
        <v>754</v>
      </c>
      <c r="E64" s="392" t="s">
        <v>751</v>
      </c>
      <c r="F64" s="392" t="s">
        <v>751</v>
      </c>
      <c r="G64" s="340">
        <v>250.62656641604008</v>
      </c>
      <c r="H64" s="392" t="s">
        <v>751</v>
      </c>
      <c r="I64" s="392" t="s">
        <v>751</v>
      </c>
      <c r="J64" s="392" t="s">
        <v>751</v>
      </c>
      <c r="K64" s="392" t="s">
        <v>751</v>
      </c>
      <c r="L64" s="392" t="s">
        <v>751</v>
      </c>
      <c r="M64" s="392" t="s">
        <v>751</v>
      </c>
      <c r="N64" s="392" t="s">
        <v>751</v>
      </c>
      <c r="O64" s="392" t="s">
        <v>751</v>
      </c>
      <c r="P64" s="392" t="s">
        <v>751</v>
      </c>
      <c r="Q64" s="392" t="s">
        <v>751</v>
      </c>
    </row>
    <row r="65" spans="3:17" ht="18.75" x14ac:dyDescent="0.4">
      <c r="C65" s="2567"/>
      <c r="D65" s="391" t="s">
        <v>755</v>
      </c>
      <c r="E65" s="392" t="s">
        <v>751</v>
      </c>
      <c r="F65" s="392" t="s">
        <v>751</v>
      </c>
      <c r="G65" s="392" t="s">
        <v>751</v>
      </c>
      <c r="H65" s="392" t="s">
        <v>751</v>
      </c>
      <c r="I65" s="340">
        <v>364.96350364963502</v>
      </c>
      <c r="J65" s="392" t="s">
        <v>751</v>
      </c>
      <c r="K65" s="392" t="s">
        <v>751</v>
      </c>
      <c r="L65" s="392" t="s">
        <v>751</v>
      </c>
      <c r="M65" s="392" t="s">
        <v>751</v>
      </c>
      <c r="N65" s="392" t="s">
        <v>751</v>
      </c>
      <c r="O65" s="340">
        <v>456.62100456621005</v>
      </c>
      <c r="P65" s="392" t="s">
        <v>751</v>
      </c>
      <c r="Q65" s="392" t="s">
        <v>751</v>
      </c>
    </row>
    <row r="66" spans="3:17" ht="18.75" x14ac:dyDescent="0.4">
      <c r="C66" s="2567"/>
      <c r="D66" s="391" t="s">
        <v>756</v>
      </c>
      <c r="E66" s="392" t="s">
        <v>751</v>
      </c>
      <c r="F66" s="392" t="s">
        <v>751</v>
      </c>
      <c r="G66" s="392" t="s">
        <v>751</v>
      </c>
      <c r="H66" s="392" t="s">
        <v>751</v>
      </c>
      <c r="I66" s="340">
        <v>118.48341232227489</v>
      </c>
      <c r="J66" s="340">
        <v>113.63636363636363</v>
      </c>
      <c r="K66" s="392" t="s">
        <v>751</v>
      </c>
      <c r="L66" s="392" t="s">
        <v>751</v>
      </c>
      <c r="M66" s="392" t="s">
        <v>751</v>
      </c>
      <c r="N66" s="392" t="s">
        <v>751</v>
      </c>
      <c r="O66" s="392" t="s">
        <v>751</v>
      </c>
      <c r="P66" s="392" t="s">
        <v>751</v>
      </c>
      <c r="Q66" s="392" t="s">
        <v>751</v>
      </c>
    </row>
    <row r="67" spans="3:17" ht="18.75" x14ac:dyDescent="0.4">
      <c r="C67" s="2567"/>
      <c r="D67" s="391" t="s">
        <v>757</v>
      </c>
      <c r="E67" s="392" t="s">
        <v>751</v>
      </c>
      <c r="F67" s="392" t="s">
        <v>751</v>
      </c>
      <c r="G67" s="392" t="s">
        <v>751</v>
      </c>
      <c r="H67" s="392" t="s">
        <v>751</v>
      </c>
      <c r="I67" s="392" t="s">
        <v>751</v>
      </c>
      <c r="J67" s="392" t="s">
        <v>751</v>
      </c>
      <c r="K67" s="392" t="s">
        <v>751</v>
      </c>
      <c r="L67" s="392" t="s">
        <v>751</v>
      </c>
      <c r="M67" s="392" t="s">
        <v>751</v>
      </c>
      <c r="N67" s="392" t="s">
        <v>751</v>
      </c>
      <c r="O67" s="392" t="s">
        <v>751</v>
      </c>
      <c r="P67" s="392" t="s">
        <v>751</v>
      </c>
      <c r="Q67" s="392" t="s">
        <v>751</v>
      </c>
    </row>
    <row r="68" spans="3:17" ht="18.75" x14ac:dyDescent="0.4">
      <c r="C68" s="2567"/>
      <c r="D68" s="391" t="s">
        <v>758</v>
      </c>
      <c r="E68" s="392" t="s">
        <v>751</v>
      </c>
      <c r="F68" s="392" t="s">
        <v>751</v>
      </c>
      <c r="G68" s="392" t="s">
        <v>751</v>
      </c>
      <c r="H68" s="392" t="s">
        <v>751</v>
      </c>
      <c r="I68" s="340">
        <v>60.024009603841534</v>
      </c>
      <c r="J68" s="392" t="s">
        <v>751</v>
      </c>
      <c r="K68" s="392" t="s">
        <v>751</v>
      </c>
      <c r="L68" s="392" t="s">
        <v>751</v>
      </c>
      <c r="M68" s="392" t="s">
        <v>751</v>
      </c>
      <c r="N68" s="392" t="s">
        <v>751</v>
      </c>
      <c r="O68" s="392" t="s">
        <v>751</v>
      </c>
      <c r="P68" s="392" t="s">
        <v>751</v>
      </c>
      <c r="Q68" s="392" t="s">
        <v>751</v>
      </c>
    </row>
    <row r="69" spans="3:17" ht="18.75" x14ac:dyDescent="0.4">
      <c r="C69" s="2567"/>
      <c r="D69" s="391" t="s">
        <v>759</v>
      </c>
      <c r="E69" s="392" t="s">
        <v>751</v>
      </c>
      <c r="F69" s="392" t="s">
        <v>751</v>
      </c>
      <c r="G69" s="392" t="s">
        <v>751</v>
      </c>
      <c r="H69" s="392" t="s">
        <v>751</v>
      </c>
      <c r="I69" s="392" t="s">
        <v>751</v>
      </c>
      <c r="J69" s="340">
        <v>119.33174224343676</v>
      </c>
      <c r="K69" s="392" t="s">
        <v>751</v>
      </c>
      <c r="L69" s="340">
        <v>119.47431302270012</v>
      </c>
      <c r="M69" s="392" t="s">
        <v>751</v>
      </c>
      <c r="N69" s="392" t="s">
        <v>751</v>
      </c>
      <c r="O69" s="392" t="s">
        <v>751</v>
      </c>
      <c r="P69" s="392" t="s">
        <v>751</v>
      </c>
      <c r="Q69" s="392" t="s">
        <v>751</v>
      </c>
    </row>
    <row r="70" spans="3:17" ht="18.75" x14ac:dyDescent="0.4">
      <c r="C70" s="2567"/>
      <c r="D70" s="391" t="s">
        <v>760</v>
      </c>
      <c r="E70" s="392" t="s">
        <v>751</v>
      </c>
      <c r="F70" s="392" t="s">
        <v>751</v>
      </c>
      <c r="G70" s="392" t="s">
        <v>751</v>
      </c>
      <c r="H70" s="392" t="s">
        <v>751</v>
      </c>
      <c r="I70" s="340">
        <v>82.850041425020706</v>
      </c>
      <c r="J70" s="340">
        <v>89.928057553956833</v>
      </c>
      <c r="K70" s="340">
        <v>91.407678244972573</v>
      </c>
      <c r="L70" s="392" t="s">
        <v>751</v>
      </c>
      <c r="M70" s="392" t="s">
        <v>751</v>
      </c>
      <c r="N70" s="340">
        <v>89.605734767025083</v>
      </c>
      <c r="O70" s="392" t="s">
        <v>751</v>
      </c>
      <c r="P70" s="392" t="s">
        <v>751</v>
      </c>
      <c r="Q70" s="392" t="s">
        <v>751</v>
      </c>
    </row>
    <row r="71" spans="3:17" ht="18.75" x14ac:dyDescent="0.4">
      <c r="C71" s="2567"/>
      <c r="D71" s="391" t="s">
        <v>761</v>
      </c>
      <c r="E71" s="392" t="s">
        <v>751</v>
      </c>
      <c r="F71" s="392" t="s">
        <v>751</v>
      </c>
      <c r="G71" s="340">
        <v>110.74197120708749</v>
      </c>
      <c r="H71" s="392" t="s">
        <v>751</v>
      </c>
      <c r="I71" s="340">
        <v>113.89521640091115</v>
      </c>
      <c r="J71" s="392" t="s">
        <v>751</v>
      </c>
      <c r="K71" s="392" t="s">
        <v>751</v>
      </c>
      <c r="L71" s="340">
        <v>124.06947890818859</v>
      </c>
      <c r="M71" s="392" t="s">
        <v>751</v>
      </c>
      <c r="N71" s="392" t="s">
        <v>751</v>
      </c>
      <c r="O71" s="392" t="s">
        <v>751</v>
      </c>
      <c r="P71" s="392" t="s">
        <v>751</v>
      </c>
      <c r="Q71" s="392" t="s">
        <v>751</v>
      </c>
    </row>
    <row r="72" spans="3:17" ht="18.75" x14ac:dyDescent="0.4">
      <c r="C72" s="2567"/>
      <c r="D72" s="391" t="s">
        <v>762</v>
      </c>
      <c r="E72" s="392" t="s">
        <v>751</v>
      </c>
      <c r="F72" s="392" t="s">
        <v>751</v>
      </c>
      <c r="G72" s="392" t="s">
        <v>751</v>
      </c>
      <c r="H72" s="392" t="s">
        <v>751</v>
      </c>
      <c r="I72" s="392" t="s">
        <v>751</v>
      </c>
      <c r="J72" s="392" t="s">
        <v>751</v>
      </c>
      <c r="K72" s="392" t="s">
        <v>751</v>
      </c>
      <c r="L72" s="392" t="s">
        <v>751</v>
      </c>
      <c r="M72" s="392" t="s">
        <v>751</v>
      </c>
      <c r="N72" s="392" t="s">
        <v>751</v>
      </c>
      <c r="O72" s="392" t="s">
        <v>751</v>
      </c>
      <c r="P72" s="392" t="s">
        <v>751</v>
      </c>
      <c r="Q72" s="392" t="s">
        <v>751</v>
      </c>
    </row>
    <row r="73" spans="3:17" ht="18.75" x14ac:dyDescent="0.4">
      <c r="C73" s="2567"/>
      <c r="D73" s="391" t="s">
        <v>763</v>
      </c>
      <c r="E73" s="392" t="s">
        <v>751</v>
      </c>
      <c r="F73" s="392" t="s">
        <v>751</v>
      </c>
      <c r="G73" s="392" t="s">
        <v>751</v>
      </c>
      <c r="H73" s="392" t="s">
        <v>751</v>
      </c>
      <c r="I73" s="392" t="s">
        <v>751</v>
      </c>
      <c r="J73" s="392" t="s">
        <v>751</v>
      </c>
      <c r="K73" s="340">
        <v>105.26315789473684</v>
      </c>
      <c r="L73" s="392" t="s">
        <v>751</v>
      </c>
      <c r="M73" s="392" t="s">
        <v>751</v>
      </c>
      <c r="N73" s="392" t="s">
        <v>751</v>
      </c>
      <c r="O73" s="392" t="s">
        <v>751</v>
      </c>
      <c r="P73" s="392" t="s">
        <v>751</v>
      </c>
      <c r="Q73" s="392" t="s">
        <v>751</v>
      </c>
    </row>
    <row r="74" spans="3:17" ht="18.75" x14ac:dyDescent="0.4">
      <c r="C74" s="2567"/>
      <c r="D74" s="391" t="s">
        <v>764</v>
      </c>
      <c r="E74" s="392" t="s">
        <v>751</v>
      </c>
      <c r="F74" s="392" t="s">
        <v>751</v>
      </c>
      <c r="G74" s="392" t="s">
        <v>751</v>
      </c>
      <c r="H74" s="392" t="s">
        <v>751</v>
      </c>
      <c r="I74" s="392" t="s">
        <v>751</v>
      </c>
      <c r="J74" s="392" t="s">
        <v>751</v>
      </c>
      <c r="K74" s="392" t="s">
        <v>751</v>
      </c>
      <c r="L74" s="392" t="s">
        <v>751</v>
      </c>
      <c r="M74" s="392" t="s">
        <v>751</v>
      </c>
      <c r="N74" s="392" t="s">
        <v>751</v>
      </c>
      <c r="O74" s="392" t="s">
        <v>751</v>
      </c>
      <c r="P74" s="392" t="s">
        <v>751</v>
      </c>
      <c r="Q74" s="392" t="s">
        <v>751</v>
      </c>
    </row>
    <row r="75" spans="3:17" ht="18.75" x14ac:dyDescent="0.4">
      <c r="C75" s="2567"/>
      <c r="D75" s="391" t="s">
        <v>765</v>
      </c>
      <c r="E75" s="392" t="s">
        <v>751</v>
      </c>
      <c r="F75" s="392" t="s">
        <v>751</v>
      </c>
      <c r="G75" s="392" t="s">
        <v>751</v>
      </c>
      <c r="H75" s="392" t="s">
        <v>751</v>
      </c>
      <c r="I75" s="392" t="s">
        <v>751</v>
      </c>
      <c r="J75" s="392" t="s">
        <v>751</v>
      </c>
      <c r="K75" s="392" t="s">
        <v>751</v>
      </c>
      <c r="L75" s="392" t="s">
        <v>751</v>
      </c>
      <c r="M75" s="392" t="s">
        <v>751</v>
      </c>
      <c r="N75" s="392" t="s">
        <v>751</v>
      </c>
      <c r="O75" s="392" t="s">
        <v>751</v>
      </c>
      <c r="P75" s="392" t="s">
        <v>751</v>
      </c>
      <c r="Q75" s="392" t="s">
        <v>751</v>
      </c>
    </row>
    <row r="76" spans="3:17" ht="18.75" x14ac:dyDescent="0.4">
      <c r="C76" s="2567"/>
      <c r="D76" s="391" t="s">
        <v>766</v>
      </c>
      <c r="E76" s="392" t="s">
        <v>751</v>
      </c>
      <c r="F76" s="392" t="s">
        <v>751</v>
      </c>
      <c r="G76" s="392" t="s">
        <v>751</v>
      </c>
      <c r="H76" s="392" t="s">
        <v>751</v>
      </c>
      <c r="I76" s="392" t="s">
        <v>751</v>
      </c>
      <c r="J76" s="392" t="s">
        <v>751</v>
      </c>
      <c r="K76" s="392" t="s">
        <v>751</v>
      </c>
      <c r="L76" s="392" t="s">
        <v>751</v>
      </c>
      <c r="M76" s="392" t="s">
        <v>751</v>
      </c>
      <c r="N76" s="392" t="s">
        <v>751</v>
      </c>
      <c r="O76" s="392" t="s">
        <v>751</v>
      </c>
      <c r="P76" s="392" t="s">
        <v>751</v>
      </c>
      <c r="Q76" s="392" t="s">
        <v>751</v>
      </c>
    </row>
    <row r="77" spans="3:17" ht="18.75" x14ac:dyDescent="0.4">
      <c r="C77" s="2567"/>
      <c r="D77" s="391" t="s">
        <v>767</v>
      </c>
      <c r="E77" s="392" t="s">
        <v>751</v>
      </c>
      <c r="F77" s="392" t="s">
        <v>751</v>
      </c>
      <c r="G77" s="392" t="s">
        <v>751</v>
      </c>
      <c r="H77" s="392" t="s">
        <v>751</v>
      </c>
      <c r="I77" s="392" t="s">
        <v>751</v>
      </c>
      <c r="J77" s="392" t="s">
        <v>751</v>
      </c>
      <c r="K77" s="392" t="s">
        <v>751</v>
      </c>
      <c r="L77" s="392" t="s">
        <v>751</v>
      </c>
      <c r="M77" s="392" t="s">
        <v>751</v>
      </c>
      <c r="N77" s="392" t="s">
        <v>751</v>
      </c>
      <c r="O77" s="392" t="s">
        <v>751</v>
      </c>
      <c r="P77" s="392" t="s">
        <v>751</v>
      </c>
      <c r="Q77" s="392" t="s">
        <v>751</v>
      </c>
    </row>
    <row r="78" spans="3:17" ht="18.75" x14ac:dyDescent="0.4">
      <c r="C78" s="2567"/>
      <c r="D78" s="391" t="s">
        <v>768</v>
      </c>
      <c r="E78" s="392" t="s">
        <v>751</v>
      </c>
      <c r="F78" s="392" t="s">
        <v>751</v>
      </c>
      <c r="G78" s="340">
        <v>185.18518518518519</v>
      </c>
      <c r="H78" s="392" t="s">
        <v>751</v>
      </c>
      <c r="I78" s="392" t="s">
        <v>751</v>
      </c>
      <c r="J78" s="392" t="s">
        <v>751</v>
      </c>
      <c r="K78" s="392" t="s">
        <v>751</v>
      </c>
      <c r="L78" s="392" t="s">
        <v>751</v>
      </c>
      <c r="M78" s="392" t="s">
        <v>751</v>
      </c>
      <c r="N78" s="392" t="s">
        <v>751</v>
      </c>
      <c r="O78" s="392" t="s">
        <v>751</v>
      </c>
      <c r="P78" s="392" t="s">
        <v>751</v>
      </c>
      <c r="Q78" s="392" t="s">
        <v>751</v>
      </c>
    </row>
    <row r="79" spans="3:17" ht="18.75" x14ac:dyDescent="0.4">
      <c r="C79" s="2567"/>
      <c r="D79" s="391" t="s">
        <v>769</v>
      </c>
      <c r="E79" s="392" t="s">
        <v>751</v>
      </c>
      <c r="F79" s="392" t="s">
        <v>751</v>
      </c>
      <c r="G79" s="392" t="s">
        <v>751</v>
      </c>
      <c r="H79" s="340">
        <v>50.30181086519115</v>
      </c>
      <c r="I79" s="392" t="s">
        <v>751</v>
      </c>
      <c r="J79" s="340">
        <v>46.554934823091244</v>
      </c>
      <c r="K79" s="340">
        <v>47.080979284369114</v>
      </c>
      <c r="L79" s="392" t="s">
        <v>751</v>
      </c>
      <c r="M79" s="340">
        <v>47.551117451260104</v>
      </c>
      <c r="N79" s="392" t="s">
        <v>751</v>
      </c>
      <c r="O79" s="392" t="s">
        <v>751</v>
      </c>
      <c r="P79" s="340">
        <v>56.753688989784337</v>
      </c>
      <c r="Q79" s="392" t="s">
        <v>751</v>
      </c>
    </row>
    <row r="80" spans="3:17" ht="18.75" x14ac:dyDescent="0.4">
      <c r="C80" s="2567"/>
      <c r="D80" s="391" t="s">
        <v>770</v>
      </c>
      <c r="E80" s="340">
        <v>598.80239520958082</v>
      </c>
      <c r="F80" s="392" t="s">
        <v>751</v>
      </c>
      <c r="G80" s="392" t="s">
        <v>751</v>
      </c>
      <c r="H80" s="392" t="s">
        <v>751</v>
      </c>
      <c r="I80" s="392" t="s">
        <v>751</v>
      </c>
      <c r="J80" s="392" t="s">
        <v>751</v>
      </c>
      <c r="K80" s="392" t="s">
        <v>751</v>
      </c>
      <c r="L80" s="392" t="s">
        <v>751</v>
      </c>
      <c r="M80" s="392" t="s">
        <v>751</v>
      </c>
      <c r="N80" s="392" t="s">
        <v>751</v>
      </c>
      <c r="O80" s="392" t="s">
        <v>751</v>
      </c>
      <c r="P80" s="392" t="s">
        <v>751</v>
      </c>
      <c r="Q80" s="392" t="s">
        <v>751</v>
      </c>
    </row>
    <row r="81" spans="3:17" ht="18.75" x14ac:dyDescent="0.4">
      <c r="C81" s="2567" t="s">
        <v>329</v>
      </c>
      <c r="D81" s="391" t="s">
        <v>329</v>
      </c>
      <c r="E81" s="392" t="s">
        <v>751</v>
      </c>
      <c r="F81" s="340">
        <v>23.212627669452182</v>
      </c>
      <c r="G81" s="340">
        <v>23.52387673488591</v>
      </c>
      <c r="H81" s="340">
        <v>24.557956777996068</v>
      </c>
      <c r="I81" s="340">
        <v>47.326076668244198</v>
      </c>
      <c r="J81" s="392" t="s">
        <v>751</v>
      </c>
      <c r="K81" s="340">
        <v>22.773855613755408</v>
      </c>
      <c r="L81" s="392" t="s">
        <v>751</v>
      </c>
      <c r="M81" s="340">
        <v>22.532672374943669</v>
      </c>
      <c r="N81" s="392" t="s">
        <v>751</v>
      </c>
      <c r="O81" s="340">
        <v>25.906735751295336</v>
      </c>
      <c r="P81" s="340">
        <v>83.728718950600054</v>
      </c>
      <c r="Q81" s="340">
        <v>29.542097488921712</v>
      </c>
    </row>
    <row r="82" spans="3:17" ht="18.75" x14ac:dyDescent="0.4">
      <c r="C82" s="2567"/>
      <c r="D82" s="391" t="s">
        <v>771</v>
      </c>
      <c r="E82" s="392" t="s">
        <v>751</v>
      </c>
      <c r="F82" s="392" t="s">
        <v>751</v>
      </c>
      <c r="G82" s="340">
        <v>81.632653061224488</v>
      </c>
      <c r="H82" s="392" t="s">
        <v>751</v>
      </c>
      <c r="I82" s="392" t="s">
        <v>751</v>
      </c>
      <c r="J82" s="340">
        <v>75.471698113207538</v>
      </c>
      <c r="K82" s="392" t="s">
        <v>751</v>
      </c>
      <c r="L82" s="392" t="s">
        <v>751</v>
      </c>
      <c r="M82" s="392" t="s">
        <v>751</v>
      </c>
      <c r="N82" s="392" t="s">
        <v>751</v>
      </c>
      <c r="O82" s="392" t="s">
        <v>751</v>
      </c>
      <c r="P82" s="392" t="s">
        <v>751</v>
      </c>
      <c r="Q82" s="392" t="s">
        <v>751</v>
      </c>
    </row>
    <row r="83" spans="3:17" ht="18.75" x14ac:dyDescent="0.4">
      <c r="C83" s="2567"/>
      <c r="D83" s="391" t="s">
        <v>772</v>
      </c>
      <c r="E83" s="392" t="s">
        <v>751</v>
      </c>
      <c r="F83" s="392" t="s">
        <v>751</v>
      </c>
      <c r="G83" s="392" t="s">
        <v>751</v>
      </c>
      <c r="H83" s="392" t="s">
        <v>751</v>
      </c>
      <c r="I83" s="340">
        <v>82.372322899505761</v>
      </c>
      <c r="J83" s="392" t="s">
        <v>751</v>
      </c>
      <c r="K83" s="392" t="s">
        <v>751</v>
      </c>
      <c r="L83" s="392" t="s">
        <v>751</v>
      </c>
      <c r="M83" s="392" t="s">
        <v>751</v>
      </c>
      <c r="N83" s="392" t="s">
        <v>751</v>
      </c>
      <c r="O83" s="392" t="s">
        <v>751</v>
      </c>
      <c r="P83" s="392" t="s">
        <v>751</v>
      </c>
      <c r="Q83" s="392" t="s">
        <v>751</v>
      </c>
    </row>
    <row r="84" spans="3:17" ht="18.75" x14ac:dyDescent="0.4">
      <c r="C84" s="2567"/>
      <c r="D84" s="391" t="s">
        <v>773</v>
      </c>
      <c r="E84" s="392" t="s">
        <v>751</v>
      </c>
      <c r="F84" s="392" t="s">
        <v>751</v>
      </c>
      <c r="G84" s="392" t="s">
        <v>751</v>
      </c>
      <c r="H84" s="392" t="s">
        <v>751</v>
      </c>
      <c r="I84" s="392" t="s">
        <v>751</v>
      </c>
      <c r="J84" s="392" t="s">
        <v>751</v>
      </c>
      <c r="K84" s="392" t="s">
        <v>751</v>
      </c>
      <c r="L84" s="392" t="s">
        <v>751</v>
      </c>
      <c r="M84" s="392" t="s">
        <v>751</v>
      </c>
      <c r="N84" s="392" t="s">
        <v>751</v>
      </c>
      <c r="O84" s="392" t="s">
        <v>751</v>
      </c>
      <c r="P84" s="392" t="s">
        <v>751</v>
      </c>
      <c r="Q84" s="392" t="s">
        <v>751</v>
      </c>
    </row>
    <row r="85" spans="3:17" ht="18.75" x14ac:dyDescent="0.4">
      <c r="C85" s="2567"/>
      <c r="D85" s="391" t="s">
        <v>774</v>
      </c>
      <c r="E85" s="392" t="s">
        <v>751</v>
      </c>
      <c r="F85" s="340">
        <v>316.45569620253161</v>
      </c>
      <c r="G85" s="340">
        <v>319.4888178913738</v>
      </c>
      <c r="H85" s="392" t="s">
        <v>751</v>
      </c>
      <c r="I85" s="392" t="s">
        <v>751</v>
      </c>
      <c r="J85" s="392" t="s">
        <v>751</v>
      </c>
      <c r="K85" s="392" t="s">
        <v>751</v>
      </c>
      <c r="L85" s="392" t="s">
        <v>751</v>
      </c>
      <c r="M85" s="392" t="s">
        <v>751</v>
      </c>
      <c r="N85" s="392" t="s">
        <v>751</v>
      </c>
      <c r="O85" s="392" t="s">
        <v>751</v>
      </c>
      <c r="P85" s="392" t="s">
        <v>751</v>
      </c>
      <c r="Q85" s="392" t="s">
        <v>751</v>
      </c>
    </row>
    <row r="86" spans="3:17" ht="18.75" x14ac:dyDescent="0.4">
      <c r="C86" s="2567"/>
      <c r="D86" s="391" t="s">
        <v>775</v>
      </c>
      <c r="E86" s="392" t="s">
        <v>751</v>
      </c>
      <c r="F86" s="340">
        <v>322.06119162640903</v>
      </c>
      <c r="G86" s="340">
        <v>160.25641025641025</v>
      </c>
      <c r="H86" s="392" t="s">
        <v>751</v>
      </c>
      <c r="I86" s="392" t="s">
        <v>751</v>
      </c>
      <c r="J86" s="392" t="s">
        <v>751</v>
      </c>
      <c r="K86" s="340">
        <v>170.06802721088434</v>
      </c>
      <c r="L86" s="392" t="s">
        <v>751</v>
      </c>
      <c r="M86" s="392" t="s">
        <v>751</v>
      </c>
      <c r="N86" s="392" t="s">
        <v>751</v>
      </c>
      <c r="O86" s="340">
        <v>199.20318725099602</v>
      </c>
      <c r="P86" s="392" t="s">
        <v>751</v>
      </c>
      <c r="Q86" s="392" t="s">
        <v>751</v>
      </c>
    </row>
    <row r="87" spans="3:17" ht="18.75" x14ac:dyDescent="0.4">
      <c r="C87" s="2567"/>
      <c r="D87" s="391" t="s">
        <v>776</v>
      </c>
      <c r="E87" s="392" t="s">
        <v>751</v>
      </c>
      <c r="F87" s="392" t="s">
        <v>751</v>
      </c>
      <c r="G87" s="392" t="s">
        <v>751</v>
      </c>
      <c r="H87" s="392" t="s">
        <v>751</v>
      </c>
      <c r="I87" s="392" t="s">
        <v>751</v>
      </c>
      <c r="J87" s="392" t="s">
        <v>751</v>
      </c>
      <c r="K87" s="392" t="s">
        <v>751</v>
      </c>
      <c r="L87" s="392" t="s">
        <v>751</v>
      </c>
      <c r="M87" s="392" t="s">
        <v>751</v>
      </c>
      <c r="N87" s="392" t="s">
        <v>751</v>
      </c>
      <c r="O87" s="392" t="s">
        <v>751</v>
      </c>
      <c r="P87" s="392" t="s">
        <v>751</v>
      </c>
      <c r="Q87" s="392">
        <v>287.35632183908046</v>
      </c>
    </row>
    <row r="88" spans="3:17" ht="18.75" x14ac:dyDescent="0.4">
      <c r="C88" s="2567"/>
      <c r="D88" s="391" t="s">
        <v>777</v>
      </c>
      <c r="E88" s="392" t="s">
        <v>751</v>
      </c>
      <c r="F88" s="340">
        <v>215.98272138228944</v>
      </c>
      <c r="G88" s="392" t="s">
        <v>751</v>
      </c>
      <c r="H88" s="392" t="s">
        <v>751</v>
      </c>
      <c r="I88" s="392" t="s">
        <v>751</v>
      </c>
      <c r="J88" s="392" t="s">
        <v>751</v>
      </c>
      <c r="K88" s="392" t="s">
        <v>751</v>
      </c>
      <c r="L88" s="392" t="s">
        <v>751</v>
      </c>
      <c r="M88" s="392" t="s">
        <v>751</v>
      </c>
      <c r="N88" s="392" t="s">
        <v>751</v>
      </c>
      <c r="O88" s="392" t="s">
        <v>751</v>
      </c>
      <c r="P88" s="392" t="s">
        <v>751</v>
      </c>
      <c r="Q88" s="392" t="s">
        <v>751</v>
      </c>
    </row>
    <row r="89" spans="3:17" ht="18.75" x14ac:dyDescent="0.4">
      <c r="C89" s="2567"/>
      <c r="D89" s="391" t="s">
        <v>778</v>
      </c>
      <c r="E89" s="392" t="s">
        <v>751</v>
      </c>
      <c r="F89" s="340">
        <v>274.72527472527474</v>
      </c>
      <c r="G89" s="392" t="s">
        <v>751</v>
      </c>
      <c r="H89" s="392" t="s">
        <v>751</v>
      </c>
      <c r="I89" s="392" t="s">
        <v>751</v>
      </c>
      <c r="J89" s="392" t="s">
        <v>751</v>
      </c>
      <c r="K89" s="392" t="s">
        <v>751</v>
      </c>
      <c r="L89" s="392" t="s">
        <v>751</v>
      </c>
      <c r="M89" s="340">
        <v>308.64197530864197</v>
      </c>
      <c r="N89" s="392" t="s">
        <v>751</v>
      </c>
      <c r="O89" s="392" t="s">
        <v>751</v>
      </c>
      <c r="P89" s="392" t="s">
        <v>751</v>
      </c>
      <c r="Q89" s="392" t="s">
        <v>751</v>
      </c>
    </row>
    <row r="90" spans="3:17" ht="18.75" x14ac:dyDescent="0.4">
      <c r="C90" s="2567"/>
      <c r="D90" s="391" t="s">
        <v>779</v>
      </c>
      <c r="E90" s="340">
        <v>29.455081001472752</v>
      </c>
      <c r="F90" s="340">
        <v>29.129041654529562</v>
      </c>
      <c r="G90" s="392" t="s">
        <v>751</v>
      </c>
      <c r="H90" s="392" t="s">
        <v>751</v>
      </c>
      <c r="I90" s="392" t="s">
        <v>751</v>
      </c>
      <c r="J90" s="392" t="s">
        <v>751</v>
      </c>
      <c r="K90" s="340">
        <v>30.202355783751134</v>
      </c>
      <c r="L90" s="340">
        <v>57.306590257879655</v>
      </c>
      <c r="M90" s="340">
        <v>56.72149744753262</v>
      </c>
      <c r="N90" s="340">
        <v>31.655587211142766</v>
      </c>
      <c r="O90" s="340">
        <v>107.37294201861131</v>
      </c>
      <c r="P90" s="392" t="s">
        <v>751</v>
      </c>
      <c r="Q90" s="392" t="s">
        <v>751</v>
      </c>
    </row>
    <row r="91" spans="3:17" ht="18.75" x14ac:dyDescent="0.4">
      <c r="C91" s="2567"/>
      <c r="D91" s="391" t="s">
        <v>780</v>
      </c>
      <c r="E91" s="392" t="s">
        <v>751</v>
      </c>
      <c r="F91" s="392" t="s">
        <v>751</v>
      </c>
      <c r="G91" s="392" t="s">
        <v>751</v>
      </c>
      <c r="H91" s="392" t="s">
        <v>751</v>
      </c>
      <c r="I91" s="392" t="s">
        <v>751</v>
      </c>
      <c r="J91" s="392" t="s">
        <v>751</v>
      </c>
      <c r="K91" s="392" t="s">
        <v>751</v>
      </c>
      <c r="L91" s="392" t="s">
        <v>751</v>
      </c>
      <c r="M91" s="392" t="s">
        <v>751</v>
      </c>
      <c r="N91" s="392" t="s">
        <v>751</v>
      </c>
      <c r="O91" s="392" t="s">
        <v>751</v>
      </c>
      <c r="P91" s="392" t="s">
        <v>751</v>
      </c>
      <c r="Q91" s="392" t="s">
        <v>751</v>
      </c>
    </row>
    <row r="92" spans="3:17" ht="18.75" x14ac:dyDescent="0.4">
      <c r="C92" s="2567"/>
      <c r="D92" s="391" t="s">
        <v>781</v>
      </c>
      <c r="E92" s="392" t="s">
        <v>751</v>
      </c>
      <c r="F92" s="392" t="s">
        <v>751</v>
      </c>
      <c r="G92" s="392" t="s">
        <v>751</v>
      </c>
      <c r="H92" s="392" t="s">
        <v>751</v>
      </c>
      <c r="I92" s="392" t="s">
        <v>751</v>
      </c>
      <c r="J92" s="392" t="s">
        <v>751</v>
      </c>
      <c r="K92" s="392" t="s">
        <v>751</v>
      </c>
      <c r="L92" s="392" t="s">
        <v>751</v>
      </c>
      <c r="M92" s="392" t="s">
        <v>751</v>
      </c>
      <c r="N92" s="392" t="s">
        <v>751</v>
      </c>
      <c r="O92" s="392" t="s">
        <v>751</v>
      </c>
      <c r="P92" s="392" t="s">
        <v>751</v>
      </c>
      <c r="Q92" s="392" t="s">
        <v>751</v>
      </c>
    </row>
    <row r="93" spans="3:17" ht="18.75" x14ac:dyDescent="0.4">
      <c r="C93" s="2567"/>
      <c r="D93" s="391" t="s">
        <v>782</v>
      </c>
      <c r="E93" s="392" t="s">
        <v>751</v>
      </c>
      <c r="F93" s="392" t="s">
        <v>751</v>
      </c>
      <c r="G93" s="392" t="s">
        <v>751</v>
      </c>
      <c r="H93" s="392" t="s">
        <v>751</v>
      </c>
      <c r="I93" s="340">
        <v>99.304865938430979</v>
      </c>
      <c r="J93" s="340">
        <v>102.88065843621401</v>
      </c>
      <c r="K93" s="392" t="s">
        <v>751</v>
      </c>
      <c r="L93" s="392" t="s">
        <v>751</v>
      </c>
      <c r="M93" s="392" t="s">
        <v>751</v>
      </c>
      <c r="N93" s="392" t="s">
        <v>751</v>
      </c>
      <c r="O93" s="340">
        <v>114.15525114155251</v>
      </c>
      <c r="P93" s="392" t="s">
        <v>751</v>
      </c>
      <c r="Q93" s="392" t="s">
        <v>751</v>
      </c>
    </row>
    <row r="94" spans="3:17" ht="18.75" x14ac:dyDescent="0.4">
      <c r="C94" s="2567"/>
      <c r="D94" s="391" t="s">
        <v>783</v>
      </c>
      <c r="E94" s="392" t="s">
        <v>751</v>
      </c>
      <c r="F94" s="392" t="s">
        <v>751</v>
      </c>
      <c r="G94" s="340">
        <v>142.85714285714286</v>
      </c>
      <c r="H94" s="392" t="s">
        <v>751</v>
      </c>
      <c r="I94" s="392" t="s">
        <v>751</v>
      </c>
      <c r="J94" s="392" t="s">
        <v>751</v>
      </c>
      <c r="K94" s="392" t="s">
        <v>751</v>
      </c>
      <c r="L94" s="340">
        <v>161.29032258064515</v>
      </c>
      <c r="M94" s="392" t="s">
        <v>751</v>
      </c>
      <c r="N94" s="340">
        <v>144.3001443001443</v>
      </c>
      <c r="O94" s="340">
        <v>174.82517482517483</v>
      </c>
      <c r="P94" s="340">
        <v>340.7155025553663</v>
      </c>
      <c r="Q94" s="392" t="s">
        <v>751</v>
      </c>
    </row>
    <row r="95" spans="3:17" ht="18.75" x14ac:dyDescent="0.4">
      <c r="C95" s="2567"/>
      <c r="D95" s="391" t="s">
        <v>784</v>
      </c>
      <c r="E95" s="392" t="s">
        <v>751</v>
      </c>
      <c r="F95" s="392" t="s">
        <v>751</v>
      </c>
      <c r="G95" s="392" t="s">
        <v>751</v>
      </c>
      <c r="H95" s="392" t="s">
        <v>751</v>
      </c>
      <c r="I95" s="392" t="s">
        <v>751</v>
      </c>
      <c r="J95" s="392" t="s">
        <v>751</v>
      </c>
      <c r="K95" s="392" t="s">
        <v>751</v>
      </c>
      <c r="L95" s="340">
        <v>354.6099290780142</v>
      </c>
      <c r="M95" s="392" t="s">
        <v>751</v>
      </c>
      <c r="N95" s="340">
        <v>406.50406504065046</v>
      </c>
      <c r="O95" s="340">
        <v>384.61538461538464</v>
      </c>
      <c r="P95" s="392" t="s">
        <v>751</v>
      </c>
      <c r="Q95" s="392" t="s">
        <v>751</v>
      </c>
    </row>
    <row r="96" spans="3:17" ht="18.75" x14ac:dyDescent="0.4">
      <c r="C96" s="2567"/>
      <c r="D96" s="393" t="s">
        <v>785</v>
      </c>
      <c r="E96" s="394" t="s">
        <v>786</v>
      </c>
      <c r="F96" s="394" t="s">
        <v>786</v>
      </c>
      <c r="G96" s="394" t="s">
        <v>786</v>
      </c>
      <c r="H96" s="394" t="s">
        <v>786</v>
      </c>
      <c r="I96" s="394" t="s">
        <v>786</v>
      </c>
      <c r="J96" s="394" t="s">
        <v>786</v>
      </c>
      <c r="K96" s="394" t="s">
        <v>786</v>
      </c>
      <c r="L96" s="394" t="s">
        <v>786</v>
      </c>
      <c r="M96" s="394" t="s">
        <v>786</v>
      </c>
      <c r="N96" s="392" t="s">
        <v>751</v>
      </c>
      <c r="O96" s="392" t="s">
        <v>751</v>
      </c>
      <c r="P96" s="392" t="s">
        <v>751</v>
      </c>
      <c r="Q96" s="392">
        <v>440.52863436123351</v>
      </c>
    </row>
    <row r="97" spans="3:17" ht="18.75" x14ac:dyDescent="0.4">
      <c r="C97" s="2567" t="s">
        <v>330</v>
      </c>
      <c r="D97" s="391" t="s">
        <v>330</v>
      </c>
      <c r="E97" s="392" t="s">
        <v>751</v>
      </c>
      <c r="F97" s="392" t="s">
        <v>751</v>
      </c>
      <c r="G97" s="392" t="s">
        <v>751</v>
      </c>
      <c r="H97" s="392" t="s">
        <v>751</v>
      </c>
      <c r="I97" s="340">
        <v>99.601593625498012</v>
      </c>
      <c r="J97" s="392" t="s">
        <v>751</v>
      </c>
      <c r="K97" s="340">
        <v>49.333991119881603</v>
      </c>
      <c r="L97" s="392" t="s">
        <v>751</v>
      </c>
      <c r="M97" s="392" t="s">
        <v>751</v>
      </c>
      <c r="N97" s="392" t="s">
        <v>751</v>
      </c>
      <c r="O97" s="340">
        <v>58.719906048150321</v>
      </c>
      <c r="P97" s="392" t="s">
        <v>751</v>
      </c>
      <c r="Q97" s="392" t="s">
        <v>751</v>
      </c>
    </row>
    <row r="98" spans="3:17" ht="18.75" x14ac:dyDescent="0.4">
      <c r="C98" s="2567"/>
      <c r="D98" s="391" t="s">
        <v>787</v>
      </c>
      <c r="E98" s="392" t="s">
        <v>751</v>
      </c>
      <c r="F98" s="392" t="s">
        <v>751</v>
      </c>
      <c r="G98" s="340">
        <v>105.3740779768177</v>
      </c>
      <c r="H98" s="392" t="s">
        <v>751</v>
      </c>
      <c r="I98" s="392" t="s">
        <v>751</v>
      </c>
      <c r="J98" s="392" t="s">
        <v>751</v>
      </c>
      <c r="K98" s="340">
        <v>114.41647597254004</v>
      </c>
      <c r="L98" s="392" t="s">
        <v>751</v>
      </c>
      <c r="M98" s="392" t="s">
        <v>751</v>
      </c>
      <c r="N98" s="392" t="s">
        <v>751</v>
      </c>
      <c r="O98" s="392" t="s">
        <v>751</v>
      </c>
      <c r="P98" s="392" t="s">
        <v>751</v>
      </c>
      <c r="Q98" s="392" t="s">
        <v>751</v>
      </c>
    </row>
    <row r="99" spans="3:17" ht="18.75" x14ac:dyDescent="0.4">
      <c r="C99" s="2567"/>
      <c r="D99" s="391" t="s">
        <v>788</v>
      </c>
      <c r="E99" s="392" t="s">
        <v>751</v>
      </c>
      <c r="F99" s="392" t="s">
        <v>751</v>
      </c>
      <c r="G99" s="340">
        <v>151.05740181268882</v>
      </c>
      <c r="H99" s="340">
        <v>76.804915514592935</v>
      </c>
      <c r="I99" s="392" t="s">
        <v>751</v>
      </c>
      <c r="J99" s="392" t="s">
        <v>751</v>
      </c>
      <c r="K99" s="340">
        <v>154.67904098994586</v>
      </c>
      <c r="L99" s="392" t="s">
        <v>751</v>
      </c>
      <c r="M99" s="392" t="s">
        <v>751</v>
      </c>
      <c r="N99" s="392" t="s">
        <v>751</v>
      </c>
      <c r="O99" s="340">
        <v>89.206066012488847</v>
      </c>
      <c r="P99" s="340">
        <v>99.900099900099903</v>
      </c>
      <c r="Q99" s="392" t="s">
        <v>751</v>
      </c>
    </row>
    <row r="100" spans="3:17" ht="18.75" x14ac:dyDescent="0.4">
      <c r="C100" s="2567"/>
      <c r="D100" s="391" t="s">
        <v>789</v>
      </c>
      <c r="E100" s="392" t="s">
        <v>751</v>
      </c>
      <c r="F100" s="392" t="s">
        <v>751</v>
      </c>
      <c r="G100" s="392" t="s">
        <v>751</v>
      </c>
      <c r="H100" s="392" t="s">
        <v>751</v>
      </c>
      <c r="I100" s="392" t="s">
        <v>751</v>
      </c>
      <c r="J100" s="392" t="s">
        <v>751</v>
      </c>
      <c r="K100" s="392" t="s">
        <v>751</v>
      </c>
      <c r="L100" s="392" t="s">
        <v>751</v>
      </c>
      <c r="M100" s="392" t="s">
        <v>751</v>
      </c>
      <c r="N100" s="392" t="s">
        <v>751</v>
      </c>
      <c r="O100" s="392" t="s">
        <v>751</v>
      </c>
      <c r="P100" s="392" t="s">
        <v>751</v>
      </c>
      <c r="Q100" s="392" t="s">
        <v>751</v>
      </c>
    </row>
    <row r="101" spans="3:17" ht="18.75" x14ac:dyDescent="0.4">
      <c r="C101" s="2567"/>
      <c r="D101" s="391" t="s">
        <v>790</v>
      </c>
      <c r="E101" s="392" t="s">
        <v>751</v>
      </c>
      <c r="F101" s="392" t="s">
        <v>751</v>
      </c>
      <c r="G101" s="392" t="s">
        <v>751</v>
      </c>
      <c r="H101" s="340">
        <v>83.963056255247693</v>
      </c>
      <c r="I101" s="392" t="s">
        <v>751</v>
      </c>
      <c r="J101" s="340">
        <v>163.39869281045753</v>
      </c>
      <c r="K101" s="392" t="s">
        <v>751</v>
      </c>
      <c r="L101" s="392" t="s">
        <v>751</v>
      </c>
      <c r="M101" s="392" t="s">
        <v>751</v>
      </c>
      <c r="N101" s="392" t="s">
        <v>751</v>
      </c>
      <c r="O101" s="392" t="s">
        <v>751</v>
      </c>
      <c r="P101" s="340">
        <v>106.15711252653928</v>
      </c>
      <c r="Q101" s="392" t="s">
        <v>751</v>
      </c>
    </row>
    <row r="102" spans="3:17" ht="18.75" x14ac:dyDescent="0.4">
      <c r="C102" s="2567"/>
      <c r="D102" s="391" t="s">
        <v>791</v>
      </c>
      <c r="E102" s="392" t="s">
        <v>751</v>
      </c>
      <c r="F102" s="392" t="s">
        <v>751</v>
      </c>
      <c r="G102" s="392" t="s">
        <v>751</v>
      </c>
      <c r="H102" s="392" t="s">
        <v>751</v>
      </c>
      <c r="I102" s="340">
        <v>490.19607843137254</v>
      </c>
      <c r="J102" s="392" t="s">
        <v>751</v>
      </c>
      <c r="K102" s="392" t="s">
        <v>751</v>
      </c>
      <c r="L102" s="392" t="s">
        <v>751</v>
      </c>
      <c r="M102" s="392" t="s">
        <v>751</v>
      </c>
      <c r="N102" s="392" t="s">
        <v>751</v>
      </c>
      <c r="O102" s="392" t="s">
        <v>751</v>
      </c>
      <c r="P102" s="392" t="s">
        <v>751</v>
      </c>
      <c r="Q102" s="392" t="s">
        <v>751</v>
      </c>
    </row>
    <row r="103" spans="3:17" ht="18.75" x14ac:dyDescent="0.4">
      <c r="C103" s="2567"/>
      <c r="D103" s="391" t="s">
        <v>792</v>
      </c>
      <c r="E103" s="340">
        <v>144.71780028943559</v>
      </c>
      <c r="F103" s="392" t="s">
        <v>751</v>
      </c>
      <c r="G103" s="392" t="s">
        <v>751</v>
      </c>
      <c r="H103" s="392" t="s">
        <v>751</v>
      </c>
      <c r="I103" s="392" t="s">
        <v>751</v>
      </c>
      <c r="J103" s="392" t="s">
        <v>751</v>
      </c>
      <c r="K103" s="392" t="s">
        <v>751</v>
      </c>
      <c r="L103" s="392" t="s">
        <v>751</v>
      </c>
      <c r="M103" s="392" t="s">
        <v>751</v>
      </c>
      <c r="N103" s="392" t="s">
        <v>751</v>
      </c>
      <c r="O103" s="340">
        <v>178.89087656529517</v>
      </c>
      <c r="P103" s="392" t="s">
        <v>751</v>
      </c>
      <c r="Q103" s="392" t="s">
        <v>751</v>
      </c>
    </row>
    <row r="104" spans="3:17" ht="18.75" x14ac:dyDescent="0.4">
      <c r="C104" s="2567"/>
      <c r="D104" s="391" t="s">
        <v>793</v>
      </c>
      <c r="E104" s="392" t="s">
        <v>751</v>
      </c>
      <c r="F104" s="392" t="s">
        <v>751</v>
      </c>
      <c r="G104" s="392" t="s">
        <v>751</v>
      </c>
      <c r="H104" s="392" t="s">
        <v>751</v>
      </c>
      <c r="I104" s="392" t="s">
        <v>751</v>
      </c>
      <c r="J104" s="392" t="s">
        <v>751</v>
      </c>
      <c r="K104" s="340">
        <v>147.49262536873155</v>
      </c>
      <c r="L104" s="392" t="s">
        <v>751</v>
      </c>
      <c r="M104" s="392" t="s">
        <v>751</v>
      </c>
      <c r="N104" s="392" t="s">
        <v>751</v>
      </c>
      <c r="O104" s="340">
        <v>171.23287671232876</v>
      </c>
      <c r="P104" s="392" t="s">
        <v>751</v>
      </c>
      <c r="Q104" s="392" t="s">
        <v>751</v>
      </c>
    </row>
    <row r="105" spans="3:17" ht="18.75" x14ac:dyDescent="0.4">
      <c r="C105" s="2570" t="s">
        <v>331</v>
      </c>
      <c r="D105" s="391" t="s">
        <v>331</v>
      </c>
      <c r="E105" s="392" t="s">
        <v>751</v>
      </c>
      <c r="F105" s="392" t="s">
        <v>751</v>
      </c>
      <c r="G105" s="340">
        <v>104.22094841063053</v>
      </c>
      <c r="H105" s="392" t="s">
        <v>751</v>
      </c>
      <c r="I105" s="340">
        <v>55.309734513274336</v>
      </c>
      <c r="J105" s="392" t="s">
        <v>751</v>
      </c>
      <c r="K105" s="340">
        <v>56.882821387940837</v>
      </c>
      <c r="L105" s="392" t="s">
        <v>751</v>
      </c>
      <c r="M105" s="392" t="s">
        <v>751</v>
      </c>
      <c r="N105" s="340">
        <v>60.096153846153847</v>
      </c>
      <c r="O105" s="392" t="s">
        <v>751</v>
      </c>
      <c r="P105" s="392" t="s">
        <v>751</v>
      </c>
      <c r="Q105" s="392" t="s">
        <v>751</v>
      </c>
    </row>
    <row r="106" spans="3:17" ht="18.75" x14ac:dyDescent="0.4">
      <c r="C106" s="2570"/>
      <c r="D106" s="391" t="s">
        <v>794</v>
      </c>
      <c r="E106" s="392" t="s">
        <v>751</v>
      </c>
      <c r="F106" s="392" t="s">
        <v>751</v>
      </c>
      <c r="G106" s="392" t="s">
        <v>751</v>
      </c>
      <c r="H106" s="392" t="s">
        <v>751</v>
      </c>
      <c r="I106" s="392" t="s">
        <v>751</v>
      </c>
      <c r="J106" s="392" t="s">
        <v>751</v>
      </c>
      <c r="K106" s="392" t="s">
        <v>751</v>
      </c>
      <c r="L106" s="392" t="s">
        <v>751</v>
      </c>
      <c r="M106" s="392" t="s">
        <v>751</v>
      </c>
      <c r="N106" s="392" t="s">
        <v>751</v>
      </c>
      <c r="O106" s="392" t="s">
        <v>751</v>
      </c>
      <c r="P106" s="392" t="s">
        <v>751</v>
      </c>
      <c r="Q106" s="392" t="s">
        <v>751</v>
      </c>
    </row>
    <row r="107" spans="3:17" ht="18.75" x14ac:dyDescent="0.4">
      <c r="C107" s="2570"/>
      <c r="D107" s="391" t="s">
        <v>795</v>
      </c>
      <c r="E107" s="392" t="s">
        <v>751</v>
      </c>
      <c r="F107" s="392" t="s">
        <v>751</v>
      </c>
      <c r="G107" s="392" t="s">
        <v>751</v>
      </c>
      <c r="H107" s="392" t="s">
        <v>751</v>
      </c>
      <c r="I107" s="392" t="s">
        <v>751</v>
      </c>
      <c r="J107" s="392" t="s">
        <v>751</v>
      </c>
      <c r="K107" s="392" t="s">
        <v>751</v>
      </c>
      <c r="L107" s="392" t="s">
        <v>751</v>
      </c>
      <c r="M107" s="340">
        <v>211.86440677966101</v>
      </c>
      <c r="N107" s="392" t="s">
        <v>751</v>
      </c>
      <c r="O107" s="392" t="s">
        <v>751</v>
      </c>
      <c r="P107" s="392" t="s">
        <v>751</v>
      </c>
      <c r="Q107" s="392" t="s">
        <v>751</v>
      </c>
    </row>
    <row r="108" spans="3:17" ht="18.75" x14ac:dyDescent="0.4">
      <c r="C108" s="2570"/>
      <c r="D108" s="391" t="s">
        <v>796</v>
      </c>
      <c r="E108" s="392" t="s">
        <v>751</v>
      </c>
      <c r="F108" s="392" t="s">
        <v>751</v>
      </c>
      <c r="G108" s="392" t="s">
        <v>751</v>
      </c>
      <c r="H108" s="392" t="s">
        <v>751</v>
      </c>
      <c r="I108" s="392" t="s">
        <v>751</v>
      </c>
      <c r="J108" s="392" t="s">
        <v>751</v>
      </c>
      <c r="K108" s="392" t="s">
        <v>751</v>
      </c>
      <c r="L108" s="392" t="s">
        <v>751</v>
      </c>
      <c r="M108" s="392" t="s">
        <v>751</v>
      </c>
      <c r="N108" s="392" t="s">
        <v>751</v>
      </c>
      <c r="O108" s="340">
        <v>247.52475247524754</v>
      </c>
      <c r="P108" s="392" t="s">
        <v>751</v>
      </c>
      <c r="Q108" s="392" t="s">
        <v>751</v>
      </c>
    </row>
    <row r="109" spans="3:17" ht="18.75" x14ac:dyDescent="0.4">
      <c r="C109" s="2570"/>
      <c r="D109" s="391" t="s">
        <v>797</v>
      </c>
      <c r="E109" s="392" t="s">
        <v>751</v>
      </c>
      <c r="F109" s="392" t="s">
        <v>751</v>
      </c>
      <c r="G109" s="392" t="s">
        <v>751</v>
      </c>
      <c r="H109" s="392" t="s">
        <v>751</v>
      </c>
      <c r="I109" s="392" t="s">
        <v>751</v>
      </c>
      <c r="J109" s="392" t="s">
        <v>751</v>
      </c>
      <c r="K109" s="392" t="s">
        <v>751</v>
      </c>
      <c r="L109" s="392" t="s">
        <v>751</v>
      </c>
      <c r="M109" s="340">
        <v>157.23270440251574</v>
      </c>
      <c r="N109" s="392" t="s">
        <v>751</v>
      </c>
      <c r="O109" s="392" t="s">
        <v>751</v>
      </c>
      <c r="P109" s="340">
        <v>216.45021645021646</v>
      </c>
      <c r="Q109" s="392" t="s">
        <v>751</v>
      </c>
    </row>
    <row r="110" spans="3:17" ht="18.75" x14ac:dyDescent="0.4">
      <c r="C110" s="2570"/>
      <c r="D110" s="391" t="s">
        <v>798</v>
      </c>
      <c r="E110" s="392" t="s">
        <v>751</v>
      </c>
      <c r="F110" s="392" t="s">
        <v>751</v>
      </c>
      <c r="G110" s="392" t="s">
        <v>751</v>
      </c>
      <c r="H110" s="392" t="s">
        <v>751</v>
      </c>
      <c r="I110" s="392" t="s">
        <v>751</v>
      </c>
      <c r="J110" s="392" t="s">
        <v>751</v>
      </c>
      <c r="K110" s="392" t="s">
        <v>751</v>
      </c>
      <c r="L110" s="392" t="s">
        <v>751</v>
      </c>
      <c r="M110" s="392" t="s">
        <v>751</v>
      </c>
      <c r="N110" s="392" t="s">
        <v>751</v>
      </c>
      <c r="O110" s="392" t="s">
        <v>751</v>
      </c>
      <c r="P110" s="392" t="s">
        <v>751</v>
      </c>
      <c r="Q110" s="392" t="s">
        <v>751</v>
      </c>
    </row>
    <row r="111" spans="3:17" ht="18.75" x14ac:dyDescent="0.4">
      <c r="C111" s="2570"/>
      <c r="D111" s="391" t="s">
        <v>799</v>
      </c>
      <c r="E111" s="392" t="s">
        <v>751</v>
      </c>
      <c r="F111" s="392" t="s">
        <v>751</v>
      </c>
      <c r="G111" s="392" t="s">
        <v>751</v>
      </c>
      <c r="H111" s="392" t="s">
        <v>751</v>
      </c>
      <c r="I111" s="392" t="s">
        <v>751</v>
      </c>
      <c r="J111" s="392" t="s">
        <v>751</v>
      </c>
      <c r="K111" s="340">
        <v>623.05295950155767</v>
      </c>
      <c r="L111" s="392" t="s">
        <v>751</v>
      </c>
      <c r="M111" s="392" t="s">
        <v>751</v>
      </c>
      <c r="N111" s="392" t="s">
        <v>751</v>
      </c>
      <c r="O111" s="392" t="s">
        <v>751</v>
      </c>
      <c r="P111" s="340">
        <v>444.44444444444446</v>
      </c>
      <c r="Q111" s="392" t="s">
        <v>751</v>
      </c>
    </row>
    <row r="112" spans="3:17" ht="18.75" x14ac:dyDescent="0.4">
      <c r="C112" s="2570"/>
      <c r="D112" s="391" t="s">
        <v>800</v>
      </c>
      <c r="E112" s="392" t="s">
        <v>751</v>
      </c>
      <c r="F112" s="392" t="s">
        <v>751</v>
      </c>
      <c r="G112" s="392" t="s">
        <v>751</v>
      </c>
      <c r="H112" s="392" t="s">
        <v>751</v>
      </c>
      <c r="I112" s="340">
        <v>292.39766081871346</v>
      </c>
      <c r="J112" s="392" t="s">
        <v>751</v>
      </c>
      <c r="K112" s="392" t="s">
        <v>751</v>
      </c>
      <c r="L112" s="392" t="s">
        <v>751</v>
      </c>
      <c r="M112" s="392" t="s">
        <v>751</v>
      </c>
      <c r="N112" s="392" t="s">
        <v>751</v>
      </c>
      <c r="O112" s="392" t="s">
        <v>751</v>
      </c>
      <c r="P112" s="392" t="s">
        <v>751</v>
      </c>
      <c r="Q112" s="392" t="s">
        <v>751</v>
      </c>
    </row>
    <row r="113" spans="3:17" ht="18.75" x14ac:dyDescent="0.4">
      <c r="C113" s="2570"/>
      <c r="D113" s="391" t="s">
        <v>801</v>
      </c>
      <c r="E113" s="392" t="s">
        <v>751</v>
      </c>
      <c r="F113" s="340">
        <v>253.80710659898475</v>
      </c>
      <c r="G113" s="340">
        <v>286.53295128939828</v>
      </c>
      <c r="H113" s="392" t="s">
        <v>751</v>
      </c>
      <c r="I113" s="392" t="s">
        <v>751</v>
      </c>
      <c r="J113" s="392" t="s">
        <v>751</v>
      </c>
      <c r="K113" s="392" t="s">
        <v>751</v>
      </c>
      <c r="L113" s="392" t="s">
        <v>751</v>
      </c>
      <c r="M113" s="392" t="s">
        <v>751</v>
      </c>
      <c r="N113" s="392" t="s">
        <v>751</v>
      </c>
      <c r="O113" s="392" t="s">
        <v>751</v>
      </c>
      <c r="P113" s="392" t="s">
        <v>751</v>
      </c>
      <c r="Q113" s="392" t="s">
        <v>751</v>
      </c>
    </row>
    <row r="114" spans="3:17" ht="18.75" x14ac:dyDescent="0.4">
      <c r="C114" s="2570"/>
      <c r="D114" s="391" t="s">
        <v>802</v>
      </c>
      <c r="E114" s="392" t="s">
        <v>751</v>
      </c>
      <c r="F114" s="392" t="s">
        <v>751</v>
      </c>
      <c r="G114" s="392" t="s">
        <v>751</v>
      </c>
      <c r="H114" s="392" t="s">
        <v>751</v>
      </c>
      <c r="I114" s="392" t="s">
        <v>751</v>
      </c>
      <c r="J114" s="392" t="s">
        <v>751</v>
      </c>
      <c r="K114" s="392" t="s">
        <v>751</v>
      </c>
      <c r="L114" s="340">
        <v>179.85611510791367</v>
      </c>
      <c r="M114" s="392" t="s">
        <v>751</v>
      </c>
      <c r="N114" s="392" t="s">
        <v>751</v>
      </c>
      <c r="O114" s="392" t="s">
        <v>751</v>
      </c>
      <c r="P114" s="392" t="s">
        <v>751</v>
      </c>
      <c r="Q114" s="392">
        <v>103.62694300518135</v>
      </c>
    </row>
    <row r="115" spans="3:17" ht="18.75" x14ac:dyDescent="0.4">
      <c r="C115" s="2570" t="s">
        <v>332</v>
      </c>
      <c r="D115" s="391" t="s">
        <v>803</v>
      </c>
      <c r="E115" s="392" t="s">
        <v>751</v>
      </c>
      <c r="F115" s="392" t="s">
        <v>751</v>
      </c>
      <c r="G115" s="340">
        <v>150.48908954100827</v>
      </c>
      <c r="H115" s="392" t="s">
        <v>751</v>
      </c>
      <c r="I115" s="340">
        <v>77.700077700077699</v>
      </c>
      <c r="J115" s="392" t="s">
        <v>751</v>
      </c>
      <c r="K115" s="340">
        <v>80.840743734842363</v>
      </c>
      <c r="L115" s="392" t="s">
        <v>751</v>
      </c>
      <c r="M115" s="392" t="s">
        <v>751</v>
      </c>
      <c r="N115" s="392" t="s">
        <v>751</v>
      </c>
      <c r="O115" s="392" t="s">
        <v>751</v>
      </c>
      <c r="P115" s="340">
        <v>110.49723756906079</v>
      </c>
      <c r="Q115" s="392" t="s">
        <v>751</v>
      </c>
    </row>
    <row r="116" spans="3:17" ht="18.75" x14ac:dyDescent="0.4">
      <c r="C116" s="2570"/>
      <c r="D116" s="391" t="s">
        <v>804</v>
      </c>
      <c r="E116" s="392" t="s">
        <v>751</v>
      </c>
      <c r="F116" s="392" t="s">
        <v>751</v>
      </c>
      <c r="G116" s="392" t="s">
        <v>751</v>
      </c>
      <c r="H116" s="340">
        <v>132.80212483399734</v>
      </c>
      <c r="I116" s="392" t="s">
        <v>751</v>
      </c>
      <c r="J116" s="392" t="s">
        <v>751</v>
      </c>
      <c r="K116" s="392" t="s">
        <v>751</v>
      </c>
      <c r="L116" s="340">
        <v>122.10012210012211</v>
      </c>
      <c r="M116" s="392" t="s">
        <v>751</v>
      </c>
      <c r="N116" s="392" t="s">
        <v>751</v>
      </c>
      <c r="O116" s="340">
        <v>130.20833333333331</v>
      </c>
      <c r="P116" s="392" t="s">
        <v>751</v>
      </c>
      <c r="Q116" s="392" t="s">
        <v>751</v>
      </c>
    </row>
    <row r="117" spans="3:17" ht="18.75" x14ac:dyDescent="0.4">
      <c r="C117" s="2570"/>
      <c r="D117" s="391" t="s">
        <v>805</v>
      </c>
      <c r="E117" s="340">
        <v>114.81056257175661</v>
      </c>
      <c r="F117" s="392" t="s">
        <v>751</v>
      </c>
      <c r="G117" s="392" t="s">
        <v>751</v>
      </c>
      <c r="H117" s="392" t="s">
        <v>751</v>
      </c>
      <c r="I117" s="392" t="s">
        <v>751</v>
      </c>
      <c r="J117" s="392" t="s">
        <v>751</v>
      </c>
      <c r="K117" s="392" t="s">
        <v>751</v>
      </c>
      <c r="L117" s="340">
        <v>102.88065843621401</v>
      </c>
      <c r="M117" s="392" t="s">
        <v>751</v>
      </c>
      <c r="N117" s="392" t="s">
        <v>751</v>
      </c>
      <c r="O117" s="392" t="s">
        <v>751</v>
      </c>
      <c r="P117" s="340">
        <v>123.91573729863693</v>
      </c>
      <c r="Q117" s="392" t="s">
        <v>751</v>
      </c>
    </row>
    <row r="118" spans="3:17" ht="18.75" x14ac:dyDescent="0.4">
      <c r="C118" s="2570"/>
      <c r="D118" s="391" t="s">
        <v>806</v>
      </c>
      <c r="E118" s="392" t="s">
        <v>751</v>
      </c>
      <c r="F118" s="392" t="s">
        <v>751</v>
      </c>
      <c r="G118" s="392" t="s">
        <v>751</v>
      </c>
      <c r="H118" s="392" t="s">
        <v>751</v>
      </c>
      <c r="I118" s="392" t="s">
        <v>751</v>
      </c>
      <c r="J118" s="392" t="s">
        <v>751</v>
      </c>
      <c r="K118" s="392" t="s">
        <v>751</v>
      </c>
      <c r="L118" s="392" t="s">
        <v>751</v>
      </c>
      <c r="M118" s="392" t="s">
        <v>751</v>
      </c>
      <c r="N118" s="392" t="s">
        <v>751</v>
      </c>
      <c r="O118" s="392" t="s">
        <v>751</v>
      </c>
      <c r="P118" s="392" t="s">
        <v>751</v>
      </c>
      <c r="Q118" s="392" t="s">
        <v>751</v>
      </c>
    </row>
    <row r="119" spans="3:17" ht="18.75" x14ac:dyDescent="0.4">
      <c r="C119" s="2570"/>
      <c r="D119" s="391" t="s">
        <v>807</v>
      </c>
      <c r="E119" s="392" t="s">
        <v>751</v>
      </c>
      <c r="F119" s="392" t="s">
        <v>751</v>
      </c>
      <c r="G119" s="392" t="s">
        <v>751</v>
      </c>
      <c r="H119" s="392" t="s">
        <v>751</v>
      </c>
      <c r="I119" s="340">
        <v>133.68983957219251</v>
      </c>
      <c r="J119" s="340">
        <v>137.74104683195591</v>
      </c>
      <c r="K119" s="392" t="s">
        <v>751</v>
      </c>
      <c r="L119" s="392" t="s">
        <v>751</v>
      </c>
      <c r="M119" s="392" t="s">
        <v>751</v>
      </c>
      <c r="N119" s="340">
        <v>140.64697609001408</v>
      </c>
      <c r="O119" s="392" t="s">
        <v>751</v>
      </c>
      <c r="P119" s="392" t="s">
        <v>751</v>
      </c>
      <c r="Q119" s="392" t="s">
        <v>751</v>
      </c>
    </row>
    <row r="120" spans="3:17" ht="18.75" x14ac:dyDescent="0.4">
      <c r="C120" s="2570"/>
      <c r="D120" s="391" t="s">
        <v>808</v>
      </c>
      <c r="E120" s="392" t="s">
        <v>751</v>
      </c>
      <c r="F120" s="392" t="s">
        <v>751</v>
      </c>
      <c r="G120" s="392" t="s">
        <v>751</v>
      </c>
      <c r="H120" s="340">
        <v>207.03933747412009</v>
      </c>
      <c r="I120" s="392" t="s">
        <v>751</v>
      </c>
      <c r="J120" s="392" t="s">
        <v>751</v>
      </c>
      <c r="K120" s="392" t="s">
        <v>751</v>
      </c>
      <c r="L120" s="392" t="s">
        <v>751</v>
      </c>
      <c r="M120" s="392" t="s">
        <v>751</v>
      </c>
      <c r="N120" s="392" t="s">
        <v>751</v>
      </c>
      <c r="O120" s="392" t="s">
        <v>751</v>
      </c>
      <c r="P120" s="392" t="s">
        <v>751</v>
      </c>
      <c r="Q120" s="392" t="s">
        <v>751</v>
      </c>
    </row>
    <row r="121" spans="3:17" ht="18.75" x14ac:dyDescent="0.4">
      <c r="C121" s="2570"/>
      <c r="D121" s="391" t="s">
        <v>809</v>
      </c>
      <c r="E121" s="392" t="s">
        <v>751</v>
      </c>
      <c r="F121" s="392" t="s">
        <v>751</v>
      </c>
      <c r="G121" s="392" t="s">
        <v>751</v>
      </c>
      <c r="H121" s="392" t="s">
        <v>751</v>
      </c>
      <c r="I121" s="392" t="s">
        <v>751</v>
      </c>
      <c r="J121" s="392" t="s">
        <v>751</v>
      </c>
      <c r="K121" s="392" t="s">
        <v>751</v>
      </c>
      <c r="L121" s="392" t="s">
        <v>751</v>
      </c>
      <c r="M121" s="392" t="s">
        <v>751</v>
      </c>
      <c r="N121" s="392" t="s">
        <v>751</v>
      </c>
      <c r="O121" s="392" t="s">
        <v>751</v>
      </c>
      <c r="P121" s="392" t="s">
        <v>751</v>
      </c>
      <c r="Q121" s="392" t="s">
        <v>751</v>
      </c>
    </row>
    <row r="122" spans="3:17" ht="18.75" x14ac:dyDescent="0.4">
      <c r="C122" s="2570"/>
      <c r="D122" s="391" t="s">
        <v>810</v>
      </c>
      <c r="E122" s="392" t="s">
        <v>751</v>
      </c>
      <c r="F122" s="392" t="s">
        <v>751</v>
      </c>
      <c r="G122" s="392" t="s">
        <v>751</v>
      </c>
      <c r="H122" s="392" t="s">
        <v>751</v>
      </c>
      <c r="I122" s="392" t="s">
        <v>751</v>
      </c>
      <c r="J122" s="392" t="s">
        <v>751</v>
      </c>
      <c r="K122" s="392" t="s">
        <v>751</v>
      </c>
      <c r="L122" s="392" t="s">
        <v>751</v>
      </c>
      <c r="M122" s="392" t="s">
        <v>751</v>
      </c>
      <c r="N122" s="392" t="s">
        <v>751</v>
      </c>
      <c r="O122" s="392" t="s">
        <v>751</v>
      </c>
      <c r="P122" s="392" t="s">
        <v>751</v>
      </c>
      <c r="Q122" s="392" t="s">
        <v>751</v>
      </c>
    </row>
    <row r="123" spans="3:17" ht="18.75" x14ac:dyDescent="0.4">
      <c r="C123" s="2570"/>
      <c r="D123" s="391" t="s">
        <v>811</v>
      </c>
      <c r="E123" s="392" t="s">
        <v>751</v>
      </c>
      <c r="F123" s="392" t="s">
        <v>751</v>
      </c>
      <c r="G123" s="392" t="s">
        <v>751</v>
      </c>
      <c r="H123" s="392" t="s">
        <v>751</v>
      </c>
      <c r="I123" s="392" t="s">
        <v>751</v>
      </c>
      <c r="J123" s="392" t="s">
        <v>751</v>
      </c>
      <c r="K123" s="392" t="s">
        <v>751</v>
      </c>
      <c r="L123" s="392" t="s">
        <v>751</v>
      </c>
      <c r="M123" s="392" t="s">
        <v>751</v>
      </c>
      <c r="N123" s="392" t="s">
        <v>751</v>
      </c>
      <c r="O123" s="392" t="s">
        <v>751</v>
      </c>
      <c r="P123" s="392" t="s">
        <v>751</v>
      </c>
      <c r="Q123" s="392" t="s">
        <v>751</v>
      </c>
    </row>
    <row r="124" spans="3:17" ht="18.75" x14ac:dyDescent="0.4">
      <c r="C124" s="2570"/>
      <c r="D124" s="391" t="s">
        <v>812</v>
      </c>
      <c r="E124" s="392" t="s">
        <v>751</v>
      </c>
      <c r="F124" s="392" t="s">
        <v>751</v>
      </c>
      <c r="G124" s="392" t="s">
        <v>751</v>
      </c>
      <c r="H124" s="392" t="s">
        <v>751</v>
      </c>
      <c r="I124" s="340">
        <v>217.39130434782609</v>
      </c>
      <c r="J124" s="392" t="s">
        <v>751</v>
      </c>
      <c r="K124" s="392" t="s">
        <v>751</v>
      </c>
      <c r="L124" s="392" t="s">
        <v>751</v>
      </c>
      <c r="M124" s="392" t="s">
        <v>751</v>
      </c>
      <c r="N124" s="392" t="s">
        <v>751</v>
      </c>
      <c r="O124" s="392" t="s">
        <v>751</v>
      </c>
      <c r="P124" s="392" t="s">
        <v>751</v>
      </c>
      <c r="Q124" s="392" t="s">
        <v>751</v>
      </c>
    </row>
    <row r="125" spans="3:17" ht="18.75" x14ac:dyDescent="0.4">
      <c r="C125" s="2570"/>
      <c r="D125" s="391" t="s">
        <v>813</v>
      </c>
      <c r="E125" s="392" t="s">
        <v>751</v>
      </c>
      <c r="F125" s="392" t="s">
        <v>751</v>
      </c>
      <c r="G125" s="392" t="s">
        <v>751</v>
      </c>
      <c r="H125" s="392" t="s">
        <v>751</v>
      </c>
      <c r="I125" s="392" t="s">
        <v>751</v>
      </c>
      <c r="J125" s="392" t="s">
        <v>751</v>
      </c>
      <c r="K125" s="392" t="s">
        <v>751</v>
      </c>
      <c r="L125" s="392" t="s">
        <v>751</v>
      </c>
      <c r="M125" s="392" t="s">
        <v>751</v>
      </c>
      <c r="N125" s="392" t="s">
        <v>751</v>
      </c>
      <c r="O125" s="392" t="s">
        <v>751</v>
      </c>
      <c r="P125" s="392" t="s">
        <v>751</v>
      </c>
      <c r="Q125" s="392" t="s">
        <v>751</v>
      </c>
    </row>
    <row r="126" spans="3:17" ht="18.75" x14ac:dyDescent="0.4">
      <c r="C126" s="2567" t="s">
        <v>533</v>
      </c>
      <c r="D126" s="391" t="s">
        <v>533</v>
      </c>
      <c r="E126" s="340">
        <v>52.742616033755269</v>
      </c>
      <c r="F126" s="392" t="s">
        <v>751</v>
      </c>
      <c r="G126" s="392" t="s">
        <v>751</v>
      </c>
      <c r="H126" s="340">
        <v>51.440329218107003</v>
      </c>
      <c r="I126" s="392" t="s">
        <v>751</v>
      </c>
      <c r="J126" s="340">
        <v>50.175614651279474</v>
      </c>
      <c r="K126" s="392" t="s">
        <v>751</v>
      </c>
      <c r="L126" s="392" t="s">
        <v>751</v>
      </c>
      <c r="M126" s="340">
        <v>49.091801669121253</v>
      </c>
      <c r="N126" s="392" t="s">
        <v>751</v>
      </c>
      <c r="O126" s="392" t="s">
        <v>751</v>
      </c>
      <c r="P126" s="340">
        <v>63.411540900443882</v>
      </c>
      <c r="Q126" s="392" t="s">
        <v>751</v>
      </c>
    </row>
    <row r="127" spans="3:17" ht="18.75" x14ac:dyDescent="0.4">
      <c r="C127" s="2567"/>
      <c r="D127" s="391" t="s">
        <v>814</v>
      </c>
      <c r="E127" s="392" t="s">
        <v>751</v>
      </c>
      <c r="F127" s="392" t="s">
        <v>751</v>
      </c>
      <c r="G127" s="392" t="s">
        <v>751</v>
      </c>
      <c r="H127" s="392" t="s">
        <v>751</v>
      </c>
      <c r="I127" s="392" t="s">
        <v>751</v>
      </c>
      <c r="J127" s="392" t="s">
        <v>751</v>
      </c>
      <c r="K127" s="392" t="s">
        <v>751</v>
      </c>
      <c r="L127" s="392" t="s">
        <v>751</v>
      </c>
      <c r="M127" s="392" t="s">
        <v>751</v>
      </c>
      <c r="N127" s="392" t="s">
        <v>751</v>
      </c>
      <c r="O127" s="392" t="s">
        <v>751</v>
      </c>
      <c r="P127" s="392" t="s">
        <v>751</v>
      </c>
      <c r="Q127" s="392" t="s">
        <v>751</v>
      </c>
    </row>
    <row r="128" spans="3:17" ht="18.75" x14ac:dyDescent="0.4">
      <c r="C128" s="2567"/>
      <c r="D128" s="391" t="s">
        <v>815</v>
      </c>
      <c r="E128" s="392" t="s">
        <v>751</v>
      </c>
      <c r="F128" s="392" t="s">
        <v>751</v>
      </c>
      <c r="G128" s="340">
        <v>107.06638115631692</v>
      </c>
      <c r="H128" s="392" t="s">
        <v>751</v>
      </c>
      <c r="I128" s="392" t="s">
        <v>751</v>
      </c>
      <c r="J128" s="340">
        <v>115.60693641618498</v>
      </c>
      <c r="K128" s="392" t="s">
        <v>751</v>
      </c>
      <c r="L128" s="392" t="s">
        <v>751</v>
      </c>
      <c r="M128" s="392" t="s">
        <v>751</v>
      </c>
      <c r="N128" s="392" t="s">
        <v>751</v>
      </c>
      <c r="O128" s="392" t="s">
        <v>751</v>
      </c>
      <c r="P128" s="392" t="s">
        <v>751</v>
      </c>
      <c r="Q128" s="392" t="s">
        <v>751</v>
      </c>
    </row>
    <row r="129" spans="3:19" ht="18.75" x14ac:dyDescent="0.4">
      <c r="C129" s="2567"/>
      <c r="D129" s="391" t="s">
        <v>816</v>
      </c>
      <c r="E129" s="392" t="s">
        <v>751</v>
      </c>
      <c r="F129" s="392" t="s">
        <v>751</v>
      </c>
      <c r="G129" s="392" t="s">
        <v>751</v>
      </c>
      <c r="H129" s="392" t="s">
        <v>751</v>
      </c>
      <c r="I129" s="392" t="s">
        <v>751</v>
      </c>
      <c r="J129" s="392" t="s">
        <v>751</v>
      </c>
      <c r="K129" s="392" t="s">
        <v>751</v>
      </c>
      <c r="L129" s="392" t="s">
        <v>751</v>
      </c>
      <c r="M129" s="392" t="s">
        <v>751</v>
      </c>
      <c r="N129" s="392" t="s">
        <v>751</v>
      </c>
      <c r="O129" s="392" t="s">
        <v>751</v>
      </c>
      <c r="P129" s="392" t="s">
        <v>751</v>
      </c>
      <c r="Q129" s="392" t="s">
        <v>751</v>
      </c>
    </row>
    <row r="130" spans="3:19" ht="18.75" x14ac:dyDescent="0.4">
      <c r="C130" s="2567"/>
      <c r="D130" s="391" t="s">
        <v>817</v>
      </c>
      <c r="E130" s="392" t="s">
        <v>751</v>
      </c>
      <c r="F130" s="392" t="s">
        <v>751</v>
      </c>
      <c r="G130" s="392" t="s">
        <v>751</v>
      </c>
      <c r="H130" s="392" t="s">
        <v>751</v>
      </c>
      <c r="I130" s="392" t="s">
        <v>751</v>
      </c>
      <c r="J130" s="392" t="s">
        <v>751</v>
      </c>
      <c r="K130" s="392" t="s">
        <v>751</v>
      </c>
      <c r="L130" s="392" t="s">
        <v>751</v>
      </c>
      <c r="M130" s="392" t="s">
        <v>751</v>
      </c>
      <c r="N130" s="392" t="s">
        <v>751</v>
      </c>
      <c r="O130" s="392" t="s">
        <v>751</v>
      </c>
      <c r="P130" s="340">
        <v>212.76595744680853</v>
      </c>
      <c r="Q130" s="392" t="s">
        <v>751</v>
      </c>
    </row>
    <row r="131" spans="3:19" ht="18.75" x14ac:dyDescent="0.4">
      <c r="C131" s="2567"/>
      <c r="D131" s="391" t="s">
        <v>818</v>
      </c>
      <c r="E131" s="392" t="s">
        <v>751</v>
      </c>
      <c r="F131" s="392" t="s">
        <v>751</v>
      </c>
      <c r="G131" s="392" t="s">
        <v>751</v>
      </c>
      <c r="H131" s="392" t="s">
        <v>751</v>
      </c>
      <c r="I131" s="392" t="s">
        <v>751</v>
      </c>
      <c r="J131" s="392" t="s">
        <v>751</v>
      </c>
      <c r="K131" s="392" t="s">
        <v>751</v>
      </c>
      <c r="L131" s="392" t="s">
        <v>751</v>
      </c>
      <c r="M131" s="392" t="s">
        <v>751</v>
      </c>
      <c r="N131" s="392" t="s">
        <v>751</v>
      </c>
      <c r="O131" s="392" t="s">
        <v>751</v>
      </c>
      <c r="P131" s="392" t="s">
        <v>751</v>
      </c>
      <c r="Q131" s="392" t="s">
        <v>751</v>
      </c>
    </row>
    <row r="132" spans="3:19" ht="18.75" x14ac:dyDescent="0.4">
      <c r="C132" s="2567"/>
      <c r="D132" s="391" t="s">
        <v>819</v>
      </c>
      <c r="E132" s="392" t="s">
        <v>751</v>
      </c>
      <c r="F132" s="392" t="s">
        <v>751</v>
      </c>
      <c r="G132" s="392" t="s">
        <v>751</v>
      </c>
      <c r="H132" s="392" t="s">
        <v>751</v>
      </c>
      <c r="I132" s="392" t="s">
        <v>751</v>
      </c>
      <c r="J132" s="392" t="s">
        <v>751</v>
      </c>
      <c r="K132" s="392" t="s">
        <v>751</v>
      </c>
      <c r="L132" s="392" t="s">
        <v>751</v>
      </c>
      <c r="M132" s="392" t="s">
        <v>751</v>
      </c>
      <c r="N132" s="392" t="s">
        <v>751</v>
      </c>
      <c r="O132" s="392" t="s">
        <v>751</v>
      </c>
      <c r="P132" s="392" t="s">
        <v>751</v>
      </c>
      <c r="Q132" s="392" t="s">
        <v>751</v>
      </c>
    </row>
    <row r="133" spans="3:19" ht="18.75" x14ac:dyDescent="0.4">
      <c r="C133" s="2567"/>
      <c r="D133" s="391" t="s">
        <v>820</v>
      </c>
      <c r="E133" s="340">
        <v>142.45014245014247</v>
      </c>
      <c r="F133" s="392" t="s">
        <v>751</v>
      </c>
      <c r="G133" s="392" t="s">
        <v>751</v>
      </c>
      <c r="H133" s="392" t="s">
        <v>751</v>
      </c>
      <c r="I133" s="392" t="s">
        <v>751</v>
      </c>
      <c r="J133" s="392" t="s">
        <v>751</v>
      </c>
      <c r="K133" s="340">
        <v>132.4503311258278</v>
      </c>
      <c r="L133" s="392" t="s">
        <v>751</v>
      </c>
      <c r="M133" s="340">
        <v>132.4503311258278</v>
      </c>
      <c r="N133" s="340">
        <v>146.19883040935673</v>
      </c>
      <c r="O133" s="392" t="s">
        <v>751</v>
      </c>
      <c r="P133" s="392" t="s">
        <v>751</v>
      </c>
      <c r="Q133" s="392" t="s">
        <v>751</v>
      </c>
    </row>
    <row r="134" spans="3:19" ht="18.75" x14ac:dyDescent="0.4">
      <c r="C134" s="2567"/>
      <c r="D134" s="391" t="s">
        <v>821</v>
      </c>
      <c r="E134" s="392" t="s">
        <v>751</v>
      </c>
      <c r="F134" s="392" t="s">
        <v>751</v>
      </c>
      <c r="G134" s="392" t="s">
        <v>751</v>
      </c>
      <c r="H134" s="392" t="s">
        <v>751</v>
      </c>
      <c r="I134" s="392" t="s">
        <v>751</v>
      </c>
      <c r="J134" s="340">
        <v>363.63636363636363</v>
      </c>
      <c r="K134" s="392" t="s">
        <v>751</v>
      </c>
      <c r="L134" s="392" t="s">
        <v>751</v>
      </c>
      <c r="M134" s="392" t="s">
        <v>751</v>
      </c>
      <c r="N134" s="392" t="s">
        <v>751</v>
      </c>
      <c r="O134" s="392" t="s">
        <v>751</v>
      </c>
      <c r="P134" s="392" t="s">
        <v>751</v>
      </c>
      <c r="Q134" s="392">
        <v>380.22813688212926</v>
      </c>
    </row>
    <row r="135" spans="3:19" ht="18.75" x14ac:dyDescent="0.4">
      <c r="C135" s="2567"/>
      <c r="D135" s="391" t="s">
        <v>822</v>
      </c>
      <c r="E135" s="340">
        <v>121.06537530266344</v>
      </c>
      <c r="F135" s="392" t="s">
        <v>751</v>
      </c>
      <c r="G135" s="392" t="s">
        <v>751</v>
      </c>
      <c r="H135" s="392" t="s">
        <v>751</v>
      </c>
      <c r="I135" s="392" t="s">
        <v>751</v>
      </c>
      <c r="J135" s="392" t="s">
        <v>751</v>
      </c>
      <c r="K135" s="392" t="s">
        <v>751</v>
      </c>
      <c r="L135" s="392" t="s">
        <v>751</v>
      </c>
      <c r="M135" s="392" t="s">
        <v>751</v>
      </c>
      <c r="N135" s="392" t="s">
        <v>751</v>
      </c>
      <c r="O135" s="392" t="s">
        <v>751</v>
      </c>
      <c r="P135" s="392" t="s">
        <v>751</v>
      </c>
      <c r="Q135" s="392">
        <v>173.91304347826087</v>
      </c>
    </row>
    <row r="136" spans="3:19" ht="18.75" x14ac:dyDescent="0.4">
      <c r="C136" s="2567"/>
      <c r="D136" s="391" t="s">
        <v>823</v>
      </c>
      <c r="E136" s="392" t="s">
        <v>751</v>
      </c>
      <c r="F136" s="392" t="s">
        <v>751</v>
      </c>
      <c r="G136" s="392" t="s">
        <v>751</v>
      </c>
      <c r="H136" s="392" t="s">
        <v>751</v>
      </c>
      <c r="I136" s="392" t="s">
        <v>751</v>
      </c>
      <c r="J136" s="392" t="s">
        <v>751</v>
      </c>
      <c r="K136" s="392" t="s">
        <v>751</v>
      </c>
      <c r="L136" s="392" t="s">
        <v>751</v>
      </c>
      <c r="M136" s="392" t="s">
        <v>751</v>
      </c>
      <c r="N136" s="392" t="s">
        <v>751</v>
      </c>
      <c r="O136" s="392" t="s">
        <v>751</v>
      </c>
      <c r="P136" s="392" t="s">
        <v>751</v>
      </c>
      <c r="Q136" s="392" t="s">
        <v>751</v>
      </c>
    </row>
    <row r="137" spans="3:19" ht="18.75" x14ac:dyDescent="0.4">
      <c r="C137" s="2567"/>
      <c r="D137" s="391" t="s">
        <v>824</v>
      </c>
      <c r="E137" s="391"/>
      <c r="F137" s="391"/>
      <c r="G137" s="391"/>
      <c r="H137" s="391"/>
      <c r="I137" s="391"/>
      <c r="J137" s="391"/>
      <c r="K137" s="391"/>
      <c r="L137" s="391"/>
      <c r="M137" s="391"/>
      <c r="N137" s="391"/>
      <c r="O137" s="391"/>
      <c r="P137" s="391"/>
      <c r="Q137" s="392" t="s">
        <v>751</v>
      </c>
    </row>
    <row r="138" spans="3:19" ht="18.75" x14ac:dyDescent="0.4">
      <c r="C138" s="2567"/>
      <c r="D138" s="391" t="s">
        <v>825</v>
      </c>
      <c r="E138" s="391"/>
      <c r="F138" s="391"/>
      <c r="G138" s="391"/>
      <c r="H138" s="391"/>
      <c r="I138" s="391"/>
      <c r="J138" s="391"/>
      <c r="K138" s="391"/>
      <c r="L138" s="391"/>
      <c r="M138" s="391"/>
      <c r="N138" s="391"/>
      <c r="O138" s="391"/>
      <c r="P138" s="391"/>
      <c r="Q138" s="392" t="s">
        <v>751</v>
      </c>
    </row>
    <row r="139" spans="3:19" ht="18.75" x14ac:dyDescent="0.4">
      <c r="C139" s="2567" t="s">
        <v>334</v>
      </c>
      <c r="D139" s="391" t="s">
        <v>334</v>
      </c>
      <c r="E139" s="340">
        <v>103.19917440660474</v>
      </c>
      <c r="F139" s="340">
        <v>48.804294777940463</v>
      </c>
      <c r="G139" s="392" t="s">
        <v>751</v>
      </c>
      <c r="H139" s="340">
        <v>138.63216266173751</v>
      </c>
      <c r="I139" s="392" t="s">
        <v>751</v>
      </c>
      <c r="J139" s="340">
        <v>97.943192948090115</v>
      </c>
      <c r="K139" s="392" t="s">
        <v>751</v>
      </c>
      <c r="L139" s="340">
        <v>53.07855626326964</v>
      </c>
      <c r="M139" s="392" t="s">
        <v>751</v>
      </c>
      <c r="N139" s="392" t="s">
        <v>751</v>
      </c>
      <c r="O139" s="340">
        <v>65.573770491803273</v>
      </c>
      <c r="P139" s="392" t="s">
        <v>751</v>
      </c>
      <c r="Q139" s="392" t="s">
        <v>751</v>
      </c>
    </row>
    <row r="140" spans="3:19" ht="18.75" x14ac:dyDescent="0.4">
      <c r="C140" s="2567"/>
      <c r="D140" s="391" t="s">
        <v>826</v>
      </c>
      <c r="E140" s="340">
        <v>42.194092827004219</v>
      </c>
      <c r="F140" s="392" t="s">
        <v>751</v>
      </c>
      <c r="G140" s="392" t="s">
        <v>751</v>
      </c>
      <c r="H140" s="340">
        <v>42.571306939123033</v>
      </c>
      <c r="I140" s="340">
        <v>41.425020712510353</v>
      </c>
      <c r="J140" s="392" t="s">
        <v>751</v>
      </c>
      <c r="K140" s="392" t="s">
        <v>751</v>
      </c>
      <c r="L140" s="340">
        <v>86.206896551724142</v>
      </c>
      <c r="M140" s="340">
        <v>44.903457566232596</v>
      </c>
      <c r="N140" s="392" t="s">
        <v>751</v>
      </c>
      <c r="O140" s="392" t="s">
        <v>751</v>
      </c>
      <c r="P140" s="340">
        <v>112.29646266142618</v>
      </c>
      <c r="Q140" s="340">
        <v>58.685446009389672</v>
      </c>
    </row>
    <row r="141" spans="3:19" ht="18.75" x14ac:dyDescent="0.4">
      <c r="C141" s="2567"/>
      <c r="D141" s="391" t="s">
        <v>827</v>
      </c>
      <c r="E141" s="392" t="s">
        <v>751</v>
      </c>
      <c r="F141" s="392" t="s">
        <v>751</v>
      </c>
      <c r="G141" s="340">
        <v>87.260034904013963</v>
      </c>
      <c r="H141" s="392" t="s">
        <v>751</v>
      </c>
      <c r="I141" s="340">
        <v>92.421441774491683</v>
      </c>
      <c r="J141" s="392" t="s">
        <v>751</v>
      </c>
      <c r="K141" s="392" t="s">
        <v>751</v>
      </c>
      <c r="L141" s="392" t="s">
        <v>751</v>
      </c>
      <c r="M141" s="392" t="s">
        <v>751</v>
      </c>
      <c r="N141" s="392" t="s">
        <v>751</v>
      </c>
      <c r="O141" s="392" t="s">
        <v>751</v>
      </c>
      <c r="P141" s="392" t="s">
        <v>751</v>
      </c>
      <c r="Q141" s="392" t="s">
        <v>751</v>
      </c>
    </row>
    <row r="142" spans="3:19" ht="18.75" x14ac:dyDescent="0.4">
      <c r="C142" s="2567"/>
      <c r="D142" s="391" t="s">
        <v>828</v>
      </c>
      <c r="E142" s="340">
        <v>129.366106080207</v>
      </c>
      <c r="F142" s="340">
        <v>255.10204081632651</v>
      </c>
      <c r="G142" s="340">
        <v>102.56410256410257</v>
      </c>
      <c r="H142" s="340">
        <v>107.87486515641855</v>
      </c>
      <c r="I142" s="392" t="s">
        <v>751</v>
      </c>
      <c r="J142" s="392" t="s">
        <v>751</v>
      </c>
      <c r="K142" s="392" t="s">
        <v>751</v>
      </c>
      <c r="L142" s="392" t="s">
        <v>751</v>
      </c>
      <c r="M142" s="392" t="s">
        <v>751</v>
      </c>
      <c r="N142" s="340">
        <v>113.63636363636363</v>
      </c>
      <c r="O142" s="392" t="s">
        <v>751</v>
      </c>
      <c r="P142" s="392" t="s">
        <v>751</v>
      </c>
      <c r="Q142" s="392">
        <v>125.94458438287154</v>
      </c>
    </row>
    <row r="143" spans="3:19" ht="18.75" x14ac:dyDescent="0.4">
      <c r="C143" s="2567"/>
      <c r="D143" s="391" t="s">
        <v>829</v>
      </c>
      <c r="E143" s="392" t="s">
        <v>751</v>
      </c>
      <c r="F143" s="340">
        <v>223.96416573348264</v>
      </c>
      <c r="G143" s="392" t="s">
        <v>751</v>
      </c>
      <c r="H143" s="392" t="s">
        <v>751</v>
      </c>
      <c r="I143" s="392" t="s">
        <v>751</v>
      </c>
      <c r="J143" s="392" t="s">
        <v>751</v>
      </c>
      <c r="K143" s="392" t="s">
        <v>751</v>
      </c>
      <c r="L143" s="392" t="s">
        <v>751</v>
      </c>
      <c r="M143" s="340">
        <v>122.24938875305624</v>
      </c>
      <c r="N143" s="392" t="s">
        <v>751</v>
      </c>
      <c r="O143" s="392" t="s">
        <v>751</v>
      </c>
      <c r="P143" s="392" t="s">
        <v>751</v>
      </c>
      <c r="Q143" s="392" t="s">
        <v>751</v>
      </c>
    </row>
    <row r="144" spans="3:19" ht="18.75" x14ac:dyDescent="0.4">
      <c r="C144" s="2568"/>
      <c r="D144" s="395" t="s">
        <v>830</v>
      </c>
      <c r="E144" s="396" t="s">
        <v>751</v>
      </c>
      <c r="F144" s="396" t="s">
        <v>751</v>
      </c>
      <c r="G144" s="396" t="s">
        <v>751</v>
      </c>
      <c r="H144" s="397">
        <v>124.84394506866417</v>
      </c>
      <c r="I144" s="396" t="s">
        <v>751</v>
      </c>
      <c r="J144" s="396" t="s">
        <v>751</v>
      </c>
      <c r="K144" s="396" t="s">
        <v>751</v>
      </c>
      <c r="L144" s="396" t="s">
        <v>751</v>
      </c>
      <c r="M144" s="396" t="s">
        <v>751</v>
      </c>
      <c r="N144" s="397">
        <v>151.9756838905775</v>
      </c>
      <c r="O144" s="396" t="s">
        <v>751</v>
      </c>
      <c r="P144" s="396" t="s">
        <v>751</v>
      </c>
      <c r="Q144" s="396" t="s">
        <v>751</v>
      </c>
      <c r="R144" s="2404"/>
      <c r="S144" s="2404"/>
    </row>
    <row r="145" spans="3:16" ht="18.75" x14ac:dyDescent="0.4">
      <c r="C145" s="5" t="s">
        <v>831</v>
      </c>
      <c r="D145" s="5"/>
      <c r="E145" s="5"/>
      <c r="F145" s="5"/>
      <c r="G145" s="5"/>
      <c r="H145" s="5"/>
      <c r="I145" s="5"/>
      <c r="J145" s="5"/>
      <c r="K145" s="5"/>
      <c r="L145" s="5"/>
      <c r="M145" s="5"/>
      <c r="N145" s="5"/>
      <c r="O145" s="5"/>
      <c r="P145" s="5"/>
    </row>
  </sheetData>
  <mergeCells count="22">
    <mergeCell ref="J12:P26"/>
    <mergeCell ref="A5:B5"/>
    <mergeCell ref="C5:S5"/>
    <mergeCell ref="C1:D1"/>
    <mergeCell ref="A3:B3"/>
    <mergeCell ref="C3:S3"/>
    <mergeCell ref="A4:B4"/>
    <mergeCell ref="C4:S4"/>
    <mergeCell ref="A6:B6"/>
    <mergeCell ref="C6:S6"/>
    <mergeCell ref="C10:C11"/>
    <mergeCell ref="D10:D11"/>
    <mergeCell ref="E10:H10"/>
    <mergeCell ref="J10:P10"/>
    <mergeCell ref="R10:T10"/>
    <mergeCell ref="C139:C144"/>
    <mergeCell ref="C61:C80"/>
    <mergeCell ref="C81:C96"/>
    <mergeCell ref="C97:C104"/>
    <mergeCell ref="C105:C114"/>
    <mergeCell ref="C115:C125"/>
    <mergeCell ref="C126:C138"/>
  </mergeCells>
  <conditionalFormatting sqref="E61:P61">
    <cfRule type="cellIs" dxfId="1085" priority="84" operator="equal">
      <formula>0</formula>
    </cfRule>
  </conditionalFormatting>
  <conditionalFormatting sqref="E62:P62">
    <cfRule type="cellIs" dxfId="1084" priority="83" operator="equal">
      <formula>0</formula>
    </cfRule>
  </conditionalFormatting>
  <conditionalFormatting sqref="E63:P63">
    <cfRule type="cellIs" dxfId="1083" priority="82" operator="equal">
      <formula>0</formula>
    </cfRule>
  </conditionalFormatting>
  <conditionalFormatting sqref="E64:P64">
    <cfRule type="cellIs" dxfId="1082" priority="81" operator="equal">
      <formula>0</formula>
    </cfRule>
  </conditionalFormatting>
  <conditionalFormatting sqref="E65:P65">
    <cfRule type="cellIs" dxfId="1081" priority="80" operator="equal">
      <formula>0</formula>
    </cfRule>
  </conditionalFormatting>
  <conditionalFormatting sqref="E66:O66">
    <cfRule type="cellIs" dxfId="1080" priority="79" operator="equal">
      <formula>0</formula>
    </cfRule>
  </conditionalFormatting>
  <conditionalFormatting sqref="P66">
    <cfRule type="cellIs" dxfId="1079" priority="78" operator="equal">
      <formula>0</formula>
    </cfRule>
  </conditionalFormatting>
  <conditionalFormatting sqref="E67:P67">
    <cfRule type="cellIs" dxfId="1078" priority="77" operator="equal">
      <formula>0</formula>
    </cfRule>
  </conditionalFormatting>
  <conditionalFormatting sqref="E68:P68">
    <cfRule type="cellIs" dxfId="1077" priority="76" operator="equal">
      <formula>0</formula>
    </cfRule>
  </conditionalFormatting>
  <conditionalFormatting sqref="E69:P69">
    <cfRule type="cellIs" dxfId="1076" priority="75" operator="equal">
      <formula>0</formula>
    </cfRule>
  </conditionalFormatting>
  <conditionalFormatting sqref="E70:P70">
    <cfRule type="cellIs" dxfId="1075" priority="74" operator="equal">
      <formula>0</formula>
    </cfRule>
  </conditionalFormatting>
  <conditionalFormatting sqref="E71:P71">
    <cfRule type="cellIs" dxfId="1074" priority="73" operator="equal">
      <formula>0</formula>
    </cfRule>
  </conditionalFormatting>
  <conditionalFormatting sqref="E72:P72">
    <cfRule type="cellIs" dxfId="1073" priority="72" operator="equal">
      <formula>0</formula>
    </cfRule>
  </conditionalFormatting>
  <conditionalFormatting sqref="E73:P73">
    <cfRule type="cellIs" dxfId="1072" priority="71" operator="equal">
      <formula>0</formula>
    </cfRule>
  </conditionalFormatting>
  <conditionalFormatting sqref="E74:P74">
    <cfRule type="cellIs" dxfId="1071" priority="70" operator="equal">
      <formula>0</formula>
    </cfRule>
  </conditionalFormatting>
  <conditionalFormatting sqref="E75:P75">
    <cfRule type="cellIs" dxfId="1070" priority="69" operator="equal">
      <formula>0</formula>
    </cfRule>
  </conditionalFormatting>
  <conditionalFormatting sqref="E76:P76">
    <cfRule type="cellIs" dxfId="1069" priority="68" operator="equal">
      <formula>0</formula>
    </cfRule>
  </conditionalFormatting>
  <conditionalFormatting sqref="E77:P77">
    <cfRule type="cellIs" dxfId="1068" priority="67" operator="equal">
      <formula>0</formula>
    </cfRule>
  </conditionalFormatting>
  <conditionalFormatting sqref="E78:P78">
    <cfRule type="cellIs" dxfId="1067" priority="66" operator="equal">
      <formula>0</formula>
    </cfRule>
  </conditionalFormatting>
  <conditionalFormatting sqref="E79:P79">
    <cfRule type="cellIs" dxfId="1066" priority="65" operator="equal">
      <formula>0</formula>
    </cfRule>
  </conditionalFormatting>
  <conditionalFormatting sqref="E80:P80">
    <cfRule type="cellIs" dxfId="1065" priority="64" operator="equal">
      <formula>0</formula>
    </cfRule>
  </conditionalFormatting>
  <conditionalFormatting sqref="E81:P81">
    <cfRule type="cellIs" dxfId="1064" priority="63" operator="equal">
      <formula>0</formula>
    </cfRule>
  </conditionalFormatting>
  <conditionalFormatting sqref="E82:P82">
    <cfRule type="cellIs" dxfId="1063" priority="62" operator="equal">
      <formula>0</formula>
    </cfRule>
  </conditionalFormatting>
  <conditionalFormatting sqref="E83:P83">
    <cfRule type="cellIs" dxfId="1062" priority="61" operator="equal">
      <formula>0</formula>
    </cfRule>
  </conditionalFormatting>
  <conditionalFormatting sqref="E84:P84">
    <cfRule type="cellIs" dxfId="1061" priority="60" operator="equal">
      <formula>0</formula>
    </cfRule>
  </conditionalFormatting>
  <conditionalFormatting sqref="E85:P85">
    <cfRule type="cellIs" dxfId="1060" priority="59" operator="equal">
      <formula>0</formula>
    </cfRule>
  </conditionalFormatting>
  <conditionalFormatting sqref="E86:P86">
    <cfRule type="cellIs" dxfId="1059" priority="58" operator="equal">
      <formula>0</formula>
    </cfRule>
  </conditionalFormatting>
  <conditionalFormatting sqref="E87:P87">
    <cfRule type="cellIs" dxfId="1058" priority="57" operator="equal">
      <formula>0</formula>
    </cfRule>
  </conditionalFormatting>
  <conditionalFormatting sqref="E88:P88">
    <cfRule type="cellIs" dxfId="1057" priority="56" operator="equal">
      <formula>0</formula>
    </cfRule>
  </conditionalFormatting>
  <conditionalFormatting sqref="E89:P89">
    <cfRule type="cellIs" dxfId="1056" priority="55" operator="equal">
      <formula>0</formula>
    </cfRule>
  </conditionalFormatting>
  <conditionalFormatting sqref="E90:P90">
    <cfRule type="cellIs" dxfId="1055" priority="54" operator="equal">
      <formula>0</formula>
    </cfRule>
  </conditionalFormatting>
  <conditionalFormatting sqref="E91:P91">
    <cfRule type="cellIs" dxfId="1054" priority="53" operator="equal">
      <formula>0</formula>
    </cfRule>
  </conditionalFormatting>
  <conditionalFormatting sqref="E92:P92">
    <cfRule type="cellIs" dxfId="1053" priority="52" operator="equal">
      <formula>0</formula>
    </cfRule>
  </conditionalFormatting>
  <conditionalFormatting sqref="E93:P93">
    <cfRule type="cellIs" dxfId="1052" priority="51" operator="equal">
      <formula>0</formula>
    </cfRule>
  </conditionalFormatting>
  <conditionalFormatting sqref="E94:P94">
    <cfRule type="cellIs" dxfId="1051" priority="50" operator="equal">
      <formula>0</formula>
    </cfRule>
  </conditionalFormatting>
  <conditionalFormatting sqref="E95:P95">
    <cfRule type="cellIs" dxfId="1050" priority="49" operator="equal">
      <formula>0</formula>
    </cfRule>
  </conditionalFormatting>
  <conditionalFormatting sqref="E96:P96">
    <cfRule type="cellIs" dxfId="1049" priority="48" operator="equal">
      <formula>0</formula>
    </cfRule>
  </conditionalFormatting>
  <conditionalFormatting sqref="E97:P97">
    <cfRule type="cellIs" dxfId="1048" priority="47" operator="equal">
      <formula>0</formula>
    </cfRule>
  </conditionalFormatting>
  <conditionalFormatting sqref="E98:P98">
    <cfRule type="cellIs" dxfId="1047" priority="46" operator="equal">
      <formula>0</formula>
    </cfRule>
  </conditionalFormatting>
  <conditionalFormatting sqref="E99:P99">
    <cfRule type="cellIs" dxfId="1046" priority="45" operator="equal">
      <formula>0</formula>
    </cfRule>
  </conditionalFormatting>
  <conditionalFormatting sqref="E100:P100">
    <cfRule type="cellIs" dxfId="1045" priority="44" operator="equal">
      <formula>0</formula>
    </cfRule>
  </conditionalFormatting>
  <conditionalFormatting sqref="E101:P101">
    <cfRule type="cellIs" dxfId="1044" priority="43" operator="equal">
      <formula>0</formula>
    </cfRule>
  </conditionalFormatting>
  <conditionalFormatting sqref="E102:P102">
    <cfRule type="cellIs" dxfId="1043" priority="42" operator="equal">
      <formula>0</formula>
    </cfRule>
  </conditionalFormatting>
  <conditionalFormatting sqref="E103:P103">
    <cfRule type="cellIs" dxfId="1042" priority="41" operator="equal">
      <formula>0</formula>
    </cfRule>
  </conditionalFormatting>
  <conditionalFormatting sqref="E104:P104">
    <cfRule type="cellIs" dxfId="1041" priority="40" operator="equal">
      <formula>0</formula>
    </cfRule>
  </conditionalFormatting>
  <conditionalFormatting sqref="E105:P105">
    <cfRule type="cellIs" dxfId="1040" priority="39" operator="equal">
      <formula>0</formula>
    </cfRule>
  </conditionalFormatting>
  <conditionalFormatting sqref="E106:P106">
    <cfRule type="cellIs" dxfId="1039" priority="38" operator="equal">
      <formula>0</formula>
    </cfRule>
  </conditionalFormatting>
  <conditionalFormatting sqref="E107:P107">
    <cfRule type="cellIs" dxfId="1038" priority="37" operator="equal">
      <formula>0</formula>
    </cfRule>
  </conditionalFormatting>
  <conditionalFormatting sqref="E108:P108">
    <cfRule type="cellIs" dxfId="1037" priority="36" operator="equal">
      <formula>0</formula>
    </cfRule>
  </conditionalFormatting>
  <conditionalFormatting sqref="E109:P109">
    <cfRule type="cellIs" dxfId="1036" priority="35" operator="equal">
      <formula>0</formula>
    </cfRule>
  </conditionalFormatting>
  <conditionalFormatting sqref="E110:P110">
    <cfRule type="cellIs" dxfId="1035" priority="34" operator="equal">
      <formula>0</formula>
    </cfRule>
  </conditionalFormatting>
  <conditionalFormatting sqref="E111:P111">
    <cfRule type="cellIs" dxfId="1034" priority="33" operator="equal">
      <formula>0</formula>
    </cfRule>
  </conditionalFormatting>
  <conditionalFormatting sqref="E112:P112">
    <cfRule type="cellIs" dxfId="1033" priority="32" operator="equal">
      <formula>0</formula>
    </cfRule>
  </conditionalFormatting>
  <conditionalFormatting sqref="E113:P113">
    <cfRule type="cellIs" dxfId="1032" priority="31" operator="equal">
      <formula>0</formula>
    </cfRule>
  </conditionalFormatting>
  <conditionalFormatting sqref="E114:P114">
    <cfRule type="cellIs" dxfId="1031" priority="30" operator="equal">
      <formula>0</formula>
    </cfRule>
  </conditionalFormatting>
  <conditionalFormatting sqref="E115:P115">
    <cfRule type="cellIs" dxfId="1030" priority="29" operator="equal">
      <formula>0</formula>
    </cfRule>
  </conditionalFormatting>
  <conditionalFormatting sqref="E116:P116">
    <cfRule type="cellIs" dxfId="1029" priority="28" operator="equal">
      <formula>0</formula>
    </cfRule>
  </conditionalFormatting>
  <conditionalFormatting sqref="E117:P117">
    <cfRule type="cellIs" dxfId="1028" priority="27" operator="equal">
      <formula>0</formula>
    </cfRule>
  </conditionalFormatting>
  <conditionalFormatting sqref="E118:P118">
    <cfRule type="cellIs" dxfId="1027" priority="26" operator="equal">
      <formula>0</formula>
    </cfRule>
  </conditionalFormatting>
  <conditionalFormatting sqref="E119:P119">
    <cfRule type="cellIs" dxfId="1026" priority="25" operator="equal">
      <formula>0</formula>
    </cfRule>
  </conditionalFormatting>
  <conditionalFormatting sqref="E120:P120">
    <cfRule type="cellIs" dxfId="1025" priority="24" operator="equal">
      <formula>0</formula>
    </cfRule>
  </conditionalFormatting>
  <conditionalFormatting sqref="E121:P121">
    <cfRule type="cellIs" dxfId="1024" priority="23" operator="equal">
      <formula>0</formula>
    </cfRule>
  </conditionalFormatting>
  <conditionalFormatting sqref="E122:P122">
    <cfRule type="cellIs" dxfId="1023" priority="22" operator="equal">
      <formula>0</formula>
    </cfRule>
  </conditionalFormatting>
  <conditionalFormatting sqref="E123:P123">
    <cfRule type="cellIs" dxfId="1022" priority="21" operator="equal">
      <formula>0</formula>
    </cfRule>
  </conditionalFormatting>
  <conditionalFormatting sqref="E124:P124">
    <cfRule type="cellIs" dxfId="1021" priority="20" operator="equal">
      <formula>0</formula>
    </cfRule>
  </conditionalFormatting>
  <conditionalFormatting sqref="E125:P125">
    <cfRule type="cellIs" dxfId="1020" priority="19" operator="equal">
      <formula>0</formula>
    </cfRule>
  </conditionalFormatting>
  <conditionalFormatting sqref="E126:P126">
    <cfRule type="cellIs" dxfId="1019" priority="18" operator="equal">
      <formula>0</formula>
    </cfRule>
  </conditionalFormatting>
  <conditionalFormatting sqref="E127:P127">
    <cfRule type="cellIs" dxfId="1018" priority="17" operator="equal">
      <formula>0</formula>
    </cfRule>
  </conditionalFormatting>
  <conditionalFormatting sqref="E128:P128">
    <cfRule type="cellIs" dxfId="1017" priority="16" operator="equal">
      <formula>0</formula>
    </cfRule>
  </conditionalFormatting>
  <conditionalFormatting sqref="E129:P129">
    <cfRule type="cellIs" dxfId="1016" priority="15" operator="equal">
      <formula>0</formula>
    </cfRule>
  </conditionalFormatting>
  <conditionalFormatting sqref="E130:P130">
    <cfRule type="cellIs" dxfId="1015" priority="14" operator="equal">
      <formula>0</formula>
    </cfRule>
  </conditionalFormatting>
  <conditionalFormatting sqref="E131:P131">
    <cfRule type="cellIs" dxfId="1014" priority="13" operator="equal">
      <formula>0</formula>
    </cfRule>
  </conditionalFormatting>
  <conditionalFormatting sqref="E132:P132">
    <cfRule type="cellIs" dxfId="1013" priority="12" operator="equal">
      <formula>0</formula>
    </cfRule>
  </conditionalFormatting>
  <conditionalFormatting sqref="E133:P133">
    <cfRule type="cellIs" dxfId="1012" priority="11" operator="equal">
      <formula>0</formula>
    </cfRule>
  </conditionalFormatting>
  <conditionalFormatting sqref="E134:P134">
    <cfRule type="cellIs" dxfId="1011" priority="10" operator="equal">
      <formula>0</formula>
    </cfRule>
  </conditionalFormatting>
  <conditionalFormatting sqref="E135:P135">
    <cfRule type="cellIs" dxfId="1010" priority="9" operator="equal">
      <formula>0</formula>
    </cfRule>
  </conditionalFormatting>
  <conditionalFormatting sqref="E136:P136">
    <cfRule type="cellIs" dxfId="1009" priority="8" operator="equal">
      <formula>0</formula>
    </cfRule>
  </conditionalFormatting>
  <conditionalFormatting sqref="E139:P139">
    <cfRule type="cellIs" dxfId="1008" priority="7" operator="equal">
      <formula>0</formula>
    </cfRule>
  </conditionalFormatting>
  <conditionalFormatting sqref="E140:P140">
    <cfRule type="cellIs" dxfId="1007" priority="6" operator="equal">
      <formula>0</formula>
    </cfRule>
  </conditionalFormatting>
  <conditionalFormatting sqref="E141:P141">
    <cfRule type="cellIs" dxfId="1006" priority="5" operator="equal">
      <formula>0</formula>
    </cfRule>
  </conditionalFormatting>
  <conditionalFormatting sqref="E142:P142">
    <cfRule type="cellIs" dxfId="1005" priority="4" operator="equal">
      <formula>0</formula>
    </cfRule>
  </conditionalFormatting>
  <conditionalFormatting sqref="E143:P143">
    <cfRule type="cellIs" dxfId="1004" priority="3" operator="equal">
      <formula>0</formula>
    </cfRule>
  </conditionalFormatting>
  <conditionalFormatting sqref="E144:P144">
    <cfRule type="cellIs" dxfId="1003" priority="2" operator="equal">
      <formula>0</formula>
    </cfRule>
  </conditionalFormatting>
  <conditionalFormatting sqref="Q143:Q144 Q141 Q136:Q139 Q115:Q133 Q97:Q113 Q88:Q95 Q82:Q86 Q61:Q80">
    <cfRule type="cellIs" dxfId="1002" priority="1" operator="equal">
      <formula>0</formula>
    </cfRule>
  </conditionalFormatting>
  <hyperlinks>
    <hyperlink ref="A1" location="'ODS 3.'!A1" display="REGRESAR" xr:uid="{6B947C71-DEC1-408F-9186-903EE9820ED2}"/>
    <hyperlink ref="C1" location="'Metadato 3.1.1'!A1" display="VER METADATO" xr:uid="{7A9CBC61-F04E-4A26-83A1-CB82832817E1}"/>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53-08FC-4A94-9164-C912238E74F7}">
  <sheetPr>
    <tabColor theme="0" tint="-0.499984740745262"/>
  </sheetPr>
  <dimension ref="A1:F36"/>
  <sheetViews>
    <sheetView showGridLines="0" zoomScaleNormal="100" workbookViewId="0">
      <pane ySplit="1" topLeftCell="A16" activePane="bottomLeft" state="frozen"/>
      <selection activeCell="R16" sqref="R16"/>
      <selection pane="bottomLeft" activeCell="D15" sqref="D15"/>
    </sheetView>
  </sheetViews>
  <sheetFormatPr baseColWidth="10" defaultColWidth="11.42578125" defaultRowHeight="18.75" x14ac:dyDescent="0.4"/>
  <cols>
    <col min="1" max="1" width="7.28515625" style="5" customWidth="1"/>
    <col min="2" max="2" width="26.42578125" style="5" customWidth="1"/>
    <col min="3" max="3" width="24" style="5" customWidth="1"/>
    <col min="4" max="4" width="85.7109375" style="5" customWidth="1"/>
    <col min="5" max="5" width="7" style="5" customWidth="1"/>
    <col min="6" max="7" width="7.28515625" style="5" customWidth="1"/>
    <col min="8" max="8" width="5.7109375" style="5" customWidth="1"/>
    <col min="9" max="9" width="1.42578125" style="5" customWidth="1"/>
    <col min="10" max="10" width="8.7109375" style="5" customWidth="1"/>
    <col min="11" max="11" width="10" style="5" customWidth="1"/>
    <col min="12" max="13" width="8.7109375" style="5" customWidth="1"/>
    <col min="14" max="15" width="9" style="5" customWidth="1"/>
    <col min="16" max="16" width="1.42578125" style="5" customWidth="1"/>
    <col min="17" max="17" width="9.28515625" style="5" customWidth="1"/>
    <col min="18" max="18" width="10" style="5" customWidth="1"/>
    <col min="19" max="19" width="11.42578125" style="5"/>
    <col min="20" max="20" width="1.42578125" style="5" customWidth="1"/>
    <col min="21" max="21" width="8.5703125" style="5" customWidth="1"/>
    <col min="22" max="22" width="6.5703125" style="5" customWidth="1"/>
    <col min="23" max="23" width="9.42578125" style="5" customWidth="1"/>
    <col min="24" max="24" width="10.42578125" style="5" customWidth="1"/>
    <col min="25" max="25" width="8.42578125" style="5" customWidth="1"/>
    <col min="26" max="26" width="7.28515625" style="5" customWidth="1"/>
    <col min="27" max="27" width="9.28515625" style="5" customWidth="1"/>
    <col min="28" max="16384" width="11.42578125" style="5"/>
  </cols>
  <sheetData>
    <row r="1" spans="1:6" x14ac:dyDescent="0.4">
      <c r="B1" s="90" t="s">
        <v>39</v>
      </c>
    </row>
    <row r="2" spans="1:6" ht="19.5" thickBot="1" x14ac:dyDescent="0.45"/>
    <row r="3" spans="1:6" ht="23.25" customHeight="1" thickBot="1" x14ac:dyDescent="0.45">
      <c r="B3" s="2431" t="s">
        <v>75</v>
      </c>
      <c r="C3" s="2431"/>
      <c r="D3" s="2431"/>
      <c r="F3" s="91" t="s">
        <v>76</v>
      </c>
    </row>
    <row r="4" spans="1:6" ht="21" customHeight="1" x14ac:dyDescent="0.4">
      <c r="A4" s="92"/>
      <c r="B4" s="2445" t="s">
        <v>77</v>
      </c>
      <c r="C4" s="2445"/>
      <c r="D4" s="49" t="s">
        <v>78</v>
      </c>
    </row>
    <row r="5" spans="1:6" ht="37.5" x14ac:dyDescent="0.4">
      <c r="B5" s="2445" t="s">
        <v>79</v>
      </c>
      <c r="C5" s="2445"/>
      <c r="D5" s="49" t="s">
        <v>9</v>
      </c>
    </row>
    <row r="6" spans="1:6" x14ac:dyDescent="0.4">
      <c r="B6" s="2445" t="s">
        <v>80</v>
      </c>
      <c r="C6" s="2445"/>
      <c r="D6" s="50" t="s">
        <v>10</v>
      </c>
    </row>
    <row r="7" spans="1:6" ht="37.5" x14ac:dyDescent="0.4">
      <c r="B7" s="2446" t="s">
        <v>81</v>
      </c>
      <c r="C7" s="2446"/>
      <c r="D7" s="93" t="s">
        <v>11</v>
      </c>
    </row>
    <row r="8" spans="1:6" x14ac:dyDescent="0.4">
      <c r="B8" s="2446" t="s">
        <v>82</v>
      </c>
      <c r="C8" s="2446"/>
      <c r="D8" s="94" t="s">
        <v>134</v>
      </c>
    </row>
    <row r="10" spans="1:6" ht="23.25" customHeight="1" x14ac:dyDescent="0.4">
      <c r="B10" s="2431" t="s">
        <v>85</v>
      </c>
      <c r="C10" s="2431"/>
      <c r="D10" s="2431"/>
    </row>
    <row r="11" spans="1:6" ht="16.5" customHeight="1" x14ac:dyDescent="0.4">
      <c r="B11" s="2453" t="s">
        <v>86</v>
      </c>
      <c r="C11" s="2454"/>
      <c r="D11" s="49" t="s">
        <v>135</v>
      </c>
    </row>
    <row r="12" spans="1:6" ht="34.5" customHeight="1" x14ac:dyDescent="0.4">
      <c r="B12" s="2455" t="s">
        <v>88</v>
      </c>
      <c r="C12" s="2455"/>
      <c r="D12" s="53" t="s">
        <v>136</v>
      </c>
    </row>
    <row r="13" spans="1:6" x14ac:dyDescent="0.4">
      <c r="B13" s="2445" t="s">
        <v>90</v>
      </c>
      <c r="C13" s="2445"/>
      <c r="D13" s="54" t="s">
        <v>10</v>
      </c>
    </row>
    <row r="14" spans="1:6" x14ac:dyDescent="0.4">
      <c r="B14" s="2445" t="s">
        <v>91</v>
      </c>
      <c r="C14" s="2456"/>
      <c r="D14" s="54" t="s">
        <v>92</v>
      </c>
    </row>
    <row r="15" spans="1:6" ht="333.75" customHeight="1" x14ac:dyDescent="0.4">
      <c r="B15" s="2445" t="s">
        <v>93</v>
      </c>
      <c r="C15" s="2445"/>
      <c r="D15" s="55" t="s">
        <v>137</v>
      </c>
    </row>
    <row r="16" spans="1:6" ht="39" customHeight="1" x14ac:dyDescent="0.4">
      <c r="B16" s="2445" t="s">
        <v>95</v>
      </c>
      <c r="C16" s="2445"/>
      <c r="D16" s="49" t="s">
        <v>138</v>
      </c>
    </row>
    <row r="17" spans="2:4" x14ac:dyDescent="0.4">
      <c r="B17" s="2445" t="s">
        <v>97</v>
      </c>
      <c r="C17" s="2445"/>
      <c r="D17" s="56" t="s">
        <v>98</v>
      </c>
    </row>
    <row r="18" spans="2:4" x14ac:dyDescent="0.4">
      <c r="B18" s="2446" t="s">
        <v>99</v>
      </c>
      <c r="C18" s="2446"/>
      <c r="D18" s="49"/>
    </row>
    <row r="19" spans="2:4" ht="45.75" customHeight="1" x14ac:dyDescent="0.4">
      <c r="B19" s="2457" t="s">
        <v>100</v>
      </c>
      <c r="C19" s="2458"/>
      <c r="D19" s="56" t="s">
        <v>139</v>
      </c>
    </row>
    <row r="20" spans="2:4" x14ac:dyDescent="0.4">
      <c r="B20" s="2445" t="s">
        <v>102</v>
      </c>
      <c r="C20" s="2445"/>
      <c r="D20" s="49" t="s">
        <v>140</v>
      </c>
    </row>
    <row r="21" spans="2:4" ht="16.5" customHeight="1" x14ac:dyDescent="0.4">
      <c r="B21" s="2451" t="s">
        <v>104</v>
      </c>
      <c r="C21" s="95" t="s">
        <v>105</v>
      </c>
      <c r="D21" s="49" t="s">
        <v>141</v>
      </c>
    </row>
    <row r="22" spans="2:4" x14ac:dyDescent="0.4">
      <c r="B22" s="2452"/>
      <c r="C22" s="96" t="s">
        <v>107</v>
      </c>
      <c r="D22" s="55" t="s">
        <v>142</v>
      </c>
    </row>
    <row r="23" spans="2:4" x14ac:dyDescent="0.4">
      <c r="B23" s="2444" t="s">
        <v>109</v>
      </c>
      <c r="C23" s="2444"/>
      <c r="D23" s="56" t="s">
        <v>143</v>
      </c>
    </row>
    <row r="24" spans="2:4" x14ac:dyDescent="0.4">
      <c r="B24" s="2444" t="s">
        <v>111</v>
      </c>
      <c r="C24" s="2444"/>
      <c r="D24" s="49" t="s">
        <v>112</v>
      </c>
    </row>
    <row r="25" spans="2:4" x14ac:dyDescent="0.4">
      <c r="B25" s="2445" t="s">
        <v>113</v>
      </c>
      <c r="C25" s="2445"/>
      <c r="D25" s="56" t="s">
        <v>144</v>
      </c>
    </row>
    <row r="26" spans="2:4" ht="15" customHeight="1" x14ac:dyDescent="0.4">
      <c r="B26" s="2446" t="s">
        <v>115</v>
      </c>
      <c r="C26" s="2446"/>
      <c r="D26" s="59" t="s">
        <v>145</v>
      </c>
    </row>
    <row r="27" spans="2:4" x14ac:dyDescent="0.4">
      <c r="B27" s="2447" t="s">
        <v>117</v>
      </c>
      <c r="C27" s="2448"/>
      <c r="D27" s="49"/>
    </row>
    <row r="28" spans="2:4" ht="75" x14ac:dyDescent="0.4">
      <c r="B28" s="97" t="s">
        <v>118</v>
      </c>
      <c r="C28" s="98"/>
      <c r="D28" s="49" t="s">
        <v>146</v>
      </c>
    </row>
    <row r="29" spans="2:4" x14ac:dyDescent="0.4">
      <c r="B29" s="2449" t="s">
        <v>120</v>
      </c>
      <c r="C29" s="2450"/>
      <c r="D29" s="62"/>
    </row>
    <row r="30" spans="2:4" x14ac:dyDescent="0.4">
      <c r="B30" s="63"/>
      <c r="C30" s="63"/>
      <c r="D30" s="64"/>
    </row>
    <row r="31" spans="2:4" ht="23.25" customHeight="1" x14ac:dyDescent="0.4">
      <c r="B31" s="2431" t="s">
        <v>121</v>
      </c>
      <c r="C31" s="2431"/>
      <c r="D31" s="2431"/>
    </row>
    <row r="32" spans="2:4" x14ac:dyDescent="0.4">
      <c r="B32" s="2442" t="s">
        <v>122</v>
      </c>
      <c r="C32" s="2443"/>
      <c r="D32" s="59" t="s">
        <v>123</v>
      </c>
    </row>
    <row r="33" spans="2:4" x14ac:dyDescent="0.4">
      <c r="B33" s="2442" t="s">
        <v>124</v>
      </c>
      <c r="C33" s="2443"/>
      <c r="D33" s="59" t="s">
        <v>125</v>
      </c>
    </row>
    <row r="34" spans="2:4" x14ac:dyDescent="0.4">
      <c r="B34" s="2442" t="s">
        <v>126</v>
      </c>
      <c r="C34" s="2443"/>
      <c r="D34" s="49" t="s">
        <v>147</v>
      </c>
    </row>
    <row r="35" spans="2:4" x14ac:dyDescent="0.4">
      <c r="B35" s="2442" t="s">
        <v>128</v>
      </c>
      <c r="C35" s="2443"/>
      <c r="D35" s="59" t="s">
        <v>148</v>
      </c>
    </row>
    <row r="36" spans="2:4" x14ac:dyDescent="0.4">
      <c r="B36" s="2442" t="s">
        <v>130</v>
      </c>
      <c r="C36" s="2443"/>
      <c r="D36" s="59"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D7559813-FF1D-4D8F-80AF-36777AB9E884}">
      <formula1>Nombre_indicador_ODS</formula1>
    </dataValidation>
    <dataValidation type="list" allowBlank="1" showInputMessage="1" showErrorMessage="1" sqref="D6" xr:uid="{32E5C229-A707-456D-9F2D-18BA89D3BB37}">
      <formula1>Numero_indicador</formula1>
    </dataValidation>
    <dataValidation type="list" allowBlank="1" showInputMessage="1" showErrorMessage="1" sqref="D5" xr:uid="{21838B8E-CCDA-4A4A-B88E-E97AD286152D}">
      <formula1>Metas_ODS</formula1>
    </dataValidation>
    <dataValidation type="list" allowBlank="1" showInputMessage="1" showErrorMessage="1" sqref="D4" xr:uid="{C0DE7689-C9BA-400B-9995-B99D834719FB}">
      <formula1>ODS</formula1>
    </dataValidation>
    <dataValidation allowBlank="1" showDropDown="1" showInputMessage="1" showErrorMessage="1" sqref="D13" xr:uid="{6E80B17F-944E-4940-BB5F-E20A90F4A8F2}"/>
  </dataValidations>
  <hyperlinks>
    <hyperlink ref="B1" location="'1.2.1'!A1" display="REGRESAR" xr:uid="{BCAFB143-DC81-4348-9CA1-13C074CBAF1A}"/>
    <hyperlink ref="D8" r:id="rId1" xr:uid="{F8F568ED-AFCF-416A-8A0F-D2C73FDDE87E}"/>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A5E5F-BA58-4C6F-808C-AC5022325E86}">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8.75" x14ac:dyDescent="0.25"/>
  <cols>
    <col min="1" max="1" width="11.2851562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591" t="s">
        <v>75</v>
      </c>
      <c r="C3" s="2592"/>
      <c r="D3" s="2593"/>
      <c r="F3" s="398" t="s">
        <v>76</v>
      </c>
    </row>
    <row r="4" spans="1:6" x14ac:dyDescent="0.25">
      <c r="A4" s="399"/>
      <c r="B4" s="2585" t="s">
        <v>234</v>
      </c>
      <c r="C4" s="2585"/>
      <c r="D4" s="49" t="s">
        <v>832</v>
      </c>
    </row>
    <row r="5" spans="1:6" x14ac:dyDescent="0.25">
      <c r="B5" s="2585" t="s">
        <v>79</v>
      </c>
      <c r="C5" s="2585"/>
      <c r="D5" s="49" t="s">
        <v>662</v>
      </c>
    </row>
    <row r="6" spans="1:6" x14ac:dyDescent="0.25">
      <c r="B6" s="2585" t="s">
        <v>80</v>
      </c>
      <c r="C6" s="2585"/>
      <c r="D6" s="50" t="s">
        <v>663</v>
      </c>
    </row>
    <row r="7" spans="1:6" ht="15" customHeight="1" x14ac:dyDescent="0.25">
      <c r="B7" s="2586" t="s">
        <v>81</v>
      </c>
      <c r="C7" s="2586"/>
      <c r="D7" s="54" t="s">
        <v>664</v>
      </c>
    </row>
    <row r="8" spans="1:6" ht="15" customHeight="1" x14ac:dyDescent="0.25">
      <c r="B8" s="2586" t="s">
        <v>82</v>
      </c>
      <c r="C8" s="2586"/>
      <c r="D8" s="94" t="s">
        <v>833</v>
      </c>
    </row>
    <row r="9" spans="1:6" x14ac:dyDescent="0.4">
      <c r="B9" s="281"/>
      <c r="C9" s="281"/>
      <c r="D9" s="281"/>
    </row>
    <row r="10" spans="1:6" ht="23.25" customHeight="1" x14ac:dyDescent="0.25">
      <c r="B10" s="2591" t="s">
        <v>85</v>
      </c>
      <c r="C10" s="2592"/>
      <c r="D10" s="2593"/>
    </row>
    <row r="11" spans="1:6" x14ac:dyDescent="0.25">
      <c r="B11" s="2596" t="s">
        <v>86</v>
      </c>
      <c r="C11" s="2597"/>
      <c r="D11" s="49" t="s">
        <v>167</v>
      </c>
    </row>
    <row r="12" spans="1:6" ht="17.25" customHeight="1" x14ac:dyDescent="0.25">
      <c r="B12" s="2598" t="s">
        <v>88</v>
      </c>
      <c r="C12" s="2598"/>
      <c r="D12" s="400" t="s">
        <v>834</v>
      </c>
    </row>
    <row r="13" spans="1:6" x14ac:dyDescent="0.25">
      <c r="B13" s="2585" t="s">
        <v>90</v>
      </c>
      <c r="C13" s="2585"/>
      <c r="D13" s="54" t="s">
        <v>663</v>
      </c>
    </row>
    <row r="14" spans="1:6" x14ac:dyDescent="0.25">
      <c r="B14" s="2585" t="s">
        <v>91</v>
      </c>
      <c r="C14" s="2599"/>
      <c r="D14" s="54" t="s">
        <v>92</v>
      </c>
    </row>
    <row r="15" spans="1:6" ht="131.25" x14ac:dyDescent="0.25">
      <c r="B15" s="2585" t="s">
        <v>93</v>
      </c>
      <c r="C15" s="2585"/>
      <c r="D15" s="56" t="s">
        <v>835</v>
      </c>
    </row>
    <row r="16" spans="1:6" ht="46.5" customHeight="1" x14ac:dyDescent="0.25">
      <c r="B16" s="2585" t="s">
        <v>95</v>
      </c>
      <c r="C16" s="2585"/>
      <c r="D16" s="401"/>
    </row>
    <row r="17" spans="2:4" x14ac:dyDescent="0.25">
      <c r="B17" s="2585" t="s">
        <v>97</v>
      </c>
      <c r="C17" s="2585"/>
      <c r="D17" s="402" t="s">
        <v>836</v>
      </c>
    </row>
    <row r="18" spans="2:4" x14ac:dyDescent="0.25">
      <c r="B18" s="2586" t="s">
        <v>99</v>
      </c>
      <c r="C18" s="2586"/>
      <c r="D18" s="49" t="s">
        <v>837</v>
      </c>
    </row>
    <row r="19" spans="2:4" ht="37.5" x14ac:dyDescent="0.25">
      <c r="B19" s="2600" t="s">
        <v>100</v>
      </c>
      <c r="C19" s="2601"/>
      <c r="D19" s="56" t="s">
        <v>838</v>
      </c>
    </row>
    <row r="20" spans="2:4" x14ac:dyDescent="0.25">
      <c r="B20" s="2585" t="s">
        <v>102</v>
      </c>
      <c r="C20" s="2585"/>
      <c r="D20" s="56" t="s">
        <v>140</v>
      </c>
    </row>
    <row r="21" spans="2:4" x14ac:dyDescent="0.25">
      <c r="B21" s="2594" t="s">
        <v>104</v>
      </c>
      <c r="C21" s="403" t="s">
        <v>105</v>
      </c>
      <c r="D21" s="49" t="s">
        <v>839</v>
      </c>
    </row>
    <row r="22" spans="2:4" x14ac:dyDescent="0.25">
      <c r="B22" s="2595"/>
      <c r="C22" s="404" t="s">
        <v>107</v>
      </c>
      <c r="D22" s="55" t="s">
        <v>840</v>
      </c>
    </row>
    <row r="23" spans="2:4" x14ac:dyDescent="0.25">
      <c r="B23" s="2584" t="s">
        <v>109</v>
      </c>
      <c r="C23" s="2584"/>
      <c r="D23" s="56" t="s">
        <v>841</v>
      </c>
    </row>
    <row r="24" spans="2:4" x14ac:dyDescent="0.25">
      <c r="B24" s="2584" t="s">
        <v>111</v>
      </c>
      <c r="C24" s="2584"/>
      <c r="D24" s="59" t="s">
        <v>842</v>
      </c>
    </row>
    <row r="25" spans="2:4" x14ac:dyDescent="0.25">
      <c r="B25" s="2585" t="s">
        <v>113</v>
      </c>
      <c r="C25" s="2585"/>
      <c r="D25" s="56" t="s">
        <v>220</v>
      </c>
    </row>
    <row r="26" spans="2:4" ht="15" customHeight="1" x14ac:dyDescent="0.25">
      <c r="B26" s="2586" t="s">
        <v>115</v>
      </c>
      <c r="C26" s="2586"/>
      <c r="D26" s="59" t="s">
        <v>843</v>
      </c>
    </row>
    <row r="27" spans="2:4" x14ac:dyDescent="0.25">
      <c r="B27" s="2587" t="s">
        <v>117</v>
      </c>
      <c r="C27" s="2588"/>
      <c r="D27" s="49" t="s">
        <v>844</v>
      </c>
    </row>
    <row r="28" spans="2:4" ht="37.5" x14ac:dyDescent="0.25">
      <c r="B28" s="405" t="s">
        <v>118</v>
      </c>
      <c r="C28" s="406"/>
      <c r="D28" s="56" t="s">
        <v>845</v>
      </c>
    </row>
    <row r="29" spans="2:4" x14ac:dyDescent="0.25">
      <c r="B29" s="2589" t="s">
        <v>120</v>
      </c>
      <c r="C29" s="2590"/>
      <c r="D29" s="62"/>
    </row>
    <row r="30" spans="2:4" x14ac:dyDescent="0.25">
      <c r="B30" s="129"/>
      <c r="C30" s="129"/>
      <c r="D30" s="64"/>
    </row>
    <row r="31" spans="2:4" ht="23.25" customHeight="1" x14ac:dyDescent="0.25">
      <c r="B31" s="2591" t="s">
        <v>121</v>
      </c>
      <c r="C31" s="2592"/>
      <c r="D31" s="2593"/>
    </row>
    <row r="32" spans="2:4" x14ac:dyDescent="0.25">
      <c r="B32" s="2582" t="s">
        <v>122</v>
      </c>
      <c r="C32" s="2583"/>
      <c r="D32" s="59" t="s">
        <v>846</v>
      </c>
    </row>
    <row r="33" spans="2:4" x14ac:dyDescent="0.25">
      <c r="B33" s="2582" t="s">
        <v>124</v>
      </c>
      <c r="C33" s="2583"/>
      <c r="D33" s="59" t="s">
        <v>847</v>
      </c>
    </row>
    <row r="34" spans="2:4" x14ac:dyDescent="0.25">
      <c r="B34" s="2582" t="s">
        <v>126</v>
      </c>
      <c r="C34" s="2583"/>
      <c r="D34" s="59" t="s">
        <v>127</v>
      </c>
    </row>
    <row r="35" spans="2:4" x14ac:dyDescent="0.25">
      <c r="B35" s="2582" t="s">
        <v>128</v>
      </c>
      <c r="C35" s="2583"/>
      <c r="D35" s="59" t="s">
        <v>848</v>
      </c>
    </row>
    <row r="36" spans="2:4" x14ac:dyDescent="0.25">
      <c r="B36" s="2582" t="s">
        <v>130</v>
      </c>
      <c r="C36" s="2583"/>
      <c r="D36" s="65"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480BF044-80C2-4634-B906-A3D1477E9626}">
      <formula1>Nombre_indicador_ODS</formula1>
    </dataValidation>
    <dataValidation type="list" allowBlank="1" showInputMessage="1" showErrorMessage="1" sqref="D6" xr:uid="{27C5FBEA-1B9F-4577-949F-1DE42750AA68}">
      <formula1>Numero_indicador</formula1>
    </dataValidation>
    <dataValidation type="list" allowBlank="1" showInputMessage="1" showErrorMessage="1" sqref="D5" xr:uid="{741D56E9-8C9B-402D-82CA-0AC69F8825DA}">
      <formula1>Metas_ODS</formula1>
    </dataValidation>
    <dataValidation type="list" allowBlank="1" showInputMessage="1" showErrorMessage="1" sqref="D4" xr:uid="{4870E91C-C219-4F6F-94D3-E028534FA509}">
      <formula1>ODS</formula1>
    </dataValidation>
    <dataValidation allowBlank="1" showDropDown="1" showInputMessage="1" showErrorMessage="1" sqref="D13" xr:uid="{3D616371-8BF0-49FB-BA5F-2E95C8D28FC1}"/>
  </dataValidations>
  <hyperlinks>
    <hyperlink ref="B1" location="'3.1.1'!A1" display="REGRESAR" xr:uid="{3115533A-CCA8-484E-95E0-B6C83636C25F}"/>
    <hyperlink ref="D8" r:id="rId1" xr:uid="{57A6D2D6-EF9C-49CB-9CDA-0757C7F99D65}"/>
    <hyperlink ref="D36" r:id="rId2" xr:uid="{891DD611-C40D-4C47-BF7F-82AF93FEEA62}"/>
  </hyperlinks>
  <pageMargins left="0.7" right="0.7" top="0.75" bottom="0.75" header="0.3" footer="0.3"/>
  <pageSetup orientation="portrait" r:id="rId3"/>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6EC3-445A-4C2B-9D84-EF3E0DE465D7}">
  <dimension ref="A1:AR145"/>
  <sheetViews>
    <sheetView showGridLines="0" zoomScaleNormal="100" workbookViewId="0">
      <pane ySplit="1" topLeftCell="A2" activePane="bottomLeft" state="frozen"/>
      <selection activeCell="R16" sqref="R16"/>
      <selection pane="bottomLeft" activeCell="O12" sqref="O12"/>
    </sheetView>
  </sheetViews>
  <sheetFormatPr baseColWidth="10" defaultColWidth="11.42578125" defaultRowHeight="12.75" x14ac:dyDescent="0.25"/>
  <cols>
    <col min="1" max="1" width="15.5703125" style="22" customWidth="1"/>
    <col min="2" max="2" width="15.5703125" style="89" customWidth="1"/>
    <col min="3" max="3" width="11" style="22" customWidth="1"/>
    <col min="4" max="4" width="9.5703125" style="22" customWidth="1"/>
    <col min="5" max="5" width="7.28515625" style="22" customWidth="1"/>
    <col min="6" max="10" width="6.7109375" style="22" customWidth="1"/>
    <col min="11" max="11" width="9.5703125" style="22" customWidth="1"/>
    <col min="12" max="12" width="7.5703125" style="22" customWidth="1"/>
    <col min="13" max="13" width="11.42578125" style="22"/>
    <col min="14" max="14" width="8.7109375" style="22" customWidth="1"/>
    <col min="15" max="16" width="9.7109375" style="22" customWidth="1"/>
    <col min="17" max="17" width="9.28515625" style="22" customWidth="1"/>
    <col min="18" max="18" width="9.7109375" style="22" customWidth="1"/>
    <col min="19" max="19" width="10.42578125" style="22" customWidth="1"/>
    <col min="20" max="20" width="10.7109375" style="22" customWidth="1"/>
    <col min="21" max="21" width="9.5703125" style="22" customWidth="1"/>
    <col min="22" max="22" width="1.7109375" style="22" customWidth="1"/>
    <col min="23" max="23" width="11.42578125" style="22"/>
    <col min="24" max="24" width="13.28515625" style="22" customWidth="1"/>
    <col min="25" max="25" width="11.42578125" style="22"/>
    <col min="26" max="26" width="12.42578125" style="22" customWidth="1"/>
    <col min="27" max="27" width="3.28515625" style="22" customWidth="1"/>
    <col min="28" max="28" width="19.85546875" style="22" customWidth="1"/>
    <col min="29" max="29" width="20.5703125" style="22" customWidth="1"/>
    <col min="30" max="30" width="10.7109375" style="22" customWidth="1"/>
    <col min="31" max="31" width="5.28515625" style="22" customWidth="1"/>
    <col min="32" max="32" width="8.7109375" style="22" customWidth="1"/>
    <col min="33" max="33" width="4.42578125" style="22" customWidth="1"/>
    <col min="34" max="34" width="11.42578125" style="22"/>
    <col min="35" max="35" width="10.7109375" style="22" customWidth="1"/>
    <col min="36" max="36" width="11.28515625" style="22" customWidth="1"/>
    <col min="37" max="37" width="11.42578125" style="22"/>
    <col min="38" max="38" width="1.7109375" style="22" customWidth="1"/>
    <col min="39" max="39" width="13" style="22" customWidth="1"/>
    <col min="40" max="40" width="11.42578125" style="22"/>
    <col min="41" max="41" width="10.7109375" style="22" customWidth="1"/>
    <col min="42" max="16384" width="11.42578125" style="22"/>
  </cols>
  <sheetData>
    <row r="1" spans="1:42" s="16" customFormat="1" ht="19.5" x14ac:dyDescent="0.4">
      <c r="A1" s="15" t="s">
        <v>39</v>
      </c>
      <c r="B1" s="407"/>
      <c r="C1" s="2421" t="s">
        <v>149</v>
      </c>
      <c r="D1" s="2421"/>
    </row>
    <row r="2" spans="1:42" s="16" customFormat="1" ht="19.5" x14ac:dyDescent="0.4">
      <c r="B2" s="218"/>
    </row>
    <row r="3" spans="1:42" s="162" customFormat="1" ht="15.75" customHeight="1" x14ac:dyDescent="0.25">
      <c r="A3" s="2574" t="s">
        <v>41</v>
      </c>
      <c r="B3" s="2574"/>
      <c r="C3" s="2574" t="s">
        <v>733</v>
      </c>
      <c r="D3" s="2575"/>
      <c r="E3" s="2575"/>
      <c r="F3" s="2575"/>
      <c r="G3" s="2575"/>
      <c r="H3" s="2575"/>
      <c r="I3" s="2575"/>
      <c r="J3" s="2575"/>
      <c r="K3" s="2575"/>
      <c r="L3" s="2575"/>
      <c r="M3" s="2575"/>
      <c r="N3" s="2575"/>
      <c r="O3" s="2575"/>
      <c r="P3" s="2575"/>
      <c r="Q3" s="2575"/>
    </row>
    <row r="4" spans="1:42" s="162" customFormat="1" ht="15.75" customHeight="1" x14ac:dyDescent="0.25">
      <c r="A4" s="2574" t="s">
        <v>42</v>
      </c>
      <c r="B4" s="2574"/>
      <c r="C4" s="2574" t="s">
        <v>662</v>
      </c>
      <c r="D4" s="2575"/>
      <c r="E4" s="2575"/>
      <c r="F4" s="2575"/>
      <c r="G4" s="2575"/>
      <c r="H4" s="2575"/>
      <c r="I4" s="2575"/>
      <c r="J4" s="2575"/>
      <c r="K4" s="2575"/>
      <c r="L4" s="2575"/>
      <c r="M4" s="2575"/>
      <c r="N4" s="2575"/>
      <c r="O4" s="2575"/>
      <c r="P4" s="2575"/>
      <c r="Q4" s="2575"/>
    </row>
    <row r="5" spans="1:42" s="162" customFormat="1" ht="15.75" customHeight="1" x14ac:dyDescent="0.25">
      <c r="A5" s="2574" t="s">
        <v>43</v>
      </c>
      <c r="B5" s="2574"/>
      <c r="C5" s="2574" t="s">
        <v>666</v>
      </c>
      <c r="D5" s="2575"/>
      <c r="E5" s="2575"/>
      <c r="F5" s="2575"/>
      <c r="G5" s="2575"/>
      <c r="H5" s="2575"/>
      <c r="I5" s="2575"/>
      <c r="J5" s="2575"/>
      <c r="K5" s="2575"/>
      <c r="L5" s="2575"/>
      <c r="M5" s="2575"/>
      <c r="N5" s="2575"/>
      <c r="O5" s="2575"/>
      <c r="P5" s="2575"/>
      <c r="Q5" s="2575"/>
    </row>
    <row r="6" spans="1:42" s="162" customFormat="1" ht="34.9" customHeight="1" x14ac:dyDescent="0.25">
      <c r="A6" s="2574" t="s">
        <v>132</v>
      </c>
      <c r="B6" s="2575"/>
      <c r="C6" s="2574" t="s">
        <v>850</v>
      </c>
      <c r="D6" s="2575"/>
      <c r="E6" s="2575"/>
      <c r="F6" s="2575"/>
      <c r="G6" s="2575"/>
      <c r="H6" s="2575"/>
      <c r="I6" s="2575"/>
      <c r="J6" s="2575"/>
      <c r="K6" s="2575"/>
      <c r="L6" s="2575"/>
      <c r="M6" s="2575"/>
      <c r="N6" s="2575"/>
      <c r="O6" s="2575"/>
      <c r="P6" s="2575"/>
      <c r="Q6" s="2575"/>
    </row>
    <row r="7" spans="1:42" s="16" customFormat="1" ht="19.5" x14ac:dyDescent="0.4">
      <c r="B7" s="172"/>
    </row>
    <row r="8" spans="1:42" s="16" customFormat="1" ht="19.5" x14ac:dyDescent="0.4">
      <c r="B8" s="172"/>
    </row>
    <row r="9" spans="1:42" s="16" customFormat="1" ht="19.5" x14ac:dyDescent="0.4">
      <c r="B9" s="172"/>
      <c r="C9" s="138" t="s">
        <v>851</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row>
    <row r="10" spans="1:42" ht="18.75" x14ac:dyDescent="0.25">
      <c r="B10" s="34"/>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row>
    <row r="11" spans="1:42" ht="12.75" customHeight="1" x14ac:dyDescent="0.25">
      <c r="B11" s="34"/>
      <c r="C11" s="2576" t="s">
        <v>247</v>
      </c>
      <c r="D11" s="2578" t="s">
        <v>47</v>
      </c>
      <c r="E11" s="2581" t="s">
        <v>852</v>
      </c>
      <c r="F11" s="2581"/>
      <c r="G11" s="2581"/>
      <c r="H11" s="2581"/>
      <c r="I11" s="2581"/>
      <c r="J11" s="2581"/>
      <c r="K11" s="2581"/>
      <c r="L11" s="408"/>
      <c r="M11" s="409" t="s">
        <v>853</v>
      </c>
      <c r="N11" s="408"/>
      <c r="O11" s="2580" t="s">
        <v>8179</v>
      </c>
      <c r="P11" s="2580"/>
      <c r="Q11" s="2580"/>
      <c r="R11" s="2580"/>
      <c r="S11" s="2580"/>
      <c r="T11" s="2580"/>
      <c r="U11" s="2580"/>
      <c r="V11" s="410"/>
      <c r="W11" s="2580" t="s">
        <v>854</v>
      </c>
      <c r="X11" s="2580"/>
      <c r="Y11" s="2580"/>
      <c r="Z11" s="2580"/>
      <c r="AA11" s="2580"/>
      <c r="AB11" s="2580"/>
      <c r="AC11" s="2580"/>
      <c r="AD11" s="2580"/>
      <c r="AE11" s="2580"/>
      <c r="AF11" s="2580"/>
      <c r="AG11" s="2580"/>
      <c r="AH11" s="2580"/>
      <c r="AI11" s="2580"/>
      <c r="AJ11" s="2580"/>
      <c r="AK11" s="2578" t="s">
        <v>855</v>
      </c>
      <c r="AL11" s="410"/>
      <c r="AM11" s="2580" t="s">
        <v>856</v>
      </c>
      <c r="AN11" s="2580"/>
      <c r="AO11" s="2580"/>
      <c r="AP11" s="2580"/>
    </row>
    <row r="12" spans="1:42" ht="76.5" customHeight="1" x14ac:dyDescent="0.25">
      <c r="B12" s="34"/>
      <c r="C12" s="2577"/>
      <c r="D12" s="2579"/>
      <c r="E12" s="411" t="s">
        <v>857</v>
      </c>
      <c r="F12" s="412" t="s">
        <v>858</v>
      </c>
      <c r="G12" s="412" t="s">
        <v>859</v>
      </c>
      <c r="H12" s="412" t="s">
        <v>860</v>
      </c>
      <c r="I12" s="412" t="s">
        <v>861</v>
      </c>
      <c r="J12" s="412" t="s">
        <v>862</v>
      </c>
      <c r="K12" s="412" t="s">
        <v>742</v>
      </c>
      <c r="L12" s="412"/>
      <c r="M12" s="412" t="s">
        <v>863</v>
      </c>
      <c r="N12" s="412"/>
      <c r="O12" s="412" t="s">
        <v>328</v>
      </c>
      <c r="P12" s="412" t="s">
        <v>329</v>
      </c>
      <c r="Q12" s="412" t="s">
        <v>330</v>
      </c>
      <c r="R12" s="412" t="s">
        <v>331</v>
      </c>
      <c r="S12" s="412" t="s">
        <v>332</v>
      </c>
      <c r="T12" s="412" t="s">
        <v>533</v>
      </c>
      <c r="U12" s="412" t="s">
        <v>334</v>
      </c>
      <c r="V12" s="412"/>
      <c r="W12" s="412" t="s">
        <v>864</v>
      </c>
      <c r="X12" s="412" t="s">
        <v>865</v>
      </c>
      <c r="Y12" s="412" t="s">
        <v>866</v>
      </c>
      <c r="Z12" s="2579" t="s">
        <v>867</v>
      </c>
      <c r="AA12" s="2579"/>
      <c r="AB12" s="412" t="s">
        <v>868</v>
      </c>
      <c r="AC12" s="412" t="s">
        <v>869</v>
      </c>
      <c r="AD12" s="2579" t="s">
        <v>870</v>
      </c>
      <c r="AE12" s="2579"/>
      <c r="AF12" s="2579" t="s">
        <v>871</v>
      </c>
      <c r="AG12" s="2579"/>
      <c r="AH12" s="412" t="s">
        <v>872</v>
      </c>
      <c r="AI12" s="412" t="s">
        <v>873</v>
      </c>
      <c r="AJ12" s="412" t="s">
        <v>874</v>
      </c>
      <c r="AK12" s="2579"/>
      <c r="AL12" s="412"/>
      <c r="AM12" s="412" t="s">
        <v>875</v>
      </c>
      <c r="AN12" s="412" t="s">
        <v>876</v>
      </c>
      <c r="AO12" s="412" t="s">
        <v>877</v>
      </c>
      <c r="AP12" s="412" t="s">
        <v>878</v>
      </c>
    </row>
    <row r="13" spans="1:42" ht="18.75" x14ac:dyDescent="0.4">
      <c r="B13" s="34"/>
      <c r="C13" s="2378">
        <v>2010</v>
      </c>
      <c r="D13" s="413">
        <v>99.173740165251971</v>
      </c>
      <c r="E13" s="414">
        <v>96.962616822429908</v>
      </c>
      <c r="F13" s="413">
        <v>99.067236688690244</v>
      </c>
      <c r="G13" s="413">
        <v>99.243202840325139</v>
      </c>
      <c r="H13" s="413">
        <v>99.308054248546924</v>
      </c>
      <c r="I13" s="413">
        <v>99.204039712427246</v>
      </c>
      <c r="J13" s="413">
        <v>99.002152220700452</v>
      </c>
      <c r="K13" s="413">
        <v>98.385913426265589</v>
      </c>
      <c r="L13" s="413"/>
      <c r="M13" s="254">
        <v>105.46256536090905</v>
      </c>
      <c r="N13" s="254"/>
      <c r="O13" s="2603" t="s">
        <v>8178</v>
      </c>
      <c r="P13" s="2603"/>
      <c r="Q13" s="2603"/>
      <c r="R13" s="2603"/>
      <c r="S13" s="2603"/>
      <c r="T13" s="2603"/>
      <c r="U13" s="2603"/>
      <c r="V13" s="413"/>
      <c r="W13" s="415">
        <v>100</v>
      </c>
      <c r="X13" s="416">
        <v>99.869597615499245</v>
      </c>
      <c r="Y13" s="416">
        <v>99.779388591238572</v>
      </c>
      <c r="Z13" s="417">
        <v>99.967126890203815</v>
      </c>
      <c r="AA13" s="416"/>
      <c r="AB13" s="416">
        <v>99.753963914707484</v>
      </c>
      <c r="AC13" s="416">
        <v>95.535714285714292</v>
      </c>
      <c r="AD13" s="417">
        <v>100</v>
      </c>
      <c r="AE13" s="416"/>
      <c r="AF13" s="417">
        <v>99.89506820566632</v>
      </c>
      <c r="AG13" s="416"/>
      <c r="AH13" s="416">
        <v>99.656357388316152</v>
      </c>
      <c r="AI13" s="380">
        <v>99.354838709677423</v>
      </c>
      <c r="AJ13" s="413">
        <v>96.566523605150209</v>
      </c>
      <c r="AK13" s="413">
        <v>98.967835310696799</v>
      </c>
      <c r="AL13" s="413"/>
      <c r="AM13" s="381">
        <v>99.965707981094667</v>
      </c>
      <c r="AN13" s="381">
        <v>100</v>
      </c>
      <c r="AO13" s="381">
        <v>21.216407355021218</v>
      </c>
      <c r="AP13" s="381">
        <v>50</v>
      </c>
    </row>
    <row r="14" spans="1:42" ht="18.75" x14ac:dyDescent="0.4">
      <c r="B14" s="34"/>
      <c r="C14" s="2382">
        <v>2011</v>
      </c>
      <c r="D14" s="413">
        <v>99.147823956220478</v>
      </c>
      <c r="E14" s="414">
        <v>98.535564853556494</v>
      </c>
      <c r="F14" s="413">
        <v>98.927773641102007</v>
      </c>
      <c r="G14" s="413">
        <v>99.262750221641554</v>
      </c>
      <c r="H14" s="413">
        <v>99.181373591324686</v>
      </c>
      <c r="I14" s="413">
        <v>99.272197962154294</v>
      </c>
      <c r="J14" s="413">
        <v>99.086839749328561</v>
      </c>
      <c r="K14" s="413">
        <v>98.37877671333824</v>
      </c>
      <c r="L14" s="413"/>
      <c r="M14" s="254">
        <v>105.32532701849347</v>
      </c>
      <c r="N14" s="254"/>
      <c r="O14" s="2572"/>
      <c r="P14" s="2572"/>
      <c r="Q14" s="2572"/>
      <c r="R14" s="2572"/>
      <c r="S14" s="2572"/>
      <c r="T14" s="2572"/>
      <c r="U14" s="2572"/>
      <c r="V14" s="413"/>
      <c r="W14" s="415">
        <v>100</v>
      </c>
      <c r="X14" s="416">
        <v>99.762035511623651</v>
      </c>
      <c r="Y14" s="416">
        <v>99.681528662420376</v>
      </c>
      <c r="Z14" s="417">
        <v>99.967938441808272</v>
      </c>
      <c r="AA14" s="416"/>
      <c r="AB14" s="416">
        <v>99.765625</v>
      </c>
      <c r="AC14" s="416">
        <v>93.333333333333329</v>
      </c>
      <c r="AD14" s="417">
        <v>95.408163265306129</v>
      </c>
      <c r="AE14" s="416"/>
      <c r="AF14" s="417">
        <v>99.898989898989896</v>
      </c>
      <c r="AG14" s="416"/>
      <c r="AH14" s="416">
        <v>99.188007495315432</v>
      </c>
      <c r="AI14" s="380">
        <v>99.270072992700733</v>
      </c>
      <c r="AJ14" s="413">
        <v>92</v>
      </c>
      <c r="AK14" s="413">
        <v>99.004553247184177</v>
      </c>
      <c r="AL14" s="413"/>
      <c r="AM14" s="381">
        <v>99.938101887172692</v>
      </c>
      <c r="AN14" s="381">
        <v>100</v>
      </c>
      <c r="AO14" s="381">
        <v>21.438645980253877</v>
      </c>
      <c r="AP14" s="381">
        <v>67.5</v>
      </c>
    </row>
    <row r="15" spans="1:42" ht="18.75" x14ac:dyDescent="0.4">
      <c r="B15" s="34"/>
      <c r="C15" s="2378">
        <v>2012</v>
      </c>
      <c r="D15" s="413">
        <v>98.865341079562498</v>
      </c>
      <c r="E15" s="414">
        <v>97.137404580152676</v>
      </c>
      <c r="F15" s="413">
        <v>98.708877379823477</v>
      </c>
      <c r="G15" s="413">
        <v>98.929612462369192</v>
      </c>
      <c r="H15" s="413">
        <v>98.970412918608432</v>
      </c>
      <c r="I15" s="413">
        <v>99.155285387226655</v>
      </c>
      <c r="J15" s="413">
        <v>98.649135446685875</v>
      </c>
      <c r="K15" s="413">
        <v>97.05291359678499</v>
      </c>
      <c r="L15" s="413"/>
      <c r="M15" s="254">
        <v>103.07011400879576</v>
      </c>
      <c r="N15" s="254"/>
      <c r="O15" s="2572"/>
      <c r="P15" s="2572"/>
      <c r="Q15" s="2572"/>
      <c r="R15" s="2572"/>
      <c r="S15" s="2572"/>
      <c r="T15" s="2572"/>
      <c r="U15" s="2572"/>
      <c r="V15" s="413"/>
      <c r="W15" s="415">
        <v>100</v>
      </c>
      <c r="X15" s="416">
        <v>99.728113104948349</v>
      </c>
      <c r="Y15" s="416">
        <v>99.55250596658712</v>
      </c>
      <c r="Z15" s="417">
        <v>99.834601389348336</v>
      </c>
      <c r="AA15" s="416"/>
      <c r="AB15" s="416">
        <v>99.70853206147325</v>
      </c>
      <c r="AC15" s="416">
        <v>96.610169491525426</v>
      </c>
      <c r="AD15" s="417">
        <v>100</v>
      </c>
      <c r="AE15" s="416"/>
      <c r="AF15" s="417">
        <v>99.704724409448815</v>
      </c>
      <c r="AG15" s="416"/>
      <c r="AH15" s="416">
        <v>99.448191293684857</v>
      </c>
      <c r="AI15" s="380">
        <v>97.247706422018354</v>
      </c>
      <c r="AJ15" s="413">
        <v>96.696696696696691</v>
      </c>
      <c r="AK15" s="413">
        <v>98.605526247832671</v>
      </c>
      <c r="AL15" s="413"/>
      <c r="AM15" s="381">
        <v>99.910376131139955</v>
      </c>
      <c r="AN15" s="381">
        <v>99.935233160621763</v>
      </c>
      <c r="AO15" s="381">
        <v>21.891604675876728</v>
      </c>
      <c r="AP15" s="381">
        <v>72.268907563025209</v>
      </c>
    </row>
    <row r="16" spans="1:42" ht="18.75" x14ac:dyDescent="0.4">
      <c r="B16" s="34"/>
      <c r="C16" s="2378">
        <v>2013</v>
      </c>
      <c r="D16" s="413">
        <v>99.029057406094964</v>
      </c>
      <c r="E16" s="414">
        <v>97.263157894736835</v>
      </c>
      <c r="F16" s="413">
        <v>98.83842025154209</v>
      </c>
      <c r="G16" s="413">
        <v>99.155439372612108</v>
      </c>
      <c r="H16" s="413">
        <v>99.208225655688125</v>
      </c>
      <c r="I16" s="413">
        <v>99.031654325006102</v>
      </c>
      <c r="J16" s="413">
        <v>98.856944925528239</v>
      </c>
      <c r="K16" s="413">
        <v>97.931034482758619</v>
      </c>
      <c r="L16" s="413"/>
      <c r="M16" s="254">
        <v>105.13535733161079</v>
      </c>
      <c r="N16" s="254"/>
      <c r="O16" s="2572"/>
      <c r="P16" s="2572"/>
      <c r="Q16" s="2572"/>
      <c r="R16" s="2572"/>
      <c r="S16" s="2572"/>
      <c r="T16" s="2572"/>
      <c r="U16" s="2572"/>
      <c r="V16" s="413"/>
      <c r="W16" s="415">
        <v>100</v>
      </c>
      <c r="X16" s="416">
        <v>99.653979238754317</v>
      </c>
      <c r="Y16" s="416">
        <v>99.702114983616326</v>
      </c>
      <c r="Z16" s="417">
        <v>99.899091826437953</v>
      </c>
      <c r="AA16" s="416"/>
      <c r="AB16" s="416">
        <v>99.864204236827817</v>
      </c>
      <c r="AC16" s="416">
        <v>94.666666666666671</v>
      </c>
      <c r="AD16" s="417">
        <v>98.235294117647058</v>
      </c>
      <c r="AE16" s="416"/>
      <c r="AF16" s="417">
        <v>100</v>
      </c>
      <c r="AG16" s="416"/>
      <c r="AH16" s="416">
        <v>99.630541871921181</v>
      </c>
      <c r="AI16" s="380">
        <v>98.347107438016536</v>
      </c>
      <c r="AJ16" s="413">
        <v>92.012779552715656</v>
      </c>
      <c r="AK16" s="413">
        <v>98.820740970994507</v>
      </c>
      <c r="AL16" s="413"/>
      <c r="AM16" s="381">
        <v>99.935336401094759</v>
      </c>
      <c r="AN16" s="381">
        <v>99.968314321926485</v>
      </c>
      <c r="AO16" s="381">
        <v>20.5771643663739</v>
      </c>
      <c r="AP16" s="381">
        <v>91.919191919191917</v>
      </c>
    </row>
    <row r="17" spans="2:44" ht="18.75" x14ac:dyDescent="0.4">
      <c r="B17" s="34"/>
      <c r="C17" s="2378">
        <v>2014</v>
      </c>
      <c r="D17" s="413">
        <v>99.219979663755524</v>
      </c>
      <c r="E17" s="414">
        <v>97.647058823529406</v>
      </c>
      <c r="F17" s="413">
        <v>99.076462268075545</v>
      </c>
      <c r="G17" s="413">
        <v>99.336002838461141</v>
      </c>
      <c r="H17" s="413">
        <v>99.309791332263245</v>
      </c>
      <c r="I17" s="413">
        <v>99.311737861898706</v>
      </c>
      <c r="J17" s="413">
        <v>99.051738479454329</v>
      </c>
      <c r="K17" s="413">
        <v>98.091342876618953</v>
      </c>
      <c r="L17" s="413"/>
      <c r="M17" s="254">
        <v>104.79845897303204</v>
      </c>
      <c r="N17" s="254"/>
      <c r="O17" s="2572"/>
      <c r="P17" s="2572"/>
      <c r="Q17" s="2572"/>
      <c r="R17" s="2572"/>
      <c r="S17" s="2572"/>
      <c r="T17" s="2572"/>
      <c r="U17" s="2572"/>
      <c r="V17" s="413"/>
      <c r="W17" s="415">
        <v>100</v>
      </c>
      <c r="X17" s="416">
        <v>99.635645969333524</v>
      </c>
      <c r="Y17" s="416">
        <v>99.725085910652922</v>
      </c>
      <c r="Z17" s="417">
        <v>99.849284099472484</v>
      </c>
      <c r="AA17" s="416"/>
      <c r="AB17" s="416">
        <v>99.752753427736579</v>
      </c>
      <c r="AC17" s="416">
        <v>92.10526315789474</v>
      </c>
      <c r="AD17" s="417">
        <v>97.633136094674555</v>
      </c>
      <c r="AE17" s="416"/>
      <c r="AF17" s="417">
        <v>100</v>
      </c>
      <c r="AG17" s="416"/>
      <c r="AH17" s="416">
        <v>99.828669331810389</v>
      </c>
      <c r="AI17" s="380">
        <v>99.2</v>
      </c>
      <c r="AJ17" s="413">
        <v>97.643097643097647</v>
      </c>
      <c r="AK17" s="413">
        <v>99.051237055749468</v>
      </c>
      <c r="AL17" s="413"/>
      <c r="AM17" s="381">
        <v>99.930409547217863</v>
      </c>
      <c r="AN17" s="381">
        <v>100</v>
      </c>
      <c r="AO17" s="381">
        <v>27.298850574712645</v>
      </c>
      <c r="AP17" s="381">
        <v>93.396226415094347</v>
      </c>
    </row>
    <row r="18" spans="2:44" ht="18.75" x14ac:dyDescent="0.4">
      <c r="B18" s="34"/>
      <c r="C18" s="2378">
        <v>2015</v>
      </c>
      <c r="D18" s="413">
        <v>99.181275150029933</v>
      </c>
      <c r="E18" s="414">
        <v>98.383371824480363</v>
      </c>
      <c r="F18" s="413">
        <v>98.884227439078813</v>
      </c>
      <c r="G18" s="413">
        <v>99.239231006476814</v>
      </c>
      <c r="H18" s="413">
        <v>99.356533862405499</v>
      </c>
      <c r="I18" s="413">
        <v>99.280264862530586</v>
      </c>
      <c r="J18" s="413">
        <v>99.118004866180058</v>
      </c>
      <c r="K18" s="413">
        <v>98.136645962732914</v>
      </c>
      <c r="L18" s="413"/>
      <c r="M18" s="254">
        <v>105.39504036908882</v>
      </c>
      <c r="N18" s="254"/>
      <c r="O18" s="2572"/>
      <c r="P18" s="2572"/>
      <c r="Q18" s="2572"/>
      <c r="R18" s="2572"/>
      <c r="S18" s="2572"/>
      <c r="T18" s="2572"/>
      <c r="U18" s="2572"/>
      <c r="V18" s="413"/>
      <c r="W18" s="415">
        <v>100</v>
      </c>
      <c r="X18" s="416">
        <v>99.845135858088128</v>
      </c>
      <c r="Y18" s="416">
        <v>99.682161303138656</v>
      </c>
      <c r="Z18" s="417">
        <v>100</v>
      </c>
      <c r="AA18" s="416"/>
      <c r="AB18" s="416">
        <v>99.815875613747949</v>
      </c>
      <c r="AC18" s="416">
        <v>95.774647887323937</v>
      </c>
      <c r="AD18" s="417">
        <v>98.857142857142861</v>
      </c>
      <c r="AE18" s="416"/>
      <c r="AF18" s="417">
        <v>100</v>
      </c>
      <c r="AG18" s="416"/>
      <c r="AH18" s="416">
        <v>99.500312304809484</v>
      </c>
      <c r="AI18" s="380">
        <v>100</v>
      </c>
      <c r="AJ18" s="413">
        <v>90.864197530864203</v>
      </c>
      <c r="AK18" s="413">
        <v>99.009862545623989</v>
      </c>
      <c r="AL18" s="413"/>
      <c r="AM18" s="381">
        <v>99.980686950320901</v>
      </c>
      <c r="AN18" s="381">
        <v>99.972406181015444</v>
      </c>
      <c r="AO18" s="381">
        <v>22.271386430678465</v>
      </c>
      <c r="AP18" s="381">
        <v>77.073170731707322</v>
      </c>
    </row>
    <row r="19" spans="2:44" ht="18.75" x14ac:dyDescent="0.4">
      <c r="B19" s="34"/>
      <c r="C19" s="2382">
        <v>2016</v>
      </c>
      <c r="D19" s="413">
        <v>98.800068567510422</v>
      </c>
      <c r="E19" s="414">
        <v>96.848137535816619</v>
      </c>
      <c r="F19" s="413">
        <v>98.470832546724566</v>
      </c>
      <c r="G19" s="413">
        <v>99.064634787178136</v>
      </c>
      <c r="H19" s="413">
        <v>99.068697271830828</v>
      </c>
      <c r="I19" s="413">
        <v>98.830196904744611</v>
      </c>
      <c r="J19" s="413">
        <v>98.495778971603983</v>
      </c>
      <c r="K19" s="413">
        <v>95.99733155436958</v>
      </c>
      <c r="L19" s="413"/>
      <c r="M19" s="254">
        <v>102.42332006555841</v>
      </c>
      <c r="N19" s="254"/>
      <c r="O19" s="2572"/>
      <c r="P19" s="2572"/>
      <c r="Q19" s="2572"/>
      <c r="R19" s="2572"/>
      <c r="S19" s="2572"/>
      <c r="T19" s="2572"/>
      <c r="U19" s="2572"/>
      <c r="V19" s="413"/>
      <c r="W19" s="418">
        <v>100</v>
      </c>
      <c r="X19" s="413">
        <v>99.217250036922167</v>
      </c>
      <c r="Y19" s="413">
        <v>99.09697683549274</v>
      </c>
      <c r="Z19" s="392">
        <v>99.685781618224667</v>
      </c>
      <c r="AA19" s="413"/>
      <c r="AB19" s="413">
        <v>99.393559180259302</v>
      </c>
      <c r="AC19" s="413">
        <v>98.461538461538467</v>
      </c>
      <c r="AD19" s="392">
        <v>98.395721925133699</v>
      </c>
      <c r="AE19" s="413"/>
      <c r="AF19" s="392">
        <v>99.764705882352942</v>
      </c>
      <c r="AG19" s="413"/>
      <c r="AH19" s="413">
        <v>99.004100761570001</v>
      </c>
      <c r="AI19" s="380">
        <v>100</v>
      </c>
      <c r="AJ19" s="413">
        <v>84.615384615384613</v>
      </c>
      <c r="AK19" s="413">
        <v>98.717409166516362</v>
      </c>
      <c r="AL19" s="413"/>
      <c r="AM19" s="381">
        <v>99.914652360776671</v>
      </c>
      <c r="AN19" s="381">
        <v>99.831176139561066</v>
      </c>
      <c r="AO19" s="381">
        <v>7.3487031700288181</v>
      </c>
      <c r="AP19" s="381">
        <v>4.929577464788732</v>
      </c>
    </row>
    <row r="20" spans="2:44" ht="18.75" x14ac:dyDescent="0.4">
      <c r="C20" s="2382">
        <v>2017</v>
      </c>
      <c r="D20" s="413">
        <v>98.731307494441296</v>
      </c>
      <c r="E20" s="414">
        <v>96.666666666666671</v>
      </c>
      <c r="F20" s="413">
        <v>98.335870116692035</v>
      </c>
      <c r="G20" s="413">
        <v>98.706099815157117</v>
      </c>
      <c r="H20" s="413">
        <v>98.88598005904305</v>
      </c>
      <c r="I20" s="413">
        <v>98.869085963782126</v>
      </c>
      <c r="J20" s="413">
        <v>98.969223972905311</v>
      </c>
      <c r="K20" s="413">
        <v>97.866839043309625</v>
      </c>
      <c r="L20" s="413"/>
      <c r="M20" s="254">
        <v>106.22894089791457</v>
      </c>
      <c r="N20" s="254"/>
      <c r="O20" s="2572"/>
      <c r="P20" s="2572"/>
      <c r="Q20" s="2572"/>
      <c r="R20" s="2572"/>
      <c r="S20" s="2572"/>
      <c r="T20" s="2572"/>
      <c r="U20" s="2572"/>
      <c r="V20" s="413"/>
      <c r="W20" s="418">
        <v>98.630136986301366</v>
      </c>
      <c r="X20" s="413">
        <v>99.409627611262479</v>
      </c>
      <c r="Y20" s="413">
        <v>99.154411764705884</v>
      </c>
      <c r="Z20" s="392">
        <v>99.630860095976374</v>
      </c>
      <c r="AA20" s="413"/>
      <c r="AB20" s="413">
        <v>99.235063055612983</v>
      </c>
      <c r="AC20" s="413">
        <v>85.393258426966284</v>
      </c>
      <c r="AD20" s="392">
        <v>97.59615384615384</v>
      </c>
      <c r="AE20" s="413"/>
      <c r="AF20" s="392">
        <v>98.93364928909952</v>
      </c>
      <c r="AG20" s="413"/>
      <c r="AH20" s="413">
        <v>99.665551839464882</v>
      </c>
      <c r="AI20" s="380">
        <v>98.701298701298697</v>
      </c>
      <c r="AJ20" s="413">
        <v>95.26627218934911</v>
      </c>
      <c r="AK20" s="413">
        <v>98.51876234364714</v>
      </c>
      <c r="AL20" s="413"/>
      <c r="AM20" s="381">
        <v>99.689220112561074</v>
      </c>
      <c r="AN20" s="381">
        <v>99.737149532710276</v>
      </c>
      <c r="AO20" s="381">
        <v>4.9062049062049065</v>
      </c>
      <c r="AP20" s="381">
        <v>77.777777777777786</v>
      </c>
      <c r="AQ20" s="419"/>
      <c r="AR20" s="419"/>
    </row>
    <row r="21" spans="2:44" ht="18.75" x14ac:dyDescent="0.4">
      <c r="C21" s="2382">
        <v>2018</v>
      </c>
      <c r="D21" s="413">
        <v>99.005098686613394</v>
      </c>
      <c r="E21" s="414">
        <v>96.525096525096515</v>
      </c>
      <c r="F21" s="413">
        <v>98.532901833872714</v>
      </c>
      <c r="G21" s="413">
        <v>99.006183745583044</v>
      </c>
      <c r="H21" s="413">
        <v>99.112442447439946</v>
      </c>
      <c r="I21" s="413">
        <v>99.170599170599175</v>
      </c>
      <c r="J21" s="413">
        <v>99.193099610461871</v>
      </c>
      <c r="K21" s="413">
        <v>98.630989421281896</v>
      </c>
      <c r="L21" s="413"/>
      <c r="M21" s="254">
        <v>103.80740428859283</v>
      </c>
      <c r="N21" s="254"/>
      <c r="O21" s="2572"/>
      <c r="P21" s="2572"/>
      <c r="Q21" s="2572"/>
      <c r="R21" s="2572"/>
      <c r="S21" s="2572"/>
      <c r="T21" s="2572"/>
      <c r="U21" s="2572"/>
      <c r="V21" s="413"/>
      <c r="W21" s="418">
        <v>100</v>
      </c>
      <c r="X21" s="413">
        <v>99.78612893369997</v>
      </c>
      <c r="Y21" s="413">
        <v>99.682875264270606</v>
      </c>
      <c r="Z21" s="392">
        <v>99.681753889674681</v>
      </c>
      <c r="AA21" s="413"/>
      <c r="AB21" s="413">
        <v>99.589069241832746</v>
      </c>
      <c r="AC21" s="413">
        <v>94.594594594594597</v>
      </c>
      <c r="AD21" s="392">
        <v>99.111111111111114</v>
      </c>
      <c r="AE21" s="413"/>
      <c r="AF21" s="392">
        <v>99.776286353467555</v>
      </c>
      <c r="AG21" s="413"/>
      <c r="AH21" s="413">
        <v>99.394939493949394</v>
      </c>
      <c r="AI21" s="380">
        <v>98.98989898989899</v>
      </c>
      <c r="AJ21" s="413">
        <v>94.478527607361968</v>
      </c>
      <c r="AK21" s="413">
        <v>98.750651788507653</v>
      </c>
      <c r="AL21" s="413"/>
      <c r="AM21" s="381">
        <v>99.927139690266173</v>
      </c>
      <c r="AN21" s="381">
        <v>100</v>
      </c>
      <c r="AO21" s="381">
        <v>6.6971080669710803</v>
      </c>
      <c r="AP21" s="381">
        <v>40</v>
      </c>
      <c r="AQ21" s="419"/>
      <c r="AR21" s="419"/>
    </row>
    <row r="22" spans="2:44" ht="18.75" x14ac:dyDescent="0.4">
      <c r="C22" s="2382">
        <v>2019</v>
      </c>
      <c r="D22" s="413">
        <v>99.043158975635563</v>
      </c>
      <c r="E22" s="414">
        <v>96.226415094339629</v>
      </c>
      <c r="F22" s="413">
        <v>98.572530864197532</v>
      </c>
      <c r="G22" s="413">
        <v>99.189318073438244</v>
      </c>
      <c r="H22" s="413">
        <v>99.026164496069455</v>
      </c>
      <c r="I22" s="413">
        <v>99.280522722267079</v>
      </c>
      <c r="J22" s="413">
        <v>98.871013265594129</v>
      </c>
      <c r="K22" s="413">
        <v>99.178403755868544</v>
      </c>
      <c r="L22" s="413"/>
      <c r="M22" s="254">
        <v>103.74791960056331</v>
      </c>
      <c r="N22" s="254"/>
      <c r="O22" s="2572"/>
      <c r="P22" s="2572"/>
      <c r="Q22" s="2572"/>
      <c r="R22" s="2572"/>
      <c r="S22" s="2572"/>
      <c r="T22" s="2572"/>
      <c r="U22" s="2572"/>
      <c r="V22" s="413"/>
      <c r="W22" s="418">
        <v>100</v>
      </c>
      <c r="X22" s="413">
        <v>99.699652228896625</v>
      </c>
      <c r="Y22" s="413">
        <v>99.712643678160916</v>
      </c>
      <c r="Z22" s="392">
        <v>99.853318665199851</v>
      </c>
      <c r="AA22" s="413"/>
      <c r="AB22" s="413">
        <v>99.693385895751206</v>
      </c>
      <c r="AC22" s="413">
        <v>95.918367346938766</v>
      </c>
      <c r="AD22" s="392">
        <v>99.545454545454547</v>
      </c>
      <c r="AE22" s="413"/>
      <c r="AF22" s="392">
        <v>99.780701754385973</v>
      </c>
      <c r="AG22" s="413"/>
      <c r="AH22" s="413">
        <v>98.988697204045209</v>
      </c>
      <c r="AI22" s="380">
        <v>99.166666666666671</v>
      </c>
      <c r="AJ22" s="413">
        <v>99.156118143459921</v>
      </c>
      <c r="AK22" s="413">
        <v>98.777005912636866</v>
      </c>
      <c r="AL22" s="413"/>
      <c r="AM22" s="381">
        <v>99.993385587194496</v>
      </c>
      <c r="AN22" s="381">
        <v>100</v>
      </c>
      <c r="AO22" s="381">
        <v>5.1529790660225441</v>
      </c>
      <c r="AP22" s="381">
        <v>0</v>
      </c>
      <c r="AQ22" s="419"/>
      <c r="AR22" s="419"/>
    </row>
    <row r="23" spans="2:44" ht="18.75" x14ac:dyDescent="0.4">
      <c r="C23" s="2382">
        <v>2020</v>
      </c>
      <c r="D23" s="413">
        <v>99.145402022147337</v>
      </c>
      <c r="E23" s="414">
        <v>97.309417040358753</v>
      </c>
      <c r="F23" s="413">
        <v>98.758805769875877</v>
      </c>
      <c r="G23" s="413">
        <v>99.106957424714437</v>
      </c>
      <c r="H23" s="413">
        <v>99.322423932498083</v>
      </c>
      <c r="I23" s="413">
        <v>99.212899281675078</v>
      </c>
      <c r="J23" s="413">
        <v>99.066213921901522</v>
      </c>
      <c r="K23" s="413">
        <v>99.24768518518519</v>
      </c>
      <c r="L23" s="413"/>
      <c r="M23" s="254">
        <v>103.17488283589979</v>
      </c>
      <c r="N23" s="254"/>
      <c r="O23" s="2572"/>
      <c r="P23" s="2572"/>
      <c r="Q23" s="2572"/>
      <c r="R23" s="2572"/>
      <c r="S23" s="2572"/>
      <c r="T23" s="2572"/>
      <c r="U23" s="2572"/>
      <c r="V23" s="413"/>
      <c r="W23" s="418">
        <v>100</v>
      </c>
      <c r="X23" s="413">
        <v>99.790099702641243</v>
      </c>
      <c r="Y23" s="413">
        <v>99.751155350159976</v>
      </c>
      <c r="Z23" s="392">
        <v>100</v>
      </c>
      <c r="AA23" s="413"/>
      <c r="AB23" s="413">
        <v>99.739829706717117</v>
      </c>
      <c r="AC23" s="413">
        <v>93.902439024390233</v>
      </c>
      <c r="AD23" s="392">
        <v>99.126637554585145</v>
      </c>
      <c r="AE23" s="413"/>
      <c r="AF23" s="392">
        <v>99.657534246575338</v>
      </c>
      <c r="AG23" s="413"/>
      <c r="AH23" s="413">
        <v>99.325691166554293</v>
      </c>
      <c r="AI23" s="380">
        <v>100</v>
      </c>
      <c r="AJ23" s="413">
        <v>98.878923766816143</v>
      </c>
      <c r="AK23" s="413">
        <v>98.871643010313491</v>
      </c>
      <c r="AL23" s="413"/>
      <c r="AM23" s="381">
        <v>99.996308396552052</v>
      </c>
      <c r="AN23" s="381">
        <v>100</v>
      </c>
      <c r="AO23" s="381">
        <v>4.7808764940239046</v>
      </c>
      <c r="AP23" s="381">
        <v>0</v>
      </c>
    </row>
    <row r="24" spans="2:44" ht="18.75" x14ac:dyDescent="0.4">
      <c r="C24" s="2382">
        <v>2021</v>
      </c>
      <c r="D24" s="413">
        <v>98.749263188918363</v>
      </c>
      <c r="E24" s="414">
        <v>93.90862944162437</v>
      </c>
      <c r="F24" s="413">
        <v>97.980630537811663</v>
      </c>
      <c r="G24" s="413">
        <v>98.511950655358518</v>
      </c>
      <c r="H24" s="413">
        <v>99.030351331606553</v>
      </c>
      <c r="I24" s="413">
        <v>99.011651265568503</v>
      </c>
      <c r="J24" s="413">
        <v>98.790896159317214</v>
      </c>
      <c r="K24" s="413">
        <v>98.732718894009224</v>
      </c>
      <c r="L24" s="413"/>
      <c r="M24" s="254">
        <v>103.71257029943762</v>
      </c>
      <c r="N24" s="254"/>
      <c r="O24" s="2572"/>
      <c r="P24" s="2572"/>
      <c r="Q24" s="2572"/>
      <c r="R24" s="2572"/>
      <c r="S24" s="2572"/>
      <c r="T24" s="2572"/>
      <c r="U24" s="2572"/>
      <c r="V24" s="413"/>
      <c r="W24" s="418">
        <v>100</v>
      </c>
      <c r="X24" s="413">
        <v>99.679108258740072</v>
      </c>
      <c r="Y24" s="413">
        <v>99.535747446610955</v>
      </c>
      <c r="Z24" s="392">
        <v>99.724409448818889</v>
      </c>
      <c r="AA24" s="413"/>
      <c r="AB24" s="413">
        <v>99.456802897051205</v>
      </c>
      <c r="AC24" s="413">
        <v>71.698113207547166</v>
      </c>
      <c r="AD24" s="392">
        <v>99.578059071729967</v>
      </c>
      <c r="AE24" s="413"/>
      <c r="AF24" s="392">
        <v>100</v>
      </c>
      <c r="AG24" s="413"/>
      <c r="AH24" s="413">
        <v>99.578059071729967</v>
      </c>
      <c r="AI24" s="380">
        <v>100</v>
      </c>
      <c r="AJ24" s="413">
        <v>98.833819241982511</v>
      </c>
      <c r="AK24" s="413">
        <v>98.409613489543418</v>
      </c>
      <c r="AL24" s="413"/>
      <c r="AM24" s="381">
        <v>100</v>
      </c>
      <c r="AN24" s="381">
        <v>100</v>
      </c>
      <c r="AO24" s="381">
        <v>8.5597826086956523</v>
      </c>
      <c r="AP24" s="381">
        <v>0</v>
      </c>
    </row>
    <row r="25" spans="2:44" ht="18.75" x14ac:dyDescent="0.4">
      <c r="C25" s="2382">
        <v>2022</v>
      </c>
      <c r="D25" s="413">
        <v>98.937026293627767</v>
      </c>
      <c r="E25" s="414">
        <v>95.260663507109001</v>
      </c>
      <c r="F25" s="413">
        <v>98.498307952622682</v>
      </c>
      <c r="G25" s="413">
        <v>98.960748261251894</v>
      </c>
      <c r="H25" s="413">
        <v>98.827964359150101</v>
      </c>
      <c r="I25" s="413">
        <v>99.206349206349216</v>
      </c>
      <c r="J25" s="413">
        <v>98.915951006616922</v>
      </c>
      <c r="K25" s="413">
        <v>99.45054945054946</v>
      </c>
      <c r="L25" s="413"/>
      <c r="M25" s="254">
        <v>103.51464757285291</v>
      </c>
      <c r="N25" s="254"/>
      <c r="O25" s="2572"/>
      <c r="P25" s="2572"/>
      <c r="Q25" s="2572"/>
      <c r="R25" s="2572"/>
      <c r="S25" s="2572"/>
      <c r="T25" s="2572"/>
      <c r="U25" s="2572"/>
      <c r="V25" s="413"/>
      <c r="W25" s="418">
        <v>100</v>
      </c>
      <c r="X25" s="413">
        <v>99.702774108322316</v>
      </c>
      <c r="Y25" s="413">
        <v>99.637188208616777</v>
      </c>
      <c r="Z25" s="392">
        <v>100</v>
      </c>
      <c r="AA25" s="413"/>
      <c r="AB25" s="413">
        <v>99.760937126464256</v>
      </c>
      <c r="AC25" s="413">
        <v>86.36363636363636</v>
      </c>
      <c r="AD25" s="392">
        <v>98.936170212765958</v>
      </c>
      <c r="AE25" s="413"/>
      <c r="AF25" s="392">
        <v>100</v>
      </c>
      <c r="AG25" s="413"/>
      <c r="AH25" s="413">
        <v>98.901903367496331</v>
      </c>
      <c r="AI25" s="380">
        <v>99.664429530201332</v>
      </c>
      <c r="AJ25" s="413">
        <v>94.475138121546962</v>
      </c>
      <c r="AK25" s="413">
        <v>98.618997346420528</v>
      </c>
      <c r="AL25" s="413"/>
      <c r="AM25" s="381">
        <v>100</v>
      </c>
      <c r="AN25" s="381">
        <v>100</v>
      </c>
      <c r="AO25" s="381">
        <v>16.203703703703702</v>
      </c>
      <c r="AP25" s="381">
        <v>0</v>
      </c>
    </row>
    <row r="26" spans="2:44" ht="18.75" x14ac:dyDescent="0.4">
      <c r="C26" s="2382">
        <v>2023</v>
      </c>
      <c r="D26" s="413">
        <v>98.866646748331846</v>
      </c>
      <c r="E26" s="414">
        <v>97.474747474747474</v>
      </c>
      <c r="F26" s="413">
        <v>98.166399266559708</v>
      </c>
      <c r="G26" s="413">
        <v>98.957457541617629</v>
      </c>
      <c r="H26" s="413">
        <v>98.869392849276849</v>
      </c>
      <c r="I26" s="413">
        <v>99.076574614513461</v>
      </c>
      <c r="J26" s="413">
        <v>98.869807720534268</v>
      </c>
      <c r="K26" s="413">
        <v>98.747958628198148</v>
      </c>
      <c r="L26" s="413"/>
      <c r="M26" s="254">
        <v>103.38455234583077</v>
      </c>
      <c r="N26" s="254"/>
      <c r="O26" s="2572"/>
      <c r="P26" s="2572"/>
      <c r="Q26" s="2572"/>
      <c r="R26" s="2572"/>
      <c r="S26" s="2572"/>
      <c r="T26" s="2572"/>
      <c r="U26" s="2572"/>
      <c r="V26" s="413"/>
      <c r="W26" s="418">
        <v>100</v>
      </c>
      <c r="X26" s="413">
        <v>99.624701467076079</v>
      </c>
      <c r="Y26" s="413">
        <v>99.75589910496339</v>
      </c>
      <c r="Z26" s="392">
        <v>99.743699273814613</v>
      </c>
      <c r="AA26" s="413"/>
      <c r="AB26" s="413">
        <v>99.735957753240527</v>
      </c>
      <c r="AC26" s="413">
        <v>96.610169491525426</v>
      </c>
      <c r="AD26" s="392">
        <v>99.563318777292579</v>
      </c>
      <c r="AE26" s="413"/>
      <c r="AF26" s="392">
        <v>99.905392620624411</v>
      </c>
      <c r="AG26" s="413"/>
      <c r="AH26" s="413">
        <v>99.238754325259521</v>
      </c>
      <c r="AI26" s="380">
        <v>99.324324324324323</v>
      </c>
      <c r="AJ26" s="413">
        <v>97.846153846153854</v>
      </c>
      <c r="AK26" s="413">
        <v>98.434515795735621</v>
      </c>
      <c r="AL26" s="413"/>
      <c r="AM26" s="381">
        <v>99.989134450311852</v>
      </c>
      <c r="AN26" s="381">
        <v>100</v>
      </c>
      <c r="AO26" s="381">
        <v>15.128593040847202</v>
      </c>
      <c r="AP26" s="381">
        <v>0</v>
      </c>
    </row>
    <row r="27" spans="2:44" ht="19.5" x14ac:dyDescent="0.4">
      <c r="C27" s="383" t="s">
        <v>8168</v>
      </c>
      <c r="D27" s="420">
        <v>98.904528096017458</v>
      </c>
      <c r="E27" s="421">
        <v>95.205479452054803</v>
      </c>
      <c r="F27" s="420">
        <v>98.388746803069054</v>
      </c>
      <c r="G27" s="420">
        <v>98.92120075046904</v>
      </c>
      <c r="H27" s="420">
        <v>98.876227897838902</v>
      </c>
      <c r="I27" s="420">
        <v>99.112568727693642</v>
      </c>
      <c r="J27" s="420">
        <v>99.224683544303787</v>
      </c>
      <c r="K27" s="420">
        <v>98.05539186800236</v>
      </c>
      <c r="L27" s="420"/>
      <c r="M27" s="260">
        <v>104.67395231213872</v>
      </c>
      <c r="N27" s="260"/>
      <c r="O27" s="2573"/>
      <c r="P27" s="2573"/>
      <c r="Q27" s="2573"/>
      <c r="R27" s="2573"/>
      <c r="S27" s="2573"/>
      <c r="T27" s="2573"/>
      <c r="U27" s="2573"/>
      <c r="V27" s="420"/>
      <c r="W27" s="422">
        <v>100</v>
      </c>
      <c r="X27" s="420">
        <v>99.816880306309315</v>
      </c>
      <c r="Y27" s="420">
        <v>99.772313296903462</v>
      </c>
      <c r="Z27" s="396">
        <v>99.897277863379557</v>
      </c>
      <c r="AA27" s="420"/>
      <c r="AB27" s="420">
        <v>99.649941656942815</v>
      </c>
      <c r="AC27" s="420">
        <v>96.226415094339629</v>
      </c>
      <c r="AD27" s="396">
        <v>99.166666666666671</v>
      </c>
      <c r="AE27" s="420"/>
      <c r="AF27" s="396">
        <v>99.642857142857139</v>
      </c>
      <c r="AG27" s="420"/>
      <c r="AH27" s="420">
        <v>98.734177215189874</v>
      </c>
      <c r="AI27" s="385">
        <v>99.697885196374628</v>
      </c>
      <c r="AJ27" s="420">
        <v>93</v>
      </c>
      <c r="AK27" s="420">
        <v>98.472439823386978</v>
      </c>
      <c r="AL27" s="420"/>
      <c r="AM27" s="386">
        <v>100</v>
      </c>
      <c r="AN27" s="386">
        <v>100</v>
      </c>
      <c r="AO27" s="386">
        <v>21.661237785016286</v>
      </c>
      <c r="AP27" s="386">
        <v>0</v>
      </c>
    </row>
    <row r="28" spans="2:44"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c r="AH28" s="5"/>
      <c r="AI28" s="5"/>
      <c r="AJ28" s="5"/>
      <c r="AK28" s="5"/>
      <c r="AL28" s="5"/>
      <c r="AM28" s="5"/>
      <c r="AN28" s="5"/>
      <c r="AO28" s="5"/>
      <c r="AP28" s="5"/>
    </row>
    <row r="29" spans="2:44" ht="18.75" x14ac:dyDescent="0.4">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row>
    <row r="30" spans="2:44" ht="18.75" x14ac:dyDescent="0.4">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row>
    <row r="31" spans="2:44" x14ac:dyDescent="0.25">
      <c r="D31" s="45"/>
      <c r="E31" s="45"/>
      <c r="F31" s="45"/>
    </row>
    <row r="32" spans="2:44" ht="32.25" customHeight="1" x14ac:dyDescent="0.25">
      <c r="C32" s="2602" t="s">
        <v>8173</v>
      </c>
      <c r="D32" s="2602"/>
      <c r="E32" s="2602"/>
      <c r="F32" s="2602"/>
      <c r="G32" s="2602"/>
      <c r="H32" s="2602"/>
      <c r="I32" s="2602"/>
      <c r="J32" s="2602"/>
      <c r="K32" s="2602"/>
      <c r="L32" s="2602"/>
      <c r="M32" s="2602"/>
    </row>
    <row r="52" spans="3:19" ht="18.75" x14ac:dyDescent="0.4">
      <c r="C52" s="5" t="s">
        <v>8172</v>
      </c>
    </row>
    <row r="53" spans="3:19" ht="18.75" x14ac:dyDescent="0.4">
      <c r="C53" s="5" t="s">
        <v>8170</v>
      </c>
    </row>
    <row r="58" spans="3:19" ht="18.75" x14ac:dyDescent="0.4">
      <c r="C58" s="154" t="s">
        <v>879</v>
      </c>
      <c r="D58" s="5"/>
      <c r="E58" s="5"/>
      <c r="F58" s="5"/>
      <c r="G58" s="5"/>
      <c r="H58" s="5"/>
      <c r="I58" s="5"/>
      <c r="J58" s="5"/>
      <c r="K58" s="5"/>
      <c r="L58" s="5"/>
      <c r="M58" s="5"/>
      <c r="N58" s="5"/>
      <c r="O58" s="5"/>
      <c r="P58" s="5"/>
    </row>
    <row r="59" spans="3:19" ht="18.75" x14ac:dyDescent="0.4">
      <c r="C59" s="5"/>
      <c r="D59" s="5"/>
      <c r="E59" s="5"/>
      <c r="F59" s="5"/>
      <c r="G59" s="5"/>
      <c r="H59" s="5"/>
      <c r="I59" s="5"/>
      <c r="J59" s="5"/>
      <c r="K59" s="5"/>
      <c r="L59" s="5"/>
      <c r="M59" s="5"/>
      <c r="N59" s="5"/>
      <c r="O59" s="5"/>
      <c r="P59" s="5"/>
    </row>
    <row r="60" spans="3:19" ht="18.75" x14ac:dyDescent="0.25">
      <c r="C60" s="388" t="s">
        <v>749</v>
      </c>
      <c r="D60" s="389" t="s">
        <v>750</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8.75" x14ac:dyDescent="0.4">
      <c r="C61" s="2569" t="s">
        <v>328</v>
      </c>
      <c r="D61" s="391" t="s">
        <v>328</v>
      </c>
      <c r="E61" s="340">
        <v>99.925484351713862</v>
      </c>
      <c r="F61" s="340">
        <v>99.925289503175193</v>
      </c>
      <c r="G61" s="340">
        <v>99.907373101148579</v>
      </c>
      <c r="H61" s="340">
        <v>99.942649588988701</v>
      </c>
      <c r="I61" s="340">
        <v>99.90100970104929</v>
      </c>
      <c r="J61" s="340">
        <v>99.940059940059939</v>
      </c>
      <c r="K61" s="340">
        <v>99.812421842434347</v>
      </c>
      <c r="L61" s="340">
        <v>99.742985650032139</v>
      </c>
      <c r="M61" s="340">
        <v>99.766553480475395</v>
      </c>
      <c r="N61" s="340">
        <v>99.730579254602603</v>
      </c>
      <c r="O61" s="340">
        <v>99.921650561504322</v>
      </c>
      <c r="P61" s="340">
        <v>99.971231300345224</v>
      </c>
      <c r="Q61" s="423">
        <v>99.761762954139371</v>
      </c>
    </row>
    <row r="62" spans="3:19" ht="18.75" x14ac:dyDescent="0.4">
      <c r="C62" s="2567"/>
      <c r="D62" s="391" t="s">
        <v>752</v>
      </c>
      <c r="E62" s="340">
        <v>100</v>
      </c>
      <c r="F62" s="340">
        <v>99.795081967213122</v>
      </c>
      <c r="G62" s="340">
        <v>99.88636363636364</v>
      </c>
      <c r="H62" s="340">
        <v>100</v>
      </c>
      <c r="I62" s="340">
        <v>99.791666666666671</v>
      </c>
      <c r="J62" s="340">
        <v>100</v>
      </c>
      <c r="K62" s="340">
        <v>99.889502762430936</v>
      </c>
      <c r="L62" s="340">
        <v>99.883449883449885</v>
      </c>
      <c r="M62" s="340">
        <v>99.875156054931324</v>
      </c>
      <c r="N62" s="340">
        <v>100</v>
      </c>
      <c r="O62" s="340">
        <v>99.871630295250327</v>
      </c>
      <c r="P62" s="340">
        <v>99.21875</v>
      </c>
      <c r="Q62" s="340">
        <v>99.691358024691354</v>
      </c>
    </row>
    <row r="63" spans="3:19" ht="18.75" x14ac:dyDescent="0.4">
      <c r="C63" s="2567"/>
      <c r="D63" s="391" t="s">
        <v>753</v>
      </c>
      <c r="E63" s="340">
        <v>99.938442597722371</v>
      </c>
      <c r="F63" s="340">
        <v>99.940617577197159</v>
      </c>
      <c r="G63" s="340">
        <v>99.969870442904494</v>
      </c>
      <c r="H63" s="340">
        <v>99.968934451693087</v>
      </c>
      <c r="I63" s="340">
        <v>99.875776397515523</v>
      </c>
      <c r="J63" s="340">
        <v>99.935649935649934</v>
      </c>
      <c r="K63" s="340">
        <v>99.967288191036957</v>
      </c>
      <c r="L63" s="340">
        <v>99.964285714285722</v>
      </c>
      <c r="M63" s="340">
        <v>99.964285714285722</v>
      </c>
      <c r="N63" s="340">
        <v>99.846684553468762</v>
      </c>
      <c r="O63" s="340">
        <v>99.703891708967845</v>
      </c>
      <c r="P63" s="340">
        <v>99.904443382704244</v>
      </c>
      <c r="Q63" s="340">
        <v>99.845837615621789</v>
      </c>
    </row>
    <row r="64" spans="3:19" ht="18.75" x14ac:dyDescent="0.4">
      <c r="C64" s="2567"/>
      <c r="D64" s="391" t="s">
        <v>754</v>
      </c>
      <c r="E64" s="340">
        <v>100</v>
      </c>
      <c r="F64" s="340">
        <v>100</v>
      </c>
      <c r="G64" s="340">
        <v>100</v>
      </c>
      <c r="H64" s="340">
        <v>99.740259740259745</v>
      </c>
      <c r="I64" s="340">
        <v>99.750623441396513</v>
      </c>
      <c r="J64" s="340">
        <v>100</v>
      </c>
      <c r="K64" s="340">
        <v>100</v>
      </c>
      <c r="L64" s="340">
        <v>99.735449735449734</v>
      </c>
      <c r="M64" s="340">
        <v>100</v>
      </c>
      <c r="N64" s="340">
        <v>99.498746867167924</v>
      </c>
      <c r="O64" s="340">
        <v>100</v>
      </c>
      <c r="P64" s="340">
        <v>100</v>
      </c>
      <c r="Q64" s="340">
        <v>99.707602339181292</v>
      </c>
    </row>
    <row r="65" spans="3:17" ht="18.75" x14ac:dyDescent="0.4">
      <c r="C65" s="2567"/>
      <c r="D65" s="391" t="s">
        <v>755</v>
      </c>
      <c r="E65" s="340">
        <v>100</v>
      </c>
      <c r="F65" s="340">
        <v>99.428571428571431</v>
      </c>
      <c r="G65" s="340">
        <v>100</v>
      </c>
      <c r="H65" s="340">
        <v>98.062015503875969</v>
      </c>
      <c r="I65" s="340">
        <v>99.635036496350367</v>
      </c>
      <c r="J65" s="340">
        <v>99.609375</v>
      </c>
      <c r="K65" s="340">
        <v>97.841726618705039</v>
      </c>
      <c r="L65" s="340">
        <v>96.91119691119691</v>
      </c>
      <c r="M65" s="340">
        <v>100</v>
      </c>
      <c r="N65" s="340">
        <v>97.907949790794973</v>
      </c>
      <c r="O65" s="340">
        <v>98.173515981735164</v>
      </c>
      <c r="P65" s="340">
        <v>99</v>
      </c>
      <c r="Q65" s="340">
        <v>95.609756097560975</v>
      </c>
    </row>
    <row r="66" spans="3:17" ht="18.75" x14ac:dyDescent="0.4">
      <c r="C66" s="2567"/>
      <c r="D66" s="391" t="s">
        <v>756</v>
      </c>
      <c r="E66" s="340">
        <v>99.869451697127943</v>
      </c>
      <c r="F66" s="340">
        <v>99.884526558891451</v>
      </c>
      <c r="G66" s="340">
        <v>100</v>
      </c>
      <c r="H66" s="340">
        <v>100</v>
      </c>
      <c r="I66" s="340">
        <v>100</v>
      </c>
      <c r="J66" s="340">
        <v>100</v>
      </c>
      <c r="K66" s="340">
        <v>100</v>
      </c>
      <c r="L66" s="340">
        <v>100</v>
      </c>
      <c r="M66" s="340">
        <v>99.727148703956345</v>
      </c>
      <c r="N66" s="340">
        <v>99.860724233983291</v>
      </c>
      <c r="O66" s="340">
        <v>99.541984732824432</v>
      </c>
      <c r="P66" s="340">
        <v>100</v>
      </c>
      <c r="Q66" s="340">
        <v>100</v>
      </c>
    </row>
    <row r="67" spans="3:17" ht="18.75" x14ac:dyDescent="0.4">
      <c r="C67" s="2567"/>
      <c r="D67" s="391" t="s">
        <v>757</v>
      </c>
      <c r="E67" s="340">
        <v>100</v>
      </c>
      <c r="F67" s="340">
        <v>100</v>
      </c>
      <c r="G67" s="340">
        <v>100</v>
      </c>
      <c r="H67" s="340">
        <v>100</v>
      </c>
      <c r="I67" s="340">
        <v>100</v>
      </c>
      <c r="J67" s="340">
        <v>100</v>
      </c>
      <c r="K67" s="340">
        <v>100</v>
      </c>
      <c r="L67" s="340">
        <v>99.501246882793012</v>
      </c>
      <c r="M67" s="340">
        <v>100</v>
      </c>
      <c r="N67" s="340">
        <v>99.74683544303798</v>
      </c>
      <c r="O67" s="340">
        <v>99.413489736070375</v>
      </c>
      <c r="P67" s="340">
        <v>100</v>
      </c>
      <c r="Q67" s="340">
        <v>99.685534591194966</v>
      </c>
    </row>
    <row r="68" spans="3:17" ht="18.75" x14ac:dyDescent="0.4">
      <c r="C68" s="2567"/>
      <c r="D68" s="391" t="s">
        <v>758</v>
      </c>
      <c r="E68" s="340">
        <v>100</v>
      </c>
      <c r="F68" s="340">
        <v>99.942726231386018</v>
      </c>
      <c r="G68" s="340">
        <v>100</v>
      </c>
      <c r="H68" s="340">
        <v>99.874921826141332</v>
      </c>
      <c r="I68" s="340">
        <v>99.879951980792313</v>
      </c>
      <c r="J68" s="340">
        <v>99.880311190903655</v>
      </c>
      <c r="K68" s="340">
        <v>99.863945578231295</v>
      </c>
      <c r="L68" s="340">
        <v>99.869621903520212</v>
      </c>
      <c r="M68" s="340">
        <v>99.653259361997229</v>
      </c>
      <c r="N68" s="340">
        <v>99.726962457337891</v>
      </c>
      <c r="O68" s="340">
        <v>99.673202614379079</v>
      </c>
      <c r="P68" s="340">
        <v>99.744680851063833</v>
      </c>
      <c r="Q68" s="340">
        <v>99.62299717247879</v>
      </c>
    </row>
    <row r="69" spans="3:17" ht="18.75" x14ac:dyDescent="0.4">
      <c r="C69" s="2567"/>
      <c r="D69" s="391" t="s">
        <v>759</v>
      </c>
      <c r="E69" s="340">
        <v>100</v>
      </c>
      <c r="F69" s="340">
        <v>99.870801033591732</v>
      </c>
      <c r="G69" s="340">
        <v>99.749373433583969</v>
      </c>
      <c r="H69" s="340">
        <v>99.872448979591837</v>
      </c>
      <c r="I69" s="340">
        <v>100</v>
      </c>
      <c r="J69" s="340">
        <v>100</v>
      </c>
      <c r="K69" s="340">
        <v>100</v>
      </c>
      <c r="L69" s="340">
        <v>100</v>
      </c>
      <c r="M69" s="340">
        <v>99.875776397515523</v>
      </c>
      <c r="N69" s="340">
        <v>99.873096446700501</v>
      </c>
      <c r="O69" s="340">
        <v>99.849170437405718</v>
      </c>
      <c r="P69" s="340">
        <v>99.561403508771932</v>
      </c>
      <c r="Q69" s="340">
        <v>99.847560975609767</v>
      </c>
    </row>
    <row r="70" spans="3:17" ht="18.75" x14ac:dyDescent="0.4">
      <c r="C70" s="2567"/>
      <c r="D70" s="391" t="s">
        <v>760</v>
      </c>
      <c r="E70" s="340">
        <v>99.922720247295203</v>
      </c>
      <c r="F70" s="340">
        <v>99.761904761904759</v>
      </c>
      <c r="G70" s="340">
        <v>99.921813917122762</v>
      </c>
      <c r="H70" s="340">
        <v>100</v>
      </c>
      <c r="I70" s="340">
        <v>100</v>
      </c>
      <c r="J70" s="340">
        <v>100</v>
      </c>
      <c r="K70" s="340">
        <v>99.908424908424905</v>
      </c>
      <c r="L70" s="340">
        <v>99.736379613356775</v>
      </c>
      <c r="M70" s="340">
        <v>99.824253075571178</v>
      </c>
      <c r="N70" s="340">
        <v>99.731182795698928</v>
      </c>
      <c r="O70" s="340">
        <v>100</v>
      </c>
      <c r="P70" s="340">
        <v>100</v>
      </c>
      <c r="Q70" s="340">
        <v>99.618805590851338</v>
      </c>
    </row>
    <row r="71" spans="3:17" ht="18.75" x14ac:dyDescent="0.4">
      <c r="C71" s="2567"/>
      <c r="D71" s="391" t="s">
        <v>761</v>
      </c>
      <c r="E71" s="340">
        <v>100</v>
      </c>
      <c r="F71" s="340">
        <v>99.895724713242956</v>
      </c>
      <c r="G71" s="340">
        <v>100</v>
      </c>
      <c r="H71" s="340">
        <v>99.888517279821627</v>
      </c>
      <c r="I71" s="340">
        <v>99.885974914481181</v>
      </c>
      <c r="J71" s="340">
        <v>100</v>
      </c>
      <c r="K71" s="340">
        <v>100</v>
      </c>
      <c r="L71" s="340">
        <v>99.50310559006212</v>
      </c>
      <c r="M71" s="340">
        <v>99.49302915082383</v>
      </c>
      <c r="N71" s="340">
        <v>99.726402188782487</v>
      </c>
      <c r="O71" s="340">
        <v>99.522292993630572</v>
      </c>
      <c r="P71" s="340">
        <v>99.836867862969015</v>
      </c>
      <c r="Q71" s="340">
        <v>99.504132231404952</v>
      </c>
    </row>
    <row r="72" spans="3:17" ht="18.75" x14ac:dyDescent="0.4">
      <c r="C72" s="2567"/>
      <c r="D72" s="391" t="s">
        <v>762</v>
      </c>
      <c r="E72" s="340">
        <v>100</v>
      </c>
      <c r="F72" s="340">
        <v>100</v>
      </c>
      <c r="G72" s="340">
        <v>99.649122807017548</v>
      </c>
      <c r="H72" s="340">
        <v>100</v>
      </c>
      <c r="I72" s="340">
        <v>100</v>
      </c>
      <c r="J72" s="340">
        <v>99.612403100775197</v>
      </c>
      <c r="K72" s="340">
        <v>99.635036496350367</v>
      </c>
      <c r="L72" s="340">
        <v>100</v>
      </c>
      <c r="M72" s="340">
        <v>99.590163934426229</v>
      </c>
      <c r="N72" s="340">
        <v>100</v>
      </c>
      <c r="O72" s="340">
        <v>99.473684210526315</v>
      </c>
      <c r="P72" s="340">
        <v>100</v>
      </c>
      <c r="Q72" s="340">
        <v>99.53051643192488</v>
      </c>
    </row>
    <row r="73" spans="3:17" ht="18.75" x14ac:dyDescent="0.4">
      <c r="C73" s="2567"/>
      <c r="D73" s="391" t="s">
        <v>763</v>
      </c>
      <c r="E73" s="340">
        <v>99.905482041587902</v>
      </c>
      <c r="F73" s="340">
        <v>100</v>
      </c>
      <c r="G73" s="340">
        <v>100</v>
      </c>
      <c r="H73" s="340">
        <v>100</v>
      </c>
      <c r="I73" s="340">
        <v>99.899497487437188</v>
      </c>
      <c r="J73" s="340">
        <v>99.901960784313729</v>
      </c>
      <c r="K73" s="340">
        <v>100</v>
      </c>
      <c r="L73" s="340">
        <v>100</v>
      </c>
      <c r="M73" s="340">
        <v>100</v>
      </c>
      <c r="N73" s="340">
        <v>99.379652605459057</v>
      </c>
      <c r="O73" s="340">
        <v>100</v>
      </c>
      <c r="P73" s="340">
        <v>100</v>
      </c>
      <c r="Q73" s="340">
        <v>99.844479004665629</v>
      </c>
    </row>
    <row r="74" spans="3:17" ht="18.75" x14ac:dyDescent="0.4">
      <c r="C74" s="2567"/>
      <c r="D74" s="391" t="s">
        <v>764</v>
      </c>
      <c r="E74" s="340">
        <v>99.851190476190482</v>
      </c>
      <c r="F74" s="340">
        <v>99.703264094955486</v>
      </c>
      <c r="G74" s="340">
        <v>99.854651162790688</v>
      </c>
      <c r="H74" s="340">
        <v>100</v>
      </c>
      <c r="I74" s="340">
        <v>100</v>
      </c>
      <c r="J74" s="340">
        <v>99.704579025110789</v>
      </c>
      <c r="K74" s="340">
        <v>100</v>
      </c>
      <c r="L74" s="340">
        <v>99.831649831649841</v>
      </c>
      <c r="M74" s="340">
        <v>99.637681159420282</v>
      </c>
      <c r="N74" s="340">
        <v>99.595959595959599</v>
      </c>
      <c r="O74" s="340">
        <v>99.390243902439025</v>
      </c>
      <c r="P74" s="340">
        <v>99.126637554585145</v>
      </c>
      <c r="Q74" s="340">
        <v>99.776286353467555</v>
      </c>
    </row>
    <row r="75" spans="3:17" ht="18.75" x14ac:dyDescent="0.4">
      <c r="C75" s="2567"/>
      <c r="D75" s="391" t="s">
        <v>765</v>
      </c>
      <c r="E75" s="340">
        <v>99.840764331210195</v>
      </c>
      <c r="F75" s="340">
        <v>99.702823179791977</v>
      </c>
      <c r="G75" s="340">
        <v>99.345335515548285</v>
      </c>
      <c r="H75" s="340">
        <v>99.820466786355482</v>
      </c>
      <c r="I75" s="340">
        <v>99.824561403508767</v>
      </c>
      <c r="J75" s="340">
        <v>100</v>
      </c>
      <c r="K75" s="340">
        <v>99.827586206896541</v>
      </c>
      <c r="L75" s="340">
        <v>99.799196787148588</v>
      </c>
      <c r="M75" s="340">
        <v>99.809885931558938</v>
      </c>
      <c r="N75" s="340">
        <v>99.8</v>
      </c>
      <c r="O75" s="340">
        <v>99.76303317535546</v>
      </c>
      <c r="P75" s="340">
        <v>99.244332493702771</v>
      </c>
      <c r="Q75" s="340">
        <v>99.775784753363226</v>
      </c>
    </row>
    <row r="76" spans="3:17" ht="18.75" x14ac:dyDescent="0.4">
      <c r="C76" s="2567"/>
      <c r="D76" s="391" t="s">
        <v>766</v>
      </c>
      <c r="E76" s="340">
        <v>100</v>
      </c>
      <c r="F76" s="340">
        <v>100</v>
      </c>
      <c r="G76" s="340">
        <v>100</v>
      </c>
      <c r="H76" s="340">
        <v>100</v>
      </c>
      <c r="I76" s="340">
        <v>100</v>
      </c>
      <c r="J76" s="340">
        <v>100</v>
      </c>
      <c r="K76" s="340">
        <v>97.368421052631575</v>
      </c>
      <c r="L76" s="340">
        <v>97.560975609756099</v>
      </c>
      <c r="M76" s="340">
        <v>97.368421052631575</v>
      </c>
      <c r="N76" s="340">
        <v>98.4375</v>
      </c>
      <c r="O76" s="340">
        <v>98.507462686567166</v>
      </c>
      <c r="P76" s="340">
        <v>98.245614035087712</v>
      </c>
      <c r="Q76" s="340">
        <v>100</v>
      </c>
    </row>
    <row r="77" spans="3:17" ht="18.75" x14ac:dyDescent="0.4">
      <c r="C77" s="2567"/>
      <c r="D77" s="391" t="s">
        <v>767</v>
      </c>
      <c r="E77" s="340">
        <v>100</v>
      </c>
      <c r="F77" s="340">
        <v>100</v>
      </c>
      <c r="G77" s="340">
        <v>99.029126213592235</v>
      </c>
      <c r="H77" s="340">
        <v>99.21875</v>
      </c>
      <c r="I77" s="340">
        <v>99.2</v>
      </c>
      <c r="J77" s="340">
        <v>100</v>
      </c>
      <c r="K77" s="340">
        <v>98.387096774193552</v>
      </c>
      <c r="L77" s="340">
        <v>96.15384615384616</v>
      </c>
      <c r="M77" s="340">
        <v>96.521739130434781</v>
      </c>
      <c r="N77" s="340">
        <v>95.161290322580655</v>
      </c>
      <c r="O77" s="340">
        <v>97.972972972972968</v>
      </c>
      <c r="P77" s="340">
        <v>100</v>
      </c>
      <c r="Q77" s="340">
        <v>95.454545454545453</v>
      </c>
    </row>
    <row r="78" spans="3:17" ht="18.75" x14ac:dyDescent="0.4">
      <c r="C78" s="2567"/>
      <c r="D78" s="391" t="s">
        <v>768</v>
      </c>
      <c r="E78" s="340">
        <v>100</v>
      </c>
      <c r="F78" s="340">
        <v>99.901864573110885</v>
      </c>
      <c r="G78" s="340">
        <v>100</v>
      </c>
      <c r="H78" s="340">
        <v>99.695740365111561</v>
      </c>
      <c r="I78" s="340">
        <v>100</v>
      </c>
      <c r="J78" s="340">
        <v>100</v>
      </c>
      <c r="K78" s="340">
        <v>99.700897308075781</v>
      </c>
      <c r="L78" s="340">
        <v>99.794871794871796</v>
      </c>
      <c r="M78" s="340">
        <v>99.777530589543943</v>
      </c>
      <c r="N78" s="340">
        <v>99.578503688092738</v>
      </c>
      <c r="O78" s="340">
        <v>100</v>
      </c>
      <c r="P78" s="340">
        <v>99.711399711399707</v>
      </c>
      <c r="Q78" s="340">
        <v>99.701937406855436</v>
      </c>
    </row>
    <row r="79" spans="3:17" ht="18.75" x14ac:dyDescent="0.4">
      <c r="C79" s="2567"/>
      <c r="D79" s="391" t="s">
        <v>769</v>
      </c>
      <c r="E79" s="340">
        <v>99.511111111111106</v>
      </c>
      <c r="F79" s="340">
        <v>99.266925398878826</v>
      </c>
      <c r="G79" s="340">
        <v>99.271636675235655</v>
      </c>
      <c r="H79" s="340">
        <v>99.64753272910373</v>
      </c>
      <c r="I79" s="340">
        <v>99.394463667820062</v>
      </c>
      <c r="J79" s="340">
        <v>99.347927340475081</v>
      </c>
      <c r="K79" s="340">
        <v>99.528079282680508</v>
      </c>
      <c r="L79" s="340">
        <v>99.389097744360896</v>
      </c>
      <c r="M79" s="340">
        <v>99.571632555925746</v>
      </c>
      <c r="N79" s="340">
        <v>99.641943734015342</v>
      </c>
      <c r="O79" s="340">
        <v>99.327731092436977</v>
      </c>
      <c r="P79" s="340">
        <v>99.432463110102148</v>
      </c>
      <c r="Q79" s="340">
        <v>99.233038348082587</v>
      </c>
    </row>
    <row r="80" spans="3:17" ht="18.75" x14ac:dyDescent="0.4">
      <c r="C80" s="2567"/>
      <c r="D80" s="391" t="s">
        <v>770</v>
      </c>
      <c r="E80" s="340">
        <v>100</v>
      </c>
      <c r="F80" s="340">
        <v>98.876404494382015</v>
      </c>
      <c r="G80" s="340">
        <v>100</v>
      </c>
      <c r="H80" s="340">
        <v>99.447513812154696</v>
      </c>
      <c r="I80" s="340">
        <v>100</v>
      </c>
      <c r="J80" s="340">
        <v>99.390243902439025</v>
      </c>
      <c r="K80" s="340">
        <v>98.009950248756226</v>
      </c>
      <c r="L80" s="340">
        <v>97.92746113989638</v>
      </c>
      <c r="M80" s="340">
        <v>96.089385474860336</v>
      </c>
      <c r="N80" s="340">
        <v>98.843930635838149</v>
      </c>
      <c r="O80" s="340">
        <v>100</v>
      </c>
      <c r="P80" s="340">
        <v>99.212598425196859</v>
      </c>
      <c r="Q80" s="340">
        <v>100</v>
      </c>
    </row>
    <row r="81" spans="3:17" ht="18.75" x14ac:dyDescent="0.4">
      <c r="C81" s="2567" t="s">
        <v>329</v>
      </c>
      <c r="D81" s="391" t="s">
        <v>329</v>
      </c>
      <c r="E81" s="340">
        <v>99.881376037959669</v>
      </c>
      <c r="F81" s="340">
        <v>99.860594795539043</v>
      </c>
      <c r="G81" s="340">
        <v>99.741054613935972</v>
      </c>
      <c r="H81" s="340">
        <v>99.803391496682238</v>
      </c>
      <c r="I81" s="340">
        <v>99.83435873166114</v>
      </c>
      <c r="J81" s="340">
        <v>99.930955120828543</v>
      </c>
      <c r="K81" s="340">
        <v>99.634703196347033</v>
      </c>
      <c r="L81" s="340">
        <v>99.976415094339629</v>
      </c>
      <c r="M81" s="340">
        <v>99.774622492675235</v>
      </c>
      <c r="N81" s="340">
        <v>99.875529001742592</v>
      </c>
      <c r="O81" s="340">
        <v>99.792638672887506</v>
      </c>
      <c r="P81" s="340">
        <v>99.944165270798436</v>
      </c>
      <c r="Q81" s="340">
        <v>99.822747415066473</v>
      </c>
    </row>
    <row r="82" spans="3:17" ht="18.75" x14ac:dyDescent="0.4">
      <c r="C82" s="2567"/>
      <c r="D82" s="391" t="s">
        <v>771</v>
      </c>
      <c r="E82" s="340">
        <v>99.833055091819702</v>
      </c>
      <c r="F82" s="340">
        <v>99.522673031026244</v>
      </c>
      <c r="G82" s="340">
        <v>99.918233851185619</v>
      </c>
      <c r="H82" s="340">
        <v>99.668049792531122</v>
      </c>
      <c r="I82" s="340">
        <v>99.600000000000009</v>
      </c>
      <c r="J82" s="340">
        <v>99.848828420256993</v>
      </c>
      <c r="K82" s="340">
        <v>99.145962732919273</v>
      </c>
      <c r="L82" s="340">
        <v>99.619192688499609</v>
      </c>
      <c r="M82" s="340">
        <v>99.584026622296179</v>
      </c>
      <c r="N82" s="340">
        <v>99.666388657214341</v>
      </c>
      <c r="O82" s="340">
        <v>99.818016378525925</v>
      </c>
      <c r="P82" s="340">
        <v>99.235912129894928</v>
      </c>
      <c r="Q82" s="340">
        <v>99.50248756218906</v>
      </c>
    </row>
    <row r="83" spans="3:17" ht="18.75" x14ac:dyDescent="0.4">
      <c r="C83" s="2567"/>
      <c r="D83" s="391" t="s">
        <v>772</v>
      </c>
      <c r="E83" s="340">
        <v>99.827139152981843</v>
      </c>
      <c r="F83" s="340">
        <v>99.839098954143196</v>
      </c>
      <c r="G83" s="340">
        <v>99.742046431642308</v>
      </c>
      <c r="H83" s="340">
        <v>99.760191846522787</v>
      </c>
      <c r="I83" s="340">
        <v>99.505766062602959</v>
      </c>
      <c r="J83" s="340">
        <v>99.842022116903621</v>
      </c>
      <c r="K83" s="340">
        <v>99.830795262267344</v>
      </c>
      <c r="L83" s="340">
        <v>99.167360532889262</v>
      </c>
      <c r="M83" s="340">
        <v>99.506578947368425</v>
      </c>
      <c r="N83" s="340">
        <v>99.778516057585819</v>
      </c>
      <c r="O83" s="340">
        <v>100</v>
      </c>
      <c r="P83" s="340">
        <v>99.342969776609721</v>
      </c>
      <c r="Q83" s="340">
        <v>100</v>
      </c>
    </row>
    <row r="84" spans="3:17" ht="18.75" x14ac:dyDescent="0.4">
      <c r="C84" s="2567"/>
      <c r="D84" s="391" t="s">
        <v>773</v>
      </c>
      <c r="E84" s="340">
        <v>100</v>
      </c>
      <c r="F84" s="340">
        <v>100</v>
      </c>
      <c r="G84" s="340">
        <v>100</v>
      </c>
      <c r="H84" s="340">
        <v>100</v>
      </c>
      <c r="I84" s="340">
        <v>100</v>
      </c>
      <c r="J84" s="340">
        <v>100</v>
      </c>
      <c r="K84" s="340">
        <v>100</v>
      </c>
      <c r="L84" s="340">
        <v>100</v>
      </c>
      <c r="M84" s="340">
        <v>100</v>
      </c>
      <c r="N84" s="340">
        <v>96.551724137931032</v>
      </c>
      <c r="O84" s="340">
        <v>100</v>
      </c>
      <c r="P84" s="340">
        <v>100</v>
      </c>
      <c r="Q84" s="340">
        <v>96.875</v>
      </c>
    </row>
    <row r="85" spans="3:17" ht="18.75" x14ac:dyDescent="0.4">
      <c r="C85" s="2567"/>
      <c r="D85" s="391" t="s">
        <v>774</v>
      </c>
      <c r="E85" s="340">
        <v>99.692307692307693</v>
      </c>
      <c r="F85" s="340">
        <v>100</v>
      </c>
      <c r="G85" s="340">
        <v>99.680511182108617</v>
      </c>
      <c r="H85" s="340">
        <v>100</v>
      </c>
      <c r="I85" s="340">
        <v>100</v>
      </c>
      <c r="J85" s="340">
        <v>100</v>
      </c>
      <c r="K85" s="340">
        <v>100</v>
      </c>
      <c r="L85" s="340">
        <v>99.689440993788821</v>
      </c>
      <c r="M85" s="340">
        <v>99.438202247191015</v>
      </c>
      <c r="N85" s="340">
        <v>99.354838709677423</v>
      </c>
      <c r="O85" s="340">
        <v>100</v>
      </c>
      <c r="P85" s="340">
        <v>100</v>
      </c>
      <c r="Q85" s="340">
        <v>99.601593625498012</v>
      </c>
    </row>
    <row r="86" spans="3:17" ht="18.75" x14ac:dyDescent="0.4">
      <c r="C86" s="2567"/>
      <c r="D86" s="391" t="s">
        <v>775</v>
      </c>
      <c r="E86" s="340">
        <v>99.685039370078741</v>
      </c>
      <c r="F86" s="340">
        <v>99.677938808373597</v>
      </c>
      <c r="G86" s="340">
        <v>99.679487179487182</v>
      </c>
      <c r="H86" s="340">
        <v>100</v>
      </c>
      <c r="I86" s="340">
        <v>100</v>
      </c>
      <c r="J86" s="340">
        <v>99.833887043189378</v>
      </c>
      <c r="K86" s="340">
        <v>99.658703071672363</v>
      </c>
      <c r="L86" s="340">
        <v>100</v>
      </c>
      <c r="M86" s="340">
        <v>99.500831946755412</v>
      </c>
      <c r="N86" s="340">
        <v>99.644760213143869</v>
      </c>
      <c r="O86" s="340">
        <v>99.203187250996024</v>
      </c>
      <c r="P86" s="340">
        <v>99.567099567099575</v>
      </c>
      <c r="Q86" s="340">
        <v>100</v>
      </c>
    </row>
    <row r="87" spans="3:17" ht="18.75" x14ac:dyDescent="0.4">
      <c r="C87" s="2567"/>
      <c r="D87" s="391" t="s">
        <v>776</v>
      </c>
      <c r="E87" s="340">
        <v>100</v>
      </c>
      <c r="F87" s="340">
        <v>99.584199584199581</v>
      </c>
      <c r="G87" s="340">
        <v>99.764150943396217</v>
      </c>
      <c r="H87" s="340">
        <v>100</v>
      </c>
      <c r="I87" s="340">
        <v>100</v>
      </c>
      <c r="J87" s="340">
        <v>100</v>
      </c>
      <c r="K87" s="340">
        <v>99.566160520607369</v>
      </c>
      <c r="L87" s="340">
        <v>99.776286353467555</v>
      </c>
      <c r="M87" s="340">
        <v>99.779249448123622</v>
      </c>
      <c r="N87" s="340">
        <v>99.753086419753089</v>
      </c>
      <c r="O87" s="340">
        <v>100</v>
      </c>
      <c r="P87" s="340">
        <v>99.727520435967293</v>
      </c>
      <c r="Q87" s="340">
        <v>100</v>
      </c>
    </row>
    <row r="88" spans="3:17" ht="18.75" x14ac:dyDescent="0.4">
      <c r="C88" s="2567"/>
      <c r="D88" s="391" t="s">
        <v>777</v>
      </c>
      <c r="E88" s="340">
        <v>100</v>
      </c>
      <c r="F88" s="340">
        <v>99.568034557235421</v>
      </c>
      <c r="G88" s="340">
        <v>99.575371549893845</v>
      </c>
      <c r="H88" s="340">
        <v>100</v>
      </c>
      <c r="I88" s="340">
        <v>99.791231732776623</v>
      </c>
      <c r="J88" s="340">
        <v>100</v>
      </c>
      <c r="K88" s="340">
        <v>99.795501022494889</v>
      </c>
      <c r="L88" s="340">
        <v>99.792099792099791</v>
      </c>
      <c r="M88" s="340">
        <v>99.787234042553195</v>
      </c>
      <c r="N88" s="340">
        <v>99.603174603174608</v>
      </c>
      <c r="O88" s="340">
        <v>99.742930591259636</v>
      </c>
      <c r="P88" s="340">
        <v>100</v>
      </c>
      <c r="Q88" s="340">
        <v>100</v>
      </c>
    </row>
    <row r="89" spans="3:17" ht="18.75" x14ac:dyDescent="0.4">
      <c r="C89" s="2567"/>
      <c r="D89" s="391" t="s">
        <v>778</v>
      </c>
      <c r="E89" s="340">
        <v>100</v>
      </c>
      <c r="F89" s="340">
        <v>100</v>
      </c>
      <c r="G89" s="340">
        <v>99.665551839464882</v>
      </c>
      <c r="H89" s="340">
        <v>100</v>
      </c>
      <c r="I89" s="340">
        <v>100</v>
      </c>
      <c r="J89" s="340">
        <v>100</v>
      </c>
      <c r="K89" s="340">
        <v>99.384615384615387</v>
      </c>
      <c r="L89" s="340">
        <v>100</v>
      </c>
      <c r="M89" s="340">
        <v>100</v>
      </c>
      <c r="N89" s="340">
        <v>100</v>
      </c>
      <c r="O89" s="340">
        <v>100</v>
      </c>
      <c r="P89" s="340">
        <v>100</v>
      </c>
      <c r="Q89" s="340">
        <v>99.180327868852459</v>
      </c>
    </row>
    <row r="90" spans="3:17" ht="18.75" x14ac:dyDescent="0.4">
      <c r="C90" s="2567"/>
      <c r="D90" s="391" t="s">
        <v>779</v>
      </c>
      <c r="E90" s="340">
        <v>99.617083946980856</v>
      </c>
      <c r="F90" s="340">
        <v>99.621212121212125</v>
      </c>
      <c r="G90" s="340">
        <v>99.036496350364956</v>
      </c>
      <c r="H90" s="340">
        <v>99.518507372855851</v>
      </c>
      <c r="I90" s="340">
        <v>99.531066822977721</v>
      </c>
      <c r="J90" s="340">
        <v>99.45054945054946</v>
      </c>
      <c r="K90" s="340">
        <v>98.698153194066009</v>
      </c>
      <c r="L90" s="340">
        <v>99.053356282271949</v>
      </c>
      <c r="M90" s="340">
        <v>98.722679534487639</v>
      </c>
      <c r="N90" s="340">
        <v>98.733375554148196</v>
      </c>
      <c r="O90" s="340">
        <v>99.032951289398284</v>
      </c>
      <c r="P90" s="340">
        <v>98.500187476565429</v>
      </c>
      <c r="Q90" s="340">
        <v>99.063400576368878</v>
      </c>
    </row>
    <row r="91" spans="3:17" ht="18.75" x14ac:dyDescent="0.4">
      <c r="C91" s="2567"/>
      <c r="D91" s="391" t="s">
        <v>780</v>
      </c>
      <c r="E91" s="340">
        <v>99.572649572649567</v>
      </c>
      <c r="F91" s="340">
        <v>99.539170506912441</v>
      </c>
      <c r="G91" s="340">
        <v>100</v>
      </c>
      <c r="H91" s="340">
        <v>100</v>
      </c>
      <c r="I91" s="340">
        <v>100</v>
      </c>
      <c r="J91" s="340">
        <v>100</v>
      </c>
      <c r="K91" s="340">
        <v>99.572649572649567</v>
      </c>
      <c r="L91" s="340">
        <v>100</v>
      </c>
      <c r="M91" s="340">
        <v>98.884758364312262</v>
      </c>
      <c r="N91" s="340">
        <v>99.576271186440678</v>
      </c>
      <c r="O91" s="340">
        <v>99.561403508771932</v>
      </c>
      <c r="P91" s="340">
        <v>98.924731182795696</v>
      </c>
      <c r="Q91" s="340">
        <v>99.459459459459467</v>
      </c>
    </row>
    <row r="92" spans="3:17" ht="18.75" x14ac:dyDescent="0.4">
      <c r="C92" s="2567"/>
      <c r="D92" s="391" t="s">
        <v>781</v>
      </c>
      <c r="E92" s="340">
        <v>100</v>
      </c>
      <c r="F92" s="340">
        <v>100</v>
      </c>
      <c r="G92" s="340">
        <v>100</v>
      </c>
      <c r="H92" s="340">
        <v>100</v>
      </c>
      <c r="I92" s="340">
        <v>100</v>
      </c>
      <c r="J92" s="340">
        <v>100</v>
      </c>
      <c r="K92" s="340">
        <v>100</v>
      </c>
      <c r="L92" s="340">
        <v>100</v>
      </c>
      <c r="M92" s="340">
        <v>100</v>
      </c>
      <c r="N92" s="340">
        <v>100</v>
      </c>
      <c r="O92" s="340">
        <v>100</v>
      </c>
      <c r="P92" s="340">
        <v>99.421965317919074</v>
      </c>
      <c r="Q92" s="340">
        <v>100</v>
      </c>
    </row>
    <row r="93" spans="3:17" ht="18.75" x14ac:dyDescent="0.4">
      <c r="C93" s="2567"/>
      <c r="D93" s="391" t="s">
        <v>782</v>
      </c>
      <c r="E93" s="340">
        <v>98.203592814371248</v>
      </c>
      <c r="F93" s="340">
        <v>97.608200455580857</v>
      </c>
      <c r="G93" s="340">
        <v>98.387096774193552</v>
      </c>
      <c r="H93" s="340">
        <v>97.932535364526657</v>
      </c>
      <c r="I93" s="340">
        <v>98.602753975085761</v>
      </c>
      <c r="J93" s="340">
        <v>98.66255144032921</v>
      </c>
      <c r="K93" s="340">
        <v>98.352779853271628</v>
      </c>
      <c r="L93" s="340">
        <v>98.390201606928727</v>
      </c>
      <c r="M93" s="340">
        <v>98.210922787193979</v>
      </c>
      <c r="N93" s="340">
        <v>99.212823145995813</v>
      </c>
      <c r="O93" s="340">
        <v>98.972602739726028</v>
      </c>
      <c r="P93" s="340">
        <v>98.852040816326522</v>
      </c>
      <c r="Q93" s="340">
        <v>98.671978751660021</v>
      </c>
    </row>
    <row r="94" spans="3:17" ht="18.75" x14ac:dyDescent="0.4">
      <c r="C94" s="2567"/>
      <c r="D94" s="391" t="s">
        <v>783</v>
      </c>
      <c r="E94" s="340">
        <v>98.011928429423449</v>
      </c>
      <c r="F94" s="340">
        <v>96.181818181818173</v>
      </c>
      <c r="G94" s="340">
        <v>96.428571428571431</v>
      </c>
      <c r="H94" s="340">
        <v>97.165354330708666</v>
      </c>
      <c r="I94" s="340">
        <v>98.023064250411863</v>
      </c>
      <c r="J94" s="340">
        <v>98.193760262725789</v>
      </c>
      <c r="K94" s="340">
        <v>96.870342771982124</v>
      </c>
      <c r="L94" s="340">
        <v>97.568881685575377</v>
      </c>
      <c r="M94" s="340">
        <v>97.983870967741936</v>
      </c>
      <c r="N94" s="340">
        <v>97.979797979797979</v>
      </c>
      <c r="O94" s="340">
        <v>98.070175438596479</v>
      </c>
      <c r="P94" s="340">
        <v>96.08177172061329</v>
      </c>
      <c r="Q94" s="340">
        <v>96.802841918294845</v>
      </c>
    </row>
    <row r="95" spans="3:17" ht="18.75" x14ac:dyDescent="0.4">
      <c r="C95" s="2567"/>
      <c r="D95" s="391" t="s">
        <v>784</v>
      </c>
      <c r="E95" s="340">
        <v>99.250936329588015</v>
      </c>
      <c r="F95" s="340">
        <v>99.319727891156461</v>
      </c>
      <c r="G95" s="340">
        <v>99.650349650349639</v>
      </c>
      <c r="H95" s="340">
        <v>99.386503067484668</v>
      </c>
      <c r="I95" s="340">
        <v>99.673202614379079</v>
      </c>
      <c r="J95" s="340">
        <v>99.319727891156461</v>
      </c>
      <c r="K95" s="340">
        <v>99.322033898305079</v>
      </c>
      <c r="L95" s="340">
        <v>99.645390070921991</v>
      </c>
      <c r="M95" s="340">
        <v>99.032258064516128</v>
      </c>
      <c r="N95" s="340">
        <v>100</v>
      </c>
      <c r="O95" s="340">
        <v>99.227799227799224</v>
      </c>
      <c r="P95" s="340">
        <v>99.166666666666671</v>
      </c>
      <c r="Q95" s="340">
        <v>100</v>
      </c>
    </row>
    <row r="96" spans="3:17" ht="18.75" x14ac:dyDescent="0.4">
      <c r="C96" s="2567"/>
      <c r="D96" s="391" t="s">
        <v>785</v>
      </c>
      <c r="E96" s="392" t="s">
        <v>786</v>
      </c>
      <c r="F96" s="392" t="s">
        <v>786</v>
      </c>
      <c r="G96" s="392" t="s">
        <v>786</v>
      </c>
      <c r="H96" s="392" t="s">
        <v>786</v>
      </c>
      <c r="I96" s="392" t="s">
        <v>786</v>
      </c>
      <c r="J96" s="392" t="s">
        <v>786</v>
      </c>
      <c r="K96" s="392" t="s">
        <v>786</v>
      </c>
      <c r="L96" s="392" t="s">
        <v>786</v>
      </c>
      <c r="M96" s="392" t="s">
        <v>786</v>
      </c>
      <c r="N96" s="340">
        <v>98.461538461538467</v>
      </c>
      <c r="O96" s="340">
        <v>98.455598455598462</v>
      </c>
      <c r="P96" s="340">
        <v>99.170124481327804</v>
      </c>
      <c r="Q96" s="340">
        <v>98.23788546255507</v>
      </c>
    </row>
    <row r="97" spans="3:17" ht="18.75" x14ac:dyDescent="0.4">
      <c r="C97" s="2567" t="s">
        <v>330</v>
      </c>
      <c r="D97" s="391" t="s">
        <v>330</v>
      </c>
      <c r="E97" s="340">
        <v>100</v>
      </c>
      <c r="F97" s="340">
        <v>99.907450254511801</v>
      </c>
      <c r="G97" s="340">
        <v>99.815157116451019</v>
      </c>
      <c r="H97" s="340">
        <v>99.853658536585371</v>
      </c>
      <c r="I97" s="340">
        <v>99.850374064837908</v>
      </c>
      <c r="J97" s="340">
        <v>99.851924975320841</v>
      </c>
      <c r="K97" s="340">
        <v>99.801882119861318</v>
      </c>
      <c r="L97" s="340">
        <v>99.690082644628092</v>
      </c>
      <c r="M97" s="340">
        <v>99.735449735449734</v>
      </c>
      <c r="N97" s="340">
        <v>99.441340782122893</v>
      </c>
      <c r="O97" s="340">
        <v>99.29494712103407</v>
      </c>
      <c r="P97" s="340">
        <v>99.681933842239189</v>
      </c>
      <c r="Q97" s="340">
        <v>99.612653324725628</v>
      </c>
    </row>
    <row r="98" spans="3:17" ht="18.75" x14ac:dyDescent="0.4">
      <c r="C98" s="2567"/>
      <c r="D98" s="391" t="s">
        <v>787</v>
      </c>
      <c r="E98" s="340">
        <v>99.885057471264375</v>
      </c>
      <c r="F98" s="340">
        <v>100</v>
      </c>
      <c r="G98" s="340">
        <v>99.367755532139086</v>
      </c>
      <c r="H98" s="340">
        <v>100</v>
      </c>
      <c r="I98" s="340">
        <v>99.884393063583815</v>
      </c>
      <c r="J98" s="340">
        <v>100</v>
      </c>
      <c r="K98" s="340">
        <v>100</v>
      </c>
      <c r="L98" s="340">
        <v>99.303944315545252</v>
      </c>
      <c r="M98" s="340">
        <v>99.626865671641781</v>
      </c>
      <c r="N98" s="340">
        <v>99.0578734858681</v>
      </c>
      <c r="O98" s="340">
        <v>99.557522123893804</v>
      </c>
      <c r="P98" s="340">
        <v>99.843505477308298</v>
      </c>
      <c r="Q98" s="340">
        <v>99.844236760124616</v>
      </c>
    </row>
    <row r="99" spans="3:17" ht="18.75" x14ac:dyDescent="0.4">
      <c r="C99" s="2567"/>
      <c r="D99" s="391" t="s">
        <v>788</v>
      </c>
      <c r="E99" s="340">
        <v>99.926578560939788</v>
      </c>
      <c r="F99" s="340">
        <v>99.842643587726201</v>
      </c>
      <c r="G99" s="340">
        <v>99.848942598187307</v>
      </c>
      <c r="H99" s="340">
        <v>99.846390168970814</v>
      </c>
      <c r="I99" s="340">
        <v>99.777777777777771</v>
      </c>
      <c r="J99" s="340">
        <v>99.857244825124909</v>
      </c>
      <c r="K99" s="340">
        <v>99.534522885958111</v>
      </c>
      <c r="L99" s="340">
        <v>99.206349206349202</v>
      </c>
      <c r="M99" s="340">
        <v>99.630996309963095</v>
      </c>
      <c r="N99" s="340">
        <v>99.501246882793026</v>
      </c>
      <c r="O99" s="340">
        <v>99.553571428571431</v>
      </c>
      <c r="P99" s="340">
        <v>99.300699300699307</v>
      </c>
      <c r="Q99" s="340">
        <v>99.45054945054946</v>
      </c>
    </row>
    <row r="100" spans="3:17" ht="18.75" x14ac:dyDescent="0.4">
      <c r="C100" s="2567"/>
      <c r="D100" s="391" t="s">
        <v>789</v>
      </c>
      <c r="E100" s="340">
        <v>99.526066350710892</v>
      </c>
      <c r="F100" s="340">
        <v>99.526066350710892</v>
      </c>
      <c r="G100" s="340">
        <v>98.598130841121502</v>
      </c>
      <c r="H100" s="340">
        <v>99.568965517241381</v>
      </c>
      <c r="I100" s="340">
        <v>98.723404255319153</v>
      </c>
      <c r="J100" s="340">
        <v>98.780487804878049</v>
      </c>
      <c r="K100" s="340">
        <v>97.907949790794973</v>
      </c>
      <c r="L100" s="340">
        <v>99.512195121951223</v>
      </c>
      <c r="M100" s="340">
        <v>98.591549295774655</v>
      </c>
      <c r="N100" s="340">
        <v>99.019607843137265</v>
      </c>
      <c r="O100" s="340">
        <v>98.648648648648646</v>
      </c>
      <c r="P100" s="340">
        <v>99.401197604790411</v>
      </c>
      <c r="Q100" s="340">
        <v>98.429319371727757</v>
      </c>
    </row>
    <row r="101" spans="3:17" ht="18.75" x14ac:dyDescent="0.4">
      <c r="C101" s="2567"/>
      <c r="D101" s="391" t="s">
        <v>790</v>
      </c>
      <c r="E101" s="340">
        <v>91.50858175248419</v>
      </c>
      <c r="F101" s="340">
        <v>92.115848753016891</v>
      </c>
      <c r="G101" s="340">
        <v>90.094745908699394</v>
      </c>
      <c r="H101" s="340">
        <v>90.748528174936922</v>
      </c>
      <c r="I101" s="340">
        <v>92.548687552921251</v>
      </c>
      <c r="J101" s="340">
        <v>91.17647058823529</v>
      </c>
      <c r="K101" s="340">
        <v>92.912040990606329</v>
      </c>
      <c r="L101" s="340">
        <v>92.280390417036372</v>
      </c>
      <c r="M101" s="340">
        <v>91.520467836257311</v>
      </c>
      <c r="N101" s="340">
        <v>91.437007874015748</v>
      </c>
      <c r="O101" s="340">
        <v>90.398126463700237</v>
      </c>
      <c r="P101" s="340">
        <v>87.566418703506912</v>
      </c>
      <c r="Q101" s="340">
        <v>88.790233074361822</v>
      </c>
    </row>
    <row r="102" spans="3:17" ht="18.75" x14ac:dyDescent="0.4">
      <c r="C102" s="2567"/>
      <c r="D102" s="391" t="s">
        <v>791</v>
      </c>
      <c r="E102" s="340">
        <v>100</v>
      </c>
      <c r="F102" s="340">
        <v>99.090909090909093</v>
      </c>
      <c r="G102" s="340">
        <v>100</v>
      </c>
      <c r="H102" s="340">
        <v>100</v>
      </c>
      <c r="I102" s="340">
        <v>100</v>
      </c>
      <c r="J102" s="340">
        <v>99.494949494949495</v>
      </c>
      <c r="K102" s="340">
        <v>98.68421052631578</v>
      </c>
      <c r="L102" s="340">
        <v>99.00497512437812</v>
      </c>
      <c r="M102" s="340">
        <v>99.435028248587571</v>
      </c>
      <c r="N102" s="340">
        <v>99.539170506912441</v>
      </c>
      <c r="O102" s="340">
        <v>100</v>
      </c>
      <c r="P102" s="340">
        <v>97.674418604651152</v>
      </c>
      <c r="Q102" s="340">
        <v>99.397590361445793</v>
      </c>
    </row>
    <row r="103" spans="3:17" ht="18.75" x14ac:dyDescent="0.4">
      <c r="C103" s="2567"/>
      <c r="D103" s="391" t="s">
        <v>792</v>
      </c>
      <c r="E103" s="340">
        <v>100</v>
      </c>
      <c r="F103" s="340">
        <v>100</v>
      </c>
      <c r="G103" s="340">
        <v>100</v>
      </c>
      <c r="H103" s="340">
        <v>100</v>
      </c>
      <c r="I103" s="340">
        <v>99.556868537666176</v>
      </c>
      <c r="J103" s="340">
        <v>100</v>
      </c>
      <c r="K103" s="340">
        <v>99.706314243759181</v>
      </c>
      <c r="L103" s="340">
        <v>99.829351535836182</v>
      </c>
      <c r="M103" s="340">
        <v>99.516129032258064</v>
      </c>
      <c r="N103" s="340">
        <v>99.838709677419359</v>
      </c>
      <c r="O103" s="340">
        <v>99.642218246869405</v>
      </c>
      <c r="P103" s="340">
        <v>99.789029535864984</v>
      </c>
      <c r="Q103" s="340">
        <v>100</v>
      </c>
    </row>
    <row r="104" spans="3:17" ht="18.75" x14ac:dyDescent="0.4">
      <c r="C104" s="2567"/>
      <c r="D104" s="391" t="s">
        <v>793</v>
      </c>
      <c r="E104" s="340">
        <v>99.845201238390089</v>
      </c>
      <c r="F104" s="340">
        <v>99.856733524355306</v>
      </c>
      <c r="G104" s="340">
        <v>100</v>
      </c>
      <c r="H104" s="340">
        <v>99.681528662420376</v>
      </c>
      <c r="I104" s="340">
        <v>100</v>
      </c>
      <c r="J104" s="340">
        <v>99.840510366826152</v>
      </c>
      <c r="K104" s="340">
        <v>100</v>
      </c>
      <c r="L104" s="340">
        <v>99.548872180451127</v>
      </c>
      <c r="M104" s="340">
        <v>99.669966996699671</v>
      </c>
      <c r="N104" s="340">
        <v>99.831081081081081</v>
      </c>
      <c r="O104" s="340">
        <v>100</v>
      </c>
      <c r="P104" s="340">
        <v>100</v>
      </c>
      <c r="Q104" s="340">
        <v>100</v>
      </c>
    </row>
    <row r="105" spans="3:17" ht="18.75" x14ac:dyDescent="0.4">
      <c r="C105" s="2570" t="s">
        <v>331</v>
      </c>
      <c r="D105" s="391" t="s">
        <v>331</v>
      </c>
      <c r="E105" s="340">
        <v>99.892703862660952</v>
      </c>
      <c r="F105" s="340">
        <v>100</v>
      </c>
      <c r="G105" s="340">
        <v>99.79155810317873</v>
      </c>
      <c r="H105" s="340">
        <v>99.666481378543637</v>
      </c>
      <c r="I105" s="340">
        <v>99.889258028792909</v>
      </c>
      <c r="J105" s="340">
        <v>100</v>
      </c>
      <c r="K105" s="340">
        <v>99.828669331810389</v>
      </c>
      <c r="L105" s="340">
        <v>99.882283696291935</v>
      </c>
      <c r="M105" s="340">
        <v>99.823008849557525</v>
      </c>
      <c r="N105" s="340">
        <v>99.639423076923066</v>
      </c>
      <c r="O105" s="340">
        <v>99.929873772791026</v>
      </c>
      <c r="P105" s="340">
        <v>99.762093576526567</v>
      </c>
      <c r="Q105" s="340">
        <v>100</v>
      </c>
    </row>
    <row r="106" spans="3:17" ht="18.75" x14ac:dyDescent="0.4">
      <c r="C106" s="2570"/>
      <c r="D106" s="391" t="s">
        <v>794</v>
      </c>
      <c r="E106" s="340">
        <v>99.808429118773944</v>
      </c>
      <c r="F106" s="340">
        <v>100</v>
      </c>
      <c r="G106" s="340">
        <v>99.634369287020121</v>
      </c>
      <c r="H106" s="340">
        <v>100</v>
      </c>
      <c r="I106" s="340">
        <v>99.829931972789126</v>
      </c>
      <c r="J106" s="340">
        <v>100</v>
      </c>
      <c r="K106" s="340">
        <v>100</v>
      </c>
      <c r="L106" s="340">
        <v>99.652173913043484</v>
      </c>
      <c r="M106" s="340">
        <v>99.821428571428584</v>
      </c>
      <c r="N106" s="340">
        <v>100</v>
      </c>
      <c r="O106" s="340">
        <v>100</v>
      </c>
      <c r="P106" s="340">
        <v>100</v>
      </c>
      <c r="Q106" s="340">
        <v>100</v>
      </c>
    </row>
    <row r="107" spans="3:17" ht="18.75" x14ac:dyDescent="0.4">
      <c r="C107" s="2570"/>
      <c r="D107" s="391" t="s">
        <v>795</v>
      </c>
      <c r="E107" s="340">
        <v>100</v>
      </c>
      <c r="F107" s="340">
        <v>99.595141700404852</v>
      </c>
      <c r="G107" s="340">
        <v>99.418604651162781</v>
      </c>
      <c r="H107" s="340">
        <v>100</v>
      </c>
      <c r="I107" s="340">
        <v>99.811676082862519</v>
      </c>
      <c r="J107" s="340">
        <v>99.793814432989691</v>
      </c>
      <c r="K107" s="340">
        <v>99.793388429752056</v>
      </c>
      <c r="L107" s="340">
        <v>99.310344827586206</v>
      </c>
      <c r="M107" s="340">
        <v>100</v>
      </c>
      <c r="N107" s="340">
        <v>99.533799533799538</v>
      </c>
      <c r="O107" s="340">
        <v>99.75186104218362</v>
      </c>
      <c r="P107" s="340">
        <v>100</v>
      </c>
      <c r="Q107" s="340">
        <v>100</v>
      </c>
    </row>
    <row r="108" spans="3:17" ht="18.75" x14ac:dyDescent="0.4">
      <c r="C108" s="2570"/>
      <c r="D108" s="391" t="s">
        <v>796</v>
      </c>
      <c r="E108" s="340">
        <v>99.619771863117862</v>
      </c>
      <c r="F108" s="340">
        <v>99.802761341222876</v>
      </c>
      <c r="G108" s="340">
        <v>100</v>
      </c>
      <c r="H108" s="340">
        <v>99.4</v>
      </c>
      <c r="I108" s="340">
        <v>100</v>
      </c>
      <c r="J108" s="340">
        <v>100</v>
      </c>
      <c r="K108" s="340">
        <v>99.590163934426229</v>
      </c>
      <c r="L108" s="340">
        <v>100</v>
      </c>
      <c r="M108" s="340">
        <v>99.122807017543863</v>
      </c>
      <c r="N108" s="340">
        <v>99.303944315545252</v>
      </c>
      <c r="O108" s="340">
        <v>100</v>
      </c>
      <c r="P108" s="340">
        <v>99.395770392749256</v>
      </c>
      <c r="Q108" s="340">
        <v>99.470899470899468</v>
      </c>
    </row>
    <row r="109" spans="3:17" ht="18.75" x14ac:dyDescent="0.4">
      <c r="C109" s="2570"/>
      <c r="D109" s="391" t="s">
        <v>797</v>
      </c>
      <c r="E109" s="340">
        <v>99.84544049459042</v>
      </c>
      <c r="F109" s="340">
        <v>99.703264094955486</v>
      </c>
      <c r="G109" s="340">
        <v>99.862258953168052</v>
      </c>
      <c r="H109" s="340">
        <v>100</v>
      </c>
      <c r="I109" s="340">
        <v>100</v>
      </c>
      <c r="J109" s="340">
        <v>100</v>
      </c>
      <c r="K109" s="340">
        <v>99.851411589895989</v>
      </c>
      <c r="L109" s="340">
        <v>99.663865546218489</v>
      </c>
      <c r="M109" s="340">
        <v>99.524564183835167</v>
      </c>
      <c r="N109" s="340">
        <v>100</v>
      </c>
      <c r="O109" s="340">
        <v>99.592668024439917</v>
      </c>
      <c r="P109" s="340">
        <v>100</v>
      </c>
      <c r="Q109" s="340">
        <v>99.777777777777771</v>
      </c>
    </row>
    <row r="110" spans="3:17" ht="18.75" x14ac:dyDescent="0.4">
      <c r="C110" s="2570"/>
      <c r="D110" s="391" t="s">
        <v>798</v>
      </c>
      <c r="E110" s="340">
        <v>100</v>
      </c>
      <c r="F110" s="340">
        <v>100</v>
      </c>
      <c r="G110" s="340">
        <v>100</v>
      </c>
      <c r="H110" s="340">
        <v>100</v>
      </c>
      <c r="I110" s="340">
        <v>100</v>
      </c>
      <c r="J110" s="340">
        <v>100</v>
      </c>
      <c r="K110" s="340">
        <v>100</v>
      </c>
      <c r="L110" s="340">
        <v>99.236641221374029</v>
      </c>
      <c r="M110" s="340">
        <v>100</v>
      </c>
      <c r="N110" s="340">
        <v>100</v>
      </c>
      <c r="O110" s="340">
        <v>99.459459459459467</v>
      </c>
      <c r="P110" s="340">
        <v>100</v>
      </c>
      <c r="Q110" s="340">
        <v>99.50248756218906</v>
      </c>
    </row>
    <row r="111" spans="3:17" ht="18.75" x14ac:dyDescent="0.4">
      <c r="C111" s="2570"/>
      <c r="D111" s="391" t="s">
        <v>799</v>
      </c>
      <c r="E111" s="340">
        <v>100</v>
      </c>
      <c r="F111" s="340">
        <v>100</v>
      </c>
      <c r="G111" s="340">
        <v>100</v>
      </c>
      <c r="H111" s="340">
        <v>100</v>
      </c>
      <c r="I111" s="340">
        <v>100</v>
      </c>
      <c r="J111" s="340">
        <v>100</v>
      </c>
      <c r="K111" s="340">
        <v>99.374999999999986</v>
      </c>
      <c r="L111" s="340">
        <v>100</v>
      </c>
      <c r="M111" s="340">
        <v>99.661016949152554</v>
      </c>
      <c r="N111" s="340">
        <v>100</v>
      </c>
      <c r="O111" s="340">
        <v>100</v>
      </c>
      <c r="P111" s="340">
        <v>99.555555555555557</v>
      </c>
      <c r="Q111" s="340">
        <v>100</v>
      </c>
    </row>
    <row r="112" spans="3:17" ht="18.75" x14ac:dyDescent="0.4">
      <c r="C112" s="2570"/>
      <c r="D112" s="391" t="s">
        <v>800</v>
      </c>
      <c r="E112" s="340">
        <v>100</v>
      </c>
      <c r="F112" s="340">
        <v>100</v>
      </c>
      <c r="G112" s="340">
        <v>99.666666666666671</v>
      </c>
      <c r="H112" s="340">
        <v>100</v>
      </c>
      <c r="I112" s="340">
        <v>100</v>
      </c>
      <c r="J112" s="340">
        <v>100</v>
      </c>
      <c r="K112" s="340">
        <v>100</v>
      </c>
      <c r="L112" s="340">
        <v>100</v>
      </c>
      <c r="M112" s="340">
        <v>99.681528662420376</v>
      </c>
      <c r="N112" s="340">
        <v>100</v>
      </c>
      <c r="O112" s="340">
        <v>100</v>
      </c>
      <c r="P112" s="340">
        <v>100</v>
      </c>
      <c r="Q112" s="340">
        <v>100</v>
      </c>
    </row>
    <row r="113" spans="3:17" ht="18.75" x14ac:dyDescent="0.4">
      <c r="C113" s="2570"/>
      <c r="D113" s="391" t="s">
        <v>801</v>
      </c>
      <c r="E113" s="340">
        <v>99.401197604790411</v>
      </c>
      <c r="F113" s="340">
        <v>99.238578680203048</v>
      </c>
      <c r="G113" s="340">
        <v>100</v>
      </c>
      <c r="H113" s="340">
        <v>99.690402476780179</v>
      </c>
      <c r="I113" s="340">
        <v>100</v>
      </c>
      <c r="J113" s="340">
        <v>100</v>
      </c>
      <c r="K113" s="340">
        <v>100</v>
      </c>
      <c r="L113" s="340">
        <v>100</v>
      </c>
      <c r="M113" s="340">
        <v>99.420289855072468</v>
      </c>
      <c r="N113" s="340">
        <v>100</v>
      </c>
      <c r="O113" s="340">
        <v>100</v>
      </c>
      <c r="P113" s="340">
        <v>100</v>
      </c>
      <c r="Q113" s="340">
        <v>99.635036496350367</v>
      </c>
    </row>
    <row r="114" spans="3:17" ht="18.75" x14ac:dyDescent="0.4">
      <c r="C114" s="2570"/>
      <c r="D114" s="391" t="s">
        <v>802</v>
      </c>
      <c r="E114" s="340">
        <v>99.189918991899191</v>
      </c>
      <c r="F114" s="340">
        <v>99.063829787234042</v>
      </c>
      <c r="G114" s="340">
        <v>99.050086355785837</v>
      </c>
      <c r="H114" s="340">
        <v>99.533146591970123</v>
      </c>
      <c r="I114" s="340">
        <v>98.859649122807014</v>
      </c>
      <c r="J114" s="340">
        <v>99.466192170818502</v>
      </c>
      <c r="K114" s="340">
        <v>98.88220120378331</v>
      </c>
      <c r="L114" s="340">
        <v>98.282097649186255</v>
      </c>
      <c r="M114" s="340">
        <v>97.899543378995432</v>
      </c>
      <c r="N114" s="340">
        <v>98.30348727615457</v>
      </c>
      <c r="O114" s="340">
        <v>99.574014909478166</v>
      </c>
      <c r="P114" s="340">
        <v>98.648648648648646</v>
      </c>
      <c r="Q114" s="340">
        <v>98.0269989615784</v>
      </c>
    </row>
    <row r="115" spans="3:17" ht="18.75" x14ac:dyDescent="0.4">
      <c r="C115" s="2570" t="s">
        <v>332</v>
      </c>
      <c r="D115" s="391" t="s">
        <v>803</v>
      </c>
      <c r="E115" s="340">
        <v>99.67585089141005</v>
      </c>
      <c r="F115" s="340">
        <v>99.468488990129075</v>
      </c>
      <c r="G115" s="340">
        <v>99.246420497362479</v>
      </c>
      <c r="H115" s="340">
        <v>99.690880989180826</v>
      </c>
      <c r="I115" s="340">
        <v>99.455676516329689</v>
      </c>
      <c r="J115" s="340">
        <v>99.691833590138671</v>
      </c>
      <c r="K115" s="340">
        <v>99.9184339314845</v>
      </c>
      <c r="L115" s="340">
        <v>99.674001629991849</v>
      </c>
      <c r="M115" s="340">
        <v>99.916317991631814</v>
      </c>
      <c r="N115" s="340">
        <v>99.830795262267344</v>
      </c>
      <c r="O115" s="340">
        <v>99.358386801099911</v>
      </c>
      <c r="P115" s="340">
        <v>99.779005524861873</v>
      </c>
      <c r="Q115" s="340">
        <v>99.693564862104182</v>
      </c>
    </row>
    <row r="116" spans="3:17" ht="18.75" x14ac:dyDescent="0.4">
      <c r="C116" s="2570"/>
      <c r="D116" s="391" t="s">
        <v>804</v>
      </c>
      <c r="E116" s="340">
        <v>99.277108433734938</v>
      </c>
      <c r="F116" s="340">
        <v>99.439461883408072</v>
      </c>
      <c r="G116" s="340">
        <v>99.309551208285384</v>
      </c>
      <c r="H116" s="340">
        <v>99.203187250996024</v>
      </c>
      <c r="I116" s="340">
        <v>99.761904761904759</v>
      </c>
      <c r="J116" s="340">
        <v>99.646226415094333</v>
      </c>
      <c r="K116" s="340">
        <v>99.755501222493876</v>
      </c>
      <c r="L116" s="340">
        <v>99.388753056234719</v>
      </c>
      <c r="M116" s="340">
        <v>99.112801013941692</v>
      </c>
      <c r="N116" s="340">
        <v>99.248120300751879</v>
      </c>
      <c r="O116" s="340">
        <v>99.088541666666657</v>
      </c>
      <c r="P116" s="340">
        <v>99.380804953560371</v>
      </c>
      <c r="Q116" s="340">
        <v>98.828696925329425</v>
      </c>
    </row>
    <row r="117" spans="3:17" ht="18.75" x14ac:dyDescent="0.4">
      <c r="C117" s="2570"/>
      <c r="D117" s="391" t="s">
        <v>805</v>
      </c>
      <c r="E117" s="340">
        <v>99.425947187141219</v>
      </c>
      <c r="F117" s="340">
        <v>99.108138238573019</v>
      </c>
      <c r="G117" s="340">
        <v>99.778516057585819</v>
      </c>
      <c r="H117" s="340">
        <v>99.781659388646275</v>
      </c>
      <c r="I117" s="340">
        <v>99.482936918304034</v>
      </c>
      <c r="J117" s="340">
        <v>99.797160243407717</v>
      </c>
      <c r="K117" s="340">
        <v>99.571734475374726</v>
      </c>
      <c r="L117" s="340">
        <v>99.382080329557155</v>
      </c>
      <c r="M117" s="340">
        <v>99.471458773784363</v>
      </c>
      <c r="N117" s="340">
        <v>99.579831932773118</v>
      </c>
      <c r="O117" s="340">
        <v>99.064327485380119</v>
      </c>
      <c r="P117" s="340">
        <v>99.132589838909553</v>
      </c>
      <c r="Q117" s="340">
        <v>99.290780141843967</v>
      </c>
    </row>
    <row r="118" spans="3:17" ht="18.75" x14ac:dyDescent="0.4">
      <c r="C118" s="2570"/>
      <c r="D118" s="391" t="s">
        <v>806</v>
      </c>
      <c r="E118" s="340">
        <v>99.088145896656528</v>
      </c>
      <c r="F118" s="340">
        <v>99.696048632218847</v>
      </c>
      <c r="G118" s="340">
        <v>100</v>
      </c>
      <c r="H118" s="340">
        <v>97.894736842105274</v>
      </c>
      <c r="I118" s="340">
        <v>99.421965317919074</v>
      </c>
      <c r="J118" s="340">
        <v>98.876404494382015</v>
      </c>
      <c r="K118" s="340">
        <v>98.713826366559488</v>
      </c>
      <c r="L118" s="340">
        <v>99.380804953560371</v>
      </c>
      <c r="M118" s="340">
        <v>99.331103678929765</v>
      </c>
      <c r="N118" s="340">
        <v>97.763578274760391</v>
      </c>
      <c r="O118" s="340">
        <v>99.324324324324323</v>
      </c>
      <c r="P118" s="5"/>
      <c r="Q118" s="340">
        <v>99.655172413793096</v>
      </c>
    </row>
    <row r="119" spans="3:17" ht="18.75" x14ac:dyDescent="0.4">
      <c r="C119" s="2570"/>
      <c r="D119" s="391" t="s">
        <v>807</v>
      </c>
      <c r="E119" s="340">
        <v>99.847792998477942</v>
      </c>
      <c r="F119" s="340">
        <v>99.060402684563755</v>
      </c>
      <c r="G119" s="340">
        <v>99.244712990936563</v>
      </c>
      <c r="H119" s="340">
        <v>99.591836734693871</v>
      </c>
      <c r="I119" s="340">
        <v>99.197860962566835</v>
      </c>
      <c r="J119" s="340">
        <v>99.311294765840216</v>
      </c>
      <c r="K119" s="340">
        <v>99.556213017751489</v>
      </c>
      <c r="L119" s="340">
        <v>99.07692307692308</v>
      </c>
      <c r="M119" s="340">
        <v>99.304589707927676</v>
      </c>
      <c r="N119" s="340">
        <v>99.154929577464785</v>
      </c>
      <c r="O119" s="340">
        <v>98.566878980891715</v>
      </c>
      <c r="P119" s="340">
        <v>99.444444444444443</v>
      </c>
      <c r="Q119" s="340">
        <v>99.638989169675085</v>
      </c>
    </row>
    <row r="120" spans="3:17" ht="18.75" x14ac:dyDescent="0.4">
      <c r="C120" s="2570"/>
      <c r="D120" s="391" t="s">
        <v>808</v>
      </c>
      <c r="E120" s="340">
        <v>99.6</v>
      </c>
      <c r="F120" s="340">
        <v>99.808429118773944</v>
      </c>
      <c r="G120" s="340">
        <v>99.638336347197111</v>
      </c>
      <c r="H120" s="340">
        <v>99.171842650103514</v>
      </c>
      <c r="I120" s="340">
        <v>97.759674134419555</v>
      </c>
      <c r="J120" s="340">
        <v>99.570815450643764</v>
      </c>
      <c r="K120" s="340">
        <v>100</v>
      </c>
      <c r="L120" s="340">
        <v>99.757281553398059</v>
      </c>
      <c r="M120" s="340">
        <v>99.036144578313255</v>
      </c>
      <c r="N120" s="340">
        <v>100</v>
      </c>
      <c r="O120" s="340">
        <v>99.704142011834321</v>
      </c>
      <c r="P120" s="340">
        <v>99.107142857142861</v>
      </c>
      <c r="Q120" s="340">
        <v>99.698795180722882</v>
      </c>
    </row>
    <row r="121" spans="3:17" ht="18.75" x14ac:dyDescent="0.4">
      <c r="C121" s="2570"/>
      <c r="D121" s="391" t="s">
        <v>809</v>
      </c>
      <c r="E121" s="340">
        <v>99.635036496350367</v>
      </c>
      <c r="F121" s="340">
        <v>98.316498316498311</v>
      </c>
      <c r="G121" s="340">
        <v>99.33554817275747</v>
      </c>
      <c r="H121" s="340">
        <v>99.646643109540634</v>
      </c>
      <c r="I121" s="340">
        <v>99.655172413793096</v>
      </c>
      <c r="J121" s="340">
        <v>100</v>
      </c>
      <c r="K121" s="340">
        <v>99.003322259136212</v>
      </c>
      <c r="L121" s="340">
        <v>100</v>
      </c>
      <c r="M121" s="340">
        <v>99.651567944250871</v>
      </c>
      <c r="N121" s="340">
        <v>98.98989898989899</v>
      </c>
      <c r="O121" s="340">
        <v>99.239543726235752</v>
      </c>
      <c r="P121" s="340">
        <v>97.119341563786008</v>
      </c>
      <c r="Q121" s="340">
        <v>99.078341013824883</v>
      </c>
    </row>
    <row r="122" spans="3:17" ht="18.75" x14ac:dyDescent="0.4">
      <c r="C122" s="2570"/>
      <c r="D122" s="391" t="s">
        <v>810</v>
      </c>
      <c r="E122" s="340">
        <v>98.958333333333343</v>
      </c>
      <c r="F122" s="340">
        <v>98.854961832061079</v>
      </c>
      <c r="G122" s="340">
        <v>100</v>
      </c>
      <c r="H122" s="340">
        <v>99.275362318840578</v>
      </c>
      <c r="I122" s="340">
        <v>99.236641221374043</v>
      </c>
      <c r="J122" s="340">
        <v>100</v>
      </c>
      <c r="K122" s="340">
        <v>99.618320610687022</v>
      </c>
      <c r="L122" s="340">
        <v>100</v>
      </c>
      <c r="M122" s="340">
        <v>99.275362318840564</v>
      </c>
      <c r="N122" s="340">
        <v>99.256505576208184</v>
      </c>
      <c r="O122" s="340">
        <v>98.91304347826086</v>
      </c>
      <c r="P122" s="340">
        <v>99.038461538461547</v>
      </c>
      <c r="Q122" s="340">
        <v>98.979591836734699</v>
      </c>
    </row>
    <row r="123" spans="3:17" ht="18.75" x14ac:dyDescent="0.4">
      <c r="C123" s="2570"/>
      <c r="D123" s="391" t="s">
        <v>811</v>
      </c>
      <c r="E123" s="340">
        <v>98.773006134969322</v>
      </c>
      <c r="F123" s="340">
        <v>100</v>
      </c>
      <c r="G123" s="340">
        <v>98.71794871794873</v>
      </c>
      <c r="H123" s="340">
        <v>98.701298701298697</v>
      </c>
      <c r="I123" s="340">
        <v>98.6013986013986</v>
      </c>
      <c r="J123" s="340">
        <v>100</v>
      </c>
      <c r="K123" s="340">
        <v>99.270072992700733</v>
      </c>
      <c r="L123" s="340">
        <v>98.648648648648646</v>
      </c>
      <c r="M123" s="340">
        <v>99.333333333333329</v>
      </c>
      <c r="N123" s="340">
        <v>100</v>
      </c>
      <c r="O123" s="340">
        <v>100</v>
      </c>
      <c r="P123" s="340">
        <v>100</v>
      </c>
      <c r="Q123" s="340">
        <v>100</v>
      </c>
    </row>
    <row r="124" spans="3:17" ht="18.75" x14ac:dyDescent="0.4">
      <c r="C124" s="2570"/>
      <c r="D124" s="391" t="s">
        <v>812</v>
      </c>
      <c r="E124" s="340">
        <v>98.669623059866964</v>
      </c>
      <c r="F124" s="340">
        <v>97.752808988764045</v>
      </c>
      <c r="G124" s="340">
        <v>97.362637362637358</v>
      </c>
      <c r="H124" s="340">
        <v>96.217494089834503</v>
      </c>
      <c r="I124" s="340">
        <v>97.826086956521735</v>
      </c>
      <c r="J124" s="340">
        <v>98.91067538126363</v>
      </c>
      <c r="K124" s="340">
        <v>97.987927565392354</v>
      </c>
      <c r="L124" s="340">
        <v>98.747390396659711</v>
      </c>
      <c r="M124" s="340">
        <v>97.578692493946733</v>
      </c>
      <c r="N124" s="340">
        <v>98.337292161520182</v>
      </c>
      <c r="O124" s="340">
        <v>97.10526315789474</v>
      </c>
      <c r="P124" s="340">
        <v>97.222222222222214</v>
      </c>
      <c r="Q124" s="340">
        <v>97.245179063360894</v>
      </c>
    </row>
    <row r="125" spans="3:17" ht="18.75" x14ac:dyDescent="0.4">
      <c r="C125" s="2570"/>
      <c r="D125" s="391" t="s">
        <v>813</v>
      </c>
      <c r="E125" s="340">
        <v>100</v>
      </c>
      <c r="F125" s="340">
        <v>100</v>
      </c>
      <c r="G125" s="340">
        <v>100</v>
      </c>
      <c r="H125" s="340">
        <v>98.86363636363636</v>
      </c>
      <c r="I125" s="340">
        <v>100</v>
      </c>
      <c r="J125" s="340">
        <v>100</v>
      </c>
      <c r="K125" s="340">
        <v>100</v>
      </c>
      <c r="L125" s="340">
        <v>100</v>
      </c>
      <c r="M125" s="340">
        <v>100</v>
      </c>
      <c r="N125" s="340">
        <v>99.065420560747668</v>
      </c>
      <c r="O125" s="340">
        <v>99.009900990099013</v>
      </c>
      <c r="P125" s="340">
        <v>100</v>
      </c>
      <c r="Q125" s="340">
        <v>98.82352941176471</v>
      </c>
    </row>
    <row r="126" spans="3:17" ht="18.75" x14ac:dyDescent="0.4">
      <c r="C126" s="2567" t="s">
        <v>533</v>
      </c>
      <c r="D126" s="391" t="s">
        <v>533</v>
      </c>
      <c r="E126" s="340">
        <v>99.841772151898738</v>
      </c>
      <c r="F126" s="340">
        <v>99.709020368574201</v>
      </c>
      <c r="G126" s="340">
        <v>99.654662062160824</v>
      </c>
      <c r="H126" s="340">
        <v>99.588053553038108</v>
      </c>
      <c r="I126" s="340">
        <v>99.703117268678881</v>
      </c>
      <c r="J126" s="340">
        <v>99.949723479135244</v>
      </c>
      <c r="K126" s="340">
        <v>99.329551315110891</v>
      </c>
      <c r="L126" s="340">
        <v>99.503968253968239</v>
      </c>
      <c r="M126" s="340">
        <v>99.656357388316152</v>
      </c>
      <c r="N126" s="340">
        <v>99.678111587982826</v>
      </c>
      <c r="O126" s="340">
        <v>99.777901166018879</v>
      </c>
      <c r="P126" s="340">
        <v>98.795180722891558</v>
      </c>
      <c r="Q126" s="340">
        <v>99.096191091026469</v>
      </c>
    </row>
    <row r="127" spans="3:17" ht="18.75" x14ac:dyDescent="0.4">
      <c r="C127" s="2567"/>
      <c r="D127" s="391" t="s">
        <v>814</v>
      </c>
      <c r="E127" s="340">
        <v>100</v>
      </c>
      <c r="F127" s="340">
        <v>100</v>
      </c>
      <c r="G127" s="340">
        <v>99.768518518518505</v>
      </c>
      <c r="H127" s="340">
        <v>99.527186761229316</v>
      </c>
      <c r="I127" s="340">
        <v>99.549549549549553</v>
      </c>
      <c r="J127" s="340">
        <v>100</v>
      </c>
      <c r="K127" s="340">
        <v>100</v>
      </c>
      <c r="L127" s="340">
        <v>100</v>
      </c>
      <c r="M127" s="340">
        <v>99.565217391304344</v>
      </c>
      <c r="N127" s="340">
        <v>99.259259259259252</v>
      </c>
      <c r="O127" s="340">
        <v>99.749373433583955</v>
      </c>
      <c r="P127" s="340">
        <v>99.722222222222229</v>
      </c>
      <c r="Q127" s="340">
        <v>100</v>
      </c>
    </row>
    <row r="128" spans="3:17" ht="18.75" x14ac:dyDescent="0.4">
      <c r="C128" s="2567"/>
      <c r="D128" s="391" t="s">
        <v>815</v>
      </c>
      <c r="E128" s="340">
        <v>98.127753303964766</v>
      </c>
      <c r="F128" s="340">
        <v>98.094282848545632</v>
      </c>
      <c r="G128" s="340">
        <v>99.03536977491963</v>
      </c>
      <c r="H128" s="340">
        <v>98.432250839865617</v>
      </c>
      <c r="I128" s="340">
        <v>97.816091954022994</v>
      </c>
      <c r="J128" s="340">
        <v>98.034682080924853</v>
      </c>
      <c r="K128" s="340">
        <v>97.627965043695369</v>
      </c>
      <c r="L128" s="340">
        <v>98</v>
      </c>
      <c r="M128" s="340">
        <v>97.575757575757578</v>
      </c>
      <c r="N128" s="340">
        <v>97.023004059539929</v>
      </c>
      <c r="O128" s="340">
        <v>98.670605612998514</v>
      </c>
      <c r="P128" s="340">
        <v>98.818316100443127</v>
      </c>
      <c r="Q128" s="340">
        <v>99.414348462664719</v>
      </c>
    </row>
    <row r="129" spans="3:19" ht="18.75" x14ac:dyDescent="0.4">
      <c r="C129" s="2567"/>
      <c r="D129" s="391" t="s">
        <v>816</v>
      </c>
      <c r="E129" s="340">
        <v>99.465240641711233</v>
      </c>
      <c r="F129" s="340">
        <v>100</v>
      </c>
      <c r="G129" s="340">
        <v>100</v>
      </c>
      <c r="H129" s="340">
        <v>100</v>
      </c>
      <c r="I129" s="340">
        <v>99.465240641711233</v>
      </c>
      <c r="J129" s="340">
        <v>100</v>
      </c>
      <c r="K129" s="340">
        <v>100</v>
      </c>
      <c r="L129" s="340">
        <v>100</v>
      </c>
      <c r="M129" s="340">
        <v>99.459459459459467</v>
      </c>
      <c r="N129" s="340">
        <v>99.421965317919074</v>
      </c>
      <c r="O129" s="340">
        <v>99.358974358974365</v>
      </c>
      <c r="P129" s="340">
        <v>99.382716049382708</v>
      </c>
      <c r="Q129" s="340">
        <v>100</v>
      </c>
    </row>
    <row r="130" spans="3:19" ht="18.75" x14ac:dyDescent="0.4">
      <c r="C130" s="2567"/>
      <c r="D130" s="391" t="s">
        <v>817</v>
      </c>
      <c r="E130" s="340">
        <v>98.109243697478988</v>
      </c>
      <c r="F130" s="340">
        <v>98.580121703853948</v>
      </c>
      <c r="G130" s="340">
        <v>98.841698841698843</v>
      </c>
      <c r="H130" s="340">
        <v>99.203187250996024</v>
      </c>
      <c r="I130" s="340">
        <v>99.395161290322591</v>
      </c>
      <c r="J130" s="340">
        <v>99.40357852882704</v>
      </c>
      <c r="K130" s="340">
        <v>99.567099567099575</v>
      </c>
      <c r="L130" s="340">
        <v>99.031007751937977</v>
      </c>
      <c r="M130" s="340">
        <v>99.799196787148588</v>
      </c>
      <c r="N130" s="340">
        <v>99.780701754385973</v>
      </c>
      <c r="O130" s="340">
        <v>99.226804123711347</v>
      </c>
      <c r="P130" s="340">
        <v>99.148936170212764</v>
      </c>
      <c r="Q130" s="340">
        <v>99.297423887587826</v>
      </c>
    </row>
    <row r="131" spans="3:19" ht="18.75" x14ac:dyDescent="0.4">
      <c r="C131" s="2567"/>
      <c r="D131" s="391" t="s">
        <v>818</v>
      </c>
      <c r="E131" s="340">
        <v>100</v>
      </c>
      <c r="F131" s="340">
        <v>100</v>
      </c>
      <c r="G131" s="340">
        <v>99.37759336099586</v>
      </c>
      <c r="H131" s="340">
        <v>100</v>
      </c>
      <c r="I131" s="340">
        <v>99.2</v>
      </c>
      <c r="J131" s="340">
        <v>99.798387096774192</v>
      </c>
      <c r="K131" s="340">
        <v>99.8</v>
      </c>
      <c r="L131" s="340">
        <v>100</v>
      </c>
      <c r="M131" s="340">
        <v>100</v>
      </c>
      <c r="N131" s="340">
        <v>99.780219780219781</v>
      </c>
      <c r="O131" s="340">
        <v>99.783549783549788</v>
      </c>
      <c r="P131" s="340">
        <v>99.75186104218362</v>
      </c>
      <c r="Q131" s="340">
        <v>99.501246882793012</v>
      </c>
    </row>
    <row r="132" spans="3:19" ht="18.75" x14ac:dyDescent="0.4">
      <c r="C132" s="2567"/>
      <c r="D132" s="391" t="s">
        <v>819</v>
      </c>
      <c r="E132" s="340">
        <v>93.988269794721418</v>
      </c>
      <c r="F132" s="340">
        <v>97.478991596638664</v>
      </c>
      <c r="G132" s="340">
        <v>95.049504950495063</v>
      </c>
      <c r="H132" s="340">
        <v>97.201767304860084</v>
      </c>
      <c r="I132" s="340">
        <v>99.152542372881356</v>
      </c>
      <c r="J132" s="340">
        <v>98.126801152737755</v>
      </c>
      <c r="K132" s="340">
        <v>98.784194528875389</v>
      </c>
      <c r="L132" s="340">
        <v>99.394856278366106</v>
      </c>
      <c r="M132" s="340">
        <v>97.572815533980574</v>
      </c>
      <c r="N132" s="340">
        <v>98.37251356238697</v>
      </c>
      <c r="O132" s="340">
        <v>99.794238683127574</v>
      </c>
      <c r="P132" s="340">
        <v>99.595141700404852</v>
      </c>
      <c r="Q132" s="340">
        <v>98.481012658227854</v>
      </c>
    </row>
    <row r="133" spans="3:19" ht="18.75" x14ac:dyDescent="0.4">
      <c r="C133" s="2567"/>
      <c r="D133" s="391" t="s">
        <v>820</v>
      </c>
      <c r="E133" s="340">
        <v>96.581196581196579</v>
      </c>
      <c r="F133" s="340">
        <v>96.571428571428569</v>
      </c>
      <c r="G133" s="340">
        <v>96.450428396572832</v>
      </c>
      <c r="H133" s="340">
        <v>96.401028277634964</v>
      </c>
      <c r="I133" s="340">
        <v>97.095959595959584</v>
      </c>
      <c r="J133" s="340">
        <v>95.372750642673523</v>
      </c>
      <c r="K133" s="340">
        <v>93.359893758300132</v>
      </c>
      <c r="L133" s="340">
        <v>95.65217391304347</v>
      </c>
      <c r="M133" s="340">
        <v>95.36423841059603</v>
      </c>
      <c r="N133" s="340">
        <v>94.590643274853804</v>
      </c>
      <c r="O133" s="340">
        <v>96.715927750410515</v>
      </c>
      <c r="P133" s="340">
        <v>98.316498316498311</v>
      </c>
      <c r="Q133" s="340">
        <v>96.476510067114091</v>
      </c>
    </row>
    <row r="134" spans="3:19" ht="18.75" x14ac:dyDescent="0.4">
      <c r="C134" s="2567"/>
      <c r="D134" s="391" t="s">
        <v>821</v>
      </c>
      <c r="E134" s="340">
        <v>100</v>
      </c>
      <c r="F134" s="340">
        <v>99.666666666666671</v>
      </c>
      <c r="G134" s="340">
        <v>100</v>
      </c>
      <c r="H134" s="340">
        <v>99.23371647509579</v>
      </c>
      <c r="I134" s="340">
        <v>100</v>
      </c>
      <c r="J134" s="340">
        <v>100</v>
      </c>
      <c r="K134" s="340">
        <v>100</v>
      </c>
      <c r="L134" s="340">
        <v>100</v>
      </c>
      <c r="M134" s="340">
        <v>99.339933993399342</v>
      </c>
      <c r="N134" s="340">
        <v>100</v>
      </c>
      <c r="O134" s="340">
        <v>99.618320610687022</v>
      </c>
      <c r="P134" s="340">
        <v>100</v>
      </c>
      <c r="Q134" s="340">
        <v>100</v>
      </c>
    </row>
    <row r="135" spans="3:19" ht="18.75" x14ac:dyDescent="0.4">
      <c r="C135" s="2567"/>
      <c r="D135" s="391" t="s">
        <v>822</v>
      </c>
      <c r="E135" s="340">
        <v>98.305084745762713</v>
      </c>
      <c r="F135" s="340">
        <v>97.703788748564875</v>
      </c>
      <c r="G135" s="340">
        <v>98.593350383631716</v>
      </c>
      <c r="H135" s="340">
        <v>99.075297225891674</v>
      </c>
      <c r="I135" s="340">
        <v>99.745222929936304</v>
      </c>
      <c r="J135" s="340">
        <v>99.449793672627237</v>
      </c>
      <c r="K135" s="340">
        <v>98.728813559322035</v>
      </c>
      <c r="L135" s="340">
        <v>99.572649572649567</v>
      </c>
      <c r="M135" s="340">
        <v>99.147727272727266</v>
      </c>
      <c r="N135" s="340">
        <v>99.839486356340288</v>
      </c>
      <c r="O135" s="340">
        <v>98.598949211908931</v>
      </c>
      <c r="P135" s="340">
        <v>99.255121042830538</v>
      </c>
      <c r="Q135" s="340">
        <v>99.478260869565219</v>
      </c>
    </row>
    <row r="136" spans="3:19" ht="18.75" x14ac:dyDescent="0.4">
      <c r="C136" s="2567"/>
      <c r="D136" s="391" t="s">
        <v>823</v>
      </c>
      <c r="E136" s="340">
        <v>100</v>
      </c>
      <c r="F136" s="340">
        <v>100</v>
      </c>
      <c r="G136" s="340">
        <v>99.744245524296673</v>
      </c>
      <c r="H136" s="340">
        <v>99.518072289156621</v>
      </c>
      <c r="I136" s="340">
        <v>100</v>
      </c>
      <c r="J136" s="340">
        <v>100</v>
      </c>
      <c r="K136" s="340">
        <v>98.372093023255815</v>
      </c>
      <c r="L136" s="340">
        <v>99.518072289156621</v>
      </c>
      <c r="M136" s="340">
        <v>99.297423887587826</v>
      </c>
      <c r="N136" s="340">
        <v>99.290780141843967</v>
      </c>
      <c r="O136" s="340">
        <v>98.768472906403943</v>
      </c>
      <c r="P136" s="340">
        <v>98.40425531914893</v>
      </c>
      <c r="Q136" s="340">
        <v>99.127906976744185</v>
      </c>
    </row>
    <row r="137" spans="3:19" ht="18.75" x14ac:dyDescent="0.4">
      <c r="C137" s="424"/>
      <c r="D137" s="391" t="s">
        <v>824</v>
      </c>
      <c r="E137" s="391"/>
      <c r="F137" s="391"/>
      <c r="G137" s="391"/>
      <c r="H137" s="391"/>
      <c r="I137" s="391"/>
      <c r="J137" s="391"/>
      <c r="K137" s="391"/>
      <c r="L137" s="391"/>
      <c r="M137" s="391"/>
      <c r="N137" s="391"/>
      <c r="O137" s="391"/>
      <c r="P137" s="391"/>
      <c r="Q137" s="340">
        <v>100</v>
      </c>
    </row>
    <row r="138" spans="3:19" ht="18.75" x14ac:dyDescent="0.4">
      <c r="C138" s="424"/>
      <c r="D138" s="391" t="s">
        <v>825</v>
      </c>
      <c r="E138" s="391"/>
      <c r="F138" s="391"/>
      <c r="G138" s="391"/>
      <c r="H138" s="391"/>
      <c r="I138" s="391"/>
      <c r="J138" s="391"/>
      <c r="K138" s="391"/>
      <c r="L138" s="391"/>
      <c r="M138" s="391"/>
      <c r="N138" s="391"/>
      <c r="O138" s="391"/>
      <c r="P138" s="391"/>
      <c r="Q138" s="340">
        <v>96.774193548387103</v>
      </c>
    </row>
    <row r="139" spans="3:19" ht="18.75" x14ac:dyDescent="0.4">
      <c r="C139" s="2567" t="s">
        <v>334</v>
      </c>
      <c r="D139" s="391" t="s">
        <v>334</v>
      </c>
      <c r="E139" s="340">
        <v>93.188854489164086</v>
      </c>
      <c r="F139" s="340">
        <v>95.068359375</v>
      </c>
      <c r="G139" s="340">
        <v>92.735426008968616</v>
      </c>
      <c r="H139" s="340">
        <v>93.802035152636449</v>
      </c>
      <c r="I139" s="340">
        <v>95.36852589641434</v>
      </c>
      <c r="J139" s="340">
        <v>93.575282000980877</v>
      </c>
      <c r="K139" s="340">
        <v>95.520082389289399</v>
      </c>
      <c r="L139" s="340">
        <v>93.886230728335988</v>
      </c>
      <c r="M139" s="340">
        <v>96.033057851239676</v>
      </c>
      <c r="N139" s="340">
        <v>94.380664652567972</v>
      </c>
      <c r="O139" s="340">
        <v>95.475409836065566</v>
      </c>
      <c r="P139" s="340">
        <v>92.088827203331022</v>
      </c>
      <c r="Q139" s="340">
        <v>94.762915782024066</v>
      </c>
    </row>
    <row r="140" spans="3:19" ht="18.75" x14ac:dyDescent="0.4">
      <c r="C140" s="2567"/>
      <c r="D140" s="391" t="s">
        <v>826</v>
      </c>
      <c r="E140" s="340">
        <v>99.240506329113913</v>
      </c>
      <c r="F140" s="340">
        <v>98.871237458193988</v>
      </c>
      <c r="G140" s="340">
        <v>98.872506504770158</v>
      </c>
      <c r="H140" s="340">
        <v>99.191145168156652</v>
      </c>
      <c r="I140" s="340">
        <v>99.378624689312346</v>
      </c>
      <c r="J140" s="340">
        <v>99.702000851426149</v>
      </c>
      <c r="K140" s="340">
        <v>99.525248165731568</v>
      </c>
      <c r="L140" s="340">
        <v>99.439413540319094</v>
      </c>
      <c r="M140" s="340">
        <v>99.550561797752806</v>
      </c>
      <c r="N140" s="340">
        <v>99.30761622156281</v>
      </c>
      <c r="O140" s="340">
        <v>99.602949517867273</v>
      </c>
      <c r="P140" s="340">
        <v>99.045480067377881</v>
      </c>
      <c r="Q140" s="340">
        <v>99.41280093951849</v>
      </c>
    </row>
    <row r="141" spans="3:19" ht="18.75" x14ac:dyDescent="0.4">
      <c r="C141" s="2567"/>
      <c r="D141" s="391" t="s">
        <v>827</v>
      </c>
      <c r="E141" s="340">
        <v>99.478079331941544</v>
      </c>
      <c r="F141" s="340">
        <v>98.918918918918919</v>
      </c>
      <c r="G141" s="340">
        <v>99.039301310043669</v>
      </c>
      <c r="H141" s="340">
        <v>99.715099715099726</v>
      </c>
      <c r="I141" s="340">
        <v>98.983364140480589</v>
      </c>
      <c r="J141" s="340">
        <v>99.430740037950656</v>
      </c>
      <c r="K141" s="340">
        <v>99.375</v>
      </c>
      <c r="L141" s="340">
        <v>99.003984063745023</v>
      </c>
      <c r="M141" s="340">
        <v>98.962655601659748</v>
      </c>
      <c r="N141" s="340">
        <v>99.525504151838675</v>
      </c>
      <c r="O141" s="340">
        <v>98.653610771113833</v>
      </c>
      <c r="P141" s="340">
        <v>98.630136986301366</v>
      </c>
      <c r="Q141" s="340">
        <v>98.605830164765536</v>
      </c>
    </row>
    <row r="142" spans="3:19" ht="18.75" x14ac:dyDescent="0.4">
      <c r="C142" s="2567"/>
      <c r="D142" s="391" t="s">
        <v>828</v>
      </c>
      <c r="E142" s="340">
        <v>93.402328589909445</v>
      </c>
      <c r="F142" s="340">
        <v>95.66326530612244</v>
      </c>
      <c r="G142" s="340">
        <v>86.256410256410248</v>
      </c>
      <c r="H142" s="340">
        <v>89.428263214670977</v>
      </c>
      <c r="I142" s="340">
        <v>92.984542211652794</v>
      </c>
      <c r="J142" s="340">
        <v>93.794506612410984</v>
      </c>
      <c r="K142" s="340">
        <v>92.90853031860226</v>
      </c>
      <c r="L142" s="340">
        <v>90.523968784838345</v>
      </c>
      <c r="M142" s="340">
        <v>96.292134831460672</v>
      </c>
      <c r="N142" s="340">
        <v>96.334478808705612</v>
      </c>
      <c r="O142" s="340">
        <v>95.772787318361964</v>
      </c>
      <c r="P142" s="340">
        <v>86.290322580645167</v>
      </c>
      <c r="Q142" s="340">
        <v>92.055485498108453</v>
      </c>
    </row>
    <row r="143" spans="3:19" ht="18.75" x14ac:dyDescent="0.4">
      <c r="C143" s="2567"/>
      <c r="D143" s="391" t="s">
        <v>829</v>
      </c>
      <c r="E143" s="340">
        <v>97.800776196636491</v>
      </c>
      <c r="F143" s="340">
        <v>98.992161254199331</v>
      </c>
      <c r="G143" s="340">
        <v>98.379629629629633</v>
      </c>
      <c r="H143" s="340">
        <v>99.148418491484179</v>
      </c>
      <c r="I143" s="340">
        <v>98.472385428907174</v>
      </c>
      <c r="J143" s="340">
        <v>99.526066350710892</v>
      </c>
      <c r="K143" s="340">
        <v>99.131513647642677</v>
      </c>
      <c r="L143" s="340">
        <v>98.98989898989899</v>
      </c>
      <c r="M143" s="340">
        <v>98.777506112469439</v>
      </c>
      <c r="N143" s="340">
        <v>99.305555555555557</v>
      </c>
      <c r="O143" s="340">
        <v>99.104477611940297</v>
      </c>
      <c r="P143" s="340">
        <v>98.245614035087712</v>
      </c>
      <c r="Q143" s="340">
        <v>98.384491114701135</v>
      </c>
    </row>
    <row r="144" spans="3:19" ht="18.75" x14ac:dyDescent="0.4">
      <c r="C144" s="2568"/>
      <c r="D144" s="395" t="s">
        <v>830</v>
      </c>
      <c r="E144" s="397">
        <v>98.527607361963192</v>
      </c>
      <c r="F144" s="397">
        <v>99.285714285714292</v>
      </c>
      <c r="G144" s="397">
        <v>99.116997792494473</v>
      </c>
      <c r="H144" s="397">
        <v>98.12734082397003</v>
      </c>
      <c r="I144" s="397">
        <v>99.753086419753089</v>
      </c>
      <c r="J144" s="397">
        <v>99.644970414201183</v>
      </c>
      <c r="K144" s="397">
        <v>99.743260590500654</v>
      </c>
      <c r="L144" s="397">
        <v>99.190283400809719</v>
      </c>
      <c r="M144" s="397">
        <v>98.778833107191303</v>
      </c>
      <c r="N144" s="397">
        <v>99.392097264437695</v>
      </c>
      <c r="O144" s="397">
        <v>98.761609907120743</v>
      </c>
      <c r="P144" s="397">
        <v>99.21630094043887</v>
      </c>
      <c r="Q144" s="397">
        <v>99.163879598662206</v>
      </c>
      <c r="R144" s="2404"/>
      <c r="S144" s="2404"/>
    </row>
    <row r="145" spans="3:16" ht="18.75" x14ac:dyDescent="0.4">
      <c r="C145" s="5" t="s">
        <v>831</v>
      </c>
      <c r="D145" s="5"/>
      <c r="E145" s="5"/>
      <c r="F145" s="5"/>
      <c r="G145" s="5"/>
      <c r="H145" s="5"/>
      <c r="I145" s="5"/>
      <c r="J145" s="5"/>
      <c r="K145" s="5"/>
      <c r="L145" s="5"/>
      <c r="M145" s="5"/>
      <c r="N145" s="5"/>
      <c r="O145" s="5"/>
      <c r="P145" s="5"/>
    </row>
  </sheetData>
  <mergeCells count="28">
    <mergeCell ref="O13:U27"/>
    <mergeCell ref="A5:B5"/>
    <mergeCell ref="C5:Q5"/>
    <mergeCell ref="C1:D1"/>
    <mergeCell ref="A3:B3"/>
    <mergeCell ref="C3:Q3"/>
    <mergeCell ref="A4:B4"/>
    <mergeCell ref="C4:Q4"/>
    <mergeCell ref="A6:B6"/>
    <mergeCell ref="C6:Q6"/>
    <mergeCell ref="C11:C12"/>
    <mergeCell ref="D11:D12"/>
    <mergeCell ref="E11:K11"/>
    <mergeCell ref="O11:U11"/>
    <mergeCell ref="W11:AJ11"/>
    <mergeCell ref="AK11:AK12"/>
    <mergeCell ref="AM11:AP11"/>
    <mergeCell ref="Z12:AA12"/>
    <mergeCell ref="AD12:AE12"/>
    <mergeCell ref="AF12:AG12"/>
    <mergeCell ref="C126:C136"/>
    <mergeCell ref="C139:C144"/>
    <mergeCell ref="C32:M32"/>
    <mergeCell ref="C61:C80"/>
    <mergeCell ref="C81:C96"/>
    <mergeCell ref="C97:C104"/>
    <mergeCell ref="C105:C114"/>
    <mergeCell ref="C115:C125"/>
  </mergeCells>
  <conditionalFormatting sqref="E61:P61">
    <cfRule type="cellIs" dxfId="1001" priority="84" operator="equal">
      <formula>0</formula>
    </cfRule>
  </conditionalFormatting>
  <conditionalFormatting sqref="E62:P62">
    <cfRule type="cellIs" dxfId="1000" priority="83" operator="equal">
      <formula>0</formula>
    </cfRule>
  </conditionalFormatting>
  <conditionalFormatting sqref="E63:P63">
    <cfRule type="cellIs" dxfId="999" priority="82" operator="equal">
      <formula>0</formula>
    </cfRule>
  </conditionalFormatting>
  <conditionalFormatting sqref="E64:P64">
    <cfRule type="cellIs" dxfId="998" priority="81" operator="equal">
      <formula>0</formula>
    </cfRule>
  </conditionalFormatting>
  <conditionalFormatting sqref="E65:P65">
    <cfRule type="cellIs" dxfId="997" priority="80" operator="equal">
      <formula>0</formula>
    </cfRule>
  </conditionalFormatting>
  <conditionalFormatting sqref="E66:P66">
    <cfRule type="cellIs" dxfId="996" priority="79" operator="equal">
      <formula>0</formula>
    </cfRule>
  </conditionalFormatting>
  <conditionalFormatting sqref="E67:P67">
    <cfRule type="cellIs" dxfId="995" priority="78" operator="equal">
      <formula>0</formula>
    </cfRule>
  </conditionalFormatting>
  <conditionalFormatting sqref="E68:P68">
    <cfRule type="cellIs" dxfId="994" priority="77" operator="equal">
      <formula>0</formula>
    </cfRule>
  </conditionalFormatting>
  <conditionalFormatting sqref="E69:P69">
    <cfRule type="cellIs" dxfId="993" priority="76" operator="equal">
      <formula>0</formula>
    </cfRule>
  </conditionalFormatting>
  <conditionalFormatting sqref="E70:P70">
    <cfRule type="cellIs" dxfId="992" priority="75" operator="equal">
      <formula>0</formula>
    </cfRule>
  </conditionalFormatting>
  <conditionalFormatting sqref="E71:P71">
    <cfRule type="cellIs" dxfId="991" priority="74" operator="equal">
      <formula>0</formula>
    </cfRule>
  </conditionalFormatting>
  <conditionalFormatting sqref="E72:P72">
    <cfRule type="cellIs" dxfId="990" priority="73" operator="equal">
      <formula>0</formula>
    </cfRule>
  </conditionalFormatting>
  <conditionalFormatting sqref="E73:P73">
    <cfRule type="cellIs" dxfId="989" priority="72" operator="equal">
      <formula>0</formula>
    </cfRule>
  </conditionalFormatting>
  <conditionalFormatting sqref="E74:P74">
    <cfRule type="cellIs" dxfId="988" priority="71" operator="equal">
      <formula>0</formula>
    </cfRule>
  </conditionalFormatting>
  <conditionalFormatting sqref="E75:P75">
    <cfRule type="cellIs" dxfId="987" priority="70" operator="equal">
      <formula>0</formula>
    </cfRule>
  </conditionalFormatting>
  <conditionalFormatting sqref="E76:P76">
    <cfRule type="cellIs" dxfId="986" priority="69" operator="equal">
      <formula>0</formula>
    </cfRule>
  </conditionalFormatting>
  <conditionalFormatting sqref="E77:P77">
    <cfRule type="cellIs" dxfId="985" priority="68" operator="equal">
      <formula>0</formula>
    </cfRule>
  </conditionalFormatting>
  <conditionalFormatting sqref="E78:P78">
    <cfRule type="cellIs" dxfId="984" priority="67" operator="equal">
      <formula>0</formula>
    </cfRule>
  </conditionalFormatting>
  <conditionalFormatting sqref="E79:P79">
    <cfRule type="cellIs" dxfId="983" priority="66" operator="equal">
      <formula>0</formula>
    </cfRule>
  </conditionalFormatting>
  <conditionalFormatting sqref="E80:P80">
    <cfRule type="cellIs" dxfId="982" priority="65" operator="equal">
      <formula>0</formula>
    </cfRule>
  </conditionalFormatting>
  <conditionalFormatting sqref="E81:P81">
    <cfRule type="cellIs" dxfId="981" priority="64" operator="equal">
      <formula>0</formula>
    </cfRule>
  </conditionalFormatting>
  <conditionalFormatting sqref="E82:P82">
    <cfRule type="cellIs" dxfId="980" priority="63" operator="equal">
      <formula>0</formula>
    </cfRule>
  </conditionalFormatting>
  <conditionalFormatting sqref="E83:P83">
    <cfRule type="cellIs" dxfId="979" priority="62" operator="equal">
      <formula>0</formula>
    </cfRule>
  </conditionalFormatting>
  <conditionalFormatting sqref="E84:P84">
    <cfRule type="cellIs" dxfId="978" priority="61" operator="equal">
      <formula>0</formula>
    </cfRule>
  </conditionalFormatting>
  <conditionalFormatting sqref="E85:P85">
    <cfRule type="cellIs" dxfId="977" priority="60" operator="equal">
      <formula>0</formula>
    </cfRule>
  </conditionalFormatting>
  <conditionalFormatting sqref="E86:P86">
    <cfRule type="cellIs" dxfId="976" priority="59" operator="equal">
      <formula>0</formula>
    </cfRule>
  </conditionalFormatting>
  <conditionalFormatting sqref="E87:P87">
    <cfRule type="cellIs" dxfId="975" priority="58" operator="equal">
      <formula>0</formula>
    </cfRule>
  </conditionalFormatting>
  <conditionalFormatting sqref="E88:P88">
    <cfRule type="cellIs" dxfId="974" priority="57" operator="equal">
      <formula>0</formula>
    </cfRule>
  </conditionalFormatting>
  <conditionalFormatting sqref="E89:P89">
    <cfRule type="cellIs" dxfId="973" priority="56" operator="equal">
      <formula>0</formula>
    </cfRule>
  </conditionalFormatting>
  <conditionalFormatting sqref="E90:P90">
    <cfRule type="cellIs" dxfId="972" priority="55" operator="equal">
      <formula>0</formula>
    </cfRule>
  </conditionalFormatting>
  <conditionalFormatting sqref="E91:P91">
    <cfRule type="cellIs" dxfId="971" priority="54" operator="equal">
      <formula>0</formula>
    </cfRule>
  </conditionalFormatting>
  <conditionalFormatting sqref="E92:P92">
    <cfRule type="cellIs" dxfId="970" priority="53" operator="equal">
      <formula>0</formula>
    </cfRule>
  </conditionalFormatting>
  <conditionalFormatting sqref="E93:P93">
    <cfRule type="cellIs" dxfId="969" priority="52" operator="equal">
      <formula>0</formula>
    </cfRule>
  </conditionalFormatting>
  <conditionalFormatting sqref="E94:P94">
    <cfRule type="cellIs" dxfId="968" priority="51" operator="equal">
      <formula>0</formula>
    </cfRule>
  </conditionalFormatting>
  <conditionalFormatting sqref="E95:P95">
    <cfRule type="cellIs" dxfId="967" priority="50" operator="equal">
      <formula>0</formula>
    </cfRule>
  </conditionalFormatting>
  <conditionalFormatting sqref="E96:P96">
    <cfRule type="cellIs" dxfId="966" priority="49" operator="equal">
      <formula>0</formula>
    </cfRule>
  </conditionalFormatting>
  <conditionalFormatting sqref="E97:P97">
    <cfRule type="cellIs" dxfId="965" priority="48" operator="equal">
      <formula>0</formula>
    </cfRule>
  </conditionalFormatting>
  <conditionalFormatting sqref="E98:P98">
    <cfRule type="cellIs" dxfId="964" priority="47" operator="equal">
      <formula>0</formula>
    </cfRule>
  </conditionalFormatting>
  <conditionalFormatting sqref="E99:P99">
    <cfRule type="cellIs" dxfId="963" priority="46" operator="equal">
      <formula>0</formula>
    </cfRule>
  </conditionalFormatting>
  <conditionalFormatting sqref="E100:P100">
    <cfRule type="cellIs" dxfId="962" priority="45" operator="equal">
      <formula>0</formula>
    </cfRule>
  </conditionalFormatting>
  <conditionalFormatting sqref="E101:P101">
    <cfRule type="cellIs" dxfId="961" priority="44" operator="equal">
      <formula>0</formula>
    </cfRule>
  </conditionalFormatting>
  <conditionalFormatting sqref="E102:P102">
    <cfRule type="cellIs" dxfId="960" priority="43" operator="equal">
      <formula>0</formula>
    </cfRule>
  </conditionalFormatting>
  <conditionalFormatting sqref="E103:P103">
    <cfRule type="cellIs" dxfId="959" priority="42" operator="equal">
      <formula>0</formula>
    </cfRule>
  </conditionalFormatting>
  <conditionalFormatting sqref="E104:P104">
    <cfRule type="cellIs" dxfId="958" priority="41" operator="equal">
      <formula>0</formula>
    </cfRule>
  </conditionalFormatting>
  <conditionalFormatting sqref="E105:P105">
    <cfRule type="cellIs" dxfId="957" priority="40" operator="equal">
      <formula>0</formula>
    </cfRule>
  </conditionalFormatting>
  <conditionalFormatting sqref="E106:P106">
    <cfRule type="cellIs" dxfId="956" priority="39" operator="equal">
      <formula>0</formula>
    </cfRule>
  </conditionalFormatting>
  <conditionalFormatting sqref="E107:P107">
    <cfRule type="cellIs" dxfId="955" priority="38" operator="equal">
      <formula>0</formula>
    </cfRule>
  </conditionalFormatting>
  <conditionalFormatting sqref="E108:P108">
    <cfRule type="cellIs" dxfId="954" priority="37" operator="equal">
      <formula>0</formula>
    </cfRule>
  </conditionalFormatting>
  <conditionalFormatting sqref="E109:P109">
    <cfRule type="cellIs" dxfId="953" priority="36" operator="equal">
      <formula>0</formula>
    </cfRule>
  </conditionalFormatting>
  <conditionalFormatting sqref="E110:P110">
    <cfRule type="cellIs" dxfId="952" priority="35" operator="equal">
      <formula>0</formula>
    </cfRule>
  </conditionalFormatting>
  <conditionalFormatting sqref="E111:P111">
    <cfRule type="cellIs" dxfId="951" priority="34" operator="equal">
      <formula>0</formula>
    </cfRule>
  </conditionalFormatting>
  <conditionalFormatting sqref="E112:P112">
    <cfRule type="cellIs" dxfId="950" priority="33" operator="equal">
      <formula>0</formula>
    </cfRule>
  </conditionalFormatting>
  <conditionalFormatting sqref="E113:P113">
    <cfRule type="cellIs" dxfId="949" priority="32" operator="equal">
      <formula>0</formula>
    </cfRule>
  </conditionalFormatting>
  <conditionalFormatting sqref="E114:P114">
    <cfRule type="cellIs" dxfId="948" priority="31" operator="equal">
      <formula>0</formula>
    </cfRule>
  </conditionalFormatting>
  <conditionalFormatting sqref="E115:P115">
    <cfRule type="cellIs" dxfId="947" priority="30" operator="equal">
      <formula>0</formula>
    </cfRule>
  </conditionalFormatting>
  <conditionalFormatting sqref="E116:P116">
    <cfRule type="cellIs" dxfId="946" priority="29" operator="equal">
      <formula>0</formula>
    </cfRule>
  </conditionalFormatting>
  <conditionalFormatting sqref="E117:P117">
    <cfRule type="cellIs" dxfId="945" priority="28" operator="equal">
      <formula>0</formula>
    </cfRule>
  </conditionalFormatting>
  <conditionalFormatting sqref="E118:O118">
    <cfRule type="cellIs" dxfId="944" priority="27" operator="equal">
      <formula>0</formula>
    </cfRule>
  </conditionalFormatting>
  <conditionalFormatting sqref="E119:P119">
    <cfRule type="cellIs" dxfId="943" priority="26" operator="equal">
      <formula>0</formula>
    </cfRule>
  </conditionalFormatting>
  <conditionalFormatting sqref="E120:P120">
    <cfRule type="cellIs" dxfId="942" priority="25" operator="equal">
      <formula>0</formula>
    </cfRule>
  </conditionalFormatting>
  <conditionalFormatting sqref="E121:P121">
    <cfRule type="cellIs" dxfId="941" priority="24" operator="equal">
      <formula>0</formula>
    </cfRule>
  </conditionalFormatting>
  <conditionalFormatting sqref="E122:P122">
    <cfRule type="cellIs" dxfId="940" priority="23" operator="equal">
      <formula>0</formula>
    </cfRule>
  </conditionalFormatting>
  <conditionalFormatting sqref="E123:P123">
    <cfRule type="cellIs" dxfId="939" priority="22" operator="equal">
      <formula>0</formula>
    </cfRule>
  </conditionalFormatting>
  <conditionalFormatting sqref="E124:P124">
    <cfRule type="cellIs" dxfId="938" priority="21" operator="equal">
      <formula>0</formula>
    </cfRule>
  </conditionalFormatting>
  <conditionalFormatting sqref="E125:P125">
    <cfRule type="cellIs" dxfId="937" priority="20" operator="equal">
      <formula>0</formula>
    </cfRule>
  </conditionalFormatting>
  <conditionalFormatting sqref="E126:P126">
    <cfRule type="cellIs" dxfId="936" priority="19" operator="equal">
      <formula>0</formula>
    </cfRule>
  </conditionalFormatting>
  <conditionalFormatting sqref="E127:P127">
    <cfRule type="cellIs" dxfId="935" priority="18" operator="equal">
      <formula>0</formula>
    </cfRule>
  </conditionalFormatting>
  <conditionalFormatting sqref="E128:P128">
    <cfRule type="cellIs" dxfId="934" priority="17" operator="equal">
      <formula>0</formula>
    </cfRule>
  </conditionalFormatting>
  <conditionalFormatting sqref="E129:P129">
    <cfRule type="cellIs" dxfId="933" priority="16" operator="equal">
      <formula>0</formula>
    </cfRule>
  </conditionalFormatting>
  <conditionalFormatting sqref="E130:P130">
    <cfRule type="cellIs" dxfId="932" priority="15" operator="equal">
      <formula>0</formula>
    </cfRule>
  </conditionalFormatting>
  <conditionalFormatting sqref="E131:P131">
    <cfRule type="cellIs" dxfId="931" priority="14" operator="equal">
      <formula>0</formula>
    </cfRule>
  </conditionalFormatting>
  <conditionalFormatting sqref="E132:P132">
    <cfRule type="cellIs" dxfId="930" priority="13" operator="equal">
      <formula>0</formula>
    </cfRule>
  </conditionalFormatting>
  <conditionalFormatting sqref="E133:P133">
    <cfRule type="cellIs" dxfId="929" priority="12" operator="equal">
      <formula>0</formula>
    </cfRule>
  </conditionalFormatting>
  <conditionalFormatting sqref="E134:P134">
    <cfRule type="cellIs" dxfId="928" priority="11" operator="equal">
      <formula>0</formula>
    </cfRule>
  </conditionalFormatting>
  <conditionalFormatting sqref="E135:P135">
    <cfRule type="cellIs" dxfId="927" priority="10" operator="equal">
      <formula>0</formula>
    </cfRule>
  </conditionalFormatting>
  <conditionalFormatting sqref="E136:P136">
    <cfRule type="cellIs" dxfId="926" priority="9" operator="equal">
      <formula>0</formula>
    </cfRule>
  </conditionalFormatting>
  <conditionalFormatting sqref="E139:P139">
    <cfRule type="cellIs" dxfId="925" priority="8" operator="equal">
      <formula>0</formula>
    </cfRule>
  </conditionalFormatting>
  <conditionalFormatting sqref="E140:P140">
    <cfRule type="cellIs" dxfId="924" priority="7" operator="equal">
      <formula>0</formula>
    </cfRule>
  </conditionalFormatting>
  <conditionalFormatting sqref="E141:P141">
    <cfRule type="cellIs" dxfId="923" priority="6" operator="equal">
      <formula>0</formula>
    </cfRule>
  </conditionalFormatting>
  <conditionalFormatting sqref="E142:P142">
    <cfRule type="cellIs" dxfId="922" priority="5" operator="equal">
      <formula>0</formula>
    </cfRule>
  </conditionalFormatting>
  <conditionalFormatting sqref="E143:P143">
    <cfRule type="cellIs" dxfId="921" priority="4" operator="equal">
      <formula>0</formula>
    </cfRule>
  </conditionalFormatting>
  <conditionalFormatting sqref="E144:P144">
    <cfRule type="cellIs" dxfId="920" priority="3" operator="equal">
      <formula>0</formula>
    </cfRule>
  </conditionalFormatting>
  <conditionalFormatting sqref="Q72:Q143">
    <cfRule type="cellIs" dxfId="919" priority="2" operator="equal">
      <formula>0</formula>
    </cfRule>
  </conditionalFormatting>
  <conditionalFormatting sqref="Q144">
    <cfRule type="cellIs" dxfId="918" priority="1" operator="equal">
      <formula>0</formula>
    </cfRule>
  </conditionalFormatting>
  <hyperlinks>
    <hyperlink ref="A1" location="'ODS 3.'!A1" display="REGRESAR" xr:uid="{41F02646-D3EA-4A26-94E2-20A5F7E98AF9}"/>
    <hyperlink ref="C1" location="'Metadato 3.1.2'!A1" display="VER METADATO" xr:uid="{67A7FB4A-B33A-42D9-906A-201ADE55EAD7}"/>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DA27E-4FFB-4B6C-AA4B-EFBE02895EDD}">
  <sheetPr>
    <tabColor theme="0" tint="-0.499984740745262"/>
  </sheetPr>
  <dimension ref="A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8.75" x14ac:dyDescent="0.4"/>
  <cols>
    <col min="1" max="1" width="11" style="5" customWidth="1"/>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604" t="s">
        <v>75</v>
      </c>
      <c r="C3" s="2604"/>
      <c r="D3" s="2604"/>
      <c r="F3" s="91" t="s">
        <v>76</v>
      </c>
    </row>
    <row r="4" spans="1:6" ht="16.5" customHeight="1" x14ac:dyDescent="0.4">
      <c r="A4" s="92"/>
      <c r="B4" s="2445" t="s">
        <v>234</v>
      </c>
      <c r="C4" s="2445"/>
      <c r="D4" s="49" t="s">
        <v>832</v>
      </c>
    </row>
    <row r="5" spans="1:6" x14ac:dyDescent="0.4">
      <c r="B5" s="2445" t="s">
        <v>79</v>
      </c>
      <c r="C5" s="2445"/>
      <c r="D5" s="49" t="s">
        <v>662</v>
      </c>
    </row>
    <row r="6" spans="1:6" x14ac:dyDescent="0.4">
      <c r="B6" s="2445" t="s">
        <v>80</v>
      </c>
      <c r="C6" s="2445"/>
      <c r="D6" s="50" t="s">
        <v>665</v>
      </c>
    </row>
    <row r="7" spans="1:6" ht="15" customHeight="1" x14ac:dyDescent="0.4">
      <c r="B7" s="2446" t="s">
        <v>81</v>
      </c>
      <c r="C7" s="2446"/>
      <c r="D7" s="93" t="s">
        <v>666</v>
      </c>
    </row>
    <row r="8" spans="1:6" ht="15" customHeight="1" x14ac:dyDescent="0.4">
      <c r="B8" s="2446" t="s">
        <v>82</v>
      </c>
      <c r="C8" s="2446"/>
      <c r="D8" s="94" t="s">
        <v>880</v>
      </c>
    </row>
    <row r="10" spans="1:6" ht="23.25" customHeight="1" x14ac:dyDescent="0.4">
      <c r="B10" s="2604" t="s">
        <v>85</v>
      </c>
      <c r="C10" s="2604"/>
      <c r="D10" s="2604"/>
    </row>
    <row r="11" spans="1:6" x14ac:dyDescent="0.4">
      <c r="B11" s="2453" t="s">
        <v>86</v>
      </c>
      <c r="C11" s="2454"/>
      <c r="D11" s="49" t="s">
        <v>167</v>
      </c>
    </row>
    <row r="12" spans="1:6" ht="19.5" customHeight="1" x14ac:dyDescent="0.4">
      <c r="B12" s="2455" t="s">
        <v>88</v>
      </c>
      <c r="C12" s="2455"/>
      <c r="D12" s="214" t="s">
        <v>881</v>
      </c>
    </row>
    <row r="13" spans="1:6" x14ac:dyDescent="0.4">
      <c r="B13" s="2445" t="s">
        <v>90</v>
      </c>
      <c r="C13" s="2445"/>
      <c r="D13" s="54" t="s">
        <v>665</v>
      </c>
    </row>
    <row r="14" spans="1:6" x14ac:dyDescent="0.4">
      <c r="B14" s="2445" t="s">
        <v>91</v>
      </c>
      <c r="C14" s="2456"/>
      <c r="D14" s="54" t="s">
        <v>92</v>
      </c>
    </row>
    <row r="15" spans="1:6" ht="78.75" customHeight="1" x14ac:dyDescent="0.4">
      <c r="B15" s="2445" t="s">
        <v>93</v>
      </c>
      <c r="C15" s="2445"/>
      <c r="D15" s="56" t="s">
        <v>882</v>
      </c>
    </row>
    <row r="16" spans="1:6" ht="63" customHeight="1" x14ac:dyDescent="0.4">
      <c r="B16" s="2445" t="s">
        <v>95</v>
      </c>
      <c r="C16" s="2445"/>
      <c r="D16" s="425"/>
    </row>
    <row r="17" spans="2:4" x14ac:dyDescent="0.4">
      <c r="B17" s="2445" t="s">
        <v>97</v>
      </c>
      <c r="C17" s="2445"/>
      <c r="D17" s="203" t="s">
        <v>98</v>
      </c>
    </row>
    <row r="18" spans="2:4" x14ac:dyDescent="0.4">
      <c r="B18" s="2446" t="s">
        <v>99</v>
      </c>
      <c r="C18" s="2446"/>
      <c r="D18" s="49" t="s">
        <v>883</v>
      </c>
    </row>
    <row r="19" spans="2:4" ht="35.25" customHeight="1" x14ac:dyDescent="0.4">
      <c r="B19" s="2457" t="s">
        <v>100</v>
      </c>
      <c r="C19" s="2458"/>
      <c r="D19" s="56" t="s">
        <v>884</v>
      </c>
    </row>
    <row r="20" spans="2:4" x14ac:dyDescent="0.4">
      <c r="B20" s="2445" t="s">
        <v>102</v>
      </c>
      <c r="C20" s="2445"/>
      <c r="D20" s="203" t="s">
        <v>140</v>
      </c>
    </row>
    <row r="21" spans="2:4" x14ac:dyDescent="0.4">
      <c r="B21" s="2451" t="s">
        <v>104</v>
      </c>
      <c r="C21" s="95" t="s">
        <v>105</v>
      </c>
      <c r="D21" s="49" t="s">
        <v>839</v>
      </c>
    </row>
    <row r="22" spans="2:4" x14ac:dyDescent="0.4">
      <c r="B22" s="2452"/>
      <c r="C22" s="96" t="s">
        <v>107</v>
      </c>
      <c r="D22" s="55" t="s">
        <v>885</v>
      </c>
    </row>
    <row r="23" spans="2:4" ht="15" customHeight="1" x14ac:dyDescent="0.4">
      <c r="B23" s="2444" t="s">
        <v>109</v>
      </c>
      <c r="C23" s="2444"/>
      <c r="D23" s="56" t="s">
        <v>841</v>
      </c>
    </row>
    <row r="24" spans="2:4" ht="15" customHeight="1" x14ac:dyDescent="0.4">
      <c r="B24" s="2444" t="s">
        <v>111</v>
      </c>
      <c r="C24" s="2444"/>
      <c r="D24" s="426" t="s">
        <v>842</v>
      </c>
    </row>
    <row r="25" spans="2:4" ht="15" customHeight="1" x14ac:dyDescent="0.4">
      <c r="B25" s="2445" t="s">
        <v>113</v>
      </c>
      <c r="C25" s="2445"/>
      <c r="D25" s="56" t="s">
        <v>220</v>
      </c>
    </row>
    <row r="26" spans="2:4" ht="15" customHeight="1" x14ac:dyDescent="0.4">
      <c r="B26" s="2446" t="s">
        <v>115</v>
      </c>
      <c r="C26" s="2446"/>
      <c r="D26" s="426" t="s">
        <v>843</v>
      </c>
    </row>
    <row r="27" spans="2:4" x14ac:dyDescent="0.4">
      <c r="B27" s="2447" t="s">
        <v>117</v>
      </c>
      <c r="C27" s="2448"/>
      <c r="D27" s="49" t="s">
        <v>886</v>
      </c>
    </row>
    <row r="28" spans="2:4" ht="56.25" x14ac:dyDescent="0.4">
      <c r="B28" s="97" t="s">
        <v>118</v>
      </c>
      <c r="C28" s="98"/>
      <c r="D28" s="203" t="s">
        <v>887</v>
      </c>
    </row>
    <row r="29" spans="2:4" x14ac:dyDescent="0.4">
      <c r="B29" s="2449" t="s">
        <v>120</v>
      </c>
      <c r="C29" s="2450"/>
      <c r="D29" s="62"/>
    </row>
    <row r="30" spans="2:4" x14ac:dyDescent="0.4">
      <c r="B30" s="63"/>
      <c r="C30" s="63"/>
      <c r="D30" s="64"/>
    </row>
    <row r="31" spans="2:4" ht="23.25" customHeight="1" x14ac:dyDescent="0.4">
      <c r="B31" s="2604" t="s">
        <v>121</v>
      </c>
      <c r="C31" s="2604"/>
      <c r="D31" s="2604"/>
    </row>
    <row r="32" spans="2:4" x14ac:dyDescent="0.4">
      <c r="B32" s="2442" t="s">
        <v>122</v>
      </c>
      <c r="C32" s="2443"/>
      <c r="D32" s="205" t="s">
        <v>846</v>
      </c>
    </row>
    <row r="33" spans="2:4" x14ac:dyDescent="0.4">
      <c r="B33" s="2442" t="s">
        <v>124</v>
      </c>
      <c r="C33" s="2443"/>
      <c r="D33" s="205" t="s">
        <v>847</v>
      </c>
    </row>
    <row r="34" spans="2:4" x14ac:dyDescent="0.4">
      <c r="B34" s="2442" t="s">
        <v>126</v>
      </c>
      <c r="C34" s="2443"/>
      <c r="D34" s="205" t="s">
        <v>127</v>
      </c>
    </row>
    <row r="35" spans="2:4" x14ac:dyDescent="0.4">
      <c r="B35" s="2442" t="s">
        <v>128</v>
      </c>
      <c r="C35" s="2443"/>
      <c r="D35" s="205" t="s">
        <v>888</v>
      </c>
    </row>
    <row r="36" spans="2:4" x14ac:dyDescent="0.4">
      <c r="B36" s="2442" t="s">
        <v>130</v>
      </c>
      <c r="C36" s="2443"/>
      <c r="D36" s="205"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78873FC6-8997-48FB-8F11-7E908667485E}">
      <formula1>Nombre_indicador_ODS</formula1>
    </dataValidation>
    <dataValidation type="list" allowBlank="1" showInputMessage="1" showErrorMessage="1" sqref="D6" xr:uid="{E8B2699D-81CE-4625-9BBE-17D48E0B256D}">
      <formula1>Numero_indicador</formula1>
    </dataValidation>
    <dataValidation type="list" allowBlank="1" showInputMessage="1" showErrorMessage="1" sqref="D5" xr:uid="{E313B787-26D8-4707-BB13-F9F8775DFA0F}">
      <formula1>Metas_ODS</formula1>
    </dataValidation>
    <dataValidation type="list" allowBlank="1" showInputMessage="1" showErrorMessage="1" sqref="D4" xr:uid="{5A9B78E0-EB96-4F94-9BF3-2FB3FBB3EB3B}">
      <formula1>ODS</formula1>
    </dataValidation>
    <dataValidation allowBlank="1" showDropDown="1" showInputMessage="1" showErrorMessage="1" sqref="D13" xr:uid="{D702DB48-7BD8-4585-98C9-B3DA40AE076A}"/>
  </dataValidations>
  <hyperlinks>
    <hyperlink ref="B1" location="'3.1.2'!A1" display="REGRESAR" xr:uid="{D63F13AA-B4C6-4E36-A4C4-6D71BDDCB2B8}"/>
    <hyperlink ref="D8" r:id="rId1" xr:uid="{301504A5-8F75-456B-AB45-49F50E8B513C}"/>
  </hyperlinks>
  <pageMargins left="0.7" right="0.7" top="0.75" bottom="0.75" header="0.3" footer="0.3"/>
  <pageSetup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A97E-ED5B-406A-8FB4-DB3FA53A409A}">
  <dimension ref="A1:AD142"/>
  <sheetViews>
    <sheetView showGridLines="0" zoomScaleNormal="100" workbookViewId="0">
      <pane ySplit="1" topLeftCell="A2" activePane="bottomLeft" state="frozen"/>
      <selection activeCell="R16" sqref="R16"/>
      <selection pane="bottomLeft" activeCell="E12" sqref="E12"/>
    </sheetView>
  </sheetViews>
  <sheetFormatPr baseColWidth="10" defaultColWidth="11.42578125" defaultRowHeight="12.75" x14ac:dyDescent="0.25"/>
  <cols>
    <col min="1" max="1" width="15.28515625" style="45" customWidth="1"/>
    <col min="2" max="2" width="15.28515625" style="66" customWidth="1"/>
    <col min="3" max="3" width="9.28515625" style="22" customWidth="1"/>
    <col min="4" max="4" width="9" style="22" customWidth="1"/>
    <col min="5" max="5" width="7.7109375" style="22" customWidth="1"/>
    <col min="6" max="6" width="8.42578125" style="22" customWidth="1"/>
    <col min="7" max="7" width="9.7109375" style="22" customWidth="1"/>
    <col min="8" max="8" width="8.28515625" style="22" customWidth="1"/>
    <col min="9" max="9" width="11.28515625" style="22" customWidth="1"/>
    <col min="10" max="10" width="11.42578125" style="22" customWidth="1"/>
    <col min="11" max="11" width="8.7109375" style="22" customWidth="1"/>
    <col min="12" max="12" width="6.28515625" style="22" customWidth="1"/>
    <col min="13" max="13" width="9.140625" style="22" customWidth="1"/>
    <col min="14" max="14" width="8.28515625" style="22" customWidth="1"/>
    <col min="15" max="15" width="7.42578125" style="22" customWidth="1"/>
    <col min="16" max="16" width="12.5703125" style="22" customWidth="1"/>
    <col min="17" max="17" width="9.7109375" style="22" customWidth="1"/>
    <col min="18" max="18" width="13" style="22" customWidth="1"/>
    <col min="19" max="19" width="25.140625" style="22" customWidth="1"/>
    <col min="20" max="20" width="14.7109375" style="22" customWidth="1"/>
    <col min="21" max="21" width="11.42578125" style="22"/>
    <col min="22" max="22" width="15" style="22" customWidth="1"/>
    <col min="23" max="23" width="12.42578125" style="22" customWidth="1"/>
    <col min="24" max="24" width="14.28515625" style="22" customWidth="1"/>
    <col min="25" max="25" width="16.7109375" style="22" customWidth="1"/>
    <col min="26" max="26" width="17.42578125" style="22" customWidth="1"/>
    <col min="27" max="27" width="20.28515625" style="22" customWidth="1"/>
    <col min="28" max="28" width="15.5703125" style="22" customWidth="1"/>
    <col min="29" max="29" width="13.7109375" style="22" customWidth="1"/>
    <col min="30" max="16384" width="11.42578125" style="22"/>
  </cols>
  <sheetData>
    <row r="1" spans="1:30" s="16" customFormat="1" ht="19.5" x14ac:dyDescent="0.4">
      <c r="A1" s="427" t="s">
        <v>39</v>
      </c>
      <c r="B1" s="346"/>
      <c r="C1" s="2421" t="s">
        <v>149</v>
      </c>
      <c r="D1" s="2421"/>
    </row>
    <row r="2" spans="1:30" s="16" customFormat="1" ht="19.5" x14ac:dyDescent="0.4">
      <c r="A2" s="428"/>
      <c r="B2" s="429"/>
    </row>
    <row r="3" spans="1:30" s="16" customFormat="1" ht="19.5" x14ac:dyDescent="0.4">
      <c r="A3" s="2574" t="s">
        <v>41</v>
      </c>
      <c r="B3" s="2574"/>
      <c r="C3" s="2574" t="s">
        <v>733</v>
      </c>
      <c r="D3" s="2575"/>
      <c r="E3" s="2575"/>
      <c r="F3" s="2575"/>
      <c r="G3" s="2575"/>
      <c r="H3" s="2575"/>
      <c r="I3" s="2575"/>
      <c r="J3" s="2575"/>
      <c r="K3" s="2575"/>
      <c r="L3" s="2575"/>
      <c r="M3" s="2575"/>
      <c r="N3" s="2575"/>
      <c r="O3" s="2575"/>
      <c r="P3" s="2575"/>
      <c r="Q3" s="2575"/>
      <c r="R3" s="2575"/>
      <c r="S3" s="2575"/>
      <c r="T3" s="2575"/>
      <c r="U3" s="2575"/>
      <c r="V3" s="2575"/>
      <c r="W3" s="2575"/>
      <c r="X3" s="2575"/>
      <c r="Y3" s="430"/>
    </row>
    <row r="4" spans="1:30" s="16" customFormat="1" ht="40.15" customHeight="1" x14ac:dyDescent="0.4">
      <c r="A4" s="2574" t="s">
        <v>42</v>
      </c>
      <c r="B4" s="2574"/>
      <c r="C4" s="2574" t="s">
        <v>667</v>
      </c>
      <c r="D4" s="2575"/>
      <c r="E4" s="2575"/>
      <c r="F4" s="2575"/>
      <c r="G4" s="2575"/>
      <c r="H4" s="2575"/>
      <c r="I4" s="2575"/>
      <c r="J4" s="2575"/>
      <c r="K4" s="2575"/>
      <c r="L4" s="2575"/>
      <c r="M4" s="2575"/>
      <c r="N4" s="2575"/>
      <c r="O4" s="2575"/>
      <c r="P4" s="2575"/>
      <c r="Q4" s="2575"/>
      <c r="R4" s="2575"/>
      <c r="S4" s="2575"/>
      <c r="T4" s="2575"/>
      <c r="U4" s="2575"/>
      <c r="V4" s="2575"/>
      <c r="W4" s="2575"/>
      <c r="X4" s="2575"/>
      <c r="Y4" s="430"/>
    </row>
    <row r="5" spans="1:30" s="16" customFormat="1" ht="19.5" x14ac:dyDescent="0.4">
      <c r="A5" s="2574" t="s">
        <v>43</v>
      </c>
      <c r="B5" s="2574"/>
      <c r="C5" s="2574" t="s">
        <v>669</v>
      </c>
      <c r="D5" s="2575"/>
      <c r="E5" s="2575"/>
      <c r="F5" s="2575"/>
      <c r="G5" s="2575"/>
      <c r="H5" s="2575"/>
      <c r="I5" s="2575"/>
      <c r="J5" s="2575"/>
      <c r="K5" s="2575"/>
      <c r="L5" s="2575"/>
      <c r="M5" s="2575"/>
      <c r="N5" s="2575"/>
      <c r="O5" s="2575"/>
      <c r="P5" s="2575"/>
      <c r="Q5" s="2575"/>
      <c r="R5" s="2575"/>
      <c r="S5" s="2575"/>
      <c r="T5" s="2575"/>
      <c r="U5" s="2575"/>
      <c r="V5" s="2575"/>
      <c r="W5" s="2575"/>
      <c r="X5" s="2575"/>
      <c r="Y5" s="430"/>
    </row>
    <row r="6" spans="1:30" s="16" customFormat="1" ht="41.45" customHeight="1" x14ac:dyDescent="0.4">
      <c r="A6" s="2574" t="s">
        <v>132</v>
      </c>
      <c r="B6" s="2575"/>
      <c r="C6" s="2574" t="s">
        <v>889</v>
      </c>
      <c r="D6" s="2575"/>
      <c r="E6" s="2575"/>
      <c r="F6" s="2575"/>
      <c r="G6" s="2575"/>
      <c r="H6" s="2575"/>
      <c r="I6" s="2575"/>
      <c r="J6" s="2575"/>
      <c r="K6" s="2575"/>
      <c r="L6" s="2575"/>
      <c r="M6" s="2575"/>
      <c r="N6" s="2575"/>
      <c r="O6" s="2575"/>
      <c r="P6" s="2575"/>
      <c r="Q6" s="2575"/>
      <c r="R6" s="2575"/>
      <c r="S6" s="2575"/>
      <c r="T6" s="2575"/>
      <c r="U6" s="2575"/>
      <c r="V6" s="2575"/>
      <c r="W6" s="2575"/>
      <c r="X6" s="2575"/>
      <c r="Y6" s="430"/>
    </row>
    <row r="7" spans="1:30" s="16" customFormat="1" ht="10.5" customHeight="1" x14ac:dyDescent="0.4">
      <c r="A7" s="428"/>
      <c r="B7" s="429"/>
    </row>
    <row r="8" spans="1:30" s="16" customFormat="1" ht="19.5" x14ac:dyDescent="0.4">
      <c r="A8" s="428"/>
      <c r="B8" s="429"/>
    </row>
    <row r="9" spans="1:30" s="16" customFormat="1" ht="19.5" x14ac:dyDescent="0.4">
      <c r="A9" s="428"/>
      <c r="B9" s="429"/>
      <c r="C9" s="163" t="s">
        <v>890</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row>
    <row r="10" spans="1:30" ht="18.75" x14ac:dyDescent="0.2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1:30" ht="23.25" customHeight="1" x14ac:dyDescent="0.4">
      <c r="C11" s="2576" t="s">
        <v>247</v>
      </c>
      <c r="D11" s="2578" t="s">
        <v>47</v>
      </c>
      <c r="E11" s="2581" t="s">
        <v>8179</v>
      </c>
      <c r="F11" s="2581"/>
      <c r="G11" s="2581"/>
      <c r="H11" s="2581"/>
      <c r="I11" s="2581"/>
      <c r="J11" s="2581"/>
      <c r="K11" s="2581"/>
      <c r="L11" s="408"/>
      <c r="M11" s="2580" t="s">
        <v>48</v>
      </c>
      <c r="N11" s="2580"/>
      <c r="O11" s="376"/>
      <c r="P11" s="2580" t="s">
        <v>891</v>
      </c>
      <c r="Q11" s="2580"/>
      <c r="R11" s="2580"/>
      <c r="S11" s="2580"/>
      <c r="T11" s="2580"/>
      <c r="U11" s="2580"/>
      <c r="V11" s="2580"/>
      <c r="W11" s="2580"/>
      <c r="X11" s="2580"/>
      <c r="Y11" s="2580"/>
      <c r="Z11" s="2580"/>
      <c r="AA11" s="2580"/>
      <c r="AB11" s="2580"/>
      <c r="AC11" s="2580"/>
      <c r="AD11" s="2580"/>
    </row>
    <row r="12" spans="1:30" ht="73.5" customHeight="1" x14ac:dyDescent="0.25">
      <c r="C12" s="2577"/>
      <c r="D12" s="2579"/>
      <c r="E12" s="412" t="s">
        <v>892</v>
      </c>
      <c r="F12" s="412" t="s">
        <v>329</v>
      </c>
      <c r="G12" s="412" t="s">
        <v>893</v>
      </c>
      <c r="H12" s="412" t="s">
        <v>331</v>
      </c>
      <c r="I12" s="412" t="s">
        <v>332</v>
      </c>
      <c r="J12" s="412" t="s">
        <v>533</v>
      </c>
      <c r="K12" s="412" t="s">
        <v>334</v>
      </c>
      <c r="L12" s="412"/>
      <c r="M12" s="431" t="s">
        <v>894</v>
      </c>
      <c r="N12" s="431" t="s">
        <v>895</v>
      </c>
      <c r="O12" s="431"/>
      <c r="P12" s="412" t="s">
        <v>896</v>
      </c>
      <c r="Q12" s="412" t="s">
        <v>897</v>
      </c>
      <c r="R12" s="412" t="s">
        <v>898</v>
      </c>
      <c r="S12" s="412" t="s">
        <v>899</v>
      </c>
      <c r="T12" s="412" t="s">
        <v>900</v>
      </c>
      <c r="U12" s="412" t="s">
        <v>901</v>
      </c>
      <c r="V12" s="412" t="s">
        <v>902</v>
      </c>
      <c r="W12" s="412" t="s">
        <v>903</v>
      </c>
      <c r="X12" s="412" t="s">
        <v>904</v>
      </c>
      <c r="Y12" s="412" t="s">
        <v>905</v>
      </c>
      <c r="Z12" s="412" t="s">
        <v>906</v>
      </c>
      <c r="AA12" s="412" t="s">
        <v>907</v>
      </c>
      <c r="AB12" s="412" t="s">
        <v>908</v>
      </c>
      <c r="AC12" s="412" t="s">
        <v>909</v>
      </c>
      <c r="AD12" s="412" t="s">
        <v>910</v>
      </c>
    </row>
    <row r="13" spans="1:30" ht="18.75" x14ac:dyDescent="0.4">
      <c r="C13" s="2378">
        <v>2010</v>
      </c>
      <c r="D13" s="380">
        <v>11.167197766560447</v>
      </c>
      <c r="E13" s="2603" t="s">
        <v>8178</v>
      </c>
      <c r="F13" s="2603"/>
      <c r="G13" s="2603"/>
      <c r="H13" s="2603"/>
      <c r="I13" s="2603"/>
      <c r="J13" s="2603"/>
      <c r="K13" s="2603"/>
      <c r="L13" s="392"/>
      <c r="M13" s="392">
        <v>12.726073332966852</v>
      </c>
      <c r="N13" s="392">
        <v>9.5251881876085704</v>
      </c>
      <c r="O13" s="392"/>
      <c r="P13" s="413">
        <v>4.2299991540001693</v>
      </c>
      <c r="Q13" s="413">
        <v>0</v>
      </c>
      <c r="R13" s="413">
        <v>1.4099997180000563</v>
      </c>
      <c r="S13" s="413">
        <v>0</v>
      </c>
      <c r="T13" s="413">
        <v>4.2299991540001693</v>
      </c>
      <c r="U13" s="413">
        <v>8.4599983080003387</v>
      </c>
      <c r="V13" s="413">
        <v>8.4599983080003387</v>
      </c>
      <c r="W13" s="413">
        <v>0</v>
      </c>
      <c r="X13" s="413">
        <v>0</v>
      </c>
      <c r="Y13" s="413">
        <v>0</v>
      </c>
      <c r="Z13" s="413">
        <v>0</v>
      </c>
      <c r="AA13" s="413">
        <v>225.59995488000902</v>
      </c>
      <c r="AB13" s="413">
        <v>425.81991483601706</v>
      </c>
      <c r="AC13" s="413">
        <v>1.4099997180000563</v>
      </c>
      <c r="AD13" s="413">
        <v>2.8199994360001126</v>
      </c>
    </row>
    <row r="14" spans="1:30" ht="18.75" x14ac:dyDescent="0.4">
      <c r="C14" s="2382">
        <v>2011</v>
      </c>
      <c r="D14" s="380">
        <v>10.427585455832505</v>
      </c>
      <c r="E14" s="2572"/>
      <c r="F14" s="2572"/>
      <c r="G14" s="2572"/>
      <c r="H14" s="2572"/>
      <c r="I14" s="2572"/>
      <c r="J14" s="2572"/>
      <c r="K14" s="2572"/>
      <c r="L14" s="392"/>
      <c r="M14" s="392">
        <v>11.38927974088725</v>
      </c>
      <c r="N14" s="392">
        <v>9.4155118462226195</v>
      </c>
      <c r="O14" s="392"/>
      <c r="P14" s="413">
        <v>4.0839107529370127</v>
      </c>
      <c r="Q14" s="413">
        <v>1.3613035843123373</v>
      </c>
      <c r="R14" s="413">
        <v>0</v>
      </c>
      <c r="S14" s="413">
        <v>0</v>
      </c>
      <c r="T14" s="413">
        <v>9.529125090186362</v>
      </c>
      <c r="U14" s="413">
        <v>4.0839107529370127</v>
      </c>
      <c r="V14" s="413">
        <v>6.8065179215616878</v>
      </c>
      <c r="W14" s="413">
        <v>0</v>
      </c>
      <c r="X14" s="413">
        <v>0</v>
      </c>
      <c r="Y14" s="413">
        <v>0</v>
      </c>
      <c r="Z14" s="413">
        <v>0</v>
      </c>
      <c r="AA14" s="413">
        <v>212.36335915272466</v>
      </c>
      <c r="AB14" s="413">
        <v>423.36541472113697</v>
      </c>
      <c r="AC14" s="413">
        <v>2.7226071686246747</v>
      </c>
      <c r="AD14" s="413">
        <v>9.529125090186362</v>
      </c>
    </row>
    <row r="15" spans="1:30" ht="18.75" x14ac:dyDescent="0.4">
      <c r="C15" s="2378">
        <v>2012</v>
      </c>
      <c r="D15" s="380">
        <v>9.9009900990099009</v>
      </c>
      <c r="E15" s="2572"/>
      <c r="F15" s="2572"/>
      <c r="G15" s="2572"/>
      <c r="H15" s="2572"/>
      <c r="I15" s="2572"/>
      <c r="J15" s="2572"/>
      <c r="K15" s="2572"/>
      <c r="L15" s="392"/>
      <c r="M15" s="392">
        <v>10.72407676181261</v>
      </c>
      <c r="N15" s="392">
        <v>9.0531561461794023</v>
      </c>
      <c r="O15" s="392"/>
      <c r="P15" s="413">
        <v>1.3637727409104548</v>
      </c>
      <c r="Q15" s="413">
        <v>1.3637727409104548</v>
      </c>
      <c r="R15" s="413">
        <v>1.3637727409104548</v>
      </c>
      <c r="S15" s="413">
        <v>0</v>
      </c>
      <c r="T15" s="413">
        <v>4.0913182227313643</v>
      </c>
      <c r="U15" s="413">
        <v>2.7275454818209095</v>
      </c>
      <c r="V15" s="413">
        <v>8.1826364454627285</v>
      </c>
      <c r="W15" s="413">
        <v>0</v>
      </c>
      <c r="X15" s="413">
        <v>0</v>
      </c>
      <c r="Y15" s="413">
        <v>0</v>
      </c>
      <c r="Z15" s="413">
        <v>1.3637727409104548</v>
      </c>
      <c r="AA15" s="413">
        <v>227.75004773204591</v>
      </c>
      <c r="AB15" s="413">
        <v>383.22014019583776</v>
      </c>
      <c r="AC15" s="413">
        <v>1.3637727409104548</v>
      </c>
      <c r="AD15" s="413">
        <v>1.3637727409104548</v>
      </c>
    </row>
    <row r="16" spans="1:30" ht="18.75" x14ac:dyDescent="0.4">
      <c r="C16" s="2378">
        <v>2013</v>
      </c>
      <c r="D16" s="380">
        <v>9.8795180722891551</v>
      </c>
      <c r="E16" s="2572"/>
      <c r="F16" s="2572"/>
      <c r="G16" s="2572"/>
      <c r="H16" s="2572"/>
      <c r="I16" s="2572"/>
      <c r="J16" s="2572"/>
      <c r="K16" s="2572"/>
      <c r="L16" s="392"/>
      <c r="M16" s="392">
        <v>10.705098060911178</v>
      </c>
      <c r="N16" s="392">
        <v>9.0118898805197816</v>
      </c>
      <c r="O16" s="392"/>
      <c r="P16" s="413">
        <v>4.2523033309709426</v>
      </c>
      <c r="Q16" s="413">
        <v>2.8348688873139616</v>
      </c>
      <c r="R16" s="413">
        <v>1.4174344436569808</v>
      </c>
      <c r="S16" s="413">
        <v>0</v>
      </c>
      <c r="T16" s="413">
        <v>4.2523033309709426</v>
      </c>
      <c r="U16" s="413">
        <v>5.6697377746279232</v>
      </c>
      <c r="V16" s="413">
        <v>2.8348688873139616</v>
      </c>
      <c r="W16" s="413">
        <v>0</v>
      </c>
      <c r="X16" s="413">
        <v>0</v>
      </c>
      <c r="Y16" s="413">
        <v>0</v>
      </c>
      <c r="Z16" s="413">
        <v>0</v>
      </c>
      <c r="AA16" s="413">
        <v>205.52799433026223</v>
      </c>
      <c r="AB16" s="413">
        <v>415.30829199149537</v>
      </c>
      <c r="AC16" s="413">
        <v>0</v>
      </c>
      <c r="AD16" s="413">
        <v>2.8348688873139616</v>
      </c>
    </row>
    <row r="17" spans="2:30" ht="18.75" x14ac:dyDescent="0.4">
      <c r="C17" s="2378">
        <v>2014</v>
      </c>
      <c r="D17" s="380">
        <v>9.457746576964329</v>
      </c>
      <c r="E17" s="2572"/>
      <c r="F17" s="2572"/>
      <c r="G17" s="2572"/>
      <c r="H17" s="2572"/>
      <c r="I17" s="2572"/>
      <c r="J17" s="2572"/>
      <c r="K17" s="2572"/>
      <c r="L17" s="392"/>
      <c r="M17" s="392">
        <v>9.7224869958332203</v>
      </c>
      <c r="N17" s="392">
        <v>9.1805896105377212</v>
      </c>
      <c r="O17" s="392"/>
      <c r="P17" s="413">
        <v>0</v>
      </c>
      <c r="Q17" s="413">
        <v>1.3928934575794298</v>
      </c>
      <c r="R17" s="413">
        <v>0</v>
      </c>
      <c r="S17" s="413">
        <v>0</v>
      </c>
      <c r="T17" s="413">
        <v>2.7857869151588597</v>
      </c>
      <c r="U17" s="413">
        <v>13.928934575794296</v>
      </c>
      <c r="V17" s="413">
        <v>8.3573607454765799</v>
      </c>
      <c r="W17" s="413">
        <v>0</v>
      </c>
      <c r="X17" s="413">
        <v>1.3928934575794298</v>
      </c>
      <c r="Y17" s="413">
        <v>0</v>
      </c>
      <c r="Z17" s="413">
        <v>0</v>
      </c>
      <c r="AA17" s="413">
        <v>232.61320741576478</v>
      </c>
      <c r="AB17" s="413">
        <v>357.97361859791346</v>
      </c>
      <c r="AC17" s="413">
        <v>1.3928934575794298</v>
      </c>
      <c r="AD17" s="413">
        <v>5.5715738303177194</v>
      </c>
    </row>
    <row r="18" spans="2:30" ht="18.75" x14ac:dyDescent="0.4">
      <c r="C18" s="2378">
        <v>2015</v>
      </c>
      <c r="D18" s="380">
        <v>8.8834431000153167</v>
      </c>
      <c r="E18" s="2572"/>
      <c r="F18" s="2572"/>
      <c r="G18" s="2572"/>
      <c r="H18" s="2572"/>
      <c r="I18" s="2572"/>
      <c r="J18" s="2572"/>
      <c r="K18" s="2572"/>
      <c r="L18" s="392"/>
      <c r="M18" s="392">
        <v>9.6797809170033347</v>
      </c>
      <c r="N18" s="392">
        <v>8.0428187074245816</v>
      </c>
      <c r="O18" s="392"/>
      <c r="P18" s="413">
        <v>1.3923892006293599</v>
      </c>
      <c r="Q18" s="413">
        <v>0</v>
      </c>
      <c r="R18" s="413">
        <v>1.3923892006293599</v>
      </c>
      <c r="S18" s="413">
        <v>1.3923892006293599</v>
      </c>
      <c r="T18" s="413">
        <v>5.5695568025174396</v>
      </c>
      <c r="U18" s="413">
        <v>12.531502805664237</v>
      </c>
      <c r="V18" s="413">
        <v>9.7467244044055192</v>
      </c>
      <c r="W18" s="413">
        <v>0</v>
      </c>
      <c r="X18" s="413">
        <v>0</v>
      </c>
      <c r="Y18" s="413">
        <v>0</v>
      </c>
      <c r="Z18" s="413">
        <v>0</v>
      </c>
      <c r="AA18" s="413">
        <v>181.0105960818168</v>
      </c>
      <c r="AB18" s="413">
        <v>373.16030576866842</v>
      </c>
      <c r="AC18" s="413">
        <v>1.3923892006293599</v>
      </c>
      <c r="AD18" s="413">
        <v>0</v>
      </c>
    </row>
    <row r="19" spans="2:30" ht="18.75" x14ac:dyDescent="0.4">
      <c r="B19" s="432"/>
      <c r="C19" s="2382">
        <v>2016</v>
      </c>
      <c r="D19" s="380">
        <v>9.3423232958116689</v>
      </c>
      <c r="E19" s="2572"/>
      <c r="F19" s="2572"/>
      <c r="G19" s="2572"/>
      <c r="H19" s="2572"/>
      <c r="I19" s="2572"/>
      <c r="J19" s="2572"/>
      <c r="K19" s="2572"/>
      <c r="L19" s="392"/>
      <c r="M19" s="392">
        <v>10.473716899102254</v>
      </c>
      <c r="N19" s="392">
        <v>8.1834480365508071</v>
      </c>
      <c r="O19" s="392"/>
      <c r="P19" s="413">
        <v>8.5709388034969436</v>
      </c>
      <c r="Q19" s="413">
        <v>2.8569796011656474</v>
      </c>
      <c r="R19" s="413">
        <v>2.8569796011656474</v>
      </c>
      <c r="S19" s="413">
        <v>0</v>
      </c>
      <c r="T19" s="413">
        <v>1.4284898005828237</v>
      </c>
      <c r="U19" s="413">
        <v>9.9994286040797675</v>
      </c>
      <c r="V19" s="413">
        <v>9.9994286040797675</v>
      </c>
      <c r="W19" s="413">
        <v>0</v>
      </c>
      <c r="X19" s="413">
        <v>0</v>
      </c>
      <c r="Y19" s="413">
        <v>0</v>
      </c>
      <c r="Z19" s="413">
        <v>0</v>
      </c>
      <c r="AA19" s="413">
        <v>215.7019598880064</v>
      </c>
      <c r="AB19" s="413">
        <v>361.40791954745441</v>
      </c>
      <c r="AC19" s="413">
        <v>0</v>
      </c>
      <c r="AD19" s="413">
        <v>2.8569796011656474</v>
      </c>
    </row>
    <row r="20" spans="2:30" ht="18.75" x14ac:dyDescent="0.4">
      <c r="C20" s="2382">
        <v>2017</v>
      </c>
      <c r="D20" s="380">
        <v>9.5624246123439569</v>
      </c>
      <c r="E20" s="2572"/>
      <c r="F20" s="2572"/>
      <c r="G20" s="2572"/>
      <c r="H20" s="2572"/>
      <c r="I20" s="2572"/>
      <c r="J20" s="2572"/>
      <c r="K20" s="2572"/>
      <c r="L20" s="392"/>
      <c r="M20" s="392">
        <v>9.9076975188415624</v>
      </c>
      <c r="N20" s="392">
        <v>9.1960220464893361</v>
      </c>
      <c r="O20" s="392"/>
      <c r="P20" s="413">
        <v>0</v>
      </c>
      <c r="Q20" s="413">
        <v>0</v>
      </c>
      <c r="R20" s="413">
        <v>1.4532560201130633</v>
      </c>
      <c r="S20" s="413">
        <v>0</v>
      </c>
      <c r="T20" s="413">
        <v>4.3597680603391895</v>
      </c>
      <c r="U20" s="413">
        <v>2.9065120402261266</v>
      </c>
      <c r="V20" s="413">
        <v>10.172792140791444</v>
      </c>
      <c r="W20" s="413">
        <v>0</v>
      </c>
      <c r="X20" s="413">
        <v>0</v>
      </c>
      <c r="Y20" s="413">
        <v>1.4532560201130633</v>
      </c>
      <c r="Z20" s="413">
        <v>0</v>
      </c>
      <c r="AA20" s="413">
        <v>231.06770719797709</v>
      </c>
      <c r="AB20" s="413">
        <v>354.59446890758744</v>
      </c>
      <c r="AC20" s="413">
        <v>2.9065120402261266</v>
      </c>
      <c r="AD20" s="413">
        <v>1.4532560201130633</v>
      </c>
    </row>
    <row r="21" spans="2:30" ht="18.75" x14ac:dyDescent="0.4">
      <c r="C21" s="2382">
        <v>2018</v>
      </c>
      <c r="D21" s="380">
        <v>9.4376835308039571</v>
      </c>
      <c r="E21" s="2572"/>
      <c r="F21" s="2572"/>
      <c r="G21" s="2572"/>
      <c r="H21" s="2572"/>
      <c r="I21" s="2572"/>
      <c r="J21" s="2572"/>
      <c r="K21" s="2572"/>
      <c r="L21" s="392"/>
      <c r="M21" s="392">
        <v>10.214035691742698</v>
      </c>
      <c r="N21" s="392">
        <v>8.632236940020837</v>
      </c>
      <c r="O21" s="392"/>
      <c r="P21" s="413">
        <v>5.8437668921386718</v>
      </c>
      <c r="Q21" s="413">
        <v>2.9218834460693359</v>
      </c>
      <c r="R21" s="413">
        <v>1.460941723034668</v>
      </c>
      <c r="S21" s="413">
        <v>0</v>
      </c>
      <c r="T21" s="413">
        <v>0</v>
      </c>
      <c r="U21" s="413">
        <v>2.9218834460693359</v>
      </c>
      <c r="V21" s="413">
        <v>16.070358953381351</v>
      </c>
      <c r="W21" s="413">
        <v>0</v>
      </c>
      <c r="X21" s="413">
        <v>0</v>
      </c>
      <c r="Y21" s="413">
        <v>0</v>
      </c>
      <c r="Z21" s="413">
        <v>1.460941723034668</v>
      </c>
      <c r="AA21" s="413">
        <v>227.90690879340823</v>
      </c>
      <c r="AB21" s="413">
        <v>376.92296454294438</v>
      </c>
      <c r="AC21" s="413">
        <v>1.460941723034668</v>
      </c>
      <c r="AD21" s="413">
        <v>1.460941723034668</v>
      </c>
    </row>
    <row r="22" spans="2:30" ht="18.75" x14ac:dyDescent="0.4">
      <c r="C22" s="2382">
        <v>2019</v>
      </c>
      <c r="D22" s="380">
        <v>9.8484612751656968</v>
      </c>
      <c r="E22" s="2572"/>
      <c r="F22" s="2572"/>
      <c r="G22" s="2572"/>
      <c r="H22" s="2572"/>
      <c r="I22" s="2572"/>
      <c r="J22" s="2572"/>
      <c r="K22" s="2572"/>
      <c r="L22" s="392"/>
      <c r="M22" s="392">
        <v>9.7826419247347989</v>
      </c>
      <c r="N22" s="392">
        <v>9.9166745873332687</v>
      </c>
      <c r="O22" s="392"/>
      <c r="P22" s="413">
        <v>4.6675171920216574</v>
      </c>
      <c r="Q22" s="413">
        <v>0</v>
      </c>
      <c r="R22" s="413">
        <v>1.5558390640072193</v>
      </c>
      <c r="S22" s="413">
        <v>1.5558390640072193</v>
      </c>
      <c r="T22" s="413">
        <v>6.2233562560288771</v>
      </c>
      <c r="U22" s="413">
        <v>0</v>
      </c>
      <c r="V22" s="413">
        <v>4.6675171920216574</v>
      </c>
      <c r="W22" s="413">
        <v>0</v>
      </c>
      <c r="X22" s="413">
        <v>0</v>
      </c>
      <c r="Y22" s="413">
        <v>0</v>
      </c>
      <c r="Z22" s="413">
        <v>0</v>
      </c>
      <c r="AA22" s="413">
        <v>199.14740019292407</v>
      </c>
      <c r="AB22" s="413">
        <v>399.85063944985535</v>
      </c>
      <c r="AC22" s="413">
        <v>0</v>
      </c>
      <c r="AD22" s="413">
        <v>4.6675171920216574</v>
      </c>
    </row>
    <row r="23" spans="2:30" ht="18.75" x14ac:dyDescent="0.4">
      <c r="C23" s="2382">
        <v>2020</v>
      </c>
      <c r="D23" s="380">
        <v>9.0102482976820966</v>
      </c>
      <c r="E23" s="2572"/>
      <c r="F23" s="2572"/>
      <c r="G23" s="2572"/>
      <c r="H23" s="2572"/>
      <c r="I23" s="2572"/>
      <c r="J23" s="2572"/>
      <c r="K23" s="2572"/>
      <c r="L23" s="392"/>
      <c r="M23" s="392">
        <v>9.7531240475464784</v>
      </c>
      <c r="N23" s="392">
        <v>8.2439654871275376</v>
      </c>
      <c r="O23" s="392"/>
      <c r="P23" s="413">
        <v>5.1585391017263911</v>
      </c>
      <c r="Q23" s="413">
        <v>1.719513033908797</v>
      </c>
      <c r="R23" s="413">
        <v>0</v>
      </c>
      <c r="S23" s="413">
        <v>0</v>
      </c>
      <c r="T23" s="413">
        <v>0</v>
      </c>
      <c r="U23" s="413">
        <v>1.719513033908797</v>
      </c>
      <c r="V23" s="413">
        <v>3.4390260678175939</v>
      </c>
      <c r="W23" s="413">
        <v>0</v>
      </c>
      <c r="X23" s="413">
        <v>0</v>
      </c>
      <c r="Y23" s="413">
        <v>0</v>
      </c>
      <c r="Z23" s="413">
        <v>0</v>
      </c>
      <c r="AA23" s="413">
        <v>189.14643372996767</v>
      </c>
      <c r="AB23" s="413">
        <v>376.57335442602658</v>
      </c>
      <c r="AC23" s="413">
        <v>1.719513033908797</v>
      </c>
      <c r="AD23" s="413">
        <v>3.4390260678175939</v>
      </c>
    </row>
    <row r="24" spans="2:30" ht="18.75" x14ac:dyDescent="0.4">
      <c r="C24" s="2382">
        <v>2021</v>
      </c>
      <c r="D24" s="380">
        <v>9.9837901562039502</v>
      </c>
      <c r="E24" s="2572"/>
      <c r="F24" s="2572"/>
      <c r="G24" s="2572"/>
      <c r="H24" s="2572"/>
      <c r="I24" s="2572"/>
      <c r="J24" s="2572"/>
      <c r="K24" s="2572"/>
      <c r="L24" s="392"/>
      <c r="M24" s="392">
        <v>10.784987875936448</v>
      </c>
      <c r="N24" s="392">
        <v>9.1533180778032044</v>
      </c>
      <c r="O24" s="392"/>
      <c r="P24" s="413">
        <v>3.684055408193339</v>
      </c>
      <c r="Q24" s="413">
        <v>1.8420277040966695</v>
      </c>
      <c r="R24" s="413">
        <v>1.8420277040966695</v>
      </c>
      <c r="S24" s="413">
        <v>0</v>
      </c>
      <c r="T24" s="413">
        <v>1.8420277040966695</v>
      </c>
      <c r="U24" s="413">
        <v>0</v>
      </c>
      <c r="V24" s="413">
        <v>3.684055408193339</v>
      </c>
      <c r="W24" s="413">
        <v>0</v>
      </c>
      <c r="X24" s="413">
        <v>0</v>
      </c>
      <c r="Y24" s="413">
        <v>0</v>
      </c>
      <c r="Z24" s="413">
        <v>0</v>
      </c>
      <c r="AA24" s="413">
        <v>239.46360153256703</v>
      </c>
      <c r="AB24" s="413">
        <v>397.87798408488067</v>
      </c>
      <c r="AC24" s="413">
        <v>5.5260831122900083</v>
      </c>
      <c r="AD24" s="413">
        <v>3.684055408193339</v>
      </c>
    </row>
    <row r="25" spans="2:30" ht="18.75" x14ac:dyDescent="0.4">
      <c r="C25" s="2382">
        <v>2022</v>
      </c>
      <c r="D25" s="380">
        <v>10.779451670253579</v>
      </c>
      <c r="E25" s="2572"/>
      <c r="F25" s="2572"/>
      <c r="G25" s="2572"/>
      <c r="H25" s="2572"/>
      <c r="I25" s="2572"/>
      <c r="J25" s="2572"/>
      <c r="K25" s="2572"/>
      <c r="L25" s="392"/>
      <c r="M25" s="392">
        <v>11.807982343203973</v>
      </c>
      <c r="N25" s="392">
        <v>9.7142857142857135</v>
      </c>
      <c r="O25" s="392"/>
      <c r="P25" s="413">
        <v>3.742865163282493</v>
      </c>
      <c r="Q25" s="413">
        <v>0</v>
      </c>
      <c r="R25" s="413">
        <v>1.8714325816412465</v>
      </c>
      <c r="S25" s="413">
        <v>1.8714325816412465</v>
      </c>
      <c r="T25" s="413">
        <v>1.8714325816412465</v>
      </c>
      <c r="U25" s="413">
        <v>1.8714325816412465</v>
      </c>
      <c r="V25" s="413">
        <v>3.742865163282493</v>
      </c>
      <c r="W25" s="413">
        <v>0</v>
      </c>
      <c r="X25" s="413">
        <v>0</v>
      </c>
      <c r="Y25" s="413">
        <v>0</v>
      </c>
      <c r="Z25" s="413">
        <v>0</v>
      </c>
      <c r="AA25" s="413">
        <v>260.12912884813323</v>
      </c>
      <c r="AB25" s="413">
        <v>462.24384766538782</v>
      </c>
      <c r="AC25" s="413">
        <v>0</v>
      </c>
      <c r="AD25" s="413">
        <v>0</v>
      </c>
    </row>
    <row r="26" spans="2:30" ht="18.75" x14ac:dyDescent="0.4">
      <c r="C26" s="2382">
        <v>2023</v>
      </c>
      <c r="D26" s="380">
        <v>11.114430833582313</v>
      </c>
      <c r="E26" s="2572"/>
      <c r="F26" s="2572"/>
      <c r="G26" s="2572"/>
      <c r="H26" s="2572"/>
      <c r="I26" s="2572"/>
      <c r="J26" s="2572"/>
      <c r="K26" s="2572"/>
      <c r="L26" s="392"/>
      <c r="M26" s="392">
        <v>12.663190496726388</v>
      </c>
      <c r="N26" s="392">
        <v>9.5149404810106084</v>
      </c>
      <c r="O26" s="392"/>
      <c r="P26" s="413">
        <v>3.9836669654416887</v>
      </c>
      <c r="Q26" s="413">
        <v>0</v>
      </c>
      <c r="R26" s="413">
        <v>3.9836669654416887</v>
      </c>
      <c r="S26" s="413">
        <v>0</v>
      </c>
      <c r="T26" s="413">
        <v>0</v>
      </c>
      <c r="U26" s="413">
        <v>1.9918334827208444</v>
      </c>
      <c r="V26" s="413">
        <v>3.9836669654416887</v>
      </c>
      <c r="W26" s="413">
        <v>0</v>
      </c>
      <c r="X26" s="413">
        <v>0</v>
      </c>
      <c r="Y26" s="413">
        <v>0</v>
      </c>
      <c r="Z26" s="413">
        <v>0</v>
      </c>
      <c r="AA26" s="413">
        <v>252.96285230554724</v>
      </c>
      <c r="AB26" s="413">
        <v>392.39119609600635</v>
      </c>
      <c r="AC26" s="413">
        <v>3.9836669654416887</v>
      </c>
      <c r="AD26" s="413">
        <v>1.9918334827208444</v>
      </c>
    </row>
    <row r="27" spans="2:30" ht="19.5" x14ac:dyDescent="0.4">
      <c r="C27" s="383" t="s">
        <v>8168</v>
      </c>
      <c r="D27" s="385">
        <v>11.674849972722313</v>
      </c>
      <c r="E27" s="2573"/>
      <c r="F27" s="2573"/>
      <c r="G27" s="2573"/>
      <c r="H27" s="2573"/>
      <c r="I27" s="2573"/>
      <c r="J27" s="2573"/>
      <c r="K27" s="2573"/>
      <c r="L27" s="396"/>
      <c r="M27" s="396">
        <v>12.63877028181042</v>
      </c>
      <c r="N27" s="396">
        <v>10.66726177192591</v>
      </c>
      <c r="O27" s="396"/>
      <c r="P27" s="420">
        <v>0</v>
      </c>
      <c r="Q27" s="420">
        <v>4.3644298963447898</v>
      </c>
      <c r="R27" s="420">
        <v>2.1822149481723949</v>
      </c>
      <c r="S27" s="420">
        <v>2.1822149481723949</v>
      </c>
      <c r="T27" s="420">
        <v>10.911074740861975</v>
      </c>
      <c r="U27" s="420">
        <v>0</v>
      </c>
      <c r="V27" s="420">
        <v>0</v>
      </c>
      <c r="W27" s="420">
        <v>0</v>
      </c>
      <c r="X27" s="420">
        <v>0</v>
      </c>
      <c r="Y27" s="420">
        <v>0</v>
      </c>
      <c r="Z27" s="420">
        <v>0</v>
      </c>
      <c r="AA27" s="420">
        <v>240.04364429896341</v>
      </c>
      <c r="AB27" s="420">
        <v>480.08728859792683</v>
      </c>
      <c r="AC27" s="420">
        <v>0</v>
      </c>
      <c r="AD27" s="420">
        <v>2.1822149481723949</v>
      </c>
    </row>
    <row r="28" spans="2:30"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row>
    <row r="29" spans="2:30" ht="18.75" x14ac:dyDescent="0.4">
      <c r="C29" s="5" t="s">
        <v>746</v>
      </c>
      <c r="D29" s="2399"/>
      <c r="E29" s="2399"/>
      <c r="F29" s="5"/>
      <c r="G29" s="5"/>
      <c r="H29" s="5"/>
      <c r="I29" s="5"/>
      <c r="J29" s="5"/>
      <c r="K29" s="2383"/>
      <c r="L29" s="5"/>
      <c r="M29" s="5"/>
      <c r="N29" s="5"/>
      <c r="O29" s="5"/>
      <c r="P29" s="5"/>
      <c r="Q29" s="5"/>
      <c r="R29" s="5"/>
      <c r="S29" s="5"/>
      <c r="T29" s="5"/>
      <c r="U29" s="5"/>
      <c r="V29" s="5"/>
      <c r="W29" s="5"/>
      <c r="X29" s="5"/>
      <c r="Y29" s="5"/>
      <c r="Z29" s="5"/>
      <c r="AA29" s="5"/>
      <c r="AB29" s="5"/>
      <c r="AC29" s="5"/>
      <c r="AD29" s="5"/>
    </row>
    <row r="30" spans="2:30" ht="18.75" x14ac:dyDescent="0.4">
      <c r="C30" s="5" t="s">
        <v>8170</v>
      </c>
      <c r="D30" s="2399"/>
      <c r="E30" s="2399"/>
      <c r="F30" s="5"/>
      <c r="G30" s="5"/>
      <c r="H30" s="5"/>
      <c r="I30" s="5"/>
      <c r="J30" s="5"/>
      <c r="K30" s="2383"/>
      <c r="L30" s="5"/>
      <c r="M30" s="5"/>
      <c r="N30" s="5"/>
      <c r="O30" s="5"/>
      <c r="P30" s="5"/>
      <c r="Q30" s="5"/>
      <c r="R30" s="5"/>
      <c r="S30" s="5"/>
      <c r="T30" s="5"/>
      <c r="U30" s="5"/>
      <c r="V30" s="5"/>
      <c r="W30" s="5"/>
      <c r="X30" s="5"/>
      <c r="Y30" s="5"/>
      <c r="Z30" s="5"/>
      <c r="AA30" s="5"/>
      <c r="AB30" s="5"/>
      <c r="AC30" s="5"/>
      <c r="AD30" s="5"/>
    </row>
    <row r="33" spans="3:11" ht="35.25" customHeight="1" x14ac:dyDescent="0.25">
      <c r="C33" s="43" t="s">
        <v>8174</v>
      </c>
      <c r="D33" s="433"/>
      <c r="E33" s="433"/>
      <c r="F33" s="433"/>
      <c r="G33" s="433"/>
      <c r="H33" s="433"/>
      <c r="I33" s="433"/>
      <c r="J33" s="433"/>
      <c r="K33" s="434"/>
    </row>
    <row r="34" spans="3:11" ht="18.75" x14ac:dyDescent="0.25">
      <c r="C34" s="168"/>
    </row>
    <row r="52" spans="3:19" ht="18.75" x14ac:dyDescent="0.4">
      <c r="C52" s="5" t="s">
        <v>8175</v>
      </c>
    </row>
    <row r="55" spans="3:19" ht="18.75" x14ac:dyDescent="0.4">
      <c r="C55" s="154" t="s">
        <v>911</v>
      </c>
      <c r="D55" s="5"/>
      <c r="E55" s="5"/>
      <c r="F55" s="5"/>
      <c r="G55" s="5"/>
      <c r="H55" s="5"/>
      <c r="I55" s="5"/>
      <c r="J55" s="5"/>
      <c r="K55" s="5"/>
      <c r="L55" s="5"/>
      <c r="M55" s="5"/>
      <c r="N55" s="5"/>
      <c r="O55" s="5"/>
      <c r="P55" s="5"/>
    </row>
    <row r="56" spans="3:19" ht="18.75" x14ac:dyDescent="0.4">
      <c r="C56" s="5"/>
      <c r="D56" s="5"/>
      <c r="E56" s="5"/>
      <c r="F56" s="5"/>
      <c r="G56" s="5"/>
      <c r="H56" s="5"/>
      <c r="I56" s="5"/>
      <c r="J56" s="5"/>
      <c r="K56" s="5"/>
      <c r="L56" s="5"/>
      <c r="M56" s="5"/>
      <c r="N56" s="5"/>
      <c r="O56" s="5"/>
      <c r="P56" s="5"/>
    </row>
    <row r="57" spans="3:19" ht="18.75" x14ac:dyDescent="0.25">
      <c r="C57" s="388" t="s">
        <v>749</v>
      </c>
      <c r="D57" s="389" t="s">
        <v>750</v>
      </c>
      <c r="E57" s="390">
        <v>2010</v>
      </c>
      <c r="F57" s="390">
        <v>2011</v>
      </c>
      <c r="G57" s="390">
        <v>2012</v>
      </c>
      <c r="H57" s="390">
        <v>2013</v>
      </c>
      <c r="I57" s="390">
        <v>2014</v>
      </c>
      <c r="J57" s="390">
        <v>2015</v>
      </c>
      <c r="K57" s="390">
        <v>2016</v>
      </c>
      <c r="L57" s="390">
        <v>2017</v>
      </c>
      <c r="M57" s="390">
        <v>2018</v>
      </c>
      <c r="N57" s="390">
        <v>2019</v>
      </c>
      <c r="O57" s="390">
        <v>2020</v>
      </c>
      <c r="P57" s="390">
        <v>2021</v>
      </c>
      <c r="Q57" s="390">
        <v>2022</v>
      </c>
      <c r="R57" s="2379">
        <v>2023</v>
      </c>
      <c r="S57" s="2379">
        <v>2024</v>
      </c>
    </row>
    <row r="58" spans="3:19" ht="18.75" x14ac:dyDescent="0.4">
      <c r="C58" s="2569" t="s">
        <v>328</v>
      </c>
      <c r="D58" s="391" t="s">
        <v>328</v>
      </c>
      <c r="E58" s="340">
        <v>10.053993669707689</v>
      </c>
      <c r="F58" s="340">
        <v>11.384845091452034</v>
      </c>
      <c r="G58" s="340">
        <v>9.6225018504811253</v>
      </c>
      <c r="H58" s="340">
        <v>13.363879343260786</v>
      </c>
      <c r="I58" s="340">
        <v>11.864741941862764</v>
      </c>
      <c r="J58" s="340">
        <v>8.3632019115890088</v>
      </c>
      <c r="K58" s="340">
        <v>9.2611648487343068</v>
      </c>
      <c r="L58" s="340">
        <v>9.9914965986394559</v>
      </c>
      <c r="M58" s="340">
        <v>11.452810180275716</v>
      </c>
      <c r="N58" s="340">
        <v>11.659192825112108</v>
      </c>
      <c r="O58" s="340">
        <v>7.0496083550913839</v>
      </c>
      <c r="P58" s="340">
        <v>10.06614897900489</v>
      </c>
      <c r="Q58" s="423">
        <v>13.645802432512607</v>
      </c>
    </row>
    <row r="59" spans="3:19" ht="18.75" x14ac:dyDescent="0.4">
      <c r="C59" s="2567"/>
      <c r="D59" s="391" t="s">
        <v>752</v>
      </c>
      <c r="E59" s="340">
        <v>17.647058823529413</v>
      </c>
      <c r="F59" s="340">
        <v>5.1020408163265305</v>
      </c>
      <c r="G59" s="340">
        <v>13.605442176870747</v>
      </c>
      <c r="H59" s="340">
        <v>14.814814814814815</v>
      </c>
      <c r="I59" s="340">
        <v>7.291666666666667</v>
      </c>
      <c r="J59" s="340">
        <v>10.582010582010582</v>
      </c>
      <c r="K59" s="340">
        <v>11.001100110011002</v>
      </c>
      <c r="L59" s="340">
        <v>5.7736720554272516</v>
      </c>
      <c r="M59" s="340">
        <v>4.9751243781094523</v>
      </c>
      <c r="N59" s="340">
        <v>7.2639225181598066</v>
      </c>
      <c r="O59" s="340">
        <v>6.4184852374839538</v>
      </c>
      <c r="P59" s="340">
        <v>3.1152647975077881</v>
      </c>
      <c r="Q59" s="340">
        <v>12.345679012345679</v>
      </c>
    </row>
    <row r="60" spans="3:19" ht="18.75" x14ac:dyDescent="0.4">
      <c r="C60" s="2567"/>
      <c r="D60" s="391" t="s">
        <v>753</v>
      </c>
      <c r="E60" s="340">
        <v>9.2307692307692317</v>
      </c>
      <c r="F60" s="340">
        <v>11.872959335114277</v>
      </c>
      <c r="G60" s="340">
        <v>9.0361445783132535</v>
      </c>
      <c r="H60" s="340">
        <v>11.797578391803787</v>
      </c>
      <c r="I60" s="340">
        <v>9.0006207324643075</v>
      </c>
      <c r="J60" s="340">
        <v>8.0256821829855536</v>
      </c>
      <c r="K60" s="340">
        <v>9.0850097339390015</v>
      </c>
      <c r="L60" s="340">
        <v>7.8014184397163122</v>
      </c>
      <c r="M60" s="340">
        <v>10.349750178443969</v>
      </c>
      <c r="N60" s="340">
        <v>11.111111111111111</v>
      </c>
      <c r="O60" s="340">
        <v>11.421319796954315</v>
      </c>
      <c r="P60" s="340">
        <v>12.416427889207259</v>
      </c>
      <c r="Q60" s="340">
        <v>10.791366906474821</v>
      </c>
    </row>
    <row r="61" spans="3:19" ht="18.75" x14ac:dyDescent="0.4">
      <c r="C61" s="2567"/>
      <c r="D61" s="391" t="s">
        <v>754</v>
      </c>
      <c r="E61" s="340">
        <v>15.625</v>
      </c>
      <c r="F61" s="340">
        <v>7.2115384615384617</v>
      </c>
      <c r="G61" s="340">
        <v>12.531328320802004</v>
      </c>
      <c r="H61" s="340">
        <v>10.38961038961039</v>
      </c>
      <c r="I61" s="340">
        <v>4.9875311720698257</v>
      </c>
      <c r="J61" s="340">
        <v>7.2639225181598066</v>
      </c>
      <c r="K61" s="340">
        <v>8</v>
      </c>
      <c r="L61" s="340">
        <v>10.554089709762533</v>
      </c>
      <c r="M61" s="340">
        <v>13.513513513513514</v>
      </c>
      <c r="N61" s="340">
        <v>5.0125313283208017</v>
      </c>
      <c r="O61" s="340">
        <v>15.974440894568689</v>
      </c>
      <c r="P61" s="340">
        <v>6.2111801242236018</v>
      </c>
      <c r="Q61" s="340">
        <v>5.8479532163742682</v>
      </c>
    </row>
    <row r="62" spans="3:19" ht="18.75" x14ac:dyDescent="0.4">
      <c r="C62" s="2567"/>
      <c r="D62" s="391" t="s">
        <v>755</v>
      </c>
      <c r="E62" s="340">
        <v>6.7340067340067336</v>
      </c>
      <c r="F62" s="340">
        <v>5.7142857142857144</v>
      </c>
      <c r="G62" s="340">
        <v>3.6630036630036629</v>
      </c>
      <c r="H62" s="340">
        <v>3.8759689922480618</v>
      </c>
      <c r="I62" s="340">
        <v>3.6496350364963503</v>
      </c>
      <c r="J62" s="340">
        <v>11.673151750972762</v>
      </c>
      <c r="K62" s="340">
        <v>14.388489208633095</v>
      </c>
      <c r="L62" s="340">
        <v>26.923076923076923</v>
      </c>
      <c r="M62" s="340">
        <v>22.831050228310502</v>
      </c>
      <c r="N62" s="340">
        <v>12.448132780082986</v>
      </c>
      <c r="O62" s="340">
        <v>18.264840182648399</v>
      </c>
      <c r="P62" s="340">
        <v>5</v>
      </c>
      <c r="Q62" s="340">
        <v>9.7560975609756095</v>
      </c>
    </row>
    <row r="63" spans="3:19" ht="18.75" x14ac:dyDescent="0.4">
      <c r="C63" s="2567"/>
      <c r="D63" s="391" t="s">
        <v>756</v>
      </c>
      <c r="E63" s="340">
        <v>13.054830287206265</v>
      </c>
      <c r="F63" s="340">
        <v>3.4602076124567476</v>
      </c>
      <c r="G63" s="340">
        <v>14.054054054054054</v>
      </c>
      <c r="H63" s="340">
        <v>11.876484560570072</v>
      </c>
      <c r="I63" s="340">
        <v>8.2938388625592427</v>
      </c>
      <c r="J63" s="340">
        <v>9.0909090909090899</v>
      </c>
      <c r="K63" s="340">
        <v>7.7120822622107967</v>
      </c>
      <c r="L63" s="340">
        <v>9.6735187424425622</v>
      </c>
      <c r="M63" s="340">
        <v>6.8212824010914055</v>
      </c>
      <c r="N63" s="340">
        <v>5.5710306406685239</v>
      </c>
      <c r="O63" s="340">
        <v>9.1603053435114514</v>
      </c>
      <c r="P63" s="340">
        <v>3.1595576619273302</v>
      </c>
      <c r="Q63" s="340">
        <v>9.1575091575091587</v>
      </c>
    </row>
    <row r="64" spans="3:19" ht="18.75" x14ac:dyDescent="0.4">
      <c r="C64" s="2567"/>
      <c r="D64" s="391" t="s">
        <v>757</v>
      </c>
      <c r="E64" s="340">
        <v>9.2024539877300615</v>
      </c>
      <c r="F64" s="340">
        <v>10.899182561307901</v>
      </c>
      <c r="G64" s="340">
        <v>8.2191780821917799</v>
      </c>
      <c r="H64" s="340">
        <v>5.1679586563307494</v>
      </c>
      <c r="I64" s="340">
        <v>15.037593984962406</v>
      </c>
      <c r="J64" s="340">
        <v>5.7142857142857144</v>
      </c>
      <c r="K64" s="340">
        <v>2.4937655860349128</v>
      </c>
      <c r="L64" s="340">
        <v>9.9009900990099009</v>
      </c>
      <c r="M64" s="340">
        <v>2.7100271002710028</v>
      </c>
      <c r="N64" s="340">
        <v>5.0632911392405067</v>
      </c>
      <c r="O64" s="340">
        <v>11.730205278592376</v>
      </c>
      <c r="P64" s="340">
        <v>8.9285714285714288</v>
      </c>
      <c r="Q64" s="392" t="s">
        <v>751</v>
      </c>
    </row>
    <row r="65" spans="3:17" ht="18.75" x14ac:dyDescent="0.4">
      <c r="C65" s="2567"/>
      <c r="D65" s="391" t="s">
        <v>758</v>
      </c>
      <c r="E65" s="340">
        <v>14.723203769140165</v>
      </c>
      <c r="F65" s="340">
        <v>12.593016599885518</v>
      </c>
      <c r="G65" s="340">
        <v>7.3439412484700126</v>
      </c>
      <c r="H65" s="340">
        <v>8.7336244541484707</v>
      </c>
      <c r="I65" s="340">
        <v>5.4021608643457384</v>
      </c>
      <c r="J65" s="340">
        <v>7.7751196172248802</v>
      </c>
      <c r="K65" s="340">
        <v>10.854816824966077</v>
      </c>
      <c r="L65" s="340">
        <v>11.726384364820847</v>
      </c>
      <c r="M65" s="340">
        <v>4.8543689320388346</v>
      </c>
      <c r="N65" s="340">
        <v>12.26158038147139</v>
      </c>
      <c r="O65" s="340">
        <v>8.169934640522877</v>
      </c>
      <c r="P65" s="340">
        <v>17.006802721088437</v>
      </c>
      <c r="Q65" s="340">
        <v>7.5400565504241284</v>
      </c>
    </row>
    <row r="66" spans="3:17" ht="18.75" x14ac:dyDescent="0.4">
      <c r="C66" s="2567"/>
      <c r="D66" s="391" t="s">
        <v>759</v>
      </c>
      <c r="E66" s="340">
        <v>13.123359580052494</v>
      </c>
      <c r="F66" s="340">
        <v>12.87001287001287</v>
      </c>
      <c r="G66" s="340">
        <v>15.018773466833542</v>
      </c>
      <c r="H66" s="340">
        <v>14.012738853503185</v>
      </c>
      <c r="I66" s="340">
        <v>8.2547169811320753</v>
      </c>
      <c r="J66" s="340">
        <v>8.3532219570405726</v>
      </c>
      <c r="K66" s="340">
        <v>6.0313630880579012</v>
      </c>
      <c r="L66" s="340">
        <v>7.1684587813620073</v>
      </c>
      <c r="M66" s="340">
        <v>7.4441687344913152</v>
      </c>
      <c r="N66" s="340">
        <v>12.690355329949238</v>
      </c>
      <c r="O66" s="340">
        <v>6.015037593984963</v>
      </c>
      <c r="P66" s="340">
        <v>10.23391812865497</v>
      </c>
      <c r="Q66" s="340">
        <v>6.0975609756097562</v>
      </c>
    </row>
    <row r="67" spans="3:17" ht="18.75" x14ac:dyDescent="0.4">
      <c r="C67" s="2567"/>
      <c r="D67" s="391" t="s">
        <v>760</v>
      </c>
      <c r="E67" s="340">
        <v>13.899613899613898</v>
      </c>
      <c r="F67" s="340">
        <v>10.317460317460318</v>
      </c>
      <c r="G67" s="340">
        <v>11.71875</v>
      </c>
      <c r="H67" s="340">
        <v>13.877551020408163</v>
      </c>
      <c r="I67" s="340">
        <v>10.770505385252692</v>
      </c>
      <c r="J67" s="340">
        <v>4.4964028776978413</v>
      </c>
      <c r="K67" s="340">
        <v>11.882998171846435</v>
      </c>
      <c r="L67" s="340">
        <v>12.259194395796849</v>
      </c>
      <c r="M67" s="340">
        <v>8.7873462214411262</v>
      </c>
      <c r="N67" s="340">
        <v>8.064516129032258</v>
      </c>
      <c r="O67" s="340">
        <v>9.0191657271702361</v>
      </c>
      <c r="P67" s="340">
        <v>6.1050061050061046</v>
      </c>
      <c r="Q67" s="340">
        <v>11.435832274459974</v>
      </c>
    </row>
    <row r="68" spans="3:17" ht="18.75" x14ac:dyDescent="0.4">
      <c r="C68" s="2567"/>
      <c r="D68" s="391" t="s">
        <v>761</v>
      </c>
      <c r="E68" s="340">
        <v>12.276785714285714</v>
      </c>
      <c r="F68" s="340">
        <v>14.598540145985401</v>
      </c>
      <c r="G68" s="340">
        <v>7.7519379844961236</v>
      </c>
      <c r="H68" s="340">
        <v>11.148272017837236</v>
      </c>
      <c r="I68" s="340">
        <v>14.806378132118452</v>
      </c>
      <c r="J68" s="340">
        <v>5.2854122621564485</v>
      </c>
      <c r="K68" s="340">
        <v>5.7142857142857144</v>
      </c>
      <c r="L68" s="340">
        <v>6.2034739454094296</v>
      </c>
      <c r="M68" s="340">
        <v>5.0697084917617232</v>
      </c>
      <c r="N68" s="340">
        <v>5.4719562243502047</v>
      </c>
      <c r="O68" s="340">
        <v>6.369426751592357</v>
      </c>
      <c r="P68" s="340">
        <v>6.5146579804560263</v>
      </c>
      <c r="Q68" s="340">
        <v>11.55115511551155</v>
      </c>
    </row>
    <row r="69" spans="3:17" ht="18.75" x14ac:dyDescent="0.4">
      <c r="C69" s="2567"/>
      <c r="D69" s="391" t="s">
        <v>762</v>
      </c>
      <c r="E69" s="340">
        <v>6.7114093959731544</v>
      </c>
      <c r="F69" s="340">
        <v>14.925373134328359</v>
      </c>
      <c r="G69" s="340">
        <v>10.526315789473683</v>
      </c>
      <c r="H69" s="340">
        <v>3.7174721189591078</v>
      </c>
      <c r="I69" s="340">
        <v>10.638297872340425</v>
      </c>
      <c r="J69" s="340">
        <v>7.7519379844961236</v>
      </c>
      <c r="K69" s="340">
        <v>10.948905109489052</v>
      </c>
      <c r="L69" s="392" t="s">
        <v>751</v>
      </c>
      <c r="M69" s="340">
        <v>4.0816326530612246</v>
      </c>
      <c r="N69" s="340">
        <v>8.8105726872246706</v>
      </c>
      <c r="O69" s="392" t="s">
        <v>751</v>
      </c>
      <c r="P69" s="340">
        <v>11.049723756906078</v>
      </c>
      <c r="Q69" s="340">
        <v>14.084507042253522</v>
      </c>
    </row>
    <row r="70" spans="3:17" ht="18.75" x14ac:dyDescent="0.4">
      <c r="C70" s="2567"/>
      <c r="D70" s="391" t="s">
        <v>763</v>
      </c>
      <c r="E70" s="340">
        <v>18.903591682419659</v>
      </c>
      <c r="F70" s="340">
        <v>11.915673693858846</v>
      </c>
      <c r="G70" s="340">
        <v>5.644402634054563</v>
      </c>
      <c r="H70" s="340">
        <v>9.6525096525096519</v>
      </c>
      <c r="I70" s="340">
        <v>9.0452261306532655</v>
      </c>
      <c r="J70" s="340">
        <v>6.8627450980392153</v>
      </c>
      <c r="K70" s="340">
        <v>9.4736842105263168</v>
      </c>
      <c r="L70" s="340">
        <v>6.5502183406113534</v>
      </c>
      <c r="M70" s="340">
        <v>6.309148264984227</v>
      </c>
      <c r="N70" s="340">
        <v>6.195786864931847</v>
      </c>
      <c r="O70" s="340">
        <v>13.568521031207599</v>
      </c>
      <c r="P70" s="340">
        <v>7.8125</v>
      </c>
      <c r="Q70" s="340">
        <v>7.7760497667185078</v>
      </c>
    </row>
    <row r="71" spans="3:17" ht="18.75" x14ac:dyDescent="0.4">
      <c r="C71" s="2567"/>
      <c r="D71" s="391" t="s">
        <v>764</v>
      </c>
      <c r="E71" s="340">
        <v>10.416666666666666</v>
      </c>
      <c r="F71" s="340">
        <v>11.834319526627219</v>
      </c>
      <c r="G71" s="340">
        <v>8.7082728592162546</v>
      </c>
      <c r="H71" s="340">
        <v>3.3613445378151261</v>
      </c>
      <c r="I71" s="340">
        <v>9.7402597402597397</v>
      </c>
      <c r="J71" s="340">
        <v>5.8997050147492622</v>
      </c>
      <c r="K71" s="340">
        <v>10.050251256281408</v>
      </c>
      <c r="L71" s="340">
        <v>11.74496644295302</v>
      </c>
      <c r="M71" s="340">
        <v>7.2463768115942031</v>
      </c>
      <c r="N71" s="340">
        <v>12.121212121212121</v>
      </c>
      <c r="O71" s="340">
        <v>8.1300813008130088</v>
      </c>
      <c r="P71" s="340">
        <v>13.100436681222707</v>
      </c>
      <c r="Q71" s="340">
        <v>13.392857142857142</v>
      </c>
    </row>
    <row r="72" spans="3:17" ht="18.75" x14ac:dyDescent="0.4">
      <c r="C72" s="2567"/>
      <c r="D72" s="391" t="s">
        <v>765</v>
      </c>
      <c r="E72" s="340">
        <v>14.308426073131956</v>
      </c>
      <c r="F72" s="340">
        <v>4.4444444444444446</v>
      </c>
      <c r="G72" s="340">
        <v>14.729950900163667</v>
      </c>
      <c r="H72" s="340">
        <v>14.362657091561939</v>
      </c>
      <c r="I72" s="340">
        <v>13.961605584642234</v>
      </c>
      <c r="J72" s="340">
        <v>19.50354609929078</v>
      </c>
      <c r="K72" s="340">
        <v>6.8259385665529013</v>
      </c>
      <c r="L72" s="340">
        <v>5.9880239520958085</v>
      </c>
      <c r="M72" s="340">
        <v>1.8975332068311195</v>
      </c>
      <c r="N72" s="340">
        <v>5.9880239520958085</v>
      </c>
      <c r="O72" s="340">
        <v>9.4786729857819907</v>
      </c>
      <c r="P72" s="340">
        <v>2.5188916876574305</v>
      </c>
      <c r="Q72" s="340">
        <v>6.7264573991031398</v>
      </c>
    </row>
    <row r="73" spans="3:17" ht="18.75" x14ac:dyDescent="0.4">
      <c r="C73" s="2567"/>
      <c r="D73" s="391" t="s">
        <v>766</v>
      </c>
      <c r="E73" s="392" t="s">
        <v>751</v>
      </c>
      <c r="F73" s="392" t="s">
        <v>751</v>
      </c>
      <c r="G73" s="340">
        <v>28.985507246376812</v>
      </c>
      <c r="H73" s="392" t="s">
        <v>751</v>
      </c>
      <c r="I73" s="340">
        <v>15.625</v>
      </c>
      <c r="J73" s="392" t="s">
        <v>751</v>
      </c>
      <c r="K73" s="340">
        <v>13.157894736842104</v>
      </c>
      <c r="L73" s="392" t="s">
        <v>751</v>
      </c>
      <c r="M73" s="392" t="s">
        <v>751</v>
      </c>
      <c r="N73" s="340">
        <v>15.625</v>
      </c>
      <c r="O73" s="340">
        <v>29.850746268656717</v>
      </c>
      <c r="P73" s="392" t="s">
        <v>751</v>
      </c>
      <c r="Q73" s="392">
        <v>19.230769230769234</v>
      </c>
    </row>
    <row r="74" spans="3:17" ht="18.75" x14ac:dyDescent="0.4">
      <c r="C74" s="2567"/>
      <c r="D74" s="391" t="s">
        <v>767</v>
      </c>
      <c r="E74" s="340">
        <v>31.007751937984494</v>
      </c>
      <c r="F74" s="340">
        <v>9.6153846153846168</v>
      </c>
      <c r="G74" s="340">
        <v>19.417475728155338</v>
      </c>
      <c r="H74" s="340">
        <v>31.25</v>
      </c>
      <c r="I74" s="340">
        <v>39.682539682539684</v>
      </c>
      <c r="J74" s="340">
        <v>18.018018018018019</v>
      </c>
      <c r="K74" s="340">
        <v>32.258064516129032</v>
      </c>
      <c r="L74" s="340">
        <v>28.846153846153847</v>
      </c>
      <c r="M74" s="340">
        <v>34.482758620689651</v>
      </c>
      <c r="N74" s="340">
        <v>24.193548387096772</v>
      </c>
      <c r="O74" s="340">
        <v>6.756756756756757</v>
      </c>
      <c r="P74" s="392" t="s">
        <v>751</v>
      </c>
      <c r="Q74" s="392">
        <v>45.454545454545453</v>
      </c>
    </row>
    <row r="75" spans="3:17" ht="18.75" x14ac:dyDescent="0.4">
      <c r="C75" s="2567"/>
      <c r="D75" s="391" t="s">
        <v>768</v>
      </c>
      <c r="E75" s="340">
        <v>12.782694198623402</v>
      </c>
      <c r="F75" s="340">
        <v>11.76470588235294</v>
      </c>
      <c r="G75" s="340">
        <v>11.111111111111111</v>
      </c>
      <c r="H75" s="340">
        <v>5.0658561296859173</v>
      </c>
      <c r="I75" s="340">
        <v>10.83743842364532</v>
      </c>
      <c r="J75" s="340">
        <v>7.6263107721639658</v>
      </c>
      <c r="K75" s="340">
        <v>4.9751243781094523</v>
      </c>
      <c r="L75" s="340">
        <v>15.368852459016393</v>
      </c>
      <c r="M75" s="340">
        <v>11.098779134295228</v>
      </c>
      <c r="N75" s="340">
        <v>3.1612223393045311</v>
      </c>
      <c r="O75" s="340">
        <v>8.728179551122194</v>
      </c>
      <c r="P75" s="340">
        <v>5.7720057720057723</v>
      </c>
      <c r="Q75" s="340">
        <v>7.4515648286140088</v>
      </c>
    </row>
    <row r="76" spans="3:17" ht="18.75" x14ac:dyDescent="0.4">
      <c r="C76" s="2567"/>
      <c r="D76" s="391" t="s">
        <v>769</v>
      </c>
      <c r="E76" s="340">
        <v>15.111111111111112</v>
      </c>
      <c r="F76" s="340">
        <v>9.9052540913006037</v>
      </c>
      <c r="G76" s="340">
        <v>8.1370449678800867</v>
      </c>
      <c r="H76" s="340">
        <v>8.5513078470824961</v>
      </c>
      <c r="I76" s="340">
        <v>9.9480968858131487</v>
      </c>
      <c r="J76" s="340">
        <v>10.242085661080074</v>
      </c>
      <c r="K76" s="340">
        <v>8.0037664783427491</v>
      </c>
      <c r="L76" s="340">
        <v>9.8684210526315788</v>
      </c>
      <c r="M76" s="340">
        <v>4.755111745126011</v>
      </c>
      <c r="N76" s="340">
        <v>6.1318344404701079</v>
      </c>
      <c r="O76" s="340">
        <v>7.2829131652661063</v>
      </c>
      <c r="P76" s="340">
        <v>11.350737797956867</v>
      </c>
      <c r="Q76" s="340">
        <v>11.209439528023598</v>
      </c>
    </row>
    <row r="77" spans="3:17" ht="18.75" x14ac:dyDescent="0.4">
      <c r="C77" s="2567"/>
      <c r="D77" s="391" t="s">
        <v>770</v>
      </c>
      <c r="E77" s="340">
        <v>17.964071856287426</v>
      </c>
      <c r="F77" s="340">
        <v>22.471910112359549</v>
      </c>
      <c r="G77" s="340">
        <v>30.150753768844218</v>
      </c>
      <c r="H77" s="340">
        <v>21.978021978021978</v>
      </c>
      <c r="I77" s="340">
        <v>11.235955056179774</v>
      </c>
      <c r="J77" s="340">
        <v>24.390243902439025</v>
      </c>
      <c r="K77" s="340">
        <v>19.801980198019802</v>
      </c>
      <c r="L77" s="340">
        <v>30.76923076923077</v>
      </c>
      <c r="M77" s="340">
        <v>22.222222222222221</v>
      </c>
      <c r="N77" s="340">
        <v>17.341040462427745</v>
      </c>
      <c r="O77" s="340">
        <v>31.055900621118013</v>
      </c>
      <c r="P77" s="340">
        <v>7.8740157480314963</v>
      </c>
      <c r="Q77" s="340">
        <v>28.571428571428569</v>
      </c>
    </row>
    <row r="78" spans="3:17" ht="18.75" x14ac:dyDescent="0.4">
      <c r="C78" s="2567" t="s">
        <v>329</v>
      </c>
      <c r="D78" s="391" t="s">
        <v>329</v>
      </c>
      <c r="E78" s="340">
        <v>10.913404507710558</v>
      </c>
      <c r="F78" s="340">
        <v>9.2850510677808717</v>
      </c>
      <c r="G78" s="340">
        <v>10.11526699600094</v>
      </c>
      <c r="H78" s="340">
        <v>8.1041257367387036</v>
      </c>
      <c r="I78" s="340">
        <v>8.2820634169427354</v>
      </c>
      <c r="J78" s="340">
        <v>10.344827586206897</v>
      </c>
      <c r="K78" s="340">
        <v>8.4263265770895011</v>
      </c>
      <c r="L78" s="340">
        <v>7.7647058823529411</v>
      </c>
      <c r="M78" s="340">
        <v>8.7877422262280298</v>
      </c>
      <c r="N78" s="340">
        <v>8.2130413140866096</v>
      </c>
      <c r="O78" s="340">
        <v>8.8082901554404138</v>
      </c>
      <c r="P78" s="340">
        <v>7.814680435389338</v>
      </c>
      <c r="Q78" s="340">
        <v>11.816838995568686</v>
      </c>
    </row>
    <row r="79" spans="3:17" ht="18.75" x14ac:dyDescent="0.4">
      <c r="C79" s="2567"/>
      <c r="D79" s="391" t="s">
        <v>771</v>
      </c>
      <c r="E79" s="340">
        <v>8.3472454090150254</v>
      </c>
      <c r="F79" s="340">
        <v>8.7440381558028619</v>
      </c>
      <c r="G79" s="340">
        <v>8.9795918367346932</v>
      </c>
      <c r="H79" s="340">
        <v>3.3167495854063018</v>
      </c>
      <c r="I79" s="340">
        <v>7.1942446043165473</v>
      </c>
      <c r="J79" s="340">
        <v>9.8113207547169825</v>
      </c>
      <c r="K79" s="340">
        <v>5.4179566563467496</v>
      </c>
      <c r="L79" s="340">
        <v>9.9009900990099009</v>
      </c>
      <c r="M79" s="340">
        <v>11.647254575707155</v>
      </c>
      <c r="N79" s="340">
        <v>6.6722268557130944</v>
      </c>
      <c r="O79" s="340">
        <v>8.1892629663330307</v>
      </c>
      <c r="P79" s="340">
        <v>8.5877862595419856</v>
      </c>
      <c r="Q79" s="340">
        <v>12.935323383084576</v>
      </c>
    </row>
    <row r="80" spans="3:17" ht="18.75" x14ac:dyDescent="0.4">
      <c r="C80" s="2567"/>
      <c r="D80" s="391" t="s">
        <v>772</v>
      </c>
      <c r="E80" s="340">
        <v>6.9144338807260155</v>
      </c>
      <c r="F80" s="340">
        <v>4.8231511254019299</v>
      </c>
      <c r="G80" s="340">
        <v>8.5836909871244629</v>
      </c>
      <c r="H80" s="340">
        <v>8.7859424920127793</v>
      </c>
      <c r="I80" s="340">
        <v>7.4135090609555192</v>
      </c>
      <c r="J80" s="340">
        <v>2.3677979479084454</v>
      </c>
      <c r="K80" s="340">
        <v>5.9121621621621623</v>
      </c>
      <c r="L80" s="340">
        <v>11.627906976744185</v>
      </c>
      <c r="M80" s="340">
        <v>7.4013157894736841</v>
      </c>
      <c r="N80" s="340">
        <v>7.7519379844961236</v>
      </c>
      <c r="O80" s="340">
        <v>7.1770334928229671</v>
      </c>
      <c r="P80" s="340">
        <v>15.768725361366622</v>
      </c>
      <c r="Q80" s="340">
        <v>7.7519379844961236</v>
      </c>
    </row>
    <row r="81" spans="3:17" ht="18.75" x14ac:dyDescent="0.4">
      <c r="C81" s="2567"/>
      <c r="D81" s="391" t="s">
        <v>773</v>
      </c>
      <c r="E81" s="340">
        <v>12.658227848101266</v>
      </c>
      <c r="F81" s="340">
        <v>16.666666666666668</v>
      </c>
      <c r="G81" s="392" t="s">
        <v>751</v>
      </c>
      <c r="H81" s="340">
        <v>57.692307692307693</v>
      </c>
      <c r="I81" s="392" t="s">
        <v>751</v>
      </c>
      <c r="J81" s="340">
        <v>14.925373134328359</v>
      </c>
      <c r="K81" s="392" t="s">
        <v>751</v>
      </c>
      <c r="L81" s="392" t="s">
        <v>751</v>
      </c>
      <c r="M81" s="392" t="s">
        <v>751</v>
      </c>
      <c r="N81" s="392" t="s">
        <v>751</v>
      </c>
      <c r="O81" s="392" t="s">
        <v>751</v>
      </c>
      <c r="P81" s="392" t="s">
        <v>751</v>
      </c>
      <c r="Q81" s="392">
        <v>31.25</v>
      </c>
    </row>
    <row r="82" spans="3:17" ht="18.75" x14ac:dyDescent="0.4">
      <c r="C82" s="2567"/>
      <c r="D82" s="391" t="s">
        <v>774</v>
      </c>
      <c r="E82" s="340">
        <v>6.1538461538461542</v>
      </c>
      <c r="F82" s="340">
        <v>15.822784810126583</v>
      </c>
      <c r="G82" s="340">
        <v>12.779552715654951</v>
      </c>
      <c r="H82" s="340">
        <v>3.278688524590164</v>
      </c>
      <c r="I82" s="392" t="s">
        <v>751</v>
      </c>
      <c r="J82" s="340">
        <v>3.215434083601286</v>
      </c>
      <c r="K82" s="340">
        <v>9.0090090090090094</v>
      </c>
      <c r="L82" s="340">
        <v>9.316770186335404</v>
      </c>
      <c r="M82" s="340">
        <v>8.4269662921348321</v>
      </c>
      <c r="N82" s="340">
        <v>3.225806451612903</v>
      </c>
      <c r="O82" s="340">
        <v>9.4339622641509422</v>
      </c>
      <c r="P82" s="340">
        <v>13.651877133105803</v>
      </c>
      <c r="Q82" s="392" t="s">
        <v>751</v>
      </c>
    </row>
    <row r="83" spans="3:17" ht="18.75" x14ac:dyDescent="0.4">
      <c r="C83" s="2567"/>
      <c r="D83" s="391" t="s">
        <v>775</v>
      </c>
      <c r="E83" s="340">
        <v>4.7244094488188972</v>
      </c>
      <c r="F83" s="340">
        <v>6.4412238325281805</v>
      </c>
      <c r="G83" s="340">
        <v>6.4102564102564097</v>
      </c>
      <c r="H83" s="340">
        <v>15.025041736227045</v>
      </c>
      <c r="I83" s="340">
        <v>10.416666666666666</v>
      </c>
      <c r="J83" s="340">
        <v>6.6445182724252492</v>
      </c>
      <c r="K83" s="340">
        <v>3.4013605442176869</v>
      </c>
      <c r="L83" s="340">
        <v>8.7108013937282234</v>
      </c>
      <c r="M83" s="340">
        <v>3.3277870216306158</v>
      </c>
      <c r="N83" s="340">
        <v>10.657193605683837</v>
      </c>
      <c r="O83" s="340">
        <v>3.9840637450199203</v>
      </c>
      <c r="P83" s="340">
        <v>8.6580086580086579</v>
      </c>
      <c r="Q83" s="340">
        <v>10.845986984815617</v>
      </c>
    </row>
    <row r="84" spans="3:17" ht="18.75" x14ac:dyDescent="0.4">
      <c r="C84" s="2567"/>
      <c r="D84" s="391" t="s">
        <v>776</v>
      </c>
      <c r="E84" s="340">
        <v>6.7264573991031398</v>
      </c>
      <c r="F84" s="340">
        <v>8.3160083160083165</v>
      </c>
      <c r="G84" s="340">
        <v>4.7169811320754711</v>
      </c>
      <c r="H84" s="340">
        <v>13.544018058690744</v>
      </c>
      <c r="I84" s="340">
        <v>20.044543429844101</v>
      </c>
      <c r="J84" s="340">
        <v>2.109704641350211</v>
      </c>
      <c r="K84" s="340">
        <v>6.5075921908893708</v>
      </c>
      <c r="L84" s="340">
        <v>2.2371364653243848</v>
      </c>
      <c r="M84" s="340">
        <v>2.2075055187637971</v>
      </c>
      <c r="N84" s="340">
        <v>12.345679012345679</v>
      </c>
      <c r="O84" s="340">
        <v>5.333333333333333</v>
      </c>
      <c r="P84" s="340">
        <v>5.4495912806539506</v>
      </c>
      <c r="Q84" s="340">
        <v>20.114942528735632</v>
      </c>
    </row>
    <row r="85" spans="3:17" ht="18.75" x14ac:dyDescent="0.4">
      <c r="C85" s="2567"/>
      <c r="D85" s="391" t="s">
        <v>777</v>
      </c>
      <c r="E85" s="340">
        <v>8.7527352297592991</v>
      </c>
      <c r="F85" s="340">
        <v>6.4794816414686824</v>
      </c>
      <c r="G85" s="340">
        <v>12.738853503184714</v>
      </c>
      <c r="H85" s="340">
        <v>9.592326139088728</v>
      </c>
      <c r="I85" s="340">
        <v>10.438413361169102</v>
      </c>
      <c r="J85" s="340">
        <v>7.9051383399209483</v>
      </c>
      <c r="K85" s="340">
        <v>8.1799591002044991</v>
      </c>
      <c r="L85" s="340">
        <v>6.224066390041493</v>
      </c>
      <c r="M85" s="340">
        <v>8.5106382978723403</v>
      </c>
      <c r="N85" s="340">
        <v>11.904761904761903</v>
      </c>
      <c r="O85" s="340">
        <v>2.5706940874035986</v>
      </c>
      <c r="P85" s="340">
        <v>5.2493438320209975</v>
      </c>
      <c r="Q85" s="340">
        <v>10.050251256281408</v>
      </c>
    </row>
    <row r="86" spans="3:17" ht="18.75" x14ac:dyDescent="0.4">
      <c r="C86" s="2567"/>
      <c r="D86" s="391" t="s">
        <v>778</v>
      </c>
      <c r="E86" s="340">
        <v>16.339869281045754</v>
      </c>
      <c r="F86" s="340">
        <v>2.7472527472527473</v>
      </c>
      <c r="G86" s="340">
        <v>10.033444816053512</v>
      </c>
      <c r="H86" s="340">
        <v>6.2893081761006293</v>
      </c>
      <c r="I86" s="340">
        <v>3.5842293906810037</v>
      </c>
      <c r="J86" s="340">
        <v>16.077170418006428</v>
      </c>
      <c r="K86" s="340">
        <v>15.384615384615385</v>
      </c>
      <c r="L86" s="340">
        <v>9.2592592592592595</v>
      </c>
      <c r="M86" s="340">
        <v>6.1728395061728394</v>
      </c>
      <c r="N86" s="340">
        <v>13.84083044982699</v>
      </c>
      <c r="O86" s="340">
        <v>18.248175182481749</v>
      </c>
      <c r="P86" s="340">
        <v>19.607843137254903</v>
      </c>
      <c r="Q86" s="340">
        <v>12.295081967213115</v>
      </c>
    </row>
    <row r="87" spans="3:17" ht="18.75" x14ac:dyDescent="0.4">
      <c r="C87" s="2567"/>
      <c r="D87" s="391" t="s">
        <v>779</v>
      </c>
      <c r="E87" s="340">
        <v>8.5419734904270985</v>
      </c>
      <c r="F87" s="340">
        <v>9.6125837459947565</v>
      </c>
      <c r="G87" s="340">
        <v>9.6322241681260952</v>
      </c>
      <c r="H87" s="340">
        <v>5.1143200962695552</v>
      </c>
      <c r="I87" s="340">
        <v>7.3270808909730363</v>
      </c>
      <c r="J87" s="340">
        <v>8.6705202312138727</v>
      </c>
      <c r="K87" s="340">
        <v>8.7586831772878284</v>
      </c>
      <c r="L87" s="340">
        <v>6.0171919770773643</v>
      </c>
      <c r="M87" s="340">
        <v>10.209869540555871</v>
      </c>
      <c r="N87" s="340">
        <v>10.129787907565685</v>
      </c>
      <c r="O87" s="340">
        <v>7.8740157480314963</v>
      </c>
      <c r="P87" s="340">
        <v>8.995502248875562</v>
      </c>
      <c r="Q87" s="340">
        <v>9.7227223622614343</v>
      </c>
    </row>
    <row r="88" spans="3:17" ht="18.75" x14ac:dyDescent="0.4">
      <c r="C88" s="2567"/>
      <c r="D88" s="391" t="s">
        <v>780</v>
      </c>
      <c r="E88" s="340">
        <v>12.820512820512819</v>
      </c>
      <c r="F88" s="340">
        <v>9.2165898617511512</v>
      </c>
      <c r="G88" s="392" t="s">
        <v>751</v>
      </c>
      <c r="H88" s="340">
        <v>13.953488372093023</v>
      </c>
      <c r="I88" s="340">
        <v>15.228426395939087</v>
      </c>
      <c r="J88" s="392" t="s">
        <v>751</v>
      </c>
      <c r="K88" s="340">
        <v>12.820512820512819</v>
      </c>
      <c r="L88" s="340">
        <v>18.433179723502302</v>
      </c>
      <c r="M88" s="340">
        <v>7.4349442379182156</v>
      </c>
      <c r="N88" s="340">
        <v>16.949152542372882</v>
      </c>
      <c r="O88" s="340">
        <v>8.7336244541484707</v>
      </c>
      <c r="P88" s="340">
        <v>16.129032258064516</v>
      </c>
      <c r="Q88" s="340">
        <v>5.4054054054054053</v>
      </c>
    </row>
    <row r="89" spans="3:17" ht="18.75" x14ac:dyDescent="0.4">
      <c r="C89" s="2567"/>
      <c r="D89" s="391" t="s">
        <v>781</v>
      </c>
      <c r="E89" s="340">
        <v>6.9930069930069934</v>
      </c>
      <c r="F89" s="340">
        <v>7.6628352490421454</v>
      </c>
      <c r="G89" s="340">
        <v>3.6630036630036629</v>
      </c>
      <c r="H89" s="340">
        <v>9.3023255813953494</v>
      </c>
      <c r="I89" s="340">
        <v>9.9667774086378724</v>
      </c>
      <c r="J89" s="340">
        <v>14.925373134328359</v>
      </c>
      <c r="K89" s="340">
        <v>3.8759689922480618</v>
      </c>
      <c r="L89" s="340">
        <v>20.161290322580644</v>
      </c>
      <c r="M89" s="340">
        <v>7.0175438596491233</v>
      </c>
      <c r="N89" s="340">
        <v>8.5836909871244629</v>
      </c>
      <c r="O89" s="340">
        <v>12.820512820512819</v>
      </c>
      <c r="P89" s="340">
        <v>11.560693641618496</v>
      </c>
      <c r="Q89" s="392" t="s">
        <v>751</v>
      </c>
    </row>
    <row r="90" spans="3:17" ht="18.75" x14ac:dyDescent="0.4">
      <c r="C90" s="2567"/>
      <c r="D90" s="391" t="s">
        <v>782</v>
      </c>
      <c r="E90" s="340">
        <v>5.9880239520958085</v>
      </c>
      <c r="F90" s="340">
        <v>14.806378132118452</v>
      </c>
      <c r="G90" s="340">
        <v>6.4516129032258061</v>
      </c>
      <c r="H90" s="340">
        <v>9.7932535364526654</v>
      </c>
      <c r="I90" s="340">
        <v>9.9304865938430993</v>
      </c>
      <c r="J90" s="340">
        <v>12.345679012345679</v>
      </c>
      <c r="K90" s="340">
        <v>8.6393088552915778</v>
      </c>
      <c r="L90" s="340">
        <v>12.961116650049851</v>
      </c>
      <c r="M90" s="340">
        <v>9.4161958568738218</v>
      </c>
      <c r="N90" s="340">
        <v>8.9585666293393054</v>
      </c>
      <c r="O90" s="340">
        <v>5.7077625570776256</v>
      </c>
      <c r="P90" s="340">
        <v>6.3775510204081636</v>
      </c>
      <c r="Q90" s="340">
        <v>10.624169986719787</v>
      </c>
    </row>
    <row r="91" spans="3:17" ht="18.75" x14ac:dyDescent="0.4">
      <c r="C91" s="2567"/>
      <c r="D91" s="391" t="s">
        <v>783</v>
      </c>
      <c r="E91" s="340">
        <v>5.964214711729622</v>
      </c>
      <c r="F91" s="340">
        <v>21.81818181818182</v>
      </c>
      <c r="G91" s="340">
        <v>11.428571428571429</v>
      </c>
      <c r="H91" s="340">
        <v>11.023622047244094</v>
      </c>
      <c r="I91" s="340">
        <v>8.2372322899505761</v>
      </c>
      <c r="J91" s="340">
        <v>9.8522167487684733</v>
      </c>
      <c r="K91" s="340">
        <v>8.9020771513353125</v>
      </c>
      <c r="L91" s="340">
        <v>14.516129032258066</v>
      </c>
      <c r="M91" s="340">
        <v>2.688172043010753</v>
      </c>
      <c r="N91" s="340">
        <v>15.873015873015872</v>
      </c>
      <c r="O91" s="340">
        <v>10.48951048951049</v>
      </c>
      <c r="P91" s="340">
        <v>20.442930153321974</v>
      </c>
      <c r="Q91" s="340">
        <v>7.1047957371225579</v>
      </c>
    </row>
    <row r="92" spans="3:17" ht="18.75" x14ac:dyDescent="0.4">
      <c r="C92" s="2567"/>
      <c r="D92" s="391" t="s">
        <v>784</v>
      </c>
      <c r="E92" s="340">
        <v>14.9812734082397</v>
      </c>
      <c r="F92" s="340">
        <v>6.8027210884353737</v>
      </c>
      <c r="G92" s="340">
        <v>17.482517482517483</v>
      </c>
      <c r="H92" s="340">
        <v>9.2024539877300615</v>
      </c>
      <c r="I92" s="340">
        <v>16.339869281045754</v>
      </c>
      <c r="J92" s="392" t="s">
        <v>751</v>
      </c>
      <c r="K92" s="340">
        <v>6.7796610169491522</v>
      </c>
      <c r="L92" s="340">
        <v>3.5460992907801416</v>
      </c>
      <c r="M92" s="340">
        <v>16.077170418006428</v>
      </c>
      <c r="N92" s="340">
        <v>12.195121951219512</v>
      </c>
      <c r="O92" s="392" t="s">
        <v>751</v>
      </c>
      <c r="P92" s="340">
        <v>20.74688796680498</v>
      </c>
      <c r="Q92" s="340">
        <v>9.4786729857819907</v>
      </c>
    </row>
    <row r="93" spans="3:17" ht="18.75" x14ac:dyDescent="0.4">
      <c r="C93" s="2567"/>
      <c r="D93" s="391" t="s">
        <v>785</v>
      </c>
      <c r="E93" s="392" t="s">
        <v>786</v>
      </c>
      <c r="F93" s="392" t="s">
        <v>786</v>
      </c>
      <c r="G93" s="392" t="s">
        <v>786</v>
      </c>
      <c r="H93" s="392" t="s">
        <v>786</v>
      </c>
      <c r="I93" s="392" t="s">
        <v>786</v>
      </c>
      <c r="J93" s="392" t="s">
        <v>786</v>
      </c>
      <c r="K93" s="392" t="s">
        <v>786</v>
      </c>
      <c r="L93" s="392" t="s">
        <v>786</v>
      </c>
      <c r="M93" s="392" t="s">
        <v>786</v>
      </c>
      <c r="N93" s="340">
        <v>19.230769230769234</v>
      </c>
      <c r="O93" s="340">
        <v>7.7220077220077226</v>
      </c>
      <c r="P93" s="392" t="s">
        <v>751</v>
      </c>
      <c r="Q93" s="392">
        <v>8.8105726872246706</v>
      </c>
    </row>
    <row r="94" spans="3:17" ht="18.75" x14ac:dyDescent="0.4">
      <c r="C94" s="2567" t="s">
        <v>330</v>
      </c>
      <c r="D94" s="391" t="s">
        <v>330</v>
      </c>
      <c r="E94" s="340">
        <v>8.0340264650283562</v>
      </c>
      <c r="F94" s="340">
        <v>11.105969458583989</v>
      </c>
      <c r="G94" s="340">
        <v>10.161662817551964</v>
      </c>
      <c r="H94" s="340">
        <v>8.7804878048780495</v>
      </c>
      <c r="I94" s="340">
        <v>9.4621513944223103</v>
      </c>
      <c r="J94" s="340">
        <v>10.334645669291339</v>
      </c>
      <c r="K94" s="340">
        <v>6.4134188455846077</v>
      </c>
      <c r="L94" s="340">
        <v>10.31459515214028</v>
      </c>
      <c r="M94" s="340">
        <v>8.9709762532981543</v>
      </c>
      <c r="N94" s="340">
        <v>11.731843575418994</v>
      </c>
      <c r="O94" s="340">
        <v>7.6335877862595414</v>
      </c>
      <c r="P94" s="340">
        <v>10.178117048346056</v>
      </c>
      <c r="Q94" s="340">
        <v>11.620400258231117</v>
      </c>
    </row>
    <row r="95" spans="3:17" ht="18.75" x14ac:dyDescent="0.4">
      <c r="C95" s="2567"/>
      <c r="D95" s="391" t="s">
        <v>787</v>
      </c>
      <c r="E95" s="340">
        <v>11.494252873563218</v>
      </c>
      <c r="F95" s="340">
        <v>12.141280353200882</v>
      </c>
      <c r="G95" s="340">
        <v>9.4836670179135929</v>
      </c>
      <c r="H95" s="340">
        <v>9.7932535364526654</v>
      </c>
      <c r="I95" s="340">
        <v>13.872832369942197</v>
      </c>
      <c r="J95" s="340">
        <v>9.1324200913241995</v>
      </c>
      <c r="K95" s="340">
        <v>6.864988558352402</v>
      </c>
      <c r="L95" s="340">
        <v>3.4802784222737819</v>
      </c>
      <c r="M95" s="340">
        <v>6.195786864931847</v>
      </c>
      <c r="N95" s="340">
        <v>12.113055181695827</v>
      </c>
      <c r="O95" s="340">
        <v>14.749262536873156</v>
      </c>
      <c r="P95" s="340">
        <v>9.3896713615023479</v>
      </c>
      <c r="Q95" s="340">
        <v>7.7881619937694708</v>
      </c>
    </row>
    <row r="96" spans="3:17" ht="18.75" x14ac:dyDescent="0.4">
      <c r="C96" s="2567"/>
      <c r="D96" s="391" t="s">
        <v>788</v>
      </c>
      <c r="E96" s="340">
        <v>11.013215859030838</v>
      </c>
      <c r="F96" s="340">
        <v>14.139827179890023</v>
      </c>
      <c r="G96" s="340">
        <v>10.574018126888218</v>
      </c>
      <c r="H96" s="340">
        <v>6.9124423963133648</v>
      </c>
      <c r="I96" s="340">
        <v>7.3964497041420119</v>
      </c>
      <c r="J96" s="340">
        <v>8.565310492505354</v>
      </c>
      <c r="K96" s="340">
        <v>7.7339520494972929</v>
      </c>
      <c r="L96" s="340">
        <v>5.5423594615993661</v>
      </c>
      <c r="M96" s="340">
        <v>12.536873156342184</v>
      </c>
      <c r="N96" s="340">
        <v>8.3056478405315612</v>
      </c>
      <c r="O96" s="340">
        <v>5.3523639607493303</v>
      </c>
      <c r="P96" s="340">
        <v>9.9900099900099892</v>
      </c>
      <c r="Q96" s="340">
        <v>14.285714285714285</v>
      </c>
    </row>
    <row r="97" spans="3:17" ht="18.75" x14ac:dyDescent="0.4">
      <c r="C97" s="2567"/>
      <c r="D97" s="391" t="s">
        <v>789</v>
      </c>
      <c r="E97" s="340">
        <v>14.218009478672984</v>
      </c>
      <c r="F97" s="340">
        <v>14.218009478672984</v>
      </c>
      <c r="G97" s="392" t="s">
        <v>751</v>
      </c>
      <c r="H97" s="340">
        <v>4.2918454935622314</v>
      </c>
      <c r="I97" s="340">
        <v>21.276595744680851</v>
      </c>
      <c r="J97" s="340">
        <v>8.1300813008130088</v>
      </c>
      <c r="K97" s="340">
        <v>16.736401673640167</v>
      </c>
      <c r="L97" s="340">
        <v>9.7560975609756095</v>
      </c>
      <c r="M97" s="340">
        <v>4.694835680751174</v>
      </c>
      <c r="N97" s="340">
        <v>24.509803921568626</v>
      </c>
      <c r="O97" s="340">
        <v>9.0090090090090094</v>
      </c>
      <c r="P97" s="340">
        <v>17.964071856287426</v>
      </c>
      <c r="Q97" s="340">
        <v>20.942408376963353</v>
      </c>
    </row>
    <row r="98" spans="3:17" ht="18.75" x14ac:dyDescent="0.4">
      <c r="C98" s="2567"/>
      <c r="D98" s="391" t="s">
        <v>790</v>
      </c>
      <c r="E98" s="340">
        <v>10.840108401084011</v>
      </c>
      <c r="F98" s="340">
        <v>8.8353413654618471</v>
      </c>
      <c r="G98" s="340">
        <v>10.335917312661499</v>
      </c>
      <c r="H98" s="340">
        <v>15.113350125944583</v>
      </c>
      <c r="I98" s="340">
        <v>9.3141405588484325</v>
      </c>
      <c r="J98" s="340">
        <v>12.254901960784313</v>
      </c>
      <c r="K98" s="340">
        <v>17.918088737201366</v>
      </c>
      <c r="L98" s="340">
        <v>10.628875110717448</v>
      </c>
      <c r="M98" s="340">
        <v>6.7698259187620895</v>
      </c>
      <c r="N98" s="340">
        <v>15.732546705998034</v>
      </c>
      <c r="O98" s="340">
        <v>12.880562060889931</v>
      </c>
      <c r="P98" s="340">
        <v>13.800424628450106</v>
      </c>
      <c r="Q98" s="340">
        <v>15.46961325966851</v>
      </c>
    </row>
    <row r="99" spans="3:17" ht="18.75" x14ac:dyDescent="0.4">
      <c r="C99" s="2567"/>
      <c r="D99" s="391" t="s">
        <v>791</v>
      </c>
      <c r="E99" s="340">
        <v>4.9504950495049505</v>
      </c>
      <c r="F99" s="340">
        <v>18.18181818181818</v>
      </c>
      <c r="G99" s="392" t="s">
        <v>751</v>
      </c>
      <c r="H99" s="340">
        <v>10.471204188481677</v>
      </c>
      <c r="I99" s="392" t="s">
        <v>751</v>
      </c>
      <c r="J99" s="340">
        <v>15.151515151515152</v>
      </c>
      <c r="K99" s="340">
        <v>8.7719298245614024</v>
      </c>
      <c r="L99" s="340">
        <v>9.9502487562189046</v>
      </c>
      <c r="M99" s="340">
        <v>16.949152542372882</v>
      </c>
      <c r="N99" s="340">
        <v>4.6082949308755756</v>
      </c>
      <c r="O99" s="340">
        <v>5.6497175141242941</v>
      </c>
      <c r="P99" s="340">
        <v>4.6511627906976747</v>
      </c>
      <c r="Q99" s="340">
        <v>6.024096385542169</v>
      </c>
    </row>
    <row r="100" spans="3:17" ht="18.75" x14ac:dyDescent="0.4">
      <c r="C100" s="2567"/>
      <c r="D100" s="391" t="s">
        <v>792</v>
      </c>
      <c r="E100" s="340">
        <v>14.471780028943559</v>
      </c>
      <c r="F100" s="340">
        <v>4.9751243781094523</v>
      </c>
      <c r="G100" s="340">
        <v>9.6551724137931032</v>
      </c>
      <c r="H100" s="340">
        <v>4.6012269938650308</v>
      </c>
      <c r="I100" s="340">
        <v>7.385524372230428</v>
      </c>
      <c r="J100" s="340">
        <v>10.144927536231883</v>
      </c>
      <c r="K100" s="340">
        <v>2.9368575624082229</v>
      </c>
      <c r="L100" s="340">
        <v>6.8143100511073254</v>
      </c>
      <c r="M100" s="340">
        <v>12.903225806451612</v>
      </c>
      <c r="N100" s="340">
        <v>3.225806451612903</v>
      </c>
      <c r="O100" s="340">
        <v>7.1556350626118066</v>
      </c>
      <c r="P100" s="340">
        <v>18.947368421052634</v>
      </c>
      <c r="Q100" s="340">
        <v>8.2987551867219924</v>
      </c>
    </row>
    <row r="101" spans="3:17" ht="18.75" x14ac:dyDescent="0.4">
      <c r="C101" s="2567"/>
      <c r="D101" s="391" t="s">
        <v>793</v>
      </c>
      <c r="E101" s="340">
        <v>6.1919504643962853</v>
      </c>
      <c r="F101" s="340">
        <v>4.2979942693409745</v>
      </c>
      <c r="G101" s="340">
        <v>17.770597738287563</v>
      </c>
      <c r="H101" s="340">
        <v>9.5389507154213025</v>
      </c>
      <c r="I101" s="340">
        <v>6.051437216338881</v>
      </c>
      <c r="J101" s="340">
        <v>11.164274322169058</v>
      </c>
      <c r="K101" s="340">
        <v>7.3746312684365778</v>
      </c>
      <c r="L101" s="340">
        <v>11.994002998500749</v>
      </c>
      <c r="M101" s="340">
        <v>6.5897858319604614</v>
      </c>
      <c r="N101" s="340">
        <v>10.135135135135135</v>
      </c>
      <c r="O101" s="340">
        <v>5.1369863013698627</v>
      </c>
      <c r="P101" s="340">
        <v>7.5901328273244779</v>
      </c>
      <c r="Q101" s="340">
        <v>13.513513513513514</v>
      </c>
    </row>
    <row r="102" spans="3:17" ht="18.75" x14ac:dyDescent="0.4">
      <c r="C102" s="2570" t="s">
        <v>331</v>
      </c>
      <c r="D102" s="391" t="s">
        <v>331</v>
      </c>
      <c r="E102" s="340">
        <v>7.5107296137339059</v>
      </c>
      <c r="F102" s="340">
        <v>12.266666666666667</v>
      </c>
      <c r="G102" s="340">
        <v>8.3376758728504416</v>
      </c>
      <c r="H102" s="340">
        <v>5.5555555555555554</v>
      </c>
      <c r="I102" s="340">
        <v>5.5309734513274336</v>
      </c>
      <c r="J102" s="340">
        <v>7.1038251366120226</v>
      </c>
      <c r="K102" s="340">
        <v>11.945392491467578</v>
      </c>
      <c r="L102" s="340">
        <v>11.600928074245939</v>
      </c>
      <c r="M102" s="340">
        <v>8.215962441314554</v>
      </c>
      <c r="N102" s="340">
        <v>8.4134615384615383</v>
      </c>
      <c r="O102" s="340">
        <v>9.8176718092566624</v>
      </c>
      <c r="P102" s="340">
        <v>14.274385408406026</v>
      </c>
      <c r="Q102" s="340">
        <v>7.1315372424722669</v>
      </c>
    </row>
    <row r="103" spans="3:17" ht="18.75" x14ac:dyDescent="0.4">
      <c r="C103" s="2570"/>
      <c r="D103" s="391" t="s">
        <v>794</v>
      </c>
      <c r="E103" s="340">
        <v>15.325670498084291</v>
      </c>
      <c r="F103" s="340">
        <v>5.3191489361702127</v>
      </c>
      <c r="G103" s="340">
        <v>10.948905109489052</v>
      </c>
      <c r="H103" s="340">
        <v>11.235955056179774</v>
      </c>
      <c r="I103" s="340">
        <v>5.1020408163265305</v>
      </c>
      <c r="J103" s="340">
        <v>8.6655112651646444</v>
      </c>
      <c r="K103" s="340">
        <v>5.208333333333333</v>
      </c>
      <c r="L103" s="340">
        <v>13.745704467353951</v>
      </c>
      <c r="M103" s="340">
        <v>7.0671378091872787</v>
      </c>
      <c r="N103" s="340">
        <v>6.8728522336769755</v>
      </c>
      <c r="O103" s="340">
        <v>5.8708414872798436</v>
      </c>
      <c r="P103" s="340">
        <v>11.737089201877934</v>
      </c>
      <c r="Q103" s="340">
        <v>10.79913606911447</v>
      </c>
    </row>
    <row r="104" spans="3:17" ht="18.75" x14ac:dyDescent="0.4">
      <c r="C104" s="2570"/>
      <c r="D104" s="391" t="s">
        <v>795</v>
      </c>
      <c r="E104" s="340">
        <v>9.1911764705882355</v>
      </c>
      <c r="F104" s="340">
        <v>8.097165991902834</v>
      </c>
      <c r="G104" s="340">
        <v>3.8684719535783367</v>
      </c>
      <c r="H104" s="340">
        <v>6.1224489795918364</v>
      </c>
      <c r="I104" s="340">
        <v>15.065913370998116</v>
      </c>
      <c r="J104" s="340">
        <v>8.2304526748971192</v>
      </c>
      <c r="K104" s="340">
        <v>4.1322314049586781</v>
      </c>
      <c r="L104" s="340">
        <v>9.0909090909090899</v>
      </c>
      <c r="M104" s="340">
        <v>4.2372881355932206</v>
      </c>
      <c r="N104" s="340">
        <v>6.9930069930069934</v>
      </c>
      <c r="O104" s="340">
        <v>12.376237623762377</v>
      </c>
      <c r="P104" s="392" t="s">
        <v>751</v>
      </c>
      <c r="Q104" s="392">
        <v>12.987012987012989</v>
      </c>
    </row>
    <row r="105" spans="3:17" ht="18.75" x14ac:dyDescent="0.4">
      <c r="C105" s="2570"/>
      <c r="D105" s="391" t="s">
        <v>796</v>
      </c>
      <c r="E105" s="340">
        <v>5.7034220532319395</v>
      </c>
      <c r="F105" s="340">
        <v>9.8619329388560164</v>
      </c>
      <c r="G105" s="340">
        <v>9.765625</v>
      </c>
      <c r="H105" s="340">
        <v>4</v>
      </c>
      <c r="I105" s="340">
        <v>4.056795131845842</v>
      </c>
      <c r="J105" s="340">
        <v>1.984126984126984</v>
      </c>
      <c r="K105" s="340">
        <v>8.146639511201629</v>
      </c>
      <c r="L105" s="340">
        <v>8.8105726872246706</v>
      </c>
      <c r="M105" s="340">
        <v>8.7145969498910691</v>
      </c>
      <c r="N105" s="340">
        <v>13.888888888888888</v>
      </c>
      <c r="O105" s="340">
        <v>2.4752475247524752</v>
      </c>
      <c r="P105" s="392" t="s">
        <v>751</v>
      </c>
      <c r="Q105" s="392">
        <v>13.227513227513226</v>
      </c>
    </row>
    <row r="106" spans="3:17" ht="18.75" x14ac:dyDescent="0.4">
      <c r="C106" s="2570"/>
      <c r="D106" s="391" t="s">
        <v>797</v>
      </c>
      <c r="E106" s="340">
        <v>4.6367851622874801</v>
      </c>
      <c r="F106" s="340">
        <v>4.4510385756676563</v>
      </c>
      <c r="G106" s="340">
        <v>9.628610729023384</v>
      </c>
      <c r="H106" s="340">
        <v>10.526315789473683</v>
      </c>
      <c r="I106" s="340">
        <v>4.3478260869565215</v>
      </c>
      <c r="J106" s="340">
        <v>4.160887656033287</v>
      </c>
      <c r="K106" s="340">
        <v>14.836795252225519</v>
      </c>
      <c r="L106" s="340">
        <v>8.223684210526315</v>
      </c>
      <c r="M106" s="340">
        <v>6.2893081761006293</v>
      </c>
      <c r="N106" s="340">
        <v>15.463917525773196</v>
      </c>
      <c r="O106" s="340">
        <v>16.293279022403258</v>
      </c>
      <c r="P106" s="340">
        <v>15.151515151515152</v>
      </c>
      <c r="Q106" s="340">
        <v>11.111111111111111</v>
      </c>
    </row>
    <row r="107" spans="3:17" ht="18.75" x14ac:dyDescent="0.4">
      <c r="C107" s="2570"/>
      <c r="D107" s="391" t="s">
        <v>798</v>
      </c>
      <c r="E107" s="340">
        <v>12.711864406779663</v>
      </c>
      <c r="F107" s="340">
        <v>3.9840637450199203</v>
      </c>
      <c r="G107" s="340">
        <v>14.925373134328359</v>
      </c>
      <c r="H107" s="340">
        <v>13.651877133105803</v>
      </c>
      <c r="I107" s="340">
        <v>7.8740157480314963</v>
      </c>
      <c r="J107" s="392" t="s">
        <v>751</v>
      </c>
      <c r="K107" s="392" t="s">
        <v>751</v>
      </c>
      <c r="L107" s="340">
        <v>7.4626865671641793</v>
      </c>
      <c r="M107" s="340">
        <v>7.7519379844961236</v>
      </c>
      <c r="N107" s="340">
        <v>7.518796992481203</v>
      </c>
      <c r="O107" s="340">
        <v>10.810810810810811</v>
      </c>
      <c r="P107" s="340">
        <v>17.543859649122805</v>
      </c>
      <c r="Q107" s="340">
        <v>4.9751243781094523</v>
      </c>
    </row>
    <row r="108" spans="3:17" ht="18.75" x14ac:dyDescent="0.4">
      <c r="C108" s="2570"/>
      <c r="D108" s="391" t="s">
        <v>799</v>
      </c>
      <c r="E108" s="340">
        <v>13.468013468013467</v>
      </c>
      <c r="F108" s="340">
        <v>8.9020771513353125</v>
      </c>
      <c r="G108" s="340">
        <v>6.2111801242236018</v>
      </c>
      <c r="H108" s="340">
        <v>6.6225165562913908</v>
      </c>
      <c r="I108" s="340">
        <v>15.772870662460567</v>
      </c>
      <c r="J108" s="392" t="s">
        <v>751</v>
      </c>
      <c r="K108" s="340">
        <v>9.3457943925233646</v>
      </c>
      <c r="L108" s="340">
        <v>6.5146579804560263</v>
      </c>
      <c r="M108" s="340">
        <v>13.513513513513514</v>
      </c>
      <c r="N108" s="340">
        <v>3.3112582781456954</v>
      </c>
      <c r="O108" s="340">
        <v>15.444015444015445</v>
      </c>
      <c r="P108" s="340">
        <v>4.4444444444444446</v>
      </c>
      <c r="Q108" s="392" t="s">
        <v>751</v>
      </c>
    </row>
    <row r="109" spans="3:17" ht="18.75" x14ac:dyDescent="0.4">
      <c r="C109" s="2570"/>
      <c r="D109" s="391" t="s">
        <v>800</v>
      </c>
      <c r="E109" s="340">
        <v>6.1728395061728394</v>
      </c>
      <c r="F109" s="340">
        <v>6.0422960725075532</v>
      </c>
      <c r="G109" s="340">
        <v>13.333333333333334</v>
      </c>
      <c r="H109" s="340">
        <v>6.1919504643962853</v>
      </c>
      <c r="I109" s="340">
        <v>11.695906432748536</v>
      </c>
      <c r="J109" s="340">
        <v>5.6022408963585431</v>
      </c>
      <c r="K109" s="340">
        <v>6.7796610169491522</v>
      </c>
      <c r="L109" s="340">
        <v>12.307692307692308</v>
      </c>
      <c r="M109" s="340">
        <v>6.3492063492063489</v>
      </c>
      <c r="N109" s="392" t="s">
        <v>751</v>
      </c>
      <c r="O109" s="340">
        <v>7.6045627376425857</v>
      </c>
      <c r="P109" s="392" t="s">
        <v>751</v>
      </c>
      <c r="Q109" s="392">
        <v>13.274336283185841</v>
      </c>
    </row>
    <row r="110" spans="3:17" ht="18.75" x14ac:dyDescent="0.4">
      <c r="C110" s="2570"/>
      <c r="D110" s="391" t="s">
        <v>801</v>
      </c>
      <c r="E110" s="340">
        <v>11.976047904191617</v>
      </c>
      <c r="F110" s="340">
        <v>12.690355329949238</v>
      </c>
      <c r="G110" s="340">
        <v>2.8653295128939829</v>
      </c>
      <c r="H110" s="340">
        <v>6.1919504643962853</v>
      </c>
      <c r="I110" s="340">
        <v>8.6455331412103753</v>
      </c>
      <c r="J110" s="340">
        <v>2.6525198938992043</v>
      </c>
      <c r="K110" s="340">
        <v>5.7306590257879657</v>
      </c>
      <c r="L110" s="340">
        <v>5.8651026392961878</v>
      </c>
      <c r="M110" s="340">
        <v>5.7142857142857144</v>
      </c>
      <c r="N110" s="340">
        <v>5.8309037900874632</v>
      </c>
      <c r="O110" s="340">
        <v>3.3444816053511706</v>
      </c>
      <c r="P110" s="340">
        <v>3.7735849056603774</v>
      </c>
      <c r="Q110" s="340">
        <v>3.6496350364963503</v>
      </c>
    </row>
    <row r="111" spans="3:17" ht="18.75" x14ac:dyDescent="0.4">
      <c r="C111" s="2570"/>
      <c r="D111" s="391" t="s">
        <v>802</v>
      </c>
      <c r="E111" s="340">
        <v>5.3956834532374103</v>
      </c>
      <c r="F111" s="340">
        <v>6.8085106382978724</v>
      </c>
      <c r="G111" s="340">
        <v>8.6355785837651116</v>
      </c>
      <c r="H111" s="340">
        <v>13.071895424836601</v>
      </c>
      <c r="I111" s="340">
        <v>8.7719298245614024</v>
      </c>
      <c r="J111" s="340">
        <v>9.7864768683274015</v>
      </c>
      <c r="K111" s="340">
        <v>14.579759862778731</v>
      </c>
      <c r="L111" s="340">
        <v>7.1942446043165473</v>
      </c>
      <c r="M111" s="340">
        <v>10.928961748633879</v>
      </c>
      <c r="N111" s="340">
        <v>4.7080979284369109</v>
      </c>
      <c r="O111" s="340">
        <v>6.3897763578274756</v>
      </c>
      <c r="P111" s="340">
        <v>9.0090090090090094</v>
      </c>
      <c r="Q111" s="340">
        <v>11.398963730569948</v>
      </c>
    </row>
    <row r="112" spans="3:17" ht="18.75" x14ac:dyDescent="0.4">
      <c r="C112" s="2570" t="s">
        <v>332</v>
      </c>
      <c r="D112" s="391" t="s">
        <v>803</v>
      </c>
      <c r="E112" s="340">
        <v>15.39708265802269</v>
      </c>
      <c r="F112" s="340">
        <v>9.1116173120728927</v>
      </c>
      <c r="G112" s="340">
        <v>11.286681715575622</v>
      </c>
      <c r="H112" s="340">
        <v>10.819165378670787</v>
      </c>
      <c r="I112" s="340">
        <v>8.5470085470085486</v>
      </c>
      <c r="J112" s="340">
        <v>10</v>
      </c>
      <c r="K112" s="340">
        <v>10.509296685529508</v>
      </c>
      <c r="L112" s="340">
        <v>8.1300813008130088</v>
      </c>
      <c r="M112" s="340">
        <v>11.705685618729095</v>
      </c>
      <c r="N112" s="340">
        <v>11.844331641285956</v>
      </c>
      <c r="O112" s="340">
        <v>7.3327222731439052</v>
      </c>
      <c r="P112" s="340">
        <v>11.049723756906078</v>
      </c>
      <c r="Q112" s="340">
        <v>12.257405515832481</v>
      </c>
    </row>
    <row r="113" spans="3:17" ht="18.75" x14ac:dyDescent="0.4">
      <c r="C113" s="2570"/>
      <c r="D113" s="391" t="s">
        <v>804</v>
      </c>
      <c r="E113" s="340">
        <v>14.457831325301205</v>
      </c>
      <c r="F113" s="340">
        <v>11.210762331838565</v>
      </c>
      <c r="G113" s="340">
        <v>5.7405281285878305</v>
      </c>
      <c r="H113" s="340">
        <v>10.624169986719787</v>
      </c>
      <c r="I113" s="340">
        <v>7.1428571428571423</v>
      </c>
      <c r="J113" s="340">
        <v>7.0588235294117654</v>
      </c>
      <c r="K113" s="340">
        <v>7.3260073260073257</v>
      </c>
      <c r="L113" s="340">
        <v>10.989010989010989</v>
      </c>
      <c r="M113" s="340">
        <v>7.5949367088607591</v>
      </c>
      <c r="N113" s="340">
        <v>5.0125313283208017</v>
      </c>
      <c r="O113" s="340">
        <v>6.510416666666667</v>
      </c>
      <c r="P113" s="340">
        <v>18.518518518518519</v>
      </c>
      <c r="Q113" s="340">
        <v>8.7847730600292824</v>
      </c>
    </row>
    <row r="114" spans="3:17" ht="18.75" x14ac:dyDescent="0.4">
      <c r="C114" s="2570"/>
      <c r="D114" s="391" t="s">
        <v>805</v>
      </c>
      <c r="E114" s="340">
        <v>11.481056257175661</v>
      </c>
      <c r="F114" s="340">
        <v>15.60758082497213</v>
      </c>
      <c r="G114" s="340">
        <v>6.6445182724252492</v>
      </c>
      <c r="H114" s="340">
        <v>6.5359477124183005</v>
      </c>
      <c r="I114" s="340">
        <v>4.1365046535677354</v>
      </c>
      <c r="J114" s="340">
        <v>11.156186612576064</v>
      </c>
      <c r="K114" s="340">
        <v>9.6256684491978621</v>
      </c>
      <c r="L114" s="340">
        <v>5.1440329218106999</v>
      </c>
      <c r="M114" s="340">
        <v>10.570824524312897</v>
      </c>
      <c r="N114" s="340">
        <v>8.3945435466946492</v>
      </c>
      <c r="O114" s="340">
        <v>9.3567251461988299</v>
      </c>
      <c r="P114" s="340">
        <v>6.195786864931847</v>
      </c>
      <c r="Q114" s="340">
        <v>7.0921985815602833</v>
      </c>
    </row>
    <row r="115" spans="3:17" ht="18.75" x14ac:dyDescent="0.4">
      <c r="C115" s="2570"/>
      <c r="D115" s="391" t="s">
        <v>806</v>
      </c>
      <c r="E115" s="340">
        <v>9.316770186335404</v>
      </c>
      <c r="F115" s="340">
        <v>15.197568389057752</v>
      </c>
      <c r="G115" s="340">
        <v>12.158054711246201</v>
      </c>
      <c r="H115" s="392" t="s">
        <v>751</v>
      </c>
      <c r="I115" s="340">
        <v>10.526315789473683</v>
      </c>
      <c r="J115" s="340">
        <v>8.6705202312138727</v>
      </c>
      <c r="K115" s="340">
        <v>8.4269662921348321</v>
      </c>
      <c r="L115" s="340">
        <v>15.974440894568689</v>
      </c>
      <c r="M115" s="340">
        <v>6.1919504643962853</v>
      </c>
      <c r="N115" s="340">
        <v>10.033444816053512</v>
      </c>
      <c r="O115" s="340">
        <v>6.3897763578274756</v>
      </c>
      <c r="P115" s="340">
        <v>6.756756756756757</v>
      </c>
      <c r="Q115" s="340">
        <v>10.344827586206897</v>
      </c>
    </row>
    <row r="116" spans="3:17" ht="18.75" x14ac:dyDescent="0.4">
      <c r="C116" s="2570"/>
      <c r="D116" s="391" t="s">
        <v>807</v>
      </c>
      <c r="E116" s="340">
        <v>13.677811550151976</v>
      </c>
      <c r="F116" s="340">
        <v>10.738255033557046</v>
      </c>
      <c r="G116" s="340">
        <v>10.574018126888218</v>
      </c>
      <c r="H116" s="340">
        <v>13.605442176870747</v>
      </c>
      <c r="I116" s="340">
        <v>6.6844919786096257</v>
      </c>
      <c r="J116" s="340">
        <v>4.1322314049586781</v>
      </c>
      <c r="K116" s="340">
        <v>5.9171597633136095</v>
      </c>
      <c r="L116" s="340">
        <v>13.82488479262673</v>
      </c>
      <c r="M116" s="340">
        <v>2.7777777777777777</v>
      </c>
      <c r="N116" s="340">
        <v>15.471167369901547</v>
      </c>
      <c r="O116" s="340">
        <v>9.5541401273885338</v>
      </c>
      <c r="P116" s="340">
        <v>7.4074074074074074</v>
      </c>
      <c r="Q116" s="340">
        <v>12.63537906137184</v>
      </c>
    </row>
    <row r="117" spans="3:17" ht="18.75" x14ac:dyDescent="0.4">
      <c r="C117" s="2570"/>
      <c r="D117" s="391" t="s">
        <v>808</v>
      </c>
      <c r="E117" s="340">
        <v>12</v>
      </c>
      <c r="F117" s="340">
        <v>17.241379310344826</v>
      </c>
      <c r="G117" s="340">
        <v>14.466546112115731</v>
      </c>
      <c r="H117" s="340">
        <v>2.0703933747412009</v>
      </c>
      <c r="I117" s="340">
        <v>2.0366598778004072</v>
      </c>
      <c r="J117" s="340">
        <v>6.4239828693790146</v>
      </c>
      <c r="K117" s="340">
        <v>11.135857461024498</v>
      </c>
      <c r="L117" s="340">
        <v>4.8426150121065374</v>
      </c>
      <c r="M117" s="340">
        <v>28.91566265060241</v>
      </c>
      <c r="N117" s="340">
        <v>10.610079575596817</v>
      </c>
      <c r="O117" s="340">
        <v>8.8757396449704142</v>
      </c>
      <c r="P117" s="340">
        <v>8.9285714285714288</v>
      </c>
      <c r="Q117" s="340">
        <v>9.0361445783132535</v>
      </c>
    </row>
    <row r="118" spans="3:17" ht="18.75" x14ac:dyDescent="0.4">
      <c r="C118" s="2570"/>
      <c r="D118" s="391" t="s">
        <v>809</v>
      </c>
      <c r="E118" s="340">
        <v>10.948905109489052</v>
      </c>
      <c r="F118" s="340">
        <v>6.7340067340067336</v>
      </c>
      <c r="G118" s="340">
        <v>9.9667774086378724</v>
      </c>
      <c r="H118" s="392" t="s">
        <v>751</v>
      </c>
      <c r="I118" s="340">
        <v>6.8965517241379306</v>
      </c>
      <c r="J118" s="340">
        <v>3.8759689922480618</v>
      </c>
      <c r="K118" s="340">
        <v>16.5016501650165</v>
      </c>
      <c r="L118" s="340">
        <v>6.9444444444444438</v>
      </c>
      <c r="M118" s="340">
        <v>6.968641114982578</v>
      </c>
      <c r="N118" s="340">
        <v>3.3670033670033668</v>
      </c>
      <c r="O118" s="340">
        <v>7.6045627376425857</v>
      </c>
      <c r="P118" s="340">
        <v>12.345679012345679</v>
      </c>
      <c r="Q118" s="340">
        <v>9.2165898617511512</v>
      </c>
    </row>
    <row r="119" spans="3:17" ht="18.75" x14ac:dyDescent="0.4">
      <c r="C119" s="2570"/>
      <c r="D119" s="391" t="s">
        <v>810</v>
      </c>
      <c r="E119" s="392" t="s">
        <v>751</v>
      </c>
      <c r="F119" s="340">
        <v>7.6335877862595414</v>
      </c>
      <c r="G119" s="340">
        <v>13.937282229965156</v>
      </c>
      <c r="H119" s="340">
        <v>14.492753623188406</v>
      </c>
      <c r="I119" s="340">
        <v>7.6335877862595414</v>
      </c>
      <c r="J119" s="340">
        <v>16.666666666666668</v>
      </c>
      <c r="K119" s="340">
        <v>3.8167938931297707</v>
      </c>
      <c r="L119" s="340">
        <v>22.641509433962263</v>
      </c>
      <c r="M119" s="340">
        <v>7.2202166064981954</v>
      </c>
      <c r="N119" s="340">
        <v>7.4074074074074074</v>
      </c>
      <c r="O119" s="340">
        <v>10.869565217391305</v>
      </c>
      <c r="P119" s="340">
        <v>14.354066985645934</v>
      </c>
      <c r="Q119" s="392" t="s">
        <v>751</v>
      </c>
    </row>
    <row r="120" spans="3:17" ht="18.75" x14ac:dyDescent="0.4">
      <c r="C120" s="2570"/>
      <c r="D120" s="391" t="s">
        <v>811</v>
      </c>
      <c r="E120" s="392" t="s">
        <v>751</v>
      </c>
      <c r="F120" s="340">
        <v>6.8493150684931505</v>
      </c>
      <c r="G120" s="392" t="s">
        <v>751</v>
      </c>
      <c r="H120" s="340">
        <v>6.4935064935064943</v>
      </c>
      <c r="I120" s="340">
        <v>20.97902097902098</v>
      </c>
      <c r="J120" s="340">
        <v>14.388489208633095</v>
      </c>
      <c r="K120" s="392" t="s">
        <v>751</v>
      </c>
      <c r="L120" s="392" t="s">
        <v>751</v>
      </c>
      <c r="M120" s="340">
        <v>26.666666666666668</v>
      </c>
      <c r="N120" s="392" t="s">
        <v>751</v>
      </c>
      <c r="O120" s="392" t="s">
        <v>751</v>
      </c>
      <c r="P120" s="392" t="s">
        <v>751</v>
      </c>
      <c r="Q120" s="392" t="s">
        <v>751</v>
      </c>
    </row>
    <row r="121" spans="3:17" ht="18.75" x14ac:dyDescent="0.4">
      <c r="C121" s="2570"/>
      <c r="D121" s="391" t="s">
        <v>812</v>
      </c>
      <c r="E121" s="340">
        <v>15.521064301552107</v>
      </c>
      <c r="F121" s="340">
        <v>4.4843049327354256</v>
      </c>
      <c r="G121" s="340">
        <v>17.582417582417584</v>
      </c>
      <c r="H121" s="340">
        <v>9.456264775413711</v>
      </c>
      <c r="I121" s="340">
        <v>6.5217391304347823</v>
      </c>
      <c r="J121" s="340">
        <v>4.3383947939262475</v>
      </c>
      <c r="K121" s="340">
        <v>16.032064128256511</v>
      </c>
      <c r="L121" s="340">
        <v>14.522821576763485</v>
      </c>
      <c r="M121" s="340">
        <v>4.8309178743961354</v>
      </c>
      <c r="N121" s="340">
        <v>9.5011876484560567</v>
      </c>
      <c r="O121" s="340">
        <v>13.157894736842104</v>
      </c>
      <c r="P121" s="340">
        <v>11.111111111111111</v>
      </c>
      <c r="Q121" s="340">
        <v>2.7548209366391188</v>
      </c>
    </row>
    <row r="122" spans="3:17" ht="18.75" x14ac:dyDescent="0.4">
      <c r="C122" s="2570"/>
      <c r="D122" s="391" t="s">
        <v>813</v>
      </c>
      <c r="E122" s="392" t="s">
        <v>751</v>
      </c>
      <c r="F122" s="392" t="s">
        <v>751</v>
      </c>
      <c r="G122" s="340">
        <v>18.18181818181818</v>
      </c>
      <c r="H122" s="392" t="s">
        <v>751</v>
      </c>
      <c r="I122" s="340">
        <v>9.0090090090090094</v>
      </c>
      <c r="J122" s="392" t="s">
        <v>751</v>
      </c>
      <c r="K122" s="392" t="s">
        <v>751</v>
      </c>
      <c r="L122" s="340">
        <v>10.526315789473683</v>
      </c>
      <c r="M122" s="392" t="s">
        <v>751</v>
      </c>
      <c r="N122" s="392" t="s">
        <v>751</v>
      </c>
      <c r="O122" s="392" t="s">
        <v>751</v>
      </c>
      <c r="P122" s="392" t="s">
        <v>751</v>
      </c>
      <c r="Q122" s="392" t="s">
        <v>751</v>
      </c>
    </row>
    <row r="123" spans="3:17" ht="18.75" x14ac:dyDescent="0.4">
      <c r="C123" s="2567" t="s">
        <v>533</v>
      </c>
      <c r="D123" s="391" t="s">
        <v>533</v>
      </c>
      <c r="E123" s="340">
        <v>11.603375527426161</v>
      </c>
      <c r="F123" s="340">
        <v>10.65891472868217</v>
      </c>
      <c r="G123" s="340">
        <v>8.8669950738916263</v>
      </c>
      <c r="H123" s="340">
        <v>10.802469135802468</v>
      </c>
      <c r="I123" s="340">
        <v>14.335145823035097</v>
      </c>
      <c r="J123" s="340">
        <v>9.5333667837431015</v>
      </c>
      <c r="K123" s="340">
        <v>10.282776349614394</v>
      </c>
      <c r="L123" s="340">
        <v>11.397423191278493</v>
      </c>
      <c r="M123" s="340">
        <v>17.182130584192443</v>
      </c>
      <c r="N123" s="340">
        <v>13.412017167381975</v>
      </c>
      <c r="O123" s="340">
        <v>12.201885745978924</v>
      </c>
      <c r="P123" s="340">
        <v>7.6093849080532658</v>
      </c>
      <c r="Q123" s="340">
        <v>10.974822466107165</v>
      </c>
    </row>
    <row r="124" spans="3:17" ht="18.75" x14ac:dyDescent="0.4">
      <c r="C124" s="2567"/>
      <c r="D124" s="391" t="s">
        <v>814</v>
      </c>
      <c r="E124" s="340">
        <v>10.554089709762533</v>
      </c>
      <c r="F124" s="340">
        <v>21.786492374727668</v>
      </c>
      <c r="G124" s="340">
        <v>6.9284064665127021</v>
      </c>
      <c r="H124" s="340">
        <v>11.82033096926714</v>
      </c>
      <c r="I124" s="340">
        <v>11.261261261261261</v>
      </c>
      <c r="J124" s="340">
        <v>11.286681715575622</v>
      </c>
      <c r="K124" s="340">
        <v>7.4257425742574252</v>
      </c>
      <c r="L124" s="340">
        <v>11.235955056179774</v>
      </c>
      <c r="M124" s="340">
        <v>10.869565217391305</v>
      </c>
      <c r="N124" s="340">
        <v>7.4074074074074074</v>
      </c>
      <c r="O124" s="340">
        <v>15.037593984962406</v>
      </c>
      <c r="P124" s="340">
        <v>11.111111111111111</v>
      </c>
      <c r="Q124" s="392" t="s">
        <v>751</v>
      </c>
    </row>
    <row r="125" spans="3:17" ht="18.75" x14ac:dyDescent="0.4">
      <c r="C125" s="2567"/>
      <c r="D125" s="391" t="s">
        <v>815</v>
      </c>
      <c r="E125" s="340">
        <v>15.418502202643172</v>
      </c>
      <c r="F125" s="340">
        <v>13.039117352056168</v>
      </c>
      <c r="G125" s="340">
        <v>5.3533190578158454</v>
      </c>
      <c r="H125" s="340">
        <v>11.198208286674133</v>
      </c>
      <c r="I125" s="340">
        <v>11.494252873563218</v>
      </c>
      <c r="J125" s="340">
        <v>9.2485549132947984</v>
      </c>
      <c r="K125" s="340">
        <v>11.221945137157107</v>
      </c>
      <c r="L125" s="340">
        <v>12.925969447708578</v>
      </c>
      <c r="M125" s="340">
        <v>9.6969696969696972</v>
      </c>
      <c r="N125" s="340">
        <v>8.097165991902834</v>
      </c>
      <c r="O125" s="340">
        <v>14.749262536873156</v>
      </c>
      <c r="P125" s="340">
        <v>13.293943870014772</v>
      </c>
      <c r="Q125" s="340">
        <v>7.3206442166910692</v>
      </c>
    </row>
    <row r="126" spans="3:17" ht="18.75" x14ac:dyDescent="0.4">
      <c r="C126" s="2567"/>
      <c r="D126" s="391" t="s">
        <v>816</v>
      </c>
      <c r="E126" s="340">
        <v>16.042780748663102</v>
      </c>
      <c r="F126" s="340">
        <v>11.494252873563218</v>
      </c>
      <c r="G126" s="340">
        <v>4.8780487804878048</v>
      </c>
      <c r="H126" s="340">
        <v>11.111111111111111</v>
      </c>
      <c r="I126" s="340">
        <v>21.276595744680851</v>
      </c>
      <c r="J126" s="340">
        <v>5.6179775280898872</v>
      </c>
      <c r="K126" s="340">
        <v>16.304347826086957</v>
      </c>
      <c r="L126" s="392" t="s">
        <v>751</v>
      </c>
      <c r="M126" s="340">
        <v>10.810810810810811</v>
      </c>
      <c r="N126" s="340">
        <v>11.560693641618496</v>
      </c>
      <c r="O126" s="340">
        <v>12.820512820512819</v>
      </c>
      <c r="P126" s="340">
        <v>6.1728395061728394</v>
      </c>
      <c r="Q126" s="340">
        <v>12.121212121212121</v>
      </c>
    </row>
    <row r="127" spans="3:17" ht="18.75" x14ac:dyDescent="0.4">
      <c r="C127" s="2567"/>
      <c r="D127" s="391" t="s">
        <v>817</v>
      </c>
      <c r="E127" s="340">
        <v>12.605042016806722</v>
      </c>
      <c r="F127" s="340">
        <v>8.1135902636916839</v>
      </c>
      <c r="G127" s="340">
        <v>11.583011583011583</v>
      </c>
      <c r="H127" s="340">
        <v>7.9681274900398407</v>
      </c>
      <c r="I127" s="340">
        <v>10.060362173038229</v>
      </c>
      <c r="J127" s="340">
        <v>7.9522862823061624</v>
      </c>
      <c r="K127" s="340">
        <v>8.6580086580086579</v>
      </c>
      <c r="L127" s="340">
        <v>7.7369439071566735</v>
      </c>
      <c r="M127" s="340">
        <v>16.032064128256511</v>
      </c>
      <c r="N127" s="340">
        <v>13.157894736842104</v>
      </c>
      <c r="O127" s="340">
        <v>10.309278350515465</v>
      </c>
      <c r="P127" s="340">
        <v>14.893617021276597</v>
      </c>
      <c r="Q127" s="340">
        <v>2.3419203747072599</v>
      </c>
    </row>
    <row r="128" spans="3:17" ht="18.75" x14ac:dyDescent="0.4">
      <c r="C128" s="2567"/>
      <c r="D128" s="391" t="s">
        <v>818</v>
      </c>
      <c r="E128" s="340">
        <v>9.9206349206349209</v>
      </c>
      <c r="F128" s="340">
        <v>9.1743119266055047</v>
      </c>
      <c r="G128" s="340">
        <v>14.522821576763485</v>
      </c>
      <c r="H128" s="340">
        <v>9.3109869646182499</v>
      </c>
      <c r="I128" s="340">
        <v>1.996007984031936</v>
      </c>
      <c r="J128" s="340">
        <v>4.032258064516129</v>
      </c>
      <c r="K128" s="340">
        <v>8</v>
      </c>
      <c r="L128" s="340">
        <v>6.2893081761006293</v>
      </c>
      <c r="M128" s="340">
        <v>7.6335877862595414</v>
      </c>
      <c r="N128" s="340">
        <v>2.197802197802198</v>
      </c>
      <c r="O128" s="340">
        <v>12.987012987012989</v>
      </c>
      <c r="P128" s="340">
        <v>7.4441687344913152</v>
      </c>
      <c r="Q128" s="340">
        <v>14.962593516209475</v>
      </c>
    </row>
    <row r="129" spans="3:17" ht="18.75" x14ac:dyDescent="0.4">
      <c r="C129" s="2567"/>
      <c r="D129" s="391" t="s">
        <v>819</v>
      </c>
      <c r="E129" s="340">
        <v>20.527859237536656</v>
      </c>
      <c r="F129" s="340">
        <v>11.188811188811188</v>
      </c>
      <c r="G129" s="340">
        <v>12.360939431396785</v>
      </c>
      <c r="H129" s="340">
        <v>2.9455081001472752</v>
      </c>
      <c r="I129" s="340">
        <v>9.8870056497175156</v>
      </c>
      <c r="J129" s="340">
        <v>7.2046109510086449</v>
      </c>
      <c r="K129" s="340">
        <v>9.0909090909090899</v>
      </c>
      <c r="L129" s="340">
        <v>10.574018126888218</v>
      </c>
      <c r="M129" s="340">
        <v>9.6930533117932143</v>
      </c>
      <c r="N129" s="340">
        <v>12.658227848101266</v>
      </c>
      <c r="O129" s="340">
        <v>8.2304526748971192</v>
      </c>
      <c r="P129" s="340">
        <v>22.267206477732792</v>
      </c>
      <c r="Q129" s="340">
        <v>7.5949367088607591</v>
      </c>
    </row>
    <row r="130" spans="3:17" ht="18.75" x14ac:dyDescent="0.4">
      <c r="C130" s="2567"/>
      <c r="D130" s="391" t="s">
        <v>820</v>
      </c>
      <c r="E130" s="340">
        <v>12.820512820512819</v>
      </c>
      <c r="F130" s="340">
        <v>17.142857142857142</v>
      </c>
      <c r="G130" s="340">
        <v>23.255813953488371</v>
      </c>
      <c r="H130" s="340">
        <v>19.280205655526991</v>
      </c>
      <c r="I130" s="340">
        <v>21.464646464646464</v>
      </c>
      <c r="J130" s="340">
        <v>16.709511568123393</v>
      </c>
      <c r="K130" s="340">
        <v>10.596026490066226</v>
      </c>
      <c r="L130" s="340">
        <v>14.473684210526315</v>
      </c>
      <c r="M130" s="340">
        <v>21.192052980132452</v>
      </c>
      <c r="N130" s="340">
        <v>19.005847953216374</v>
      </c>
      <c r="O130" s="340">
        <v>8.2101806239737272</v>
      </c>
      <c r="P130" s="340">
        <v>3.3670033670033668</v>
      </c>
      <c r="Q130" s="340">
        <v>23.48993288590604</v>
      </c>
    </row>
    <row r="131" spans="3:17" ht="18.75" x14ac:dyDescent="0.4">
      <c r="C131" s="2567"/>
      <c r="D131" s="391" t="s">
        <v>821</v>
      </c>
      <c r="E131" s="340">
        <v>7.3529411764705879</v>
      </c>
      <c r="F131" s="340">
        <v>6.666666666666667</v>
      </c>
      <c r="G131" s="340">
        <v>7.2727272727272725</v>
      </c>
      <c r="H131" s="340">
        <v>3.8314176245210727</v>
      </c>
      <c r="I131" s="340">
        <v>10.869565217391305</v>
      </c>
      <c r="J131" s="340">
        <v>3.6363636363636362</v>
      </c>
      <c r="K131" s="340">
        <v>13.114754098360656</v>
      </c>
      <c r="L131" s="340">
        <v>7.2727272727272725</v>
      </c>
      <c r="M131" s="340">
        <v>3.3003300330033003</v>
      </c>
      <c r="N131" s="392" t="s">
        <v>751</v>
      </c>
      <c r="O131" s="340">
        <v>7.6335877862595414</v>
      </c>
      <c r="P131" s="340">
        <v>3.9840637450199203</v>
      </c>
      <c r="Q131" s="340">
        <v>15.209125475285171</v>
      </c>
    </row>
    <row r="132" spans="3:17" ht="18.75" x14ac:dyDescent="0.4">
      <c r="C132" s="2567"/>
      <c r="D132" s="391" t="s">
        <v>822</v>
      </c>
      <c r="E132" s="340">
        <v>19.37046004842615</v>
      </c>
      <c r="F132" s="340">
        <v>3.4403669724770642</v>
      </c>
      <c r="G132" s="340">
        <v>11.508951406649617</v>
      </c>
      <c r="H132" s="340">
        <v>11.889035667107001</v>
      </c>
      <c r="I132" s="340">
        <v>10.178117048346056</v>
      </c>
      <c r="J132" s="340">
        <v>4.1265474552957357</v>
      </c>
      <c r="K132" s="340">
        <v>14.124293785310734</v>
      </c>
      <c r="L132" s="340">
        <v>9.9715099715099722</v>
      </c>
      <c r="M132" s="340">
        <v>9.9431818181818183</v>
      </c>
      <c r="N132" s="340">
        <v>11.235955056179774</v>
      </c>
      <c r="O132" s="340">
        <v>8.7565674255691768</v>
      </c>
      <c r="P132" s="340">
        <v>14.8975791433892</v>
      </c>
      <c r="Q132" s="340">
        <v>10.434782608695652</v>
      </c>
    </row>
    <row r="133" spans="3:17" ht="18.75" x14ac:dyDescent="0.4">
      <c r="C133" s="2567"/>
      <c r="D133" s="391" t="s">
        <v>823</v>
      </c>
      <c r="E133" s="340">
        <v>7.5757575757575761</v>
      </c>
      <c r="F133" s="340">
        <v>4.6620046620046622</v>
      </c>
      <c r="G133" s="340">
        <v>10.230179028132993</v>
      </c>
      <c r="H133" s="340">
        <v>4.8192771084337354</v>
      </c>
      <c r="I133" s="340">
        <v>11.76470588235294</v>
      </c>
      <c r="J133" s="340">
        <v>14.563106796116505</v>
      </c>
      <c r="K133" s="340">
        <v>4.6511627906976747</v>
      </c>
      <c r="L133" s="340">
        <v>9.6385542168674707</v>
      </c>
      <c r="M133" s="340">
        <v>14.018691588785046</v>
      </c>
      <c r="N133" s="340">
        <v>7.0754716981132075</v>
      </c>
      <c r="O133" s="340">
        <v>12.285012285012284</v>
      </c>
      <c r="P133" s="340">
        <v>13.297872340425531</v>
      </c>
      <c r="Q133" s="340">
        <v>14.534883720930232</v>
      </c>
    </row>
    <row r="134" spans="3:17" ht="18.75" x14ac:dyDescent="0.4">
      <c r="C134" s="2567"/>
      <c r="D134" s="391" t="s">
        <v>824</v>
      </c>
      <c r="E134" s="391"/>
      <c r="F134" s="391"/>
      <c r="G134" s="391"/>
      <c r="H134" s="391"/>
      <c r="I134" s="391"/>
      <c r="J134" s="391"/>
      <c r="K134" s="391"/>
      <c r="L134" s="391"/>
      <c r="M134" s="391"/>
      <c r="N134" s="391"/>
      <c r="O134" s="391"/>
      <c r="P134" s="391"/>
      <c r="Q134" s="392" t="s">
        <v>751</v>
      </c>
    </row>
    <row r="135" spans="3:17" ht="18.75" x14ac:dyDescent="0.4">
      <c r="C135" s="2567"/>
      <c r="D135" s="391" t="s">
        <v>825</v>
      </c>
      <c r="E135" s="391"/>
      <c r="F135" s="391"/>
      <c r="G135" s="391"/>
      <c r="H135" s="391"/>
      <c r="I135" s="391"/>
      <c r="J135" s="391"/>
      <c r="K135" s="391"/>
      <c r="L135" s="391"/>
      <c r="M135" s="391"/>
      <c r="N135" s="391"/>
      <c r="O135" s="391"/>
      <c r="P135" s="391"/>
      <c r="Q135" s="340">
        <v>32.258064516129032</v>
      </c>
    </row>
    <row r="136" spans="3:17" ht="18.75" x14ac:dyDescent="0.4">
      <c r="C136" s="2567" t="s">
        <v>334</v>
      </c>
      <c r="D136" s="391" t="s">
        <v>334</v>
      </c>
      <c r="E136" s="340">
        <v>12.899896800825593</v>
      </c>
      <c r="F136" s="340">
        <v>18.545632015617375</v>
      </c>
      <c r="G136" s="340">
        <v>9.8478066248880936</v>
      </c>
      <c r="H136" s="340">
        <v>9.2421441774491697</v>
      </c>
      <c r="I136" s="340">
        <v>9.4621513944223103</v>
      </c>
      <c r="J136" s="340">
        <v>9.7943192948090108</v>
      </c>
      <c r="K136" s="340">
        <v>13.347022587268993</v>
      </c>
      <c r="L136" s="340">
        <v>12.208067940552018</v>
      </c>
      <c r="M136" s="340">
        <v>12.087912087912088</v>
      </c>
      <c r="N136" s="340">
        <v>14.98800959232614</v>
      </c>
      <c r="O136" s="340">
        <v>10.491803278688524</v>
      </c>
      <c r="P136" s="340">
        <v>14.573213046495489</v>
      </c>
      <c r="Q136" s="340">
        <v>16.973125884016973</v>
      </c>
    </row>
    <row r="137" spans="3:17" ht="18.75" x14ac:dyDescent="0.4">
      <c r="C137" s="2567"/>
      <c r="D137" s="391" t="s">
        <v>826</v>
      </c>
      <c r="E137" s="340">
        <v>12.658227848101266</v>
      </c>
      <c r="F137" s="340">
        <v>11.2876254180602</v>
      </c>
      <c r="G137" s="340">
        <v>10.407632263660018</v>
      </c>
      <c r="H137" s="340">
        <v>13.19710515112814</v>
      </c>
      <c r="I137" s="340">
        <v>9.5277547638773825</v>
      </c>
      <c r="J137" s="340">
        <v>9.3656875266070667</v>
      </c>
      <c r="K137" s="340">
        <v>9.9180681328158684</v>
      </c>
      <c r="L137" s="340">
        <v>6.4655172413793105</v>
      </c>
      <c r="M137" s="340">
        <v>9.429726088908847</v>
      </c>
      <c r="N137" s="340">
        <v>8.9020771513353125</v>
      </c>
      <c r="O137" s="340">
        <v>8.5082246171298923</v>
      </c>
      <c r="P137" s="340">
        <v>10.106681639528356</v>
      </c>
      <c r="Q137" s="340">
        <v>9.976525821596244</v>
      </c>
    </row>
    <row r="138" spans="3:17" ht="18.75" x14ac:dyDescent="0.4">
      <c r="C138" s="2567"/>
      <c r="D138" s="391" t="s">
        <v>827</v>
      </c>
      <c r="E138" s="340">
        <v>15.657620041753653</v>
      </c>
      <c r="F138" s="340">
        <v>3.6036036036036037</v>
      </c>
      <c r="G138" s="340">
        <v>9.5986038394415356</v>
      </c>
      <c r="H138" s="340">
        <v>6.6476733143399809</v>
      </c>
      <c r="I138" s="340">
        <v>11.090573012939002</v>
      </c>
      <c r="J138" s="340">
        <v>13.282732447817837</v>
      </c>
      <c r="K138" s="340">
        <v>9.375</v>
      </c>
      <c r="L138" s="340">
        <v>9.9601593625498008</v>
      </c>
      <c r="M138" s="340">
        <v>12.448132780082986</v>
      </c>
      <c r="N138" s="340">
        <v>9.4899169632265732</v>
      </c>
      <c r="O138" s="340">
        <v>3.6719706242350063</v>
      </c>
      <c r="P138" s="340">
        <v>6.2266500622665006</v>
      </c>
      <c r="Q138" s="340">
        <v>6.337135614702154</v>
      </c>
    </row>
    <row r="139" spans="3:17" ht="18.75" x14ac:dyDescent="0.4">
      <c r="C139" s="2567"/>
      <c r="D139" s="391" t="s">
        <v>828</v>
      </c>
      <c r="E139" s="340">
        <v>11.642949547218629</v>
      </c>
      <c r="F139" s="340">
        <v>14.030612244897959</v>
      </c>
      <c r="G139" s="340">
        <v>13.333333333333334</v>
      </c>
      <c r="H139" s="340">
        <v>20.496224379719528</v>
      </c>
      <c r="I139" s="340">
        <v>16.646848989298455</v>
      </c>
      <c r="J139" s="340">
        <v>21.363173957273652</v>
      </c>
      <c r="K139" s="340">
        <v>13.306038894575231</v>
      </c>
      <c r="L139" s="340">
        <v>17.837235228539576</v>
      </c>
      <c r="M139" s="340">
        <v>11.235955056179774</v>
      </c>
      <c r="N139" s="340">
        <v>21.59090909090909</v>
      </c>
      <c r="O139" s="340">
        <v>11.87335092348285</v>
      </c>
      <c r="P139" s="340">
        <v>14.976958525345621</v>
      </c>
      <c r="Q139" s="340">
        <v>16.3727959697733</v>
      </c>
    </row>
    <row r="140" spans="3:17" ht="18.75" x14ac:dyDescent="0.4">
      <c r="C140" s="2567"/>
      <c r="D140" s="391" t="s">
        <v>829</v>
      </c>
      <c r="E140" s="340">
        <v>10.34928848641656</v>
      </c>
      <c r="F140" s="340">
        <v>14.557670772676373</v>
      </c>
      <c r="G140" s="340">
        <v>6.9364161849710984</v>
      </c>
      <c r="H140" s="340">
        <v>14.598540145985401</v>
      </c>
      <c r="I140" s="340">
        <v>7.050528789659225</v>
      </c>
      <c r="J140" s="340">
        <v>10.66350710900474</v>
      </c>
      <c r="K140" s="340">
        <v>13.630731102850062</v>
      </c>
      <c r="L140" s="340">
        <v>7.5757575757575761</v>
      </c>
      <c r="M140" s="340">
        <v>6.1124694376528126</v>
      </c>
      <c r="N140" s="340">
        <v>5.547850208044383</v>
      </c>
      <c r="O140" s="340">
        <v>13.432835820895523</v>
      </c>
      <c r="P140" s="340">
        <v>7.3099415204678362</v>
      </c>
      <c r="Q140" s="340">
        <v>11.308562197092083</v>
      </c>
    </row>
    <row r="141" spans="3:17" ht="18.75" x14ac:dyDescent="0.4">
      <c r="C141" s="2568"/>
      <c r="D141" s="395" t="s">
        <v>830</v>
      </c>
      <c r="E141" s="397">
        <v>7.3619631901840492</v>
      </c>
      <c r="F141" s="397">
        <v>4.7619047619047628</v>
      </c>
      <c r="G141" s="397">
        <v>9.9337748344370862</v>
      </c>
      <c r="H141" s="397">
        <v>12.484394506866415</v>
      </c>
      <c r="I141" s="397">
        <v>7.4074074074074074</v>
      </c>
      <c r="J141" s="397">
        <v>11.834319526627219</v>
      </c>
      <c r="K141" s="397">
        <v>15.384615384615385</v>
      </c>
      <c r="L141" s="397">
        <v>12.145748987854251</v>
      </c>
      <c r="M141" s="397">
        <v>12.211668928086839</v>
      </c>
      <c r="N141" s="397">
        <v>10.638297872340425</v>
      </c>
      <c r="O141" s="397">
        <v>18.575851393188852</v>
      </c>
      <c r="P141" s="397">
        <v>4.7021943573667713</v>
      </c>
      <c r="Q141" s="397">
        <v>10.033444816053512</v>
      </c>
    </row>
    <row r="142" spans="3:17" ht="18.75" x14ac:dyDescent="0.4">
      <c r="C142" s="5" t="s">
        <v>831</v>
      </c>
      <c r="D142" s="5"/>
      <c r="E142" s="5"/>
      <c r="F142" s="5"/>
      <c r="G142" s="5"/>
      <c r="H142" s="5"/>
      <c r="I142" s="5"/>
      <c r="J142" s="5"/>
      <c r="K142" s="5"/>
      <c r="L142" s="5"/>
      <c r="M142" s="5"/>
      <c r="N142" s="5"/>
      <c r="O142" s="5"/>
      <c r="P142" s="5"/>
    </row>
  </sheetData>
  <mergeCells count="22">
    <mergeCell ref="E13:K27"/>
    <mergeCell ref="A5:B5"/>
    <mergeCell ref="C5:X5"/>
    <mergeCell ref="C1:D1"/>
    <mergeCell ref="A3:B3"/>
    <mergeCell ref="C3:X3"/>
    <mergeCell ref="A4:B4"/>
    <mergeCell ref="C4:X4"/>
    <mergeCell ref="A6:B6"/>
    <mergeCell ref="C6:X6"/>
    <mergeCell ref="C11:C12"/>
    <mergeCell ref="D11:D12"/>
    <mergeCell ref="E11:K11"/>
    <mergeCell ref="M11:N11"/>
    <mergeCell ref="P11:AD11"/>
    <mergeCell ref="C136:C141"/>
    <mergeCell ref="C58:C77"/>
    <mergeCell ref="C78:C93"/>
    <mergeCell ref="C94:C101"/>
    <mergeCell ref="C102:C111"/>
    <mergeCell ref="C112:C122"/>
    <mergeCell ref="C123:C135"/>
  </mergeCells>
  <conditionalFormatting sqref="P128">
    <cfRule type="cellIs" dxfId="917" priority="85" operator="equal">
      <formula>0</formula>
    </cfRule>
  </conditionalFormatting>
  <conditionalFormatting sqref="E58:P58">
    <cfRule type="cellIs" dxfId="916" priority="84" operator="equal">
      <formula>0</formula>
    </cfRule>
  </conditionalFormatting>
  <conditionalFormatting sqref="E59:P59">
    <cfRule type="cellIs" dxfId="915" priority="83" operator="equal">
      <formula>0</formula>
    </cfRule>
  </conditionalFormatting>
  <conditionalFormatting sqref="E60:P60">
    <cfRule type="cellIs" dxfId="914" priority="82" operator="equal">
      <formula>0</formula>
    </cfRule>
  </conditionalFormatting>
  <conditionalFormatting sqref="E61:P61">
    <cfRule type="cellIs" dxfId="913" priority="81" operator="equal">
      <formula>0</formula>
    </cfRule>
  </conditionalFormatting>
  <conditionalFormatting sqref="E62:P62">
    <cfRule type="cellIs" dxfId="912" priority="80" operator="equal">
      <formula>0</formula>
    </cfRule>
  </conditionalFormatting>
  <conditionalFormatting sqref="E63:P63">
    <cfRule type="cellIs" dxfId="911" priority="79" operator="equal">
      <formula>0</formula>
    </cfRule>
  </conditionalFormatting>
  <conditionalFormatting sqref="E64:P64">
    <cfRule type="cellIs" dxfId="910" priority="78" operator="equal">
      <formula>0</formula>
    </cfRule>
  </conditionalFormatting>
  <conditionalFormatting sqref="E65:P65">
    <cfRule type="cellIs" dxfId="909" priority="77" operator="equal">
      <formula>0</formula>
    </cfRule>
  </conditionalFormatting>
  <conditionalFormatting sqref="E66:P66">
    <cfRule type="cellIs" dxfId="908" priority="76" operator="equal">
      <formula>0</formula>
    </cfRule>
  </conditionalFormatting>
  <conditionalFormatting sqref="E67:P67">
    <cfRule type="cellIs" dxfId="907" priority="75" operator="equal">
      <formula>0</formula>
    </cfRule>
  </conditionalFormatting>
  <conditionalFormatting sqref="E68:P68">
    <cfRule type="cellIs" dxfId="906" priority="74" operator="equal">
      <formula>0</formula>
    </cfRule>
  </conditionalFormatting>
  <conditionalFormatting sqref="E69:P69">
    <cfRule type="cellIs" dxfId="905" priority="73" operator="equal">
      <formula>0</formula>
    </cfRule>
  </conditionalFormatting>
  <conditionalFormatting sqref="E70:P70">
    <cfRule type="cellIs" dxfId="904" priority="72" operator="equal">
      <formula>0</formula>
    </cfRule>
  </conditionalFormatting>
  <conditionalFormatting sqref="E71:P71">
    <cfRule type="cellIs" dxfId="903" priority="71" operator="equal">
      <formula>0</formula>
    </cfRule>
  </conditionalFormatting>
  <conditionalFormatting sqref="E72:P72">
    <cfRule type="cellIs" dxfId="902" priority="70" operator="equal">
      <formula>0</formula>
    </cfRule>
  </conditionalFormatting>
  <conditionalFormatting sqref="E73:P73">
    <cfRule type="cellIs" dxfId="901" priority="69" operator="equal">
      <formula>0</formula>
    </cfRule>
  </conditionalFormatting>
  <conditionalFormatting sqref="E74:P74">
    <cfRule type="cellIs" dxfId="900" priority="68" operator="equal">
      <formula>0</formula>
    </cfRule>
  </conditionalFormatting>
  <conditionalFormatting sqref="E75:P75">
    <cfRule type="cellIs" dxfId="899" priority="67" operator="equal">
      <formula>0</formula>
    </cfRule>
  </conditionalFormatting>
  <conditionalFormatting sqref="E76:P76">
    <cfRule type="cellIs" dxfId="898" priority="66" operator="equal">
      <formula>0</formula>
    </cfRule>
  </conditionalFormatting>
  <conditionalFormatting sqref="E77:P77">
    <cfRule type="cellIs" dxfId="897" priority="65" operator="equal">
      <formula>0</formula>
    </cfRule>
  </conditionalFormatting>
  <conditionalFormatting sqref="E78:P78">
    <cfRule type="cellIs" dxfId="896" priority="64" operator="equal">
      <formula>0</formula>
    </cfRule>
  </conditionalFormatting>
  <conditionalFormatting sqref="E79:P79">
    <cfRule type="cellIs" dxfId="895" priority="63" operator="equal">
      <formula>0</formula>
    </cfRule>
  </conditionalFormatting>
  <conditionalFormatting sqref="E80:P80">
    <cfRule type="cellIs" dxfId="894" priority="62" operator="equal">
      <formula>0</formula>
    </cfRule>
  </conditionalFormatting>
  <conditionalFormatting sqref="E81:P81">
    <cfRule type="cellIs" dxfId="893" priority="61" operator="equal">
      <formula>0</formula>
    </cfRule>
  </conditionalFormatting>
  <conditionalFormatting sqref="E82:P82">
    <cfRule type="cellIs" dxfId="892" priority="60" operator="equal">
      <formula>0</formula>
    </cfRule>
  </conditionalFormatting>
  <conditionalFormatting sqref="E83:P83">
    <cfRule type="cellIs" dxfId="891" priority="59" operator="equal">
      <formula>0</formula>
    </cfRule>
  </conditionalFormatting>
  <conditionalFormatting sqref="E84:P84">
    <cfRule type="cellIs" dxfId="890" priority="58" operator="equal">
      <formula>0</formula>
    </cfRule>
  </conditionalFormatting>
  <conditionalFormatting sqref="E85:P85">
    <cfRule type="cellIs" dxfId="889" priority="57" operator="equal">
      <formula>0</formula>
    </cfRule>
  </conditionalFormatting>
  <conditionalFormatting sqref="E86:P86">
    <cfRule type="cellIs" dxfId="888" priority="56" operator="equal">
      <formula>0</formula>
    </cfRule>
  </conditionalFormatting>
  <conditionalFormatting sqref="E87:P87">
    <cfRule type="cellIs" dxfId="887" priority="55" operator="equal">
      <formula>0</formula>
    </cfRule>
  </conditionalFormatting>
  <conditionalFormatting sqref="E88:P88">
    <cfRule type="cellIs" dxfId="886" priority="54" operator="equal">
      <formula>0</formula>
    </cfRule>
  </conditionalFormatting>
  <conditionalFormatting sqref="E89:P89">
    <cfRule type="cellIs" dxfId="885" priority="53" operator="equal">
      <formula>0</formula>
    </cfRule>
  </conditionalFormatting>
  <conditionalFormatting sqref="E90:P90">
    <cfRule type="cellIs" dxfId="884" priority="52" operator="equal">
      <formula>0</formula>
    </cfRule>
  </conditionalFormatting>
  <conditionalFormatting sqref="E91:P91">
    <cfRule type="cellIs" dxfId="883" priority="51" operator="equal">
      <formula>0</formula>
    </cfRule>
  </conditionalFormatting>
  <conditionalFormatting sqref="E92:P92">
    <cfRule type="cellIs" dxfId="882" priority="50" operator="equal">
      <formula>0</formula>
    </cfRule>
  </conditionalFormatting>
  <conditionalFormatting sqref="E93:P93">
    <cfRule type="cellIs" dxfId="881" priority="49" operator="equal">
      <formula>0</formula>
    </cfRule>
  </conditionalFormatting>
  <conditionalFormatting sqref="E94:P94">
    <cfRule type="cellIs" dxfId="880" priority="48" operator="equal">
      <formula>0</formula>
    </cfRule>
  </conditionalFormatting>
  <conditionalFormatting sqref="E95:P95">
    <cfRule type="cellIs" dxfId="879" priority="47" operator="equal">
      <formula>0</formula>
    </cfRule>
  </conditionalFormatting>
  <conditionalFormatting sqref="E96:P96">
    <cfRule type="cellIs" dxfId="878" priority="46" operator="equal">
      <formula>0</formula>
    </cfRule>
  </conditionalFormatting>
  <conditionalFormatting sqref="E97:P97">
    <cfRule type="cellIs" dxfId="877" priority="45" operator="equal">
      <formula>0</formula>
    </cfRule>
  </conditionalFormatting>
  <conditionalFormatting sqref="E98:P98">
    <cfRule type="cellIs" dxfId="876" priority="44" operator="equal">
      <formula>0</formula>
    </cfRule>
  </conditionalFormatting>
  <conditionalFormatting sqref="E99:P99">
    <cfRule type="cellIs" dxfId="875" priority="43" operator="equal">
      <formula>0</formula>
    </cfRule>
  </conditionalFormatting>
  <conditionalFormatting sqref="E100:P100">
    <cfRule type="cellIs" dxfId="874" priority="42" operator="equal">
      <formula>0</formula>
    </cfRule>
  </conditionalFormatting>
  <conditionalFormatting sqref="E101:P101">
    <cfRule type="cellIs" dxfId="873" priority="41" operator="equal">
      <formula>0</formula>
    </cfRule>
  </conditionalFormatting>
  <conditionalFormatting sqref="E102:P102">
    <cfRule type="cellIs" dxfId="872" priority="40" operator="equal">
      <formula>0</formula>
    </cfRule>
  </conditionalFormatting>
  <conditionalFormatting sqref="E103:P103">
    <cfRule type="cellIs" dxfId="871" priority="39" operator="equal">
      <formula>0</formula>
    </cfRule>
  </conditionalFormatting>
  <conditionalFormatting sqref="E104:P104">
    <cfRule type="cellIs" dxfId="870" priority="38" operator="equal">
      <formula>0</formula>
    </cfRule>
  </conditionalFormatting>
  <conditionalFormatting sqref="E105:P105">
    <cfRule type="cellIs" dxfId="869" priority="37" operator="equal">
      <formula>0</formula>
    </cfRule>
  </conditionalFormatting>
  <conditionalFormatting sqref="E106:P106">
    <cfRule type="cellIs" dxfId="868" priority="36" operator="equal">
      <formula>0</formula>
    </cfRule>
  </conditionalFormatting>
  <conditionalFormatting sqref="E107:P107">
    <cfRule type="cellIs" dxfId="867" priority="35" operator="equal">
      <formula>0</formula>
    </cfRule>
  </conditionalFormatting>
  <conditionalFormatting sqref="E108:P108">
    <cfRule type="cellIs" dxfId="866" priority="34" operator="equal">
      <formula>0</formula>
    </cfRule>
  </conditionalFormatting>
  <conditionalFormatting sqref="E109:P109">
    <cfRule type="cellIs" dxfId="865" priority="33" operator="equal">
      <formula>0</formula>
    </cfRule>
  </conditionalFormatting>
  <conditionalFormatting sqref="E110:P110">
    <cfRule type="cellIs" dxfId="864" priority="32" operator="equal">
      <formula>0</formula>
    </cfRule>
  </conditionalFormatting>
  <conditionalFormatting sqref="E111:P111">
    <cfRule type="cellIs" dxfId="863" priority="31" operator="equal">
      <formula>0</formula>
    </cfRule>
  </conditionalFormatting>
  <conditionalFormatting sqref="E112:P112">
    <cfRule type="cellIs" dxfId="862" priority="30" operator="equal">
      <formula>0</formula>
    </cfRule>
  </conditionalFormatting>
  <conditionalFormatting sqref="E113:P113">
    <cfRule type="cellIs" dxfId="861" priority="29" operator="equal">
      <formula>0</formula>
    </cfRule>
  </conditionalFormatting>
  <conditionalFormatting sqref="E114:P114">
    <cfRule type="cellIs" dxfId="860" priority="28" operator="equal">
      <formula>0</formula>
    </cfRule>
  </conditionalFormatting>
  <conditionalFormatting sqref="E115:P115">
    <cfRule type="cellIs" dxfId="859" priority="27" operator="equal">
      <formula>0</formula>
    </cfRule>
  </conditionalFormatting>
  <conditionalFormatting sqref="E116:P116">
    <cfRule type="cellIs" dxfId="858" priority="26" operator="equal">
      <formula>0</formula>
    </cfRule>
  </conditionalFormatting>
  <conditionalFormatting sqref="E117:P117">
    <cfRule type="cellIs" dxfId="857" priority="25" operator="equal">
      <formula>0</formula>
    </cfRule>
  </conditionalFormatting>
  <conditionalFormatting sqref="E118:P118">
    <cfRule type="cellIs" dxfId="856" priority="24" operator="equal">
      <formula>0</formula>
    </cfRule>
  </conditionalFormatting>
  <conditionalFormatting sqref="E119:P119">
    <cfRule type="cellIs" dxfId="855" priority="23" operator="equal">
      <formula>0</formula>
    </cfRule>
  </conditionalFormatting>
  <conditionalFormatting sqref="E120:P120">
    <cfRule type="cellIs" dxfId="854" priority="22" operator="equal">
      <formula>0</formula>
    </cfRule>
  </conditionalFormatting>
  <conditionalFormatting sqref="E121:P121">
    <cfRule type="cellIs" dxfId="853" priority="21" operator="equal">
      <formula>0</formula>
    </cfRule>
  </conditionalFormatting>
  <conditionalFormatting sqref="E122:P122">
    <cfRule type="cellIs" dxfId="852" priority="20" operator="equal">
      <formula>0</formula>
    </cfRule>
  </conditionalFormatting>
  <conditionalFormatting sqref="E123:P123">
    <cfRule type="cellIs" dxfId="851" priority="19" operator="equal">
      <formula>0</formula>
    </cfRule>
  </conditionalFormatting>
  <conditionalFormatting sqref="E124:P124">
    <cfRule type="cellIs" dxfId="850" priority="18" operator="equal">
      <formula>0</formula>
    </cfRule>
  </conditionalFormatting>
  <conditionalFormatting sqref="E125:P125">
    <cfRule type="cellIs" dxfId="849" priority="17" operator="equal">
      <formula>0</formula>
    </cfRule>
  </conditionalFormatting>
  <conditionalFormatting sqref="E126:P126">
    <cfRule type="cellIs" dxfId="848" priority="16" operator="equal">
      <formula>0</formula>
    </cfRule>
  </conditionalFormatting>
  <conditionalFormatting sqref="E127:P127">
    <cfRule type="cellIs" dxfId="847" priority="15" operator="equal">
      <formula>0</formula>
    </cfRule>
  </conditionalFormatting>
  <conditionalFormatting sqref="E128:O128">
    <cfRule type="cellIs" dxfId="846" priority="14" operator="equal">
      <formula>0</formula>
    </cfRule>
  </conditionalFormatting>
  <conditionalFormatting sqref="E129:P129">
    <cfRule type="cellIs" dxfId="845" priority="13" operator="equal">
      <formula>0</formula>
    </cfRule>
  </conditionalFormatting>
  <conditionalFormatting sqref="E130:P130">
    <cfRule type="cellIs" dxfId="844" priority="12" operator="equal">
      <formula>0</formula>
    </cfRule>
  </conditionalFormatting>
  <conditionalFormatting sqref="E131:P131">
    <cfRule type="cellIs" dxfId="843" priority="11" operator="equal">
      <formula>0</formula>
    </cfRule>
  </conditionalFormatting>
  <conditionalFormatting sqref="E132:P132">
    <cfRule type="cellIs" dxfId="842" priority="10" operator="equal">
      <formula>0</formula>
    </cfRule>
  </conditionalFormatting>
  <conditionalFormatting sqref="E133:P133">
    <cfRule type="cellIs" dxfId="841" priority="9" operator="equal">
      <formula>0</formula>
    </cfRule>
  </conditionalFormatting>
  <conditionalFormatting sqref="E136:P136">
    <cfRule type="cellIs" dxfId="840" priority="8" operator="equal">
      <formula>0</formula>
    </cfRule>
  </conditionalFormatting>
  <conditionalFormatting sqref="E137:P137">
    <cfRule type="cellIs" dxfId="839" priority="7" operator="equal">
      <formula>0</formula>
    </cfRule>
  </conditionalFormatting>
  <conditionalFormatting sqref="E138:P138">
    <cfRule type="cellIs" dxfId="838" priority="6" operator="equal">
      <formula>0</formula>
    </cfRule>
  </conditionalFormatting>
  <conditionalFormatting sqref="E139:P139">
    <cfRule type="cellIs" dxfId="837" priority="5" operator="equal">
      <formula>0</formula>
    </cfRule>
  </conditionalFormatting>
  <conditionalFormatting sqref="E140:P140">
    <cfRule type="cellIs" dxfId="836" priority="4" operator="equal">
      <formula>0</formula>
    </cfRule>
  </conditionalFormatting>
  <conditionalFormatting sqref="E141:P141">
    <cfRule type="cellIs" dxfId="835" priority="3" operator="equal">
      <formula>0</formula>
    </cfRule>
  </conditionalFormatting>
  <conditionalFormatting sqref="Q60:Q140">
    <cfRule type="cellIs" dxfId="834" priority="2" operator="equal">
      <formula>0</formula>
    </cfRule>
  </conditionalFormatting>
  <conditionalFormatting sqref="Q141">
    <cfRule type="cellIs" dxfId="833" priority="1" operator="equal">
      <formula>0</formula>
    </cfRule>
  </conditionalFormatting>
  <hyperlinks>
    <hyperlink ref="A1" location="'ODS 3.'!A1" display="REGRESAR" xr:uid="{43DD8FCF-EDC4-4A32-A2E2-224A532EBB15}"/>
    <hyperlink ref="C1" location="'Metadato 3.2.1'!A1" display="VER METADATO" xr:uid="{BF182690-CE2F-4BF0-B95E-D5D3C8BAD8DF}"/>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2160-8C9C-4F7E-AF65-6F89F6CD3550}">
  <sheetPr>
    <tabColor theme="0" tint="-0.499984740745262"/>
  </sheetPr>
  <dimension ref="B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9.2851562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2:6" x14ac:dyDescent="0.25">
      <c r="B1" s="223" t="s">
        <v>39</v>
      </c>
    </row>
    <row r="2" spans="2:6" ht="19.5" thickBot="1" x14ac:dyDescent="0.3"/>
    <row r="3" spans="2:6" ht="23.25" customHeight="1" thickBot="1" x14ac:dyDescent="0.3">
      <c r="B3" s="2604" t="s">
        <v>75</v>
      </c>
      <c r="C3" s="2604"/>
      <c r="D3" s="2604"/>
      <c r="F3" s="91" t="s">
        <v>76</v>
      </c>
    </row>
    <row r="4" spans="2:6" ht="18" customHeight="1" x14ac:dyDescent="0.25">
      <c r="B4" s="2445" t="s">
        <v>234</v>
      </c>
      <c r="C4" s="2445"/>
      <c r="D4" s="49" t="s">
        <v>832</v>
      </c>
    </row>
    <row r="5" spans="2:6" ht="56.25" x14ac:dyDescent="0.25">
      <c r="B5" s="2445" t="s">
        <v>79</v>
      </c>
      <c r="C5" s="2445"/>
      <c r="D5" s="49" t="s">
        <v>667</v>
      </c>
    </row>
    <row r="6" spans="2:6" x14ac:dyDescent="0.25">
      <c r="B6" s="2445" t="s">
        <v>80</v>
      </c>
      <c r="C6" s="2445"/>
      <c r="D6" s="50" t="s">
        <v>668</v>
      </c>
    </row>
    <row r="7" spans="2:6" ht="15" customHeight="1" x14ac:dyDescent="0.25">
      <c r="B7" s="2446" t="s">
        <v>81</v>
      </c>
      <c r="C7" s="2446"/>
      <c r="D7" s="93" t="s">
        <v>669</v>
      </c>
    </row>
    <row r="8" spans="2:6" ht="15" customHeight="1" x14ac:dyDescent="0.25">
      <c r="B8" s="2446" t="s">
        <v>165</v>
      </c>
      <c r="C8" s="2446"/>
      <c r="D8" s="94" t="s">
        <v>912</v>
      </c>
    </row>
    <row r="9" spans="2:6" x14ac:dyDescent="0.4">
      <c r="B9" s="5"/>
      <c r="C9" s="5"/>
      <c r="D9" s="5"/>
    </row>
    <row r="10" spans="2:6" ht="23.25" customHeight="1" x14ac:dyDescent="0.25">
      <c r="B10" s="2591" t="s">
        <v>85</v>
      </c>
      <c r="C10" s="2592"/>
      <c r="D10" s="2593"/>
    </row>
    <row r="11" spans="2:6" x14ac:dyDescent="0.25">
      <c r="B11" s="2453" t="s">
        <v>86</v>
      </c>
      <c r="C11" s="2454"/>
      <c r="D11" s="49" t="s">
        <v>167</v>
      </c>
    </row>
    <row r="12" spans="2:6" ht="15.75" customHeight="1" x14ac:dyDescent="0.25">
      <c r="B12" s="2455" t="s">
        <v>88</v>
      </c>
      <c r="C12" s="2455"/>
      <c r="D12" s="169" t="s">
        <v>913</v>
      </c>
    </row>
    <row r="13" spans="2:6" x14ac:dyDescent="0.25">
      <c r="B13" s="2445" t="s">
        <v>90</v>
      </c>
      <c r="C13" s="2445"/>
      <c r="D13" s="54" t="s">
        <v>668</v>
      </c>
    </row>
    <row r="14" spans="2:6" x14ac:dyDescent="0.25">
      <c r="B14" s="2445" t="s">
        <v>91</v>
      </c>
      <c r="C14" s="2456"/>
      <c r="D14" s="54" t="s">
        <v>92</v>
      </c>
    </row>
    <row r="15" spans="2:6" ht="75" x14ac:dyDescent="0.25">
      <c r="B15" s="2445" t="s">
        <v>93</v>
      </c>
      <c r="C15" s="2445"/>
      <c r="D15" s="56" t="s">
        <v>914</v>
      </c>
    </row>
    <row r="16" spans="2:6" ht="49.5" customHeight="1" x14ac:dyDescent="0.25">
      <c r="B16" s="2445" t="s">
        <v>95</v>
      </c>
      <c r="C16" s="2445"/>
      <c r="D16" s="401"/>
    </row>
    <row r="17" spans="2:4" x14ac:dyDescent="0.25">
      <c r="B17" s="2445" t="s">
        <v>97</v>
      </c>
      <c r="C17" s="2445"/>
      <c r="D17" s="56" t="s">
        <v>915</v>
      </c>
    </row>
    <row r="18" spans="2:4" x14ac:dyDescent="0.25">
      <c r="B18" s="2446" t="s">
        <v>99</v>
      </c>
      <c r="C18" s="2446"/>
      <c r="D18" s="49" t="s">
        <v>916</v>
      </c>
    </row>
    <row r="19" spans="2:4" ht="37.5" x14ac:dyDescent="0.25">
      <c r="B19" s="2457" t="s">
        <v>100</v>
      </c>
      <c r="C19" s="2458"/>
      <c r="D19" s="56" t="s">
        <v>917</v>
      </c>
    </row>
    <row r="20" spans="2:4" x14ac:dyDescent="0.25">
      <c r="B20" s="2445" t="s">
        <v>102</v>
      </c>
      <c r="C20" s="2445"/>
      <c r="D20" s="56" t="s">
        <v>140</v>
      </c>
    </row>
    <row r="21" spans="2:4" x14ac:dyDescent="0.25">
      <c r="B21" s="2451" t="s">
        <v>104</v>
      </c>
      <c r="C21" s="95" t="s">
        <v>105</v>
      </c>
      <c r="D21" s="49" t="s">
        <v>839</v>
      </c>
    </row>
    <row r="22" spans="2:4" x14ac:dyDescent="0.25">
      <c r="B22" s="2452"/>
      <c r="C22" s="96" t="s">
        <v>107</v>
      </c>
      <c r="D22" s="55" t="s">
        <v>918</v>
      </c>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x14ac:dyDescent="0.25">
      <c r="B27" s="2447" t="s">
        <v>117</v>
      </c>
      <c r="C27" s="2448"/>
      <c r="D27" s="49"/>
    </row>
    <row r="28" spans="2:4" ht="37.5" x14ac:dyDescent="0.25">
      <c r="B28" s="97" t="s">
        <v>118</v>
      </c>
      <c r="C28" s="98"/>
      <c r="D28" s="56" t="s">
        <v>921</v>
      </c>
    </row>
    <row r="29" spans="2:4" x14ac:dyDescent="0.25">
      <c r="B29" s="2449" t="s">
        <v>120</v>
      </c>
      <c r="C29" s="2450"/>
      <c r="D29" s="62"/>
    </row>
    <row r="30" spans="2:4" ht="12" customHeight="1" x14ac:dyDescent="0.25">
      <c r="B30" s="63"/>
      <c r="C30" s="63"/>
      <c r="D30" s="64"/>
    </row>
    <row r="31" spans="2:4" ht="23.25" customHeight="1" x14ac:dyDescent="0.25">
      <c r="B31" s="2591" t="s">
        <v>121</v>
      </c>
      <c r="C31" s="2592"/>
      <c r="D31" s="2593"/>
    </row>
    <row r="32" spans="2:4" x14ac:dyDescent="0.25">
      <c r="B32" s="2442" t="s">
        <v>122</v>
      </c>
      <c r="C32" s="2443"/>
      <c r="D32" s="59"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2DCA3C7C-4375-4358-A392-0D4ECB5D5E7A}"/>
    <dataValidation type="list" allowBlank="1" showInputMessage="1" showErrorMessage="1" sqref="D4" xr:uid="{F9AAEB32-DA19-424A-9BBA-FA9BC1A030FF}">
      <formula1>ODS</formula1>
    </dataValidation>
    <dataValidation type="list" allowBlank="1" showInputMessage="1" showErrorMessage="1" sqref="D5" xr:uid="{4355AC75-3884-4833-8CCD-5047FF2598BA}">
      <formula1>Metas_ODS</formula1>
    </dataValidation>
    <dataValidation type="list" allowBlank="1" showInputMessage="1" showErrorMessage="1" sqref="D6" xr:uid="{0C42FCF5-B5E5-4EE8-8FB8-0218C6A7D81F}">
      <formula1>Numero_indicador</formula1>
    </dataValidation>
    <dataValidation type="list" allowBlank="1" showInputMessage="1" showErrorMessage="1" sqref="D7" xr:uid="{FF49497F-C470-4101-9B94-4464B481CAD8}">
      <formula1>Nombre_indicador_ODS</formula1>
    </dataValidation>
  </dataValidations>
  <hyperlinks>
    <hyperlink ref="B1" location="'3.2.1'!A1" display="REGRESAR" xr:uid="{78E092DC-1CDA-44C3-A1E5-B71EF6835A84}"/>
    <hyperlink ref="D8" r:id="rId1" xr:uid="{1B4DD896-5694-44FE-AE4A-E44BC09866CD}"/>
  </hyperlinks>
  <pageMargins left="0.7" right="0.7" top="0.75" bottom="0.75" header="0.3" footer="0.3"/>
  <pageSetup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A58D-4B20-442E-98C2-611D1F02767E}">
  <dimension ref="A1:AG144"/>
  <sheetViews>
    <sheetView showGridLines="0" zoomScaleNormal="100" workbookViewId="0">
      <pane ySplit="1" topLeftCell="A2" activePane="bottomLeft" state="frozen"/>
      <selection activeCell="R16" sqref="R16"/>
      <selection pane="bottomLeft" activeCell="P12" sqref="P12"/>
    </sheetView>
  </sheetViews>
  <sheetFormatPr baseColWidth="10" defaultColWidth="11.42578125" defaultRowHeight="12.75" x14ac:dyDescent="0.25"/>
  <cols>
    <col min="1" max="1" width="15.5703125" style="22" customWidth="1"/>
    <col min="2" max="2" width="15.5703125" style="89" customWidth="1"/>
    <col min="3" max="3" width="8.7109375" style="22" customWidth="1"/>
    <col min="4" max="4" width="8.5703125" style="22" customWidth="1"/>
    <col min="5" max="6" width="7.28515625" style="22" customWidth="1"/>
    <col min="7" max="7" width="7" style="22" customWidth="1"/>
    <col min="8" max="8" width="7.7109375" style="22" customWidth="1"/>
    <col min="9" max="9" width="7.5703125" style="22" customWidth="1"/>
    <col min="10" max="10" width="8" style="22" customWidth="1"/>
    <col min="11" max="11" width="7.28515625" style="22" customWidth="1"/>
    <col min="12" max="12" width="9.28515625" style="22" customWidth="1"/>
    <col min="13" max="14" width="9.7109375" style="22" customWidth="1"/>
    <col min="15" max="15" width="6.42578125" style="22" customWidth="1"/>
    <col min="16" max="17" width="9.5703125" style="22" customWidth="1"/>
    <col min="18" max="18" width="8.7109375" style="22" customWidth="1"/>
    <col min="19" max="19" width="8.28515625" style="22" customWidth="1"/>
    <col min="20" max="21" width="10" style="22" customWidth="1"/>
    <col min="22" max="22" width="8" style="22" customWidth="1"/>
    <col min="23" max="23" width="2.5703125" style="22" customWidth="1"/>
    <col min="24" max="24" width="7.7109375" style="22" customWidth="1"/>
    <col min="25" max="25" width="8.42578125" style="22" customWidth="1"/>
    <col min="26" max="26" width="1.7109375" style="22" customWidth="1"/>
    <col min="27" max="28" width="11.42578125" style="22"/>
    <col min="29" max="29" width="12.28515625" style="22" customWidth="1"/>
    <col min="30" max="30" width="11.42578125" style="22"/>
    <col min="31" max="31" width="12.28515625" style="22" customWidth="1"/>
    <col min="32" max="32" width="11.28515625" style="22" customWidth="1"/>
    <col min="33" max="33" width="9" style="22" customWidth="1"/>
    <col min="34" max="16384" width="11.42578125" style="22"/>
  </cols>
  <sheetData>
    <row r="1" spans="1:33" s="16" customFormat="1" ht="19.5" x14ac:dyDescent="0.4">
      <c r="A1" s="15" t="s">
        <v>39</v>
      </c>
      <c r="B1" s="407"/>
      <c r="C1" s="2421" t="s">
        <v>40</v>
      </c>
      <c r="D1" s="2421"/>
    </row>
    <row r="2" spans="1:33" s="16" customFormat="1" ht="19.5" x14ac:dyDescent="0.4">
      <c r="B2" s="218"/>
    </row>
    <row r="3" spans="1:33" s="16" customFormat="1" ht="18.600000000000001"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c r="T3" s="2574"/>
      <c r="U3" s="2574"/>
      <c r="V3" s="2574"/>
      <c r="W3" s="2574"/>
    </row>
    <row r="4" spans="1:33" s="16" customFormat="1" ht="37.15" customHeight="1" x14ac:dyDescent="0.4">
      <c r="A4" s="2574" t="s">
        <v>42</v>
      </c>
      <c r="B4" s="2574"/>
      <c r="C4" s="2574" t="s">
        <v>667</v>
      </c>
      <c r="D4" s="2574"/>
      <c r="E4" s="2574"/>
      <c r="F4" s="2574"/>
      <c r="G4" s="2574"/>
      <c r="H4" s="2574"/>
      <c r="I4" s="2574"/>
      <c r="J4" s="2574"/>
      <c r="K4" s="2574"/>
      <c r="L4" s="2574"/>
      <c r="M4" s="2574"/>
      <c r="N4" s="2574"/>
      <c r="O4" s="2574"/>
      <c r="P4" s="2574"/>
      <c r="Q4" s="2574"/>
      <c r="R4" s="2574"/>
      <c r="S4" s="2574"/>
      <c r="T4" s="2574"/>
      <c r="U4" s="2574"/>
      <c r="V4" s="2574"/>
      <c r="W4" s="2574"/>
    </row>
    <row r="5" spans="1:33" s="16" customFormat="1" ht="17.25" customHeight="1" x14ac:dyDescent="0.4">
      <c r="A5" s="2574" t="s">
        <v>43</v>
      </c>
      <c r="B5" s="2574"/>
      <c r="C5" s="2574" t="s">
        <v>671</v>
      </c>
      <c r="D5" s="2574"/>
      <c r="E5" s="2574"/>
      <c r="F5" s="2574"/>
      <c r="G5" s="2574"/>
      <c r="H5" s="2574"/>
      <c r="I5" s="2574"/>
      <c r="J5" s="2574"/>
      <c r="K5" s="2574"/>
      <c r="L5" s="2574"/>
      <c r="M5" s="2574"/>
      <c r="N5" s="2574"/>
      <c r="O5" s="2574"/>
      <c r="P5" s="2574"/>
      <c r="Q5" s="2574"/>
      <c r="R5" s="2574"/>
      <c r="S5" s="2574"/>
      <c r="T5" s="2574"/>
      <c r="U5" s="2574"/>
      <c r="V5" s="2574"/>
      <c r="W5" s="2574"/>
    </row>
    <row r="6" spans="1:33" s="16" customFormat="1" ht="39" customHeight="1" x14ac:dyDescent="0.4">
      <c r="A6" s="2574" t="s">
        <v>132</v>
      </c>
      <c r="B6" s="2575"/>
      <c r="C6" s="2574" t="s">
        <v>923</v>
      </c>
      <c r="D6" s="2574"/>
      <c r="E6" s="2574"/>
      <c r="F6" s="2574"/>
      <c r="G6" s="2574"/>
      <c r="H6" s="2574"/>
      <c r="I6" s="2574"/>
      <c r="J6" s="2574"/>
      <c r="K6" s="2574"/>
      <c r="L6" s="2574"/>
      <c r="M6" s="2574"/>
      <c r="N6" s="2574"/>
      <c r="O6" s="2574"/>
      <c r="P6" s="2574"/>
      <c r="Q6" s="2574"/>
      <c r="R6" s="2574"/>
      <c r="S6" s="2574"/>
      <c r="T6" s="2574"/>
      <c r="U6" s="2574"/>
      <c r="V6" s="2574"/>
      <c r="W6" s="2574"/>
    </row>
    <row r="7" spans="1:33" s="16" customFormat="1" ht="19.5" x14ac:dyDescent="0.4">
      <c r="B7" s="218"/>
    </row>
    <row r="8" spans="1:33" s="16" customFormat="1" ht="19.5" x14ac:dyDescent="0.4">
      <c r="B8" s="218"/>
    </row>
    <row r="9" spans="1:33" s="16" customFormat="1" ht="19.5" x14ac:dyDescent="0.4">
      <c r="B9" s="218"/>
      <c r="C9" s="2605" t="s">
        <v>924</v>
      </c>
      <c r="D9" s="2605"/>
      <c r="E9" s="2605"/>
      <c r="F9" s="2605"/>
      <c r="G9" s="2605"/>
      <c r="H9" s="2605"/>
      <c r="I9" s="2605"/>
      <c r="J9" s="2605"/>
      <c r="K9" s="2605"/>
      <c r="L9" s="2605"/>
      <c r="M9" s="2605"/>
      <c r="N9" s="2605"/>
      <c r="O9" s="2605"/>
      <c r="P9" s="2605"/>
      <c r="Q9" s="2605"/>
      <c r="R9" s="2605"/>
      <c r="S9" s="2605"/>
      <c r="T9" s="2605"/>
      <c r="U9" s="2605"/>
      <c r="V9" s="2605"/>
      <c r="W9" s="2605"/>
      <c r="X9" s="2605"/>
      <c r="Y9" s="2605"/>
      <c r="Z9" s="2605"/>
      <c r="AA9" s="2605"/>
      <c r="AB9" s="2605"/>
      <c r="AC9" s="2605"/>
      <c r="AD9" s="2605"/>
      <c r="AE9" s="2605"/>
      <c r="AF9" s="2605"/>
      <c r="AG9" s="2605"/>
    </row>
    <row r="10" spans="1:33" ht="18.75" x14ac:dyDescent="0.25">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row>
    <row r="11" spans="1:33" ht="18.75" x14ac:dyDescent="0.25">
      <c r="C11" s="2576" t="s">
        <v>247</v>
      </c>
      <c r="D11" s="2578" t="s">
        <v>47</v>
      </c>
      <c r="E11" s="2581" t="s">
        <v>925</v>
      </c>
      <c r="F11" s="2581"/>
      <c r="G11" s="2581"/>
      <c r="H11" s="2581"/>
      <c r="I11" s="2581"/>
      <c r="J11" s="2581"/>
      <c r="K11" s="2581"/>
      <c r="L11" s="2581"/>
      <c r="M11" s="2581"/>
      <c r="N11" s="2581"/>
      <c r="O11" s="408"/>
      <c r="P11" s="2581" t="s">
        <v>8179</v>
      </c>
      <c r="Q11" s="2581"/>
      <c r="R11" s="2581"/>
      <c r="S11" s="2581"/>
      <c r="T11" s="2581"/>
      <c r="U11" s="2581"/>
      <c r="V11" s="2581"/>
      <c r="W11" s="408"/>
      <c r="X11" s="2581" t="s">
        <v>48</v>
      </c>
      <c r="Y11" s="2581"/>
      <c r="Z11" s="408"/>
      <c r="AA11" s="2581" t="s">
        <v>926</v>
      </c>
      <c r="AB11" s="2581"/>
      <c r="AC11" s="2581"/>
      <c r="AD11" s="2581"/>
      <c r="AE11" s="2581"/>
      <c r="AF11" s="2581"/>
      <c r="AG11" s="2581"/>
    </row>
    <row r="12" spans="1:33" ht="34.5" customHeight="1" x14ac:dyDescent="0.25">
      <c r="C12" s="2577"/>
      <c r="D12" s="2579"/>
      <c r="E12" s="412" t="s">
        <v>927</v>
      </c>
      <c r="F12" s="412" t="s">
        <v>928</v>
      </c>
      <c r="G12" s="412" t="s">
        <v>929</v>
      </c>
      <c r="H12" s="412" t="s">
        <v>930</v>
      </c>
      <c r="I12" s="412" t="s">
        <v>931</v>
      </c>
      <c r="J12" s="412" t="s">
        <v>932</v>
      </c>
      <c r="K12" s="412" t="s">
        <v>933</v>
      </c>
      <c r="L12" s="412" t="s">
        <v>934</v>
      </c>
      <c r="M12" s="412" t="s">
        <v>935</v>
      </c>
      <c r="N12" s="412" t="s">
        <v>936</v>
      </c>
      <c r="O12" s="412"/>
      <c r="P12" s="412" t="s">
        <v>328</v>
      </c>
      <c r="Q12" s="412" t="s">
        <v>329</v>
      </c>
      <c r="R12" s="412" t="s">
        <v>330</v>
      </c>
      <c r="S12" s="412" t="s">
        <v>331</v>
      </c>
      <c r="T12" s="412" t="s">
        <v>332</v>
      </c>
      <c r="U12" s="412" t="s">
        <v>533</v>
      </c>
      <c r="V12" s="412" t="s">
        <v>334</v>
      </c>
      <c r="W12" s="412"/>
      <c r="X12" s="412" t="s">
        <v>894</v>
      </c>
      <c r="Y12" s="412" t="s">
        <v>895</v>
      </c>
      <c r="Z12" s="412"/>
      <c r="AA12" s="412" t="s">
        <v>908</v>
      </c>
      <c r="AB12" s="412" t="s">
        <v>937</v>
      </c>
      <c r="AC12" s="412" t="s">
        <v>902</v>
      </c>
      <c r="AD12" s="412" t="s">
        <v>896</v>
      </c>
      <c r="AE12" s="412" t="s">
        <v>901</v>
      </c>
      <c r="AF12" s="412" t="s">
        <v>938</v>
      </c>
      <c r="AG12" s="412" t="s">
        <v>939</v>
      </c>
    </row>
    <row r="13" spans="1:33" ht="18.75" x14ac:dyDescent="0.4">
      <c r="C13" s="2378">
        <v>2010</v>
      </c>
      <c r="D13" s="413">
        <v>6.8243986351202732</v>
      </c>
      <c r="E13" s="414">
        <v>2.4956995008601002</v>
      </c>
      <c r="F13" s="413">
        <v>0.9587998082400383</v>
      </c>
      <c r="G13" s="413">
        <v>0.56399988720002259</v>
      </c>
      <c r="H13" s="413">
        <v>0.36659992668001468</v>
      </c>
      <c r="I13" s="413">
        <v>0.28199994360001129</v>
      </c>
      <c r="J13" s="413">
        <v>0.15509996898000619</v>
      </c>
      <c r="K13" s="413">
        <v>0.21149995770000846</v>
      </c>
      <c r="L13" s="413">
        <v>0.91649981670003666</v>
      </c>
      <c r="M13" s="413">
        <v>0.56399988720002259</v>
      </c>
      <c r="N13" s="413">
        <v>0.31019993796001238</v>
      </c>
      <c r="O13" s="413"/>
      <c r="P13" s="2603" t="s">
        <v>8178</v>
      </c>
      <c r="Q13" s="2603"/>
      <c r="R13" s="2603"/>
      <c r="S13" s="2603"/>
      <c r="T13" s="2603"/>
      <c r="U13" s="2603"/>
      <c r="V13" s="2603"/>
      <c r="W13" s="413"/>
      <c r="X13" s="413">
        <v>7.7510857017206307</v>
      </c>
      <c r="Y13" s="413">
        <v>5.848291835552982</v>
      </c>
      <c r="Z13" s="413"/>
      <c r="AA13" s="413">
        <v>4.2581991483601707</v>
      </c>
      <c r="AB13" s="413">
        <v>2.2559995488000903</v>
      </c>
      <c r="AC13" s="413">
        <v>8.4599983080003383E-2</v>
      </c>
      <c r="AD13" s="413">
        <v>4.2299991540001691E-2</v>
      </c>
      <c r="AE13" s="413">
        <v>8.4599983080003383E-2</v>
      </c>
      <c r="AF13" s="413">
        <v>4.2299991540001691E-2</v>
      </c>
      <c r="AG13" s="413">
        <v>5.639998872000225E-2</v>
      </c>
    </row>
    <row r="14" spans="1:33" ht="18.75" x14ac:dyDescent="0.4">
      <c r="C14" s="2382">
        <v>2011</v>
      </c>
      <c r="D14" s="413">
        <v>6.7384527423460705</v>
      </c>
      <c r="E14" s="414">
        <v>2.9540287779577725</v>
      </c>
      <c r="F14" s="413">
        <v>0.88484732980301928</v>
      </c>
      <c r="G14" s="413">
        <v>0.53090839788181166</v>
      </c>
      <c r="H14" s="413">
        <v>0.44923018282307137</v>
      </c>
      <c r="I14" s="413">
        <v>0.20419553764685064</v>
      </c>
      <c r="J14" s="413">
        <v>0.12251732258811038</v>
      </c>
      <c r="K14" s="413">
        <v>0.20419553764685064</v>
      </c>
      <c r="L14" s="413">
        <v>0.63981268462679863</v>
      </c>
      <c r="M14" s="413">
        <v>0.42200411113682462</v>
      </c>
      <c r="N14" s="413">
        <v>0.32671286023496099</v>
      </c>
      <c r="O14" s="413"/>
      <c r="P14" s="2572"/>
      <c r="Q14" s="2572"/>
      <c r="R14" s="2572"/>
      <c r="S14" s="2572"/>
      <c r="T14" s="2572"/>
      <c r="U14" s="2572"/>
      <c r="V14" s="2572"/>
      <c r="W14" s="413"/>
      <c r="X14" s="413">
        <v>7.5663047229670539</v>
      </c>
      <c r="Y14" s="413">
        <v>5.8672329012069735</v>
      </c>
      <c r="Z14" s="413"/>
      <c r="AA14" s="413">
        <v>4.2336541472113698</v>
      </c>
      <c r="AB14" s="413">
        <v>2.1236335915272466</v>
      </c>
      <c r="AC14" s="413">
        <v>6.8065179215616875E-2</v>
      </c>
      <c r="AD14" s="413">
        <v>4.0839107529370124E-2</v>
      </c>
      <c r="AE14" s="413">
        <v>4.0839107529370124E-2</v>
      </c>
      <c r="AF14" s="413">
        <v>9.5291250901863619E-2</v>
      </c>
      <c r="AG14" s="413">
        <v>0.13613035843123375</v>
      </c>
    </row>
    <row r="15" spans="1:33" ht="18.75" x14ac:dyDescent="0.4">
      <c r="C15" s="2378">
        <v>2012</v>
      </c>
      <c r="D15" s="413">
        <v>6.3415432452336145</v>
      </c>
      <c r="E15" s="414">
        <v>2.7139077544118049</v>
      </c>
      <c r="F15" s="413">
        <v>0.90009000900090008</v>
      </c>
      <c r="G15" s="413">
        <v>0.30003000300030003</v>
      </c>
      <c r="H15" s="413">
        <v>0.36821864004582278</v>
      </c>
      <c r="I15" s="413">
        <v>0.25911682077298642</v>
      </c>
      <c r="J15" s="413">
        <v>0.20456591113656822</v>
      </c>
      <c r="K15" s="413">
        <v>0.13637727409104547</v>
      </c>
      <c r="L15" s="413">
        <v>0.81826364454627287</v>
      </c>
      <c r="M15" s="413">
        <v>0.36821864004582278</v>
      </c>
      <c r="N15" s="413">
        <v>0.27275454818209094</v>
      </c>
      <c r="O15" s="413"/>
      <c r="P15" s="2572"/>
      <c r="Q15" s="2572"/>
      <c r="R15" s="2572"/>
      <c r="S15" s="2572"/>
      <c r="T15" s="2572"/>
      <c r="U15" s="2572"/>
      <c r="V15" s="2572"/>
      <c r="W15" s="413"/>
      <c r="X15" s="413">
        <v>7.0149975810353169</v>
      </c>
      <c r="Y15" s="413">
        <v>5.6478405315614619</v>
      </c>
      <c r="Z15" s="413"/>
      <c r="AA15" s="413">
        <v>3.8322014019583777</v>
      </c>
      <c r="AB15" s="413">
        <v>2.277500477320459</v>
      </c>
      <c r="AC15" s="413">
        <v>8.1826364454627279E-2</v>
      </c>
      <c r="AD15" s="413">
        <v>1.3637727409104548E-2</v>
      </c>
      <c r="AE15" s="413">
        <v>2.7275454818209095E-2</v>
      </c>
      <c r="AF15" s="413">
        <v>4.0913182227313639E-2</v>
      </c>
      <c r="AG15" s="413">
        <v>6.8188637045522735E-2</v>
      </c>
    </row>
    <row r="16" spans="1:33" ht="18.75" x14ac:dyDescent="0.4">
      <c r="C16" s="2378">
        <v>2013</v>
      </c>
      <c r="D16" s="413">
        <v>6.4493267186392629</v>
      </c>
      <c r="E16" s="414">
        <v>2.5513819985825656</v>
      </c>
      <c r="F16" s="413">
        <v>0.8221119773210489</v>
      </c>
      <c r="G16" s="413">
        <v>0.72289156626506024</v>
      </c>
      <c r="H16" s="413">
        <v>0.32600992204110563</v>
      </c>
      <c r="I16" s="413">
        <v>0.22678951098511693</v>
      </c>
      <c r="J16" s="413">
        <v>0.22678951098511693</v>
      </c>
      <c r="K16" s="413">
        <v>0.11339475549255847</v>
      </c>
      <c r="L16" s="413">
        <v>0.73706591070163008</v>
      </c>
      <c r="M16" s="413">
        <v>0.51027639971651306</v>
      </c>
      <c r="N16" s="413">
        <v>0.21261516654854712</v>
      </c>
      <c r="O16" s="413"/>
      <c r="P16" s="2572"/>
      <c r="Q16" s="2572"/>
      <c r="R16" s="2572"/>
      <c r="S16" s="2572"/>
      <c r="T16" s="2572"/>
      <c r="U16" s="2572"/>
      <c r="V16" s="2572"/>
      <c r="W16" s="413"/>
      <c r="X16" s="413">
        <v>6.8877762717490532</v>
      </c>
      <c r="Y16" s="413">
        <v>5.9885461786679848</v>
      </c>
      <c r="Z16" s="413"/>
      <c r="AA16" s="413">
        <v>4.1530829199149535</v>
      </c>
      <c r="AB16" s="413">
        <v>2.0552799433026223</v>
      </c>
      <c r="AC16" s="413">
        <v>2.8348688873139617E-2</v>
      </c>
      <c r="AD16" s="413">
        <v>4.2523033309709427E-2</v>
      </c>
      <c r="AE16" s="413">
        <v>5.6697377746279233E-2</v>
      </c>
      <c r="AF16" s="413">
        <v>4.2523033309709427E-2</v>
      </c>
      <c r="AG16" s="413">
        <v>7.087172218284904E-2</v>
      </c>
    </row>
    <row r="17" spans="2:33" ht="18.75" x14ac:dyDescent="0.4">
      <c r="C17" s="2378">
        <v>2014</v>
      </c>
      <c r="D17" s="413">
        <v>6.2540916245316396</v>
      </c>
      <c r="E17" s="414">
        <v>2.4654214199155908</v>
      </c>
      <c r="F17" s="413">
        <v>0.76609140166868639</v>
      </c>
      <c r="G17" s="413">
        <v>0.55715738303177187</v>
      </c>
      <c r="H17" s="413">
        <v>0.36215229897065176</v>
      </c>
      <c r="I17" s="413">
        <v>0.22286295321270877</v>
      </c>
      <c r="J17" s="413">
        <v>0.20893401863691446</v>
      </c>
      <c r="K17" s="413">
        <v>0.18107614948532588</v>
      </c>
      <c r="L17" s="413">
        <v>0.71037566336550917</v>
      </c>
      <c r="M17" s="413">
        <v>0.41786803727382893</v>
      </c>
      <c r="N17" s="413">
        <v>0.36215229897065176</v>
      </c>
      <c r="O17" s="413"/>
      <c r="P17" s="2572"/>
      <c r="Q17" s="2572"/>
      <c r="R17" s="2572"/>
      <c r="S17" s="2572"/>
      <c r="T17" s="2572"/>
      <c r="U17" s="2572"/>
      <c r="V17" s="2572"/>
      <c r="W17" s="413"/>
      <c r="X17" s="413">
        <v>6.4544241400909605</v>
      </c>
      <c r="Y17" s="413">
        <v>6.0443633460683124</v>
      </c>
      <c r="Z17" s="413"/>
      <c r="AA17" s="413">
        <v>3.5797361859791343</v>
      </c>
      <c r="AB17" s="413">
        <v>2.3261320741576479</v>
      </c>
      <c r="AC17" s="413">
        <v>8.3573607454765789E-2</v>
      </c>
      <c r="AD17" s="413">
        <v>0</v>
      </c>
      <c r="AE17" s="413">
        <v>0.13928934575794297</v>
      </c>
      <c r="AF17" s="413">
        <v>2.7857869151588596E-2</v>
      </c>
      <c r="AG17" s="413">
        <v>9.750254203056008E-2</v>
      </c>
    </row>
    <row r="18" spans="2:33" ht="18.75" x14ac:dyDescent="0.4">
      <c r="C18" s="2378">
        <v>2015</v>
      </c>
      <c r="D18" s="413">
        <v>5.8758824266558989</v>
      </c>
      <c r="E18" s="414">
        <v>2.1582032609755077</v>
      </c>
      <c r="F18" s="413">
        <v>0.71011849232097357</v>
      </c>
      <c r="G18" s="413">
        <v>0.51518400423286326</v>
      </c>
      <c r="H18" s="413">
        <v>0.36202119216363354</v>
      </c>
      <c r="I18" s="413">
        <v>0.29240173213216558</v>
      </c>
      <c r="J18" s="413">
        <v>0.26455394811957839</v>
      </c>
      <c r="K18" s="413">
        <v>0.18101059608181677</v>
      </c>
      <c r="L18" s="413">
        <v>0.77973795235244159</v>
      </c>
      <c r="M18" s="413">
        <v>0.34809730015733997</v>
      </c>
      <c r="N18" s="413">
        <v>0.26455394811957839</v>
      </c>
      <c r="O18" s="413"/>
      <c r="P18" s="2572"/>
      <c r="Q18" s="2572"/>
      <c r="R18" s="2572"/>
      <c r="S18" s="2572"/>
      <c r="T18" s="2572"/>
      <c r="U18" s="2572"/>
      <c r="V18" s="2572"/>
      <c r="W18" s="413"/>
      <c r="X18" s="413">
        <v>6.561644207044278</v>
      </c>
      <c r="Y18" s="413">
        <v>5.1519835136527563</v>
      </c>
      <c r="Z18" s="413"/>
      <c r="AA18" s="413">
        <v>3.7316030576866845</v>
      </c>
      <c r="AB18" s="413">
        <v>1.8101059608181678</v>
      </c>
      <c r="AC18" s="413">
        <v>9.7467244044055198E-2</v>
      </c>
      <c r="AD18" s="413">
        <v>1.39238920062936E-2</v>
      </c>
      <c r="AE18" s="413">
        <v>0.12531502805664238</v>
      </c>
      <c r="AF18" s="413">
        <v>5.5695568025174398E-2</v>
      </c>
      <c r="AG18" s="413">
        <v>4.17716760188808E-2</v>
      </c>
    </row>
    <row r="19" spans="2:33" ht="18.75" x14ac:dyDescent="0.4">
      <c r="B19" s="23"/>
      <c r="C19" s="2382">
        <v>2016</v>
      </c>
      <c r="D19" s="413">
        <v>6.1567910405119708</v>
      </c>
      <c r="E19" s="414">
        <v>2.2855836809325183</v>
      </c>
      <c r="F19" s="413">
        <v>0.82852408433803781</v>
      </c>
      <c r="G19" s="413">
        <v>0.55711102222730124</v>
      </c>
      <c r="H19" s="413">
        <v>0.39997714416319069</v>
      </c>
      <c r="I19" s="413">
        <v>0.35712245014570593</v>
      </c>
      <c r="J19" s="413">
        <v>0.17141877606993886</v>
      </c>
      <c r="K19" s="413">
        <v>0.15713387806411064</v>
      </c>
      <c r="L19" s="413">
        <v>0.75709959430889662</v>
      </c>
      <c r="M19" s="413">
        <v>0.2571281641049083</v>
      </c>
      <c r="N19" s="413">
        <v>0.38569224615736242</v>
      </c>
      <c r="O19" s="413"/>
      <c r="P19" s="2572"/>
      <c r="Q19" s="2572"/>
      <c r="R19" s="2572"/>
      <c r="S19" s="2572"/>
      <c r="T19" s="2572"/>
      <c r="U19" s="2572"/>
      <c r="V19" s="2572"/>
      <c r="W19" s="413"/>
      <c r="X19" s="413">
        <v>6.888374456552425</v>
      </c>
      <c r="Y19" s="413">
        <v>5.4074373951766814</v>
      </c>
      <c r="Z19" s="413"/>
      <c r="AA19" s="413">
        <v>3.6140791954745444</v>
      </c>
      <c r="AB19" s="413">
        <v>2.1570195988800642</v>
      </c>
      <c r="AC19" s="413">
        <v>9.9994286040797672E-2</v>
      </c>
      <c r="AD19" s="413">
        <v>8.5709388034969428E-2</v>
      </c>
      <c r="AE19" s="413">
        <v>9.9994286040797672E-2</v>
      </c>
      <c r="AF19" s="413">
        <v>1.4284898005828238E-2</v>
      </c>
      <c r="AG19" s="413">
        <v>8.5709388034969428E-2</v>
      </c>
    </row>
    <row r="20" spans="2:33" ht="18.75" x14ac:dyDescent="0.4">
      <c r="C20" s="2382">
        <v>2017</v>
      </c>
      <c r="D20" s="413">
        <v>6.1036752844748658</v>
      </c>
      <c r="E20" s="414">
        <v>2.1653514699684639</v>
      </c>
      <c r="F20" s="413">
        <v>0.85742105186670736</v>
      </c>
      <c r="G20" s="413">
        <v>0.46504192643618031</v>
      </c>
      <c r="H20" s="413">
        <v>0.31971632442487397</v>
      </c>
      <c r="I20" s="413">
        <v>0.26158608362035141</v>
      </c>
      <c r="J20" s="413">
        <v>0.29065120402261269</v>
      </c>
      <c r="K20" s="413">
        <v>0.18892328261469823</v>
      </c>
      <c r="L20" s="413">
        <v>0.75569313045879294</v>
      </c>
      <c r="M20" s="413">
        <v>0.50863960703957212</v>
      </c>
      <c r="N20" s="413">
        <v>0.29065120402261269</v>
      </c>
      <c r="O20" s="413"/>
      <c r="P20" s="2572"/>
      <c r="Q20" s="2572"/>
      <c r="R20" s="2572"/>
      <c r="S20" s="2572"/>
      <c r="T20" s="2572"/>
      <c r="U20" s="2572"/>
      <c r="V20" s="2572"/>
      <c r="W20" s="413"/>
      <c r="X20" s="413">
        <v>6.2381799192706131</v>
      </c>
      <c r="Y20" s="413">
        <v>5.9609393721543258</v>
      </c>
      <c r="Z20" s="413"/>
      <c r="AA20" s="413">
        <v>3.5459446890758746</v>
      </c>
      <c r="AB20" s="413">
        <v>2.3106770719797707</v>
      </c>
      <c r="AC20" s="413">
        <v>0.10172792140791442</v>
      </c>
      <c r="AD20" s="413">
        <v>0</v>
      </c>
      <c r="AE20" s="413">
        <v>2.9065120402261269E-2</v>
      </c>
      <c r="AF20" s="413">
        <v>4.3597680603391899E-2</v>
      </c>
      <c r="AG20" s="413">
        <v>7.2662801005653171E-2</v>
      </c>
    </row>
    <row r="21" spans="2:33" ht="18.75" x14ac:dyDescent="0.4">
      <c r="C21" s="2382">
        <v>2018</v>
      </c>
      <c r="D21" s="413">
        <v>6.3843153296614998</v>
      </c>
      <c r="E21" s="414">
        <v>2.3959444257768556</v>
      </c>
      <c r="F21" s="413">
        <v>1.1103157095063478</v>
      </c>
      <c r="G21" s="413">
        <v>0.46750135137109378</v>
      </c>
      <c r="H21" s="413">
        <v>0.3067977618372803</v>
      </c>
      <c r="I21" s="413">
        <v>0.24836009291589362</v>
      </c>
      <c r="J21" s="413">
        <v>0.24836009291589362</v>
      </c>
      <c r="K21" s="413">
        <v>8.76565033820801E-2</v>
      </c>
      <c r="L21" s="413">
        <v>1.051878040584961</v>
      </c>
      <c r="M21" s="413">
        <v>0.3360165962979737</v>
      </c>
      <c r="N21" s="413">
        <v>0.13148475507312013</v>
      </c>
      <c r="O21" s="413"/>
      <c r="P21" s="2572"/>
      <c r="Q21" s="2572"/>
      <c r="R21" s="2572"/>
      <c r="S21" s="2572"/>
      <c r="T21" s="2572"/>
      <c r="U21" s="2572"/>
      <c r="V21" s="2572"/>
      <c r="W21" s="413"/>
      <c r="X21" s="413">
        <v>6.7137200895162676</v>
      </c>
      <c r="Y21" s="413">
        <v>6.0425658580145853</v>
      </c>
      <c r="Z21" s="413"/>
      <c r="AA21" s="413">
        <v>3.7692296454294438</v>
      </c>
      <c r="AB21" s="413">
        <v>2.279069087934082</v>
      </c>
      <c r="AC21" s="413">
        <v>0.1607035895338135</v>
      </c>
      <c r="AD21" s="413">
        <v>5.8437668921386722E-2</v>
      </c>
      <c r="AE21" s="413">
        <v>2.9218834460693361E-2</v>
      </c>
      <c r="AF21" s="413">
        <v>0</v>
      </c>
      <c r="AG21" s="413">
        <v>8.76565033820801E-2</v>
      </c>
    </row>
    <row r="22" spans="2:33" ht="18.75" x14ac:dyDescent="0.4">
      <c r="C22" s="2382">
        <v>2019</v>
      </c>
      <c r="D22" s="413">
        <v>6.2233562560288762</v>
      </c>
      <c r="E22" s="414">
        <v>2.7071599713725614</v>
      </c>
      <c r="F22" s="413">
        <v>0.94906182904440362</v>
      </c>
      <c r="G22" s="413">
        <v>0.37340137536173257</v>
      </c>
      <c r="H22" s="413">
        <v>0.23337585960108284</v>
      </c>
      <c r="I22" s="413">
        <v>0.24893425024115509</v>
      </c>
      <c r="J22" s="413">
        <v>9.3350343840433142E-2</v>
      </c>
      <c r="K22" s="413">
        <v>0.15558390640072192</v>
      </c>
      <c r="L22" s="413">
        <v>0.73124436008339289</v>
      </c>
      <c r="M22" s="413">
        <v>0.51342689112238227</v>
      </c>
      <c r="N22" s="413">
        <v>0.21781746896101067</v>
      </c>
      <c r="O22" s="413"/>
      <c r="P22" s="2572"/>
      <c r="Q22" s="2572"/>
      <c r="R22" s="2572"/>
      <c r="S22" s="2572"/>
      <c r="T22" s="2572"/>
      <c r="U22" s="2572"/>
      <c r="V22" s="2572"/>
      <c r="W22" s="413"/>
      <c r="X22" s="413">
        <v>6.1447219589740456</v>
      </c>
      <c r="Y22" s="413">
        <v>6.3048506162278617</v>
      </c>
      <c r="Z22" s="413"/>
      <c r="AA22" s="413">
        <v>3.9985063944985533</v>
      </c>
      <c r="AB22" s="413">
        <v>1.9914740019292407</v>
      </c>
      <c r="AC22" s="413">
        <v>4.6675171920216571E-2</v>
      </c>
      <c r="AD22" s="413">
        <v>4.6675171920216571E-2</v>
      </c>
      <c r="AE22" s="413">
        <v>0</v>
      </c>
      <c r="AF22" s="413">
        <v>6.2233562560288773E-2</v>
      </c>
      <c r="AG22" s="413">
        <v>7.7791953200360961E-2</v>
      </c>
    </row>
    <row r="23" spans="2:33" ht="18.75" x14ac:dyDescent="0.4">
      <c r="C23" s="2382">
        <v>2020</v>
      </c>
      <c r="D23" s="413">
        <v>5.8291491849508219</v>
      </c>
      <c r="E23" s="414">
        <v>2.2697572047596117</v>
      </c>
      <c r="F23" s="413">
        <v>0.61902469220716694</v>
      </c>
      <c r="G23" s="413">
        <v>0.44707338881628728</v>
      </c>
      <c r="H23" s="413">
        <v>0.37829286745993534</v>
      </c>
      <c r="I23" s="413">
        <v>0.25792695508631958</v>
      </c>
      <c r="J23" s="413">
        <v>0.17195130339087972</v>
      </c>
      <c r="K23" s="413">
        <v>0.18914643372996767</v>
      </c>
      <c r="L23" s="413">
        <v>0.72219547424169472</v>
      </c>
      <c r="M23" s="413">
        <v>0.56743930118990293</v>
      </c>
      <c r="N23" s="413">
        <v>0.20634156406905566</v>
      </c>
      <c r="O23" s="413"/>
      <c r="P23" s="2572"/>
      <c r="Q23" s="2572"/>
      <c r="R23" s="2572"/>
      <c r="S23" s="2572"/>
      <c r="T23" s="2572"/>
      <c r="U23" s="2572"/>
      <c r="V23" s="2572"/>
      <c r="W23" s="413"/>
      <c r="X23" s="413">
        <v>6.4004876562023769</v>
      </c>
      <c r="Y23" s="413">
        <v>5.2398085723268242</v>
      </c>
      <c r="Z23" s="413"/>
      <c r="AA23" s="413">
        <v>3.7657335442602657</v>
      </c>
      <c r="AB23" s="413">
        <v>1.8914643372996767</v>
      </c>
      <c r="AC23" s="413">
        <v>3.4390260678175938E-2</v>
      </c>
      <c r="AD23" s="413">
        <v>5.1585391017263914E-2</v>
      </c>
      <c r="AE23" s="413">
        <v>1.7195130339087969E-2</v>
      </c>
      <c r="AF23" s="413">
        <v>0</v>
      </c>
      <c r="AG23" s="413">
        <v>6.8780521356351876E-2</v>
      </c>
    </row>
    <row r="24" spans="2:33" ht="18.75" x14ac:dyDescent="0.4">
      <c r="C24" s="2382">
        <v>2021</v>
      </c>
      <c r="D24" s="413">
        <v>6.5944591806660773</v>
      </c>
      <c r="E24" s="414">
        <v>2.5051576775714706</v>
      </c>
      <c r="F24" s="413">
        <v>0.88417329796640132</v>
      </c>
      <c r="G24" s="413">
        <v>0.51576775714706746</v>
      </c>
      <c r="H24" s="413">
        <v>0.33156498673740054</v>
      </c>
      <c r="I24" s="413">
        <v>0.20262304745063364</v>
      </c>
      <c r="J24" s="413">
        <v>0.29472443265546711</v>
      </c>
      <c r="K24" s="413">
        <v>9.2101385204833477E-2</v>
      </c>
      <c r="L24" s="413">
        <v>0.93943412908930146</v>
      </c>
      <c r="M24" s="413">
        <v>0.44208664898320066</v>
      </c>
      <c r="N24" s="413">
        <v>0.38682581786030062</v>
      </c>
      <c r="O24" s="413"/>
      <c r="P24" s="2572"/>
      <c r="Q24" s="2572"/>
      <c r="R24" s="2572"/>
      <c r="S24" s="2572"/>
      <c r="T24" s="2572"/>
      <c r="U24" s="2572"/>
      <c r="V24" s="2572"/>
      <c r="W24" s="413"/>
      <c r="X24" s="413">
        <v>6.9849082552205859</v>
      </c>
      <c r="Y24" s="413">
        <v>6.1897437821210195</v>
      </c>
      <c r="Z24" s="413"/>
      <c r="AA24" s="413">
        <v>3.9787798408488064</v>
      </c>
      <c r="AB24" s="413">
        <v>2.3946360153256703</v>
      </c>
      <c r="AC24" s="413">
        <v>3.6840554081933388E-2</v>
      </c>
      <c r="AD24" s="413">
        <v>3.6840554081933388E-2</v>
      </c>
      <c r="AE24" s="413">
        <v>0</v>
      </c>
      <c r="AF24" s="413">
        <v>1.8420277040966694E-2</v>
      </c>
      <c r="AG24" s="413">
        <v>0.12894193928676687</v>
      </c>
    </row>
    <row r="25" spans="2:33" ht="18.75" x14ac:dyDescent="0.4">
      <c r="C25" s="2382">
        <v>2022</v>
      </c>
      <c r="D25" s="413">
        <v>7.373444371666511</v>
      </c>
      <c r="E25" s="414">
        <v>2.5825769626649202</v>
      </c>
      <c r="F25" s="413">
        <v>0.93571629082062313</v>
      </c>
      <c r="G25" s="413">
        <v>0.58014410030878638</v>
      </c>
      <c r="H25" s="413">
        <v>0.52400112285954903</v>
      </c>
      <c r="I25" s="413">
        <v>0.24328623561336202</v>
      </c>
      <c r="J25" s="413">
        <v>0.29942921306259945</v>
      </c>
      <c r="K25" s="413">
        <v>0.28071488724618693</v>
      </c>
      <c r="L25" s="413">
        <v>0.84214466173856084</v>
      </c>
      <c r="M25" s="413">
        <v>0.65500140357443626</v>
      </c>
      <c r="N25" s="413">
        <v>0.43042949377748663</v>
      </c>
      <c r="O25" s="413"/>
      <c r="P25" s="2572"/>
      <c r="Q25" s="2572"/>
      <c r="R25" s="2572"/>
      <c r="S25" s="2572"/>
      <c r="T25" s="2572"/>
      <c r="U25" s="2572"/>
      <c r="V25" s="2572"/>
      <c r="W25" s="413"/>
      <c r="X25" s="413">
        <v>8.1294831708662869</v>
      </c>
      <c r="Y25" s="413">
        <v>6.590476190476191</v>
      </c>
      <c r="Z25" s="413"/>
      <c r="AA25" s="413">
        <v>4.622438476653878</v>
      </c>
      <c r="AB25" s="413">
        <v>2.6012912884813324</v>
      </c>
      <c r="AC25" s="413">
        <v>3.7428651632824932E-2</v>
      </c>
      <c r="AD25" s="413">
        <v>3.7428651632824932E-2</v>
      </c>
      <c r="AE25" s="413">
        <v>1.8714325816412466E-2</v>
      </c>
      <c r="AF25" s="413">
        <v>1.8714325816412466E-2</v>
      </c>
      <c r="AG25" s="413">
        <v>3.7428651632824932E-2</v>
      </c>
    </row>
    <row r="26" spans="2:33" ht="18.75" x14ac:dyDescent="0.4">
      <c r="C26" s="2382">
        <v>2023</v>
      </c>
      <c r="D26" s="413">
        <v>6.652723832287621</v>
      </c>
      <c r="E26" s="414">
        <v>2.4300368489194306</v>
      </c>
      <c r="F26" s="413">
        <v>0.83657006274275469</v>
      </c>
      <c r="G26" s="413">
        <v>0.49795837068021109</v>
      </c>
      <c r="H26" s="413">
        <v>0.33861169206254355</v>
      </c>
      <c r="I26" s="413">
        <v>0.25893835275370974</v>
      </c>
      <c r="J26" s="413">
        <v>0.15934667861766755</v>
      </c>
      <c r="K26" s="413">
        <v>0.15934667861766755</v>
      </c>
      <c r="L26" s="413">
        <v>1.1154267503236728</v>
      </c>
      <c r="M26" s="413">
        <v>0.4780400358530027</v>
      </c>
      <c r="N26" s="413">
        <v>0.37844836171696045</v>
      </c>
      <c r="O26" s="413"/>
      <c r="P26" s="2572"/>
      <c r="Q26" s="2572"/>
      <c r="R26" s="2572"/>
      <c r="S26" s="2572"/>
      <c r="T26" s="2572"/>
      <c r="U26" s="2572"/>
      <c r="V26" s="2572"/>
      <c r="W26" s="413"/>
      <c r="X26" s="413">
        <v>7.6449602070019997</v>
      </c>
      <c r="Y26" s="413">
        <v>5.6279860717467001</v>
      </c>
      <c r="Z26" s="413"/>
      <c r="AA26" s="413">
        <v>3.9239119609600639</v>
      </c>
      <c r="AB26" s="413">
        <v>2.5296285230554725</v>
      </c>
      <c r="AC26" s="413">
        <v>3.9836669654416887E-2</v>
      </c>
      <c r="AD26" s="413">
        <v>3.9836669654416887E-2</v>
      </c>
      <c r="AE26" s="413">
        <v>1.9918334827208443E-2</v>
      </c>
      <c r="AF26" s="413">
        <v>0</v>
      </c>
      <c r="AG26" s="413">
        <v>9.9591674136042224E-2</v>
      </c>
    </row>
    <row r="27" spans="2:33" ht="19.5" x14ac:dyDescent="0.4">
      <c r="C27" s="383" t="s">
        <v>8168</v>
      </c>
      <c r="D27" s="420">
        <v>7.4195308237861433</v>
      </c>
      <c r="E27" s="421">
        <v>3.4260774686306599</v>
      </c>
      <c r="F27" s="420">
        <v>0.72013093289689034</v>
      </c>
      <c r="G27" s="420">
        <v>0.45826513911620292</v>
      </c>
      <c r="H27" s="420">
        <v>0.24004364429896344</v>
      </c>
      <c r="I27" s="420">
        <v>0.24004364429896344</v>
      </c>
      <c r="J27" s="420">
        <v>0.28368794326241137</v>
      </c>
      <c r="K27" s="420">
        <v>0.15275504637206763</v>
      </c>
      <c r="L27" s="420">
        <v>1.1129296235679214</v>
      </c>
      <c r="M27" s="420">
        <v>0.50190943807965083</v>
      </c>
      <c r="N27" s="420">
        <v>0.28368794326241137</v>
      </c>
      <c r="O27" s="420"/>
      <c r="P27" s="2573"/>
      <c r="Q27" s="2573"/>
      <c r="R27" s="2573"/>
      <c r="S27" s="2573"/>
      <c r="T27" s="2573"/>
      <c r="U27" s="2573"/>
      <c r="V27" s="2573"/>
      <c r="W27" s="420"/>
      <c r="X27" s="420">
        <v>8.1981212638770291</v>
      </c>
      <c r="Y27" s="420">
        <v>6.605668377594287</v>
      </c>
      <c r="Z27" s="420"/>
      <c r="AA27" s="420">
        <v>4.8008728859792686</v>
      </c>
      <c r="AB27" s="420">
        <v>2.4004364429896343</v>
      </c>
      <c r="AC27" s="420">
        <v>0</v>
      </c>
      <c r="AD27" s="420">
        <v>0</v>
      </c>
      <c r="AE27" s="420">
        <v>0</v>
      </c>
      <c r="AF27" s="420">
        <v>0.10911074740861976</v>
      </c>
      <c r="AG27" s="420">
        <v>0.10911074740861976</v>
      </c>
    </row>
    <row r="28" spans="2:33"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row>
    <row r="29" spans="2:33" ht="18.75" x14ac:dyDescent="0.4">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3" ht="18.75" x14ac:dyDescent="0.4">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3" ht="18.75" x14ac:dyDescent="0.4">
      <c r="C31" s="5"/>
      <c r="D31" s="2399"/>
      <c r="E31" s="2399"/>
      <c r="F31" s="2399"/>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3" ht="18.75" x14ac:dyDescent="0.4">
      <c r="C32" s="5"/>
      <c r="D32" s="2399"/>
      <c r="E32" s="2399"/>
      <c r="F32" s="2399"/>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3:3" ht="19.5" x14ac:dyDescent="0.25">
      <c r="C33" s="105" t="s">
        <v>8176</v>
      </c>
    </row>
    <row r="49" spans="3:19" x14ac:dyDescent="0.25">
      <c r="C49" s="435" t="s">
        <v>940</v>
      </c>
    </row>
    <row r="54" spans="3:19" ht="18.75" x14ac:dyDescent="0.4">
      <c r="C54" s="5" t="s">
        <v>8177</v>
      </c>
    </row>
    <row r="57" spans="3:19" ht="18.75" x14ac:dyDescent="0.4">
      <c r="C57" s="154" t="s">
        <v>941</v>
      </c>
      <c r="D57" s="5"/>
      <c r="E57" s="5"/>
      <c r="F57" s="5"/>
      <c r="G57" s="5"/>
      <c r="H57" s="5"/>
      <c r="I57" s="5"/>
      <c r="J57" s="5"/>
      <c r="K57" s="5"/>
      <c r="L57" s="5"/>
      <c r="M57" s="5"/>
      <c r="N57" s="5"/>
      <c r="O57" s="5"/>
      <c r="P57" s="5"/>
    </row>
    <row r="58" spans="3:19" ht="18.75" x14ac:dyDescent="0.4">
      <c r="C58" s="5"/>
      <c r="D58" s="5"/>
      <c r="E58" s="5"/>
      <c r="F58" s="5"/>
      <c r="G58" s="5"/>
      <c r="H58" s="5"/>
      <c r="I58" s="5"/>
      <c r="J58" s="5"/>
      <c r="K58" s="5"/>
      <c r="L58" s="5"/>
      <c r="M58" s="5"/>
      <c r="N58" s="5"/>
      <c r="O58" s="5"/>
      <c r="P58" s="5"/>
    </row>
    <row r="59" spans="3:19" ht="37.5" x14ac:dyDescent="0.25">
      <c r="C59" s="388" t="s">
        <v>749</v>
      </c>
      <c r="D59" s="389" t="s">
        <v>750</v>
      </c>
      <c r="E59" s="390">
        <v>2010</v>
      </c>
      <c r="F59" s="390">
        <v>2011</v>
      </c>
      <c r="G59" s="390">
        <v>2012</v>
      </c>
      <c r="H59" s="390">
        <v>2013</v>
      </c>
      <c r="I59" s="390">
        <v>2014</v>
      </c>
      <c r="J59" s="390">
        <v>2015</v>
      </c>
      <c r="K59" s="390">
        <v>2016</v>
      </c>
      <c r="L59" s="390">
        <v>2017</v>
      </c>
      <c r="M59" s="390">
        <v>2018</v>
      </c>
      <c r="N59" s="390">
        <v>2019</v>
      </c>
      <c r="O59" s="390">
        <v>2020</v>
      </c>
      <c r="P59" s="390">
        <v>2021</v>
      </c>
      <c r="Q59" s="390">
        <v>2022</v>
      </c>
      <c r="R59" s="2379">
        <v>2023</v>
      </c>
      <c r="S59" s="2379">
        <v>2024</v>
      </c>
    </row>
    <row r="60" spans="3:19" ht="18.75" x14ac:dyDescent="0.4">
      <c r="C60" s="2567" t="s">
        <v>328</v>
      </c>
      <c r="D60" s="391" t="s">
        <v>328</v>
      </c>
      <c r="E60" s="340">
        <v>7.6335877862595414</v>
      </c>
      <c r="F60" s="340">
        <v>8.2120194102276969</v>
      </c>
      <c r="G60" s="340">
        <v>6.8467801628423386</v>
      </c>
      <c r="H60" s="340">
        <v>9.9274532264222994</v>
      </c>
      <c r="I60" s="340">
        <v>8.3053193593039349</v>
      </c>
      <c r="J60" s="340">
        <v>4.9780963759458379</v>
      </c>
      <c r="K60" s="340">
        <v>6.997324552377032</v>
      </c>
      <c r="L60" s="340">
        <v>7.2278911564625856</v>
      </c>
      <c r="M60" s="340">
        <v>7.4231177094379639</v>
      </c>
      <c r="N60" s="340">
        <v>8.5201793721973083</v>
      </c>
      <c r="O60" s="340">
        <v>5.7441253263707566</v>
      </c>
      <c r="P60" s="340">
        <v>7.7653149266609143</v>
      </c>
      <c r="Q60" s="340">
        <v>10.679323642835953</v>
      </c>
    </row>
    <row r="61" spans="3:19" ht="18.75" x14ac:dyDescent="0.4">
      <c r="C61" s="2567"/>
      <c r="D61" s="391" t="s">
        <v>752</v>
      </c>
      <c r="E61" s="340">
        <v>8.8235294117647065</v>
      </c>
      <c r="F61" s="340">
        <v>5.1020408163265305</v>
      </c>
      <c r="G61" s="340">
        <v>7.9365079365079358</v>
      </c>
      <c r="H61" s="340">
        <v>9.5238095238095255</v>
      </c>
      <c r="I61" s="340">
        <v>6.25</v>
      </c>
      <c r="J61" s="340">
        <v>7.4074074074074074</v>
      </c>
      <c r="K61" s="340">
        <v>7.700770077007701</v>
      </c>
      <c r="L61" s="340">
        <v>5.7736720554272516</v>
      </c>
      <c r="M61" s="340">
        <v>4.9751243781094523</v>
      </c>
      <c r="N61" s="340">
        <v>3.6319612590799033</v>
      </c>
      <c r="O61" s="340">
        <v>5.1347881899871624</v>
      </c>
      <c r="P61" s="340">
        <v>3.1152647975077881</v>
      </c>
      <c r="Q61" s="340">
        <v>10.802469135802468</v>
      </c>
    </row>
    <row r="62" spans="3:19" ht="18.75" x14ac:dyDescent="0.4">
      <c r="C62" s="2567"/>
      <c r="D62" s="391" t="s">
        <v>753</v>
      </c>
      <c r="E62" s="340">
        <v>6.1538461538461542</v>
      </c>
      <c r="F62" s="340">
        <v>7.4205995844464239</v>
      </c>
      <c r="G62" s="340">
        <v>5.120481927710844</v>
      </c>
      <c r="H62" s="340">
        <v>8.6929524992238427</v>
      </c>
      <c r="I62" s="340">
        <v>6.5176908752327751</v>
      </c>
      <c r="J62" s="340">
        <v>4.815409309791332</v>
      </c>
      <c r="K62" s="340">
        <v>6.8137573004542498</v>
      </c>
      <c r="L62" s="340">
        <v>6.7375886524822697</v>
      </c>
      <c r="M62" s="340">
        <v>7.1377587437544605</v>
      </c>
      <c r="N62" s="340">
        <v>6.5134099616858236</v>
      </c>
      <c r="O62" s="340">
        <v>8.0372250423011842</v>
      </c>
      <c r="P62" s="340">
        <v>8.595988538681949</v>
      </c>
      <c r="Q62" s="340">
        <v>7.1942446043165473</v>
      </c>
    </row>
    <row r="63" spans="3:19" ht="18.75" x14ac:dyDescent="0.4">
      <c r="C63" s="2567"/>
      <c r="D63" s="391" t="s">
        <v>754</v>
      </c>
      <c r="E63" s="340">
        <v>11.160714285714286</v>
      </c>
      <c r="F63" s="340">
        <v>7.2115384615384617</v>
      </c>
      <c r="G63" s="340">
        <v>7.518796992481203</v>
      </c>
      <c r="H63" s="340">
        <v>10.38961038961039</v>
      </c>
      <c r="I63" s="340">
        <v>2.4937655860349128</v>
      </c>
      <c r="J63" s="340">
        <v>4.8426150121065374</v>
      </c>
      <c r="K63" s="340">
        <v>5.333333333333333</v>
      </c>
      <c r="L63" s="340">
        <v>10.554089709762533</v>
      </c>
      <c r="M63" s="340">
        <v>8.1081081081081088</v>
      </c>
      <c r="N63" s="340">
        <v>2.5062656641604009</v>
      </c>
      <c r="O63" s="340">
        <v>12.779552715654951</v>
      </c>
      <c r="P63" s="340">
        <v>3.1055900621118009</v>
      </c>
      <c r="Q63" s="340">
        <v>5.8479532163742682</v>
      </c>
    </row>
    <row r="64" spans="3:19" ht="18.75" x14ac:dyDescent="0.4">
      <c r="C64" s="2567"/>
      <c r="D64" s="391" t="s">
        <v>755</v>
      </c>
      <c r="E64" s="340">
        <v>6.7340067340067336</v>
      </c>
      <c r="F64" s="340">
        <v>2.8571428571428572</v>
      </c>
      <c r="G64" s="392" t="s">
        <v>751</v>
      </c>
      <c r="H64" s="392" t="s">
        <v>751</v>
      </c>
      <c r="I64" s="340">
        <v>3.6496350364963503</v>
      </c>
      <c r="J64" s="340">
        <v>7.782101167315175</v>
      </c>
      <c r="K64" s="340">
        <v>10.791366906474821</v>
      </c>
      <c r="L64" s="340">
        <v>15.384615384615385</v>
      </c>
      <c r="M64" s="392" t="s">
        <v>751</v>
      </c>
      <c r="N64" s="392" t="s">
        <v>751</v>
      </c>
      <c r="O64" s="340">
        <v>9.1324200913241995</v>
      </c>
      <c r="P64" s="340">
        <v>5</v>
      </c>
      <c r="Q64" s="340">
        <v>9.7560975609756095</v>
      </c>
    </row>
    <row r="65" spans="3:17" ht="18.75" x14ac:dyDescent="0.4">
      <c r="C65" s="2567"/>
      <c r="D65" s="391" t="s">
        <v>756</v>
      </c>
      <c r="E65" s="340">
        <v>7.832898172323759</v>
      </c>
      <c r="F65" s="340">
        <v>1.1534025374855825</v>
      </c>
      <c r="G65" s="340">
        <v>12.972972972972972</v>
      </c>
      <c r="H65" s="340">
        <v>8.31353919239905</v>
      </c>
      <c r="I65" s="340">
        <v>4.7393364928909953</v>
      </c>
      <c r="J65" s="340">
        <v>5.6818181818181817</v>
      </c>
      <c r="K65" s="340">
        <v>5.1413881748071972</v>
      </c>
      <c r="L65" s="340">
        <v>7.255139056831923</v>
      </c>
      <c r="M65" s="340">
        <v>4.0927694406548429</v>
      </c>
      <c r="N65" s="340">
        <v>2.785515320334262</v>
      </c>
      <c r="O65" s="340">
        <v>3.0534351145038165</v>
      </c>
      <c r="P65" s="340">
        <v>1.5797788309636651</v>
      </c>
      <c r="Q65" s="340">
        <v>3.6630036630036629</v>
      </c>
    </row>
    <row r="66" spans="3:17" ht="18.75" x14ac:dyDescent="0.4">
      <c r="C66" s="2567"/>
      <c r="D66" s="391" t="s">
        <v>757</v>
      </c>
      <c r="E66" s="340">
        <v>3.0674846625766872</v>
      </c>
      <c r="F66" s="340">
        <v>8.1743869209809255</v>
      </c>
      <c r="G66" s="340">
        <v>8.2191780821917799</v>
      </c>
      <c r="H66" s="340">
        <v>5.1679586563307494</v>
      </c>
      <c r="I66" s="340">
        <v>7.518796992481203</v>
      </c>
      <c r="J66" s="340">
        <v>5.7142857142857144</v>
      </c>
      <c r="K66" s="392" t="s">
        <v>751</v>
      </c>
      <c r="L66" s="340">
        <v>7.4257425742574252</v>
      </c>
      <c r="M66" s="340">
        <v>2.7100271002710028</v>
      </c>
      <c r="N66" s="340">
        <v>2.5316455696202533</v>
      </c>
      <c r="O66" s="340">
        <v>8.7976539589442826</v>
      </c>
      <c r="P66" s="340">
        <v>2.9761904761904758</v>
      </c>
      <c r="Q66" s="392" t="s">
        <v>751</v>
      </c>
    </row>
    <row r="67" spans="3:17" ht="18.75" x14ac:dyDescent="0.4">
      <c r="C67" s="2567"/>
      <c r="D67" s="391" t="s">
        <v>758</v>
      </c>
      <c r="E67" s="340">
        <v>8.2449941107184923</v>
      </c>
      <c r="F67" s="340">
        <v>10.303377218088151</v>
      </c>
      <c r="G67" s="340">
        <v>4.2839657282741737</v>
      </c>
      <c r="H67" s="340">
        <v>6.8621334996880847</v>
      </c>
      <c r="I67" s="340">
        <v>3.601440576230492</v>
      </c>
      <c r="J67" s="340">
        <v>5.9808612440191391</v>
      </c>
      <c r="K67" s="340">
        <v>5.4274084124830386</v>
      </c>
      <c r="L67" s="340">
        <v>5.8631921824104234</v>
      </c>
      <c r="M67" s="340">
        <v>4.160887656033287</v>
      </c>
      <c r="N67" s="340">
        <v>10.217983651226158</v>
      </c>
      <c r="O67" s="340">
        <v>6.5359477124183005</v>
      </c>
      <c r="P67" s="340">
        <v>11.904761904761903</v>
      </c>
      <c r="Q67" s="340">
        <v>5.6550424128180961</v>
      </c>
    </row>
    <row r="68" spans="3:17" ht="18.75" x14ac:dyDescent="0.4">
      <c r="C68" s="2567"/>
      <c r="D68" s="391" t="s">
        <v>759</v>
      </c>
      <c r="E68" s="340">
        <v>6.5616797900262469</v>
      </c>
      <c r="F68" s="340">
        <v>10.296010296010296</v>
      </c>
      <c r="G68" s="340">
        <v>7.509386733416771</v>
      </c>
      <c r="H68" s="340">
        <v>10.19108280254777</v>
      </c>
      <c r="I68" s="340">
        <v>7.0754716981132075</v>
      </c>
      <c r="J68" s="340">
        <v>5.9665871121718377</v>
      </c>
      <c r="K68" s="340">
        <v>4.8250904704463204</v>
      </c>
      <c r="L68" s="340">
        <v>5.9737156511350067</v>
      </c>
      <c r="M68" s="340">
        <v>4.9627791563275432</v>
      </c>
      <c r="N68" s="340">
        <v>11.421319796954315</v>
      </c>
      <c r="O68" s="340">
        <v>3.0075187969924815</v>
      </c>
      <c r="P68" s="340">
        <v>5.8479532163742682</v>
      </c>
      <c r="Q68" s="340">
        <v>6.0975609756097562</v>
      </c>
    </row>
    <row r="69" spans="3:17" ht="18.75" x14ac:dyDescent="0.4">
      <c r="C69" s="2567"/>
      <c r="D69" s="391" t="s">
        <v>760</v>
      </c>
      <c r="E69" s="340">
        <v>9.2664092664092657</v>
      </c>
      <c r="F69" s="340">
        <v>5.5555555555555554</v>
      </c>
      <c r="G69" s="340">
        <v>7.03125</v>
      </c>
      <c r="H69" s="340">
        <v>7.3469387755102034</v>
      </c>
      <c r="I69" s="340">
        <v>8.2850041425020713</v>
      </c>
      <c r="J69" s="340">
        <v>2.6978417266187051</v>
      </c>
      <c r="K69" s="340">
        <v>8.2266910420475323</v>
      </c>
      <c r="L69" s="340">
        <v>10.507880910683012</v>
      </c>
      <c r="M69" s="340">
        <v>6.1511423550087869</v>
      </c>
      <c r="N69" s="340">
        <v>6.2724014336917566</v>
      </c>
      <c r="O69" s="340">
        <v>4.5095828635851181</v>
      </c>
      <c r="P69" s="340">
        <v>3.6630036630036629</v>
      </c>
      <c r="Q69" s="340">
        <v>10.165184243964422</v>
      </c>
    </row>
    <row r="70" spans="3:17" ht="18.75" x14ac:dyDescent="0.4">
      <c r="C70" s="2567"/>
      <c r="D70" s="391" t="s">
        <v>761</v>
      </c>
      <c r="E70" s="340">
        <v>7.8125</v>
      </c>
      <c r="F70" s="340">
        <v>13.555787278415016</v>
      </c>
      <c r="G70" s="340">
        <v>5.5370985603543748</v>
      </c>
      <c r="H70" s="340">
        <v>7.8037904124860651</v>
      </c>
      <c r="I70" s="340">
        <v>10.250569476082005</v>
      </c>
      <c r="J70" s="340">
        <v>4.2283298097251585</v>
      </c>
      <c r="K70" s="340">
        <v>2.285714285714286</v>
      </c>
      <c r="L70" s="340">
        <v>4.9627791563275432</v>
      </c>
      <c r="M70" s="340">
        <v>3.8022813688212929</v>
      </c>
      <c r="N70" s="340">
        <v>5.4719562243502047</v>
      </c>
      <c r="O70" s="340">
        <v>6.369426751592357</v>
      </c>
      <c r="P70" s="340">
        <v>6.5146579804560263</v>
      </c>
      <c r="Q70" s="340">
        <v>8.2508250825082499</v>
      </c>
    </row>
    <row r="71" spans="3:17" ht="18.75" x14ac:dyDescent="0.4">
      <c r="C71" s="2567"/>
      <c r="D71" s="391" t="s">
        <v>762</v>
      </c>
      <c r="E71" s="340">
        <v>3.3557046979865772</v>
      </c>
      <c r="F71" s="340">
        <v>14.925373134328359</v>
      </c>
      <c r="G71" s="340">
        <v>7.0175438596491233</v>
      </c>
      <c r="H71" s="340">
        <v>3.7174721189591078</v>
      </c>
      <c r="I71" s="340">
        <v>10.638297872340425</v>
      </c>
      <c r="J71" s="340">
        <v>7.7519379844961236</v>
      </c>
      <c r="K71" s="340">
        <v>7.2992700729927007</v>
      </c>
      <c r="L71" s="392" t="s">
        <v>751</v>
      </c>
      <c r="M71" s="392" t="s">
        <v>751</v>
      </c>
      <c r="N71" s="340">
        <v>8.8105726872246706</v>
      </c>
      <c r="O71" s="392" t="s">
        <v>751</v>
      </c>
      <c r="P71" s="340">
        <v>11.049723756906078</v>
      </c>
      <c r="Q71" s="340">
        <v>4.694835680751174</v>
      </c>
    </row>
    <row r="72" spans="3:17" ht="18.75" x14ac:dyDescent="0.4">
      <c r="C72" s="2567"/>
      <c r="D72" s="391" t="s">
        <v>763</v>
      </c>
      <c r="E72" s="340">
        <v>13.232514177693762</v>
      </c>
      <c r="F72" s="340">
        <v>8.2493125572868919</v>
      </c>
      <c r="G72" s="340">
        <v>4.7036688617121349</v>
      </c>
      <c r="H72" s="340">
        <v>6.756756756756757</v>
      </c>
      <c r="I72" s="340">
        <v>6.0301507537688437</v>
      </c>
      <c r="J72" s="340">
        <v>4.9019607843137258</v>
      </c>
      <c r="K72" s="340">
        <v>8.4210526315789469</v>
      </c>
      <c r="L72" s="340">
        <v>5.4585152838427948</v>
      </c>
      <c r="M72" s="340">
        <v>4.2060988433228177</v>
      </c>
      <c r="N72" s="340">
        <v>4.9566294919454768</v>
      </c>
      <c r="O72" s="340">
        <v>9.4979647218453191</v>
      </c>
      <c r="P72" s="340">
        <v>4.6875</v>
      </c>
      <c r="Q72" s="340">
        <v>4.665629860031105</v>
      </c>
    </row>
    <row r="73" spans="3:17" ht="18.75" x14ac:dyDescent="0.4">
      <c r="C73" s="2567"/>
      <c r="D73" s="391" t="s">
        <v>764</v>
      </c>
      <c r="E73" s="340">
        <v>4.4642857142857144</v>
      </c>
      <c r="F73" s="340">
        <v>10.355029585798817</v>
      </c>
      <c r="G73" s="340">
        <v>5.8055152394775034</v>
      </c>
      <c r="H73" s="340">
        <v>1.680672268907563</v>
      </c>
      <c r="I73" s="340">
        <v>8.1168831168831161</v>
      </c>
      <c r="J73" s="340">
        <v>2.9498525073746311</v>
      </c>
      <c r="K73" s="340">
        <v>3.3500837520938025</v>
      </c>
      <c r="L73" s="340">
        <v>6.7114093959731544</v>
      </c>
      <c r="M73" s="340">
        <v>7.2463768115942031</v>
      </c>
      <c r="N73" s="340">
        <v>8.0808080808080813</v>
      </c>
      <c r="O73" s="340">
        <v>4.0650406504065044</v>
      </c>
      <c r="P73" s="340">
        <v>8.7336244541484707</v>
      </c>
      <c r="Q73" s="340">
        <v>13.392857142857142</v>
      </c>
    </row>
    <row r="74" spans="3:17" ht="18.75" x14ac:dyDescent="0.4">
      <c r="C74" s="2567"/>
      <c r="D74" s="391" t="s">
        <v>765</v>
      </c>
      <c r="E74" s="340">
        <v>7.9491255961844187</v>
      </c>
      <c r="F74" s="340">
        <v>2.9629629629629628</v>
      </c>
      <c r="G74" s="340">
        <v>9.8199672667757767</v>
      </c>
      <c r="H74" s="340">
        <v>10.771992818671455</v>
      </c>
      <c r="I74" s="340">
        <v>10.471204188481677</v>
      </c>
      <c r="J74" s="340">
        <v>10.638297872340425</v>
      </c>
      <c r="K74" s="340">
        <v>3.4129692832764507</v>
      </c>
      <c r="L74" s="340">
        <v>3.992015968063872</v>
      </c>
      <c r="M74" s="340">
        <v>1.8975332068311195</v>
      </c>
      <c r="N74" s="340">
        <v>5.9880239520958085</v>
      </c>
      <c r="O74" s="340">
        <v>9.4786729857819907</v>
      </c>
      <c r="P74" s="340">
        <v>2.5188916876574305</v>
      </c>
      <c r="Q74" s="340">
        <v>4.4843049327354256</v>
      </c>
    </row>
    <row r="75" spans="3:17" ht="18.75" x14ac:dyDescent="0.4">
      <c r="C75" s="2567"/>
      <c r="D75" s="391" t="s">
        <v>766</v>
      </c>
      <c r="E75" s="392" t="s">
        <v>751</v>
      </c>
      <c r="F75" s="392" t="s">
        <v>751</v>
      </c>
      <c r="G75" s="340">
        <v>14.492753623188406</v>
      </c>
      <c r="H75" s="392" t="s">
        <v>751</v>
      </c>
      <c r="I75" s="340">
        <v>15.625</v>
      </c>
      <c r="J75" s="392" t="s">
        <v>751</v>
      </c>
      <c r="K75" s="340">
        <v>13.157894736842104</v>
      </c>
      <c r="L75" s="392" t="s">
        <v>751</v>
      </c>
      <c r="M75" s="392" t="s">
        <v>751</v>
      </c>
      <c r="N75" s="340">
        <v>15.625</v>
      </c>
      <c r="O75" s="340">
        <v>14.925373134328359</v>
      </c>
      <c r="P75" s="392" t="s">
        <v>751</v>
      </c>
      <c r="Q75" s="392" t="s">
        <v>751</v>
      </c>
    </row>
    <row r="76" spans="3:17" ht="18.75" x14ac:dyDescent="0.4">
      <c r="C76" s="2567"/>
      <c r="D76" s="391" t="s">
        <v>767</v>
      </c>
      <c r="E76" s="340">
        <v>23.255813953488371</v>
      </c>
      <c r="F76" s="340">
        <v>9.6153846153846168</v>
      </c>
      <c r="G76" s="392" t="s">
        <v>751</v>
      </c>
      <c r="H76" s="340">
        <v>7.8125</v>
      </c>
      <c r="I76" s="340">
        <v>31.746031746031743</v>
      </c>
      <c r="J76" s="340">
        <v>9.0090090090090094</v>
      </c>
      <c r="K76" s="392" t="s">
        <v>751</v>
      </c>
      <c r="L76" s="392" t="s">
        <v>751</v>
      </c>
      <c r="M76" s="340">
        <v>17.241379310344826</v>
      </c>
      <c r="N76" s="340">
        <v>8.064516129032258</v>
      </c>
      <c r="O76" s="392" t="s">
        <v>751</v>
      </c>
      <c r="P76" s="392" t="s">
        <v>751</v>
      </c>
      <c r="Q76" s="392">
        <v>22.727272727272727</v>
      </c>
    </row>
    <row r="77" spans="3:17" ht="18.75" x14ac:dyDescent="0.4">
      <c r="C77" s="2567"/>
      <c r="D77" s="391" t="s">
        <v>768</v>
      </c>
      <c r="E77" s="340">
        <v>8.8495575221238933</v>
      </c>
      <c r="F77" s="340">
        <v>8.8235294117647065</v>
      </c>
      <c r="G77" s="340">
        <v>9.2592592592592595</v>
      </c>
      <c r="H77" s="340">
        <v>4.0526849037487338</v>
      </c>
      <c r="I77" s="340">
        <v>5.9113300492610845</v>
      </c>
      <c r="J77" s="340">
        <v>7.6263107721639658</v>
      </c>
      <c r="K77" s="340">
        <v>3.9800995024875618</v>
      </c>
      <c r="L77" s="340">
        <v>14.344262295081968</v>
      </c>
      <c r="M77" s="340">
        <v>11.098779134295228</v>
      </c>
      <c r="N77" s="340">
        <v>2.1074815595363541</v>
      </c>
      <c r="O77" s="340">
        <v>6.2344139650872821</v>
      </c>
      <c r="P77" s="340">
        <v>2.8860028860028861</v>
      </c>
      <c r="Q77" s="340">
        <v>5.9612518628912072</v>
      </c>
    </row>
    <row r="78" spans="3:17" ht="18.75" x14ac:dyDescent="0.4">
      <c r="C78" s="2567"/>
      <c r="D78" s="391" t="s">
        <v>769</v>
      </c>
      <c r="E78" s="340">
        <v>9.3333333333333339</v>
      </c>
      <c r="F78" s="340">
        <v>3.8759689922480618</v>
      </c>
      <c r="G78" s="340">
        <v>5.5674518201284799</v>
      </c>
      <c r="H78" s="340">
        <v>5.0301810865191143</v>
      </c>
      <c r="I78" s="340">
        <v>7.3529411764705879</v>
      </c>
      <c r="J78" s="340">
        <v>6.0521415270018615</v>
      </c>
      <c r="K78" s="340">
        <v>4.7080979284369109</v>
      </c>
      <c r="L78" s="340">
        <v>5.6390977443609023</v>
      </c>
      <c r="M78" s="340">
        <v>1.9020446980504042</v>
      </c>
      <c r="N78" s="340">
        <v>3.065917220235054</v>
      </c>
      <c r="O78" s="340">
        <v>3.9215686274509802</v>
      </c>
      <c r="P78" s="340">
        <v>6.8104426787741197</v>
      </c>
      <c r="Q78" s="340">
        <v>8.2595870206489668</v>
      </c>
    </row>
    <row r="79" spans="3:17" ht="18.75" x14ac:dyDescent="0.4">
      <c r="C79" s="2567"/>
      <c r="D79" s="391" t="s">
        <v>770</v>
      </c>
      <c r="E79" s="340">
        <v>11.976047904191617</v>
      </c>
      <c r="F79" s="340">
        <v>16.853932584269664</v>
      </c>
      <c r="G79" s="340">
        <v>15.075376884422109</v>
      </c>
      <c r="H79" s="340">
        <v>21.978021978021978</v>
      </c>
      <c r="I79" s="340">
        <v>11.235955056179774</v>
      </c>
      <c r="J79" s="340">
        <v>18.292682926829269</v>
      </c>
      <c r="K79" s="340">
        <v>9.9009900990099009</v>
      </c>
      <c r="L79" s="340">
        <v>5.1282051282051286</v>
      </c>
      <c r="M79" s="340">
        <v>11.111111111111111</v>
      </c>
      <c r="N79" s="340">
        <v>11.560693641618496</v>
      </c>
      <c r="O79" s="340">
        <v>18.633540372670808</v>
      </c>
      <c r="P79" s="392" t="s">
        <v>751</v>
      </c>
      <c r="Q79" s="392">
        <v>21.428571428571427</v>
      </c>
    </row>
    <row r="80" spans="3:17" ht="18.75" x14ac:dyDescent="0.4">
      <c r="C80" s="2567" t="s">
        <v>329</v>
      </c>
      <c r="D80" s="391" t="s">
        <v>329</v>
      </c>
      <c r="E80" s="340">
        <v>7.591933570581257</v>
      </c>
      <c r="F80" s="340">
        <v>6.4995357474466102</v>
      </c>
      <c r="G80" s="340">
        <v>5.4104916490237596</v>
      </c>
      <c r="H80" s="340">
        <v>4.4204322200392925</v>
      </c>
      <c r="I80" s="340">
        <v>4.9692380501656412</v>
      </c>
      <c r="J80" s="340">
        <v>6.666666666666667</v>
      </c>
      <c r="K80" s="340">
        <v>4.3270325666135276</v>
      </c>
      <c r="L80" s="340">
        <v>4.7058823529411757</v>
      </c>
      <c r="M80" s="340">
        <v>7.6611086074808474</v>
      </c>
      <c r="N80" s="340">
        <v>5.4753608760577404</v>
      </c>
      <c r="O80" s="340">
        <v>5.9585492227979273</v>
      </c>
      <c r="P80" s="340">
        <v>6.1401060563773369</v>
      </c>
      <c r="Q80" s="340">
        <v>9.1580502215657322</v>
      </c>
    </row>
    <row r="81" spans="3:17" ht="18.75" x14ac:dyDescent="0.4">
      <c r="C81" s="2567"/>
      <c r="D81" s="391" t="s">
        <v>771</v>
      </c>
      <c r="E81" s="340">
        <v>5.0083472454090145</v>
      </c>
      <c r="F81" s="340">
        <v>6.3593004769475359</v>
      </c>
      <c r="G81" s="340">
        <v>4.0816326530612246</v>
      </c>
      <c r="H81" s="340">
        <v>1.6583747927031509</v>
      </c>
      <c r="I81" s="340">
        <v>4.796163069544364</v>
      </c>
      <c r="J81" s="340">
        <v>7.5471698113207548</v>
      </c>
      <c r="K81" s="340">
        <v>3.0959752321981426</v>
      </c>
      <c r="L81" s="340">
        <v>5.3313023610053314</v>
      </c>
      <c r="M81" s="340">
        <v>9.1514143094841938</v>
      </c>
      <c r="N81" s="340">
        <v>2.5020850708924103</v>
      </c>
      <c r="O81" s="340">
        <v>4.5495905368516834</v>
      </c>
      <c r="P81" s="340">
        <v>4.770992366412214</v>
      </c>
      <c r="Q81" s="340">
        <v>9.9502487562189046</v>
      </c>
    </row>
    <row r="82" spans="3:17" ht="18.75" x14ac:dyDescent="0.4">
      <c r="C82" s="2567"/>
      <c r="D82" s="391" t="s">
        <v>772</v>
      </c>
      <c r="E82" s="340">
        <v>4.3215211754537597</v>
      </c>
      <c r="F82" s="340">
        <v>3.215434083601286</v>
      </c>
      <c r="G82" s="340">
        <v>5.1502145922746783</v>
      </c>
      <c r="H82" s="340">
        <v>7.1884984025559104</v>
      </c>
      <c r="I82" s="340">
        <v>2.4711696869851729</v>
      </c>
      <c r="J82" s="340">
        <v>2.3677979479084454</v>
      </c>
      <c r="K82" s="340">
        <v>4.2229729729729728</v>
      </c>
      <c r="L82" s="340">
        <v>6.6445182724252492</v>
      </c>
      <c r="M82" s="340">
        <v>4.9342105263157894</v>
      </c>
      <c r="N82" s="340">
        <v>3.3222591362126246</v>
      </c>
      <c r="O82" s="340">
        <v>5.9808612440191391</v>
      </c>
      <c r="P82" s="340">
        <v>9.1984231274638635</v>
      </c>
      <c r="Q82" s="340">
        <v>5.1679586563307494</v>
      </c>
    </row>
    <row r="83" spans="3:17" ht="18.75" x14ac:dyDescent="0.4">
      <c r="C83" s="2567"/>
      <c r="D83" s="391" t="s">
        <v>773</v>
      </c>
      <c r="E83" s="340">
        <v>12.658227848101266</v>
      </c>
      <c r="F83" s="392" t="s">
        <v>751</v>
      </c>
      <c r="G83" s="392" t="s">
        <v>751</v>
      </c>
      <c r="H83" s="340">
        <v>38.461538461538467</v>
      </c>
      <c r="I83" s="392" t="s">
        <v>751</v>
      </c>
      <c r="J83" s="392" t="s">
        <v>751</v>
      </c>
      <c r="K83" s="392" t="s">
        <v>751</v>
      </c>
      <c r="L83" s="392" t="s">
        <v>751</v>
      </c>
      <c r="M83" s="392" t="s">
        <v>751</v>
      </c>
      <c r="N83" s="392" t="s">
        <v>751</v>
      </c>
      <c r="O83" s="392" t="s">
        <v>751</v>
      </c>
      <c r="P83" s="392" t="s">
        <v>751</v>
      </c>
      <c r="Q83" s="392">
        <v>15.625</v>
      </c>
    </row>
    <row r="84" spans="3:17" ht="18.75" x14ac:dyDescent="0.4">
      <c r="C84" s="2567"/>
      <c r="D84" s="391" t="s">
        <v>774</v>
      </c>
      <c r="E84" s="340">
        <v>3.0769230769230771</v>
      </c>
      <c r="F84" s="340">
        <v>9.4936708860759502</v>
      </c>
      <c r="G84" s="340">
        <v>3.1948881789137378</v>
      </c>
      <c r="H84" s="340">
        <v>3.278688524590164</v>
      </c>
      <c r="I84" s="392" t="s">
        <v>751</v>
      </c>
      <c r="J84" s="392" t="s">
        <v>751</v>
      </c>
      <c r="K84" s="340">
        <v>6.0060060060060056</v>
      </c>
      <c r="L84" s="340">
        <v>9.316770186335404</v>
      </c>
      <c r="M84" s="340">
        <v>5.6179775280898872</v>
      </c>
      <c r="N84" s="392" t="s">
        <v>751</v>
      </c>
      <c r="O84" s="340">
        <v>6.2893081761006293</v>
      </c>
      <c r="P84" s="340">
        <v>3.4129692832764507</v>
      </c>
      <c r="Q84" s="392" t="s">
        <v>751</v>
      </c>
    </row>
    <row r="85" spans="3:17" ht="18.75" x14ac:dyDescent="0.4">
      <c r="C85" s="2567"/>
      <c r="D85" s="391" t="s">
        <v>775</v>
      </c>
      <c r="E85" s="340">
        <v>1.5748031496062991</v>
      </c>
      <c r="F85" s="340">
        <v>3.2206119162640903</v>
      </c>
      <c r="G85" s="340">
        <v>3.2051282051282048</v>
      </c>
      <c r="H85" s="340">
        <v>11.686143572621035</v>
      </c>
      <c r="I85" s="340">
        <v>8.6805555555555554</v>
      </c>
      <c r="J85" s="340">
        <v>6.6445182724252492</v>
      </c>
      <c r="K85" s="340">
        <v>3.4013605442176869</v>
      </c>
      <c r="L85" s="340">
        <v>6.968641114982578</v>
      </c>
      <c r="M85" s="340">
        <v>1.6638935108153079</v>
      </c>
      <c r="N85" s="340">
        <v>8.8809946714031973</v>
      </c>
      <c r="O85" s="340">
        <v>1.9920318725099602</v>
      </c>
      <c r="P85" s="340">
        <v>6.4935064935064943</v>
      </c>
      <c r="Q85" s="340">
        <v>6.5075921908893708</v>
      </c>
    </row>
    <row r="86" spans="3:17" ht="18.75" x14ac:dyDescent="0.4">
      <c r="C86" s="2567"/>
      <c r="D86" s="391" t="s">
        <v>776</v>
      </c>
      <c r="E86" s="340">
        <v>4.4843049327354256</v>
      </c>
      <c r="F86" s="340">
        <v>4.1580041580041582</v>
      </c>
      <c r="G86" s="340">
        <v>4.7169811320754711</v>
      </c>
      <c r="H86" s="340">
        <v>4.5146726862302478</v>
      </c>
      <c r="I86" s="340">
        <v>11.135857461024498</v>
      </c>
      <c r="J86" s="392" t="s">
        <v>751</v>
      </c>
      <c r="K86" s="340">
        <v>6.5075921908893708</v>
      </c>
      <c r="L86" s="340">
        <v>2.2371364653243848</v>
      </c>
      <c r="M86" s="340">
        <v>2.2075055187637971</v>
      </c>
      <c r="N86" s="340">
        <v>12.345679012345679</v>
      </c>
      <c r="O86" s="340">
        <v>5.333333333333333</v>
      </c>
      <c r="P86" s="340">
        <v>2.7247956403269753</v>
      </c>
      <c r="Q86" s="340">
        <v>17.241379310344826</v>
      </c>
    </row>
    <row r="87" spans="3:17" ht="18.75" x14ac:dyDescent="0.4">
      <c r="C87" s="2567"/>
      <c r="D87" s="391" t="s">
        <v>777</v>
      </c>
      <c r="E87" s="340">
        <v>6.5645514223194743</v>
      </c>
      <c r="F87" s="340">
        <v>2.1598272138228944</v>
      </c>
      <c r="G87" s="340">
        <v>10.615711252653927</v>
      </c>
      <c r="H87" s="340">
        <v>7.1942446043165473</v>
      </c>
      <c r="I87" s="340">
        <v>8.3507306889352808</v>
      </c>
      <c r="J87" s="340">
        <v>3.9525691699604741</v>
      </c>
      <c r="K87" s="340">
        <v>6.1349693251533743</v>
      </c>
      <c r="L87" s="340">
        <v>4.1493775933609962</v>
      </c>
      <c r="M87" s="340">
        <v>4.2553191489361701</v>
      </c>
      <c r="N87" s="340">
        <v>11.904761904761903</v>
      </c>
      <c r="O87" s="392" t="s">
        <v>751</v>
      </c>
      <c r="P87" s="340">
        <v>5.2493438320209975</v>
      </c>
      <c r="Q87" s="340">
        <v>7.5376884422110546</v>
      </c>
    </row>
    <row r="88" spans="3:17" ht="18.75" x14ac:dyDescent="0.4">
      <c r="C88" s="2567"/>
      <c r="D88" s="391" t="s">
        <v>778</v>
      </c>
      <c r="E88" s="340">
        <v>9.8039215686274517</v>
      </c>
      <c r="F88" s="392" t="s">
        <v>751</v>
      </c>
      <c r="G88" s="340">
        <v>10.033444816053512</v>
      </c>
      <c r="H88" s="340">
        <v>3.1446540880503147</v>
      </c>
      <c r="I88" s="392" t="s">
        <v>751</v>
      </c>
      <c r="J88" s="340">
        <v>16.077170418006428</v>
      </c>
      <c r="K88" s="340">
        <v>12.307692307692308</v>
      </c>
      <c r="L88" s="340">
        <v>6.1728395061728394</v>
      </c>
      <c r="M88" s="340">
        <v>3.0864197530864197</v>
      </c>
      <c r="N88" s="340">
        <v>10.380622837370241</v>
      </c>
      <c r="O88" s="340">
        <v>10.948905109489052</v>
      </c>
      <c r="P88" s="340">
        <v>7.8431372549019605</v>
      </c>
      <c r="Q88" s="340">
        <v>12.295081967213115</v>
      </c>
    </row>
    <row r="89" spans="3:17" ht="18.75" x14ac:dyDescent="0.4">
      <c r="C89" s="2567"/>
      <c r="D89" s="391" t="s">
        <v>779</v>
      </c>
      <c r="E89" s="340">
        <v>5.3019145802650955</v>
      </c>
      <c r="F89" s="340">
        <v>6.6996795805418001</v>
      </c>
      <c r="G89" s="340">
        <v>7.0052539404553418</v>
      </c>
      <c r="H89" s="340">
        <v>3.3092659446450061</v>
      </c>
      <c r="I89" s="340">
        <v>6.1547479484173504</v>
      </c>
      <c r="J89" s="340">
        <v>5.4913294797687859</v>
      </c>
      <c r="K89" s="340">
        <v>4.5303533675626699</v>
      </c>
      <c r="L89" s="340">
        <v>4.2979942693409745</v>
      </c>
      <c r="M89" s="340">
        <v>6.806579693703914</v>
      </c>
      <c r="N89" s="340">
        <v>5.0648939537828426</v>
      </c>
      <c r="O89" s="340">
        <v>5.0107372942018609</v>
      </c>
      <c r="P89" s="340">
        <v>6.746626686656672</v>
      </c>
      <c r="Q89" s="340">
        <v>6.1217140799423841</v>
      </c>
    </row>
    <row r="90" spans="3:17" ht="18.75" x14ac:dyDescent="0.4">
      <c r="C90" s="2567"/>
      <c r="D90" s="391" t="s">
        <v>780</v>
      </c>
      <c r="E90" s="340">
        <v>8.5470085470085486</v>
      </c>
      <c r="F90" s="340">
        <v>9.2165898617511512</v>
      </c>
      <c r="G90" s="392" t="s">
        <v>751</v>
      </c>
      <c r="H90" s="340">
        <v>9.3023255813953494</v>
      </c>
      <c r="I90" s="340">
        <v>5.0761421319796947</v>
      </c>
      <c r="J90" s="392" t="s">
        <v>751</v>
      </c>
      <c r="K90" s="340">
        <v>12.820512820512819</v>
      </c>
      <c r="L90" s="340">
        <v>4.6082949308755756</v>
      </c>
      <c r="M90" s="340">
        <v>3.7174721189591078</v>
      </c>
      <c r="N90" s="340">
        <v>16.949152542372882</v>
      </c>
      <c r="O90" s="340">
        <v>8.7336244541484707</v>
      </c>
      <c r="P90" s="340">
        <v>16.129032258064516</v>
      </c>
      <c r="Q90" s="340">
        <v>5.4054054054054053</v>
      </c>
    </row>
    <row r="91" spans="3:17" ht="18.75" x14ac:dyDescent="0.4">
      <c r="C91" s="2567"/>
      <c r="D91" s="391" t="s">
        <v>781</v>
      </c>
      <c r="E91" s="340">
        <v>6.9930069930069934</v>
      </c>
      <c r="F91" s="340">
        <v>7.6628352490421454</v>
      </c>
      <c r="G91" s="340">
        <v>3.6630036630036629</v>
      </c>
      <c r="H91" s="340">
        <v>9.3023255813953494</v>
      </c>
      <c r="I91" s="340">
        <v>3.3222591362126246</v>
      </c>
      <c r="J91" s="340">
        <v>11.194029850746269</v>
      </c>
      <c r="K91" s="340">
        <v>3.8759689922480618</v>
      </c>
      <c r="L91" s="340">
        <v>12.096774193548386</v>
      </c>
      <c r="M91" s="392" t="s">
        <v>751</v>
      </c>
      <c r="N91" s="340">
        <v>8.5836909871244629</v>
      </c>
      <c r="O91" s="340">
        <v>8.5470085470085486</v>
      </c>
      <c r="P91" s="340">
        <v>5.7803468208092479</v>
      </c>
      <c r="Q91" s="392" t="s">
        <v>751</v>
      </c>
    </row>
    <row r="92" spans="3:17" ht="18.75" x14ac:dyDescent="0.4">
      <c r="C92" s="2567"/>
      <c r="D92" s="391" t="s">
        <v>782</v>
      </c>
      <c r="E92" s="340">
        <v>2.3952095808383231</v>
      </c>
      <c r="F92" s="340">
        <v>9.1116173120728927</v>
      </c>
      <c r="G92" s="340">
        <v>3.225806451612903</v>
      </c>
      <c r="H92" s="340">
        <v>6.5288356909684442</v>
      </c>
      <c r="I92" s="340">
        <v>4.9652432969215496</v>
      </c>
      <c r="J92" s="340">
        <v>11.31687242798354</v>
      </c>
      <c r="K92" s="340">
        <v>6.4794816414686824</v>
      </c>
      <c r="L92" s="340">
        <v>8.9730807577268195</v>
      </c>
      <c r="M92" s="340">
        <v>6.5913370998116765</v>
      </c>
      <c r="N92" s="340">
        <v>3.3594624860022395</v>
      </c>
      <c r="O92" s="340">
        <v>4.5662100456620998</v>
      </c>
      <c r="P92" s="340">
        <v>5.1020408163265305</v>
      </c>
      <c r="Q92" s="340">
        <v>9.2961487383798147</v>
      </c>
    </row>
    <row r="93" spans="3:17" ht="18.75" x14ac:dyDescent="0.4">
      <c r="C93" s="2567"/>
      <c r="D93" s="391" t="s">
        <v>783</v>
      </c>
      <c r="E93" s="340">
        <v>3.9761431411530812</v>
      </c>
      <c r="F93" s="340">
        <v>16.363636363636363</v>
      </c>
      <c r="G93" s="340">
        <v>7.1428571428571423</v>
      </c>
      <c r="H93" s="340">
        <v>9.4488188976377945</v>
      </c>
      <c r="I93" s="340">
        <v>3.2948929159802307</v>
      </c>
      <c r="J93" s="340">
        <v>4.9261083743842367</v>
      </c>
      <c r="K93" s="340">
        <v>5.9347181008902083</v>
      </c>
      <c r="L93" s="340">
        <v>9.67741935483871</v>
      </c>
      <c r="M93" s="340">
        <v>1.3440860215053765</v>
      </c>
      <c r="N93" s="340">
        <v>7.2150072150072146</v>
      </c>
      <c r="O93" s="340">
        <v>6.9930069930069934</v>
      </c>
      <c r="P93" s="340">
        <v>8.5178875638841571</v>
      </c>
      <c r="Q93" s="340">
        <v>5.3285968028419184</v>
      </c>
    </row>
    <row r="94" spans="3:17" ht="18.75" x14ac:dyDescent="0.4">
      <c r="C94" s="2567"/>
      <c r="D94" s="391" t="s">
        <v>784</v>
      </c>
      <c r="E94" s="340">
        <v>7.4906367041198498</v>
      </c>
      <c r="F94" s="392" t="s">
        <v>751</v>
      </c>
      <c r="G94" s="340">
        <v>10.48951048951049</v>
      </c>
      <c r="H94" s="340">
        <v>9.2024539877300615</v>
      </c>
      <c r="I94" s="340">
        <v>9.8039215686274517</v>
      </c>
      <c r="J94" s="392" t="s">
        <v>751</v>
      </c>
      <c r="K94" s="392" t="s">
        <v>751</v>
      </c>
      <c r="L94" s="392" t="s">
        <v>751</v>
      </c>
      <c r="M94" s="340">
        <v>12.861736334405144</v>
      </c>
      <c r="N94" s="392" t="s">
        <v>751</v>
      </c>
      <c r="O94" s="392" t="s">
        <v>751</v>
      </c>
      <c r="P94" s="340">
        <v>8.2987551867219924</v>
      </c>
      <c r="Q94" s="340">
        <v>9.4786729857819907</v>
      </c>
    </row>
    <row r="95" spans="3:17" ht="18.75" x14ac:dyDescent="0.4">
      <c r="C95" s="2567"/>
      <c r="D95" s="391" t="s">
        <v>785</v>
      </c>
      <c r="E95" s="392" t="s">
        <v>786</v>
      </c>
      <c r="F95" s="392" t="s">
        <v>786</v>
      </c>
      <c r="G95" s="392" t="s">
        <v>786</v>
      </c>
      <c r="H95" s="392" t="s">
        <v>786</v>
      </c>
      <c r="I95" s="392" t="s">
        <v>786</v>
      </c>
      <c r="J95" s="392" t="s">
        <v>786</v>
      </c>
      <c r="K95" s="392" t="s">
        <v>786</v>
      </c>
      <c r="L95" s="392" t="s">
        <v>786</v>
      </c>
      <c r="M95" s="392" t="s">
        <v>786</v>
      </c>
      <c r="N95" s="340">
        <v>11.538461538461538</v>
      </c>
      <c r="O95" s="340">
        <v>7.7220077220077226</v>
      </c>
      <c r="P95" s="392" t="s">
        <v>751</v>
      </c>
      <c r="Q95" s="392">
        <v>8.8105726872246706</v>
      </c>
    </row>
    <row r="96" spans="3:17" ht="18.75" x14ac:dyDescent="0.4">
      <c r="C96" s="2567" t="s">
        <v>330</v>
      </c>
      <c r="D96" s="391" t="s">
        <v>330</v>
      </c>
      <c r="E96" s="340">
        <v>4.2533081285444236</v>
      </c>
      <c r="F96" s="340">
        <v>8.7922258213789917</v>
      </c>
      <c r="G96" s="340">
        <v>6.9284064665127021</v>
      </c>
      <c r="H96" s="340">
        <v>7.3170731707317076</v>
      </c>
      <c r="I96" s="340">
        <v>5.9760956175298805</v>
      </c>
      <c r="J96" s="340">
        <v>6.8897637795275593</v>
      </c>
      <c r="K96" s="340">
        <v>4.440059200789344</v>
      </c>
      <c r="L96" s="340">
        <v>8.7674058793192362</v>
      </c>
      <c r="M96" s="340">
        <v>5.8047493403693933</v>
      </c>
      <c r="N96" s="340">
        <v>8.938547486033519</v>
      </c>
      <c r="O96" s="340">
        <v>4.6975924838520253</v>
      </c>
      <c r="P96" s="340">
        <v>8.2697201017811697</v>
      </c>
      <c r="Q96" s="340">
        <v>8.3925112976113621</v>
      </c>
    </row>
    <row r="97" spans="3:17" ht="18.75" x14ac:dyDescent="0.4">
      <c r="C97" s="2567"/>
      <c r="D97" s="391" t="s">
        <v>787</v>
      </c>
      <c r="E97" s="340">
        <v>5.7471264367816088</v>
      </c>
      <c r="F97" s="340">
        <v>7.7262693156732896</v>
      </c>
      <c r="G97" s="340">
        <v>7.3761854583772397</v>
      </c>
      <c r="H97" s="340">
        <v>7.6169749727965179</v>
      </c>
      <c r="I97" s="340">
        <v>9.2485549132947984</v>
      </c>
      <c r="J97" s="340">
        <v>9.1324200913241995</v>
      </c>
      <c r="K97" s="340">
        <v>5.7208237986270021</v>
      </c>
      <c r="L97" s="340">
        <v>3.4802784222737819</v>
      </c>
      <c r="M97" s="340">
        <v>3.7174721189591078</v>
      </c>
      <c r="N97" s="340">
        <v>8.0753701211305522</v>
      </c>
      <c r="O97" s="340">
        <v>13.274336283185841</v>
      </c>
      <c r="P97" s="340">
        <v>9.3896713615023479</v>
      </c>
      <c r="Q97" s="340">
        <v>6.2305295950155761</v>
      </c>
    </row>
    <row r="98" spans="3:17" ht="18.75" x14ac:dyDescent="0.4">
      <c r="C98" s="2567"/>
      <c r="D98" s="391" t="s">
        <v>788</v>
      </c>
      <c r="E98" s="340">
        <v>6.607929515418502</v>
      </c>
      <c r="F98" s="340">
        <v>10.212097407698352</v>
      </c>
      <c r="G98" s="340">
        <v>6.0422960725075532</v>
      </c>
      <c r="H98" s="340">
        <v>5.3763440860215059</v>
      </c>
      <c r="I98" s="340">
        <v>5.9171597633136095</v>
      </c>
      <c r="J98" s="340">
        <v>7.8515346181299073</v>
      </c>
      <c r="K98" s="340">
        <v>3.8669760247486464</v>
      </c>
      <c r="L98" s="340">
        <v>3.9588281868566901</v>
      </c>
      <c r="M98" s="340">
        <v>8.8495575221238933</v>
      </c>
      <c r="N98" s="340">
        <v>4.9833887043189362</v>
      </c>
      <c r="O98" s="340">
        <v>3.568242640499554</v>
      </c>
      <c r="P98" s="340">
        <v>7.9920079920079923</v>
      </c>
      <c r="Q98" s="340">
        <v>13.186813186813186</v>
      </c>
    </row>
    <row r="99" spans="3:17" ht="18.75" x14ac:dyDescent="0.4">
      <c r="C99" s="2567"/>
      <c r="D99" s="391" t="s">
        <v>789</v>
      </c>
      <c r="E99" s="392" t="s">
        <v>751</v>
      </c>
      <c r="F99" s="340">
        <v>4.7393364928909953</v>
      </c>
      <c r="G99" s="392" t="s">
        <v>751</v>
      </c>
      <c r="H99" s="392" t="s">
        <v>751</v>
      </c>
      <c r="I99" s="340">
        <v>12.76595744680851</v>
      </c>
      <c r="J99" s="340">
        <v>8.1300813008130088</v>
      </c>
      <c r="K99" s="340">
        <v>16.736401673640167</v>
      </c>
      <c r="L99" s="340">
        <v>9.7560975609756095</v>
      </c>
      <c r="M99" s="340">
        <v>4.694835680751174</v>
      </c>
      <c r="N99" s="340">
        <v>24.509803921568626</v>
      </c>
      <c r="O99" s="340">
        <v>4.5045045045045047</v>
      </c>
      <c r="P99" s="340">
        <v>5.9880239520958085</v>
      </c>
      <c r="Q99" s="340">
        <v>15.706806282722512</v>
      </c>
    </row>
    <row r="100" spans="3:17" ht="18.75" x14ac:dyDescent="0.4">
      <c r="C100" s="2567"/>
      <c r="D100" s="391" t="s">
        <v>790</v>
      </c>
      <c r="E100" s="340">
        <v>3.6133694670280034</v>
      </c>
      <c r="F100" s="340">
        <v>4.0160642570281118</v>
      </c>
      <c r="G100" s="340">
        <v>7.7519379844961236</v>
      </c>
      <c r="H100" s="340">
        <v>5.0377833753148611</v>
      </c>
      <c r="I100" s="340">
        <v>4.2337002540220148</v>
      </c>
      <c r="J100" s="340">
        <v>8.9869281045751634</v>
      </c>
      <c r="K100" s="340">
        <v>12.798634812286689</v>
      </c>
      <c r="L100" s="340">
        <v>3.5429583702391496</v>
      </c>
      <c r="M100" s="340">
        <v>1.9342359767891684</v>
      </c>
      <c r="N100" s="340">
        <v>9.8328416912487704</v>
      </c>
      <c r="O100" s="340">
        <v>8.1967213114754109</v>
      </c>
      <c r="P100" s="340">
        <v>8.4925690021231421</v>
      </c>
      <c r="Q100" s="340">
        <v>8.8397790055248624</v>
      </c>
    </row>
    <row r="101" spans="3:17" ht="18.75" x14ac:dyDescent="0.4">
      <c r="C101" s="2567"/>
      <c r="D101" s="391" t="s">
        <v>791</v>
      </c>
      <c r="E101" s="340">
        <v>4.9504950495049505</v>
      </c>
      <c r="F101" s="340">
        <v>9.0909090909090899</v>
      </c>
      <c r="G101" s="392" t="s">
        <v>751</v>
      </c>
      <c r="H101" s="340">
        <v>10.471204188481677</v>
      </c>
      <c r="I101" s="392" t="s">
        <v>751</v>
      </c>
      <c r="J101" s="340">
        <v>5.0505050505050511</v>
      </c>
      <c r="K101" s="392" t="s">
        <v>751</v>
      </c>
      <c r="L101" s="340">
        <v>4.9751243781094523</v>
      </c>
      <c r="M101" s="340">
        <v>5.6497175141242941</v>
      </c>
      <c r="N101" s="340">
        <v>4.6082949308755756</v>
      </c>
      <c r="O101" s="340">
        <v>5.6497175141242941</v>
      </c>
      <c r="P101" s="392" t="s">
        <v>751</v>
      </c>
      <c r="Q101" s="392">
        <v>6.024096385542169</v>
      </c>
    </row>
    <row r="102" spans="3:17" ht="18.75" x14ac:dyDescent="0.4">
      <c r="C102" s="2567"/>
      <c r="D102" s="391" t="s">
        <v>792</v>
      </c>
      <c r="E102" s="340">
        <v>11.577424023154848</v>
      </c>
      <c r="F102" s="340">
        <v>3.3167495854063018</v>
      </c>
      <c r="G102" s="340">
        <v>8.2758620689655178</v>
      </c>
      <c r="H102" s="340">
        <v>3.0674846625766872</v>
      </c>
      <c r="I102" s="340">
        <v>4.431314623338257</v>
      </c>
      <c r="J102" s="340">
        <v>8.695652173913043</v>
      </c>
      <c r="K102" s="340">
        <v>2.9368575624082229</v>
      </c>
      <c r="L102" s="340">
        <v>6.8143100511073254</v>
      </c>
      <c r="M102" s="340">
        <v>9.67741935483871</v>
      </c>
      <c r="N102" s="340">
        <v>3.225806451612903</v>
      </c>
      <c r="O102" s="340">
        <v>5.3667262969588547</v>
      </c>
      <c r="P102" s="340">
        <v>10.526315789473683</v>
      </c>
      <c r="Q102" s="340">
        <v>4.1493775933609962</v>
      </c>
    </row>
    <row r="103" spans="3:17" ht="18.75" x14ac:dyDescent="0.4">
      <c r="C103" s="2567"/>
      <c r="D103" s="391" t="s">
        <v>793</v>
      </c>
      <c r="E103" s="340">
        <v>1.5479876160990713</v>
      </c>
      <c r="F103" s="340">
        <v>4.2979942693409745</v>
      </c>
      <c r="G103" s="340">
        <v>11.308562197092083</v>
      </c>
      <c r="H103" s="340">
        <v>3.1796502384737679</v>
      </c>
      <c r="I103" s="340">
        <v>6.051437216338881</v>
      </c>
      <c r="J103" s="340">
        <v>7.9744816586921843</v>
      </c>
      <c r="K103" s="340">
        <v>5.8997050147492622</v>
      </c>
      <c r="L103" s="340">
        <v>8.995502248875562</v>
      </c>
      <c r="M103" s="340">
        <v>3.2948929159802307</v>
      </c>
      <c r="N103" s="340">
        <v>5.0675675675675675</v>
      </c>
      <c r="O103" s="340">
        <v>3.4246575342465753</v>
      </c>
      <c r="P103" s="340">
        <v>3.795066413662239</v>
      </c>
      <c r="Q103" s="340">
        <v>5.7915057915057915</v>
      </c>
    </row>
    <row r="104" spans="3:17" ht="18.75" x14ac:dyDescent="0.4">
      <c r="C104" s="2570" t="s">
        <v>331</v>
      </c>
      <c r="D104" s="391" t="s">
        <v>331</v>
      </c>
      <c r="E104" s="340">
        <v>5.9012875536480687</v>
      </c>
      <c r="F104" s="340">
        <v>8.5333333333333332</v>
      </c>
      <c r="G104" s="340">
        <v>5.2110474205315267</v>
      </c>
      <c r="H104" s="340">
        <v>4.4444444444444446</v>
      </c>
      <c r="I104" s="340">
        <v>3.8716814159292037</v>
      </c>
      <c r="J104" s="340">
        <v>6.0109289617486343</v>
      </c>
      <c r="K104" s="340">
        <v>9.1012514220705345</v>
      </c>
      <c r="L104" s="340">
        <v>6.3805104408352662</v>
      </c>
      <c r="M104" s="340">
        <v>6.455399061032864</v>
      </c>
      <c r="N104" s="340">
        <v>7.8125</v>
      </c>
      <c r="O104" s="340">
        <v>4.9088359046283312</v>
      </c>
      <c r="P104" s="340">
        <v>7.137192704203013</v>
      </c>
      <c r="Q104" s="340">
        <v>3.9619651347068148</v>
      </c>
    </row>
    <row r="105" spans="3:17" ht="18.75" x14ac:dyDescent="0.4">
      <c r="C105" s="2570"/>
      <c r="D105" s="391" t="s">
        <v>794</v>
      </c>
      <c r="E105" s="340">
        <v>7.6628352490421454</v>
      </c>
      <c r="F105" s="340">
        <v>3.5460992907801416</v>
      </c>
      <c r="G105" s="340">
        <v>7.2992700729927007</v>
      </c>
      <c r="H105" s="340">
        <v>9.3632958801498134</v>
      </c>
      <c r="I105" s="340">
        <v>3.4013605442176869</v>
      </c>
      <c r="J105" s="340">
        <v>3.4662045060658575</v>
      </c>
      <c r="K105" s="340">
        <v>5.208333333333333</v>
      </c>
      <c r="L105" s="340">
        <v>10.309278350515465</v>
      </c>
      <c r="M105" s="340">
        <v>7.0671378091872787</v>
      </c>
      <c r="N105" s="340">
        <v>5.1546391752577323</v>
      </c>
      <c r="O105" s="340">
        <v>5.8708414872798436</v>
      </c>
      <c r="P105" s="340">
        <v>9.3896713615023479</v>
      </c>
      <c r="Q105" s="340">
        <v>8.6393088552915778</v>
      </c>
    </row>
    <row r="106" spans="3:17" ht="18.75" x14ac:dyDescent="0.4">
      <c r="C106" s="2570"/>
      <c r="D106" s="391" t="s">
        <v>795</v>
      </c>
      <c r="E106" s="340">
        <v>7.3529411764705879</v>
      </c>
      <c r="F106" s="340">
        <v>6.0728744939271255</v>
      </c>
      <c r="G106" s="340">
        <v>1.9342359767891684</v>
      </c>
      <c r="H106" s="340">
        <v>4.0816326530612246</v>
      </c>
      <c r="I106" s="340">
        <v>11.299435028248588</v>
      </c>
      <c r="J106" s="340">
        <v>6.1728395061728394</v>
      </c>
      <c r="K106" s="340">
        <v>2.0661157024793391</v>
      </c>
      <c r="L106" s="340">
        <v>2.2727272727272725</v>
      </c>
      <c r="M106" s="340">
        <v>4.2372881355932206</v>
      </c>
      <c r="N106" s="340">
        <v>6.9930069930069934</v>
      </c>
      <c r="O106" s="340">
        <v>7.4257425742574252</v>
      </c>
      <c r="P106" s="392" t="s">
        <v>751</v>
      </c>
      <c r="Q106" s="392">
        <v>10.38961038961039</v>
      </c>
    </row>
    <row r="107" spans="3:17" ht="18.75" x14ac:dyDescent="0.4">
      <c r="C107" s="2570"/>
      <c r="D107" s="391" t="s">
        <v>796</v>
      </c>
      <c r="E107" s="340">
        <v>1.9011406844106464</v>
      </c>
      <c r="F107" s="340">
        <v>7.8895463510848129</v>
      </c>
      <c r="G107" s="340">
        <v>5.859375</v>
      </c>
      <c r="H107" s="340">
        <v>4</v>
      </c>
      <c r="I107" s="340">
        <v>4.056795131845842</v>
      </c>
      <c r="J107" s="340">
        <v>1.984126984126984</v>
      </c>
      <c r="K107" s="340">
        <v>4.0733197556008145</v>
      </c>
      <c r="L107" s="340">
        <v>4.4052863436123353</v>
      </c>
      <c r="M107" s="340">
        <v>6.5359477124183005</v>
      </c>
      <c r="N107" s="340">
        <v>13.888888888888888</v>
      </c>
      <c r="O107" s="392" t="s">
        <v>751</v>
      </c>
      <c r="P107" s="392" t="s">
        <v>751</v>
      </c>
      <c r="Q107" s="392">
        <v>13.227513227513226</v>
      </c>
    </row>
    <row r="108" spans="3:17" ht="18.75" x14ac:dyDescent="0.4">
      <c r="C108" s="2570"/>
      <c r="D108" s="391" t="s">
        <v>797</v>
      </c>
      <c r="E108" s="392" t="s">
        <v>751</v>
      </c>
      <c r="F108" s="340">
        <v>2.9673590504451042</v>
      </c>
      <c r="G108" s="340">
        <v>4.1265474552957357</v>
      </c>
      <c r="H108" s="340">
        <v>9.022556390977444</v>
      </c>
      <c r="I108" s="340">
        <v>2.8985507246376812</v>
      </c>
      <c r="J108" s="340">
        <v>4.160887656033287</v>
      </c>
      <c r="K108" s="340">
        <v>10.385756676557863</v>
      </c>
      <c r="L108" s="340">
        <v>4.9342105263157894</v>
      </c>
      <c r="M108" s="340">
        <v>4.7169811320754711</v>
      </c>
      <c r="N108" s="340">
        <v>13.745704467353951</v>
      </c>
      <c r="O108" s="340">
        <v>6.1099796334012222</v>
      </c>
      <c r="P108" s="340">
        <v>6.4935064935064943</v>
      </c>
      <c r="Q108" s="340">
        <v>6.666666666666667</v>
      </c>
    </row>
    <row r="109" spans="3:17" ht="18.75" x14ac:dyDescent="0.4">
      <c r="C109" s="2570"/>
      <c r="D109" s="391" t="s">
        <v>798</v>
      </c>
      <c r="E109" s="340">
        <v>12.711864406779663</v>
      </c>
      <c r="F109" s="340">
        <v>3.9840637450199203</v>
      </c>
      <c r="G109" s="340">
        <v>14.925373134328359</v>
      </c>
      <c r="H109" s="340">
        <v>6.8259385665529013</v>
      </c>
      <c r="I109" s="340">
        <v>3.9370078740157481</v>
      </c>
      <c r="J109" s="392" t="s">
        <v>751</v>
      </c>
      <c r="K109" s="392" t="s">
        <v>751</v>
      </c>
      <c r="L109" s="340">
        <v>7.4626865671641793</v>
      </c>
      <c r="M109" s="340">
        <v>3.8759689922480618</v>
      </c>
      <c r="N109" s="340">
        <v>7.518796992481203</v>
      </c>
      <c r="O109" s="340">
        <v>5.4054054054054053</v>
      </c>
      <c r="P109" s="340">
        <v>17.543859649122805</v>
      </c>
      <c r="Q109" s="340">
        <v>4.9751243781094523</v>
      </c>
    </row>
    <row r="110" spans="3:17" ht="18.75" x14ac:dyDescent="0.4">
      <c r="C110" s="2570"/>
      <c r="D110" s="391" t="s">
        <v>799</v>
      </c>
      <c r="E110" s="340">
        <v>10.101010101010102</v>
      </c>
      <c r="F110" s="340">
        <v>8.9020771513353125</v>
      </c>
      <c r="G110" s="340">
        <v>3.1055900621118009</v>
      </c>
      <c r="H110" s="340">
        <v>6.6225165562913908</v>
      </c>
      <c r="I110" s="340">
        <v>9.4637223974763405</v>
      </c>
      <c r="J110" s="392" t="s">
        <v>751</v>
      </c>
      <c r="K110" s="340">
        <v>9.3457943925233646</v>
      </c>
      <c r="L110" s="340">
        <v>3.2573289902280131</v>
      </c>
      <c r="M110" s="340">
        <v>6.756756756756757</v>
      </c>
      <c r="N110" s="340">
        <v>3.3112582781456954</v>
      </c>
      <c r="O110" s="340">
        <v>7.7220077220077226</v>
      </c>
      <c r="P110" s="340">
        <v>4.4444444444444446</v>
      </c>
      <c r="Q110" s="392" t="s">
        <v>751</v>
      </c>
    </row>
    <row r="111" spans="3:17" ht="18.75" x14ac:dyDescent="0.4">
      <c r="C111" s="2570"/>
      <c r="D111" s="391" t="s">
        <v>800</v>
      </c>
      <c r="E111" s="340">
        <v>6.1728395061728394</v>
      </c>
      <c r="F111" s="340">
        <v>3.0211480362537766</v>
      </c>
      <c r="G111" s="340">
        <v>3.3333333333333335</v>
      </c>
      <c r="H111" s="392" t="s">
        <v>751</v>
      </c>
      <c r="I111" s="340">
        <v>8.7719298245614024</v>
      </c>
      <c r="J111" s="340">
        <v>2.8011204481792715</v>
      </c>
      <c r="K111" s="340">
        <v>3.3898305084745761</v>
      </c>
      <c r="L111" s="340">
        <v>12.307692307692308</v>
      </c>
      <c r="M111" s="340">
        <v>3.1746031746031744</v>
      </c>
      <c r="N111" s="392" t="s">
        <v>751</v>
      </c>
      <c r="O111" s="340">
        <v>7.6045627376425857</v>
      </c>
      <c r="P111" s="392" t="s">
        <v>751</v>
      </c>
      <c r="Q111" s="392">
        <v>13.274336283185841</v>
      </c>
    </row>
    <row r="112" spans="3:17" ht="18.75" x14ac:dyDescent="0.4">
      <c r="C112" s="2570"/>
      <c r="D112" s="391" t="s">
        <v>801</v>
      </c>
      <c r="E112" s="340">
        <v>8.9820359281437128</v>
      </c>
      <c r="F112" s="340">
        <v>12.690355329949238</v>
      </c>
      <c r="G112" s="392" t="s">
        <v>751</v>
      </c>
      <c r="H112" s="340">
        <v>3.0959752321981426</v>
      </c>
      <c r="I112" s="340">
        <v>5.7636887608069163</v>
      </c>
      <c r="J112" s="392" t="s">
        <v>751</v>
      </c>
      <c r="K112" s="340">
        <v>2.8653295128939829</v>
      </c>
      <c r="L112" s="340">
        <v>2.9325513196480939</v>
      </c>
      <c r="M112" s="340">
        <v>2.8571428571428572</v>
      </c>
      <c r="N112" s="392" t="s">
        <v>751</v>
      </c>
      <c r="O112" s="340">
        <v>3.3444816053511706</v>
      </c>
      <c r="P112" s="340">
        <v>3.7735849056603774</v>
      </c>
      <c r="Q112" s="392" t="s">
        <v>751</v>
      </c>
    </row>
    <row r="113" spans="3:17" ht="18.75" x14ac:dyDescent="0.4">
      <c r="C113" s="2570"/>
      <c r="D113" s="391" t="s">
        <v>802</v>
      </c>
      <c r="E113" s="340">
        <v>4.4964028776978413</v>
      </c>
      <c r="F113" s="340">
        <v>1.7021276595744681</v>
      </c>
      <c r="G113" s="340">
        <v>4.3177892918825558</v>
      </c>
      <c r="H113" s="340">
        <v>5.6022408963585431</v>
      </c>
      <c r="I113" s="340">
        <v>6.1403508771929829</v>
      </c>
      <c r="J113" s="340">
        <v>7.1174377224199281</v>
      </c>
      <c r="K113" s="340">
        <v>12.006861063464836</v>
      </c>
      <c r="L113" s="340">
        <v>2.6978417266187051</v>
      </c>
      <c r="M113" s="340">
        <v>8.1967213114754109</v>
      </c>
      <c r="N113" s="340">
        <v>1.8832391713747645</v>
      </c>
      <c r="O113" s="340">
        <v>2.1299254526091587</v>
      </c>
      <c r="P113" s="340">
        <v>5.6306306306306304</v>
      </c>
      <c r="Q113" s="340">
        <v>6.2176165803108807</v>
      </c>
    </row>
    <row r="114" spans="3:17" ht="18.75" x14ac:dyDescent="0.4">
      <c r="C114" s="2570" t="s">
        <v>332</v>
      </c>
      <c r="D114" s="391" t="s">
        <v>803</v>
      </c>
      <c r="E114" s="340">
        <v>8.1037277147487838</v>
      </c>
      <c r="F114" s="340">
        <v>8.3523158694001509</v>
      </c>
      <c r="G114" s="340">
        <v>8.2768999247554547</v>
      </c>
      <c r="H114" s="340">
        <v>6.9551777434312214</v>
      </c>
      <c r="I114" s="340">
        <v>6.9930069930069934</v>
      </c>
      <c r="J114" s="340">
        <v>6.1538461538461542</v>
      </c>
      <c r="K114" s="340">
        <v>6.4672594987873886</v>
      </c>
      <c r="L114" s="340">
        <v>4.8780487804878048</v>
      </c>
      <c r="M114" s="340">
        <v>8.3612040133779253</v>
      </c>
      <c r="N114" s="340">
        <v>7.6142131979695433</v>
      </c>
      <c r="O114" s="340">
        <v>3.6663611365719526</v>
      </c>
      <c r="P114" s="340">
        <v>6.6298342541436464</v>
      </c>
      <c r="Q114" s="340">
        <v>5.1072522982635338</v>
      </c>
    </row>
    <row r="115" spans="3:17" ht="18.75" x14ac:dyDescent="0.4">
      <c r="C115" s="2570"/>
      <c r="D115" s="391" t="s">
        <v>804</v>
      </c>
      <c r="E115" s="340">
        <v>9.6385542168674707</v>
      </c>
      <c r="F115" s="340">
        <v>4.4843049327354256</v>
      </c>
      <c r="G115" s="340">
        <v>4.5924225028702645</v>
      </c>
      <c r="H115" s="340">
        <v>6.6401062416998675</v>
      </c>
      <c r="I115" s="340">
        <v>5.9523809523809517</v>
      </c>
      <c r="J115" s="340">
        <v>2.3529411764705879</v>
      </c>
      <c r="K115" s="340">
        <v>4.8840048840048844</v>
      </c>
      <c r="L115" s="340">
        <v>6.1050061050061046</v>
      </c>
      <c r="M115" s="340">
        <v>5.0632911392405067</v>
      </c>
      <c r="N115" s="340">
        <v>2.5062656641604009</v>
      </c>
      <c r="O115" s="340">
        <v>5.208333333333333</v>
      </c>
      <c r="P115" s="340">
        <v>12.345679012345679</v>
      </c>
      <c r="Q115" s="340">
        <v>2.9282576866764276</v>
      </c>
    </row>
    <row r="116" spans="3:17" ht="18.75" x14ac:dyDescent="0.4">
      <c r="C116" s="2570"/>
      <c r="D116" s="391" t="s">
        <v>805</v>
      </c>
      <c r="E116" s="340">
        <v>9.1848450057405291</v>
      </c>
      <c r="F116" s="340">
        <v>5.574136008918618</v>
      </c>
      <c r="G116" s="340">
        <v>2.2148394241417497</v>
      </c>
      <c r="H116" s="340">
        <v>5.4466230936819171</v>
      </c>
      <c r="I116" s="340">
        <v>3.1023784901758011</v>
      </c>
      <c r="J116" s="340">
        <v>3.0425963488843815</v>
      </c>
      <c r="K116" s="340">
        <v>8.5561497326203213</v>
      </c>
      <c r="L116" s="340">
        <v>3.0864197530864197</v>
      </c>
      <c r="M116" s="340">
        <v>7.3995771670190269</v>
      </c>
      <c r="N116" s="340">
        <v>4.1972717733473246</v>
      </c>
      <c r="O116" s="340">
        <v>4.6783625730994149</v>
      </c>
      <c r="P116" s="340">
        <v>4.9566294919454768</v>
      </c>
      <c r="Q116" s="340">
        <v>3.5460992907801416</v>
      </c>
    </row>
    <row r="117" spans="3:17" ht="18.75" x14ac:dyDescent="0.4">
      <c r="C117" s="2570"/>
      <c r="D117" s="391" t="s">
        <v>806</v>
      </c>
      <c r="E117" s="340">
        <v>3.1055900621118009</v>
      </c>
      <c r="F117" s="340">
        <v>12.158054711246201</v>
      </c>
      <c r="G117" s="340">
        <v>12.158054711246201</v>
      </c>
      <c r="H117" s="392" t="s">
        <v>751</v>
      </c>
      <c r="I117" s="340">
        <v>5.2631578947368416</v>
      </c>
      <c r="J117" s="340">
        <v>5.7803468208092479</v>
      </c>
      <c r="K117" s="340">
        <v>5.6179775280898872</v>
      </c>
      <c r="L117" s="340">
        <v>3.1948881789137378</v>
      </c>
      <c r="M117" s="392" t="s">
        <v>751</v>
      </c>
      <c r="N117" s="340">
        <v>6.6889632107023411</v>
      </c>
      <c r="O117" s="340">
        <v>3.1948881789137378</v>
      </c>
      <c r="P117" s="340">
        <v>3.3783783783783785</v>
      </c>
      <c r="Q117" s="340">
        <v>6.8965517241379306</v>
      </c>
    </row>
    <row r="118" spans="3:17" ht="18.75" x14ac:dyDescent="0.4">
      <c r="C118" s="2570"/>
      <c r="D118" s="391" t="s">
        <v>807</v>
      </c>
      <c r="E118" s="340">
        <v>6.0790273556231007</v>
      </c>
      <c r="F118" s="340">
        <v>9.3959731543624159</v>
      </c>
      <c r="G118" s="340">
        <v>7.5528700906344417</v>
      </c>
      <c r="H118" s="340">
        <v>9.5238095238095255</v>
      </c>
      <c r="I118" s="340">
        <v>5.3475935828877006</v>
      </c>
      <c r="J118" s="340">
        <v>2.7548209366391188</v>
      </c>
      <c r="K118" s="340">
        <v>5.9171597633136095</v>
      </c>
      <c r="L118" s="340">
        <v>6.1443932411674345</v>
      </c>
      <c r="M118" s="340">
        <v>1.3888888888888888</v>
      </c>
      <c r="N118" s="340">
        <v>11.251758087201125</v>
      </c>
      <c r="O118" s="340">
        <v>7.9617834394904454</v>
      </c>
      <c r="P118" s="340">
        <v>5.5555555555555554</v>
      </c>
      <c r="Q118" s="340">
        <v>7.2202166064981954</v>
      </c>
    </row>
    <row r="119" spans="3:17" ht="18.75" x14ac:dyDescent="0.4">
      <c r="C119" s="2570"/>
      <c r="D119" s="391" t="s">
        <v>808</v>
      </c>
      <c r="E119" s="340">
        <v>4</v>
      </c>
      <c r="F119" s="340">
        <v>13.409961685823756</v>
      </c>
      <c r="G119" s="340">
        <v>10.849909584086799</v>
      </c>
      <c r="H119" s="340">
        <v>2.0703933747412009</v>
      </c>
      <c r="I119" s="340">
        <v>2.0366598778004072</v>
      </c>
      <c r="J119" s="340">
        <v>4.282655246252677</v>
      </c>
      <c r="K119" s="340">
        <v>6.6815144766146997</v>
      </c>
      <c r="L119" s="340">
        <v>2.4213075060532687</v>
      </c>
      <c r="M119" s="340">
        <v>16.867469879518072</v>
      </c>
      <c r="N119" s="340">
        <v>10.610079575596817</v>
      </c>
      <c r="O119" s="340">
        <v>2.9585798816568047</v>
      </c>
      <c r="P119" s="340">
        <v>5.9523809523809517</v>
      </c>
      <c r="Q119" s="340">
        <v>6.024096385542169</v>
      </c>
    </row>
    <row r="120" spans="3:17" ht="18.75" x14ac:dyDescent="0.4">
      <c r="C120" s="2570"/>
      <c r="D120" s="391" t="s">
        <v>809</v>
      </c>
      <c r="E120" s="340">
        <v>10.948905109489052</v>
      </c>
      <c r="F120" s="340">
        <v>6.7340067340067336</v>
      </c>
      <c r="G120" s="340">
        <v>6.6445182724252492</v>
      </c>
      <c r="H120" s="392" t="s">
        <v>751</v>
      </c>
      <c r="I120" s="340">
        <v>6.8965517241379306</v>
      </c>
      <c r="J120" s="340">
        <v>3.8759689922480618</v>
      </c>
      <c r="K120" s="340">
        <v>16.5016501650165</v>
      </c>
      <c r="L120" s="340">
        <v>3.4722222222222219</v>
      </c>
      <c r="M120" s="340">
        <v>6.968641114982578</v>
      </c>
      <c r="N120" s="340">
        <v>3.3670033670033668</v>
      </c>
      <c r="O120" s="340">
        <v>3.8022813688212929</v>
      </c>
      <c r="P120" s="340">
        <v>12.345679012345679</v>
      </c>
      <c r="Q120" s="340">
        <v>4.6082949308755756</v>
      </c>
    </row>
    <row r="121" spans="3:17" ht="18.75" x14ac:dyDescent="0.4">
      <c r="C121" s="2570"/>
      <c r="D121" s="391" t="s">
        <v>810</v>
      </c>
      <c r="E121" s="392" t="s">
        <v>751</v>
      </c>
      <c r="F121" s="392" t="s">
        <v>751</v>
      </c>
      <c r="G121" s="340">
        <v>10.452961672473869</v>
      </c>
      <c r="H121" s="340">
        <v>14.492753623188406</v>
      </c>
      <c r="I121" s="392" t="s">
        <v>751</v>
      </c>
      <c r="J121" s="340">
        <v>16.666666666666668</v>
      </c>
      <c r="K121" s="340">
        <v>3.8167938931297707</v>
      </c>
      <c r="L121" s="340">
        <v>18.867924528301884</v>
      </c>
      <c r="M121" s="340">
        <v>3.6101083032490977</v>
      </c>
      <c r="N121" s="340">
        <v>3.7037037037037037</v>
      </c>
      <c r="O121" s="340">
        <v>5.4347826086956523</v>
      </c>
      <c r="P121" s="340">
        <v>4.7846889952153111</v>
      </c>
      <c r="Q121" s="392" t="s">
        <v>751</v>
      </c>
    </row>
    <row r="122" spans="3:17" ht="18.75" x14ac:dyDescent="0.4">
      <c r="C122" s="2570"/>
      <c r="D122" s="391" t="s">
        <v>811</v>
      </c>
      <c r="E122" s="392" t="s">
        <v>751</v>
      </c>
      <c r="F122" s="392" t="s">
        <v>751</v>
      </c>
      <c r="G122" s="392" t="s">
        <v>751</v>
      </c>
      <c r="H122" s="340">
        <v>6.4935064935064943</v>
      </c>
      <c r="I122" s="340">
        <v>20.97902097902098</v>
      </c>
      <c r="J122" s="392" t="s">
        <v>751</v>
      </c>
      <c r="K122" s="392" t="s">
        <v>751</v>
      </c>
      <c r="L122" s="392" t="s">
        <v>751</v>
      </c>
      <c r="M122" s="340">
        <v>20</v>
      </c>
      <c r="N122" s="392" t="s">
        <v>751</v>
      </c>
      <c r="O122" s="392" t="s">
        <v>751</v>
      </c>
      <c r="P122" s="392" t="s">
        <v>751</v>
      </c>
      <c r="Q122" s="392" t="s">
        <v>751</v>
      </c>
    </row>
    <row r="123" spans="3:17" ht="18.75" x14ac:dyDescent="0.4">
      <c r="C123" s="2570"/>
      <c r="D123" s="391" t="s">
        <v>812</v>
      </c>
      <c r="E123" s="340">
        <v>6.6518847006651889</v>
      </c>
      <c r="F123" s="340">
        <v>2.2421524663677128</v>
      </c>
      <c r="G123" s="340">
        <v>17.582417582417584</v>
      </c>
      <c r="H123" s="340">
        <v>7.0921985815602833</v>
      </c>
      <c r="I123" s="340">
        <v>2.1739130434782608</v>
      </c>
      <c r="J123" s="340">
        <v>4.3383947939262475</v>
      </c>
      <c r="K123" s="340">
        <v>10.020040080160321</v>
      </c>
      <c r="L123" s="340">
        <v>6.224066390041493</v>
      </c>
      <c r="M123" s="340">
        <v>4.8309178743961354</v>
      </c>
      <c r="N123" s="340">
        <v>2.3752969121140142</v>
      </c>
      <c r="O123" s="340">
        <v>10.526315789473683</v>
      </c>
      <c r="P123" s="340">
        <v>11.111111111111111</v>
      </c>
      <c r="Q123" s="392" t="s">
        <v>751</v>
      </c>
    </row>
    <row r="124" spans="3:17" ht="18.75" x14ac:dyDescent="0.4">
      <c r="C124" s="2570"/>
      <c r="D124" s="391" t="s">
        <v>813</v>
      </c>
      <c r="E124" s="392" t="s">
        <v>751</v>
      </c>
      <c r="F124" s="392" t="s">
        <v>751</v>
      </c>
      <c r="G124" s="340">
        <v>18.18181818181818</v>
      </c>
      <c r="H124" s="392" t="s">
        <v>751</v>
      </c>
      <c r="I124" s="340">
        <v>9.0090090090090094</v>
      </c>
      <c r="J124" s="392" t="s">
        <v>751</v>
      </c>
      <c r="K124" s="392" t="s">
        <v>751</v>
      </c>
      <c r="L124" s="392" t="s">
        <v>751</v>
      </c>
      <c r="M124" s="392" t="s">
        <v>751</v>
      </c>
      <c r="N124" s="392" t="s">
        <v>751</v>
      </c>
      <c r="O124" s="392" t="s">
        <v>751</v>
      </c>
      <c r="P124" s="392" t="s">
        <v>751</v>
      </c>
      <c r="Q124" s="392" t="s">
        <v>751</v>
      </c>
    </row>
    <row r="125" spans="3:17" ht="18.75" x14ac:dyDescent="0.4">
      <c r="C125" s="2567" t="s">
        <v>533</v>
      </c>
      <c r="D125" s="391" t="s">
        <v>533</v>
      </c>
      <c r="E125" s="340">
        <v>8.4388185654008439</v>
      </c>
      <c r="F125" s="340">
        <v>6.7829457364341081</v>
      </c>
      <c r="G125" s="340">
        <v>5.9113300492610845</v>
      </c>
      <c r="H125" s="340">
        <v>6.6872427983539096</v>
      </c>
      <c r="I125" s="340">
        <v>9.8863074641621367</v>
      </c>
      <c r="J125" s="340">
        <v>5.5193176116407425</v>
      </c>
      <c r="K125" s="340">
        <v>6.6838046272493576</v>
      </c>
      <c r="L125" s="340">
        <v>7.4331020812685829</v>
      </c>
      <c r="M125" s="340">
        <v>12.272950417280313</v>
      </c>
      <c r="N125" s="340">
        <v>9.1201716738197423</v>
      </c>
      <c r="O125" s="340">
        <v>7.76483638380477</v>
      </c>
      <c r="P125" s="340">
        <v>4.4388078630310712</v>
      </c>
      <c r="Q125" s="340">
        <v>5.8102001291155583</v>
      </c>
    </row>
    <row r="126" spans="3:17" ht="18.75" x14ac:dyDescent="0.4">
      <c r="C126" s="2567"/>
      <c r="D126" s="391" t="s">
        <v>814</v>
      </c>
      <c r="E126" s="340">
        <v>2.6385224274406331</v>
      </c>
      <c r="F126" s="340">
        <v>13.071895424836601</v>
      </c>
      <c r="G126" s="340">
        <v>4.6189376443418011</v>
      </c>
      <c r="H126" s="340">
        <v>9.456264775413711</v>
      </c>
      <c r="I126" s="340">
        <v>9.0090090090090094</v>
      </c>
      <c r="J126" s="340">
        <v>9.0293453724604955</v>
      </c>
      <c r="K126" s="340">
        <v>7.4257425742574252</v>
      </c>
      <c r="L126" s="340">
        <v>11.235955056179774</v>
      </c>
      <c r="M126" s="340">
        <v>8.695652173913043</v>
      </c>
      <c r="N126" s="340">
        <v>4.9382716049382713</v>
      </c>
      <c r="O126" s="340">
        <v>10.025062656641603</v>
      </c>
      <c r="P126" s="340">
        <v>11.111111111111111</v>
      </c>
      <c r="Q126" s="392" t="s">
        <v>751</v>
      </c>
    </row>
    <row r="127" spans="3:17" ht="18.75" x14ac:dyDescent="0.4">
      <c r="C127" s="2567"/>
      <c r="D127" s="391" t="s">
        <v>815</v>
      </c>
      <c r="E127" s="340">
        <v>6.607929515418502</v>
      </c>
      <c r="F127" s="340">
        <v>4.0120361083249749</v>
      </c>
      <c r="G127" s="340">
        <v>2.1413276231263385</v>
      </c>
      <c r="H127" s="340">
        <v>8.9585666293393054</v>
      </c>
      <c r="I127" s="340">
        <v>5.7471264367816088</v>
      </c>
      <c r="J127" s="340">
        <v>6.9364161849710984</v>
      </c>
      <c r="K127" s="340">
        <v>4.9875311720698257</v>
      </c>
      <c r="L127" s="340">
        <v>7.050528789659225</v>
      </c>
      <c r="M127" s="340">
        <v>8.4848484848484862</v>
      </c>
      <c r="N127" s="340">
        <v>4.048582995951417</v>
      </c>
      <c r="O127" s="340">
        <v>5.8997050147492622</v>
      </c>
      <c r="P127" s="340">
        <v>8.862629246676514</v>
      </c>
      <c r="Q127" s="340">
        <v>5.8565153733528552</v>
      </c>
    </row>
    <row r="128" spans="3:17" ht="18.75" x14ac:dyDescent="0.4">
      <c r="C128" s="2567"/>
      <c r="D128" s="391" t="s">
        <v>816</v>
      </c>
      <c r="E128" s="340">
        <v>10.695187165775401</v>
      </c>
      <c r="F128" s="340">
        <v>11.494252873563218</v>
      </c>
      <c r="G128" s="340">
        <v>4.8780487804878048</v>
      </c>
      <c r="H128" s="340">
        <v>11.111111111111111</v>
      </c>
      <c r="I128" s="340">
        <v>10.638297872340425</v>
      </c>
      <c r="J128" s="392" t="s">
        <v>751</v>
      </c>
      <c r="K128" s="340">
        <v>10.869565217391305</v>
      </c>
      <c r="L128" s="392" t="s">
        <v>751</v>
      </c>
      <c r="M128" s="340">
        <v>5.4054054054054053</v>
      </c>
      <c r="N128" s="340">
        <v>5.7803468208092479</v>
      </c>
      <c r="O128" s="340">
        <v>6.4102564102564097</v>
      </c>
      <c r="P128" s="340">
        <v>6.1728395061728394</v>
      </c>
      <c r="Q128" s="340">
        <v>12.121212121212121</v>
      </c>
    </row>
    <row r="129" spans="3:17" ht="18.75" x14ac:dyDescent="0.4">
      <c r="C129" s="2567"/>
      <c r="D129" s="391" t="s">
        <v>817</v>
      </c>
      <c r="E129" s="340">
        <v>6.3025210084033612</v>
      </c>
      <c r="F129" s="340">
        <v>6.0851926977687629</v>
      </c>
      <c r="G129" s="340">
        <v>5.7915057915057915</v>
      </c>
      <c r="H129" s="340">
        <v>3.9840637450199203</v>
      </c>
      <c r="I129" s="340">
        <v>8.0482897384305847</v>
      </c>
      <c r="J129" s="340">
        <v>5.964214711729622</v>
      </c>
      <c r="K129" s="340">
        <v>6.4935064935064943</v>
      </c>
      <c r="L129" s="340">
        <v>5.8027079303675047</v>
      </c>
      <c r="M129" s="340">
        <v>12.024048096192384</v>
      </c>
      <c r="N129" s="340">
        <v>8.7719298245614024</v>
      </c>
      <c r="O129" s="340">
        <v>2.5773195876288661</v>
      </c>
      <c r="P129" s="340">
        <v>12.76595744680851</v>
      </c>
      <c r="Q129" s="392" t="s">
        <v>751</v>
      </c>
    </row>
    <row r="130" spans="3:17" ht="18.75" x14ac:dyDescent="0.4">
      <c r="C130" s="2567"/>
      <c r="D130" s="391" t="s">
        <v>818</v>
      </c>
      <c r="E130" s="340">
        <v>5.9523809523809517</v>
      </c>
      <c r="F130" s="340">
        <v>7.3394495412844041</v>
      </c>
      <c r="G130" s="340">
        <v>10.37344398340249</v>
      </c>
      <c r="H130" s="340">
        <v>7.4487895716945998</v>
      </c>
      <c r="I130" s="340">
        <v>1.996007984031936</v>
      </c>
      <c r="J130" s="340">
        <v>2.0161290322580645</v>
      </c>
      <c r="K130" s="340">
        <v>4</v>
      </c>
      <c r="L130" s="340">
        <v>6.2893081761006293</v>
      </c>
      <c r="M130" s="340">
        <v>7.6335877862595414</v>
      </c>
      <c r="N130" s="392" t="s">
        <v>751</v>
      </c>
      <c r="O130" s="340">
        <v>10.822510822510822</v>
      </c>
      <c r="P130" s="392" t="s">
        <v>751</v>
      </c>
      <c r="Q130" s="392">
        <v>14.962593516209475</v>
      </c>
    </row>
    <row r="131" spans="3:17" ht="18.75" x14ac:dyDescent="0.4">
      <c r="C131" s="2567"/>
      <c r="D131" s="391" t="s">
        <v>819</v>
      </c>
      <c r="E131" s="340">
        <v>11.730205278592376</v>
      </c>
      <c r="F131" s="340">
        <v>5.5944055944055942</v>
      </c>
      <c r="G131" s="340">
        <v>8.6526576019777508</v>
      </c>
      <c r="H131" s="340">
        <v>1.4727540500736376</v>
      </c>
      <c r="I131" s="340">
        <v>5.6497175141242941</v>
      </c>
      <c r="J131" s="340">
        <v>4.3227665706051877</v>
      </c>
      <c r="K131" s="340">
        <v>3.0303030303030303</v>
      </c>
      <c r="L131" s="340">
        <v>4.5317220543806647</v>
      </c>
      <c r="M131" s="340">
        <v>6.4620355411954771</v>
      </c>
      <c r="N131" s="340">
        <v>5.4249547920433994</v>
      </c>
      <c r="O131" s="340">
        <v>4.1152263374485596</v>
      </c>
      <c r="P131" s="340">
        <v>14.17004048582996</v>
      </c>
      <c r="Q131" s="340">
        <v>7.5949367088607591</v>
      </c>
    </row>
    <row r="132" spans="3:17" ht="18.75" x14ac:dyDescent="0.4">
      <c r="C132" s="2567"/>
      <c r="D132" s="391" t="s">
        <v>820</v>
      </c>
      <c r="E132" s="340">
        <v>5.6980056980056979</v>
      </c>
      <c r="F132" s="340">
        <v>9.1428571428571441</v>
      </c>
      <c r="G132" s="340">
        <v>12.239902080783354</v>
      </c>
      <c r="H132" s="340">
        <v>8.9974293059125969</v>
      </c>
      <c r="I132" s="340">
        <v>6.3131313131313131</v>
      </c>
      <c r="J132" s="340">
        <v>5.1413881748071972</v>
      </c>
      <c r="K132" s="340">
        <v>1.3245033112582782</v>
      </c>
      <c r="L132" s="340">
        <v>6.5789473684210522</v>
      </c>
      <c r="M132" s="340">
        <v>6.6225165562913908</v>
      </c>
      <c r="N132" s="340">
        <v>4.3859649122807012</v>
      </c>
      <c r="O132" s="340">
        <v>1.6420361247947455</v>
      </c>
      <c r="P132" s="340">
        <v>3.3670033670033668</v>
      </c>
      <c r="Q132" s="340">
        <v>11.74496644295302</v>
      </c>
    </row>
    <row r="133" spans="3:17" ht="18.75" x14ac:dyDescent="0.4">
      <c r="C133" s="2567"/>
      <c r="D133" s="391" t="s">
        <v>821</v>
      </c>
      <c r="E133" s="392" t="s">
        <v>751</v>
      </c>
      <c r="F133" s="340">
        <v>3.3333333333333335</v>
      </c>
      <c r="G133" s="340">
        <v>3.6363636363636362</v>
      </c>
      <c r="H133" s="392" t="s">
        <v>751</v>
      </c>
      <c r="I133" s="392" t="s">
        <v>751</v>
      </c>
      <c r="J133" s="340">
        <v>3.6363636363636362</v>
      </c>
      <c r="K133" s="340">
        <v>3.278688524590164</v>
      </c>
      <c r="L133" s="340">
        <v>7.2727272727272725</v>
      </c>
      <c r="M133" s="392" t="s">
        <v>751</v>
      </c>
      <c r="N133" s="392" t="s">
        <v>751</v>
      </c>
      <c r="O133" s="340">
        <v>3.8167938931297707</v>
      </c>
      <c r="P133" s="340">
        <v>3.9840637450199203</v>
      </c>
      <c r="Q133" s="340">
        <v>15.209125475285171</v>
      </c>
    </row>
    <row r="134" spans="3:17" ht="18.75" x14ac:dyDescent="0.4">
      <c r="C134" s="2567"/>
      <c r="D134" s="391" t="s">
        <v>822</v>
      </c>
      <c r="E134" s="340">
        <v>14.527845036319613</v>
      </c>
      <c r="F134" s="340">
        <v>1.1467889908256881</v>
      </c>
      <c r="G134" s="340">
        <v>5.1150895140664963</v>
      </c>
      <c r="H134" s="340">
        <v>6.6050198150594452</v>
      </c>
      <c r="I134" s="340">
        <v>6.3613231552162848</v>
      </c>
      <c r="J134" s="340">
        <v>4.1265474552957357</v>
      </c>
      <c r="K134" s="340">
        <v>9.8870056497175156</v>
      </c>
      <c r="L134" s="340">
        <v>8.5470085470085486</v>
      </c>
      <c r="M134" s="340">
        <v>7.1022727272727266</v>
      </c>
      <c r="N134" s="340">
        <v>6.4205457463884432</v>
      </c>
      <c r="O134" s="340">
        <v>3.5026269702276709</v>
      </c>
      <c r="P134" s="340">
        <v>9.3109869646182499</v>
      </c>
      <c r="Q134" s="340">
        <v>8.695652173913043</v>
      </c>
    </row>
    <row r="135" spans="3:17" ht="18.75" x14ac:dyDescent="0.4">
      <c r="C135" s="2567"/>
      <c r="D135" s="391" t="s">
        <v>823</v>
      </c>
      <c r="E135" s="392" t="s">
        <v>751</v>
      </c>
      <c r="F135" s="340">
        <v>4.6620046620046622</v>
      </c>
      <c r="G135" s="340">
        <v>5.1150895140664963</v>
      </c>
      <c r="H135" s="392" t="s">
        <v>751</v>
      </c>
      <c r="I135" s="340">
        <v>2.3529411764705879</v>
      </c>
      <c r="J135" s="340">
        <v>7.2815533980582527</v>
      </c>
      <c r="K135" s="340">
        <v>2.3255813953488373</v>
      </c>
      <c r="L135" s="340">
        <v>7.2289156626506026</v>
      </c>
      <c r="M135" s="340">
        <v>11.682242990654204</v>
      </c>
      <c r="N135" s="340">
        <v>4.7169811320754711</v>
      </c>
      <c r="O135" s="340">
        <v>12.285012285012284</v>
      </c>
      <c r="P135" s="340">
        <v>5.3191489361702127</v>
      </c>
      <c r="Q135" s="340">
        <v>8.720930232558139</v>
      </c>
    </row>
    <row r="136" spans="3:17" ht="18.75" x14ac:dyDescent="0.4">
      <c r="C136" s="2567"/>
      <c r="D136" s="391" t="s">
        <v>824</v>
      </c>
      <c r="E136" s="391"/>
      <c r="F136" s="391"/>
      <c r="G136" s="391"/>
      <c r="H136" s="391"/>
      <c r="I136" s="391"/>
      <c r="J136" s="391"/>
      <c r="K136" s="391"/>
      <c r="L136" s="391"/>
      <c r="M136" s="391"/>
      <c r="N136" s="391"/>
      <c r="O136" s="391"/>
      <c r="P136" s="391"/>
      <c r="Q136" s="392" t="s">
        <v>751</v>
      </c>
    </row>
    <row r="137" spans="3:17" ht="18.75" x14ac:dyDescent="0.4">
      <c r="C137" s="2567"/>
      <c r="D137" s="391" t="s">
        <v>825</v>
      </c>
      <c r="E137" s="391"/>
      <c r="F137" s="391"/>
      <c r="G137" s="391"/>
      <c r="H137" s="391"/>
      <c r="I137" s="391"/>
      <c r="J137" s="391"/>
      <c r="K137" s="391"/>
      <c r="L137" s="391"/>
      <c r="M137" s="391"/>
      <c r="N137" s="391"/>
      <c r="O137" s="391"/>
      <c r="P137" s="391"/>
      <c r="Q137" s="340">
        <v>24.193548387096772</v>
      </c>
    </row>
    <row r="138" spans="3:17" ht="18.75" x14ac:dyDescent="0.4">
      <c r="C138" s="2567" t="s">
        <v>334</v>
      </c>
      <c r="D138" s="391" t="s">
        <v>334</v>
      </c>
      <c r="E138" s="340">
        <v>7.2239422084623319</v>
      </c>
      <c r="F138" s="340">
        <v>10.736944851146902</v>
      </c>
      <c r="G138" s="340">
        <v>6.714413607878245</v>
      </c>
      <c r="H138" s="340">
        <v>4.6210720887245849</v>
      </c>
      <c r="I138" s="340">
        <v>6.474103585657371</v>
      </c>
      <c r="J138" s="340">
        <v>6.8560235063663075</v>
      </c>
      <c r="K138" s="340">
        <v>9.2402464065708418</v>
      </c>
      <c r="L138" s="340">
        <v>5.8386411889596594</v>
      </c>
      <c r="M138" s="340">
        <v>6.0439560439560438</v>
      </c>
      <c r="N138" s="340">
        <v>6.5947242206235011</v>
      </c>
      <c r="O138" s="340">
        <v>8.5245901639344268</v>
      </c>
      <c r="P138" s="340">
        <v>6.2456627342123525</v>
      </c>
      <c r="Q138" s="340">
        <v>11.315417256011315</v>
      </c>
    </row>
    <row r="139" spans="3:17" ht="18.75" x14ac:dyDescent="0.4">
      <c r="C139" s="2567"/>
      <c r="D139" s="391" t="s">
        <v>826</v>
      </c>
      <c r="E139" s="340">
        <v>6.7510548523206753</v>
      </c>
      <c r="F139" s="340">
        <v>6.6889632107023411</v>
      </c>
      <c r="G139" s="340">
        <v>5.2038161318300089</v>
      </c>
      <c r="H139" s="340">
        <v>6.3856960408684547</v>
      </c>
      <c r="I139" s="340">
        <v>5.385252692626346</v>
      </c>
      <c r="J139" s="340">
        <v>5.9599829714772241</v>
      </c>
      <c r="K139" s="340">
        <v>4.7434238896075893</v>
      </c>
      <c r="L139" s="340">
        <v>4.3103448275862064</v>
      </c>
      <c r="M139" s="340">
        <v>6.7355186349348894</v>
      </c>
      <c r="N139" s="340">
        <v>4.4510385756676563</v>
      </c>
      <c r="O139" s="340">
        <v>7.3737946681792401</v>
      </c>
      <c r="P139" s="340">
        <v>7.2992700729927007</v>
      </c>
      <c r="Q139" s="340">
        <v>2.347417840375587</v>
      </c>
    </row>
    <row r="140" spans="3:17" ht="18.75" x14ac:dyDescent="0.4">
      <c r="C140" s="2567"/>
      <c r="D140" s="391" t="s">
        <v>827</v>
      </c>
      <c r="E140" s="340">
        <v>13.569937369519835</v>
      </c>
      <c r="F140" s="340">
        <v>1.8018018018018018</v>
      </c>
      <c r="G140" s="340">
        <v>7.8534031413612562</v>
      </c>
      <c r="H140" s="340">
        <v>3.7986704653371324</v>
      </c>
      <c r="I140" s="340">
        <v>10.166358595194085</v>
      </c>
      <c r="J140" s="340">
        <v>10.436432637571158</v>
      </c>
      <c r="K140" s="340">
        <v>7.291666666666667</v>
      </c>
      <c r="L140" s="340">
        <v>8.9641434262948216</v>
      </c>
      <c r="M140" s="340">
        <v>9.3360995850622412</v>
      </c>
      <c r="N140" s="340">
        <v>7.1174377224199281</v>
      </c>
      <c r="O140" s="340">
        <v>2.4479804161566707</v>
      </c>
      <c r="P140" s="340">
        <v>4.9813200498132009</v>
      </c>
      <c r="Q140" s="340">
        <v>2.5348542458808616</v>
      </c>
    </row>
    <row r="141" spans="3:17" ht="18.75" x14ac:dyDescent="0.4">
      <c r="C141" s="2567"/>
      <c r="D141" s="391" t="s">
        <v>828</v>
      </c>
      <c r="E141" s="340">
        <v>1.29366106080207</v>
      </c>
      <c r="F141" s="340">
        <v>5.1020408163265305</v>
      </c>
      <c r="G141" s="340">
        <v>8.2051282051282044</v>
      </c>
      <c r="H141" s="340">
        <v>9.7087378640776691</v>
      </c>
      <c r="I141" s="340">
        <v>4.7562425683709861</v>
      </c>
      <c r="J141" s="340">
        <v>9.1556459816887088</v>
      </c>
      <c r="K141" s="340">
        <v>9.2118730808597746</v>
      </c>
      <c r="L141" s="340">
        <v>2.229654403567447</v>
      </c>
      <c r="M141" s="340">
        <v>7.8651685393258433</v>
      </c>
      <c r="N141" s="340">
        <v>9.0909090909090899</v>
      </c>
      <c r="O141" s="340">
        <v>3.9577836411609502</v>
      </c>
      <c r="P141" s="340">
        <v>9.2165898617511512</v>
      </c>
      <c r="Q141" s="340">
        <v>8.8161209068010074</v>
      </c>
    </row>
    <row r="142" spans="3:17" ht="18.75" x14ac:dyDescent="0.4">
      <c r="C142" s="2567"/>
      <c r="D142" s="391" t="s">
        <v>829</v>
      </c>
      <c r="E142" s="340">
        <v>9.0556274256144889</v>
      </c>
      <c r="F142" s="340">
        <v>4.4792833146696527</v>
      </c>
      <c r="G142" s="340">
        <v>3.4682080924855492</v>
      </c>
      <c r="H142" s="340">
        <v>9.7323600973236015</v>
      </c>
      <c r="I142" s="340">
        <v>7.050528789659225</v>
      </c>
      <c r="J142" s="340">
        <v>8.2938388625592427</v>
      </c>
      <c r="K142" s="340">
        <v>9.9132589838909535</v>
      </c>
      <c r="L142" s="340">
        <v>6.3131313131313131</v>
      </c>
      <c r="M142" s="340">
        <v>4.8899755501222497</v>
      </c>
      <c r="N142" s="340">
        <v>4.160887656033287</v>
      </c>
      <c r="O142" s="340">
        <v>4.477611940298508</v>
      </c>
      <c r="P142" s="340">
        <v>4.3859649122807012</v>
      </c>
      <c r="Q142" s="340">
        <v>8.0775444264943452</v>
      </c>
    </row>
    <row r="143" spans="3:17" ht="18.75" x14ac:dyDescent="0.4">
      <c r="C143" s="2568"/>
      <c r="D143" s="395" t="s">
        <v>830</v>
      </c>
      <c r="E143" s="397">
        <v>4.9079754601226995</v>
      </c>
      <c r="F143" s="397">
        <v>2.3809523809523814</v>
      </c>
      <c r="G143" s="397">
        <v>5.5187637969094929</v>
      </c>
      <c r="H143" s="397">
        <v>8.7390761548064919</v>
      </c>
      <c r="I143" s="397">
        <v>7.4074074074074074</v>
      </c>
      <c r="J143" s="397">
        <v>7.1005917159763312</v>
      </c>
      <c r="K143" s="397">
        <v>14.102564102564102</v>
      </c>
      <c r="L143" s="397">
        <v>4.048582995951417</v>
      </c>
      <c r="M143" s="397">
        <v>6.7842605156037994</v>
      </c>
      <c r="N143" s="397">
        <v>4.5592705167173246</v>
      </c>
      <c r="O143" s="397">
        <v>13.93188854489164</v>
      </c>
      <c r="P143" s="397">
        <v>4.7021943573667713</v>
      </c>
      <c r="Q143" s="397">
        <v>6.6889632107023411</v>
      </c>
    </row>
    <row r="144" spans="3:17" ht="18.75" x14ac:dyDescent="0.4">
      <c r="C144" s="5" t="s">
        <v>831</v>
      </c>
      <c r="D144" s="5"/>
      <c r="E144" s="5"/>
      <c r="F144" s="5"/>
      <c r="G144" s="5"/>
      <c r="H144" s="5"/>
      <c r="I144" s="5"/>
      <c r="J144" s="5"/>
      <c r="K144" s="5"/>
      <c r="L144" s="5"/>
      <c r="M144" s="5"/>
      <c r="N144" s="5"/>
      <c r="O144" s="5"/>
      <c r="P144" s="5"/>
    </row>
  </sheetData>
  <mergeCells count="24">
    <mergeCell ref="A6:B6"/>
    <mergeCell ref="C6:W6"/>
    <mergeCell ref="C9:AG9"/>
    <mergeCell ref="C11:C12"/>
    <mergeCell ref="D11:D12"/>
    <mergeCell ref="E11:N11"/>
    <mergeCell ref="P11:V11"/>
    <mergeCell ref="X11:Y11"/>
    <mergeCell ref="AA11:AG11"/>
    <mergeCell ref="A5:B5"/>
    <mergeCell ref="C5:W5"/>
    <mergeCell ref="C1:D1"/>
    <mergeCell ref="A3:B3"/>
    <mergeCell ref="C3:W3"/>
    <mergeCell ref="A4:B4"/>
    <mergeCell ref="C4:W4"/>
    <mergeCell ref="P13:V27"/>
    <mergeCell ref="C138:C143"/>
    <mergeCell ref="C60:C79"/>
    <mergeCell ref="C80:C95"/>
    <mergeCell ref="C96:C103"/>
    <mergeCell ref="C104:C113"/>
    <mergeCell ref="C114:C124"/>
    <mergeCell ref="C125:C137"/>
  </mergeCells>
  <conditionalFormatting sqref="E60:P60">
    <cfRule type="cellIs" dxfId="832" priority="84" operator="equal">
      <formula>0</formula>
    </cfRule>
  </conditionalFormatting>
  <conditionalFormatting sqref="E61:P61">
    <cfRule type="cellIs" dxfId="831" priority="83" operator="equal">
      <formula>0</formula>
    </cfRule>
  </conditionalFormatting>
  <conditionalFormatting sqref="E62:P62">
    <cfRule type="cellIs" dxfId="830" priority="82" operator="equal">
      <formula>0</formula>
    </cfRule>
  </conditionalFormatting>
  <conditionalFormatting sqref="E63:P63">
    <cfRule type="cellIs" dxfId="829" priority="81" operator="equal">
      <formula>0</formula>
    </cfRule>
  </conditionalFormatting>
  <conditionalFormatting sqref="E64:P64">
    <cfRule type="cellIs" dxfId="828" priority="80" operator="equal">
      <formula>0</formula>
    </cfRule>
  </conditionalFormatting>
  <conditionalFormatting sqref="E65:P65">
    <cfRule type="cellIs" dxfId="827" priority="79" operator="equal">
      <formula>0</formula>
    </cfRule>
  </conditionalFormatting>
  <conditionalFormatting sqref="E66:P66">
    <cfRule type="cellIs" dxfId="826" priority="78" operator="equal">
      <formula>0</formula>
    </cfRule>
  </conditionalFormatting>
  <conditionalFormatting sqref="E67:P67">
    <cfRule type="cellIs" dxfId="825" priority="77" operator="equal">
      <formula>0</formula>
    </cfRule>
  </conditionalFormatting>
  <conditionalFormatting sqref="E68:P68">
    <cfRule type="cellIs" dxfId="824" priority="76" operator="equal">
      <formula>0</formula>
    </cfRule>
  </conditionalFormatting>
  <conditionalFormatting sqref="E69:P69">
    <cfRule type="cellIs" dxfId="823" priority="75" operator="equal">
      <formula>0</formula>
    </cfRule>
  </conditionalFormatting>
  <conditionalFormatting sqref="E70:P70">
    <cfRule type="cellIs" dxfId="822" priority="74" operator="equal">
      <formula>0</formula>
    </cfRule>
  </conditionalFormatting>
  <conditionalFormatting sqref="E71:P71">
    <cfRule type="cellIs" dxfId="821" priority="73" operator="equal">
      <formula>0</formula>
    </cfRule>
  </conditionalFormatting>
  <conditionalFormatting sqref="E72:P72">
    <cfRule type="cellIs" dxfId="820" priority="72" operator="equal">
      <formula>0</formula>
    </cfRule>
  </conditionalFormatting>
  <conditionalFormatting sqref="E73:P73">
    <cfRule type="cellIs" dxfId="819" priority="71" operator="equal">
      <formula>0</formula>
    </cfRule>
  </conditionalFormatting>
  <conditionalFormatting sqref="E74:P74">
    <cfRule type="cellIs" dxfId="818" priority="70" operator="equal">
      <formula>0</formula>
    </cfRule>
  </conditionalFormatting>
  <conditionalFormatting sqref="E75:P75">
    <cfRule type="cellIs" dxfId="817" priority="69" operator="equal">
      <formula>0</formula>
    </cfRule>
  </conditionalFormatting>
  <conditionalFormatting sqref="E76:P76">
    <cfRule type="cellIs" dxfId="816" priority="68" operator="equal">
      <formula>0</formula>
    </cfRule>
  </conditionalFormatting>
  <conditionalFormatting sqref="E77:P77">
    <cfRule type="cellIs" dxfId="815" priority="67" operator="equal">
      <formula>0</formula>
    </cfRule>
  </conditionalFormatting>
  <conditionalFormatting sqref="E78:P78">
    <cfRule type="cellIs" dxfId="814" priority="66" operator="equal">
      <formula>0</formula>
    </cfRule>
  </conditionalFormatting>
  <conditionalFormatting sqref="E79:P79">
    <cfRule type="cellIs" dxfId="813" priority="65" operator="equal">
      <formula>0</formula>
    </cfRule>
  </conditionalFormatting>
  <conditionalFormatting sqref="E80:P80">
    <cfRule type="cellIs" dxfId="812" priority="64" operator="equal">
      <formula>0</formula>
    </cfRule>
  </conditionalFormatting>
  <conditionalFormatting sqref="E81:P81">
    <cfRule type="cellIs" dxfId="811" priority="63" operator="equal">
      <formula>0</formula>
    </cfRule>
  </conditionalFormatting>
  <conditionalFormatting sqref="E82:P82">
    <cfRule type="cellIs" dxfId="810" priority="62" operator="equal">
      <formula>0</formula>
    </cfRule>
  </conditionalFormatting>
  <conditionalFormatting sqref="E83:P83">
    <cfRule type="cellIs" dxfId="809" priority="61" operator="equal">
      <formula>0</formula>
    </cfRule>
  </conditionalFormatting>
  <conditionalFormatting sqref="E84:P84">
    <cfRule type="cellIs" dxfId="808" priority="60" operator="equal">
      <formula>0</formula>
    </cfRule>
  </conditionalFormatting>
  <conditionalFormatting sqref="E85:P85">
    <cfRule type="cellIs" dxfId="807" priority="59" operator="equal">
      <formula>0</formula>
    </cfRule>
  </conditionalFormatting>
  <conditionalFormatting sqref="E86:P86">
    <cfRule type="cellIs" dxfId="806" priority="58" operator="equal">
      <formula>0</formula>
    </cfRule>
  </conditionalFormatting>
  <conditionalFormatting sqref="E87:P87">
    <cfRule type="cellIs" dxfId="805" priority="57" operator="equal">
      <formula>0</formula>
    </cfRule>
  </conditionalFormatting>
  <conditionalFormatting sqref="E88:P88">
    <cfRule type="cellIs" dxfId="804" priority="56" operator="equal">
      <formula>0</formula>
    </cfRule>
  </conditionalFormatting>
  <conditionalFormatting sqref="E89:P89">
    <cfRule type="cellIs" dxfId="803" priority="55" operator="equal">
      <formula>0</formula>
    </cfRule>
  </conditionalFormatting>
  <conditionalFormatting sqref="E90:P90">
    <cfRule type="cellIs" dxfId="802" priority="54" operator="equal">
      <formula>0</formula>
    </cfRule>
  </conditionalFormatting>
  <conditionalFormatting sqref="E91:P91">
    <cfRule type="cellIs" dxfId="801" priority="53" operator="equal">
      <formula>0</formula>
    </cfRule>
  </conditionalFormatting>
  <conditionalFormatting sqref="E92:P92">
    <cfRule type="cellIs" dxfId="800" priority="52" operator="equal">
      <formula>0</formula>
    </cfRule>
  </conditionalFormatting>
  <conditionalFormatting sqref="E93:P93">
    <cfRule type="cellIs" dxfId="799" priority="51" operator="equal">
      <formula>0</formula>
    </cfRule>
  </conditionalFormatting>
  <conditionalFormatting sqref="E94:P94">
    <cfRule type="cellIs" dxfId="798" priority="50" operator="equal">
      <formula>0</formula>
    </cfRule>
  </conditionalFormatting>
  <conditionalFormatting sqref="E95:P95">
    <cfRule type="cellIs" dxfId="797" priority="49" operator="equal">
      <formula>0</formula>
    </cfRule>
  </conditionalFormatting>
  <conditionalFormatting sqref="E96:P96">
    <cfRule type="cellIs" dxfId="796" priority="48" operator="equal">
      <formula>0</formula>
    </cfRule>
  </conditionalFormatting>
  <conditionalFormatting sqref="E97:P97">
    <cfRule type="cellIs" dxfId="795" priority="47" operator="equal">
      <formula>0</formula>
    </cfRule>
  </conditionalFormatting>
  <conditionalFormatting sqref="E98:P98">
    <cfRule type="cellIs" dxfId="794" priority="46" operator="equal">
      <formula>0</formula>
    </cfRule>
  </conditionalFormatting>
  <conditionalFormatting sqref="E99:P99">
    <cfRule type="cellIs" dxfId="793" priority="45" operator="equal">
      <formula>0</formula>
    </cfRule>
  </conditionalFormatting>
  <conditionalFormatting sqref="E100:P100">
    <cfRule type="cellIs" dxfId="792" priority="44" operator="equal">
      <formula>0</formula>
    </cfRule>
  </conditionalFormatting>
  <conditionalFormatting sqref="E101:P101">
    <cfRule type="cellIs" dxfId="791" priority="43" operator="equal">
      <formula>0</formula>
    </cfRule>
  </conditionalFormatting>
  <conditionalFormatting sqref="E102:P102">
    <cfRule type="cellIs" dxfId="790" priority="42" operator="equal">
      <formula>0</formula>
    </cfRule>
  </conditionalFormatting>
  <conditionalFormatting sqref="E103:P103">
    <cfRule type="cellIs" dxfId="789" priority="41" operator="equal">
      <formula>0</formula>
    </cfRule>
  </conditionalFormatting>
  <conditionalFormatting sqref="E104:P104">
    <cfRule type="cellIs" dxfId="788" priority="40" operator="equal">
      <formula>0</formula>
    </cfRule>
  </conditionalFormatting>
  <conditionalFormatting sqref="E105:P105">
    <cfRule type="cellIs" dxfId="787" priority="39" operator="equal">
      <formula>0</formula>
    </cfRule>
  </conditionalFormatting>
  <conditionalFormatting sqref="E106:P106">
    <cfRule type="cellIs" dxfId="786" priority="38" operator="equal">
      <formula>0</formula>
    </cfRule>
  </conditionalFormatting>
  <conditionalFormatting sqref="E107:P107">
    <cfRule type="cellIs" dxfId="785" priority="37" operator="equal">
      <formula>0</formula>
    </cfRule>
  </conditionalFormatting>
  <conditionalFormatting sqref="E108:P108">
    <cfRule type="cellIs" dxfId="784" priority="36" operator="equal">
      <formula>0</formula>
    </cfRule>
  </conditionalFormatting>
  <conditionalFormatting sqref="E109:P109">
    <cfRule type="cellIs" dxfId="783" priority="35" operator="equal">
      <formula>0</formula>
    </cfRule>
  </conditionalFormatting>
  <conditionalFormatting sqref="E110:P110">
    <cfRule type="cellIs" dxfId="782" priority="34" operator="equal">
      <formula>0</formula>
    </cfRule>
  </conditionalFormatting>
  <conditionalFormatting sqref="E111:P111">
    <cfRule type="cellIs" dxfId="781" priority="33" operator="equal">
      <formula>0</formula>
    </cfRule>
  </conditionalFormatting>
  <conditionalFormatting sqref="E112:P112">
    <cfRule type="cellIs" dxfId="780" priority="32" operator="equal">
      <formula>0</formula>
    </cfRule>
  </conditionalFormatting>
  <conditionalFormatting sqref="E113:P113">
    <cfRule type="cellIs" dxfId="779" priority="31" operator="equal">
      <formula>0</formula>
    </cfRule>
  </conditionalFormatting>
  <conditionalFormatting sqref="E114:P114">
    <cfRule type="cellIs" dxfId="778" priority="30" operator="equal">
      <formula>0</formula>
    </cfRule>
  </conditionalFormatting>
  <conditionalFormatting sqref="E115:P115">
    <cfRule type="cellIs" dxfId="777" priority="29" operator="equal">
      <formula>0</formula>
    </cfRule>
  </conditionalFormatting>
  <conditionalFormatting sqref="E116:P116">
    <cfRule type="cellIs" dxfId="776" priority="28" operator="equal">
      <formula>0</formula>
    </cfRule>
  </conditionalFormatting>
  <conditionalFormatting sqref="E117:P117">
    <cfRule type="cellIs" dxfId="775" priority="27" operator="equal">
      <formula>0</formula>
    </cfRule>
  </conditionalFormatting>
  <conditionalFormatting sqref="E118:P118">
    <cfRule type="cellIs" dxfId="774" priority="26" operator="equal">
      <formula>0</formula>
    </cfRule>
  </conditionalFormatting>
  <conditionalFormatting sqref="E119:P119">
    <cfRule type="cellIs" dxfId="773" priority="25" operator="equal">
      <formula>0</formula>
    </cfRule>
  </conditionalFormatting>
  <conditionalFormatting sqref="E120:P120">
    <cfRule type="cellIs" dxfId="772" priority="24" operator="equal">
      <formula>0</formula>
    </cfRule>
  </conditionalFormatting>
  <conditionalFormatting sqref="E121:P121">
    <cfRule type="cellIs" dxfId="771" priority="23" operator="equal">
      <formula>0</formula>
    </cfRule>
  </conditionalFormatting>
  <conditionalFormatting sqref="E122:P122">
    <cfRule type="cellIs" dxfId="770" priority="22" operator="equal">
      <formula>0</formula>
    </cfRule>
  </conditionalFormatting>
  <conditionalFormatting sqref="E123:P123">
    <cfRule type="cellIs" dxfId="769" priority="21" operator="equal">
      <formula>0</formula>
    </cfRule>
  </conditionalFormatting>
  <conditionalFormatting sqref="E124:P124">
    <cfRule type="cellIs" dxfId="768" priority="20" operator="equal">
      <formula>0</formula>
    </cfRule>
  </conditionalFormatting>
  <conditionalFormatting sqref="E125:P125">
    <cfRule type="cellIs" dxfId="767" priority="19" operator="equal">
      <formula>0</formula>
    </cfRule>
  </conditionalFormatting>
  <conditionalFormatting sqref="E126:P126">
    <cfRule type="cellIs" dxfId="766" priority="18" operator="equal">
      <formula>0</formula>
    </cfRule>
  </conditionalFormatting>
  <conditionalFormatting sqref="E127:P127">
    <cfRule type="cellIs" dxfId="765" priority="17" operator="equal">
      <formula>0</formula>
    </cfRule>
  </conditionalFormatting>
  <conditionalFormatting sqref="E128:P128">
    <cfRule type="cellIs" dxfId="764" priority="16" operator="equal">
      <formula>0</formula>
    </cfRule>
  </conditionalFormatting>
  <conditionalFormatting sqref="E129:P129">
    <cfRule type="cellIs" dxfId="763" priority="15" operator="equal">
      <formula>0</formula>
    </cfRule>
  </conditionalFormatting>
  <conditionalFormatting sqref="E130:P130">
    <cfRule type="cellIs" dxfId="762" priority="14" operator="equal">
      <formula>0</formula>
    </cfRule>
  </conditionalFormatting>
  <conditionalFormatting sqref="E131:P131">
    <cfRule type="cellIs" dxfId="761" priority="13" operator="equal">
      <formula>0</formula>
    </cfRule>
  </conditionalFormatting>
  <conditionalFormatting sqref="E132:P132">
    <cfRule type="cellIs" dxfId="760" priority="12" operator="equal">
      <formula>0</formula>
    </cfRule>
  </conditionalFormatting>
  <conditionalFormatting sqref="E133:P133">
    <cfRule type="cellIs" dxfId="759" priority="11" operator="equal">
      <formula>0</formula>
    </cfRule>
  </conditionalFormatting>
  <conditionalFormatting sqref="E134:P134">
    <cfRule type="cellIs" dxfId="758" priority="10" operator="equal">
      <formula>0</formula>
    </cfRule>
  </conditionalFormatting>
  <conditionalFormatting sqref="E135:P135">
    <cfRule type="cellIs" dxfId="757" priority="9" operator="equal">
      <formula>0</formula>
    </cfRule>
  </conditionalFormatting>
  <conditionalFormatting sqref="E138:P138">
    <cfRule type="cellIs" dxfId="756" priority="8" operator="equal">
      <formula>0</formula>
    </cfRule>
  </conditionalFormatting>
  <conditionalFormatting sqref="E139:P139">
    <cfRule type="cellIs" dxfId="755" priority="7" operator="equal">
      <formula>0</formula>
    </cfRule>
  </conditionalFormatting>
  <conditionalFormatting sqref="E140:P140">
    <cfRule type="cellIs" dxfId="754" priority="6" operator="equal">
      <formula>0</formula>
    </cfRule>
  </conditionalFormatting>
  <conditionalFormatting sqref="E141:P141">
    <cfRule type="cellIs" dxfId="753" priority="5" operator="equal">
      <formula>0</formula>
    </cfRule>
  </conditionalFormatting>
  <conditionalFormatting sqref="E142:P142">
    <cfRule type="cellIs" dxfId="752" priority="4" operator="equal">
      <formula>0</formula>
    </cfRule>
  </conditionalFormatting>
  <conditionalFormatting sqref="E143:P143">
    <cfRule type="cellIs" dxfId="751" priority="3" operator="equal">
      <formula>0</formula>
    </cfRule>
  </conditionalFormatting>
  <conditionalFormatting sqref="Q62:Q142">
    <cfRule type="cellIs" dxfId="750" priority="2" operator="equal">
      <formula>0</formula>
    </cfRule>
  </conditionalFormatting>
  <conditionalFormatting sqref="Q143">
    <cfRule type="cellIs" dxfId="749" priority="1" operator="equal">
      <formula>0</formula>
    </cfRule>
  </conditionalFormatting>
  <hyperlinks>
    <hyperlink ref="A1" location="'ODS 3.'!A1" display="REGRESAR" xr:uid="{5EBC9FED-34C2-44D7-86C5-1F270B385ABE}"/>
    <hyperlink ref="C1" location="'Metadato 3.2.2'!A1" display="VER METADATO " xr:uid="{DEECFE3B-EC8B-40FC-A799-2ECCB2D38546}"/>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5B61-2F3F-4B82-B593-8EE1B668D653}">
  <sheetPr>
    <tabColor theme="0" tint="-0.499984740745262"/>
  </sheetPr>
  <dimension ref="B1:F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8.75" x14ac:dyDescent="0.25"/>
  <cols>
    <col min="1" max="1" width="8.710937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2:6" x14ac:dyDescent="0.25">
      <c r="B1" s="223" t="s">
        <v>39</v>
      </c>
    </row>
    <row r="2" spans="2:6" ht="19.5" thickBot="1" x14ac:dyDescent="0.3"/>
    <row r="3" spans="2:6" ht="23.25" customHeight="1" thickBot="1" x14ac:dyDescent="0.3">
      <c r="B3" s="2604" t="s">
        <v>75</v>
      </c>
      <c r="C3" s="2604"/>
      <c r="D3" s="2604"/>
      <c r="F3" s="91" t="s">
        <v>76</v>
      </c>
    </row>
    <row r="4" spans="2:6" x14ac:dyDescent="0.25">
      <c r="B4" s="2606" t="s">
        <v>234</v>
      </c>
      <c r="C4" s="2606"/>
      <c r="D4" s="359" t="s">
        <v>832</v>
      </c>
    </row>
    <row r="5" spans="2:6" ht="56.25" x14ac:dyDescent="0.25">
      <c r="B5" s="2445" t="s">
        <v>79</v>
      </c>
      <c r="C5" s="2445"/>
      <c r="D5" s="49" t="s">
        <v>667</v>
      </c>
    </row>
    <row r="6" spans="2:6" x14ac:dyDescent="0.25">
      <c r="B6" s="2445" t="s">
        <v>80</v>
      </c>
      <c r="C6" s="2445"/>
      <c r="D6" s="50" t="s">
        <v>670</v>
      </c>
    </row>
    <row r="7" spans="2:6" ht="15" customHeight="1" x14ac:dyDescent="0.25">
      <c r="B7" s="2446" t="s">
        <v>81</v>
      </c>
      <c r="C7" s="2446"/>
      <c r="D7" s="93" t="s">
        <v>671</v>
      </c>
    </row>
    <row r="8" spans="2:6" ht="15" customHeight="1" x14ac:dyDescent="0.25">
      <c r="B8" s="2446" t="s">
        <v>165</v>
      </c>
      <c r="C8" s="2446"/>
      <c r="D8" s="94" t="s">
        <v>942</v>
      </c>
    </row>
    <row r="9" spans="2:6" x14ac:dyDescent="0.4">
      <c r="B9" s="5"/>
      <c r="C9" s="5"/>
      <c r="D9" s="5"/>
    </row>
    <row r="10" spans="2:6" ht="23.25" customHeight="1" x14ac:dyDescent="0.25">
      <c r="B10" s="2604" t="s">
        <v>85</v>
      </c>
      <c r="C10" s="2604"/>
      <c r="D10" s="2604"/>
    </row>
    <row r="11" spans="2:6" x14ac:dyDescent="0.25">
      <c r="B11" s="2453" t="s">
        <v>86</v>
      </c>
      <c r="C11" s="2454"/>
      <c r="D11" s="49" t="s">
        <v>307</v>
      </c>
    </row>
    <row r="12" spans="2:6" ht="21" customHeight="1" x14ac:dyDescent="0.25">
      <c r="B12" s="2455" t="s">
        <v>88</v>
      </c>
      <c r="C12" s="2455"/>
      <c r="D12" s="436" t="s">
        <v>943</v>
      </c>
    </row>
    <row r="13" spans="2:6" x14ac:dyDescent="0.25">
      <c r="B13" s="2445" t="s">
        <v>90</v>
      </c>
      <c r="C13" s="2445"/>
      <c r="D13" s="54" t="s">
        <v>670</v>
      </c>
    </row>
    <row r="14" spans="2:6" x14ac:dyDescent="0.25">
      <c r="B14" s="2445" t="s">
        <v>91</v>
      </c>
      <c r="C14" s="2456"/>
      <c r="D14" s="54" t="s">
        <v>92</v>
      </c>
    </row>
    <row r="15" spans="2:6" ht="123" customHeight="1" x14ac:dyDescent="0.25">
      <c r="B15" s="2445" t="s">
        <v>93</v>
      </c>
      <c r="C15" s="2445"/>
      <c r="D15" s="56" t="s">
        <v>944</v>
      </c>
    </row>
    <row r="16" spans="2:6" ht="39" customHeight="1" x14ac:dyDescent="0.25">
      <c r="B16" s="2445" t="s">
        <v>95</v>
      </c>
      <c r="C16" s="2445"/>
      <c r="D16" s="401"/>
    </row>
    <row r="17" spans="2:4" x14ac:dyDescent="0.25">
      <c r="B17" s="2445" t="s">
        <v>97</v>
      </c>
      <c r="C17" s="2445"/>
      <c r="D17" s="56" t="s">
        <v>915</v>
      </c>
    </row>
    <row r="18" spans="2:4" x14ac:dyDescent="0.25">
      <c r="B18" s="2446" t="s">
        <v>99</v>
      </c>
      <c r="C18" s="2446"/>
      <c r="D18" s="49"/>
    </row>
    <row r="19" spans="2:4" ht="30.75" customHeight="1" x14ac:dyDescent="0.25">
      <c r="B19" s="2457" t="s">
        <v>100</v>
      </c>
      <c r="C19" s="2458"/>
      <c r="D19" s="56" t="s">
        <v>945</v>
      </c>
    </row>
    <row r="20" spans="2:4" x14ac:dyDescent="0.25">
      <c r="B20" s="2445" t="s">
        <v>102</v>
      </c>
      <c r="C20" s="2445"/>
      <c r="D20" s="56" t="s">
        <v>140</v>
      </c>
    </row>
    <row r="21" spans="2:4" x14ac:dyDescent="0.25">
      <c r="B21" s="2451" t="s">
        <v>104</v>
      </c>
      <c r="C21" s="95" t="s">
        <v>105</v>
      </c>
      <c r="D21" s="49" t="s">
        <v>839</v>
      </c>
    </row>
    <row r="22" spans="2:4" x14ac:dyDescent="0.25">
      <c r="B22" s="2452"/>
      <c r="C22" s="96" t="s">
        <v>107</v>
      </c>
      <c r="D22" s="55" t="s">
        <v>946</v>
      </c>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x14ac:dyDescent="0.25">
      <c r="B27" s="2447" t="s">
        <v>117</v>
      </c>
      <c r="C27" s="2448"/>
      <c r="D27" s="49"/>
    </row>
    <row r="28" spans="2:4" ht="46.5" customHeight="1" x14ac:dyDescent="0.25">
      <c r="B28" s="97" t="s">
        <v>118</v>
      </c>
      <c r="C28" s="98"/>
      <c r="D28" s="56" t="s">
        <v>947</v>
      </c>
    </row>
    <row r="29" spans="2:4" x14ac:dyDescent="0.25">
      <c r="B29" s="2449" t="s">
        <v>120</v>
      </c>
      <c r="C29" s="2450"/>
      <c r="D29" s="62"/>
    </row>
    <row r="30" spans="2:4" x14ac:dyDescent="0.25">
      <c r="B30" s="63"/>
      <c r="C30" s="63"/>
      <c r="D30" s="64"/>
    </row>
    <row r="31" spans="2:4" ht="23.25" customHeight="1" x14ac:dyDescent="0.25">
      <c r="B31" s="2591" t="s">
        <v>121</v>
      </c>
      <c r="C31" s="2592"/>
      <c r="D31" s="2593"/>
    </row>
    <row r="32" spans="2:4" x14ac:dyDescent="0.25">
      <c r="B32" s="2442" t="s">
        <v>122</v>
      </c>
      <c r="C32" s="2443"/>
      <c r="D32" s="59"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CB5634E8-2E40-49F4-A71D-824ED68E217B}">
      <formula1>Nombre_indicador_ODS</formula1>
    </dataValidation>
    <dataValidation type="list" allowBlank="1" showInputMessage="1" showErrorMessage="1" sqref="D6" xr:uid="{125DD4E6-AED1-4FB5-8CBD-B887243DBA22}">
      <formula1>Numero_indicador</formula1>
    </dataValidation>
    <dataValidation type="list" allowBlank="1" showInputMessage="1" showErrorMessage="1" sqref="D5" xr:uid="{6F2E9327-19D7-458E-9C9F-7A135B816CA7}">
      <formula1>Metas_ODS</formula1>
    </dataValidation>
    <dataValidation type="list" allowBlank="1" showInputMessage="1" showErrorMessage="1" sqref="D4" xr:uid="{9DA464B7-6C21-4F32-8134-4620D4D48522}">
      <formula1>ODS</formula1>
    </dataValidation>
    <dataValidation allowBlank="1" showDropDown="1" showInputMessage="1" showErrorMessage="1" sqref="D13" xr:uid="{D1079188-7244-4ECF-BF6D-AA129469CDBE}"/>
  </dataValidations>
  <hyperlinks>
    <hyperlink ref="B1" location="'3.2.2'!A1" display="REGRESAR" xr:uid="{07E9E9F4-EC25-4E39-8A52-261CCE995A6E}"/>
    <hyperlink ref="D8" r:id="rId1" xr:uid="{794D19C7-8DBA-4C44-A316-53CE8961BF42}"/>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589D8-6E07-44B8-B8DF-1A9EB062FD32}">
  <dimension ref="A1:V69"/>
  <sheetViews>
    <sheetView showGridLines="0" zoomScaleNormal="100" workbookViewId="0">
      <pane ySplit="1" topLeftCell="A2" activePane="bottomLeft" state="frozen"/>
      <selection pane="bottomLeft"/>
    </sheetView>
  </sheetViews>
  <sheetFormatPr baseColWidth="10" defaultColWidth="11.42578125" defaultRowHeight="12.75" x14ac:dyDescent="0.25"/>
  <cols>
    <col min="1" max="1" width="15.42578125" style="22" customWidth="1"/>
    <col min="2" max="2" width="15.42578125" style="89" customWidth="1"/>
    <col min="3" max="3" width="15.42578125" style="22" customWidth="1"/>
    <col min="4" max="5" width="9" style="22" customWidth="1"/>
    <col min="6" max="6" width="8.42578125" style="22" customWidth="1"/>
    <col min="7" max="8" width="9.42578125" style="22" customWidth="1"/>
    <col min="9" max="10" width="8.42578125" style="22" customWidth="1"/>
    <col min="11" max="11" width="8.5703125" style="22" customWidth="1"/>
    <col min="12" max="16384" width="11.42578125" style="22"/>
  </cols>
  <sheetData>
    <row r="1" spans="1:22" s="16" customFormat="1" ht="19.5" x14ac:dyDescent="0.4">
      <c r="A1" s="15" t="s">
        <v>39</v>
      </c>
      <c r="B1" s="407"/>
      <c r="C1" s="2421" t="s">
        <v>40</v>
      </c>
      <c r="D1" s="2421"/>
    </row>
    <row r="2" spans="1:22" s="16" customFormat="1" ht="19.5" x14ac:dyDescent="0.4">
      <c r="B2" s="218"/>
    </row>
    <row r="3" spans="1:22" s="16" customFormat="1" ht="16.5"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c r="T3" s="2574"/>
    </row>
    <row r="4" spans="1:22" s="16" customFormat="1" ht="20.25" customHeight="1" x14ac:dyDescent="0.4">
      <c r="A4" s="2574" t="s">
        <v>42</v>
      </c>
      <c r="B4" s="2574"/>
      <c r="C4" s="2574" t="s">
        <v>948</v>
      </c>
      <c r="D4" s="2575"/>
      <c r="E4" s="2575"/>
      <c r="F4" s="2575"/>
      <c r="G4" s="2575"/>
      <c r="H4" s="2575"/>
      <c r="I4" s="2575"/>
      <c r="J4" s="2575"/>
      <c r="K4" s="2575"/>
      <c r="L4" s="2575"/>
      <c r="M4" s="2575"/>
      <c r="N4" s="2575"/>
      <c r="O4" s="2575"/>
      <c r="P4" s="2575"/>
      <c r="Q4" s="2575"/>
      <c r="R4" s="2575"/>
      <c r="S4" s="2575"/>
      <c r="T4" s="2575"/>
    </row>
    <row r="5" spans="1:22" s="16" customFormat="1" ht="17.25" customHeight="1" x14ac:dyDescent="0.4">
      <c r="A5" s="2574" t="s">
        <v>43</v>
      </c>
      <c r="B5" s="2574"/>
      <c r="C5" s="2574" t="s">
        <v>674</v>
      </c>
      <c r="D5" s="2575"/>
      <c r="E5" s="2575"/>
      <c r="F5" s="2575"/>
      <c r="G5" s="2575"/>
      <c r="H5" s="2575"/>
      <c r="I5" s="2575"/>
      <c r="J5" s="2575"/>
      <c r="K5" s="2575"/>
      <c r="L5" s="2575"/>
      <c r="M5" s="2575"/>
      <c r="N5" s="2575"/>
      <c r="O5" s="2575"/>
      <c r="P5" s="2575"/>
      <c r="Q5" s="2575"/>
      <c r="R5" s="2575"/>
      <c r="S5" s="2575"/>
      <c r="T5" s="2575"/>
    </row>
    <row r="6" spans="1:22" s="16" customFormat="1" ht="37.9" customHeight="1" x14ac:dyDescent="0.4">
      <c r="A6" s="2574" t="s">
        <v>132</v>
      </c>
      <c r="B6" s="2575"/>
      <c r="C6" s="2574" t="s">
        <v>949</v>
      </c>
      <c r="D6" s="2575"/>
      <c r="E6" s="2575"/>
      <c r="F6" s="2575"/>
      <c r="G6" s="2575"/>
      <c r="H6" s="2575"/>
      <c r="I6" s="2575"/>
      <c r="J6" s="2575"/>
      <c r="K6" s="2575"/>
      <c r="L6" s="2575"/>
      <c r="M6" s="2575"/>
      <c r="N6" s="2575"/>
      <c r="O6" s="2575"/>
      <c r="P6" s="2575"/>
      <c r="Q6" s="2575"/>
      <c r="R6" s="2575"/>
      <c r="S6" s="2575"/>
      <c r="T6" s="2575"/>
    </row>
    <row r="7" spans="1:22" s="16" customFormat="1" ht="19.5" x14ac:dyDescent="0.4">
      <c r="B7" s="218"/>
    </row>
    <row r="8" spans="1:22" s="16" customFormat="1" ht="19.5" x14ac:dyDescent="0.4">
      <c r="B8" s="218"/>
    </row>
    <row r="9" spans="1:22" s="16" customFormat="1" ht="19.5" x14ac:dyDescent="0.4">
      <c r="B9" s="218"/>
      <c r="C9" s="2610" t="s">
        <v>950</v>
      </c>
      <c r="D9" s="2610"/>
      <c r="E9" s="2610"/>
      <c r="F9" s="2610"/>
      <c r="G9" s="2610"/>
      <c r="H9" s="2610"/>
      <c r="I9" s="2610"/>
      <c r="J9" s="2610"/>
      <c r="K9" s="2610"/>
      <c r="N9" s="236" t="s">
        <v>951</v>
      </c>
      <c r="O9" s="236"/>
      <c r="P9" s="236"/>
      <c r="Q9" s="236"/>
      <c r="R9" s="236"/>
      <c r="S9" s="236"/>
      <c r="T9" s="236"/>
      <c r="U9" s="236"/>
      <c r="V9" s="236"/>
    </row>
    <row r="10" spans="1:22" ht="6.6" customHeight="1" x14ac:dyDescent="0.25">
      <c r="C10" s="25"/>
      <c r="D10" s="25"/>
      <c r="E10" s="25"/>
      <c r="F10" s="25"/>
      <c r="G10" s="25"/>
      <c r="H10" s="25"/>
      <c r="I10" s="25"/>
      <c r="J10" s="25"/>
      <c r="K10" s="25"/>
    </row>
    <row r="11" spans="1:22" ht="15" customHeight="1" x14ac:dyDescent="0.25">
      <c r="C11" s="437"/>
      <c r="D11" s="2611" t="s">
        <v>47</v>
      </c>
      <c r="E11" s="2611"/>
      <c r="F11" s="410"/>
      <c r="G11" s="2580" t="s">
        <v>48</v>
      </c>
      <c r="H11" s="2580"/>
      <c r="I11" s="2580"/>
      <c r="J11" s="2580"/>
      <c r="K11" s="2613" t="s">
        <v>952</v>
      </c>
    </row>
    <row r="12" spans="1:22" ht="12.75" customHeight="1" x14ac:dyDescent="0.25">
      <c r="C12" s="2616" t="s">
        <v>247</v>
      </c>
      <c r="D12" s="2612"/>
      <c r="E12" s="2612"/>
      <c r="F12" s="378"/>
      <c r="G12" s="2580" t="s">
        <v>894</v>
      </c>
      <c r="H12" s="2580"/>
      <c r="I12" s="2580" t="s">
        <v>895</v>
      </c>
      <c r="J12" s="2580"/>
      <c r="K12" s="2614"/>
    </row>
    <row r="13" spans="1:22" ht="30" customHeight="1" x14ac:dyDescent="0.25">
      <c r="C13" s="2617"/>
      <c r="D13" s="431" t="s">
        <v>953</v>
      </c>
      <c r="E13" s="431" t="s">
        <v>258</v>
      </c>
      <c r="F13" s="431"/>
      <c r="G13" s="431" t="s">
        <v>953</v>
      </c>
      <c r="H13" s="431" t="s">
        <v>258</v>
      </c>
      <c r="I13" s="431" t="s">
        <v>953</v>
      </c>
      <c r="J13" s="431" t="s">
        <v>258</v>
      </c>
      <c r="K13" s="2615"/>
    </row>
    <row r="14" spans="1:22" ht="18.75" x14ac:dyDescent="0.4">
      <c r="C14" s="438">
        <v>2002</v>
      </c>
      <c r="D14" s="439">
        <v>198</v>
      </c>
      <c r="E14" s="440">
        <v>4.9223964314117508</v>
      </c>
      <c r="F14" s="440"/>
      <c r="G14" s="441">
        <v>168</v>
      </c>
      <c r="H14" s="442">
        <v>8.2479733551184573</v>
      </c>
      <c r="I14" s="441">
        <v>30</v>
      </c>
      <c r="J14" s="440">
        <v>1.510903434636051</v>
      </c>
      <c r="K14" s="443">
        <f t="shared" ref="K14:K23" si="0">G14/I14</f>
        <v>5.6</v>
      </c>
    </row>
    <row r="15" spans="1:22" ht="18.75" x14ac:dyDescent="0.4">
      <c r="C15" s="438">
        <v>2003</v>
      </c>
      <c r="D15" s="439">
        <v>312</v>
      </c>
      <c r="E15" s="444">
        <v>7.6350728819096494</v>
      </c>
      <c r="F15" s="443"/>
      <c r="G15" s="445">
        <v>254</v>
      </c>
      <c r="H15" s="443">
        <v>12.275044110419337</v>
      </c>
      <c r="I15" s="445">
        <v>58</v>
      </c>
      <c r="J15" s="443">
        <v>2.875321118837022</v>
      </c>
      <c r="K15" s="443">
        <f t="shared" si="0"/>
        <v>4.3793103448275863</v>
      </c>
    </row>
    <row r="16" spans="1:22" ht="18.75" x14ac:dyDescent="0.4">
      <c r="C16" s="438">
        <v>2004</v>
      </c>
      <c r="D16" s="439">
        <v>290</v>
      </c>
      <c r="E16" s="444">
        <v>6.9848835077988634</v>
      </c>
      <c r="F16" s="443"/>
      <c r="G16" s="445">
        <v>240</v>
      </c>
      <c r="H16" s="443">
        <v>11.418131993605847</v>
      </c>
      <c r="I16" s="445">
        <v>50</v>
      </c>
      <c r="J16" s="443">
        <v>2.4391398032004443</v>
      </c>
      <c r="K16" s="443">
        <f t="shared" si="0"/>
        <v>4.8</v>
      </c>
    </row>
    <row r="17" spans="3:21" ht="18.75" x14ac:dyDescent="0.4">
      <c r="C17" s="438">
        <v>2005</v>
      </c>
      <c r="D17" s="439">
        <v>255</v>
      </c>
      <c r="E17" s="444">
        <v>6.049466128683294</v>
      </c>
      <c r="F17" s="443"/>
      <c r="G17" s="445">
        <v>220</v>
      </c>
      <c r="H17" s="443">
        <v>10.311960233331536</v>
      </c>
      <c r="I17" s="445">
        <v>35</v>
      </c>
      <c r="J17" s="443">
        <v>1.6812349679580632</v>
      </c>
      <c r="K17" s="443">
        <f t="shared" si="0"/>
        <v>6.2857142857142856</v>
      </c>
    </row>
    <row r="18" spans="3:21" ht="18.75" x14ac:dyDescent="0.4">
      <c r="C18" s="438">
        <v>2006</v>
      </c>
      <c r="D18" s="439">
        <v>193</v>
      </c>
      <c r="E18" s="440">
        <v>4.5107622580548661</v>
      </c>
      <c r="F18" s="442"/>
      <c r="G18" s="441">
        <v>168</v>
      </c>
      <c r="H18" s="442">
        <v>7.7585036432640022</v>
      </c>
      <c r="I18" s="441">
        <v>25</v>
      </c>
      <c r="J18" s="442">
        <v>1.1829895565681947</v>
      </c>
      <c r="K18" s="443">
        <f t="shared" si="0"/>
        <v>6.72</v>
      </c>
    </row>
    <row r="19" spans="3:21" ht="18.75" x14ac:dyDescent="0.4">
      <c r="C19" s="438">
        <v>2007</v>
      </c>
      <c r="D19" s="439">
        <v>256</v>
      </c>
      <c r="E19" s="444">
        <v>5.8980874990496241</v>
      </c>
      <c r="F19" s="443"/>
      <c r="G19" s="445">
        <v>207</v>
      </c>
      <c r="H19" s="443">
        <v>9.4271739427447194</v>
      </c>
      <c r="I19" s="445">
        <v>49</v>
      </c>
      <c r="J19" s="443">
        <v>2.2847977021463111</v>
      </c>
      <c r="K19" s="443">
        <f t="shared" si="0"/>
        <v>4.2244897959183669</v>
      </c>
    </row>
    <row r="20" spans="3:21" ht="18.75" x14ac:dyDescent="0.4">
      <c r="C20" s="438">
        <v>2008</v>
      </c>
      <c r="D20" s="439">
        <v>214</v>
      </c>
      <c r="E20" s="444">
        <v>4.8591195911073566</v>
      </c>
      <c r="F20" s="443"/>
      <c r="G20" s="445">
        <v>180</v>
      </c>
      <c r="H20" s="443">
        <v>8.0805795391645496</v>
      </c>
      <c r="I20" s="445">
        <v>34</v>
      </c>
      <c r="J20" s="443">
        <v>1.562121673657161</v>
      </c>
      <c r="K20" s="443">
        <f t="shared" si="0"/>
        <v>5.2941176470588234</v>
      </c>
    </row>
    <row r="21" spans="3:21" ht="18.75" x14ac:dyDescent="0.4">
      <c r="C21" s="438">
        <v>2009</v>
      </c>
      <c r="D21" s="439">
        <v>525</v>
      </c>
      <c r="E21" s="444">
        <v>11.746708740021171</v>
      </c>
      <c r="F21" s="443"/>
      <c r="G21" s="445">
        <v>402</v>
      </c>
      <c r="H21" s="443">
        <v>17.786241236294195</v>
      </c>
      <c r="I21" s="445">
        <v>123</v>
      </c>
      <c r="J21" s="443">
        <v>5.567719539029035</v>
      </c>
      <c r="K21" s="443">
        <f t="shared" si="0"/>
        <v>3.2682926829268291</v>
      </c>
    </row>
    <row r="22" spans="3:21" ht="18.75" x14ac:dyDescent="0.4">
      <c r="C22" s="438">
        <v>2010</v>
      </c>
      <c r="D22" s="439">
        <v>579</v>
      </c>
      <c r="E22" s="444">
        <v>12.770479415707557</v>
      </c>
      <c r="F22" s="443"/>
      <c r="G22" s="445">
        <v>463</v>
      </c>
      <c r="H22" s="443">
        <v>20.197860509998158</v>
      </c>
      <c r="I22" s="445">
        <v>116</v>
      </c>
      <c r="J22" s="443">
        <v>5.1749397297967681</v>
      </c>
      <c r="K22" s="443">
        <f t="shared" si="0"/>
        <v>3.9913793103448274</v>
      </c>
    </row>
    <row r="23" spans="3:21" ht="18.75" x14ac:dyDescent="0.4">
      <c r="C23" s="438">
        <v>2011</v>
      </c>
      <c r="D23" s="439">
        <v>445</v>
      </c>
      <c r="E23" s="444">
        <v>9.6904521172984595</v>
      </c>
      <c r="F23" s="443"/>
      <c r="G23" s="445">
        <v>353</v>
      </c>
      <c r="H23" s="443">
        <v>15.206603025812456</v>
      </c>
      <c r="I23" s="445">
        <v>92</v>
      </c>
      <c r="J23" s="443">
        <v>4.0514552430895163</v>
      </c>
      <c r="K23" s="443">
        <f t="shared" si="0"/>
        <v>3.8369565217391304</v>
      </c>
    </row>
    <row r="24" spans="3:21" ht="18.75" x14ac:dyDescent="0.4">
      <c r="C24" s="438">
        <v>2012</v>
      </c>
      <c r="D24" s="439">
        <v>689</v>
      </c>
      <c r="E24" s="444">
        <v>14.809373071136221</v>
      </c>
      <c r="F24" s="443"/>
      <c r="G24" s="445">
        <v>577</v>
      </c>
      <c r="H24" s="443">
        <v>24.542413510213461</v>
      </c>
      <c r="I24" s="445">
        <v>112</v>
      </c>
      <c r="J24" s="443">
        <v>4.8665460314088609</v>
      </c>
      <c r="K24" s="443">
        <f>G25/I25</f>
        <v>4.4295302013422821</v>
      </c>
    </row>
    <row r="25" spans="3:21" ht="18.75" x14ac:dyDescent="0.4">
      <c r="C25" s="438">
        <v>2013</v>
      </c>
      <c r="D25" s="439">
        <v>810</v>
      </c>
      <c r="E25" s="444">
        <v>17.185892285133988</v>
      </c>
      <c r="F25" s="443"/>
      <c r="G25" s="445">
        <v>660</v>
      </c>
      <c r="H25" s="443">
        <v>27.721192145832532</v>
      </c>
      <c r="I25" s="445">
        <v>149</v>
      </c>
      <c r="J25" s="443">
        <v>6.3884937743322459</v>
      </c>
      <c r="K25" s="443">
        <f t="shared" ref="K25:K35" si="1">G25/I25</f>
        <v>4.4295302013422821</v>
      </c>
      <c r="N25" s="5" t="s">
        <v>954</v>
      </c>
    </row>
    <row r="26" spans="3:21" ht="18.75" x14ac:dyDescent="0.4">
      <c r="C26" s="438">
        <v>2014</v>
      </c>
      <c r="D26" s="439">
        <v>823</v>
      </c>
      <c r="E26" s="444">
        <v>17.242354836486175</v>
      </c>
      <c r="F26" s="443"/>
      <c r="G26" s="445">
        <v>659</v>
      </c>
      <c r="H26" s="443">
        <v>27.340737522891551</v>
      </c>
      <c r="I26" s="445">
        <v>159</v>
      </c>
      <c r="J26" s="443">
        <v>6.729283583450071</v>
      </c>
      <c r="K26" s="443">
        <f t="shared" si="1"/>
        <v>4.1446540880503147</v>
      </c>
      <c r="N26" s="5" t="s">
        <v>955</v>
      </c>
    </row>
    <row r="27" spans="3:21" ht="18.75" x14ac:dyDescent="0.4">
      <c r="C27" s="438">
        <v>2015</v>
      </c>
      <c r="D27" s="439">
        <v>966</v>
      </c>
      <c r="E27" s="444">
        <v>19.990754530714657</v>
      </c>
      <c r="F27" s="443"/>
      <c r="G27" s="445">
        <v>801</v>
      </c>
      <c r="H27" s="443">
        <v>32.836845963642467</v>
      </c>
      <c r="I27" s="445">
        <v>164</v>
      </c>
      <c r="J27" s="443">
        <v>6.8536060899362443</v>
      </c>
      <c r="K27" s="443">
        <f t="shared" si="1"/>
        <v>4.8841463414634143</v>
      </c>
    </row>
    <row r="28" spans="3:21" ht="18.75" x14ac:dyDescent="0.4">
      <c r="C28" s="438">
        <v>2016</v>
      </c>
      <c r="D28" s="439">
        <v>1083</v>
      </c>
      <c r="E28" s="444">
        <v>22.145520824753177</v>
      </c>
      <c r="F28" s="443"/>
      <c r="G28" s="445">
        <v>922</v>
      </c>
      <c r="H28" s="443">
        <v>37.360777511146232</v>
      </c>
      <c r="I28" s="445">
        <v>161</v>
      </c>
      <c r="J28" s="443">
        <v>6.6458876718308293</v>
      </c>
      <c r="K28" s="443">
        <f t="shared" si="1"/>
        <v>5.7267080745341614</v>
      </c>
    </row>
    <row r="29" spans="3:21" ht="18.75" x14ac:dyDescent="0.4">
      <c r="C29" s="438">
        <v>2017</v>
      </c>
      <c r="D29" s="439">
        <v>1102</v>
      </c>
      <c r="E29" s="444">
        <v>22.273922546241149</v>
      </c>
      <c r="F29" s="443"/>
      <c r="G29" s="445">
        <v>934</v>
      </c>
      <c r="H29" s="443">
        <v>37.423324691701168</v>
      </c>
      <c r="I29" s="445">
        <v>168</v>
      </c>
      <c r="J29" s="443">
        <v>6.8523325504152304</v>
      </c>
      <c r="K29" s="443">
        <f t="shared" si="1"/>
        <v>5.5595238095238093</v>
      </c>
    </row>
    <row r="30" spans="3:21" ht="18.75" x14ac:dyDescent="0.4">
      <c r="C30" s="438">
        <v>2018</v>
      </c>
      <c r="D30" s="439">
        <v>867</v>
      </c>
      <c r="E30" s="444">
        <v>17.328210032587069</v>
      </c>
      <c r="F30" s="443"/>
      <c r="G30" s="445">
        <v>768</v>
      </c>
      <c r="H30" s="443">
        <v>30.439086248011236</v>
      </c>
      <c r="I30" s="445">
        <v>99</v>
      </c>
      <c r="J30" s="443">
        <v>3.991404108970916</v>
      </c>
      <c r="K30" s="443">
        <f t="shared" si="1"/>
        <v>7.7575757575757578</v>
      </c>
      <c r="O30" s="72"/>
      <c r="P30" s="72"/>
      <c r="Q30" s="72"/>
      <c r="R30" s="72"/>
      <c r="S30" s="72"/>
      <c r="T30" s="72"/>
      <c r="U30" s="72"/>
    </row>
    <row r="31" spans="3:21" ht="18.75" x14ac:dyDescent="0.4">
      <c r="C31" s="438">
        <v>2019</v>
      </c>
      <c r="D31" s="439">
        <v>932</v>
      </c>
      <c r="E31" s="444">
        <v>18.426229399703992</v>
      </c>
      <c r="F31" s="443"/>
      <c r="G31" s="445">
        <v>793</v>
      </c>
      <c r="H31" s="443">
        <v>31.101974793519133</v>
      </c>
      <c r="I31" s="445">
        <v>139</v>
      </c>
      <c r="J31" s="443">
        <v>5.5415360036794654</v>
      </c>
      <c r="K31" s="443">
        <f t="shared" si="1"/>
        <v>5.7050359712230216</v>
      </c>
    </row>
    <row r="32" spans="3:21" ht="18.75" x14ac:dyDescent="0.4">
      <c r="C32" s="438">
        <v>2020</v>
      </c>
      <c r="D32" s="439">
        <v>775</v>
      </c>
      <c r="E32" s="444">
        <v>15.162666406408407</v>
      </c>
      <c r="F32" s="443"/>
      <c r="G32" s="445">
        <v>672</v>
      </c>
      <c r="H32" s="443">
        <v>26.091510892649275</v>
      </c>
      <c r="I32" s="445">
        <v>102</v>
      </c>
      <c r="J32" s="443">
        <v>4.0225771212203751</v>
      </c>
      <c r="K32" s="443">
        <f t="shared" si="1"/>
        <v>6.5882352941176467</v>
      </c>
    </row>
    <row r="33" spans="3:22" ht="18.75" x14ac:dyDescent="0.4">
      <c r="C33" s="438">
        <v>2021</v>
      </c>
      <c r="D33" s="439">
        <v>784</v>
      </c>
      <c r="E33" s="444">
        <v>15.184858302736169</v>
      </c>
      <c r="F33" s="443"/>
      <c r="G33" s="445">
        <v>683</v>
      </c>
      <c r="H33" s="443">
        <v>26.262562847333811</v>
      </c>
      <c r="I33" s="445">
        <v>101</v>
      </c>
      <c r="J33" s="443">
        <v>3.9416513140308624</v>
      </c>
      <c r="K33" s="443">
        <f t="shared" si="1"/>
        <v>6.7623762376237622</v>
      </c>
    </row>
    <row r="34" spans="3:22" ht="18.75" x14ac:dyDescent="0.4">
      <c r="C34" s="446">
        <v>2022</v>
      </c>
      <c r="D34" s="441">
        <v>857</v>
      </c>
      <c r="E34" s="443">
        <v>16.438491735189903</v>
      </c>
      <c r="F34" s="443"/>
      <c r="G34" s="445">
        <v>732</v>
      </c>
      <c r="H34" s="443">
        <v>27.885832261109694</v>
      </c>
      <c r="I34" s="445">
        <v>123</v>
      </c>
      <c r="J34" s="443">
        <v>4.7519982781203849</v>
      </c>
      <c r="K34" s="443">
        <f t="shared" si="1"/>
        <v>5.9512195121951219</v>
      </c>
    </row>
    <row r="35" spans="3:22" ht="18.75" x14ac:dyDescent="0.4">
      <c r="C35" s="447" t="s">
        <v>956</v>
      </c>
      <c r="D35" s="448">
        <v>1076</v>
      </c>
      <c r="E35" s="449">
        <v>20.399999999999999</v>
      </c>
      <c r="F35" s="449"/>
      <c r="G35" s="450">
        <v>904</v>
      </c>
      <c r="H35" s="449">
        <v>34.1</v>
      </c>
      <c r="I35" s="450">
        <v>170</v>
      </c>
      <c r="J35" s="449">
        <v>6.5</v>
      </c>
      <c r="K35" s="449">
        <f t="shared" si="1"/>
        <v>5.3176470588235292</v>
      </c>
    </row>
    <row r="36" spans="3:22" ht="18.75" x14ac:dyDescent="0.4">
      <c r="C36" s="451" t="s">
        <v>957</v>
      </c>
      <c r="D36" s="445"/>
      <c r="E36" s="445"/>
      <c r="F36" s="443"/>
      <c r="G36" s="445"/>
      <c r="H36" s="452"/>
      <c r="I36" s="453"/>
      <c r="J36" s="41"/>
      <c r="K36" s="41"/>
    </row>
    <row r="37" spans="3:22" ht="18.75" x14ac:dyDescent="0.4">
      <c r="C37" s="451" t="s">
        <v>958</v>
      </c>
      <c r="D37" s="445"/>
      <c r="E37" s="445"/>
      <c r="F37" s="443"/>
      <c r="G37" s="445"/>
      <c r="H37" s="452"/>
      <c r="I37" s="453"/>
      <c r="J37" s="41"/>
      <c r="K37" s="41"/>
    </row>
    <row r="38" spans="3:22" ht="18.75" x14ac:dyDescent="0.4">
      <c r="C38" s="454" t="s">
        <v>959</v>
      </c>
      <c r="D38" s="455"/>
      <c r="E38" s="455"/>
      <c r="F38" s="455"/>
      <c r="G38" s="455"/>
      <c r="H38" s="456"/>
      <c r="I38" s="456"/>
      <c r="J38" s="41"/>
      <c r="K38" s="41"/>
    </row>
    <row r="39" spans="3:22" ht="18.75" x14ac:dyDescent="0.4">
      <c r="C39" s="438" t="s">
        <v>960</v>
      </c>
      <c r="D39" s="445"/>
      <c r="E39" s="445"/>
      <c r="F39" s="443"/>
      <c r="G39" s="445"/>
      <c r="H39" s="41"/>
      <c r="I39" s="41"/>
      <c r="J39" s="41"/>
      <c r="K39" s="41"/>
    </row>
    <row r="40" spans="3:22" ht="18.75" x14ac:dyDescent="0.4">
      <c r="C40" s="451" t="s">
        <v>961</v>
      </c>
      <c r="D40" s="445"/>
      <c r="E40" s="445"/>
      <c r="F40" s="443"/>
      <c r="G40" s="445"/>
      <c r="H40" s="41"/>
      <c r="I40" s="41"/>
      <c r="J40" s="41"/>
      <c r="K40" s="41"/>
    </row>
    <row r="41" spans="3:22" ht="18.75" x14ac:dyDescent="0.4">
      <c r="C41" s="451"/>
      <c r="D41" s="445"/>
      <c r="E41" s="445"/>
      <c r="F41" s="443"/>
      <c r="G41" s="445"/>
      <c r="H41" s="41"/>
      <c r="I41" s="41"/>
      <c r="J41" s="41"/>
      <c r="K41" s="41"/>
    </row>
    <row r="42" spans="3:22" ht="18.75" x14ac:dyDescent="0.4">
      <c r="C42" s="451"/>
      <c r="D42" s="445"/>
      <c r="E42" s="445"/>
      <c r="F42" s="443"/>
      <c r="G42" s="445"/>
      <c r="H42" s="41"/>
      <c r="I42" s="41"/>
      <c r="J42" s="41"/>
      <c r="K42" s="41"/>
    </row>
    <row r="43" spans="3:22" ht="18.75" x14ac:dyDescent="0.4">
      <c r="C43" s="2607" t="s">
        <v>962</v>
      </c>
      <c r="D43" s="2607"/>
      <c r="E43" s="2607"/>
      <c r="F43" s="2607"/>
      <c r="G43" s="2607"/>
      <c r="H43" s="2607"/>
      <c r="I43" s="2607"/>
      <c r="J43" s="2607"/>
      <c r="K43" s="2607"/>
      <c r="L43" s="2607"/>
      <c r="M43" s="2607"/>
      <c r="N43" s="2607"/>
      <c r="O43" s="2607"/>
      <c r="P43" s="41"/>
      <c r="Q43" s="41"/>
      <c r="R43" s="41"/>
      <c r="S43" s="41"/>
      <c r="T43" s="41"/>
      <c r="U43" s="41"/>
      <c r="V43" s="41"/>
    </row>
    <row r="44" spans="3:22" ht="18.75" x14ac:dyDescent="0.4">
      <c r="C44" s="438"/>
      <c r="D44" s="41"/>
      <c r="E44" s="41"/>
      <c r="F44" s="41"/>
      <c r="G44" s="41"/>
      <c r="H44" s="41"/>
      <c r="I44" s="41"/>
      <c r="J44" s="41"/>
      <c r="K44" s="41"/>
      <c r="L44" s="41"/>
      <c r="M44" s="41"/>
      <c r="N44" s="41"/>
      <c r="O44" s="41"/>
      <c r="P44" s="41"/>
      <c r="Q44" s="41"/>
      <c r="R44" s="41"/>
      <c r="S44" s="41"/>
      <c r="T44" s="41"/>
      <c r="U44" s="41"/>
      <c r="V44" s="41"/>
    </row>
    <row r="45" spans="3:22" ht="18.75" x14ac:dyDescent="0.4">
      <c r="C45" s="431" t="s">
        <v>963</v>
      </c>
      <c r="D45" s="431">
        <v>2010</v>
      </c>
      <c r="E45" s="431">
        <v>2011</v>
      </c>
      <c r="F45" s="431">
        <v>2012</v>
      </c>
      <c r="G45" s="431">
        <v>2013</v>
      </c>
      <c r="H45" s="431">
        <v>2014</v>
      </c>
      <c r="I45" s="431">
        <v>2015</v>
      </c>
      <c r="J45" s="431">
        <v>2016</v>
      </c>
      <c r="K45" s="431">
        <v>2017</v>
      </c>
      <c r="L45" s="431">
        <v>2018</v>
      </c>
      <c r="M45" s="431">
        <v>2019</v>
      </c>
      <c r="N45" s="431">
        <v>2020</v>
      </c>
      <c r="O45" s="431">
        <v>2021</v>
      </c>
      <c r="P45" s="431">
        <v>2022</v>
      </c>
      <c r="Q45" s="431">
        <v>2023</v>
      </c>
      <c r="R45" s="41"/>
      <c r="S45" s="41"/>
      <c r="T45" s="41"/>
      <c r="U45" s="41"/>
      <c r="V45" s="41"/>
    </row>
    <row r="46" spans="3:22" ht="18.75" x14ac:dyDescent="0.4">
      <c r="C46" s="438" t="s">
        <v>964</v>
      </c>
      <c r="D46" s="29">
        <v>5</v>
      </c>
      <c r="E46" s="29">
        <v>1</v>
      </c>
      <c r="F46" s="29">
        <v>2</v>
      </c>
      <c r="G46" s="29">
        <v>12</v>
      </c>
      <c r="H46" s="29">
        <v>17</v>
      </c>
      <c r="I46" s="29">
        <v>10</v>
      </c>
      <c r="J46" s="29">
        <v>13</v>
      </c>
      <c r="K46" s="29">
        <v>21</v>
      </c>
      <c r="L46" s="29">
        <v>13</v>
      </c>
      <c r="M46" s="29">
        <v>5</v>
      </c>
      <c r="N46" s="29">
        <v>8</v>
      </c>
      <c r="O46" s="29">
        <v>14</v>
      </c>
      <c r="P46" s="29">
        <v>10</v>
      </c>
      <c r="Q46" s="29">
        <v>17</v>
      </c>
      <c r="R46" s="41"/>
      <c r="S46" s="41"/>
      <c r="T46" s="41"/>
      <c r="U46" s="41"/>
      <c r="V46" s="41"/>
    </row>
    <row r="47" spans="3:22" ht="18.75" x14ac:dyDescent="0.4">
      <c r="C47" s="438" t="s">
        <v>965</v>
      </c>
      <c r="D47" s="29">
        <v>0</v>
      </c>
      <c r="E47" s="29">
        <v>2</v>
      </c>
      <c r="F47" s="29">
        <v>0</v>
      </c>
      <c r="G47" s="29">
        <v>1</v>
      </c>
      <c r="H47" s="29">
        <v>0</v>
      </c>
      <c r="I47" s="29">
        <v>2</v>
      </c>
      <c r="J47" s="29">
        <v>1</v>
      </c>
      <c r="K47" s="29">
        <v>1</v>
      </c>
      <c r="L47" s="29">
        <v>0</v>
      </c>
      <c r="M47" s="29">
        <v>0</v>
      </c>
      <c r="N47" s="29">
        <v>0</v>
      </c>
      <c r="O47" s="29">
        <v>0</v>
      </c>
      <c r="P47" s="29">
        <v>0</v>
      </c>
      <c r="Q47" s="29">
        <v>1</v>
      </c>
      <c r="R47" s="41"/>
      <c r="S47" s="41"/>
      <c r="T47" s="41"/>
      <c r="U47" s="41"/>
      <c r="V47" s="41"/>
    </row>
    <row r="48" spans="3:22" ht="18.75" x14ac:dyDescent="0.4">
      <c r="C48" s="438" t="s">
        <v>966</v>
      </c>
      <c r="D48" s="29">
        <v>2</v>
      </c>
      <c r="E48" s="29">
        <v>1</v>
      </c>
      <c r="F48" s="29">
        <v>2</v>
      </c>
      <c r="G48" s="29">
        <v>3</v>
      </c>
      <c r="H48" s="29">
        <v>0</v>
      </c>
      <c r="I48" s="29">
        <v>0</v>
      </c>
      <c r="J48" s="29">
        <v>2</v>
      </c>
      <c r="K48" s="29">
        <v>0</v>
      </c>
      <c r="L48" s="29">
        <v>2</v>
      </c>
      <c r="M48" s="29">
        <v>1</v>
      </c>
      <c r="N48" s="29">
        <v>0</v>
      </c>
      <c r="O48" s="29">
        <v>2</v>
      </c>
      <c r="P48" s="29">
        <v>1</v>
      </c>
      <c r="Q48" s="29">
        <v>2</v>
      </c>
      <c r="R48" s="41"/>
      <c r="S48" s="41"/>
      <c r="T48" s="41"/>
      <c r="U48" s="41"/>
      <c r="V48" s="41"/>
    </row>
    <row r="49" spans="3:22" ht="18.75" x14ac:dyDescent="0.4">
      <c r="C49" s="438" t="s">
        <v>967</v>
      </c>
      <c r="D49" s="29">
        <v>23</v>
      </c>
      <c r="E49" s="29">
        <v>17</v>
      </c>
      <c r="F49" s="29">
        <v>20</v>
      </c>
      <c r="G49" s="29">
        <v>25</v>
      </c>
      <c r="H49" s="29">
        <v>45</v>
      </c>
      <c r="I49" s="29">
        <v>41</v>
      </c>
      <c r="J49" s="29">
        <v>32</v>
      </c>
      <c r="K49" s="29">
        <v>55</v>
      </c>
      <c r="L49" s="29">
        <v>42</v>
      </c>
      <c r="M49" s="29">
        <v>45</v>
      </c>
      <c r="N49" s="29">
        <v>38</v>
      </c>
      <c r="O49" s="29">
        <v>33</v>
      </c>
      <c r="P49" s="29">
        <v>42</v>
      </c>
      <c r="Q49" s="29">
        <v>49</v>
      </c>
      <c r="R49" s="41"/>
      <c r="S49" s="41"/>
      <c r="T49" s="41"/>
      <c r="U49" s="41"/>
      <c r="V49" s="41"/>
    </row>
    <row r="50" spans="3:22" ht="18.75" x14ac:dyDescent="0.4">
      <c r="C50" s="438" t="s">
        <v>968</v>
      </c>
      <c r="D50" s="29">
        <v>62</v>
      </c>
      <c r="E50" s="29">
        <v>57</v>
      </c>
      <c r="F50" s="29">
        <v>88</v>
      </c>
      <c r="G50" s="29">
        <v>137</v>
      </c>
      <c r="H50" s="29">
        <v>144</v>
      </c>
      <c r="I50" s="29">
        <v>158</v>
      </c>
      <c r="J50" s="29">
        <v>204</v>
      </c>
      <c r="K50" s="29">
        <v>204</v>
      </c>
      <c r="L50" s="29">
        <v>185</v>
      </c>
      <c r="M50" s="29">
        <v>186</v>
      </c>
      <c r="N50" s="29">
        <v>159</v>
      </c>
      <c r="O50" s="29">
        <v>156</v>
      </c>
      <c r="P50" s="29">
        <v>144</v>
      </c>
      <c r="Q50" s="29">
        <v>189</v>
      </c>
      <c r="R50" s="41"/>
      <c r="S50" s="41"/>
      <c r="T50" s="41"/>
      <c r="U50" s="41"/>
      <c r="V50" s="41"/>
    </row>
    <row r="51" spans="3:22" ht="18.75" x14ac:dyDescent="0.4">
      <c r="C51" s="438" t="s">
        <v>969</v>
      </c>
      <c r="D51" s="29">
        <v>87</v>
      </c>
      <c r="E51" s="29">
        <v>66</v>
      </c>
      <c r="F51" s="29">
        <v>131</v>
      </c>
      <c r="G51" s="29">
        <v>143</v>
      </c>
      <c r="H51" s="29">
        <v>162</v>
      </c>
      <c r="I51" s="29">
        <v>183</v>
      </c>
      <c r="J51" s="29">
        <v>231</v>
      </c>
      <c r="K51" s="29">
        <v>246</v>
      </c>
      <c r="L51" s="29">
        <v>188</v>
      </c>
      <c r="M51" s="29">
        <v>223</v>
      </c>
      <c r="N51" s="29">
        <v>172</v>
      </c>
      <c r="O51" s="29">
        <v>189</v>
      </c>
      <c r="P51" s="29">
        <v>178</v>
      </c>
      <c r="Q51" s="29">
        <v>221</v>
      </c>
      <c r="R51" s="41"/>
      <c r="S51" s="41"/>
      <c r="T51" s="41"/>
      <c r="U51" s="41"/>
      <c r="V51" s="41"/>
    </row>
    <row r="52" spans="3:22" ht="18.75" x14ac:dyDescent="0.4">
      <c r="C52" s="438" t="s">
        <v>970</v>
      </c>
      <c r="D52" s="29">
        <v>81</v>
      </c>
      <c r="E52" s="29">
        <v>61</v>
      </c>
      <c r="F52" s="29">
        <v>107</v>
      </c>
      <c r="G52" s="29">
        <v>138</v>
      </c>
      <c r="H52" s="29">
        <v>105</v>
      </c>
      <c r="I52" s="29">
        <v>133</v>
      </c>
      <c r="J52" s="29">
        <v>146</v>
      </c>
      <c r="K52" s="29">
        <v>175</v>
      </c>
      <c r="L52" s="29">
        <v>134</v>
      </c>
      <c r="M52" s="29">
        <v>170</v>
      </c>
      <c r="N52" s="29">
        <v>115</v>
      </c>
      <c r="O52" s="29">
        <v>129</v>
      </c>
      <c r="P52" s="29">
        <v>148</v>
      </c>
      <c r="Q52" s="29">
        <v>190</v>
      </c>
      <c r="R52" s="41"/>
      <c r="S52" s="41"/>
      <c r="T52" s="41"/>
      <c r="U52" s="41"/>
      <c r="V52" s="41"/>
    </row>
    <row r="53" spans="3:22" ht="18.75" x14ac:dyDescent="0.4">
      <c r="C53" s="438" t="s">
        <v>971</v>
      </c>
      <c r="D53" s="29">
        <v>67</v>
      </c>
      <c r="E53" s="29">
        <v>38</v>
      </c>
      <c r="F53" s="29">
        <v>85</v>
      </c>
      <c r="G53" s="29">
        <v>73</v>
      </c>
      <c r="H53" s="29">
        <v>96</v>
      </c>
      <c r="I53" s="29">
        <v>103</v>
      </c>
      <c r="J53" s="29">
        <v>116</v>
      </c>
      <c r="K53" s="29">
        <v>98</v>
      </c>
      <c r="L53" s="29">
        <v>95</v>
      </c>
      <c r="M53" s="29">
        <v>98</v>
      </c>
      <c r="N53" s="29">
        <v>86</v>
      </c>
      <c r="O53" s="29">
        <v>86</v>
      </c>
      <c r="P53" s="29">
        <v>85</v>
      </c>
      <c r="Q53" s="29">
        <v>117</v>
      </c>
      <c r="R53" s="41"/>
      <c r="S53" s="41"/>
      <c r="T53" s="41"/>
      <c r="U53" s="41"/>
      <c r="V53" s="41"/>
    </row>
    <row r="54" spans="3:22" ht="18.75" x14ac:dyDescent="0.4">
      <c r="C54" s="438" t="s">
        <v>972</v>
      </c>
      <c r="D54" s="29">
        <v>50</v>
      </c>
      <c r="E54" s="29">
        <v>41</v>
      </c>
      <c r="F54" s="29">
        <v>65</v>
      </c>
      <c r="G54" s="29">
        <v>69</v>
      </c>
      <c r="H54" s="29">
        <v>52</v>
      </c>
      <c r="I54" s="29">
        <v>77</v>
      </c>
      <c r="J54" s="29">
        <v>84</v>
      </c>
      <c r="K54" s="29">
        <v>85</v>
      </c>
      <c r="L54" s="29">
        <v>47</v>
      </c>
      <c r="M54" s="29">
        <v>63</v>
      </c>
      <c r="N54" s="29">
        <v>52</v>
      </c>
      <c r="O54" s="29">
        <v>59</v>
      </c>
      <c r="P54" s="29">
        <v>79</v>
      </c>
      <c r="Q54" s="29">
        <v>81</v>
      </c>
      <c r="R54" s="41"/>
      <c r="S54" s="41"/>
      <c r="T54" s="41"/>
      <c r="U54" s="41"/>
      <c r="V54" s="41"/>
    </row>
    <row r="55" spans="3:22" ht="18.75" x14ac:dyDescent="0.4">
      <c r="C55" s="438" t="s">
        <v>973</v>
      </c>
      <c r="D55" s="29">
        <v>40</v>
      </c>
      <c r="E55" s="29">
        <v>22</v>
      </c>
      <c r="F55" s="29">
        <v>64</v>
      </c>
      <c r="G55" s="29">
        <v>53</v>
      </c>
      <c r="H55" s="29">
        <v>50</v>
      </c>
      <c r="I55" s="29">
        <v>67</v>
      </c>
      <c r="J55" s="29">
        <v>61</v>
      </c>
      <c r="K55" s="29">
        <v>64</v>
      </c>
      <c r="L55" s="29">
        <v>30</v>
      </c>
      <c r="M55" s="29">
        <v>53</v>
      </c>
      <c r="N55" s="29">
        <v>52</v>
      </c>
      <c r="O55" s="29">
        <v>37</v>
      </c>
      <c r="P55" s="29">
        <v>43</v>
      </c>
      <c r="Q55" s="29">
        <v>57</v>
      </c>
      <c r="R55" s="41"/>
      <c r="S55" s="41"/>
      <c r="T55" s="41"/>
      <c r="U55" s="41"/>
      <c r="V55" s="41"/>
    </row>
    <row r="56" spans="3:22" ht="18.75" x14ac:dyDescent="0.4">
      <c r="C56" s="438" t="s">
        <v>974</v>
      </c>
      <c r="D56" s="29">
        <v>31</v>
      </c>
      <c r="E56" s="29">
        <v>20</v>
      </c>
      <c r="F56" s="29">
        <v>42</v>
      </c>
      <c r="G56" s="29">
        <v>41</v>
      </c>
      <c r="H56" s="29">
        <v>46</v>
      </c>
      <c r="I56" s="29">
        <v>48</v>
      </c>
      <c r="J56" s="29">
        <v>50</v>
      </c>
      <c r="K56" s="29">
        <v>61</v>
      </c>
      <c r="L56" s="29">
        <v>35</v>
      </c>
      <c r="M56" s="29">
        <v>29</v>
      </c>
      <c r="N56" s="29">
        <v>40</v>
      </c>
      <c r="O56" s="29">
        <v>36</v>
      </c>
      <c r="P56" s="29">
        <v>45</v>
      </c>
      <c r="Q56" s="29">
        <v>49</v>
      </c>
      <c r="R56" s="41"/>
      <c r="S56" s="41"/>
      <c r="T56" s="41"/>
      <c r="U56" s="41"/>
      <c r="V56" s="41"/>
    </row>
    <row r="57" spans="3:22" ht="18.75" x14ac:dyDescent="0.4">
      <c r="C57" s="438" t="s">
        <v>975</v>
      </c>
      <c r="D57" s="29">
        <v>24</v>
      </c>
      <c r="E57" s="29">
        <v>15</v>
      </c>
      <c r="F57" s="29">
        <v>29</v>
      </c>
      <c r="G57" s="29">
        <v>32</v>
      </c>
      <c r="H57" s="29">
        <v>20</v>
      </c>
      <c r="I57" s="29">
        <v>38</v>
      </c>
      <c r="J57" s="29">
        <v>34</v>
      </c>
      <c r="K57" s="29">
        <v>35</v>
      </c>
      <c r="L57" s="29">
        <v>27</v>
      </c>
      <c r="M57" s="29">
        <v>25</v>
      </c>
      <c r="N57" s="29">
        <v>26</v>
      </c>
      <c r="O57" s="29">
        <v>14</v>
      </c>
      <c r="P57" s="29">
        <v>36</v>
      </c>
      <c r="Q57" s="29">
        <v>37</v>
      </c>
      <c r="R57" s="41"/>
      <c r="S57" s="41"/>
      <c r="T57" s="41"/>
      <c r="U57" s="41"/>
      <c r="V57" s="41"/>
    </row>
    <row r="58" spans="3:22" ht="18.75" x14ac:dyDescent="0.4">
      <c r="C58" s="438" t="s">
        <v>976</v>
      </c>
      <c r="D58" s="29">
        <v>12</v>
      </c>
      <c r="E58" s="29">
        <v>8</v>
      </c>
      <c r="F58" s="29">
        <v>8</v>
      </c>
      <c r="G58" s="29">
        <v>12</v>
      </c>
      <c r="H58" s="29">
        <v>30</v>
      </c>
      <c r="I58" s="29">
        <v>26</v>
      </c>
      <c r="J58" s="29">
        <v>20</v>
      </c>
      <c r="K58" s="29">
        <v>15</v>
      </c>
      <c r="L58" s="29">
        <v>6</v>
      </c>
      <c r="M58" s="29">
        <v>19</v>
      </c>
      <c r="N58" s="29">
        <v>15</v>
      </c>
      <c r="O58" s="29">
        <v>13</v>
      </c>
      <c r="P58" s="29">
        <v>21</v>
      </c>
      <c r="Q58" s="29">
        <v>27</v>
      </c>
      <c r="R58" s="41"/>
      <c r="S58" s="41"/>
      <c r="T58" s="41"/>
      <c r="U58" s="41"/>
      <c r="V58" s="41"/>
    </row>
    <row r="59" spans="3:22" ht="18.75" x14ac:dyDescent="0.4">
      <c r="C59" s="438" t="s">
        <v>977</v>
      </c>
      <c r="D59" s="29">
        <v>9</v>
      </c>
      <c r="E59" s="29">
        <v>4</v>
      </c>
      <c r="F59" s="29">
        <v>15</v>
      </c>
      <c r="G59" s="29">
        <v>12</v>
      </c>
      <c r="H59" s="29">
        <v>8</v>
      </c>
      <c r="I59" s="29">
        <v>13</v>
      </c>
      <c r="J59" s="29">
        <v>8</v>
      </c>
      <c r="K59" s="29">
        <v>8</v>
      </c>
      <c r="L59" s="29">
        <v>14</v>
      </c>
      <c r="M59" s="29">
        <v>6</v>
      </c>
      <c r="N59" s="29">
        <v>6</v>
      </c>
      <c r="O59" s="29">
        <v>9</v>
      </c>
      <c r="P59" s="29">
        <v>7</v>
      </c>
      <c r="Q59" s="29">
        <v>25</v>
      </c>
      <c r="R59" s="41"/>
      <c r="S59" s="41"/>
      <c r="T59" s="41"/>
      <c r="U59" s="41"/>
      <c r="V59" s="41"/>
    </row>
    <row r="60" spans="3:22" ht="18.75" x14ac:dyDescent="0.4">
      <c r="C60" s="438" t="s">
        <v>978</v>
      </c>
      <c r="D60" s="29">
        <v>1</v>
      </c>
      <c r="E60" s="29">
        <v>3</v>
      </c>
      <c r="F60" s="29">
        <v>5</v>
      </c>
      <c r="G60" s="29">
        <v>4</v>
      </c>
      <c r="H60" s="29">
        <v>3</v>
      </c>
      <c r="I60" s="29">
        <v>3</v>
      </c>
      <c r="J60" s="29">
        <v>7</v>
      </c>
      <c r="K60" s="29">
        <v>4</v>
      </c>
      <c r="L60" s="29">
        <v>6</v>
      </c>
      <c r="M60" s="29">
        <v>6</v>
      </c>
      <c r="N60" s="29">
        <v>3</v>
      </c>
      <c r="O60" s="29">
        <v>5</v>
      </c>
      <c r="P60" s="29">
        <v>4</v>
      </c>
      <c r="Q60" s="29">
        <v>5</v>
      </c>
      <c r="R60" s="41"/>
      <c r="S60" s="41"/>
      <c r="T60" s="41"/>
      <c r="U60" s="41"/>
      <c r="V60" s="41"/>
    </row>
    <row r="61" spans="3:22" ht="18.75" x14ac:dyDescent="0.4">
      <c r="C61" s="438" t="s">
        <v>979</v>
      </c>
      <c r="D61" s="29">
        <v>0</v>
      </c>
      <c r="E61" s="29">
        <v>0</v>
      </c>
      <c r="F61" s="29">
        <v>1</v>
      </c>
      <c r="G61" s="29">
        <v>3</v>
      </c>
      <c r="H61" s="29">
        <v>2</v>
      </c>
      <c r="I61" s="29">
        <v>1</v>
      </c>
      <c r="J61" s="29">
        <v>5</v>
      </c>
      <c r="K61" s="29">
        <v>1</v>
      </c>
      <c r="L61" s="29">
        <v>1</v>
      </c>
      <c r="M61" s="29">
        <v>0</v>
      </c>
      <c r="N61" s="29">
        <v>0</v>
      </c>
      <c r="O61" s="29">
        <v>1</v>
      </c>
      <c r="P61" s="29">
        <v>2</v>
      </c>
      <c r="Q61" s="29">
        <v>3</v>
      </c>
      <c r="R61" s="41"/>
      <c r="S61" s="41"/>
      <c r="T61" s="41"/>
      <c r="U61" s="41"/>
      <c r="V61" s="41"/>
    </row>
    <row r="62" spans="3:22" ht="18.75" x14ac:dyDescent="0.4">
      <c r="C62" s="438" t="s">
        <v>980</v>
      </c>
      <c r="D62" s="29">
        <v>1</v>
      </c>
      <c r="E62" s="29">
        <v>0</v>
      </c>
      <c r="F62" s="29">
        <v>1</v>
      </c>
      <c r="G62" s="29">
        <v>0</v>
      </c>
      <c r="H62" s="29">
        <v>2</v>
      </c>
      <c r="I62" s="29">
        <v>1</v>
      </c>
      <c r="J62" s="29">
        <v>0</v>
      </c>
      <c r="K62" s="29">
        <v>3</v>
      </c>
      <c r="L62" s="29">
        <v>1</v>
      </c>
      <c r="M62" s="29">
        <v>3</v>
      </c>
      <c r="N62" s="29">
        <v>1</v>
      </c>
      <c r="O62" s="29">
        <v>1</v>
      </c>
      <c r="P62" s="29">
        <v>1</v>
      </c>
      <c r="Q62" s="29">
        <v>4</v>
      </c>
      <c r="R62" s="41"/>
      <c r="S62" s="41"/>
      <c r="T62" s="41"/>
      <c r="U62" s="41"/>
      <c r="V62" s="41"/>
    </row>
    <row r="63" spans="3:22" ht="18.75" x14ac:dyDescent="0.4">
      <c r="C63" s="438" t="s">
        <v>981</v>
      </c>
      <c r="D63" s="29">
        <v>84</v>
      </c>
      <c r="E63" s="29">
        <v>89</v>
      </c>
      <c r="F63" s="29">
        <v>24</v>
      </c>
      <c r="G63" s="29">
        <v>52</v>
      </c>
      <c r="H63" s="29">
        <v>41</v>
      </c>
      <c r="I63" s="29">
        <v>62</v>
      </c>
      <c r="J63" s="29">
        <v>69</v>
      </c>
      <c r="K63" s="29">
        <v>26</v>
      </c>
      <c r="L63" s="29">
        <v>41</v>
      </c>
      <c r="M63" s="29">
        <v>0</v>
      </c>
      <c r="N63" s="29">
        <v>2</v>
      </c>
      <c r="O63" s="29">
        <v>0</v>
      </c>
      <c r="P63" s="29">
        <v>11</v>
      </c>
      <c r="Q63" s="29">
        <v>2</v>
      </c>
      <c r="R63" s="41"/>
      <c r="S63" s="41"/>
      <c r="T63" s="41"/>
      <c r="U63" s="41"/>
      <c r="V63" s="41"/>
    </row>
    <row r="64" spans="3:22" ht="18.75" x14ac:dyDescent="0.4">
      <c r="C64" s="438"/>
      <c r="D64" s="29"/>
      <c r="E64" s="29"/>
      <c r="F64" s="29"/>
      <c r="G64" s="29"/>
      <c r="H64" s="29"/>
      <c r="I64" s="29"/>
      <c r="J64" s="29"/>
      <c r="K64" s="29"/>
      <c r="L64" s="29"/>
      <c r="M64" s="29"/>
      <c r="N64" s="29"/>
      <c r="O64" s="29"/>
      <c r="P64" s="29"/>
      <c r="Q64" s="29"/>
      <c r="R64" s="41"/>
      <c r="S64" s="41"/>
      <c r="T64" s="41"/>
      <c r="U64" s="41"/>
      <c r="V64" s="41"/>
    </row>
    <row r="65" spans="3:22" ht="18.75" x14ac:dyDescent="0.4">
      <c r="C65" s="2608" t="s">
        <v>982</v>
      </c>
      <c r="D65" s="2608"/>
      <c r="E65" s="2608"/>
      <c r="F65" s="2608"/>
      <c r="G65" s="2608"/>
      <c r="H65" s="2608"/>
      <c r="I65" s="2608"/>
      <c r="J65" s="2608"/>
      <c r="K65" s="2608"/>
      <c r="L65" s="2608"/>
      <c r="M65" s="2608"/>
      <c r="N65" s="2608"/>
      <c r="O65" s="2608"/>
      <c r="P65" s="2608"/>
      <c r="Q65" s="2608"/>
      <c r="R65" s="2609"/>
      <c r="S65" s="2609"/>
      <c r="T65" s="2609"/>
      <c r="U65" s="2609"/>
      <c r="V65" s="2609"/>
    </row>
    <row r="66" spans="3:22" ht="18.75" x14ac:dyDescent="0.4">
      <c r="C66" s="446" t="s">
        <v>983</v>
      </c>
      <c r="D66" s="445"/>
      <c r="E66" s="445"/>
      <c r="F66" s="445"/>
      <c r="G66" s="445"/>
      <c r="H66" s="446"/>
      <c r="I66" s="446"/>
      <c r="J66" s="457"/>
      <c r="K66" s="458"/>
      <c r="L66" s="458"/>
      <c r="M66" s="458"/>
      <c r="N66" s="458"/>
      <c r="O66" s="458"/>
      <c r="P66" s="458"/>
      <c r="Q66" s="458"/>
      <c r="R66" s="458"/>
      <c r="S66" s="458"/>
      <c r="T66" s="458"/>
      <c r="U66" s="458"/>
      <c r="V66" s="458"/>
    </row>
    <row r="67" spans="3:22" ht="18.75" x14ac:dyDescent="0.4">
      <c r="C67" s="438" t="s">
        <v>960</v>
      </c>
      <c r="D67" s="445"/>
      <c r="E67" s="445"/>
      <c r="F67" s="443"/>
      <c r="G67" s="445"/>
      <c r="H67" s="41"/>
      <c r="I67" s="41"/>
      <c r="J67" s="41"/>
      <c r="K67" s="451"/>
      <c r="L67" s="451"/>
      <c r="M67" s="451"/>
      <c r="N67" s="451"/>
      <c r="O67" s="451"/>
      <c r="P67" s="451"/>
      <c r="Q67" s="451"/>
      <c r="R67" s="451"/>
      <c r="S67" s="451"/>
      <c r="T67" s="451"/>
      <c r="U67" s="451"/>
      <c r="V67" s="451"/>
    </row>
    <row r="68" spans="3:22" ht="18.75" x14ac:dyDescent="0.4">
      <c r="C68" s="446" t="s">
        <v>984</v>
      </c>
      <c r="D68" s="445"/>
      <c r="E68" s="445"/>
      <c r="F68" s="445"/>
      <c r="G68" s="445"/>
      <c r="H68" s="438"/>
      <c r="I68" s="41"/>
      <c r="J68" s="41"/>
      <c r="K68" s="41"/>
      <c r="L68" s="41"/>
      <c r="M68" s="41"/>
      <c r="N68" s="41"/>
      <c r="O68" s="41"/>
      <c r="P68" s="41"/>
      <c r="Q68" s="41"/>
      <c r="R68" s="41"/>
      <c r="S68" s="41"/>
      <c r="T68" s="41"/>
      <c r="U68" s="41"/>
      <c r="V68" s="41"/>
    </row>
    <row r="69" spans="3:22" ht="18.75" x14ac:dyDescent="0.4">
      <c r="C69" s="438"/>
      <c r="D69" s="41"/>
      <c r="E69" s="41"/>
      <c r="F69" s="41"/>
      <c r="G69" s="41"/>
      <c r="H69" s="41"/>
      <c r="I69" s="41"/>
      <c r="J69" s="41"/>
      <c r="K69" s="41"/>
      <c r="L69" s="41"/>
      <c r="M69" s="41"/>
      <c r="N69" s="41"/>
      <c r="O69" s="41"/>
      <c r="P69" s="41"/>
      <c r="Q69" s="41"/>
      <c r="R69" s="41"/>
      <c r="S69" s="41"/>
      <c r="T69" s="41"/>
      <c r="U69" s="41"/>
      <c r="V69" s="41"/>
    </row>
  </sheetData>
  <mergeCells count="18">
    <mergeCell ref="A5:B5"/>
    <mergeCell ref="C5:T5"/>
    <mergeCell ref="C1:D1"/>
    <mergeCell ref="A3:B3"/>
    <mergeCell ref="C3:T3"/>
    <mergeCell ref="A4:B4"/>
    <mergeCell ref="C4:T4"/>
    <mergeCell ref="C43:O43"/>
    <mergeCell ref="C65:V65"/>
    <mergeCell ref="A6:B6"/>
    <mergeCell ref="C6:T6"/>
    <mergeCell ref="C9:K9"/>
    <mergeCell ref="D11:E12"/>
    <mergeCell ref="G11:J11"/>
    <mergeCell ref="K11:K13"/>
    <mergeCell ref="C12:C13"/>
    <mergeCell ref="G12:H12"/>
    <mergeCell ref="I12:J12"/>
  </mergeCells>
  <hyperlinks>
    <hyperlink ref="A1" location="'ODS 3.'!A1" display="REGRESAR" xr:uid="{175B5593-4EB8-477A-9725-1051ED3BB8E3}"/>
    <hyperlink ref="C1" location="'Metadato 3.3.1'!A1" display="VER METADATO " xr:uid="{9BF3291E-4C8B-4F1F-A3DE-8A5C81E51FC9}"/>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2BE1-04CF-44E8-A498-F44F3E6E338D}">
  <sheetPr>
    <tabColor theme="0" tint="-0.499984740745262"/>
  </sheetPr>
  <dimension ref="B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28515625" style="222" customWidth="1"/>
    <col min="2" max="2" width="26.42578125" style="222" customWidth="1"/>
    <col min="3" max="3" width="24" style="222" customWidth="1"/>
    <col min="4" max="4" width="85.7109375" style="222" customWidth="1"/>
    <col min="5" max="5" width="9.42578125" style="222" customWidth="1"/>
    <col min="6" max="6" width="7.28515625" style="222" customWidth="1"/>
    <col min="7" max="8" width="8.42578125" style="222" customWidth="1"/>
    <col min="9" max="9" width="8.5703125" style="222" customWidth="1"/>
    <col min="10" max="16384" width="11.42578125" style="222"/>
  </cols>
  <sheetData>
    <row r="1" spans="2:6" x14ac:dyDescent="0.25">
      <c r="B1" s="223" t="s">
        <v>39</v>
      </c>
    </row>
    <row r="2" spans="2:6" ht="19.5" thickBot="1" x14ac:dyDescent="0.3"/>
    <row r="3" spans="2:6" ht="23.25" customHeight="1" thickBot="1" x14ac:dyDescent="0.3">
      <c r="B3" s="2604" t="s">
        <v>75</v>
      </c>
      <c r="C3" s="2604"/>
      <c r="D3" s="2604"/>
      <c r="F3" s="91" t="s">
        <v>76</v>
      </c>
    </row>
    <row r="4" spans="2:6" x14ac:dyDescent="0.25">
      <c r="B4" s="2445" t="s">
        <v>234</v>
      </c>
      <c r="C4" s="2445"/>
      <c r="D4" s="49" t="s">
        <v>832</v>
      </c>
    </row>
    <row r="5" spans="2:6" ht="56.25" x14ac:dyDescent="0.25">
      <c r="B5" s="2445" t="s">
        <v>79</v>
      </c>
      <c r="C5" s="2445"/>
      <c r="D5" s="49" t="s">
        <v>672</v>
      </c>
    </row>
    <row r="6" spans="2:6" x14ac:dyDescent="0.25">
      <c r="B6" s="2445" t="s">
        <v>80</v>
      </c>
      <c r="C6" s="2445"/>
      <c r="D6" s="50" t="s">
        <v>673</v>
      </c>
    </row>
    <row r="7" spans="2:6" ht="37.5" x14ac:dyDescent="0.25">
      <c r="B7" s="2446" t="s">
        <v>81</v>
      </c>
      <c r="C7" s="2446"/>
      <c r="D7" s="93" t="s">
        <v>674</v>
      </c>
    </row>
    <row r="8" spans="2:6" x14ac:dyDescent="0.25">
      <c r="B8" s="2446" t="s">
        <v>165</v>
      </c>
      <c r="C8" s="2446"/>
      <c r="D8" s="94" t="s">
        <v>985</v>
      </c>
    </row>
    <row r="9" spans="2:6" x14ac:dyDescent="0.4">
      <c r="B9" s="5"/>
      <c r="C9" s="5"/>
      <c r="D9" s="5"/>
    </row>
    <row r="10" spans="2:6" ht="23.25" customHeight="1" x14ac:dyDescent="0.25">
      <c r="B10" s="2604" t="s">
        <v>85</v>
      </c>
      <c r="C10" s="2604"/>
      <c r="D10" s="2604"/>
    </row>
    <row r="11" spans="2:6" ht="37.5" x14ac:dyDescent="0.25">
      <c r="B11" s="2453" t="s">
        <v>86</v>
      </c>
      <c r="C11" s="2454"/>
      <c r="D11" s="49" t="s">
        <v>986</v>
      </c>
    </row>
    <row r="12" spans="2:6" ht="19.5" customHeight="1" x14ac:dyDescent="0.25">
      <c r="B12" s="2455" t="s">
        <v>88</v>
      </c>
      <c r="C12" s="2455"/>
      <c r="D12" s="169" t="s">
        <v>987</v>
      </c>
    </row>
    <row r="13" spans="2:6" x14ac:dyDescent="0.25">
      <c r="B13" s="2445" t="s">
        <v>90</v>
      </c>
      <c r="C13" s="2445"/>
      <c r="D13" s="54" t="s">
        <v>673</v>
      </c>
    </row>
    <row r="14" spans="2:6" x14ac:dyDescent="0.25">
      <c r="B14" s="2445" t="s">
        <v>91</v>
      </c>
      <c r="C14" s="2456"/>
      <c r="D14" s="54" t="s">
        <v>214</v>
      </c>
    </row>
    <row r="15" spans="2:6" ht="150" x14ac:dyDescent="0.25">
      <c r="B15" s="2445" t="s">
        <v>93</v>
      </c>
      <c r="C15" s="2445"/>
      <c r="D15" s="56" t="s">
        <v>988</v>
      </c>
    </row>
    <row r="16" spans="2:6" ht="42" customHeight="1" x14ac:dyDescent="0.25">
      <c r="B16" s="2445" t="s">
        <v>95</v>
      </c>
      <c r="C16" s="2445"/>
      <c r="D16" s="56"/>
    </row>
    <row r="17" spans="2:4" x14ac:dyDescent="0.25">
      <c r="B17" s="2445" t="s">
        <v>97</v>
      </c>
      <c r="C17" s="2445"/>
      <c r="D17" s="56" t="s">
        <v>989</v>
      </c>
    </row>
    <row r="18" spans="2:4" x14ac:dyDescent="0.25">
      <c r="B18" s="2446" t="s">
        <v>99</v>
      </c>
      <c r="C18" s="2446"/>
      <c r="D18" s="49"/>
    </row>
    <row r="19" spans="2:4" ht="37.5" x14ac:dyDescent="0.25">
      <c r="B19" s="2457" t="s">
        <v>100</v>
      </c>
      <c r="C19" s="2458"/>
      <c r="D19" s="56" t="s">
        <v>990</v>
      </c>
    </row>
    <row r="20" spans="2:4" x14ac:dyDescent="0.25">
      <c r="B20" s="2445" t="s">
        <v>102</v>
      </c>
      <c r="C20" s="2445"/>
      <c r="D20" s="55" t="s">
        <v>140</v>
      </c>
    </row>
    <row r="21" spans="2:4" x14ac:dyDescent="0.25">
      <c r="B21" s="2451" t="s">
        <v>104</v>
      </c>
      <c r="C21" s="95" t="s">
        <v>105</v>
      </c>
      <c r="D21" s="55" t="s">
        <v>140</v>
      </c>
    </row>
    <row r="22" spans="2:4" x14ac:dyDescent="0.25">
      <c r="B22" s="2452"/>
      <c r="C22" s="96" t="s">
        <v>107</v>
      </c>
      <c r="D22" s="55" t="s">
        <v>991</v>
      </c>
    </row>
    <row r="23" spans="2:4" x14ac:dyDescent="0.25">
      <c r="B23" s="2444" t="s">
        <v>109</v>
      </c>
      <c r="C23" s="2444"/>
      <c r="D23" s="55" t="s">
        <v>143</v>
      </c>
    </row>
    <row r="24" spans="2:4" x14ac:dyDescent="0.25">
      <c r="B24" s="2444" t="s">
        <v>111</v>
      </c>
      <c r="C24" s="2444"/>
      <c r="D24" s="59" t="s">
        <v>522</v>
      </c>
    </row>
    <row r="25" spans="2:4" x14ac:dyDescent="0.25">
      <c r="B25" s="2445" t="s">
        <v>113</v>
      </c>
      <c r="C25" s="2445"/>
      <c r="D25" s="56" t="s">
        <v>220</v>
      </c>
    </row>
    <row r="26" spans="2:4" ht="14.65" customHeight="1" x14ac:dyDescent="0.25">
      <c r="B26" s="2446" t="s">
        <v>115</v>
      </c>
      <c r="C26" s="2446"/>
      <c r="D26" s="459" t="s">
        <v>992</v>
      </c>
    </row>
    <row r="27" spans="2:4" x14ac:dyDescent="0.25">
      <c r="B27" s="2447" t="s">
        <v>117</v>
      </c>
      <c r="C27" s="2448"/>
      <c r="D27" s="49"/>
    </row>
    <row r="28" spans="2:4" ht="75" x14ac:dyDescent="0.25">
      <c r="B28" s="97" t="s">
        <v>118</v>
      </c>
      <c r="C28" s="98"/>
      <c r="D28" s="56" t="s">
        <v>993</v>
      </c>
    </row>
    <row r="29" spans="2:4" x14ac:dyDescent="0.25">
      <c r="B29" s="2449" t="s">
        <v>120</v>
      </c>
      <c r="C29" s="2450"/>
      <c r="D29" s="62"/>
    </row>
    <row r="30" spans="2:4" x14ac:dyDescent="0.25">
      <c r="B30" s="63"/>
      <c r="C30" s="63"/>
      <c r="D30" s="64"/>
    </row>
    <row r="31" spans="2:4" ht="23.25" customHeight="1" x14ac:dyDescent="0.25">
      <c r="B31" s="2604" t="s">
        <v>121</v>
      </c>
      <c r="C31" s="2604"/>
      <c r="D31" s="2604"/>
    </row>
    <row r="32" spans="2:4" x14ac:dyDescent="0.25">
      <c r="B32" s="2442" t="s">
        <v>122</v>
      </c>
      <c r="C32" s="2443"/>
      <c r="D32" s="50" t="s">
        <v>994</v>
      </c>
    </row>
    <row r="33" spans="2:4" x14ac:dyDescent="0.25">
      <c r="B33" s="2442" t="s">
        <v>124</v>
      </c>
      <c r="C33" s="2443"/>
      <c r="D33" s="222" t="s">
        <v>995</v>
      </c>
    </row>
    <row r="34" spans="2:4" x14ac:dyDescent="0.25">
      <c r="B34" s="2442" t="s">
        <v>126</v>
      </c>
      <c r="C34" s="2443"/>
      <c r="D34" s="50" t="s">
        <v>522</v>
      </c>
    </row>
    <row r="35" spans="2:4" x14ac:dyDescent="0.25">
      <c r="B35" s="2442" t="s">
        <v>128</v>
      </c>
      <c r="C35" s="2443"/>
      <c r="D35" s="50" t="s">
        <v>996</v>
      </c>
    </row>
    <row r="36" spans="2:4" x14ac:dyDescent="0.25">
      <c r="B36" s="2442" t="s">
        <v>130</v>
      </c>
      <c r="C36" s="2443"/>
      <c r="D36" s="460" t="s">
        <v>997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984FCF64-C94E-4A68-9178-26EEE3C45515}">
      <formula1>Tipo_operación</formula1>
    </dataValidation>
    <dataValidation type="list" allowBlank="1" showInputMessage="1" showErrorMessage="1" sqref="D14" xr:uid="{31E2832B-8239-433D-BBA2-191D2382AFF7}">
      <formula1>Tipo_indicador</formula1>
    </dataValidation>
    <dataValidation type="list" allowBlank="1" showInputMessage="1" showErrorMessage="1" sqref="D7" xr:uid="{3618318D-E225-4EE0-A412-5FA014F9504E}">
      <formula1>Nombre_indicador_ODS</formula1>
    </dataValidation>
    <dataValidation type="list" allowBlank="1" showInputMessage="1" showErrorMessage="1" sqref="D6" xr:uid="{72EDAE7A-534C-4C0F-8EC6-A3479D2D0AE4}">
      <formula1>Numero_indicador</formula1>
    </dataValidation>
    <dataValidation type="list" allowBlank="1" showInputMessage="1" showErrorMessage="1" sqref="D5" xr:uid="{7CC23B8B-9B8C-4B77-8DC4-E1D6E44E8ABA}">
      <formula1>Metas_ODS</formula1>
    </dataValidation>
    <dataValidation type="list" allowBlank="1" showInputMessage="1" showErrorMessage="1" sqref="D4" xr:uid="{44F18342-ED14-4B3F-866C-6894B90609B6}">
      <formula1>ODS</formula1>
    </dataValidation>
    <dataValidation allowBlank="1" showDropDown="1" showInputMessage="1" showErrorMessage="1" sqref="D13" xr:uid="{1FD595D4-9F99-48F8-B3B4-D9ECD6A52B97}"/>
  </dataValidations>
  <hyperlinks>
    <hyperlink ref="B1" location="'3.3.1'!A1" display="REGRESAR" xr:uid="{CDA30196-D628-4C11-912D-602B3083F011}"/>
    <hyperlink ref="D8" r:id="rId1" xr:uid="{CDC3E173-F51B-4652-9EC7-CE5F788E13F3}"/>
    <hyperlink ref="D36" r:id="rId2" xr:uid="{5222B588-47D4-42A7-A0AC-5ED59F396D9D}"/>
  </hyperlinks>
  <pageMargins left="0.7" right="0.7" top="0.75" bottom="0.75" header="0.3" footer="0.3"/>
  <pageSetup orientation="portrait"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8E41-AD7C-48EF-B258-21001A5AC6B2}">
  <dimension ref="A1:BK178"/>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7109375" style="22" customWidth="1"/>
    <col min="2" max="2" width="16.85546875" style="22" customWidth="1"/>
    <col min="3" max="3" width="11.28515625" style="22" customWidth="1"/>
    <col min="4" max="4" width="12.7109375" style="22" customWidth="1"/>
    <col min="5" max="16384" width="11.42578125" style="22"/>
  </cols>
  <sheetData>
    <row r="1" spans="1:16" s="16" customFormat="1" ht="19.5" x14ac:dyDescent="0.4">
      <c r="A1" s="15" t="s">
        <v>39</v>
      </c>
      <c r="C1" s="2421" t="s">
        <v>149</v>
      </c>
      <c r="D1" s="2421"/>
    </row>
    <row r="2" spans="1:16" s="16" customFormat="1" ht="19.5" x14ac:dyDescent="0.4"/>
    <row r="3" spans="1:16" s="16" customFormat="1" ht="19.5" x14ac:dyDescent="0.4">
      <c r="A3" s="2574" t="s">
        <v>41</v>
      </c>
      <c r="B3" s="2574"/>
      <c r="C3" s="2574" t="s">
        <v>733</v>
      </c>
      <c r="D3" s="2575"/>
      <c r="E3" s="2575"/>
      <c r="F3" s="2575"/>
      <c r="G3" s="2575"/>
      <c r="H3" s="2575"/>
      <c r="I3" s="2575"/>
      <c r="J3" s="2575"/>
      <c r="K3" s="2575"/>
      <c r="L3" s="2575"/>
      <c r="M3" s="2575"/>
      <c r="N3" s="2575"/>
      <c r="O3" s="2575"/>
      <c r="P3" s="2575"/>
    </row>
    <row r="4" spans="1:16" s="16" customFormat="1" ht="19.5" x14ac:dyDescent="0.4">
      <c r="A4" s="2574" t="s">
        <v>42</v>
      </c>
      <c r="B4" s="2574"/>
      <c r="C4" s="2574" t="s">
        <v>672</v>
      </c>
      <c r="D4" s="2575"/>
      <c r="E4" s="2575"/>
      <c r="F4" s="2575"/>
      <c r="G4" s="2575"/>
      <c r="H4" s="2575"/>
      <c r="I4" s="2575"/>
      <c r="J4" s="2575"/>
      <c r="K4" s="2575"/>
      <c r="L4" s="2575"/>
      <c r="M4" s="2575"/>
      <c r="N4" s="2575"/>
      <c r="O4" s="2575"/>
      <c r="P4" s="2575"/>
    </row>
    <row r="5" spans="1:16" s="16" customFormat="1" ht="19.5" x14ac:dyDescent="0.4">
      <c r="A5" s="2574" t="s">
        <v>43</v>
      </c>
      <c r="B5" s="2574"/>
      <c r="C5" s="2574" t="s">
        <v>676</v>
      </c>
      <c r="D5" s="2575"/>
      <c r="E5" s="2575"/>
      <c r="F5" s="2575"/>
      <c r="G5" s="2575"/>
      <c r="H5" s="2575"/>
      <c r="I5" s="2575"/>
      <c r="J5" s="2575"/>
      <c r="K5" s="2575"/>
      <c r="L5" s="2575"/>
      <c r="M5" s="2575"/>
      <c r="N5" s="2575"/>
      <c r="O5" s="2575"/>
      <c r="P5" s="2575"/>
    </row>
    <row r="6" spans="1:16" s="16" customFormat="1" ht="39.6" customHeight="1" x14ac:dyDescent="0.4">
      <c r="A6" s="2574" t="s">
        <v>132</v>
      </c>
      <c r="B6" s="2575"/>
      <c r="C6" s="2574" t="s">
        <v>998</v>
      </c>
      <c r="D6" s="2575"/>
      <c r="E6" s="2575"/>
      <c r="F6" s="2575"/>
      <c r="G6" s="2575"/>
      <c r="H6" s="2575"/>
      <c r="I6" s="2575"/>
      <c r="J6" s="2575"/>
      <c r="K6" s="2575"/>
      <c r="L6" s="2575"/>
      <c r="M6" s="2575"/>
      <c r="N6" s="2575"/>
      <c r="O6" s="2575"/>
      <c r="P6" s="2575"/>
    </row>
    <row r="7" spans="1:16" s="16" customFormat="1" ht="19.5" x14ac:dyDescent="0.4">
      <c r="C7" s="131"/>
      <c r="D7" s="131"/>
      <c r="E7" s="43"/>
      <c r="H7" s="428"/>
    </row>
    <row r="8" spans="1:16" s="16" customFormat="1" ht="19.5" x14ac:dyDescent="0.4">
      <c r="C8" s="131"/>
      <c r="D8" s="131"/>
      <c r="E8" s="43"/>
      <c r="H8" s="428"/>
    </row>
    <row r="9" spans="1:16" s="16" customFormat="1" ht="19.5" x14ac:dyDescent="0.4">
      <c r="C9" s="163" t="s">
        <v>999</v>
      </c>
      <c r="D9" s="163"/>
      <c r="H9" s="461" t="s">
        <v>1000</v>
      </c>
    </row>
    <row r="10" spans="1:16" s="16" customFormat="1" ht="19.5" x14ac:dyDescent="0.4">
      <c r="C10" s="163" t="s">
        <v>1001</v>
      </c>
      <c r="D10" s="163"/>
      <c r="H10" s="461"/>
    </row>
    <row r="11" spans="1:16" ht="9.6" customHeight="1" x14ac:dyDescent="0.25">
      <c r="C11" s="139"/>
      <c r="D11" s="139"/>
      <c r="H11" s="462"/>
    </row>
    <row r="12" spans="1:16" ht="18.75" x14ac:dyDescent="0.25">
      <c r="C12" s="409" t="s">
        <v>1002</v>
      </c>
      <c r="D12" s="409" t="s">
        <v>258</v>
      </c>
    </row>
    <row r="13" spans="1:16" ht="18.75" x14ac:dyDescent="0.4">
      <c r="C13" s="4">
        <v>1990</v>
      </c>
      <c r="D13" s="413">
        <v>9.3000000000000007</v>
      </c>
    </row>
    <row r="14" spans="1:16" ht="18.75" x14ac:dyDescent="0.4">
      <c r="C14" s="4">
        <v>1995</v>
      </c>
      <c r="D14" s="413">
        <v>17.899999999999999</v>
      </c>
    </row>
    <row r="15" spans="1:16" ht="18.75" x14ac:dyDescent="0.4">
      <c r="C15" s="256">
        <v>2000</v>
      </c>
      <c r="D15" s="413">
        <v>13</v>
      </c>
    </row>
    <row r="16" spans="1:16" ht="18.75" x14ac:dyDescent="0.4">
      <c r="C16" s="4">
        <v>2005</v>
      </c>
      <c r="D16" s="413">
        <v>13.2</v>
      </c>
    </row>
    <row r="17" spans="3:8" ht="18.75" x14ac:dyDescent="0.4">
      <c r="C17" s="4">
        <v>2006</v>
      </c>
      <c r="D17" s="413">
        <v>11.5</v>
      </c>
    </row>
    <row r="18" spans="3:8" ht="18.75" x14ac:dyDescent="0.4">
      <c r="C18" s="256">
        <v>2007</v>
      </c>
      <c r="D18" s="413">
        <v>11.8</v>
      </c>
    </row>
    <row r="19" spans="3:8" ht="18.75" x14ac:dyDescent="0.4">
      <c r="C19" s="4">
        <v>2008</v>
      </c>
      <c r="D19" s="413">
        <v>11</v>
      </c>
    </row>
    <row r="20" spans="3:8" ht="18.75" x14ac:dyDescent="0.4">
      <c r="C20" s="4">
        <v>2009</v>
      </c>
      <c r="D20" s="413">
        <v>8.1</v>
      </c>
    </row>
    <row r="21" spans="3:8" ht="18.75" x14ac:dyDescent="0.4">
      <c r="C21" s="4">
        <v>2010</v>
      </c>
      <c r="D21" s="413">
        <v>11.7</v>
      </c>
    </row>
    <row r="22" spans="3:8" ht="18.75" x14ac:dyDescent="0.4">
      <c r="C22" s="256">
        <v>2011</v>
      </c>
      <c r="D22" s="413">
        <v>11</v>
      </c>
    </row>
    <row r="23" spans="3:8" ht="18.75" x14ac:dyDescent="0.4">
      <c r="C23" s="4">
        <v>2012</v>
      </c>
      <c r="D23" s="413">
        <v>10</v>
      </c>
    </row>
    <row r="24" spans="3:8" ht="18.75" x14ac:dyDescent="0.4">
      <c r="C24" s="4">
        <v>2013</v>
      </c>
      <c r="D24" s="413">
        <v>9.6999999999999993</v>
      </c>
    </row>
    <row r="25" spans="3:8" ht="18.75" x14ac:dyDescent="0.4">
      <c r="C25" s="4">
        <v>2014</v>
      </c>
      <c r="D25" s="413">
        <v>9.9</v>
      </c>
    </row>
    <row r="26" spans="3:8" ht="18.75" x14ac:dyDescent="0.4">
      <c r="C26" s="4">
        <v>2015</v>
      </c>
      <c r="D26" s="413">
        <v>8.8000000000000007</v>
      </c>
    </row>
    <row r="27" spans="3:8" ht="18.75" x14ac:dyDescent="0.4">
      <c r="C27" s="4">
        <v>2016</v>
      </c>
      <c r="D27" s="413">
        <v>7.6</v>
      </c>
      <c r="H27" s="122" t="s">
        <v>1003</v>
      </c>
    </row>
    <row r="28" spans="3:8" ht="18.75" x14ac:dyDescent="0.4">
      <c r="C28" s="4">
        <v>2017</v>
      </c>
      <c r="D28" s="413">
        <v>7.2</v>
      </c>
    </row>
    <row r="29" spans="3:8" ht="18.75" x14ac:dyDescent="0.4">
      <c r="C29" s="4">
        <v>2018</v>
      </c>
      <c r="D29" s="463">
        <v>8.1544663791151315</v>
      </c>
      <c r="H29" s="464"/>
    </row>
    <row r="30" spans="3:8" ht="18.75" x14ac:dyDescent="0.4">
      <c r="C30" s="4">
        <v>2019</v>
      </c>
      <c r="D30" s="413">
        <v>7.6</v>
      </c>
      <c r="H30" s="464"/>
    </row>
    <row r="31" spans="3:8" ht="18.75" x14ac:dyDescent="0.4">
      <c r="C31" s="4">
        <v>2020</v>
      </c>
      <c r="D31" s="413">
        <v>6.6</v>
      </c>
      <c r="H31" s="464"/>
    </row>
    <row r="32" spans="3:8" ht="18.75" x14ac:dyDescent="0.4">
      <c r="C32" s="4">
        <v>2021</v>
      </c>
      <c r="D32" s="413">
        <v>6.9</v>
      </c>
      <c r="H32" s="464"/>
    </row>
    <row r="33" spans="3:63" ht="18.75" x14ac:dyDescent="0.4">
      <c r="C33" s="4">
        <v>2022</v>
      </c>
      <c r="D33" s="413">
        <v>7.7</v>
      </c>
      <c r="H33" s="464"/>
    </row>
    <row r="34" spans="3:63" ht="18.75" x14ac:dyDescent="0.4">
      <c r="C34" s="4">
        <v>2023</v>
      </c>
      <c r="D34" s="413">
        <v>9</v>
      </c>
      <c r="H34" s="464"/>
    </row>
    <row r="35" spans="3:63" ht="18.75" x14ac:dyDescent="0.25">
      <c r="C35" s="465" t="s">
        <v>1004</v>
      </c>
      <c r="D35" s="465"/>
    </row>
    <row r="36" spans="3:63" ht="18.75" x14ac:dyDescent="0.4">
      <c r="C36" s="466" t="s">
        <v>1005</v>
      </c>
      <c r="D36" s="5"/>
    </row>
    <row r="39" spans="3:63" ht="18.75" x14ac:dyDescent="0.4">
      <c r="C39" s="467"/>
      <c r="D39" s="468"/>
      <c r="E39" s="469"/>
      <c r="F39" s="468"/>
      <c r="G39" s="469"/>
      <c r="H39" s="468"/>
      <c r="I39" s="469"/>
      <c r="J39" s="468"/>
      <c r="K39" s="469"/>
      <c r="L39" s="468"/>
      <c r="M39" s="469"/>
    </row>
    <row r="40" spans="3:63" ht="6.6" customHeight="1" x14ac:dyDescent="0.35">
      <c r="C40" s="468"/>
      <c r="D40" s="468"/>
      <c r="E40" s="469"/>
      <c r="F40" s="468"/>
      <c r="G40" s="469"/>
      <c r="H40" s="468"/>
      <c r="I40" s="469"/>
      <c r="J40" s="468"/>
      <c r="K40" s="469"/>
      <c r="L40" s="468"/>
      <c r="M40" s="469"/>
    </row>
    <row r="41" spans="3:63" ht="22.15" customHeight="1" x14ac:dyDescent="0.4">
      <c r="C41" s="189" t="s">
        <v>1006</v>
      </c>
      <c r="D41" s="189"/>
      <c r="E41" s="189"/>
      <c r="F41" s="189"/>
      <c r="G41" s="189"/>
      <c r="H41" s="189"/>
      <c r="I41" s="189"/>
      <c r="J41" s="189"/>
      <c r="K41" s="189"/>
      <c r="L41" s="189"/>
      <c r="M41" s="189"/>
      <c r="N41" s="189"/>
      <c r="O41" s="189"/>
      <c r="P41" s="470"/>
      <c r="Q41" s="471"/>
      <c r="AF41" s="23"/>
    </row>
    <row r="42" spans="3:63" ht="22.9" customHeight="1" x14ac:dyDescent="0.4">
      <c r="C42" s="2624" t="s">
        <v>1007</v>
      </c>
      <c r="D42" s="2621">
        <v>2014</v>
      </c>
      <c r="E42" s="2621"/>
      <c r="F42" s="2621">
        <v>2015</v>
      </c>
      <c r="G42" s="2621"/>
      <c r="H42" s="2621">
        <v>2016</v>
      </c>
      <c r="I42" s="2621"/>
      <c r="J42" s="2621">
        <v>2017</v>
      </c>
      <c r="K42" s="2621"/>
      <c r="L42" s="2621">
        <v>2018</v>
      </c>
      <c r="M42" s="2621"/>
      <c r="N42" s="2621">
        <v>2019</v>
      </c>
      <c r="O42" s="2621"/>
      <c r="P42" s="2621">
        <v>2020</v>
      </c>
      <c r="Q42" s="2621"/>
      <c r="R42" s="2621">
        <v>2021</v>
      </c>
      <c r="S42" s="2621"/>
      <c r="T42" s="2621">
        <v>2022</v>
      </c>
      <c r="U42" s="2621"/>
      <c r="V42" s="2621">
        <v>2023</v>
      </c>
      <c r="W42" s="2621"/>
      <c r="X42" s="41"/>
      <c r="Y42" s="41"/>
      <c r="Z42" s="41"/>
      <c r="AA42" s="41"/>
      <c r="AB42" s="41"/>
      <c r="AC42" s="41"/>
      <c r="AD42" s="41"/>
      <c r="AE42" s="41"/>
      <c r="AF42" s="41"/>
      <c r="AG42" s="29"/>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row>
    <row r="43" spans="3:63" ht="18.75" x14ac:dyDescent="0.4">
      <c r="C43" s="2623"/>
      <c r="D43" s="472" t="s">
        <v>1008</v>
      </c>
      <c r="E43" s="473" t="s">
        <v>1009</v>
      </c>
      <c r="F43" s="472" t="s">
        <v>1008</v>
      </c>
      <c r="G43" s="473" t="s">
        <v>1009</v>
      </c>
      <c r="H43" s="472" t="s">
        <v>1008</v>
      </c>
      <c r="I43" s="473" t="s">
        <v>1009</v>
      </c>
      <c r="J43" s="472" t="s">
        <v>1008</v>
      </c>
      <c r="K43" s="473" t="s">
        <v>1009</v>
      </c>
      <c r="L43" s="472" t="s">
        <v>1008</v>
      </c>
      <c r="M43" s="473" t="s">
        <v>1009</v>
      </c>
      <c r="N43" s="472" t="s">
        <v>1008</v>
      </c>
      <c r="O43" s="473" t="s">
        <v>1009</v>
      </c>
      <c r="P43" s="472" t="s">
        <v>1008</v>
      </c>
      <c r="Q43" s="473" t="s">
        <v>1009</v>
      </c>
      <c r="R43" s="472" t="s">
        <v>1008</v>
      </c>
      <c r="S43" s="473" t="s">
        <v>1009</v>
      </c>
      <c r="T43" s="472" t="s">
        <v>1008</v>
      </c>
      <c r="U43" s="473" t="s">
        <v>1009</v>
      </c>
      <c r="V43" s="472" t="s">
        <v>1008</v>
      </c>
      <c r="W43" s="473" t="s">
        <v>1009</v>
      </c>
      <c r="X43" s="41"/>
      <c r="Y43" s="41"/>
      <c r="Z43" s="41"/>
      <c r="AA43" s="41"/>
      <c r="AB43" s="41"/>
      <c r="AC43" s="41"/>
      <c r="AD43" s="41"/>
      <c r="AE43" s="41"/>
      <c r="AF43" s="41"/>
      <c r="AG43" s="29"/>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row>
    <row r="44" spans="3:63" ht="18.75" x14ac:dyDescent="0.4">
      <c r="C44" s="41"/>
      <c r="D44" s="41"/>
      <c r="E44" s="474"/>
      <c r="F44" s="41"/>
      <c r="G44" s="474"/>
      <c r="H44" s="41"/>
      <c r="I44" s="474"/>
      <c r="J44" s="41"/>
      <c r="K44" s="474"/>
      <c r="L44" s="41"/>
      <c r="M44" s="474"/>
      <c r="N44" s="41"/>
      <c r="O44" s="474"/>
      <c r="P44" s="475"/>
      <c r="Q44" s="41"/>
      <c r="R44" s="41"/>
      <c r="S44" s="41"/>
      <c r="T44" s="41"/>
      <c r="U44" s="41"/>
      <c r="V44" s="41"/>
      <c r="W44" s="41"/>
      <c r="X44" s="41"/>
      <c r="Y44" s="41"/>
      <c r="Z44" s="41"/>
      <c r="AA44" s="41"/>
      <c r="AB44" s="41"/>
      <c r="AC44" s="41"/>
      <c r="AD44" s="41"/>
      <c r="AE44" s="41"/>
      <c r="AF44" s="41"/>
      <c r="AG44" s="29"/>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row>
    <row r="45" spans="3:63" ht="18.75" x14ac:dyDescent="0.4">
      <c r="C45" s="476" t="s">
        <v>1010</v>
      </c>
      <c r="D45" s="477">
        <v>473</v>
      </c>
      <c r="E45" s="478">
        <v>9.9096628431011258</v>
      </c>
      <c r="F45" s="479">
        <v>426</v>
      </c>
      <c r="G45" s="480">
        <v>8.8158110121896165</v>
      </c>
      <c r="H45" s="479">
        <v>370</v>
      </c>
      <c r="I45" s="478">
        <v>7.565886603309524</v>
      </c>
      <c r="J45" s="479">
        <v>354</v>
      </c>
      <c r="K45" s="480">
        <v>7.1551563310702964</v>
      </c>
      <c r="L45" s="479">
        <v>408</v>
      </c>
      <c r="M45" s="480">
        <v>8.1544663791151315</v>
      </c>
      <c r="N45" s="479">
        <v>382</v>
      </c>
      <c r="O45" s="480">
        <v>7.5523937430592616</v>
      </c>
      <c r="P45" s="481">
        <v>338</v>
      </c>
      <c r="Q45" s="480">
        <v>6.9145564195845806</v>
      </c>
      <c r="R45" s="482">
        <v>357</v>
      </c>
      <c r="S45" s="480">
        <v>6.9</v>
      </c>
      <c r="T45" s="482">
        <v>404</v>
      </c>
      <c r="U45" s="480">
        <v>7.7</v>
      </c>
      <c r="V45" s="482">
        <v>474</v>
      </c>
      <c r="W45" s="480">
        <v>9</v>
      </c>
      <c r="X45" s="41"/>
      <c r="Y45" s="41"/>
      <c r="Z45" s="41"/>
      <c r="AA45" s="41"/>
      <c r="AB45" s="41"/>
      <c r="AC45" s="41"/>
      <c r="AD45" s="41"/>
      <c r="AE45" s="41"/>
      <c r="AF45" s="41"/>
      <c r="AG45" s="29"/>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row>
    <row r="46" spans="3:63" ht="18.75" x14ac:dyDescent="0.4">
      <c r="C46" s="475"/>
      <c r="D46" s="483"/>
      <c r="E46" s="484"/>
      <c r="F46" s="483"/>
      <c r="G46" s="485"/>
      <c r="H46" s="483"/>
      <c r="I46" s="484"/>
      <c r="J46" s="483"/>
      <c r="K46" s="485"/>
      <c r="L46" s="483"/>
      <c r="M46" s="485"/>
      <c r="N46" s="483"/>
      <c r="O46" s="485"/>
      <c r="P46" s="445"/>
      <c r="Q46" s="486"/>
      <c r="R46" s="487"/>
      <c r="S46" s="488"/>
      <c r="T46" s="487"/>
      <c r="U46" s="488"/>
      <c r="V46" s="487"/>
      <c r="W46" s="487"/>
      <c r="X46" s="41"/>
      <c r="Y46" s="451"/>
      <c r="Z46" s="41"/>
      <c r="AA46" s="41"/>
      <c r="AB46" s="41"/>
      <c r="AC46" s="41"/>
      <c r="AD46" s="41"/>
      <c r="AE46" s="41"/>
      <c r="AF46" s="41"/>
      <c r="AG46" s="29"/>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row>
    <row r="47" spans="3:63" ht="18.75" x14ac:dyDescent="0.4">
      <c r="C47" s="476" t="s">
        <v>1011</v>
      </c>
      <c r="D47" s="477">
        <v>144</v>
      </c>
      <c r="E47" s="489">
        <v>9.1319336108426494</v>
      </c>
      <c r="F47" s="479">
        <v>139</v>
      </c>
      <c r="G47" s="480">
        <v>8.7282993442472669</v>
      </c>
      <c r="H47" s="479">
        <v>125</v>
      </c>
      <c r="I47" s="478">
        <v>7.7776464219715402</v>
      </c>
      <c r="J47" s="479">
        <v>100</v>
      </c>
      <c r="K47" s="480">
        <v>6.1675361864766902</v>
      </c>
      <c r="L47" s="479">
        <v>138</v>
      </c>
      <c r="M47" s="480">
        <v>8.4396236661725208</v>
      </c>
      <c r="N47" s="479">
        <v>104</v>
      </c>
      <c r="O47" s="480">
        <v>6.3085321076987748</v>
      </c>
      <c r="P47" s="481">
        <v>107</v>
      </c>
      <c r="Q47" s="480">
        <v>8.6635282786525281</v>
      </c>
      <c r="R47" s="482">
        <v>145</v>
      </c>
      <c r="S47" s="480">
        <v>8.6999999999999993</v>
      </c>
      <c r="T47" s="482">
        <v>130</v>
      </c>
      <c r="U47" s="480">
        <v>7.7</v>
      </c>
      <c r="V47" s="482">
        <v>151</v>
      </c>
      <c r="W47" s="480">
        <v>8.9</v>
      </c>
      <c r="X47" s="41"/>
      <c r="Y47" s="41"/>
      <c r="Z47" s="41"/>
      <c r="AA47" s="41"/>
      <c r="AB47" s="41"/>
      <c r="AC47" s="41"/>
      <c r="AD47" s="41"/>
      <c r="AE47" s="41"/>
      <c r="AF47" s="41"/>
      <c r="AG47" s="29"/>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row>
    <row r="48" spans="3:63" ht="18.75" x14ac:dyDescent="0.4">
      <c r="C48" s="451" t="s">
        <v>1012</v>
      </c>
      <c r="D48" s="490">
        <v>58</v>
      </c>
      <c r="E48" s="443">
        <v>17.521652835637834</v>
      </c>
      <c r="F48" s="29">
        <v>60</v>
      </c>
      <c r="G48" s="486">
        <v>17.965147613629558</v>
      </c>
      <c r="H48" s="445">
        <v>56</v>
      </c>
      <c r="I48" s="443">
        <v>16.627473336658827</v>
      </c>
      <c r="J48" s="445">
        <v>33</v>
      </c>
      <c r="K48" s="486">
        <v>9.7178581840562348</v>
      </c>
      <c r="L48" s="445">
        <v>57</v>
      </c>
      <c r="M48" s="486">
        <v>16.657509906834839</v>
      </c>
      <c r="N48" s="445">
        <v>39</v>
      </c>
      <c r="O48" s="486">
        <v>11.309232103140197</v>
      </c>
      <c r="P48" s="491">
        <v>47</v>
      </c>
      <c r="Q48" s="486">
        <v>15.728756169962081</v>
      </c>
      <c r="R48" s="492">
        <v>55</v>
      </c>
      <c r="S48" s="493">
        <v>15.7</v>
      </c>
      <c r="T48" s="492">
        <v>59</v>
      </c>
      <c r="U48" s="493">
        <v>16.8</v>
      </c>
      <c r="V48" s="492">
        <v>62</v>
      </c>
      <c r="W48" s="493">
        <v>17.5</v>
      </c>
      <c r="X48" s="41"/>
      <c r="Y48" s="41"/>
      <c r="Z48" s="41"/>
      <c r="AA48" s="41"/>
      <c r="AB48" s="41"/>
      <c r="AC48" s="41"/>
      <c r="AD48" s="41"/>
      <c r="AE48" s="41"/>
      <c r="AF48" s="41"/>
      <c r="AG48" s="29"/>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row>
    <row r="49" spans="3:63" ht="18.75" x14ac:dyDescent="0.4">
      <c r="C49" s="451" t="s">
        <v>1013</v>
      </c>
      <c r="D49" s="490">
        <v>1</v>
      </c>
      <c r="E49" s="443">
        <v>1.5168752370117558</v>
      </c>
      <c r="F49" s="29">
        <v>4</v>
      </c>
      <c r="G49" s="486">
        <v>6.0013202904639025</v>
      </c>
      <c r="H49" s="445">
        <v>2</v>
      </c>
      <c r="I49" s="443">
        <v>2.9690329859564741</v>
      </c>
      <c r="J49" s="445">
        <v>5</v>
      </c>
      <c r="K49" s="486">
        <v>7.3475385745775164</v>
      </c>
      <c r="L49" s="445">
        <v>9</v>
      </c>
      <c r="M49" s="486">
        <v>13.095099522756373</v>
      </c>
      <c r="N49" s="445">
        <v>1</v>
      </c>
      <c r="O49" s="486">
        <v>1.4410467763783612</v>
      </c>
      <c r="P49" s="491">
        <v>4</v>
      </c>
      <c r="Q49" s="486">
        <v>11.324707680982984</v>
      </c>
      <c r="R49" s="492">
        <v>8</v>
      </c>
      <c r="S49" s="493">
        <v>11.3</v>
      </c>
      <c r="T49" s="492">
        <v>4</v>
      </c>
      <c r="U49" s="493">
        <v>5.6</v>
      </c>
      <c r="V49" s="492">
        <v>3</v>
      </c>
      <c r="W49" s="493">
        <v>4.2</v>
      </c>
      <c r="X49" s="41"/>
      <c r="Y49" s="41"/>
      <c r="Z49" s="41"/>
      <c r="AA49" s="41"/>
      <c r="AB49" s="41"/>
      <c r="AC49" s="41"/>
      <c r="AD49" s="41"/>
      <c r="AE49" s="41"/>
      <c r="AF49" s="41"/>
      <c r="AG49" s="29"/>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row>
    <row r="50" spans="3:63" ht="18.75" x14ac:dyDescent="0.4">
      <c r="C50" s="451" t="s">
        <v>1014</v>
      </c>
      <c r="D50" s="490">
        <v>20</v>
      </c>
      <c r="E50" s="443">
        <v>8.6666377778740724</v>
      </c>
      <c r="F50" s="29">
        <v>16</v>
      </c>
      <c r="G50" s="486">
        <v>6.8563592732259178</v>
      </c>
      <c r="H50" s="445">
        <v>17</v>
      </c>
      <c r="I50" s="443">
        <v>7.2075738882317273</v>
      </c>
      <c r="J50" s="445">
        <v>22</v>
      </c>
      <c r="K50" s="486">
        <v>9.2315955554063578</v>
      </c>
      <c r="L50" s="445">
        <v>13</v>
      </c>
      <c r="M50" s="486">
        <v>5.401564791769677</v>
      </c>
      <c r="N50" s="445">
        <v>18</v>
      </c>
      <c r="O50" s="486">
        <v>7.4079256573505141</v>
      </c>
      <c r="P50" s="491">
        <v>10</v>
      </c>
      <c r="Q50" s="486">
        <v>6.8733524169941616</v>
      </c>
      <c r="R50" s="492">
        <v>17</v>
      </c>
      <c r="S50" s="493">
        <v>6.9</v>
      </c>
      <c r="T50" s="492">
        <v>10</v>
      </c>
      <c r="U50" s="493">
        <v>4</v>
      </c>
      <c r="V50" s="492">
        <v>21</v>
      </c>
      <c r="W50" s="493">
        <v>8.4</v>
      </c>
      <c r="X50" s="41"/>
      <c r="Y50" s="41"/>
      <c r="Z50" s="41"/>
      <c r="AA50" s="41"/>
      <c r="AB50" s="41"/>
      <c r="AC50" s="41"/>
      <c r="AD50" s="41"/>
      <c r="AE50" s="41"/>
      <c r="AF50" s="41"/>
      <c r="AG50" s="29"/>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row>
    <row r="51" spans="3:63" ht="18.75" x14ac:dyDescent="0.4">
      <c r="C51" s="451" t="s">
        <v>1015</v>
      </c>
      <c r="D51" s="490">
        <v>3</v>
      </c>
      <c r="E51" s="443">
        <v>8.3703021679082603</v>
      </c>
      <c r="F51" s="29">
        <v>3</v>
      </c>
      <c r="G51" s="486">
        <v>8.2708425231583593</v>
      </c>
      <c r="H51" s="445">
        <v>1</v>
      </c>
      <c r="I51" s="443">
        <v>2.7294066269992903</v>
      </c>
      <c r="J51" s="445">
        <v>0</v>
      </c>
      <c r="K51" s="486">
        <v>0</v>
      </c>
      <c r="L51" s="445">
        <v>2</v>
      </c>
      <c r="M51" s="486">
        <v>5.3554692729950464</v>
      </c>
      <c r="N51" s="445">
        <v>2</v>
      </c>
      <c r="O51" s="486">
        <v>5.3095465647233731</v>
      </c>
      <c r="P51" s="491">
        <v>2</v>
      </c>
      <c r="Q51" s="486">
        <v>5.2222048148728391</v>
      </c>
      <c r="R51" s="492">
        <v>2</v>
      </c>
      <c r="S51" s="493">
        <v>5.2</v>
      </c>
      <c r="T51" s="492">
        <v>2</v>
      </c>
      <c r="U51" s="493">
        <v>5.2</v>
      </c>
      <c r="V51" s="492">
        <v>1</v>
      </c>
      <c r="W51" s="493">
        <v>2.6</v>
      </c>
      <c r="X51" s="41"/>
      <c r="Y51" s="41"/>
      <c r="Z51" s="41"/>
      <c r="AA51" s="41"/>
      <c r="AB51" s="41"/>
      <c r="AC51" s="41"/>
      <c r="AD51" s="41"/>
      <c r="AE51" s="41"/>
      <c r="AF51" s="41"/>
      <c r="AG51" s="29"/>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row>
    <row r="52" spans="3:63" ht="18.75" x14ac:dyDescent="0.4">
      <c r="C52" s="451" t="s">
        <v>1016</v>
      </c>
      <c r="D52" s="490">
        <v>1</v>
      </c>
      <c r="E52" s="443">
        <v>5.6708631053646368</v>
      </c>
      <c r="F52" s="29">
        <v>0</v>
      </c>
      <c r="G52" s="486">
        <v>0</v>
      </c>
      <c r="H52" s="445">
        <v>2</v>
      </c>
      <c r="I52" s="443">
        <v>11.145786892554614</v>
      </c>
      <c r="J52" s="445">
        <v>0</v>
      </c>
      <c r="K52" s="486">
        <v>0</v>
      </c>
      <c r="L52" s="445">
        <v>0</v>
      </c>
      <c r="M52" s="486">
        <v>0</v>
      </c>
      <c r="N52" s="445">
        <v>0</v>
      </c>
      <c r="O52" s="486">
        <v>0</v>
      </c>
      <c r="P52" s="491">
        <v>0</v>
      </c>
      <c r="Q52" s="486">
        <v>0</v>
      </c>
      <c r="R52" s="492">
        <v>0</v>
      </c>
      <c r="S52" s="493">
        <v>0</v>
      </c>
      <c r="T52" s="492">
        <v>1</v>
      </c>
      <c r="U52" s="493">
        <v>5.3</v>
      </c>
      <c r="V52" s="492">
        <v>0</v>
      </c>
      <c r="W52" s="493">
        <v>0</v>
      </c>
      <c r="X52" s="41"/>
      <c r="Y52" s="41"/>
      <c r="Z52" s="41"/>
      <c r="AA52" s="41"/>
      <c r="AB52" s="41"/>
      <c r="AC52" s="41"/>
      <c r="AD52" s="41"/>
      <c r="AE52" s="41"/>
      <c r="AF52" s="41"/>
      <c r="AG52" s="29"/>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row>
    <row r="53" spans="3:63" ht="18.75" x14ac:dyDescent="0.4">
      <c r="C53" s="451" t="s">
        <v>1017</v>
      </c>
      <c r="D53" s="490">
        <v>4</v>
      </c>
      <c r="E53" s="443">
        <v>6.657567990413102</v>
      </c>
      <c r="F53" s="29">
        <v>3</v>
      </c>
      <c r="G53" s="486">
        <v>4.9390846229832075</v>
      </c>
      <c r="H53" s="445">
        <v>3</v>
      </c>
      <c r="I53" s="443">
        <v>4.8909322116795462</v>
      </c>
      <c r="J53" s="445">
        <v>2</v>
      </c>
      <c r="K53" s="486">
        <v>3.2304437014423932</v>
      </c>
      <c r="L53" s="445">
        <v>1</v>
      </c>
      <c r="M53" s="486">
        <v>1.6005890167581669</v>
      </c>
      <c r="N53" s="445">
        <v>4</v>
      </c>
      <c r="O53" s="486">
        <v>6.3478964658086419</v>
      </c>
      <c r="P53" s="491">
        <v>5</v>
      </c>
      <c r="Q53" s="486">
        <v>4.6858892255787072</v>
      </c>
      <c r="R53" s="492">
        <v>3</v>
      </c>
      <c r="S53" s="493">
        <v>4.7</v>
      </c>
      <c r="T53" s="492">
        <v>0</v>
      </c>
      <c r="U53" s="493">
        <v>0</v>
      </c>
      <c r="V53" s="492">
        <v>0</v>
      </c>
      <c r="W53" s="493">
        <v>0</v>
      </c>
      <c r="X53" s="41"/>
      <c r="Y53" s="41"/>
      <c r="Z53" s="41"/>
      <c r="AA53" s="41"/>
      <c r="AB53" s="41"/>
      <c r="AC53" s="41"/>
      <c r="AD53" s="41"/>
      <c r="AE53" s="41"/>
      <c r="AF53" s="41"/>
      <c r="AG53" s="29"/>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row>
    <row r="54" spans="3:63" ht="18.75" x14ac:dyDescent="0.4">
      <c r="C54" s="451" t="s">
        <v>1018</v>
      </c>
      <c r="D54" s="490">
        <v>2</v>
      </c>
      <c r="E54" s="443">
        <v>6.968641114982578</v>
      </c>
      <c r="F54" s="29">
        <v>2</v>
      </c>
      <c r="G54" s="486">
        <v>6.8948874409625267</v>
      </c>
      <c r="H54" s="445">
        <v>1</v>
      </c>
      <c r="I54" s="443">
        <v>3.4141345168999657</v>
      </c>
      <c r="J54" s="445">
        <v>0</v>
      </c>
      <c r="K54" s="486">
        <v>0</v>
      </c>
      <c r="L54" s="445">
        <v>0</v>
      </c>
      <c r="M54" s="486">
        <v>0</v>
      </c>
      <c r="N54" s="445">
        <v>1</v>
      </c>
      <c r="O54" s="486">
        <v>3.3259054777663222</v>
      </c>
      <c r="P54" s="491">
        <v>1</v>
      </c>
      <c r="Q54" s="486">
        <v>9.821253191907287</v>
      </c>
      <c r="R54" s="492">
        <v>3</v>
      </c>
      <c r="S54" s="493">
        <v>9.8000000000000007</v>
      </c>
      <c r="T54" s="492">
        <v>2</v>
      </c>
      <c r="U54" s="493">
        <v>6.5</v>
      </c>
      <c r="V54" s="492">
        <v>4</v>
      </c>
      <c r="W54" s="493">
        <v>12.9</v>
      </c>
      <c r="X54" s="41"/>
      <c r="Y54" s="41"/>
      <c r="Z54" s="41"/>
      <c r="AA54" s="41"/>
      <c r="AB54" s="41"/>
      <c r="AC54" s="41"/>
      <c r="AD54" s="41"/>
      <c r="AE54" s="41"/>
      <c r="AF54" s="41"/>
      <c r="AG54" s="29"/>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row>
    <row r="55" spans="3:63" ht="18.75" x14ac:dyDescent="0.4">
      <c r="C55" s="451" t="s">
        <v>1019</v>
      </c>
      <c r="D55" s="490">
        <v>6</v>
      </c>
      <c r="E55" s="443">
        <v>4.585262964831033</v>
      </c>
      <c r="F55" s="29">
        <v>6</v>
      </c>
      <c r="G55" s="486">
        <v>4.5382346267302021</v>
      </c>
      <c r="H55" s="445">
        <v>9</v>
      </c>
      <c r="I55" s="443">
        <v>6.7386958377322035</v>
      </c>
      <c r="J55" s="445">
        <v>5</v>
      </c>
      <c r="K55" s="486">
        <v>3.7076860331467136</v>
      </c>
      <c r="L55" s="445">
        <v>5</v>
      </c>
      <c r="M55" s="486">
        <v>3.6734453979076056</v>
      </c>
      <c r="N55" s="445">
        <v>5</v>
      </c>
      <c r="O55" s="486">
        <v>3.6409180939065595</v>
      </c>
      <c r="P55" s="491">
        <v>6</v>
      </c>
      <c r="Q55" s="486">
        <v>5.0115265109752434</v>
      </c>
      <c r="R55" s="492">
        <v>7</v>
      </c>
      <c r="S55" s="493">
        <v>5</v>
      </c>
      <c r="T55" s="492">
        <v>13</v>
      </c>
      <c r="U55" s="493">
        <v>9.1999999999999993</v>
      </c>
      <c r="V55" s="492">
        <v>15</v>
      </c>
      <c r="W55" s="493">
        <v>10.6</v>
      </c>
      <c r="X55" s="41"/>
      <c r="Y55" s="41"/>
      <c r="Z55" s="41"/>
      <c r="AA55" s="41"/>
      <c r="AB55" s="41"/>
      <c r="AC55" s="41"/>
      <c r="AD55" s="41"/>
      <c r="AE55" s="41"/>
      <c r="AF55" s="41"/>
      <c r="AG55" s="29"/>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row>
    <row r="56" spans="3:63" ht="18.75" x14ac:dyDescent="0.4">
      <c r="C56" s="451" t="s">
        <v>1020</v>
      </c>
      <c r="D56" s="490">
        <v>1</v>
      </c>
      <c r="E56" s="443">
        <v>1.7942691044802899</v>
      </c>
      <c r="F56" s="29">
        <v>5</v>
      </c>
      <c r="G56" s="486">
        <v>8.8386070355312008</v>
      </c>
      <c r="H56" s="445">
        <v>2</v>
      </c>
      <c r="I56" s="443">
        <v>3.4856565234061834</v>
      </c>
      <c r="J56" s="445">
        <v>3</v>
      </c>
      <c r="K56" s="486">
        <v>5.1582730101961864</v>
      </c>
      <c r="L56" s="445">
        <v>2</v>
      </c>
      <c r="M56" s="486">
        <v>3.3929359074407084</v>
      </c>
      <c r="N56" s="445">
        <v>3</v>
      </c>
      <c r="O56" s="486">
        <v>5.0250414565920165</v>
      </c>
      <c r="P56" s="491">
        <v>3</v>
      </c>
      <c r="Q56" s="486">
        <v>4.9050063765082896</v>
      </c>
      <c r="R56" s="492">
        <v>3</v>
      </c>
      <c r="S56" s="493">
        <v>4.9000000000000004</v>
      </c>
      <c r="T56" s="492">
        <v>3</v>
      </c>
      <c r="U56" s="493">
        <v>4.9000000000000004</v>
      </c>
      <c r="V56" s="492">
        <v>1</v>
      </c>
      <c r="W56" s="493">
        <v>1.6</v>
      </c>
      <c r="X56" s="41"/>
      <c r="Y56" s="41"/>
      <c r="Z56" s="41"/>
      <c r="AA56" s="41"/>
      <c r="AB56" s="41"/>
      <c r="AC56" s="41"/>
      <c r="AD56" s="41"/>
      <c r="AE56" s="41"/>
      <c r="AF56" s="41"/>
      <c r="AG56" s="29"/>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row>
    <row r="57" spans="3:63" ht="18.75" x14ac:dyDescent="0.4">
      <c r="C57" s="451" t="s">
        <v>1021</v>
      </c>
      <c r="D57" s="490">
        <v>9</v>
      </c>
      <c r="E57" s="443">
        <v>10.41702836904059</v>
      </c>
      <c r="F57" s="29">
        <v>12</v>
      </c>
      <c r="G57" s="486">
        <v>13.677707616203524</v>
      </c>
      <c r="H57" s="445">
        <v>11</v>
      </c>
      <c r="I57" s="443">
        <v>12.338201314579267</v>
      </c>
      <c r="J57" s="445">
        <v>6</v>
      </c>
      <c r="K57" s="486">
        <v>6.6266856631655671</v>
      </c>
      <c r="L57" s="445">
        <v>13</v>
      </c>
      <c r="M57" s="486">
        <v>14.143194403646767</v>
      </c>
      <c r="N57" s="445">
        <v>10</v>
      </c>
      <c r="O57" s="486">
        <v>10.72420560446985</v>
      </c>
      <c r="P57" s="491">
        <v>6</v>
      </c>
      <c r="Q57" s="486">
        <v>13.560312095798389</v>
      </c>
      <c r="R57" s="492">
        <v>13</v>
      </c>
      <c r="S57" s="493">
        <v>13.6</v>
      </c>
      <c r="T57" s="492">
        <v>12</v>
      </c>
      <c r="U57" s="493">
        <v>12.4</v>
      </c>
      <c r="V57" s="492">
        <v>14</v>
      </c>
      <c r="W57" s="493">
        <v>14.2</v>
      </c>
      <c r="X57" s="41"/>
      <c r="Y57" s="41"/>
      <c r="Z57" s="41"/>
      <c r="AA57" s="41"/>
      <c r="AB57" s="41"/>
      <c r="AC57" s="41"/>
      <c r="AD57" s="41"/>
      <c r="AE57" s="41"/>
      <c r="AF57" s="41"/>
      <c r="AG57" s="29"/>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row>
    <row r="58" spans="3:63" ht="18.75" x14ac:dyDescent="0.4">
      <c r="C58" s="451" t="s">
        <v>1022</v>
      </c>
      <c r="D58" s="490">
        <v>1</v>
      </c>
      <c r="E58" s="443">
        <v>1.489447266119543</v>
      </c>
      <c r="F58" s="29">
        <v>2</v>
      </c>
      <c r="G58" s="486">
        <v>2.9439039109763456</v>
      </c>
      <c r="H58" s="445">
        <v>1</v>
      </c>
      <c r="I58" s="443">
        <v>1.4550745725718444</v>
      </c>
      <c r="J58" s="445">
        <v>3</v>
      </c>
      <c r="K58" s="486">
        <v>4.3165467625899288</v>
      </c>
      <c r="L58" s="445">
        <v>3</v>
      </c>
      <c r="M58" s="486">
        <v>4.2706450097513065</v>
      </c>
      <c r="N58" s="445">
        <v>1</v>
      </c>
      <c r="O58" s="486">
        <v>1.4090063687087866</v>
      </c>
      <c r="P58" s="491">
        <v>5</v>
      </c>
      <c r="Q58" s="486">
        <v>8.2974927742667095</v>
      </c>
      <c r="R58" s="492">
        <v>6</v>
      </c>
      <c r="S58" s="493">
        <v>8.3000000000000007</v>
      </c>
      <c r="T58" s="492">
        <v>4</v>
      </c>
      <c r="U58" s="493">
        <v>5.5</v>
      </c>
      <c r="V58" s="492">
        <v>0</v>
      </c>
      <c r="W58" s="493">
        <v>0</v>
      </c>
      <c r="X58" s="41"/>
      <c r="Y58" s="41"/>
      <c r="Z58" s="41"/>
      <c r="AA58" s="41"/>
      <c r="AB58" s="41"/>
      <c r="AC58" s="41"/>
      <c r="AD58" s="41"/>
      <c r="AE58" s="41"/>
      <c r="AF58" s="41"/>
      <c r="AG58" s="29"/>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row>
    <row r="59" spans="3:63" ht="18.75" x14ac:dyDescent="0.4">
      <c r="C59" s="451" t="s">
        <v>1023</v>
      </c>
      <c r="D59" s="490">
        <v>3</v>
      </c>
      <c r="E59" s="443">
        <v>14.311611487453487</v>
      </c>
      <c r="F59" s="29">
        <v>1</v>
      </c>
      <c r="G59" s="486">
        <v>4.7238887051821061</v>
      </c>
      <c r="H59" s="445">
        <v>0</v>
      </c>
      <c r="I59" s="443">
        <v>0</v>
      </c>
      <c r="J59" s="445">
        <v>2</v>
      </c>
      <c r="K59" s="486">
        <v>9.2941121799340127</v>
      </c>
      <c r="L59" s="445">
        <v>1</v>
      </c>
      <c r="M59" s="486">
        <v>4.613184481247405</v>
      </c>
      <c r="N59" s="445">
        <v>0</v>
      </c>
      <c r="O59" s="486">
        <v>0</v>
      </c>
      <c r="P59" s="491">
        <v>0</v>
      </c>
      <c r="Q59" s="486">
        <v>0</v>
      </c>
      <c r="R59" s="492">
        <v>0</v>
      </c>
      <c r="S59" s="493">
        <v>0</v>
      </c>
      <c r="T59" s="492">
        <v>1</v>
      </c>
      <c r="U59" s="493">
        <v>4.5</v>
      </c>
      <c r="V59" s="492">
        <v>0</v>
      </c>
      <c r="W59" s="493">
        <v>0</v>
      </c>
      <c r="X59" s="41"/>
      <c r="Y59" s="41"/>
      <c r="Z59" s="41"/>
      <c r="AA59" s="41"/>
      <c r="AB59" s="41"/>
      <c r="AC59" s="41"/>
      <c r="AD59" s="41"/>
      <c r="AE59" s="41"/>
      <c r="AF59" s="41"/>
      <c r="AG59" s="29"/>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row>
    <row r="60" spans="3:63" ht="18.75" x14ac:dyDescent="0.4">
      <c r="C60" s="451" t="s">
        <v>1024</v>
      </c>
      <c r="D60" s="490">
        <v>12</v>
      </c>
      <c r="E60" s="443">
        <v>14.861969458652762</v>
      </c>
      <c r="F60" s="29">
        <v>7</v>
      </c>
      <c r="G60" s="486">
        <v>8.588324785905332</v>
      </c>
      <c r="H60" s="445">
        <v>4</v>
      </c>
      <c r="I60" s="443">
        <v>4.8652330446628396</v>
      </c>
      <c r="J60" s="445">
        <v>8</v>
      </c>
      <c r="K60" s="486">
        <v>9.6514615932150232</v>
      </c>
      <c r="L60" s="445">
        <v>8</v>
      </c>
      <c r="M60" s="486">
        <v>9.5735005504762807</v>
      </c>
      <c r="N60" s="445">
        <v>3</v>
      </c>
      <c r="O60" s="486">
        <v>3.5623107522412871</v>
      </c>
      <c r="P60" s="491">
        <v>5</v>
      </c>
      <c r="Q60" s="486">
        <v>9.3582574924549053</v>
      </c>
      <c r="R60" s="492">
        <v>8</v>
      </c>
      <c r="S60" s="493">
        <v>9.4</v>
      </c>
      <c r="T60" s="492">
        <v>6</v>
      </c>
      <c r="U60" s="493">
        <v>7</v>
      </c>
      <c r="V60" s="492">
        <v>13</v>
      </c>
      <c r="W60" s="493">
        <v>15</v>
      </c>
      <c r="X60" s="41"/>
      <c r="Y60" s="41"/>
      <c r="Z60" s="41"/>
      <c r="AA60" s="41"/>
      <c r="AB60" s="41"/>
      <c r="AC60" s="41"/>
      <c r="AD60" s="41"/>
      <c r="AE60" s="41"/>
      <c r="AF60" s="41"/>
      <c r="AG60" s="29"/>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row>
    <row r="61" spans="3:63" ht="18.75" x14ac:dyDescent="0.4">
      <c r="C61" s="451" t="s">
        <v>1025</v>
      </c>
      <c r="D61" s="490">
        <v>3</v>
      </c>
      <c r="E61" s="443">
        <v>4.9819818323729175</v>
      </c>
      <c r="F61" s="29">
        <v>2</v>
      </c>
      <c r="G61" s="486">
        <v>3.2933195013914278</v>
      </c>
      <c r="H61" s="445">
        <v>3</v>
      </c>
      <c r="I61" s="443">
        <v>4.9061293909858046</v>
      </c>
      <c r="J61" s="445">
        <v>1</v>
      </c>
      <c r="K61" s="486">
        <v>1.6249065678723473</v>
      </c>
      <c r="L61" s="445">
        <v>2</v>
      </c>
      <c r="M61" s="486">
        <v>3.2300784909073288</v>
      </c>
      <c r="N61" s="445">
        <v>4</v>
      </c>
      <c r="O61" s="486">
        <v>6.4215764970300206</v>
      </c>
      <c r="P61" s="491">
        <v>3</v>
      </c>
      <c r="Q61" s="486">
        <v>3.1757121534504114</v>
      </c>
      <c r="R61" s="492">
        <v>2</v>
      </c>
      <c r="S61" s="493">
        <v>3.2</v>
      </c>
      <c r="T61" s="492">
        <v>0</v>
      </c>
      <c r="U61" s="493">
        <v>0</v>
      </c>
      <c r="V61" s="492">
        <v>0</v>
      </c>
      <c r="W61" s="493">
        <v>0</v>
      </c>
      <c r="X61" s="41"/>
      <c r="Y61" s="41"/>
      <c r="Z61" s="41"/>
      <c r="AA61" s="41"/>
      <c r="AB61" s="41"/>
      <c r="AC61" s="41"/>
      <c r="AD61" s="41"/>
      <c r="AE61" s="41"/>
      <c r="AF61" s="41"/>
      <c r="AG61" s="29"/>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row>
    <row r="62" spans="3:63" ht="18.75" x14ac:dyDescent="0.4">
      <c r="C62" s="451" t="s">
        <v>1026</v>
      </c>
      <c r="D62" s="490">
        <v>1</v>
      </c>
      <c r="E62" s="443">
        <v>1.6384847293223228</v>
      </c>
      <c r="F62" s="29">
        <v>0</v>
      </c>
      <c r="G62" s="486">
        <v>0</v>
      </c>
      <c r="H62" s="445">
        <v>4</v>
      </c>
      <c r="I62" s="443">
        <v>6.487082596779163</v>
      </c>
      <c r="J62" s="445">
        <v>3</v>
      </c>
      <c r="K62" s="486">
        <v>4.8464483610927127</v>
      </c>
      <c r="L62" s="445">
        <v>3</v>
      </c>
      <c r="M62" s="486">
        <v>4.8303733878628821</v>
      </c>
      <c r="N62" s="445">
        <v>8</v>
      </c>
      <c r="O62" s="486">
        <v>12.839030653185684</v>
      </c>
      <c r="P62" s="491">
        <v>0</v>
      </c>
      <c r="Q62" s="486">
        <v>3.1891314400523014</v>
      </c>
      <c r="R62" s="492">
        <v>2</v>
      </c>
      <c r="S62" s="493">
        <v>3.2</v>
      </c>
      <c r="T62" s="492">
        <v>4</v>
      </c>
      <c r="U62" s="493">
        <v>6.4</v>
      </c>
      <c r="V62" s="492">
        <v>5</v>
      </c>
      <c r="W62" s="493">
        <v>7.9</v>
      </c>
      <c r="X62" s="41"/>
      <c r="Y62" s="41"/>
      <c r="Z62" s="41"/>
      <c r="AA62" s="41"/>
      <c r="AB62" s="41"/>
      <c r="AC62" s="41"/>
      <c r="AD62" s="41"/>
      <c r="AE62" s="41"/>
      <c r="AF62" s="41"/>
      <c r="AG62" s="29"/>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row>
    <row r="63" spans="3:63" ht="18.75" x14ac:dyDescent="0.4">
      <c r="C63" s="451" t="s">
        <v>1027</v>
      </c>
      <c r="D63" s="490">
        <v>0</v>
      </c>
      <c r="E63" s="443">
        <v>0</v>
      </c>
      <c r="F63" s="29">
        <v>0</v>
      </c>
      <c r="G63" s="486">
        <v>0</v>
      </c>
      <c r="H63" s="445">
        <v>0</v>
      </c>
      <c r="I63" s="443">
        <v>0</v>
      </c>
      <c r="J63" s="445">
        <v>0</v>
      </c>
      <c r="K63" s="486">
        <v>0</v>
      </c>
      <c r="L63" s="445">
        <v>0</v>
      </c>
      <c r="M63" s="486">
        <v>0</v>
      </c>
      <c r="N63" s="445">
        <v>1</v>
      </c>
      <c r="O63" s="486">
        <v>14.727540500736376</v>
      </c>
      <c r="P63" s="491">
        <v>0</v>
      </c>
      <c r="Q63" s="486">
        <v>0</v>
      </c>
      <c r="R63" s="492">
        <v>0</v>
      </c>
      <c r="S63" s="493">
        <v>0</v>
      </c>
      <c r="T63" s="492">
        <v>0</v>
      </c>
      <c r="U63" s="493">
        <v>0</v>
      </c>
      <c r="V63" s="492">
        <v>0</v>
      </c>
      <c r="W63" s="493">
        <v>0</v>
      </c>
      <c r="X63" s="41"/>
      <c r="Y63" s="41"/>
      <c r="Z63" s="41"/>
      <c r="AA63" s="41"/>
      <c r="AB63" s="41"/>
      <c r="AC63" s="41"/>
      <c r="AD63" s="41"/>
      <c r="AE63" s="41"/>
      <c r="AF63" s="41"/>
      <c r="AG63" s="29"/>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row>
    <row r="64" spans="3:63" ht="18.75" x14ac:dyDescent="0.4">
      <c r="C64" s="451" t="s">
        <v>1028</v>
      </c>
      <c r="D64" s="490">
        <v>1</v>
      </c>
      <c r="E64" s="443">
        <v>13.147515119642389</v>
      </c>
      <c r="F64" s="29">
        <v>0</v>
      </c>
      <c r="G64" s="486">
        <v>0</v>
      </c>
      <c r="H64" s="445">
        <v>1</v>
      </c>
      <c r="I64" s="443">
        <v>12.943308309603935</v>
      </c>
      <c r="J64" s="445">
        <v>0</v>
      </c>
      <c r="K64" s="486">
        <v>0</v>
      </c>
      <c r="L64" s="445">
        <v>2</v>
      </c>
      <c r="M64" s="486">
        <v>25.490695895997963</v>
      </c>
      <c r="N64" s="445">
        <v>1</v>
      </c>
      <c r="O64" s="486">
        <v>12.65022137887413</v>
      </c>
      <c r="P64" s="491">
        <v>0</v>
      </c>
      <c r="Q64" s="486">
        <v>0</v>
      </c>
      <c r="R64" s="492">
        <v>0</v>
      </c>
      <c r="S64" s="493">
        <v>0</v>
      </c>
      <c r="T64" s="492">
        <v>1</v>
      </c>
      <c r="U64" s="493">
        <v>12.4</v>
      </c>
      <c r="V64" s="492">
        <v>0</v>
      </c>
      <c r="W64" s="493">
        <v>0</v>
      </c>
      <c r="X64" s="41"/>
      <c r="Y64" s="41"/>
      <c r="Z64" s="41"/>
      <c r="AA64" s="41"/>
      <c r="AB64" s="41"/>
      <c r="AC64" s="41"/>
      <c r="AD64" s="41"/>
      <c r="AE64" s="41"/>
      <c r="AF64" s="41"/>
      <c r="AG64" s="29"/>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row>
    <row r="65" spans="3:63" ht="18.75" x14ac:dyDescent="0.4">
      <c r="C65" s="451" t="s">
        <v>1029</v>
      </c>
      <c r="D65" s="490">
        <v>4</v>
      </c>
      <c r="E65" s="443">
        <v>5.2922653541848588</v>
      </c>
      <c r="F65" s="29">
        <v>7</v>
      </c>
      <c r="G65" s="486">
        <v>9.170345722033721</v>
      </c>
      <c r="H65" s="445">
        <v>4</v>
      </c>
      <c r="I65" s="443">
        <v>5.1929168614010486</v>
      </c>
      <c r="J65" s="445">
        <v>4</v>
      </c>
      <c r="K65" s="486">
        <v>5.1486015111145438</v>
      </c>
      <c r="L65" s="445">
        <v>2</v>
      </c>
      <c r="M65" s="486">
        <v>2.5532675441396129</v>
      </c>
      <c r="N65" s="445">
        <v>1</v>
      </c>
      <c r="O65" s="486">
        <v>1.2664479933131545</v>
      </c>
      <c r="P65" s="491">
        <v>3</v>
      </c>
      <c r="Q65" s="486">
        <v>3.7433555439095603</v>
      </c>
      <c r="R65" s="492">
        <v>3</v>
      </c>
      <c r="S65" s="493">
        <v>3.7</v>
      </c>
      <c r="T65" s="492">
        <v>4</v>
      </c>
      <c r="U65" s="493">
        <v>5</v>
      </c>
      <c r="V65" s="492">
        <v>6</v>
      </c>
      <c r="W65" s="493">
        <v>7.4</v>
      </c>
      <c r="X65" s="41"/>
      <c r="Y65" s="41"/>
      <c r="Z65" s="41"/>
      <c r="AA65" s="41"/>
      <c r="AB65" s="41"/>
      <c r="AC65" s="41"/>
      <c r="AD65" s="41"/>
      <c r="AE65" s="41"/>
      <c r="AF65" s="41"/>
      <c r="AG65" s="29"/>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row>
    <row r="66" spans="3:63" ht="18.75" x14ac:dyDescent="0.4">
      <c r="C66" s="451" t="s">
        <v>1030</v>
      </c>
      <c r="D66" s="490">
        <v>13</v>
      </c>
      <c r="E66" s="443">
        <v>9.1948819872261875</v>
      </c>
      <c r="F66" s="29">
        <v>9</v>
      </c>
      <c r="G66" s="486">
        <v>6.3381174382737795</v>
      </c>
      <c r="H66" s="445">
        <v>3</v>
      </c>
      <c r="I66" s="443">
        <v>2.1083554124997366</v>
      </c>
      <c r="J66" s="445">
        <v>3</v>
      </c>
      <c r="K66" s="486">
        <v>2.1045247281655559</v>
      </c>
      <c r="L66" s="445">
        <v>15</v>
      </c>
      <c r="M66" s="486">
        <v>10.505010890194622</v>
      </c>
      <c r="N66" s="445">
        <v>2</v>
      </c>
      <c r="O66" s="486">
        <v>1.3986307405050455</v>
      </c>
      <c r="P66" s="491">
        <v>7</v>
      </c>
      <c r="Q66" s="486">
        <v>9.0768178073201042</v>
      </c>
      <c r="R66" s="492">
        <v>13</v>
      </c>
      <c r="S66" s="493">
        <v>9.1</v>
      </c>
      <c r="T66" s="492">
        <v>4</v>
      </c>
      <c r="U66" s="493">
        <v>2.8</v>
      </c>
      <c r="V66" s="492">
        <v>6</v>
      </c>
      <c r="W66" s="493">
        <v>4.2</v>
      </c>
      <c r="X66" s="41"/>
      <c r="Y66" s="41"/>
      <c r="Z66" s="41"/>
      <c r="AA66" s="41"/>
      <c r="AB66" s="41"/>
      <c r="AC66" s="41"/>
      <c r="AD66" s="41"/>
      <c r="AE66" s="41"/>
      <c r="AF66" s="41"/>
      <c r="AG66" s="29"/>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row>
    <row r="67" spans="3:63" ht="18.75" x14ac:dyDescent="0.4">
      <c r="C67" s="451" t="s">
        <v>1031</v>
      </c>
      <c r="D67" s="490">
        <v>1</v>
      </c>
      <c r="E67" s="443">
        <v>7.7459333849728882</v>
      </c>
      <c r="F67" s="29">
        <v>0</v>
      </c>
      <c r="G67" s="486">
        <v>0</v>
      </c>
      <c r="H67" s="445">
        <v>1</v>
      </c>
      <c r="I67" s="443">
        <v>7.5803517283201947</v>
      </c>
      <c r="J67" s="445">
        <v>0</v>
      </c>
      <c r="K67" s="486">
        <v>0</v>
      </c>
      <c r="L67" s="445">
        <v>0</v>
      </c>
      <c r="M67" s="486">
        <v>0</v>
      </c>
      <c r="N67" s="445">
        <v>0</v>
      </c>
      <c r="O67" s="486">
        <v>0</v>
      </c>
      <c r="P67" s="491">
        <v>0</v>
      </c>
      <c r="Q67" s="486">
        <v>0</v>
      </c>
      <c r="R67" s="492">
        <v>0</v>
      </c>
      <c r="S67" s="493">
        <v>0</v>
      </c>
      <c r="T67" s="492">
        <v>0</v>
      </c>
      <c r="U67" s="493">
        <v>0</v>
      </c>
      <c r="V67" s="492">
        <v>0</v>
      </c>
      <c r="W67" s="493">
        <v>0</v>
      </c>
      <c r="X67" s="41"/>
      <c r="Y67" s="41"/>
      <c r="Z67" s="41"/>
      <c r="AA67" s="41"/>
      <c r="AB67" s="41"/>
      <c r="AC67" s="41"/>
      <c r="AD67" s="41"/>
      <c r="AE67" s="41"/>
      <c r="AF67" s="41"/>
      <c r="AG67" s="29"/>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row>
    <row r="68" spans="3:63" ht="4.9000000000000004" customHeight="1" x14ac:dyDescent="0.4">
      <c r="C68" s="41"/>
      <c r="D68" s="41"/>
      <c r="E68" s="443"/>
      <c r="F68" s="41"/>
      <c r="G68" s="485"/>
      <c r="H68" s="41"/>
      <c r="I68" s="474"/>
      <c r="J68" s="41"/>
      <c r="K68" s="485"/>
      <c r="L68" s="445"/>
      <c r="M68" s="486"/>
      <c r="N68" s="445"/>
      <c r="O68" s="486"/>
      <c r="P68" s="445"/>
      <c r="Q68" s="486"/>
      <c r="R68" s="487"/>
      <c r="S68" s="488"/>
      <c r="T68" s="487"/>
      <c r="U68" s="488"/>
      <c r="V68" s="487"/>
      <c r="W68" s="488"/>
      <c r="X68" s="41"/>
      <c r="Y68" s="41"/>
      <c r="Z68" s="41"/>
      <c r="AA68" s="41"/>
      <c r="AB68" s="41"/>
      <c r="AC68" s="41"/>
      <c r="AD68" s="41"/>
      <c r="AE68" s="41"/>
      <c r="AF68" s="41"/>
      <c r="AG68" s="29"/>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row>
    <row r="69" spans="3:63" ht="18.75" x14ac:dyDescent="0.4">
      <c r="C69" s="476" t="s">
        <v>1032</v>
      </c>
      <c r="D69" s="477">
        <v>60</v>
      </c>
      <c r="E69" s="489">
        <v>6.3384276685044592</v>
      </c>
      <c r="F69" s="479">
        <v>54</v>
      </c>
      <c r="G69" s="480">
        <v>5.6206205997826686</v>
      </c>
      <c r="H69" s="479">
        <v>50</v>
      </c>
      <c r="I69" s="478">
        <v>5.1280841580147341</v>
      </c>
      <c r="J69" s="479">
        <v>46</v>
      </c>
      <c r="K69" s="480">
        <v>4.6507489727910958</v>
      </c>
      <c r="L69" s="479">
        <v>73</v>
      </c>
      <c r="M69" s="480">
        <v>7.2787678342275584</v>
      </c>
      <c r="N69" s="479">
        <v>75</v>
      </c>
      <c r="O69" s="480">
        <v>7.3788321965012535</v>
      </c>
      <c r="P69" s="481">
        <v>56</v>
      </c>
      <c r="Q69" s="494">
        <v>4.1238418477880376</v>
      </c>
      <c r="R69" s="495">
        <v>43</v>
      </c>
      <c r="S69" s="496">
        <v>4.0999999999999996</v>
      </c>
      <c r="T69" s="495">
        <v>81</v>
      </c>
      <c r="U69" s="496">
        <v>7.7</v>
      </c>
      <c r="V69" s="495">
        <v>77</v>
      </c>
      <c r="W69" s="496">
        <v>7.2</v>
      </c>
      <c r="X69" s="41"/>
      <c r="Y69" s="41"/>
      <c r="Z69" s="41"/>
      <c r="AA69" s="41"/>
      <c r="AB69" s="41"/>
      <c r="AC69" s="41"/>
      <c r="AD69" s="41"/>
      <c r="AE69" s="41"/>
      <c r="AF69" s="41"/>
      <c r="AG69" s="29"/>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row>
    <row r="70" spans="3:63" ht="18.75" x14ac:dyDescent="0.4">
      <c r="C70" s="451" t="s">
        <v>1033</v>
      </c>
      <c r="D70" s="490">
        <v>24</v>
      </c>
      <c r="E70" s="443">
        <v>8.2915588476115136</v>
      </c>
      <c r="F70" s="445">
        <v>20</v>
      </c>
      <c r="G70" s="486">
        <v>6.8119658992987082</v>
      </c>
      <c r="H70" s="445">
        <v>14</v>
      </c>
      <c r="I70" s="443">
        <v>4.6998949237777756</v>
      </c>
      <c r="J70" s="445">
        <v>16</v>
      </c>
      <c r="K70" s="486">
        <v>5.2967153743784632</v>
      </c>
      <c r="L70" s="445">
        <v>34</v>
      </c>
      <c r="M70" s="486">
        <v>11.103636114249884</v>
      </c>
      <c r="N70" s="445">
        <v>32</v>
      </c>
      <c r="O70" s="486">
        <v>10.314329181815838</v>
      </c>
      <c r="P70" s="491">
        <v>29</v>
      </c>
      <c r="Q70" s="497">
        <v>6.9163467856278311</v>
      </c>
      <c r="R70" s="492">
        <v>22</v>
      </c>
      <c r="S70" s="493">
        <v>6.9</v>
      </c>
      <c r="T70" s="492">
        <v>31</v>
      </c>
      <c r="U70" s="493">
        <v>9.6</v>
      </c>
      <c r="V70" s="492">
        <v>32</v>
      </c>
      <c r="W70" s="493">
        <v>9.8000000000000007</v>
      </c>
      <c r="X70" s="41"/>
      <c r="Y70" s="41"/>
      <c r="Z70" s="41"/>
      <c r="AA70" s="41"/>
      <c r="AB70" s="41"/>
      <c r="AC70" s="41"/>
      <c r="AD70" s="41"/>
      <c r="AE70" s="41"/>
      <c r="AF70" s="41"/>
      <c r="AG70" s="29"/>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row>
    <row r="71" spans="3:63" ht="18.75" x14ac:dyDescent="0.4">
      <c r="C71" s="451" t="s">
        <v>1034</v>
      </c>
      <c r="D71" s="490">
        <v>5</v>
      </c>
      <c r="E71" s="443">
        <v>5.7155268001051658</v>
      </c>
      <c r="F71" s="445">
        <v>2</v>
      </c>
      <c r="G71" s="486">
        <v>2.2570815934996049</v>
      </c>
      <c r="H71" s="445">
        <v>1</v>
      </c>
      <c r="I71" s="443">
        <v>1.1148147735253788</v>
      </c>
      <c r="J71" s="445">
        <v>2</v>
      </c>
      <c r="K71" s="486">
        <v>2.2028129921910278</v>
      </c>
      <c r="L71" s="445">
        <v>3</v>
      </c>
      <c r="M71" s="486">
        <v>3.2660882061554877</v>
      </c>
      <c r="N71" s="445">
        <v>6</v>
      </c>
      <c r="O71" s="486">
        <v>6.4603656566961689</v>
      </c>
      <c r="P71" s="491">
        <v>4</v>
      </c>
      <c r="Q71" s="497">
        <v>0</v>
      </c>
      <c r="R71" s="492">
        <v>0</v>
      </c>
      <c r="S71" s="493">
        <v>0</v>
      </c>
      <c r="T71" s="492">
        <v>2</v>
      </c>
      <c r="U71" s="493">
        <v>2.1</v>
      </c>
      <c r="V71" s="492">
        <v>4</v>
      </c>
      <c r="W71" s="493">
        <v>4.0999999999999996</v>
      </c>
      <c r="X71" s="41"/>
      <c r="Y71" s="41"/>
      <c r="Z71" s="41"/>
      <c r="AA71" s="41"/>
      <c r="AB71" s="41"/>
      <c r="AC71" s="41"/>
      <c r="AD71" s="41"/>
      <c r="AE71" s="41"/>
      <c r="AF71" s="41"/>
      <c r="AG71" s="29"/>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row>
    <row r="72" spans="3:63" ht="18.75" x14ac:dyDescent="0.4">
      <c r="C72" s="451" t="s">
        <v>1035</v>
      </c>
      <c r="D72" s="490">
        <v>5</v>
      </c>
      <c r="E72" s="443">
        <v>5.7880419054233956</v>
      </c>
      <c r="F72" s="445">
        <v>2</v>
      </c>
      <c r="G72" s="486">
        <v>2.2815943781514521</v>
      </c>
      <c r="H72" s="445">
        <v>4</v>
      </c>
      <c r="I72" s="443">
        <v>4.4972622915800002</v>
      </c>
      <c r="J72" s="445">
        <v>2</v>
      </c>
      <c r="K72" s="486">
        <v>2.2173686486246771</v>
      </c>
      <c r="L72" s="445">
        <v>5</v>
      </c>
      <c r="M72" s="486">
        <v>5.4678870990671786</v>
      </c>
      <c r="N72" s="445">
        <v>2</v>
      </c>
      <c r="O72" s="486">
        <v>2.5916135385891255</v>
      </c>
      <c r="P72" s="491">
        <v>1</v>
      </c>
      <c r="Q72" s="497">
        <v>4.2091085108174093</v>
      </c>
      <c r="R72" s="492">
        <v>4</v>
      </c>
      <c r="S72" s="493">
        <v>4.2</v>
      </c>
      <c r="T72" s="492">
        <v>0</v>
      </c>
      <c r="U72" s="493">
        <v>0</v>
      </c>
      <c r="V72" s="492">
        <v>1</v>
      </c>
      <c r="W72" s="493">
        <v>1</v>
      </c>
      <c r="X72" s="41"/>
      <c r="Y72" s="41"/>
      <c r="Z72" s="41"/>
      <c r="AA72" s="41"/>
      <c r="AB72" s="41"/>
      <c r="AC72" s="41"/>
      <c r="AD72" s="41"/>
      <c r="AE72" s="41"/>
      <c r="AF72" s="41"/>
      <c r="AG72" s="29"/>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row>
    <row r="73" spans="3:63" ht="18.75" x14ac:dyDescent="0.4">
      <c r="C73" s="451" t="s">
        <v>1036</v>
      </c>
      <c r="D73" s="490">
        <v>0</v>
      </c>
      <c r="E73" s="443">
        <v>0</v>
      </c>
      <c r="F73" s="445">
        <v>0</v>
      </c>
      <c r="G73" s="486">
        <v>0</v>
      </c>
      <c r="H73" s="445">
        <v>0</v>
      </c>
      <c r="I73" s="443">
        <v>0</v>
      </c>
      <c r="J73" s="445">
        <v>1</v>
      </c>
      <c r="K73" s="486">
        <v>14.427932477276007</v>
      </c>
      <c r="L73" s="445">
        <v>0</v>
      </c>
      <c r="M73" s="486">
        <v>0</v>
      </c>
      <c r="N73" s="445">
        <v>0</v>
      </c>
      <c r="O73" s="486">
        <v>0</v>
      </c>
      <c r="P73" s="491">
        <v>0</v>
      </c>
      <c r="Q73" s="497">
        <v>0</v>
      </c>
      <c r="R73" s="492">
        <v>0</v>
      </c>
      <c r="S73" s="493">
        <v>0</v>
      </c>
      <c r="T73" s="492">
        <v>0</v>
      </c>
      <c r="U73" s="493">
        <v>0</v>
      </c>
      <c r="V73" s="492">
        <v>0</v>
      </c>
      <c r="W73" s="493">
        <v>0</v>
      </c>
      <c r="X73" s="41"/>
      <c r="Y73" s="41"/>
      <c r="Z73" s="41"/>
      <c r="AA73" s="41"/>
      <c r="AB73" s="41"/>
      <c r="AC73" s="41"/>
      <c r="AD73" s="41"/>
      <c r="AE73" s="41"/>
      <c r="AF73" s="41"/>
      <c r="AG73" s="29"/>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row>
    <row r="74" spans="3:63" ht="18.75" x14ac:dyDescent="0.4">
      <c r="C74" s="451" t="s">
        <v>1037</v>
      </c>
      <c r="D74" s="490">
        <v>2</v>
      </c>
      <c r="E74" s="443">
        <v>7.2857090816363703</v>
      </c>
      <c r="F74" s="445">
        <v>0</v>
      </c>
      <c r="G74" s="486">
        <v>0</v>
      </c>
      <c r="H74" s="445">
        <v>0</v>
      </c>
      <c r="I74" s="443">
        <v>0</v>
      </c>
      <c r="J74" s="445">
        <v>0</v>
      </c>
      <c r="K74" s="486">
        <v>0</v>
      </c>
      <c r="L74" s="445">
        <v>0</v>
      </c>
      <c r="M74" s="486">
        <v>0</v>
      </c>
      <c r="N74" s="445">
        <v>1</v>
      </c>
      <c r="O74" s="486">
        <v>3.4434075961571571</v>
      </c>
      <c r="P74" s="491">
        <v>2</v>
      </c>
      <c r="Q74" s="497">
        <v>0</v>
      </c>
      <c r="R74" s="492">
        <v>0</v>
      </c>
      <c r="S74" s="493">
        <v>0</v>
      </c>
      <c r="T74" s="492">
        <v>2</v>
      </c>
      <c r="U74" s="493">
        <v>6.7</v>
      </c>
      <c r="V74" s="492">
        <v>0</v>
      </c>
      <c r="W74" s="493">
        <v>0</v>
      </c>
      <c r="X74" s="41"/>
      <c r="Y74" s="41"/>
      <c r="Z74" s="41"/>
      <c r="AA74" s="41"/>
      <c r="AB74" s="41"/>
      <c r="AC74" s="41"/>
      <c r="AD74" s="41"/>
      <c r="AE74" s="41"/>
      <c r="AF74" s="41"/>
      <c r="AG74" s="29"/>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row>
    <row r="75" spans="3:63" ht="18.75" x14ac:dyDescent="0.4">
      <c r="C75" s="451" t="s">
        <v>1038</v>
      </c>
      <c r="D75" s="490">
        <v>4</v>
      </c>
      <c r="E75" s="443">
        <v>8.7734690296543256</v>
      </c>
      <c r="F75" s="445">
        <v>3</v>
      </c>
      <c r="G75" s="486">
        <v>6.4977257959714096</v>
      </c>
      <c r="H75" s="445">
        <v>3</v>
      </c>
      <c r="I75" s="443">
        <v>6.4220576272637757</v>
      </c>
      <c r="J75" s="445">
        <v>1</v>
      </c>
      <c r="K75" s="486">
        <v>2.1156409334207797</v>
      </c>
      <c r="L75" s="445">
        <v>1</v>
      </c>
      <c r="M75" s="486">
        <v>2.0920064433798458</v>
      </c>
      <c r="N75" s="445">
        <v>4</v>
      </c>
      <c r="O75" s="486">
        <v>8.2798592423928792</v>
      </c>
      <c r="P75" s="491">
        <v>0</v>
      </c>
      <c r="Q75" s="497">
        <v>2.0288914137315373</v>
      </c>
      <c r="R75" s="492">
        <v>1</v>
      </c>
      <c r="S75" s="493">
        <v>2</v>
      </c>
      <c r="T75" s="492">
        <v>3</v>
      </c>
      <c r="U75" s="493">
        <v>6</v>
      </c>
      <c r="V75" s="492">
        <v>6</v>
      </c>
      <c r="W75" s="493">
        <v>11.9</v>
      </c>
      <c r="X75" s="41"/>
      <c r="Y75" s="41"/>
      <c r="Z75" s="41"/>
      <c r="AA75" s="41"/>
      <c r="AB75" s="41"/>
      <c r="AC75" s="41"/>
      <c r="AD75" s="41"/>
      <c r="AE75" s="41"/>
      <c r="AF75" s="41"/>
      <c r="AG75" s="29"/>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row>
    <row r="76" spans="3:63" ht="18.75" x14ac:dyDescent="0.4">
      <c r="C76" s="451" t="s">
        <v>1039</v>
      </c>
      <c r="D76" s="490">
        <v>1</v>
      </c>
      <c r="E76" s="443">
        <v>2.6306097753459254</v>
      </c>
      <c r="F76" s="445">
        <v>1</v>
      </c>
      <c r="G76" s="486">
        <v>2.5946394748449704</v>
      </c>
      <c r="H76" s="445">
        <v>2</v>
      </c>
      <c r="I76" s="443">
        <v>5.1226883868654269</v>
      </c>
      <c r="J76" s="445">
        <v>1</v>
      </c>
      <c r="K76" s="486">
        <v>2.5300442757748263</v>
      </c>
      <c r="L76" s="445">
        <v>1</v>
      </c>
      <c r="M76" s="486">
        <v>2.5</v>
      </c>
      <c r="N76" s="445">
        <v>0</v>
      </c>
      <c r="O76" s="486">
        <v>0</v>
      </c>
      <c r="P76" s="491">
        <v>2</v>
      </c>
      <c r="Q76" s="497">
        <v>0</v>
      </c>
      <c r="R76" s="492">
        <v>0</v>
      </c>
      <c r="S76" s="493">
        <v>0</v>
      </c>
      <c r="T76" s="492">
        <v>3</v>
      </c>
      <c r="U76" s="493">
        <v>7.2</v>
      </c>
      <c r="V76" s="492">
        <v>1</v>
      </c>
      <c r="W76" s="493">
        <v>2.4</v>
      </c>
      <c r="X76" s="41"/>
      <c r="Y76" s="41"/>
      <c r="Z76" s="41"/>
      <c r="AA76" s="41"/>
      <c r="AB76" s="41"/>
      <c r="AC76" s="41"/>
      <c r="AD76" s="41"/>
      <c r="AE76" s="41"/>
      <c r="AF76" s="41"/>
      <c r="AG76" s="29"/>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row>
    <row r="77" spans="3:63" ht="18.75" x14ac:dyDescent="0.4">
      <c r="C77" s="451" t="s">
        <v>1040</v>
      </c>
      <c r="D77" s="490">
        <v>3</v>
      </c>
      <c r="E77" s="443">
        <v>9.6397930657755211</v>
      </c>
      <c r="F77" s="445">
        <v>2</v>
      </c>
      <c r="G77" s="486">
        <v>6.3325206598486519</v>
      </c>
      <c r="H77" s="445">
        <v>4</v>
      </c>
      <c r="I77" s="443">
        <v>12.464942349641632</v>
      </c>
      <c r="J77" s="445">
        <v>0</v>
      </c>
      <c r="K77" s="486">
        <v>0</v>
      </c>
      <c r="L77" s="445">
        <v>0</v>
      </c>
      <c r="M77" s="486">
        <v>0</v>
      </c>
      <c r="N77" s="445">
        <v>3</v>
      </c>
      <c r="O77" s="486">
        <v>8.9442771533347241</v>
      </c>
      <c r="P77" s="491">
        <v>1</v>
      </c>
      <c r="Q77" s="497">
        <v>2.901073397156948</v>
      </c>
      <c r="R77" s="492">
        <v>1</v>
      </c>
      <c r="S77" s="493">
        <v>2.9</v>
      </c>
      <c r="T77" s="492">
        <v>0</v>
      </c>
      <c r="U77" s="493">
        <v>0</v>
      </c>
      <c r="V77" s="492">
        <v>0</v>
      </c>
      <c r="W77" s="493">
        <v>0</v>
      </c>
      <c r="X77" s="41"/>
      <c r="Y77" s="41"/>
      <c r="Z77" s="41"/>
      <c r="AA77" s="41"/>
      <c r="AB77" s="41"/>
      <c r="AC77" s="41"/>
      <c r="AD77" s="41"/>
      <c r="AE77" s="41"/>
      <c r="AF77" s="41"/>
      <c r="AG77" s="29"/>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row>
    <row r="78" spans="3:63" ht="18.75" x14ac:dyDescent="0.4">
      <c r="C78" s="451" t="s">
        <v>1041</v>
      </c>
      <c r="D78" s="490">
        <v>0</v>
      </c>
      <c r="E78" s="443">
        <v>0</v>
      </c>
      <c r="F78" s="445">
        <v>2</v>
      </c>
      <c r="G78" s="486">
        <v>9.0501832662111408</v>
      </c>
      <c r="H78" s="445">
        <v>3</v>
      </c>
      <c r="I78" s="443">
        <v>13.367792531859905</v>
      </c>
      <c r="J78" s="445">
        <v>1</v>
      </c>
      <c r="K78" s="486">
        <v>4.3886597033266037</v>
      </c>
      <c r="L78" s="445">
        <v>3</v>
      </c>
      <c r="M78" s="486">
        <v>12.972412003805243</v>
      </c>
      <c r="N78" s="445">
        <v>4</v>
      </c>
      <c r="O78" s="486">
        <v>17.045212425959861</v>
      </c>
      <c r="P78" s="491">
        <v>1</v>
      </c>
      <c r="Q78" s="497">
        <v>0</v>
      </c>
      <c r="R78" s="492">
        <v>0</v>
      </c>
      <c r="S78" s="493">
        <v>0</v>
      </c>
      <c r="T78" s="492">
        <v>5</v>
      </c>
      <c r="U78" s="493">
        <v>20.5</v>
      </c>
      <c r="V78" s="492">
        <v>1</v>
      </c>
      <c r="W78" s="493">
        <v>4</v>
      </c>
      <c r="X78" s="41"/>
      <c r="Y78" s="41"/>
      <c r="Z78" s="41"/>
      <c r="AA78" s="41"/>
      <c r="AB78" s="41"/>
      <c r="AC78" s="41"/>
      <c r="AD78" s="41"/>
      <c r="AE78" s="41"/>
      <c r="AF78" s="41"/>
      <c r="AG78" s="29"/>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row>
    <row r="79" spans="3:63" ht="18.75" x14ac:dyDescent="0.4">
      <c r="C79" s="451" t="s">
        <v>1042</v>
      </c>
      <c r="D79" s="490">
        <v>6</v>
      </c>
      <c r="E79" s="443">
        <v>3.3030916938254209</v>
      </c>
      <c r="F79" s="445">
        <v>10</v>
      </c>
      <c r="G79" s="486">
        <v>5.4123390505674838</v>
      </c>
      <c r="H79" s="445">
        <v>11</v>
      </c>
      <c r="I79" s="443">
        <v>5.8525269615276159</v>
      </c>
      <c r="J79" s="445">
        <v>16</v>
      </c>
      <c r="K79" s="486">
        <v>8.3714408296097869</v>
      </c>
      <c r="L79" s="445">
        <v>19</v>
      </c>
      <c r="M79" s="486">
        <v>9.7833754705031222</v>
      </c>
      <c r="N79" s="445">
        <v>13</v>
      </c>
      <c r="O79" s="486">
        <v>6.5916904136539261</v>
      </c>
      <c r="P79" s="491">
        <v>9</v>
      </c>
      <c r="Q79" s="497">
        <v>5.9069943735878585</v>
      </c>
      <c r="R79" s="492">
        <v>12</v>
      </c>
      <c r="S79" s="493">
        <v>5.9</v>
      </c>
      <c r="T79" s="492">
        <v>23</v>
      </c>
      <c r="U79" s="493">
        <v>11.2</v>
      </c>
      <c r="V79" s="492">
        <v>21</v>
      </c>
      <c r="W79" s="493">
        <v>10</v>
      </c>
      <c r="X79" s="41"/>
      <c r="Y79" s="41"/>
      <c r="Z79" s="41"/>
      <c r="AA79" s="41"/>
      <c r="AB79" s="41"/>
      <c r="AC79" s="41"/>
      <c r="AD79" s="41"/>
      <c r="AE79" s="41"/>
      <c r="AF79" s="41"/>
      <c r="AG79" s="29"/>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row>
    <row r="80" spans="3:63" ht="18.75" x14ac:dyDescent="0.4">
      <c r="C80" s="451" t="s">
        <v>1043</v>
      </c>
      <c r="D80" s="490">
        <v>0</v>
      </c>
      <c r="E80" s="443">
        <v>0</v>
      </c>
      <c r="F80" s="445">
        <v>0</v>
      </c>
      <c r="G80" s="486">
        <v>0</v>
      </c>
      <c r="H80" s="445">
        <v>0</v>
      </c>
      <c r="I80" s="443">
        <v>0</v>
      </c>
      <c r="J80" s="445">
        <v>0</v>
      </c>
      <c r="K80" s="486">
        <v>0</v>
      </c>
      <c r="L80" s="445">
        <v>0</v>
      </c>
      <c r="M80" s="486">
        <v>0</v>
      </c>
      <c r="N80" s="445">
        <v>0</v>
      </c>
      <c r="O80" s="486">
        <v>0</v>
      </c>
      <c r="P80" s="491">
        <v>0</v>
      </c>
      <c r="Q80" s="497">
        <v>0</v>
      </c>
      <c r="R80" s="492">
        <v>0</v>
      </c>
      <c r="S80" s="493">
        <v>0</v>
      </c>
      <c r="T80" s="492">
        <v>0</v>
      </c>
      <c r="U80" s="493">
        <v>0</v>
      </c>
      <c r="V80" s="492">
        <v>0</v>
      </c>
      <c r="W80" s="493">
        <v>0</v>
      </c>
      <c r="X80" s="41"/>
      <c r="Y80" s="41"/>
      <c r="Z80" s="41"/>
      <c r="AA80" s="41"/>
      <c r="AB80" s="41"/>
      <c r="AC80" s="41"/>
      <c r="AD80" s="41"/>
      <c r="AE80" s="41"/>
      <c r="AF80" s="41"/>
      <c r="AG80" s="29"/>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row>
    <row r="81" spans="3:63" ht="18.75" x14ac:dyDescent="0.4">
      <c r="C81" s="451" t="s">
        <v>1044</v>
      </c>
      <c r="D81" s="490">
        <v>0</v>
      </c>
      <c r="E81" s="443">
        <v>0</v>
      </c>
      <c r="F81" s="445">
        <v>0</v>
      </c>
      <c r="G81" s="486">
        <v>0</v>
      </c>
      <c r="H81" s="445">
        <v>1</v>
      </c>
      <c r="I81" s="443">
        <v>4.709206498704968</v>
      </c>
      <c r="J81" s="445">
        <v>1</v>
      </c>
      <c r="K81" s="486">
        <v>4.655710228595372</v>
      </c>
      <c r="L81" s="445">
        <v>1</v>
      </c>
      <c r="M81" s="486">
        <v>4.6032038298655857</v>
      </c>
      <c r="N81" s="445">
        <v>0</v>
      </c>
      <c r="O81" s="486">
        <v>0</v>
      </c>
      <c r="P81" s="491">
        <v>0</v>
      </c>
      <c r="Q81" s="497">
        <v>0</v>
      </c>
      <c r="R81" s="492">
        <v>0</v>
      </c>
      <c r="S81" s="493">
        <v>0</v>
      </c>
      <c r="T81" s="492">
        <v>3</v>
      </c>
      <c r="U81" s="493">
        <v>13.3</v>
      </c>
      <c r="V81" s="492">
        <v>1</v>
      </c>
      <c r="W81" s="493">
        <v>4.4000000000000004</v>
      </c>
      <c r="X81" s="41"/>
      <c r="Y81" s="41"/>
      <c r="Z81" s="41"/>
      <c r="AA81" s="41"/>
      <c r="AB81" s="41"/>
      <c r="AC81" s="41"/>
      <c r="AD81" s="41"/>
      <c r="AE81" s="41"/>
      <c r="AF81" s="41"/>
      <c r="AG81" s="29"/>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row>
    <row r="82" spans="3:63" ht="18.75" x14ac:dyDescent="0.4">
      <c r="C82" s="451" t="s">
        <v>1045</v>
      </c>
      <c r="D82" s="490">
        <v>7</v>
      </c>
      <c r="E82" s="443">
        <v>14.085357265026058</v>
      </c>
      <c r="F82" s="445">
        <v>7</v>
      </c>
      <c r="G82" s="486">
        <v>13.871274571972098</v>
      </c>
      <c r="H82" s="445">
        <v>6</v>
      </c>
      <c r="I82" s="443">
        <v>11.719207781553967</v>
      </c>
      <c r="J82" s="445">
        <v>3</v>
      </c>
      <c r="K82" s="486">
        <v>5.7770075101097635</v>
      </c>
      <c r="L82" s="445">
        <v>2</v>
      </c>
      <c r="M82" s="486">
        <v>3.7985983172209452</v>
      </c>
      <c r="N82" s="445">
        <v>3</v>
      </c>
      <c r="O82" s="486">
        <v>5.6210301474583577</v>
      </c>
      <c r="P82" s="491">
        <v>3</v>
      </c>
      <c r="Q82" s="497">
        <v>1.8259504071869408</v>
      </c>
      <c r="R82" s="492">
        <v>1</v>
      </c>
      <c r="S82" s="493">
        <v>1.8</v>
      </c>
      <c r="T82" s="492">
        <v>5</v>
      </c>
      <c r="U82" s="493">
        <v>9</v>
      </c>
      <c r="V82" s="492">
        <v>4</v>
      </c>
      <c r="W82" s="493">
        <v>7.1</v>
      </c>
      <c r="X82" s="41"/>
      <c r="Y82" s="41"/>
      <c r="Z82" s="41"/>
      <c r="AA82" s="41"/>
      <c r="AB82" s="41"/>
      <c r="AC82" s="41"/>
      <c r="AD82" s="41"/>
      <c r="AE82" s="41"/>
      <c r="AF82" s="41"/>
      <c r="AG82" s="29"/>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row>
    <row r="83" spans="3:63" ht="18.75" x14ac:dyDescent="0.4">
      <c r="C83" s="451" t="s">
        <v>1046</v>
      </c>
      <c r="D83" s="490">
        <v>1</v>
      </c>
      <c r="E83" s="443">
        <v>3.4025178632187818</v>
      </c>
      <c r="F83" s="445">
        <v>4</v>
      </c>
      <c r="G83" s="486">
        <v>13.300525370752144</v>
      </c>
      <c r="H83" s="445">
        <v>1</v>
      </c>
      <c r="I83" s="443">
        <v>3.2451728054518907</v>
      </c>
      <c r="J83" s="445">
        <v>2</v>
      </c>
      <c r="K83" s="486">
        <v>6.3399480124262988</v>
      </c>
      <c r="L83" s="445">
        <v>1</v>
      </c>
      <c r="M83" s="486">
        <v>3.0988534242330337</v>
      </c>
      <c r="N83" s="445">
        <v>4</v>
      </c>
      <c r="O83" s="486">
        <v>12.123783832934258</v>
      </c>
      <c r="P83" s="491">
        <v>3</v>
      </c>
      <c r="Q83" s="497">
        <v>0</v>
      </c>
      <c r="R83" s="492">
        <v>0</v>
      </c>
      <c r="S83" s="493">
        <v>0</v>
      </c>
      <c r="T83" s="492">
        <v>1</v>
      </c>
      <c r="U83" s="493">
        <v>2.8</v>
      </c>
      <c r="V83" s="492">
        <v>5</v>
      </c>
      <c r="W83" s="493">
        <v>13.9</v>
      </c>
      <c r="X83" s="41"/>
      <c r="Y83" s="41"/>
      <c r="Z83" s="41"/>
      <c r="AA83" s="41"/>
      <c r="AB83" s="41"/>
      <c r="AC83" s="41"/>
      <c r="AD83" s="41"/>
      <c r="AE83" s="41"/>
      <c r="AF83" s="41"/>
      <c r="AG83" s="29"/>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row>
    <row r="84" spans="3:63" ht="18.75" x14ac:dyDescent="0.4">
      <c r="C84" s="451" t="s">
        <v>1047</v>
      </c>
      <c r="D84" s="490">
        <v>2</v>
      </c>
      <c r="E84" s="443">
        <v>11.24859392575928</v>
      </c>
      <c r="F84" s="445">
        <v>1</v>
      </c>
      <c r="G84" s="486">
        <v>5.537405171936431</v>
      </c>
      <c r="H84" s="445">
        <v>0</v>
      </c>
      <c r="I84" s="443">
        <v>0</v>
      </c>
      <c r="J84" s="445">
        <v>0</v>
      </c>
      <c r="K84" s="486">
        <v>0</v>
      </c>
      <c r="L84" s="445">
        <v>3</v>
      </c>
      <c r="M84" s="486">
        <v>15.977844056242011</v>
      </c>
      <c r="N84" s="445">
        <v>3</v>
      </c>
      <c r="O84" s="486">
        <v>15.781167806417674</v>
      </c>
      <c r="P84" s="491">
        <v>1</v>
      </c>
      <c r="Q84" s="497">
        <v>10.277492291880781</v>
      </c>
      <c r="R84" s="492">
        <v>2</v>
      </c>
      <c r="S84" s="493">
        <v>10.3</v>
      </c>
      <c r="T84" s="492">
        <v>3</v>
      </c>
      <c r="U84" s="493">
        <v>15.2</v>
      </c>
      <c r="V84" s="492">
        <v>1</v>
      </c>
      <c r="W84" s="493">
        <v>5</v>
      </c>
      <c r="X84" s="41"/>
      <c r="Y84" s="41"/>
      <c r="Z84" s="41"/>
      <c r="AA84" s="41"/>
      <c r="AB84" s="41"/>
      <c r="AC84" s="41"/>
      <c r="AD84" s="41"/>
      <c r="AE84" s="41"/>
      <c r="AF84" s="41"/>
      <c r="AG84" s="29"/>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row>
    <row r="85" spans="3:63" ht="18.75" x14ac:dyDescent="0.4">
      <c r="C85" s="445" t="s">
        <v>1048</v>
      </c>
      <c r="D85" s="445"/>
      <c r="E85" s="443"/>
      <c r="F85" s="445"/>
      <c r="G85" s="485"/>
      <c r="H85" s="445"/>
      <c r="I85" s="443"/>
      <c r="J85" s="445"/>
      <c r="K85" s="485"/>
      <c r="L85" s="445"/>
      <c r="M85" s="485"/>
      <c r="N85" s="445">
        <v>0</v>
      </c>
      <c r="O85" s="485">
        <v>0</v>
      </c>
      <c r="P85" s="491">
        <v>0</v>
      </c>
      <c r="Q85" s="497" t="s">
        <v>1049</v>
      </c>
      <c r="R85" s="492">
        <v>0</v>
      </c>
      <c r="S85" s="493" t="s">
        <v>1049</v>
      </c>
      <c r="T85" s="492">
        <v>0</v>
      </c>
      <c r="U85" s="493" t="s">
        <v>1049</v>
      </c>
      <c r="V85" s="492">
        <v>0</v>
      </c>
      <c r="W85" s="493" t="s">
        <v>1049</v>
      </c>
      <c r="X85" s="41"/>
      <c r="Y85" s="41"/>
      <c r="Z85" s="41"/>
      <c r="AA85" s="41"/>
      <c r="AB85" s="41"/>
      <c r="AC85" s="41"/>
      <c r="AD85" s="41"/>
      <c r="AE85" s="41"/>
      <c r="AF85" s="41"/>
      <c r="AG85" s="29"/>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row>
    <row r="86" spans="3:63" ht="7.15" customHeight="1" x14ac:dyDescent="0.4">
      <c r="C86" s="41"/>
      <c r="D86" s="41"/>
      <c r="E86" s="41"/>
      <c r="F86" s="41"/>
      <c r="G86" s="41"/>
      <c r="H86" s="41"/>
      <c r="I86" s="41"/>
      <c r="J86" s="41"/>
      <c r="K86" s="41"/>
      <c r="L86" s="41"/>
      <c r="M86" s="41"/>
      <c r="N86" s="41"/>
      <c r="O86" s="41"/>
      <c r="P86" s="445"/>
      <c r="Q86" s="486"/>
      <c r="R86" s="498"/>
      <c r="S86" s="499"/>
      <c r="T86" s="498"/>
      <c r="U86" s="499"/>
      <c r="V86" s="498"/>
      <c r="W86" s="499"/>
      <c r="X86" s="41"/>
      <c r="Y86" s="41"/>
      <c r="Z86" s="41"/>
      <c r="AA86" s="41"/>
      <c r="AB86" s="41"/>
      <c r="AC86" s="41"/>
      <c r="AD86" s="41"/>
      <c r="AE86" s="41"/>
      <c r="AF86" s="41"/>
      <c r="AG86" s="29"/>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row>
    <row r="87" spans="3:63" ht="18.75" x14ac:dyDescent="0.4">
      <c r="C87" s="476" t="s">
        <v>1050</v>
      </c>
      <c r="D87" s="477">
        <v>34</v>
      </c>
      <c r="E87" s="489">
        <v>6.5785527570908098</v>
      </c>
      <c r="F87" s="479">
        <v>32</v>
      </c>
      <c r="G87" s="480">
        <v>6.1360986684665892</v>
      </c>
      <c r="H87" s="479">
        <v>26</v>
      </c>
      <c r="I87" s="478">
        <v>4.9455607885506465</v>
      </c>
      <c r="J87" s="479">
        <v>12</v>
      </c>
      <c r="K87" s="480">
        <v>2.2649329862952681</v>
      </c>
      <c r="L87" s="500">
        <v>23</v>
      </c>
      <c r="M87" s="480">
        <v>4.3087702207776388</v>
      </c>
      <c r="N87" s="500">
        <v>21</v>
      </c>
      <c r="O87" s="480">
        <v>3.9062064039463844</v>
      </c>
      <c r="P87" s="481">
        <v>22</v>
      </c>
      <c r="Q87" s="501">
        <v>2.9382004623992977</v>
      </c>
      <c r="R87" s="495">
        <v>16</v>
      </c>
      <c r="S87" s="496">
        <v>2.9</v>
      </c>
      <c r="T87" s="495">
        <v>27</v>
      </c>
      <c r="U87" s="496">
        <v>4.9000000000000004</v>
      </c>
      <c r="V87" s="495">
        <v>36</v>
      </c>
      <c r="W87" s="496">
        <v>6.5</v>
      </c>
      <c r="X87" s="41"/>
      <c r="Y87" s="41"/>
      <c r="Z87" s="41"/>
      <c r="AA87" s="41"/>
      <c r="AB87" s="41"/>
      <c r="AC87" s="41"/>
      <c r="AD87" s="41"/>
      <c r="AE87" s="41"/>
      <c r="AF87" s="41"/>
      <c r="AG87" s="29"/>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row>
    <row r="88" spans="3:63" ht="18.75" x14ac:dyDescent="0.4">
      <c r="C88" s="451" t="s">
        <v>1051</v>
      </c>
      <c r="D88" s="490">
        <v>10</v>
      </c>
      <c r="E88" s="443">
        <v>6.3969294738525511</v>
      </c>
      <c r="F88" s="445">
        <v>11</v>
      </c>
      <c r="G88" s="486">
        <v>6.971114237550224</v>
      </c>
      <c r="H88" s="445">
        <v>8</v>
      </c>
      <c r="I88" s="443">
        <v>5.0269570572193381</v>
      </c>
      <c r="J88" s="445">
        <v>6</v>
      </c>
      <c r="K88" s="486">
        <v>3.7393195684825216</v>
      </c>
      <c r="L88" s="445">
        <v>9</v>
      </c>
      <c r="M88" s="486">
        <v>5.5649334990446864</v>
      </c>
      <c r="N88" s="445">
        <v>4</v>
      </c>
      <c r="O88" s="486">
        <v>2.4548311076197957</v>
      </c>
      <c r="P88" s="491">
        <v>5</v>
      </c>
      <c r="Q88" s="486">
        <v>1.816035594297648</v>
      </c>
      <c r="R88" s="492">
        <v>3</v>
      </c>
      <c r="S88" s="493">
        <v>1.8</v>
      </c>
      <c r="T88" s="492">
        <v>4</v>
      </c>
      <c r="U88" s="493">
        <v>2.4</v>
      </c>
      <c r="V88" s="492">
        <v>10</v>
      </c>
      <c r="W88" s="493">
        <v>6</v>
      </c>
      <c r="X88" s="41"/>
      <c r="Y88" s="41"/>
      <c r="Z88" s="41"/>
      <c r="AA88" s="41"/>
      <c r="AB88" s="41"/>
      <c r="AC88" s="41"/>
      <c r="AD88" s="41"/>
      <c r="AE88" s="41"/>
      <c r="AF88" s="41"/>
      <c r="AG88" s="29"/>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row>
    <row r="89" spans="3:63" ht="18.75" x14ac:dyDescent="0.4">
      <c r="C89" s="451" t="s">
        <v>1052</v>
      </c>
      <c r="D89" s="490">
        <v>1</v>
      </c>
      <c r="E89" s="443">
        <v>1.6705367434556722</v>
      </c>
      <c r="F89" s="445">
        <v>3</v>
      </c>
      <c r="G89" s="486">
        <v>4.9629433562731604</v>
      </c>
      <c r="H89" s="445">
        <v>0</v>
      </c>
      <c r="I89" s="443">
        <v>0</v>
      </c>
      <c r="J89" s="445">
        <v>1</v>
      </c>
      <c r="K89" s="486">
        <v>1.6259369461652275</v>
      </c>
      <c r="L89" s="445">
        <v>3</v>
      </c>
      <c r="M89" s="486">
        <v>4.8381634331607728</v>
      </c>
      <c r="N89" s="445">
        <v>0</v>
      </c>
      <c r="O89" s="486">
        <v>0</v>
      </c>
      <c r="P89" s="491">
        <v>1</v>
      </c>
      <c r="Q89" s="486">
        <v>4.7336531178995198</v>
      </c>
      <c r="R89" s="492">
        <v>3</v>
      </c>
      <c r="S89" s="493">
        <v>4.7</v>
      </c>
      <c r="T89" s="492">
        <v>3</v>
      </c>
      <c r="U89" s="493">
        <v>4.7</v>
      </c>
      <c r="V89" s="492">
        <v>3</v>
      </c>
      <c r="W89" s="493">
        <v>4.7</v>
      </c>
      <c r="X89" s="41"/>
      <c r="Y89" s="41"/>
      <c r="Z89" s="41"/>
      <c r="AA89" s="41"/>
      <c r="AB89" s="41"/>
      <c r="AC89" s="41"/>
      <c r="AD89" s="41"/>
      <c r="AE89" s="41"/>
      <c r="AF89" s="41"/>
      <c r="AG89" s="29"/>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row>
    <row r="90" spans="3:63" ht="18.75" x14ac:dyDescent="0.4">
      <c r="C90" s="451" t="s">
        <v>1053</v>
      </c>
      <c r="D90" s="490">
        <v>6</v>
      </c>
      <c r="E90" s="443">
        <v>5.7037473620168448</v>
      </c>
      <c r="F90" s="445">
        <v>6</v>
      </c>
      <c r="G90" s="486">
        <v>5.6343318621466798</v>
      </c>
      <c r="H90" s="445">
        <v>3</v>
      </c>
      <c r="I90" s="443">
        <v>2.7840935455431302</v>
      </c>
      <c r="J90" s="445">
        <v>4</v>
      </c>
      <c r="K90" s="486">
        <v>3.6700614735296817</v>
      </c>
      <c r="L90" s="445">
        <v>6</v>
      </c>
      <c r="M90" s="486">
        <v>5.4449425558560351</v>
      </c>
      <c r="N90" s="445">
        <v>5</v>
      </c>
      <c r="O90" s="486">
        <v>4.4895796855498391</v>
      </c>
      <c r="P90" s="491">
        <v>9</v>
      </c>
      <c r="Q90" s="486">
        <v>4.4021059674948493</v>
      </c>
      <c r="R90" s="492">
        <v>5</v>
      </c>
      <c r="S90" s="493">
        <v>4.4000000000000004</v>
      </c>
      <c r="T90" s="492">
        <v>8</v>
      </c>
      <c r="U90" s="493">
        <v>7</v>
      </c>
      <c r="V90" s="492">
        <v>11</v>
      </c>
      <c r="W90" s="493">
        <v>9.5</v>
      </c>
      <c r="X90" s="41"/>
      <c r="Y90" s="41"/>
      <c r="Z90" s="41"/>
      <c r="AA90" s="41"/>
      <c r="AB90" s="41"/>
      <c r="AC90" s="41"/>
      <c r="AD90" s="41"/>
      <c r="AE90" s="41"/>
      <c r="AF90" s="41"/>
      <c r="AG90" s="29"/>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row>
    <row r="91" spans="3:63" ht="18.75" x14ac:dyDescent="0.4">
      <c r="C91" s="451" t="s">
        <v>1054</v>
      </c>
      <c r="D91" s="490">
        <v>0</v>
      </c>
      <c r="E91" s="443">
        <v>0</v>
      </c>
      <c r="F91" s="445">
        <v>2</v>
      </c>
      <c r="G91" s="486">
        <v>12.405408758218583</v>
      </c>
      <c r="H91" s="445">
        <v>4</v>
      </c>
      <c r="I91" s="443">
        <v>24.740227610094017</v>
      </c>
      <c r="J91" s="445">
        <v>1</v>
      </c>
      <c r="K91" s="486">
        <v>6.1667488899852003</v>
      </c>
      <c r="L91" s="445">
        <v>0</v>
      </c>
      <c r="M91" s="486">
        <v>0</v>
      </c>
      <c r="N91" s="445">
        <v>0</v>
      </c>
      <c r="O91" s="486">
        <v>0</v>
      </c>
      <c r="P91" s="491">
        <v>0</v>
      </c>
      <c r="Q91" s="486">
        <v>0</v>
      </c>
      <c r="R91" s="492">
        <v>0</v>
      </c>
      <c r="S91" s="493">
        <v>0</v>
      </c>
      <c r="T91" s="492">
        <v>1</v>
      </c>
      <c r="U91" s="493">
        <v>6.1</v>
      </c>
      <c r="V91" s="492">
        <v>0</v>
      </c>
      <c r="W91" s="493">
        <v>0</v>
      </c>
      <c r="X91" s="41"/>
      <c r="Y91" s="41"/>
      <c r="Z91" s="41"/>
      <c r="AA91" s="41"/>
      <c r="AB91" s="41"/>
      <c r="AC91" s="41"/>
      <c r="AD91" s="41"/>
      <c r="AE91" s="41"/>
      <c r="AF91" s="41"/>
      <c r="AG91" s="29"/>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row>
    <row r="92" spans="3:63" ht="18.75" x14ac:dyDescent="0.4">
      <c r="C92" s="451" t="s">
        <v>1055</v>
      </c>
      <c r="D92" s="490">
        <v>10</v>
      </c>
      <c r="E92" s="443">
        <v>13.647033134996454</v>
      </c>
      <c r="F92" s="445">
        <v>6</v>
      </c>
      <c r="G92" s="486">
        <v>8.1684886934502341</v>
      </c>
      <c r="H92" s="445">
        <v>4</v>
      </c>
      <c r="I92" s="443">
        <v>5.4404004134704316</v>
      </c>
      <c r="J92" s="445">
        <v>0</v>
      </c>
      <c r="K92" s="486">
        <v>0</v>
      </c>
      <c r="L92" s="445">
        <v>3</v>
      </c>
      <c r="M92" s="486">
        <v>4.0752010432514671</v>
      </c>
      <c r="N92" s="445">
        <v>5</v>
      </c>
      <c r="O92" s="486">
        <v>6.7883132399261434</v>
      </c>
      <c r="P92" s="491">
        <v>3</v>
      </c>
      <c r="Q92" s="486">
        <v>5.4343395918810966</v>
      </c>
      <c r="R92" s="492">
        <v>4</v>
      </c>
      <c r="S92" s="493">
        <v>5.4</v>
      </c>
      <c r="T92" s="492">
        <v>10</v>
      </c>
      <c r="U92" s="493">
        <v>13.6</v>
      </c>
      <c r="V92" s="492">
        <v>6</v>
      </c>
      <c r="W92" s="493">
        <v>8.1999999999999993</v>
      </c>
      <c r="X92" s="41"/>
      <c r="Y92" s="41"/>
      <c r="Z92" s="41"/>
      <c r="AA92" s="41"/>
      <c r="AB92" s="41"/>
      <c r="AC92" s="41"/>
      <c r="AD92" s="41"/>
      <c r="AE92" s="41"/>
      <c r="AF92" s="41"/>
      <c r="AG92" s="29"/>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row>
    <row r="93" spans="3:63" ht="18.75" x14ac:dyDescent="0.4">
      <c r="C93" s="451" t="s">
        <v>1056</v>
      </c>
      <c r="D93" s="490">
        <v>0</v>
      </c>
      <c r="E93" s="443">
        <v>0</v>
      </c>
      <c r="F93" s="445">
        <v>0</v>
      </c>
      <c r="G93" s="486">
        <v>0</v>
      </c>
      <c r="H93" s="445">
        <v>2</v>
      </c>
      <c r="I93" s="443">
        <v>13.354700854700855</v>
      </c>
      <c r="J93" s="445">
        <v>0</v>
      </c>
      <c r="K93" s="486">
        <v>0</v>
      </c>
      <c r="L93" s="445">
        <v>1</v>
      </c>
      <c r="M93" s="486">
        <v>6.5707339509823246</v>
      </c>
      <c r="N93" s="445">
        <v>1</v>
      </c>
      <c r="O93" s="486">
        <v>6.5265631118652925</v>
      </c>
      <c r="P93" s="491">
        <v>0</v>
      </c>
      <c r="Q93" s="486">
        <v>0</v>
      </c>
      <c r="R93" s="492">
        <v>0</v>
      </c>
      <c r="S93" s="493">
        <v>0</v>
      </c>
      <c r="T93" s="492">
        <v>0</v>
      </c>
      <c r="U93" s="493">
        <v>0</v>
      </c>
      <c r="V93" s="492">
        <v>1</v>
      </c>
      <c r="W93" s="493">
        <v>6.4</v>
      </c>
      <c r="X93" s="41"/>
      <c r="Y93" s="41"/>
      <c r="Z93" s="41"/>
      <c r="AA93" s="41"/>
      <c r="AB93" s="41"/>
      <c r="AC93" s="41"/>
      <c r="AD93" s="41"/>
      <c r="AE93" s="41"/>
      <c r="AF93" s="41"/>
      <c r="AG93" s="29"/>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row>
    <row r="94" spans="3:63" ht="18.75" x14ac:dyDescent="0.4">
      <c r="C94" s="451" t="s">
        <v>1057</v>
      </c>
      <c r="D94" s="490">
        <v>5</v>
      </c>
      <c r="E94" s="443">
        <v>10.515247108307044</v>
      </c>
      <c r="F94" s="445">
        <v>2</v>
      </c>
      <c r="G94" s="486">
        <v>4.1659723379436766</v>
      </c>
      <c r="H94" s="445">
        <v>1</v>
      </c>
      <c r="I94" s="443">
        <v>2.0649211200132158</v>
      </c>
      <c r="J94" s="445">
        <v>0</v>
      </c>
      <c r="K94" s="486">
        <v>0</v>
      </c>
      <c r="L94" s="445">
        <v>0</v>
      </c>
      <c r="M94" s="486">
        <v>0</v>
      </c>
      <c r="N94" s="445">
        <v>3</v>
      </c>
      <c r="O94" s="486">
        <v>6.0478993629546007</v>
      </c>
      <c r="P94" s="491">
        <v>4</v>
      </c>
      <c r="Q94" s="486">
        <v>0</v>
      </c>
      <c r="R94" s="492">
        <v>0</v>
      </c>
      <c r="S94" s="493">
        <v>0</v>
      </c>
      <c r="T94" s="492">
        <v>0</v>
      </c>
      <c r="U94" s="493">
        <v>0</v>
      </c>
      <c r="V94" s="492">
        <v>4</v>
      </c>
      <c r="W94" s="493">
        <v>7.9</v>
      </c>
      <c r="X94" s="41"/>
      <c r="Y94" s="41"/>
      <c r="Z94" s="41"/>
      <c r="AA94" s="41"/>
      <c r="AB94" s="41"/>
      <c r="AC94" s="41"/>
      <c r="AD94" s="41"/>
      <c r="AE94" s="41"/>
      <c r="AF94" s="41"/>
      <c r="AG94" s="29"/>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row>
    <row r="95" spans="3:63" ht="18.75" x14ac:dyDescent="0.4">
      <c r="C95" s="451" t="s">
        <v>1058</v>
      </c>
      <c r="D95" s="490">
        <v>2</v>
      </c>
      <c r="E95" s="443">
        <v>4.5576774075930899</v>
      </c>
      <c r="F95" s="445">
        <v>2</v>
      </c>
      <c r="G95" s="486">
        <v>4.5110068567304218</v>
      </c>
      <c r="H95" s="445">
        <v>4</v>
      </c>
      <c r="I95" s="443">
        <v>8.9383477464190744</v>
      </c>
      <c r="J95" s="445">
        <v>0</v>
      </c>
      <c r="K95" s="486">
        <v>0</v>
      </c>
      <c r="L95" s="445">
        <v>1</v>
      </c>
      <c r="M95" s="486">
        <v>2.1954860806182488</v>
      </c>
      <c r="N95" s="445">
        <v>3</v>
      </c>
      <c r="O95" s="486">
        <v>6.5309676717100249</v>
      </c>
      <c r="P95" s="491">
        <v>0</v>
      </c>
      <c r="Q95" s="486">
        <v>2.1441742784853552</v>
      </c>
      <c r="R95" s="492">
        <v>1</v>
      </c>
      <c r="S95" s="493">
        <v>2.1</v>
      </c>
      <c r="T95" s="492">
        <v>1</v>
      </c>
      <c r="U95" s="493">
        <v>2.1</v>
      </c>
      <c r="V95" s="492">
        <v>1</v>
      </c>
      <c r="W95" s="493">
        <v>2.1</v>
      </c>
      <c r="X95" s="41"/>
      <c r="Y95" s="41"/>
      <c r="Z95" s="41"/>
      <c r="AA95" s="41"/>
      <c r="AB95" s="41"/>
      <c r="AC95" s="41"/>
      <c r="AD95" s="41"/>
      <c r="AE95" s="41"/>
      <c r="AF95" s="41"/>
      <c r="AG95" s="29"/>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row>
    <row r="96" spans="3:63" ht="6" customHeight="1" x14ac:dyDescent="0.4">
      <c r="C96" s="41"/>
      <c r="D96" s="41"/>
      <c r="E96" s="443"/>
      <c r="F96" s="41"/>
      <c r="G96" s="485"/>
      <c r="H96" s="41"/>
      <c r="I96" s="443"/>
      <c r="J96" s="41"/>
      <c r="K96" s="485"/>
      <c r="L96" s="41"/>
      <c r="M96" s="486"/>
      <c r="N96" s="41"/>
      <c r="O96" s="486"/>
      <c r="P96" s="451"/>
      <c r="Q96" s="486"/>
      <c r="R96" s="487"/>
      <c r="S96" s="488"/>
      <c r="T96" s="487"/>
      <c r="U96" s="488"/>
      <c r="V96" s="487"/>
      <c r="W96" s="488"/>
      <c r="X96" s="41"/>
      <c r="Y96" s="41"/>
      <c r="Z96" s="41"/>
      <c r="AA96" s="41"/>
      <c r="AB96" s="41"/>
      <c r="AC96" s="41"/>
      <c r="AD96" s="41"/>
      <c r="AE96" s="41"/>
      <c r="AF96" s="41"/>
      <c r="AG96" s="29"/>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row>
    <row r="97" spans="3:63" ht="18.75" x14ac:dyDescent="0.4">
      <c r="C97" s="476" t="s">
        <v>1059</v>
      </c>
      <c r="D97" s="477">
        <v>34</v>
      </c>
      <c r="E97" s="489">
        <v>7.037093763065192</v>
      </c>
      <c r="F97" s="477">
        <v>25</v>
      </c>
      <c r="G97" s="480">
        <v>5.0976090174664472</v>
      </c>
      <c r="H97" s="479">
        <v>22</v>
      </c>
      <c r="I97" s="489">
        <v>4.4194011711413097</v>
      </c>
      <c r="J97" s="479">
        <v>39</v>
      </c>
      <c r="K97" s="480">
        <v>7.7219771429476562</v>
      </c>
      <c r="L97" s="479">
        <v>31</v>
      </c>
      <c r="M97" s="480">
        <v>6.0526541864842276</v>
      </c>
      <c r="N97" s="479">
        <v>16</v>
      </c>
      <c r="O97" s="480">
        <v>3.0818421711578097</v>
      </c>
      <c r="P97" s="481">
        <v>16</v>
      </c>
      <c r="Q97" s="501">
        <v>4.5032029030648051</v>
      </c>
      <c r="R97" s="495">
        <v>24</v>
      </c>
      <c r="S97" s="496">
        <v>4.5</v>
      </c>
      <c r="T97" s="495">
        <v>24</v>
      </c>
      <c r="U97" s="496">
        <v>4.4000000000000004</v>
      </c>
      <c r="V97" s="495">
        <v>30</v>
      </c>
      <c r="W97" s="496">
        <v>5.5</v>
      </c>
      <c r="X97" s="41"/>
      <c r="Y97" s="41"/>
      <c r="Z97" s="41"/>
      <c r="AA97" s="41"/>
      <c r="AB97" s="41"/>
      <c r="AC97" s="41"/>
      <c r="AD97" s="41"/>
      <c r="AE97" s="41"/>
      <c r="AF97" s="41"/>
      <c r="AG97" s="29"/>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row>
    <row r="98" spans="3:63" ht="18.75" x14ac:dyDescent="0.4">
      <c r="C98" s="451" t="s">
        <v>1060</v>
      </c>
      <c r="D98" s="490">
        <v>15</v>
      </c>
      <c r="E98" s="443">
        <v>11.226368494319457</v>
      </c>
      <c r="F98" s="445">
        <v>8</v>
      </c>
      <c r="G98" s="486">
        <v>5.9131360316944095</v>
      </c>
      <c r="H98" s="445">
        <v>7</v>
      </c>
      <c r="I98" s="443">
        <v>5.1114291555919031</v>
      </c>
      <c r="J98" s="445">
        <v>15</v>
      </c>
      <c r="K98" s="486">
        <v>10.825478847014333</v>
      </c>
      <c r="L98" s="445">
        <v>12</v>
      </c>
      <c r="M98" s="486">
        <v>8.5634156610600094</v>
      </c>
      <c r="N98" s="445">
        <v>0</v>
      </c>
      <c r="O98" s="486">
        <v>0</v>
      </c>
      <c r="P98" s="491">
        <v>3</v>
      </c>
      <c r="Q98" s="486">
        <v>8.987459037927076</v>
      </c>
      <c r="R98" s="492">
        <v>13</v>
      </c>
      <c r="S98" s="493">
        <v>9</v>
      </c>
      <c r="T98" s="492">
        <v>7</v>
      </c>
      <c r="U98" s="493">
        <v>4.8</v>
      </c>
      <c r="V98" s="492">
        <v>7</v>
      </c>
      <c r="W98" s="493">
        <v>4.8</v>
      </c>
      <c r="X98" s="41"/>
      <c r="Y98" s="41"/>
      <c r="Z98" s="41"/>
      <c r="AA98" s="41"/>
      <c r="AB98" s="41"/>
      <c r="AC98" s="41"/>
      <c r="AD98" s="41"/>
      <c r="AE98" s="41"/>
      <c r="AF98" s="41"/>
      <c r="AG98" s="29"/>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row>
    <row r="99" spans="3:63" ht="18.75" x14ac:dyDescent="0.4">
      <c r="C99" s="451" t="s">
        <v>1061</v>
      </c>
      <c r="D99" s="490">
        <v>4</v>
      </c>
      <c r="E99" s="443">
        <v>9.278589654372535</v>
      </c>
      <c r="F99" s="445">
        <v>0</v>
      </c>
      <c r="G99" s="486">
        <v>0</v>
      </c>
      <c r="H99" s="445">
        <v>1</v>
      </c>
      <c r="I99" s="443">
        <v>2.2497693986366398</v>
      </c>
      <c r="J99" s="445">
        <v>0</v>
      </c>
      <c r="K99" s="486">
        <v>0</v>
      </c>
      <c r="L99" s="445">
        <v>1</v>
      </c>
      <c r="M99" s="486">
        <v>2.1857445738890955</v>
      </c>
      <c r="N99" s="445">
        <v>1</v>
      </c>
      <c r="O99" s="486">
        <v>2.1561017680034498</v>
      </c>
      <c r="P99" s="491">
        <v>0</v>
      </c>
      <c r="Q99" s="486">
        <v>0</v>
      </c>
      <c r="R99" s="492">
        <v>0</v>
      </c>
      <c r="S99" s="493">
        <v>0</v>
      </c>
      <c r="T99" s="492">
        <v>2</v>
      </c>
      <c r="U99" s="493">
        <v>4.2</v>
      </c>
      <c r="V99" s="492">
        <v>2</v>
      </c>
      <c r="W99" s="493">
        <v>4.0999999999999996</v>
      </c>
      <c r="X99" s="41"/>
      <c r="Y99" s="41"/>
      <c r="Z99" s="41"/>
      <c r="AA99" s="41"/>
      <c r="AB99" s="41"/>
      <c r="AC99" s="41"/>
      <c r="AD99" s="41"/>
      <c r="AE99" s="41"/>
      <c r="AF99" s="41"/>
      <c r="AG99" s="29"/>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row>
    <row r="100" spans="3:63" ht="18.75" x14ac:dyDescent="0.4">
      <c r="C100" s="451" t="s">
        <v>1062</v>
      </c>
      <c r="D100" s="490">
        <v>4</v>
      </c>
      <c r="E100" s="443">
        <v>8.665323541517731</v>
      </c>
      <c r="F100" s="445">
        <v>3</v>
      </c>
      <c r="G100" s="486">
        <v>6.422607578676943</v>
      </c>
      <c r="H100" s="445">
        <v>3</v>
      </c>
      <c r="I100" s="443">
        <v>6.3559322033898304</v>
      </c>
      <c r="J100" s="445">
        <v>2</v>
      </c>
      <c r="K100" s="486">
        <v>4.1953347877160603</v>
      </c>
      <c r="L100" s="445">
        <v>2</v>
      </c>
      <c r="M100" s="486">
        <v>4.1554124246831501</v>
      </c>
      <c r="N100" s="445">
        <v>1</v>
      </c>
      <c r="O100" s="486">
        <v>2.0584179000020586</v>
      </c>
      <c r="P100" s="491">
        <v>1</v>
      </c>
      <c r="Q100" s="486">
        <v>4.0435898991124324</v>
      </c>
      <c r="R100" s="492">
        <v>2</v>
      </c>
      <c r="S100" s="493">
        <v>4</v>
      </c>
      <c r="T100" s="492">
        <v>1</v>
      </c>
      <c r="U100" s="493">
        <v>2</v>
      </c>
      <c r="V100" s="492">
        <v>1</v>
      </c>
      <c r="W100" s="493">
        <v>2</v>
      </c>
      <c r="X100" s="41"/>
      <c r="Y100" s="41"/>
      <c r="Z100" s="41"/>
      <c r="AA100" s="41"/>
      <c r="AB100" s="41"/>
      <c r="AC100" s="41"/>
      <c r="AD100" s="41"/>
      <c r="AE100" s="41"/>
      <c r="AF100" s="41"/>
      <c r="AG100" s="29"/>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row>
    <row r="101" spans="3:63" ht="18.75" x14ac:dyDescent="0.4">
      <c r="C101" s="451" t="s">
        <v>1063</v>
      </c>
      <c r="D101" s="490">
        <v>1</v>
      </c>
      <c r="E101" s="443">
        <v>2.5490046136983509</v>
      </c>
      <c r="F101" s="445">
        <v>2</v>
      </c>
      <c r="G101" s="486">
        <v>5.0197023316517333</v>
      </c>
      <c r="H101" s="445">
        <v>2</v>
      </c>
      <c r="I101" s="443">
        <v>4.9441313161277565</v>
      </c>
      <c r="J101" s="445">
        <v>4</v>
      </c>
      <c r="K101" s="486">
        <v>9.7449265476161475</v>
      </c>
      <c r="L101" s="445">
        <v>1</v>
      </c>
      <c r="M101" s="486">
        <v>2.401710017532483</v>
      </c>
      <c r="N101" s="445">
        <v>1</v>
      </c>
      <c r="O101" s="486">
        <v>2.3692191053828657</v>
      </c>
      <c r="P101" s="491">
        <v>1</v>
      </c>
      <c r="Q101" s="486">
        <v>0</v>
      </c>
      <c r="R101" s="492">
        <v>0</v>
      </c>
      <c r="S101" s="493">
        <v>0</v>
      </c>
      <c r="T101" s="492">
        <v>2</v>
      </c>
      <c r="U101" s="493">
        <v>4.5999999999999996</v>
      </c>
      <c r="V101" s="492">
        <v>2</v>
      </c>
      <c r="W101" s="493">
        <v>4.5</v>
      </c>
      <c r="X101" s="41"/>
      <c r="Y101" s="41"/>
      <c r="Z101" s="41"/>
      <c r="AA101" s="41"/>
      <c r="AB101" s="41"/>
      <c r="AC101" s="41"/>
      <c r="AD101" s="41"/>
      <c r="AE101" s="41"/>
      <c r="AF101" s="41"/>
      <c r="AG101" s="29"/>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row>
    <row r="102" spans="3:63" ht="18.75" x14ac:dyDescent="0.4">
      <c r="C102" s="451" t="s">
        <v>1064</v>
      </c>
      <c r="D102" s="490">
        <v>1</v>
      </c>
      <c r="E102" s="443">
        <v>1.9597083953907657</v>
      </c>
      <c r="F102" s="445">
        <v>1</v>
      </c>
      <c r="G102" s="486">
        <v>1.9328900572135455</v>
      </c>
      <c r="H102" s="445">
        <v>3</v>
      </c>
      <c r="I102" s="443">
        <v>5.7173349595974994</v>
      </c>
      <c r="J102" s="445">
        <v>3</v>
      </c>
      <c r="K102" s="486">
        <v>5.6394157565276242</v>
      </c>
      <c r="L102" s="445">
        <v>2</v>
      </c>
      <c r="M102" s="486">
        <v>3.7105062985844417</v>
      </c>
      <c r="N102" s="445">
        <v>2</v>
      </c>
      <c r="O102" s="486">
        <v>3.6638760144356719</v>
      </c>
      <c r="P102" s="491">
        <v>1</v>
      </c>
      <c r="Q102" s="486">
        <v>0</v>
      </c>
      <c r="R102" s="492">
        <v>0</v>
      </c>
      <c r="S102" s="493">
        <v>0</v>
      </c>
      <c r="T102" s="492">
        <v>2</v>
      </c>
      <c r="U102" s="493">
        <v>3.5</v>
      </c>
      <c r="V102" s="492">
        <v>6</v>
      </c>
      <c r="W102" s="493">
        <v>10.5</v>
      </c>
      <c r="X102" s="41"/>
      <c r="Y102" s="41"/>
      <c r="Z102" s="41"/>
      <c r="AA102" s="41"/>
      <c r="AB102" s="41"/>
      <c r="AC102" s="41"/>
      <c r="AD102" s="41"/>
      <c r="AE102" s="41"/>
      <c r="AF102" s="41"/>
      <c r="AG102" s="29"/>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row>
    <row r="103" spans="3:63" ht="18.75" x14ac:dyDescent="0.4">
      <c r="C103" s="451" t="s">
        <v>1065</v>
      </c>
      <c r="D103" s="490">
        <v>3</v>
      </c>
      <c r="E103" s="443">
        <v>13.817243920412675</v>
      </c>
      <c r="F103" s="445">
        <v>4</v>
      </c>
      <c r="G103" s="486">
        <v>18.194223334091426</v>
      </c>
      <c r="H103" s="445">
        <v>0</v>
      </c>
      <c r="I103" s="443">
        <v>0</v>
      </c>
      <c r="J103" s="445">
        <v>3</v>
      </c>
      <c r="K103" s="486">
        <v>13.333333333333334</v>
      </c>
      <c r="L103" s="445">
        <v>2</v>
      </c>
      <c r="M103" s="486">
        <v>8.7896633558934703</v>
      </c>
      <c r="N103" s="445">
        <v>1</v>
      </c>
      <c r="O103" s="486">
        <v>4.3485823621499389</v>
      </c>
      <c r="P103" s="491">
        <v>1</v>
      </c>
      <c r="Q103" s="486">
        <v>0</v>
      </c>
      <c r="R103" s="492">
        <v>0</v>
      </c>
      <c r="S103" s="493">
        <v>0</v>
      </c>
      <c r="T103" s="492">
        <v>0</v>
      </c>
      <c r="U103" s="493">
        <v>0</v>
      </c>
      <c r="V103" s="492">
        <v>1</v>
      </c>
      <c r="W103" s="493">
        <v>4.2</v>
      </c>
      <c r="X103" s="41"/>
      <c r="Y103" s="41"/>
      <c r="Z103" s="41"/>
      <c r="AA103" s="41"/>
      <c r="AB103" s="41"/>
      <c r="AC103" s="41"/>
      <c r="AD103" s="41"/>
      <c r="AE103" s="41"/>
      <c r="AF103" s="41"/>
      <c r="AG103" s="29"/>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row>
    <row r="104" spans="3:63" ht="18.75" x14ac:dyDescent="0.4">
      <c r="C104" s="451" t="s">
        <v>1066</v>
      </c>
      <c r="D104" s="490">
        <v>0</v>
      </c>
      <c r="E104" s="443">
        <v>0</v>
      </c>
      <c r="F104" s="445">
        <v>1</v>
      </c>
      <c r="G104" s="486">
        <v>3.9531941808981657</v>
      </c>
      <c r="H104" s="445">
        <v>1</v>
      </c>
      <c r="I104" s="443">
        <v>3.9148136548700285</v>
      </c>
      <c r="J104" s="445">
        <v>1</v>
      </c>
      <c r="K104" s="486">
        <v>3.8785246092386454</v>
      </c>
      <c r="L104" s="445">
        <v>1</v>
      </c>
      <c r="M104" s="486">
        <v>3.843788437884379</v>
      </c>
      <c r="N104" s="445">
        <v>0</v>
      </c>
      <c r="O104" s="486">
        <v>0</v>
      </c>
      <c r="P104" s="491">
        <v>1</v>
      </c>
      <c r="Q104" s="486">
        <v>3.7506563648638513</v>
      </c>
      <c r="R104" s="492">
        <v>1</v>
      </c>
      <c r="S104" s="493">
        <v>3.8</v>
      </c>
      <c r="T104" s="492">
        <v>0</v>
      </c>
      <c r="U104" s="493">
        <v>0</v>
      </c>
      <c r="V104" s="492">
        <v>0</v>
      </c>
      <c r="W104" s="493">
        <v>0</v>
      </c>
      <c r="X104" s="41"/>
      <c r="Y104" s="41"/>
      <c r="Z104" s="41"/>
      <c r="AA104" s="41"/>
      <c r="AB104" s="41"/>
      <c r="AC104" s="41"/>
      <c r="AD104" s="41"/>
      <c r="AE104" s="41"/>
      <c r="AF104" s="41"/>
      <c r="AG104" s="29"/>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row>
    <row r="105" spans="3:63" ht="18.75" x14ac:dyDescent="0.4">
      <c r="C105" s="451" t="s">
        <v>1067</v>
      </c>
      <c r="D105" s="490">
        <v>0</v>
      </c>
      <c r="E105" s="443">
        <v>0</v>
      </c>
      <c r="F105" s="445">
        <v>0</v>
      </c>
      <c r="G105" s="486">
        <v>0</v>
      </c>
      <c r="H105" s="445">
        <v>0</v>
      </c>
      <c r="I105" s="443">
        <v>0</v>
      </c>
      <c r="J105" s="445">
        <v>0</v>
      </c>
      <c r="K105" s="486">
        <v>0</v>
      </c>
      <c r="L105" s="445">
        <v>0</v>
      </c>
      <c r="M105" s="486">
        <v>0</v>
      </c>
      <c r="N105" s="445">
        <v>2</v>
      </c>
      <c r="O105" s="486">
        <v>8.1290899483802797</v>
      </c>
      <c r="P105" s="491">
        <v>3</v>
      </c>
      <c r="Q105" s="486">
        <v>0</v>
      </c>
      <c r="R105" s="492">
        <v>0</v>
      </c>
      <c r="S105" s="493">
        <v>0</v>
      </c>
      <c r="T105" s="492">
        <v>1</v>
      </c>
      <c r="U105" s="493">
        <v>3.9</v>
      </c>
      <c r="V105" s="492">
        <v>1</v>
      </c>
      <c r="W105" s="493">
        <v>3.9</v>
      </c>
      <c r="X105" s="41"/>
      <c r="Y105" s="41"/>
      <c r="Z105" s="41"/>
      <c r="AA105" s="41"/>
      <c r="AB105" s="41"/>
      <c r="AC105" s="41"/>
      <c r="AD105" s="41"/>
      <c r="AE105" s="41"/>
      <c r="AF105" s="41"/>
      <c r="AG105" s="29"/>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row>
    <row r="106" spans="3:63" ht="18.75" x14ac:dyDescent="0.4">
      <c r="C106" s="451" t="s">
        <v>1068</v>
      </c>
      <c r="D106" s="490">
        <v>0</v>
      </c>
      <c r="E106" s="443">
        <v>0</v>
      </c>
      <c r="F106" s="445">
        <v>0</v>
      </c>
      <c r="G106" s="486">
        <v>0</v>
      </c>
      <c r="H106" s="445">
        <v>0</v>
      </c>
      <c r="I106" s="443">
        <v>0</v>
      </c>
      <c r="J106" s="445">
        <v>1</v>
      </c>
      <c r="K106" s="486">
        <v>3.2694696920159552</v>
      </c>
      <c r="L106" s="445">
        <v>1</v>
      </c>
      <c r="M106" s="486">
        <v>3.2469640885771804</v>
      </c>
      <c r="N106" s="445">
        <v>1</v>
      </c>
      <c r="O106" s="486">
        <v>3.2258064516129035</v>
      </c>
      <c r="P106" s="491">
        <v>0</v>
      </c>
      <c r="Q106" s="486">
        <v>3.1879622545269064</v>
      </c>
      <c r="R106" s="492">
        <v>1</v>
      </c>
      <c r="S106" s="493">
        <v>3.2</v>
      </c>
      <c r="T106" s="492">
        <v>4</v>
      </c>
      <c r="U106" s="493">
        <v>12.7</v>
      </c>
      <c r="V106" s="492">
        <v>2</v>
      </c>
      <c r="W106" s="493">
        <v>6.3</v>
      </c>
      <c r="X106" s="41"/>
      <c r="Y106" s="41"/>
      <c r="Z106" s="41"/>
      <c r="AA106" s="41"/>
      <c r="AB106" s="41"/>
      <c r="AC106" s="41"/>
      <c r="AD106" s="41"/>
      <c r="AE106" s="41"/>
      <c r="AF106" s="41"/>
      <c r="AG106" s="29"/>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row>
    <row r="107" spans="3:63" ht="18.75" x14ac:dyDescent="0.4">
      <c r="C107" s="451" t="s">
        <v>1069</v>
      </c>
      <c r="D107" s="490">
        <v>6</v>
      </c>
      <c r="E107" s="443">
        <v>8.5349720479665425</v>
      </c>
      <c r="F107" s="445">
        <v>6</v>
      </c>
      <c r="G107" s="486">
        <v>8.3081780165609693</v>
      </c>
      <c r="H107" s="445">
        <v>5</v>
      </c>
      <c r="I107" s="443">
        <v>6.7209721214076401</v>
      </c>
      <c r="J107" s="445">
        <v>10</v>
      </c>
      <c r="K107" s="486">
        <v>13.059774588290606</v>
      </c>
      <c r="L107" s="445">
        <v>9</v>
      </c>
      <c r="M107" s="486">
        <v>11.430168023469944</v>
      </c>
      <c r="N107" s="445">
        <v>7</v>
      </c>
      <c r="O107" s="486">
        <v>8.6531924099140873</v>
      </c>
      <c r="P107" s="491">
        <v>5</v>
      </c>
      <c r="Q107" s="486">
        <v>8.2014270483064049</v>
      </c>
      <c r="R107" s="492">
        <v>7</v>
      </c>
      <c r="S107" s="493">
        <v>8.1999999999999993</v>
      </c>
      <c r="T107" s="492">
        <v>5</v>
      </c>
      <c r="U107" s="493">
        <v>5.7</v>
      </c>
      <c r="V107" s="492">
        <v>8</v>
      </c>
      <c r="W107" s="493">
        <v>8.9</v>
      </c>
      <c r="X107" s="41"/>
      <c r="Y107" s="41"/>
      <c r="Z107" s="41"/>
      <c r="AA107" s="41"/>
      <c r="AB107" s="41"/>
      <c r="AC107" s="41"/>
      <c r="AD107" s="41"/>
      <c r="AE107" s="41"/>
      <c r="AF107" s="41"/>
      <c r="AG107" s="29"/>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row>
    <row r="108" spans="3:63" ht="6" customHeight="1" x14ac:dyDescent="0.4">
      <c r="C108" s="451"/>
      <c r="D108" s="445"/>
      <c r="E108" s="443"/>
      <c r="F108" s="445"/>
      <c r="G108" s="485"/>
      <c r="H108" s="445"/>
      <c r="I108" s="443"/>
      <c r="J108" s="445"/>
      <c r="K108" s="486"/>
      <c r="L108" s="445"/>
      <c r="M108" s="486"/>
      <c r="N108" s="445"/>
      <c r="O108" s="486"/>
      <c r="P108" s="445"/>
      <c r="Q108" s="486"/>
      <c r="R108" s="487"/>
      <c r="S108" s="488"/>
      <c r="T108" s="487"/>
      <c r="U108" s="488"/>
      <c r="V108" s="487"/>
      <c r="W108" s="488"/>
      <c r="X108" s="41"/>
      <c r="Y108" s="41"/>
      <c r="Z108" s="41"/>
      <c r="AA108" s="41"/>
      <c r="AB108" s="41"/>
      <c r="AC108" s="41"/>
      <c r="AD108" s="41"/>
      <c r="AE108" s="41"/>
      <c r="AF108" s="41"/>
      <c r="AG108" s="29"/>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row>
    <row r="109" spans="3:63" ht="18.75" x14ac:dyDescent="0.4">
      <c r="C109" s="476" t="s">
        <v>1070</v>
      </c>
      <c r="D109" s="479">
        <v>48</v>
      </c>
      <c r="E109" s="489">
        <v>13.338186951362857</v>
      </c>
      <c r="F109" s="500">
        <v>47</v>
      </c>
      <c r="G109" s="480">
        <v>12.857619644254285</v>
      </c>
      <c r="H109" s="479">
        <v>48</v>
      </c>
      <c r="I109" s="489">
        <v>12.924941097273646</v>
      </c>
      <c r="J109" s="479">
        <v>55</v>
      </c>
      <c r="K109" s="480">
        <v>14.583598489669511</v>
      </c>
      <c r="L109" s="479">
        <v>44</v>
      </c>
      <c r="M109" s="480">
        <v>11.493622345691589</v>
      </c>
      <c r="N109" s="479">
        <v>41</v>
      </c>
      <c r="O109" s="480">
        <v>10.556481035668032</v>
      </c>
      <c r="P109" s="481">
        <v>32</v>
      </c>
      <c r="Q109" s="501">
        <v>7.2607277252140037</v>
      </c>
      <c r="R109" s="495">
        <v>29</v>
      </c>
      <c r="S109" s="496">
        <v>7.3</v>
      </c>
      <c r="T109" s="495">
        <v>36</v>
      </c>
      <c r="U109" s="496">
        <v>8.9</v>
      </c>
      <c r="V109" s="495">
        <v>41</v>
      </c>
      <c r="W109" s="496">
        <v>10</v>
      </c>
      <c r="X109" s="41"/>
      <c r="Y109" s="41"/>
      <c r="Z109" s="41"/>
      <c r="AA109" s="41"/>
      <c r="AB109" s="41"/>
      <c r="AC109" s="41"/>
      <c r="AD109" s="41"/>
      <c r="AE109" s="41"/>
      <c r="AF109" s="41"/>
      <c r="AG109" s="29"/>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row>
    <row r="110" spans="3:63" ht="18.75" x14ac:dyDescent="0.4">
      <c r="C110" s="451" t="s">
        <v>1071</v>
      </c>
      <c r="D110" s="490">
        <v>18</v>
      </c>
      <c r="E110" s="443">
        <v>26.168496038380457</v>
      </c>
      <c r="F110" s="445">
        <v>20</v>
      </c>
      <c r="G110" s="486">
        <v>28.527414845666684</v>
      </c>
      <c r="H110" s="445">
        <v>17</v>
      </c>
      <c r="I110" s="443">
        <v>23.7669164522984</v>
      </c>
      <c r="J110" s="445">
        <v>13</v>
      </c>
      <c r="K110" s="486">
        <v>17.825556363038025</v>
      </c>
      <c r="L110" s="445">
        <v>20</v>
      </c>
      <c r="M110" s="486">
        <v>26.917900403768503</v>
      </c>
      <c r="N110" s="445">
        <v>11</v>
      </c>
      <c r="O110" s="486">
        <v>14.542570068746695</v>
      </c>
      <c r="P110" s="491">
        <v>17</v>
      </c>
      <c r="Q110" s="486">
        <v>12.769435080192052</v>
      </c>
      <c r="R110" s="492">
        <v>10</v>
      </c>
      <c r="S110" s="493">
        <v>12.8</v>
      </c>
      <c r="T110" s="492">
        <v>14</v>
      </c>
      <c r="U110" s="493">
        <v>17.600000000000001</v>
      </c>
      <c r="V110" s="492">
        <v>21</v>
      </c>
      <c r="W110" s="493">
        <v>26</v>
      </c>
      <c r="X110" s="41"/>
      <c r="Y110" s="41"/>
      <c r="Z110" s="41"/>
      <c r="AA110" s="41"/>
      <c r="AB110" s="41"/>
      <c r="AC110" s="41"/>
      <c r="AD110" s="41"/>
      <c r="AE110" s="41"/>
      <c r="AF110" s="41"/>
      <c r="AG110" s="29"/>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row>
    <row r="111" spans="3:63" ht="18.75" x14ac:dyDescent="0.4">
      <c r="C111" s="451" t="s">
        <v>1072</v>
      </c>
      <c r="D111" s="490">
        <v>4</v>
      </c>
      <c r="E111" s="443">
        <v>7.5171014056979626</v>
      </c>
      <c r="F111" s="445">
        <v>5</v>
      </c>
      <c r="G111" s="486">
        <v>9.2886733916662028</v>
      </c>
      <c r="H111" s="445">
        <v>3</v>
      </c>
      <c r="I111" s="443">
        <v>5.5151114052503862</v>
      </c>
      <c r="J111" s="445">
        <v>5</v>
      </c>
      <c r="K111" s="486">
        <v>9.0978565449979971</v>
      </c>
      <c r="L111" s="445">
        <v>2</v>
      </c>
      <c r="M111" s="486">
        <v>3.6028246144977665</v>
      </c>
      <c r="N111" s="445">
        <v>1</v>
      </c>
      <c r="O111" s="486">
        <v>1.7840258326940572</v>
      </c>
      <c r="P111" s="491">
        <v>3</v>
      </c>
      <c r="Q111" s="486">
        <v>7.0021881838074407</v>
      </c>
      <c r="R111" s="492">
        <v>4</v>
      </c>
      <c r="S111" s="493">
        <v>7</v>
      </c>
      <c r="T111" s="492">
        <v>1</v>
      </c>
      <c r="U111" s="493">
        <v>1.7</v>
      </c>
      <c r="V111" s="492">
        <v>3</v>
      </c>
      <c r="W111" s="493">
        <v>5.2</v>
      </c>
      <c r="X111" s="41"/>
      <c r="Y111" s="41"/>
      <c r="Z111" s="41"/>
      <c r="AA111" s="41"/>
      <c r="AB111" s="41"/>
      <c r="AC111" s="41"/>
      <c r="AD111" s="41"/>
      <c r="AE111" s="41"/>
      <c r="AF111" s="41"/>
      <c r="AG111" s="29"/>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row>
    <row r="112" spans="3:63" ht="18.75" x14ac:dyDescent="0.4">
      <c r="C112" s="451" t="s">
        <v>1073</v>
      </c>
      <c r="D112" s="490">
        <v>3</v>
      </c>
      <c r="E112" s="443">
        <v>4.8617638479240268</v>
      </c>
      <c r="F112" s="445">
        <v>8</v>
      </c>
      <c r="G112" s="486">
        <v>12.720218787763152</v>
      </c>
      <c r="H112" s="445">
        <v>3</v>
      </c>
      <c r="I112" s="443">
        <v>4.6788733273027852</v>
      </c>
      <c r="J112" s="445">
        <v>8</v>
      </c>
      <c r="K112" s="486">
        <v>12.242711760654986</v>
      </c>
      <c r="L112" s="445">
        <v>8</v>
      </c>
      <c r="M112" s="486">
        <v>12.019050194558377</v>
      </c>
      <c r="N112" s="445">
        <v>6</v>
      </c>
      <c r="O112" s="486">
        <v>8.8550429469582923</v>
      </c>
      <c r="P112" s="491">
        <v>5</v>
      </c>
      <c r="Q112" s="486">
        <v>5.7040998217468806</v>
      </c>
      <c r="R112" s="492">
        <v>4</v>
      </c>
      <c r="S112" s="493">
        <v>5.7</v>
      </c>
      <c r="T112" s="492">
        <v>8</v>
      </c>
      <c r="U112" s="493">
        <v>11.2</v>
      </c>
      <c r="V112" s="492">
        <v>6</v>
      </c>
      <c r="W112" s="493">
        <v>8.3000000000000007</v>
      </c>
      <c r="X112" s="41"/>
      <c r="Y112" s="41"/>
      <c r="Z112" s="41"/>
      <c r="AA112" s="41"/>
      <c r="AB112" s="41"/>
      <c r="AC112" s="41"/>
      <c r="AD112" s="41"/>
      <c r="AE112" s="41"/>
      <c r="AF112" s="41"/>
      <c r="AG112" s="29"/>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row>
    <row r="113" spans="3:63" ht="18.75" x14ac:dyDescent="0.4">
      <c r="C113" s="451" t="s">
        <v>1074</v>
      </c>
      <c r="D113" s="490">
        <v>1</v>
      </c>
      <c r="E113" s="443">
        <v>4.5587162654996352</v>
      </c>
      <c r="F113" s="445">
        <v>1</v>
      </c>
      <c r="G113" s="486">
        <v>4.4841038518452088</v>
      </c>
      <c r="H113" s="445">
        <v>9</v>
      </c>
      <c r="I113" s="443">
        <v>39.686039333274543</v>
      </c>
      <c r="J113" s="445">
        <v>2</v>
      </c>
      <c r="K113" s="486">
        <v>8.6779190350154032</v>
      </c>
      <c r="L113" s="445">
        <v>2</v>
      </c>
      <c r="M113" s="486">
        <v>8.5400742986463989</v>
      </c>
      <c r="N113" s="445">
        <v>4</v>
      </c>
      <c r="O113" s="486">
        <v>16.825103053756205</v>
      </c>
      <c r="P113" s="491">
        <v>1</v>
      </c>
      <c r="Q113" s="486">
        <v>4.0826324814240218</v>
      </c>
      <c r="R113" s="492">
        <v>1</v>
      </c>
      <c r="S113" s="493">
        <v>4.0999999999999996</v>
      </c>
      <c r="T113" s="492">
        <v>1</v>
      </c>
      <c r="U113" s="493">
        <v>4</v>
      </c>
      <c r="V113" s="492">
        <v>2</v>
      </c>
      <c r="W113" s="493">
        <v>7.9</v>
      </c>
      <c r="X113" s="41"/>
      <c r="Y113" s="41"/>
      <c r="Z113" s="41"/>
      <c r="AA113" s="41"/>
      <c r="AB113" s="41"/>
      <c r="AC113" s="41"/>
      <c r="AD113" s="41"/>
      <c r="AE113" s="41"/>
      <c r="AF113" s="41"/>
      <c r="AG113" s="29"/>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row>
    <row r="114" spans="3:63" ht="18.75" x14ac:dyDescent="0.4">
      <c r="C114" s="451" t="s">
        <v>1075</v>
      </c>
      <c r="D114" s="490">
        <v>8</v>
      </c>
      <c r="E114" s="443">
        <v>19.724838502884758</v>
      </c>
      <c r="F114" s="445">
        <v>6</v>
      </c>
      <c r="G114" s="486">
        <v>14.49625513409036</v>
      </c>
      <c r="H114" s="445">
        <v>3</v>
      </c>
      <c r="I114" s="443">
        <v>7.0880094506792677</v>
      </c>
      <c r="J114" s="445">
        <v>15</v>
      </c>
      <c r="K114" s="486">
        <v>34.681279045571202</v>
      </c>
      <c r="L114" s="445">
        <v>7</v>
      </c>
      <c r="M114" s="486">
        <v>15.852526213284417</v>
      </c>
      <c r="N114" s="445">
        <v>9</v>
      </c>
      <c r="O114" s="486">
        <v>19.979132905631896</v>
      </c>
      <c r="P114" s="491">
        <v>2</v>
      </c>
      <c r="Q114" s="486">
        <v>4.268487888165617</v>
      </c>
      <c r="R114" s="492">
        <v>2</v>
      </c>
      <c r="S114" s="493">
        <v>4.3</v>
      </c>
      <c r="T114" s="492">
        <v>3</v>
      </c>
      <c r="U114" s="493">
        <v>6.3</v>
      </c>
      <c r="V114" s="492">
        <v>2</v>
      </c>
      <c r="W114" s="493">
        <v>4.0999999999999996</v>
      </c>
      <c r="X114" s="41"/>
      <c r="Y114" s="41"/>
      <c r="Z114" s="41"/>
      <c r="AA114" s="41"/>
      <c r="AB114" s="41"/>
      <c r="AC114" s="41"/>
      <c r="AD114" s="41"/>
      <c r="AE114" s="41"/>
      <c r="AF114" s="41"/>
      <c r="AG114" s="29"/>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row>
    <row r="115" spans="3:63" ht="18.75" x14ac:dyDescent="0.4">
      <c r="C115" s="451" t="s">
        <v>1076</v>
      </c>
      <c r="D115" s="490">
        <v>2</v>
      </c>
      <c r="E115" s="443">
        <v>6.5757027782344242</v>
      </c>
      <c r="F115" s="445">
        <v>2</v>
      </c>
      <c r="G115" s="486">
        <v>6.4949826259214749</v>
      </c>
      <c r="H115" s="445">
        <v>5</v>
      </c>
      <c r="I115" s="443">
        <v>16.035920461834507</v>
      </c>
      <c r="J115" s="445">
        <v>3</v>
      </c>
      <c r="K115" s="486">
        <v>9.5023914351778522</v>
      </c>
      <c r="L115" s="445">
        <v>2</v>
      </c>
      <c r="M115" s="486">
        <v>6.2593890836254378</v>
      </c>
      <c r="N115" s="445">
        <v>5</v>
      </c>
      <c r="O115" s="486">
        <v>15.467904098994586</v>
      </c>
      <c r="P115" s="491">
        <v>1</v>
      </c>
      <c r="Q115" s="486">
        <v>6.0529023666848252</v>
      </c>
      <c r="R115" s="492">
        <v>2</v>
      </c>
      <c r="S115" s="493">
        <v>6.1</v>
      </c>
      <c r="T115" s="492">
        <v>4</v>
      </c>
      <c r="U115" s="493">
        <v>12</v>
      </c>
      <c r="V115" s="492">
        <v>3</v>
      </c>
      <c r="W115" s="493">
        <v>8.9</v>
      </c>
      <c r="X115" s="41"/>
      <c r="Y115" s="41"/>
      <c r="Z115" s="41"/>
      <c r="AA115" s="41"/>
      <c r="AB115" s="41"/>
      <c r="AC115" s="41"/>
      <c r="AD115" s="41"/>
      <c r="AE115" s="41"/>
      <c r="AF115" s="41"/>
      <c r="AG115" s="29"/>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row>
    <row r="116" spans="3:63" ht="18.75" x14ac:dyDescent="0.4">
      <c r="C116" s="451" t="s">
        <v>1077</v>
      </c>
      <c r="D116" s="490">
        <v>2</v>
      </c>
      <c r="E116" s="443">
        <v>10.48163094177454</v>
      </c>
      <c r="F116" s="445">
        <v>1</v>
      </c>
      <c r="G116" s="486">
        <v>5.1904910204505343</v>
      </c>
      <c r="H116" s="445">
        <v>2</v>
      </c>
      <c r="I116" s="443">
        <v>10.293890575943179</v>
      </c>
      <c r="J116" s="445">
        <v>4</v>
      </c>
      <c r="K116" s="486">
        <v>20.42796588529697</v>
      </c>
      <c r="L116" s="445">
        <v>1</v>
      </c>
      <c r="M116" s="486">
        <v>5.0676531698170582</v>
      </c>
      <c r="N116" s="445">
        <v>1</v>
      </c>
      <c r="O116" s="486">
        <v>5.0309402827388441</v>
      </c>
      <c r="P116" s="491">
        <v>2</v>
      </c>
      <c r="Q116" s="486">
        <v>0</v>
      </c>
      <c r="R116" s="492">
        <v>0</v>
      </c>
      <c r="S116" s="493">
        <v>0</v>
      </c>
      <c r="T116" s="492">
        <v>3</v>
      </c>
      <c r="U116" s="493">
        <v>14.8</v>
      </c>
      <c r="V116" s="492">
        <v>1</v>
      </c>
      <c r="W116" s="493">
        <v>4.9000000000000004</v>
      </c>
      <c r="X116" s="41"/>
      <c r="Y116" s="41"/>
      <c r="Z116" s="41"/>
      <c r="AA116" s="41"/>
      <c r="AB116" s="41"/>
      <c r="AC116" s="41"/>
      <c r="AD116" s="41"/>
      <c r="AE116" s="41"/>
      <c r="AF116" s="41"/>
      <c r="AG116" s="29"/>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row>
    <row r="117" spans="3:63" ht="18.75" x14ac:dyDescent="0.4">
      <c r="C117" s="451" t="s">
        <v>1078</v>
      </c>
      <c r="D117" s="490">
        <v>2</v>
      </c>
      <c r="E117" s="443">
        <v>9.5771680314131107</v>
      </c>
      <c r="F117" s="445">
        <v>0</v>
      </c>
      <c r="G117" s="486">
        <v>0</v>
      </c>
      <c r="H117" s="445">
        <v>0</v>
      </c>
      <c r="I117" s="443">
        <v>0</v>
      </c>
      <c r="J117" s="445">
        <v>0</v>
      </c>
      <c r="K117" s="486">
        <v>0</v>
      </c>
      <c r="L117" s="445">
        <v>0</v>
      </c>
      <c r="M117" s="486">
        <v>0</v>
      </c>
      <c r="N117" s="445">
        <v>1</v>
      </c>
      <c r="O117" s="486">
        <v>4.6255608492529721</v>
      </c>
      <c r="P117" s="491">
        <v>0</v>
      </c>
      <c r="Q117" s="486">
        <v>9.1478754059369702</v>
      </c>
      <c r="R117" s="492">
        <v>2</v>
      </c>
      <c r="S117" s="493">
        <v>9.1</v>
      </c>
      <c r="T117" s="492">
        <v>0</v>
      </c>
      <c r="U117" s="493">
        <v>0</v>
      </c>
      <c r="V117" s="492">
        <v>0</v>
      </c>
      <c r="W117" s="493">
        <v>0</v>
      </c>
      <c r="X117" s="41"/>
      <c r="Y117" s="41"/>
      <c r="Z117" s="41"/>
      <c r="AA117" s="41"/>
      <c r="AB117" s="41"/>
      <c r="AC117" s="41"/>
      <c r="AD117" s="41"/>
      <c r="AE117" s="41"/>
      <c r="AF117" s="41"/>
      <c r="AG117" s="29"/>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row>
    <row r="118" spans="3:63" ht="18.75" x14ac:dyDescent="0.4">
      <c r="C118" s="451" t="s">
        <v>1079</v>
      </c>
      <c r="D118" s="490">
        <v>0</v>
      </c>
      <c r="E118" s="443">
        <v>0</v>
      </c>
      <c r="F118" s="445">
        <v>0</v>
      </c>
      <c r="G118" s="486">
        <v>0</v>
      </c>
      <c r="H118" s="445">
        <v>1</v>
      </c>
      <c r="I118" s="443">
        <v>8.5925416738271192</v>
      </c>
      <c r="J118" s="445">
        <v>0</v>
      </c>
      <c r="K118" s="486">
        <v>0</v>
      </c>
      <c r="L118" s="445">
        <v>1</v>
      </c>
      <c r="M118" s="486">
        <v>8.5375224109963277</v>
      </c>
      <c r="N118" s="445">
        <v>3</v>
      </c>
      <c r="O118" s="486">
        <v>25.531914893617021</v>
      </c>
      <c r="P118" s="491">
        <v>1</v>
      </c>
      <c r="Q118" s="486">
        <v>0</v>
      </c>
      <c r="R118" s="492">
        <v>0</v>
      </c>
      <c r="S118" s="493">
        <v>0</v>
      </c>
      <c r="T118" s="492">
        <v>1</v>
      </c>
      <c r="U118" s="493">
        <v>8.4</v>
      </c>
      <c r="V118" s="492">
        <v>1</v>
      </c>
      <c r="W118" s="493">
        <v>8.4</v>
      </c>
      <c r="X118" s="41"/>
      <c r="Y118" s="41"/>
      <c r="Z118" s="41"/>
      <c r="AA118" s="41"/>
      <c r="AB118" s="41"/>
      <c r="AC118" s="41"/>
      <c r="AD118" s="41"/>
      <c r="AE118" s="41"/>
      <c r="AF118" s="41"/>
      <c r="AG118" s="29"/>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row>
    <row r="119" spans="3:63" ht="18.75" x14ac:dyDescent="0.4">
      <c r="C119" s="451" t="s">
        <v>1080</v>
      </c>
      <c r="D119" s="490">
        <v>3</v>
      </c>
      <c r="E119" s="443">
        <v>12.456919818959431</v>
      </c>
      <c r="F119" s="445">
        <v>4</v>
      </c>
      <c r="G119" s="486">
        <v>16.28332994097293</v>
      </c>
      <c r="H119" s="445">
        <v>4</v>
      </c>
      <c r="I119" s="443">
        <v>15.946420028703555</v>
      </c>
      <c r="J119" s="445">
        <v>4</v>
      </c>
      <c r="K119" s="486">
        <v>15.63293860163364</v>
      </c>
      <c r="L119" s="445">
        <v>1</v>
      </c>
      <c r="M119" s="486">
        <v>3.8318580679771621</v>
      </c>
      <c r="N119" s="445">
        <v>0</v>
      </c>
      <c r="O119" s="486">
        <v>0</v>
      </c>
      <c r="P119" s="491">
        <v>0</v>
      </c>
      <c r="Q119" s="486">
        <v>14.502737391682681</v>
      </c>
      <c r="R119" s="492">
        <v>4</v>
      </c>
      <c r="S119" s="493">
        <v>14.5</v>
      </c>
      <c r="T119" s="492">
        <v>1</v>
      </c>
      <c r="U119" s="493">
        <v>3.6</v>
      </c>
      <c r="V119" s="492">
        <v>1</v>
      </c>
      <c r="W119" s="493">
        <v>3.5</v>
      </c>
      <c r="X119" s="41"/>
      <c r="Y119" s="41"/>
      <c r="Z119" s="41"/>
      <c r="AA119" s="41"/>
      <c r="AB119" s="41"/>
      <c r="AC119" s="41"/>
      <c r="AD119" s="41"/>
      <c r="AE119" s="41"/>
      <c r="AF119" s="41"/>
      <c r="AG119" s="29"/>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row>
    <row r="120" spans="3:63" ht="18.75" x14ac:dyDescent="0.4">
      <c r="C120" s="451" t="s">
        <v>1081</v>
      </c>
      <c r="D120" s="490">
        <v>5</v>
      </c>
      <c r="E120" s="443">
        <v>65.061808718282379</v>
      </c>
      <c r="F120" s="445">
        <v>0</v>
      </c>
      <c r="G120" s="486">
        <v>0</v>
      </c>
      <c r="H120" s="445">
        <v>1</v>
      </c>
      <c r="I120" s="443">
        <v>12.807377049180328</v>
      </c>
      <c r="J120" s="445">
        <v>1</v>
      </c>
      <c r="K120" s="486">
        <v>12.73074474856779</v>
      </c>
      <c r="L120" s="445">
        <v>0</v>
      </c>
      <c r="M120" s="486">
        <v>0</v>
      </c>
      <c r="N120" s="445">
        <v>0</v>
      </c>
      <c r="O120" s="486">
        <v>0</v>
      </c>
      <c r="P120" s="491">
        <v>0</v>
      </c>
      <c r="Q120" s="486">
        <v>0</v>
      </c>
      <c r="R120" s="492">
        <v>0</v>
      </c>
      <c r="S120" s="493">
        <v>0</v>
      </c>
      <c r="T120" s="492">
        <v>0</v>
      </c>
      <c r="U120" s="493">
        <v>0</v>
      </c>
      <c r="V120" s="492">
        <v>1</v>
      </c>
      <c r="W120" s="493">
        <v>12.3</v>
      </c>
      <c r="X120" s="41"/>
      <c r="Y120" s="41"/>
      <c r="Z120" s="41"/>
      <c r="AA120" s="41"/>
      <c r="AB120" s="41"/>
      <c r="AC120" s="41"/>
      <c r="AD120" s="41"/>
      <c r="AE120" s="41"/>
      <c r="AF120" s="41"/>
      <c r="AG120" s="29"/>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row>
    <row r="121" spans="3:63" ht="6" customHeight="1" x14ac:dyDescent="0.4">
      <c r="C121" s="451"/>
      <c r="D121" s="451"/>
      <c r="E121" s="443"/>
      <c r="F121" s="451"/>
      <c r="G121" s="485"/>
      <c r="H121" s="451"/>
      <c r="I121" s="443"/>
      <c r="J121" s="451"/>
      <c r="K121" s="486"/>
      <c r="L121" s="451"/>
      <c r="M121" s="486"/>
      <c r="N121" s="451"/>
      <c r="O121" s="486"/>
      <c r="P121" s="451"/>
      <c r="Q121" s="486"/>
      <c r="R121" s="492"/>
      <c r="S121" s="493"/>
      <c r="T121" s="492"/>
      <c r="U121" s="492"/>
      <c r="V121" s="492"/>
      <c r="W121" s="493"/>
      <c r="X121" s="41"/>
      <c r="Y121" s="41"/>
      <c r="Z121" s="41"/>
      <c r="AA121" s="41"/>
      <c r="AB121" s="41"/>
      <c r="AC121" s="41"/>
      <c r="AD121" s="41"/>
      <c r="AE121" s="41"/>
      <c r="AF121" s="41"/>
      <c r="AG121" s="29"/>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row>
    <row r="122" spans="3:63" ht="18.75" x14ac:dyDescent="0.4">
      <c r="C122" s="476" t="s">
        <v>1082</v>
      </c>
      <c r="D122" s="479">
        <v>55</v>
      </c>
      <c r="E122" s="489">
        <v>11.913245579644379</v>
      </c>
      <c r="F122" s="479">
        <v>46</v>
      </c>
      <c r="G122" s="480">
        <v>9.8298369742907035</v>
      </c>
      <c r="H122" s="479">
        <v>42</v>
      </c>
      <c r="I122" s="489">
        <v>8.8558644799709878</v>
      </c>
      <c r="J122" s="479">
        <v>38</v>
      </c>
      <c r="K122" s="480">
        <v>7.9076387790605729</v>
      </c>
      <c r="L122" s="479">
        <v>42</v>
      </c>
      <c r="M122" s="480">
        <v>8.6284290301440336</v>
      </c>
      <c r="N122" s="479">
        <v>54</v>
      </c>
      <c r="O122" s="480">
        <v>10.957125175009638</v>
      </c>
      <c r="P122" s="481">
        <v>42</v>
      </c>
      <c r="Q122" s="501">
        <v>6.5383304670349256</v>
      </c>
      <c r="R122" s="495">
        <v>33</v>
      </c>
      <c r="S122" s="496">
        <v>6.5</v>
      </c>
      <c r="T122" s="495">
        <v>38</v>
      </c>
      <c r="U122" s="495">
        <v>7.4</v>
      </c>
      <c r="V122" s="495">
        <v>40</v>
      </c>
      <c r="W122" s="496">
        <v>7.7</v>
      </c>
      <c r="X122" s="41"/>
      <c r="Y122" s="41"/>
      <c r="Z122" s="41"/>
      <c r="AA122" s="41"/>
      <c r="AB122" s="41"/>
      <c r="AC122" s="41"/>
      <c r="AD122" s="41"/>
      <c r="AE122" s="41"/>
      <c r="AF122" s="41"/>
      <c r="AG122" s="29"/>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row>
    <row r="123" spans="3:63" ht="18.75" x14ac:dyDescent="0.4">
      <c r="C123" s="451" t="s">
        <v>1083</v>
      </c>
      <c r="D123" s="490">
        <v>26</v>
      </c>
      <c r="E123" s="443">
        <v>20.233305577388503</v>
      </c>
      <c r="F123" s="445">
        <v>23</v>
      </c>
      <c r="G123" s="486">
        <v>17.629654612070947</v>
      </c>
      <c r="H123" s="445">
        <v>20</v>
      </c>
      <c r="I123" s="443">
        <v>15.101177891875567</v>
      </c>
      <c r="J123" s="445">
        <v>18</v>
      </c>
      <c r="K123" s="486">
        <v>13.392857142857144</v>
      </c>
      <c r="L123" s="445">
        <v>14</v>
      </c>
      <c r="M123" s="486">
        <v>10.269350390235315</v>
      </c>
      <c r="N123" s="445">
        <v>17</v>
      </c>
      <c r="O123" s="486">
        <v>12.299055143175471</v>
      </c>
      <c r="P123" s="491">
        <v>17</v>
      </c>
      <c r="Q123" s="486">
        <v>8.4501091472431522</v>
      </c>
      <c r="R123" s="492">
        <v>12</v>
      </c>
      <c r="S123" s="493">
        <v>8.5</v>
      </c>
      <c r="T123" s="492">
        <v>15</v>
      </c>
      <c r="U123" s="493">
        <v>10.4</v>
      </c>
      <c r="V123" s="492">
        <v>12</v>
      </c>
      <c r="W123" s="493">
        <v>8.1999999999999993</v>
      </c>
      <c r="X123" s="41"/>
      <c r="Y123" s="41"/>
      <c r="Z123" s="41"/>
      <c r="AA123" s="41"/>
      <c r="AB123" s="41"/>
      <c r="AC123" s="41"/>
      <c r="AD123" s="41"/>
      <c r="AE123" s="41"/>
      <c r="AF123" s="41"/>
      <c r="AG123" s="29"/>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row>
    <row r="124" spans="3:63" ht="18.75" x14ac:dyDescent="0.4">
      <c r="C124" s="451" t="s">
        <v>1084</v>
      </c>
      <c r="D124" s="490">
        <v>7</v>
      </c>
      <c r="E124" s="443">
        <v>20.079169296081691</v>
      </c>
      <c r="F124" s="445">
        <v>1</v>
      </c>
      <c r="G124" s="486">
        <v>2.8223075186272295</v>
      </c>
      <c r="H124" s="445">
        <v>0</v>
      </c>
      <c r="I124" s="443">
        <v>0</v>
      </c>
      <c r="J124" s="445">
        <v>4</v>
      </c>
      <c r="K124" s="486">
        <v>10.944810791583441</v>
      </c>
      <c r="L124" s="445">
        <v>5</v>
      </c>
      <c r="M124" s="486">
        <v>13.473820367026866</v>
      </c>
      <c r="N124" s="445">
        <v>5</v>
      </c>
      <c r="O124" s="486">
        <v>13.28127075198555</v>
      </c>
      <c r="P124" s="491">
        <v>0</v>
      </c>
      <c r="Q124" s="486">
        <v>7.7491346799607372</v>
      </c>
      <c r="R124" s="492">
        <v>3</v>
      </c>
      <c r="S124" s="493">
        <v>7.7</v>
      </c>
      <c r="T124" s="492">
        <v>4</v>
      </c>
      <c r="U124" s="493">
        <v>10.199999999999999</v>
      </c>
      <c r="V124" s="492">
        <v>4</v>
      </c>
      <c r="W124" s="493">
        <v>10.1</v>
      </c>
      <c r="X124" s="41"/>
      <c r="Y124" s="41"/>
      <c r="Z124" s="41"/>
      <c r="AA124" s="41"/>
      <c r="AB124" s="41"/>
      <c r="AC124" s="41"/>
      <c r="AD124" s="41"/>
      <c r="AE124" s="41"/>
      <c r="AF124" s="41"/>
      <c r="AG124" s="29"/>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row>
    <row r="125" spans="3:63" ht="18.75" x14ac:dyDescent="0.4">
      <c r="C125" s="451" t="s">
        <v>1085</v>
      </c>
      <c r="D125" s="490">
        <v>2</v>
      </c>
      <c r="E125" s="443">
        <v>4.0488288762475451</v>
      </c>
      <c r="F125" s="445">
        <v>0</v>
      </c>
      <c r="G125" s="486">
        <v>0</v>
      </c>
      <c r="H125" s="445">
        <v>1</v>
      </c>
      <c r="I125" s="443">
        <v>1.9708705335146532</v>
      </c>
      <c r="J125" s="445">
        <v>3</v>
      </c>
      <c r="K125" s="486">
        <v>5.832377471469953</v>
      </c>
      <c r="L125" s="445">
        <v>0</v>
      </c>
      <c r="M125" s="486">
        <v>0</v>
      </c>
      <c r="N125" s="445">
        <v>3</v>
      </c>
      <c r="O125" s="486">
        <v>5.6835404668081235</v>
      </c>
      <c r="P125" s="491">
        <v>4</v>
      </c>
      <c r="Q125" s="486">
        <v>3.69610615216869</v>
      </c>
      <c r="R125" s="492">
        <v>2</v>
      </c>
      <c r="S125" s="493">
        <v>3.7</v>
      </c>
      <c r="T125" s="492">
        <v>3</v>
      </c>
      <c r="U125" s="493">
        <v>5.5</v>
      </c>
      <c r="V125" s="492">
        <v>3</v>
      </c>
      <c r="W125" s="493">
        <v>5.4</v>
      </c>
      <c r="X125" s="41"/>
      <c r="Y125" s="41"/>
      <c r="Z125" s="41"/>
      <c r="AA125" s="41"/>
      <c r="AB125" s="41"/>
      <c r="AC125" s="41"/>
      <c r="AD125" s="41"/>
      <c r="AE125" s="41"/>
      <c r="AF125" s="41"/>
      <c r="AG125" s="29"/>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row>
    <row r="126" spans="3:63" ht="18.75" x14ac:dyDescent="0.4">
      <c r="C126" s="451" t="s">
        <v>1086</v>
      </c>
      <c r="D126" s="490">
        <v>0</v>
      </c>
      <c r="E126" s="443">
        <v>0</v>
      </c>
      <c r="F126" s="445">
        <v>1</v>
      </c>
      <c r="G126" s="486">
        <v>7.3632280391723732</v>
      </c>
      <c r="H126" s="445">
        <v>0</v>
      </c>
      <c r="I126" s="443">
        <v>0</v>
      </c>
      <c r="J126" s="445">
        <v>1</v>
      </c>
      <c r="K126" s="486">
        <v>7.2009793331893137</v>
      </c>
      <c r="L126" s="445">
        <v>1</v>
      </c>
      <c r="M126" s="486">
        <v>7.128599942971201</v>
      </c>
      <c r="N126" s="445">
        <v>1</v>
      </c>
      <c r="O126" s="486">
        <v>7.0536784933342735</v>
      </c>
      <c r="P126" s="491">
        <v>0</v>
      </c>
      <c r="Q126" s="486">
        <v>6.9175428887659098</v>
      </c>
      <c r="R126" s="492">
        <v>1</v>
      </c>
      <c r="S126" s="493">
        <v>6.9</v>
      </c>
      <c r="T126" s="492">
        <v>1</v>
      </c>
      <c r="U126" s="493">
        <v>6.9</v>
      </c>
      <c r="V126" s="492">
        <v>0</v>
      </c>
      <c r="W126" s="493">
        <v>0</v>
      </c>
      <c r="X126" s="41"/>
      <c r="Y126" s="41"/>
      <c r="Z126" s="41"/>
      <c r="AA126" s="41"/>
      <c r="AB126" s="41"/>
      <c r="AC126" s="41"/>
      <c r="AD126" s="41"/>
      <c r="AE126" s="41"/>
      <c r="AF126" s="41"/>
      <c r="AG126" s="29"/>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row>
    <row r="127" spans="3:63" ht="18.75" x14ac:dyDescent="0.4">
      <c r="C127" s="451" t="s">
        <v>1087</v>
      </c>
      <c r="D127" s="490">
        <v>2</v>
      </c>
      <c r="E127" s="443">
        <v>6.6469473894114124</v>
      </c>
      <c r="F127" s="445">
        <v>3</v>
      </c>
      <c r="G127" s="486">
        <v>9.9036049121880367</v>
      </c>
      <c r="H127" s="445">
        <v>4</v>
      </c>
      <c r="I127" s="443">
        <v>13.126804935678656</v>
      </c>
      <c r="J127" s="445">
        <v>3</v>
      </c>
      <c r="K127" s="486">
        <v>9.7888863510294648</v>
      </c>
      <c r="L127" s="445">
        <v>3</v>
      </c>
      <c r="M127" s="486">
        <v>9.7345707054318904</v>
      </c>
      <c r="N127" s="445">
        <v>1</v>
      </c>
      <c r="O127" s="486">
        <v>3.2277847713114491</v>
      </c>
      <c r="P127" s="491">
        <v>3</v>
      </c>
      <c r="Q127" s="486">
        <v>6.3959066197633518</v>
      </c>
      <c r="R127" s="492">
        <v>2</v>
      </c>
      <c r="S127" s="493">
        <v>6.4</v>
      </c>
      <c r="T127" s="492">
        <v>2</v>
      </c>
      <c r="U127" s="493">
        <v>6.4</v>
      </c>
      <c r="V127" s="492">
        <v>3</v>
      </c>
      <c r="W127" s="493">
        <v>9.5</v>
      </c>
      <c r="X127" s="41"/>
      <c r="Y127" s="41"/>
      <c r="Z127" s="41"/>
      <c r="AA127" s="41"/>
      <c r="AB127" s="41"/>
      <c r="AC127" s="41"/>
      <c r="AD127" s="41"/>
      <c r="AE127" s="41"/>
      <c r="AF127" s="41"/>
      <c r="AG127" s="29"/>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row>
    <row r="128" spans="3:63" ht="18.75" x14ac:dyDescent="0.4">
      <c r="C128" s="451" t="s">
        <v>1088</v>
      </c>
      <c r="D128" s="490">
        <v>3</v>
      </c>
      <c r="E128" s="443">
        <v>9.9674396969898336</v>
      </c>
      <c r="F128" s="445">
        <v>1</v>
      </c>
      <c r="G128" s="486">
        <v>3.2655193808575254</v>
      </c>
      <c r="H128" s="445">
        <v>5</v>
      </c>
      <c r="I128" s="443">
        <v>16.060129123438152</v>
      </c>
      <c r="J128" s="445">
        <v>0</v>
      </c>
      <c r="K128" s="486">
        <v>0</v>
      </c>
      <c r="L128" s="445">
        <v>5</v>
      </c>
      <c r="M128" s="486">
        <v>15.566140531116714</v>
      </c>
      <c r="N128" s="445">
        <v>7</v>
      </c>
      <c r="O128" s="486">
        <v>21.471733995889696</v>
      </c>
      <c r="P128" s="491">
        <v>3</v>
      </c>
      <c r="Q128" s="486">
        <v>8.9424108739716228</v>
      </c>
      <c r="R128" s="492">
        <v>3</v>
      </c>
      <c r="S128" s="493">
        <v>8.9</v>
      </c>
      <c r="T128" s="492">
        <v>2</v>
      </c>
      <c r="U128" s="493">
        <v>5.9</v>
      </c>
      <c r="V128" s="492">
        <v>4</v>
      </c>
      <c r="W128" s="493">
        <v>11.6</v>
      </c>
      <c r="X128" s="41"/>
      <c r="Y128" s="41"/>
      <c r="Z128" s="41"/>
      <c r="AA128" s="41"/>
      <c r="AB128" s="41"/>
      <c r="AC128" s="41"/>
      <c r="AD128" s="41"/>
      <c r="AE128" s="41"/>
      <c r="AF128" s="41"/>
      <c r="AG128" s="29"/>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row>
    <row r="129" spans="3:63" ht="18.75" x14ac:dyDescent="0.4">
      <c r="C129" s="451" t="s">
        <v>1089</v>
      </c>
      <c r="D129" s="490">
        <v>5</v>
      </c>
      <c r="E129" s="443">
        <v>11.760278483394487</v>
      </c>
      <c r="F129" s="445">
        <v>5</v>
      </c>
      <c r="G129" s="486">
        <v>11.626825411589619</v>
      </c>
      <c r="H129" s="445">
        <v>4</v>
      </c>
      <c r="I129" s="443">
        <v>9.1888539201948038</v>
      </c>
      <c r="J129" s="445">
        <v>2</v>
      </c>
      <c r="K129" s="486">
        <v>4.5397798206786968</v>
      </c>
      <c r="L129" s="445">
        <v>4</v>
      </c>
      <c r="M129" s="486">
        <v>8.9742439199497444</v>
      </c>
      <c r="N129" s="445">
        <v>8</v>
      </c>
      <c r="O129" s="486">
        <v>17.745441639678809</v>
      </c>
      <c r="P129" s="491">
        <v>5</v>
      </c>
      <c r="Q129" s="486">
        <v>8.6867765543900788</v>
      </c>
      <c r="R129" s="492">
        <v>4</v>
      </c>
      <c r="S129" s="493">
        <v>8.6999999999999993</v>
      </c>
      <c r="T129" s="492">
        <v>3</v>
      </c>
      <c r="U129" s="493">
        <v>6.4</v>
      </c>
      <c r="V129" s="492">
        <v>7</v>
      </c>
      <c r="W129" s="493">
        <v>14.9</v>
      </c>
      <c r="X129" s="41"/>
      <c r="Y129" s="41"/>
      <c r="Z129" s="41"/>
      <c r="AA129" s="41"/>
      <c r="AB129" s="41"/>
      <c r="AC129" s="41"/>
      <c r="AD129" s="41"/>
      <c r="AE129" s="41"/>
      <c r="AF129" s="41"/>
      <c r="AG129" s="29"/>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row>
    <row r="130" spans="3:63" ht="18.75" x14ac:dyDescent="0.4">
      <c r="C130" s="451" t="s">
        <v>1090</v>
      </c>
      <c r="D130" s="490">
        <v>1</v>
      </c>
      <c r="E130" s="443">
        <v>2.2825317842550956</v>
      </c>
      <c r="F130" s="445">
        <v>5</v>
      </c>
      <c r="G130" s="486">
        <v>11.37941236714536</v>
      </c>
      <c r="H130" s="445">
        <v>3</v>
      </c>
      <c r="I130" s="443">
        <v>6.8160130867451256</v>
      </c>
      <c r="J130" s="445">
        <v>1</v>
      </c>
      <c r="K130" s="486">
        <v>2.2679851220175995</v>
      </c>
      <c r="L130" s="445">
        <v>2</v>
      </c>
      <c r="M130" s="486">
        <v>4.5273451647953644</v>
      </c>
      <c r="N130" s="445">
        <v>5</v>
      </c>
      <c r="O130" s="486">
        <v>11.296371605440331</v>
      </c>
      <c r="P130" s="491">
        <v>3</v>
      </c>
      <c r="Q130" s="486">
        <v>4.5153861784029079</v>
      </c>
      <c r="R130" s="492">
        <v>2</v>
      </c>
      <c r="S130" s="493">
        <v>4.5</v>
      </c>
      <c r="T130" s="492">
        <v>2</v>
      </c>
      <c r="U130" s="493">
        <v>4.5</v>
      </c>
      <c r="V130" s="492">
        <v>2</v>
      </c>
      <c r="W130" s="493">
        <v>4.5</v>
      </c>
      <c r="X130" s="41"/>
      <c r="Y130" s="41"/>
      <c r="Z130" s="41"/>
      <c r="AA130" s="41"/>
      <c r="AB130" s="41"/>
      <c r="AC130" s="41"/>
      <c r="AD130" s="41"/>
      <c r="AE130" s="41"/>
      <c r="AF130" s="41"/>
      <c r="AG130" s="29"/>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row>
    <row r="131" spans="3:63" ht="18.75" x14ac:dyDescent="0.4">
      <c r="C131" s="451" t="s">
        <v>1091</v>
      </c>
      <c r="D131" s="490">
        <v>2</v>
      </c>
      <c r="E131" s="443">
        <v>11.142682043567886</v>
      </c>
      <c r="F131" s="445">
        <v>0</v>
      </c>
      <c r="G131" s="486">
        <v>0</v>
      </c>
      <c r="H131" s="445">
        <v>0</v>
      </c>
      <c r="I131" s="443">
        <v>0</v>
      </c>
      <c r="J131" s="445">
        <v>2</v>
      </c>
      <c r="K131" s="486">
        <v>10.482729702814613</v>
      </c>
      <c r="L131" s="445">
        <v>3</v>
      </c>
      <c r="M131" s="486">
        <v>15.418615408336331</v>
      </c>
      <c r="N131" s="445">
        <v>0</v>
      </c>
      <c r="O131" s="486">
        <v>0</v>
      </c>
      <c r="P131" s="491">
        <v>2</v>
      </c>
      <c r="Q131" s="486">
        <v>14.56734971350879</v>
      </c>
      <c r="R131" s="492">
        <v>3</v>
      </c>
      <c r="S131" s="493">
        <v>14.6</v>
      </c>
      <c r="T131" s="492">
        <v>0</v>
      </c>
      <c r="U131" s="493">
        <v>0</v>
      </c>
      <c r="V131" s="492">
        <v>0</v>
      </c>
      <c r="W131" s="493">
        <v>0</v>
      </c>
      <c r="X131" s="41"/>
      <c r="Y131" s="41"/>
      <c r="Z131" s="41"/>
      <c r="AA131" s="41"/>
      <c r="AB131" s="41"/>
      <c r="AC131" s="41"/>
      <c r="AD131" s="41"/>
      <c r="AE131" s="41"/>
      <c r="AF131" s="41"/>
      <c r="AG131" s="29"/>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row>
    <row r="132" spans="3:63" ht="18.75" x14ac:dyDescent="0.4">
      <c r="C132" s="451" t="s">
        <v>1092</v>
      </c>
      <c r="D132" s="490">
        <v>4</v>
      </c>
      <c r="E132" s="443">
        <v>8.1784538632971433</v>
      </c>
      <c r="F132" s="445">
        <v>5</v>
      </c>
      <c r="G132" s="486">
        <v>10.100806044322336</v>
      </c>
      <c r="H132" s="445">
        <v>3</v>
      </c>
      <c r="I132" s="443">
        <v>5.9885020760140524</v>
      </c>
      <c r="J132" s="445">
        <v>4</v>
      </c>
      <c r="K132" s="486">
        <v>7.8911027816137311</v>
      </c>
      <c r="L132" s="445">
        <v>2</v>
      </c>
      <c r="M132" s="486">
        <v>3.8993195687352555</v>
      </c>
      <c r="N132" s="445">
        <v>7</v>
      </c>
      <c r="O132" s="486">
        <v>13.496577653523572</v>
      </c>
      <c r="P132" s="491">
        <v>5</v>
      </c>
      <c r="Q132" s="486">
        <v>1.8885027949841364</v>
      </c>
      <c r="R132" s="492">
        <v>1</v>
      </c>
      <c r="S132" s="493">
        <v>1.9</v>
      </c>
      <c r="T132" s="492">
        <v>3</v>
      </c>
      <c r="U132" s="493">
        <v>5.6</v>
      </c>
      <c r="V132" s="492">
        <v>3</v>
      </c>
      <c r="W132" s="493">
        <v>5.6</v>
      </c>
      <c r="X132" s="41"/>
      <c r="Y132" s="41"/>
      <c r="Z132" s="41"/>
      <c r="AA132" s="41"/>
      <c r="AB132" s="41"/>
      <c r="AC132" s="41"/>
      <c r="AD132" s="41"/>
      <c r="AE132" s="41"/>
      <c r="AF132" s="41"/>
      <c r="AG132" s="29"/>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row>
    <row r="133" spans="3:63" ht="18.75" x14ac:dyDescent="0.4">
      <c r="C133" s="451" t="s">
        <v>1093</v>
      </c>
      <c r="D133" s="490">
        <v>3</v>
      </c>
      <c r="E133" s="443">
        <v>13.563613346595535</v>
      </c>
      <c r="F133" s="445">
        <v>2</v>
      </c>
      <c r="G133" s="486">
        <v>8.7846444415162299</v>
      </c>
      <c r="H133" s="445">
        <v>2</v>
      </c>
      <c r="I133" s="443">
        <v>8.5378868729989339</v>
      </c>
      <c r="J133" s="445">
        <v>0</v>
      </c>
      <c r="K133" s="486">
        <v>0</v>
      </c>
      <c r="L133" s="445">
        <v>3</v>
      </c>
      <c r="M133" s="486">
        <v>12.127582164369164</v>
      </c>
      <c r="N133" s="445">
        <v>0</v>
      </c>
      <c r="O133" s="486">
        <v>0</v>
      </c>
      <c r="P133" s="491">
        <v>0</v>
      </c>
      <c r="Q133" s="486">
        <v>0</v>
      </c>
      <c r="R133" s="492">
        <v>0</v>
      </c>
      <c r="S133" s="493">
        <v>0</v>
      </c>
      <c r="T133" s="492">
        <v>3</v>
      </c>
      <c r="U133" s="493">
        <v>10.9</v>
      </c>
      <c r="V133" s="492">
        <v>2</v>
      </c>
      <c r="W133" s="493">
        <v>7.1</v>
      </c>
      <c r="X133" s="41"/>
      <c r="Y133" s="41"/>
      <c r="Z133" s="41"/>
      <c r="AA133" s="41"/>
      <c r="AB133" s="41"/>
      <c r="AC133" s="41"/>
      <c r="AD133" s="41"/>
      <c r="AE133" s="41"/>
      <c r="AF133" s="41"/>
      <c r="AG133" s="29"/>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row>
    <row r="134" spans="3:63" ht="8.4499999999999993" customHeight="1" x14ac:dyDescent="0.4">
      <c r="C134" s="41"/>
      <c r="D134" s="29"/>
      <c r="E134" s="443"/>
      <c r="F134" s="29"/>
      <c r="G134" s="486"/>
      <c r="H134" s="29"/>
      <c r="I134" s="443"/>
      <c r="J134" s="29"/>
      <c r="K134" s="486"/>
      <c r="L134" s="29"/>
      <c r="M134" s="486"/>
      <c r="N134" s="29"/>
      <c r="O134" s="486"/>
      <c r="P134" s="445"/>
      <c r="Q134" s="486"/>
      <c r="R134" s="492"/>
      <c r="S134" s="493"/>
      <c r="T134" s="492"/>
      <c r="U134" s="493"/>
      <c r="V134" s="492"/>
      <c r="W134" s="493"/>
      <c r="X134" s="41"/>
      <c r="Y134" s="41"/>
      <c r="Z134" s="41"/>
      <c r="AA134" s="41"/>
      <c r="AB134" s="41"/>
      <c r="AC134" s="41"/>
      <c r="AD134" s="41"/>
      <c r="AE134" s="41"/>
      <c r="AF134" s="41"/>
      <c r="AG134" s="29"/>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row>
    <row r="135" spans="3:63" ht="18.75" x14ac:dyDescent="0.4">
      <c r="C135" s="476" t="s">
        <v>1094</v>
      </c>
      <c r="D135" s="479">
        <v>98</v>
      </c>
      <c r="E135" s="478">
        <v>22.891687280864652</v>
      </c>
      <c r="F135" s="479">
        <v>83</v>
      </c>
      <c r="G135" s="480">
        <v>19.14546633050611</v>
      </c>
      <c r="H135" s="479">
        <v>57</v>
      </c>
      <c r="I135" s="489">
        <v>12.983670187443195</v>
      </c>
      <c r="J135" s="479">
        <v>64</v>
      </c>
      <c r="K135" s="480">
        <v>14.399917200476098</v>
      </c>
      <c r="L135" s="479">
        <v>57</v>
      </c>
      <c r="M135" s="480">
        <v>12.672834112601466</v>
      </c>
      <c r="N135" s="479">
        <v>71</v>
      </c>
      <c r="O135" s="480">
        <v>15.603572558810084</v>
      </c>
      <c r="P135" s="481">
        <v>63</v>
      </c>
      <c r="Q135" s="480">
        <v>14.408881032105999</v>
      </c>
      <c r="R135" s="495">
        <v>67</v>
      </c>
      <c r="S135" s="496">
        <v>14.4</v>
      </c>
      <c r="T135" s="495">
        <v>68</v>
      </c>
      <c r="U135" s="496">
        <v>14.5</v>
      </c>
      <c r="V135" s="495">
        <v>99</v>
      </c>
      <c r="W135" s="496">
        <v>20.9</v>
      </c>
      <c r="X135" s="41"/>
      <c r="Y135" s="41"/>
      <c r="Z135" s="41"/>
      <c r="AA135" s="41"/>
      <c r="AB135" s="41"/>
      <c r="AC135" s="41"/>
      <c r="AD135" s="41"/>
      <c r="AE135" s="41"/>
      <c r="AF135" s="41"/>
      <c r="AG135" s="29"/>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row>
    <row r="136" spans="3:63" ht="18.75" x14ac:dyDescent="0.4">
      <c r="C136" s="451" t="s">
        <v>1095</v>
      </c>
      <c r="D136" s="490">
        <v>38</v>
      </c>
      <c r="E136" s="443">
        <v>38.910107412375467</v>
      </c>
      <c r="F136" s="445">
        <v>34</v>
      </c>
      <c r="G136" s="485">
        <v>34.670881558150207</v>
      </c>
      <c r="H136" s="445">
        <v>16</v>
      </c>
      <c r="I136" s="443">
        <v>16.250418956113712</v>
      </c>
      <c r="J136" s="445">
        <v>26</v>
      </c>
      <c r="K136" s="486">
        <v>26.303010683068958</v>
      </c>
      <c r="L136" s="445">
        <v>18</v>
      </c>
      <c r="M136" s="486">
        <v>18.142966576623795</v>
      </c>
      <c r="N136" s="445">
        <v>34</v>
      </c>
      <c r="O136" s="486">
        <v>34.155407102315536</v>
      </c>
      <c r="P136" s="491">
        <v>27</v>
      </c>
      <c r="Q136" s="486">
        <v>28.988114872902109</v>
      </c>
      <c r="R136" s="492">
        <v>29</v>
      </c>
      <c r="S136" s="493">
        <v>29</v>
      </c>
      <c r="T136" s="492">
        <v>24</v>
      </c>
      <c r="U136" s="493">
        <v>23.9</v>
      </c>
      <c r="V136" s="492">
        <v>41</v>
      </c>
      <c r="W136" s="493">
        <v>40.799999999999997</v>
      </c>
      <c r="X136" s="41"/>
      <c r="Y136" s="41"/>
      <c r="Z136" s="41"/>
      <c r="AA136" s="41"/>
      <c r="AB136" s="41"/>
      <c r="AC136" s="41"/>
      <c r="AD136" s="41"/>
      <c r="AE136" s="41"/>
      <c r="AF136" s="41"/>
      <c r="AG136" s="29"/>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row>
    <row r="137" spans="3:63" ht="18.75" x14ac:dyDescent="0.4">
      <c r="C137" s="451" t="s">
        <v>1096</v>
      </c>
      <c r="D137" s="490">
        <v>21</v>
      </c>
      <c r="E137" s="443">
        <v>15.23848224716818</v>
      </c>
      <c r="F137" s="445">
        <v>21</v>
      </c>
      <c r="G137" s="485">
        <v>15.002679049830329</v>
      </c>
      <c r="H137" s="445">
        <v>13</v>
      </c>
      <c r="I137" s="443">
        <v>9.1439182393033747</v>
      </c>
      <c r="J137" s="445">
        <v>15</v>
      </c>
      <c r="K137" s="486">
        <v>10.392201691850437</v>
      </c>
      <c r="L137" s="445">
        <v>15</v>
      </c>
      <c r="M137" s="486">
        <v>10.240166027225188</v>
      </c>
      <c r="N137" s="445">
        <v>19</v>
      </c>
      <c r="O137" s="486">
        <v>12.786605021770878</v>
      </c>
      <c r="P137" s="491">
        <v>10</v>
      </c>
      <c r="Q137" s="486">
        <v>10.478816417685621</v>
      </c>
      <c r="R137" s="492">
        <v>16</v>
      </c>
      <c r="S137" s="493">
        <v>10.5</v>
      </c>
      <c r="T137" s="492">
        <v>12</v>
      </c>
      <c r="U137" s="493">
        <v>7.8</v>
      </c>
      <c r="V137" s="492">
        <v>19</v>
      </c>
      <c r="W137" s="493">
        <v>12.1</v>
      </c>
      <c r="X137" s="41"/>
      <c r="Y137" s="41"/>
      <c r="Z137" s="41"/>
      <c r="AA137" s="41"/>
      <c r="AB137" s="41"/>
      <c r="AC137" s="41"/>
      <c r="AD137" s="41"/>
      <c r="AE137" s="41"/>
      <c r="AF137" s="41"/>
      <c r="AG137" s="29"/>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row>
    <row r="138" spans="3:63" ht="18.75" x14ac:dyDescent="0.4">
      <c r="C138" s="451" t="s">
        <v>1097</v>
      </c>
      <c r="D138" s="490">
        <v>7</v>
      </c>
      <c r="E138" s="443">
        <v>11.274683503527365</v>
      </c>
      <c r="F138" s="445">
        <v>10</v>
      </c>
      <c r="G138" s="485">
        <v>15.9675539304134</v>
      </c>
      <c r="H138" s="445">
        <v>9</v>
      </c>
      <c r="I138" s="443">
        <v>14.258103355406989</v>
      </c>
      <c r="J138" s="445">
        <v>7</v>
      </c>
      <c r="K138" s="486">
        <v>11.007327735320942</v>
      </c>
      <c r="L138" s="445">
        <v>5</v>
      </c>
      <c r="M138" s="486">
        <v>7.8068887986759519</v>
      </c>
      <c r="N138" s="445">
        <v>6</v>
      </c>
      <c r="O138" s="486">
        <v>9.3021813615292785</v>
      </c>
      <c r="P138" s="491">
        <v>7</v>
      </c>
      <c r="Q138" s="486">
        <v>7.6561471205230678</v>
      </c>
      <c r="R138" s="492">
        <v>5</v>
      </c>
      <c r="S138" s="493">
        <v>7.7</v>
      </c>
      <c r="T138" s="492">
        <v>8</v>
      </c>
      <c r="U138" s="493">
        <v>12.2</v>
      </c>
      <c r="V138" s="492">
        <v>7</v>
      </c>
      <c r="W138" s="493">
        <v>10.6</v>
      </c>
      <c r="X138" s="41"/>
      <c r="Y138" s="41"/>
      <c r="Z138" s="41"/>
      <c r="AA138" s="41"/>
      <c r="AB138" s="41"/>
      <c r="AC138" s="41"/>
      <c r="AD138" s="41"/>
      <c r="AE138" s="41"/>
      <c r="AF138" s="41"/>
      <c r="AG138" s="29"/>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row>
    <row r="139" spans="3:63" ht="18.75" x14ac:dyDescent="0.4">
      <c r="C139" s="451" t="s">
        <v>1098</v>
      </c>
      <c r="D139" s="490">
        <v>18</v>
      </c>
      <c r="E139" s="443">
        <v>47.10069081013188</v>
      </c>
      <c r="F139" s="445">
        <v>9</v>
      </c>
      <c r="G139" s="485">
        <v>23.086394418222863</v>
      </c>
      <c r="H139" s="445">
        <v>13</v>
      </c>
      <c r="I139" s="443">
        <v>32.632160249008486</v>
      </c>
      <c r="J139" s="445">
        <v>8</v>
      </c>
      <c r="K139" s="486">
        <v>19.665199970502201</v>
      </c>
      <c r="L139" s="445">
        <v>8</v>
      </c>
      <c r="M139" s="486">
        <v>19.268750903222699</v>
      </c>
      <c r="N139" s="445">
        <v>5</v>
      </c>
      <c r="O139" s="486">
        <v>11.806096668319521</v>
      </c>
      <c r="P139" s="491">
        <v>9</v>
      </c>
      <c r="Q139" s="486">
        <v>25.010231458323862</v>
      </c>
      <c r="R139" s="492">
        <v>11</v>
      </c>
      <c r="S139" s="493">
        <v>25</v>
      </c>
      <c r="T139" s="492">
        <v>14</v>
      </c>
      <c r="U139" s="493">
        <v>31.2</v>
      </c>
      <c r="V139" s="492">
        <v>20</v>
      </c>
      <c r="W139" s="493">
        <v>43.8</v>
      </c>
      <c r="X139" s="41"/>
      <c r="Y139" s="41"/>
      <c r="Z139" s="41"/>
      <c r="AA139" s="41"/>
      <c r="AB139" s="41"/>
      <c r="AC139" s="41"/>
      <c r="AD139" s="41"/>
      <c r="AE139" s="41"/>
      <c r="AF139" s="41"/>
      <c r="AG139" s="29"/>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row>
    <row r="140" spans="3:63" ht="18.75" x14ac:dyDescent="0.4">
      <c r="C140" s="451" t="s">
        <v>1099</v>
      </c>
      <c r="D140" s="490">
        <v>8</v>
      </c>
      <c r="E140" s="443">
        <v>18.622840914381488</v>
      </c>
      <c r="F140" s="445">
        <v>7</v>
      </c>
      <c r="G140" s="485">
        <v>16.074955219767602</v>
      </c>
      <c r="H140" s="445">
        <v>4</v>
      </c>
      <c r="I140" s="443">
        <v>9.0649503693967279</v>
      </c>
      <c r="J140" s="445">
        <v>5</v>
      </c>
      <c r="K140" s="486">
        <v>11.181930001118193</v>
      </c>
      <c r="L140" s="445">
        <v>4</v>
      </c>
      <c r="M140" s="486">
        <v>8.8337271703363438</v>
      </c>
      <c r="N140" s="445">
        <v>6</v>
      </c>
      <c r="O140" s="486">
        <v>13.089290778594648</v>
      </c>
      <c r="P140" s="491">
        <v>8</v>
      </c>
      <c r="Q140" s="486">
        <v>6.3979526551503518</v>
      </c>
      <c r="R140" s="492">
        <v>3</v>
      </c>
      <c r="S140" s="493">
        <v>6.4</v>
      </c>
      <c r="T140" s="492">
        <v>6</v>
      </c>
      <c r="U140" s="493">
        <v>12.7</v>
      </c>
      <c r="V140" s="492">
        <v>7</v>
      </c>
      <c r="W140" s="493">
        <v>14.6</v>
      </c>
      <c r="X140" s="41"/>
      <c r="Y140" s="41"/>
      <c r="Z140" s="41"/>
      <c r="AA140" s="41"/>
      <c r="AB140" s="41"/>
      <c r="AC140" s="41"/>
      <c r="AD140" s="41"/>
      <c r="AE140" s="41"/>
      <c r="AF140" s="41"/>
      <c r="AG140" s="29"/>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row>
    <row r="141" spans="3:63" ht="18.75" x14ac:dyDescent="0.4">
      <c r="C141" s="451" t="s">
        <v>1100</v>
      </c>
      <c r="D141" s="490">
        <v>6</v>
      </c>
      <c r="E141" s="443">
        <v>12.15239098292589</v>
      </c>
      <c r="F141" s="445">
        <v>2</v>
      </c>
      <c r="G141" s="485">
        <v>3.9740889401104798</v>
      </c>
      <c r="H141" s="445">
        <v>2</v>
      </c>
      <c r="I141" s="443">
        <v>3.8988634812952023</v>
      </c>
      <c r="J141" s="445">
        <v>3</v>
      </c>
      <c r="K141" s="486">
        <v>5.7394298832982589</v>
      </c>
      <c r="L141" s="445">
        <v>7</v>
      </c>
      <c r="M141" s="486">
        <v>13.147515119642389</v>
      </c>
      <c r="N141" s="445">
        <v>1</v>
      </c>
      <c r="O141" s="486">
        <v>1.8451886705415628</v>
      </c>
      <c r="P141" s="491">
        <v>2</v>
      </c>
      <c r="Q141" s="486">
        <v>5.3493099390178669</v>
      </c>
      <c r="R141" s="492">
        <v>3</v>
      </c>
      <c r="S141" s="493">
        <v>5.3</v>
      </c>
      <c r="T141" s="492">
        <v>4</v>
      </c>
      <c r="U141" s="493">
        <v>7</v>
      </c>
      <c r="V141" s="492">
        <v>5</v>
      </c>
      <c r="W141" s="493">
        <v>8.6</v>
      </c>
      <c r="X141" s="41"/>
      <c r="Y141" s="41"/>
      <c r="Z141" s="41"/>
      <c r="AA141" s="41"/>
      <c r="AB141" s="41"/>
      <c r="AC141" s="41"/>
      <c r="AD141" s="41"/>
      <c r="AE141" s="41"/>
      <c r="AF141" s="41"/>
      <c r="AG141" s="29"/>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row>
    <row r="142" spans="3:63" ht="18.75" x14ac:dyDescent="0.4">
      <c r="C142" s="451"/>
      <c r="D142" s="490"/>
      <c r="E142" s="443"/>
      <c r="F142" s="445"/>
      <c r="G142" s="502"/>
      <c r="H142" s="445"/>
      <c r="I142" s="502"/>
      <c r="J142" s="445"/>
      <c r="K142" s="502"/>
      <c r="L142" s="445"/>
      <c r="M142" s="502"/>
      <c r="N142" s="445"/>
      <c r="O142" s="502"/>
      <c r="P142" s="445"/>
      <c r="Q142" s="502"/>
      <c r="R142" s="502"/>
      <c r="S142" s="502"/>
      <c r="T142" s="41"/>
      <c r="U142" s="41"/>
      <c r="V142" s="492"/>
      <c r="W142" s="492"/>
      <c r="X142" s="41"/>
      <c r="Y142" s="41"/>
      <c r="Z142" s="41"/>
      <c r="AA142" s="41"/>
      <c r="AB142" s="41"/>
      <c r="AC142" s="41"/>
      <c r="AD142" s="41"/>
      <c r="AE142" s="41"/>
      <c r="AF142" s="41"/>
      <c r="AG142" s="29"/>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row>
    <row r="143" spans="3:63" ht="18.75" x14ac:dyDescent="0.4">
      <c r="C143" s="451" t="s">
        <v>1101</v>
      </c>
      <c r="D143" s="490">
        <v>0</v>
      </c>
      <c r="E143" s="443"/>
      <c r="F143" s="445">
        <v>0</v>
      </c>
      <c r="G143" s="502"/>
      <c r="H143" s="445">
        <v>0</v>
      </c>
      <c r="I143" s="502"/>
      <c r="J143" s="445">
        <v>0</v>
      </c>
      <c r="K143" s="502"/>
      <c r="L143" s="445">
        <v>0</v>
      </c>
      <c r="M143" s="502"/>
      <c r="N143" s="445">
        <v>0</v>
      </c>
      <c r="O143" s="502"/>
      <c r="P143" s="445">
        <v>0</v>
      </c>
      <c r="Q143" s="502"/>
      <c r="R143" s="445">
        <v>0</v>
      </c>
      <c r="S143" s="502"/>
      <c r="T143" s="445">
        <v>1</v>
      </c>
      <c r="U143" s="502"/>
      <c r="V143" s="445">
        <v>0</v>
      </c>
      <c r="W143" s="502"/>
      <c r="X143" s="41"/>
      <c r="Y143" s="41"/>
      <c r="Z143" s="41"/>
      <c r="AA143" s="41"/>
      <c r="AB143" s="41"/>
      <c r="AC143" s="41"/>
      <c r="AD143" s="41"/>
      <c r="AE143" s="41"/>
      <c r="AF143" s="41"/>
      <c r="AG143" s="29"/>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row>
    <row r="144" spans="3:63" ht="18.75" x14ac:dyDescent="0.4">
      <c r="C144" s="503" t="s">
        <v>1102</v>
      </c>
      <c r="D144" s="504">
        <v>0</v>
      </c>
      <c r="E144" s="449"/>
      <c r="F144" s="450">
        <v>0</v>
      </c>
      <c r="G144" s="505"/>
      <c r="H144" s="450">
        <v>0</v>
      </c>
      <c r="I144" s="505"/>
      <c r="J144" s="450">
        <v>0</v>
      </c>
      <c r="K144" s="505"/>
      <c r="L144" s="450">
        <v>0</v>
      </c>
      <c r="M144" s="505"/>
      <c r="N144" s="450">
        <v>0</v>
      </c>
      <c r="O144" s="505"/>
      <c r="P144" s="450">
        <v>0</v>
      </c>
      <c r="Q144" s="505"/>
      <c r="R144" s="450">
        <v>0</v>
      </c>
      <c r="S144" s="505"/>
      <c r="T144" s="450">
        <v>0</v>
      </c>
      <c r="U144" s="505"/>
      <c r="V144" s="450">
        <v>0</v>
      </c>
      <c r="W144" s="505"/>
      <c r="X144" s="41"/>
      <c r="Y144" s="41"/>
      <c r="Z144" s="41"/>
      <c r="AA144" s="41"/>
      <c r="AB144" s="41"/>
      <c r="AC144" s="41"/>
      <c r="AD144" s="41"/>
      <c r="AE144" s="41"/>
      <c r="AF144" s="41"/>
      <c r="AG144" s="29"/>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row>
    <row r="145" spans="3:63" ht="18.75" x14ac:dyDescent="0.4">
      <c r="C145" s="41" t="s">
        <v>1004</v>
      </c>
      <c r="D145" s="451"/>
      <c r="E145" s="502"/>
      <c r="F145" s="451"/>
      <c r="G145" s="502"/>
      <c r="H145" s="451"/>
      <c r="I145" s="502"/>
      <c r="J145" s="451"/>
      <c r="K145" s="502"/>
      <c r="L145" s="451"/>
      <c r="M145" s="502"/>
      <c r="N145" s="41"/>
      <c r="O145" s="41"/>
      <c r="P145" s="41"/>
      <c r="Q145" s="41"/>
      <c r="R145" s="41"/>
      <c r="S145" s="41"/>
      <c r="T145" s="41"/>
      <c r="U145" s="41"/>
      <c r="V145" s="41"/>
      <c r="W145" s="41"/>
      <c r="X145" s="41"/>
      <c r="Y145" s="41"/>
      <c r="Z145" s="41"/>
      <c r="AA145" s="41"/>
      <c r="AB145" s="41"/>
      <c r="AC145" s="41"/>
      <c r="AD145" s="41"/>
      <c r="AE145" s="41"/>
      <c r="AF145" s="41"/>
      <c r="AG145" s="29"/>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row>
    <row r="146" spans="3:63" ht="18.75" x14ac:dyDescent="0.4">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29"/>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row>
    <row r="147" spans="3:63" ht="18.75" x14ac:dyDescent="0.4">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29"/>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row>
    <row r="148" spans="3:63" ht="18.75" x14ac:dyDescent="0.4">
      <c r="C148" s="506" t="s">
        <v>1006</v>
      </c>
      <c r="D148" s="506"/>
      <c r="E148" s="506"/>
      <c r="F148" s="506"/>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7"/>
      <c r="AO148" s="507"/>
      <c r="AP148" s="507"/>
      <c r="AQ148" s="507"/>
      <c r="AR148" s="507"/>
      <c r="AS148" s="507"/>
      <c r="AT148" s="507"/>
      <c r="AU148" s="507"/>
      <c r="AV148" s="507"/>
      <c r="AW148" s="507"/>
      <c r="AX148" s="507"/>
      <c r="AY148" s="507"/>
      <c r="AZ148" s="41"/>
      <c r="BA148" s="41"/>
      <c r="BB148" s="41"/>
      <c r="BC148" s="41"/>
      <c r="BD148" s="41"/>
      <c r="BE148" s="41"/>
      <c r="BF148" s="41"/>
      <c r="BG148" s="41"/>
      <c r="BH148" s="41"/>
      <c r="BI148" s="41"/>
      <c r="BJ148" s="41"/>
      <c r="BK148" s="41"/>
    </row>
    <row r="149" spans="3:63" ht="18.75" x14ac:dyDescent="0.4">
      <c r="C149" s="508"/>
      <c r="D149" s="508"/>
      <c r="E149" s="508"/>
      <c r="F149" s="508"/>
      <c r="G149" s="508"/>
      <c r="H149" s="508"/>
      <c r="I149" s="508"/>
      <c r="J149" s="508"/>
      <c r="K149" s="508"/>
      <c r="L149" s="508"/>
      <c r="M149" s="508"/>
      <c r="N149" s="508"/>
      <c r="O149" s="508"/>
      <c r="P149" s="508"/>
      <c r="Q149" s="508"/>
      <c r="R149" s="508"/>
      <c r="S149" s="508"/>
      <c r="T149" s="508"/>
      <c r="U149" s="508"/>
      <c r="V149" s="508"/>
      <c r="W149" s="508"/>
      <c r="X149" s="508"/>
      <c r="Y149" s="508"/>
      <c r="Z149" s="508"/>
      <c r="AA149" s="508"/>
      <c r="AB149" s="508"/>
      <c r="AC149" s="508"/>
      <c r="AD149" s="508"/>
      <c r="AE149" s="508"/>
      <c r="AF149" s="508"/>
      <c r="AG149" s="508"/>
      <c r="AH149" s="508"/>
      <c r="AI149" s="508"/>
      <c r="AJ149" s="508"/>
      <c r="AK149" s="508"/>
      <c r="AL149" s="508"/>
      <c r="AM149" s="508"/>
      <c r="AN149" s="509"/>
      <c r="AO149" s="509"/>
      <c r="AP149" s="509"/>
      <c r="AQ149" s="509"/>
      <c r="AR149" s="509"/>
      <c r="AS149" s="509"/>
      <c r="AT149" s="509"/>
      <c r="AU149" s="509"/>
      <c r="AV149" s="509"/>
      <c r="AW149" s="509"/>
      <c r="AX149" s="509"/>
      <c r="AY149" s="509"/>
      <c r="AZ149" s="41"/>
      <c r="BA149" s="41"/>
      <c r="BB149" s="41"/>
      <c r="BC149" s="41"/>
      <c r="BD149" s="41"/>
      <c r="BE149" s="41"/>
      <c r="BF149" s="41"/>
      <c r="BG149" s="41"/>
      <c r="BH149" s="41"/>
      <c r="BI149" s="41"/>
      <c r="BJ149" s="41"/>
      <c r="BK149" s="41"/>
    </row>
    <row r="150" spans="3:63" ht="16.149999999999999" customHeight="1" x14ac:dyDescent="0.25">
      <c r="C150" s="2622" t="s">
        <v>1103</v>
      </c>
      <c r="D150" s="2619">
        <v>2014</v>
      </c>
      <c r="E150" s="2619"/>
      <c r="F150" s="2619"/>
      <c r="G150" s="2619"/>
      <c r="H150" s="2619"/>
      <c r="I150" s="2620"/>
      <c r="J150" s="2618">
        <v>2015</v>
      </c>
      <c r="K150" s="2619"/>
      <c r="L150" s="2619"/>
      <c r="M150" s="2619"/>
      <c r="N150" s="2619"/>
      <c r="O150" s="2620"/>
      <c r="P150" s="2618">
        <v>2016</v>
      </c>
      <c r="Q150" s="2619"/>
      <c r="R150" s="2619"/>
      <c r="S150" s="2619"/>
      <c r="T150" s="2619"/>
      <c r="U150" s="2618">
        <v>2017</v>
      </c>
      <c r="V150" s="2619"/>
      <c r="W150" s="2619"/>
      <c r="X150" s="2619"/>
      <c r="Y150" s="2619"/>
      <c r="Z150" s="2620"/>
      <c r="AA150" s="2618">
        <v>2018</v>
      </c>
      <c r="AB150" s="2619"/>
      <c r="AC150" s="2619"/>
      <c r="AD150" s="2619"/>
      <c r="AE150" s="2619"/>
      <c r="AF150" s="2620"/>
      <c r="AG150" s="510"/>
      <c r="AH150" s="2618">
        <v>2019</v>
      </c>
      <c r="AI150" s="2619"/>
      <c r="AJ150" s="2619"/>
      <c r="AK150" s="2619"/>
      <c r="AL150" s="2619">
        <v>2019</v>
      </c>
      <c r="AM150" s="2620"/>
      <c r="AN150" s="2618">
        <v>2020</v>
      </c>
      <c r="AO150" s="2619"/>
      <c r="AP150" s="2619"/>
      <c r="AQ150" s="2619"/>
      <c r="AR150" s="2619">
        <v>2019</v>
      </c>
      <c r="AS150" s="2620"/>
      <c r="AT150" s="2618">
        <v>2021</v>
      </c>
      <c r="AU150" s="2619"/>
      <c r="AV150" s="2619"/>
      <c r="AW150" s="2619"/>
      <c r="AX150" s="2619">
        <v>2019</v>
      </c>
      <c r="AY150" s="2620"/>
      <c r="AZ150" s="2618">
        <v>2022</v>
      </c>
      <c r="BA150" s="2619"/>
      <c r="BB150" s="2619"/>
      <c r="BC150" s="2619"/>
      <c r="BD150" s="2619">
        <v>2019</v>
      </c>
      <c r="BE150" s="2620"/>
      <c r="BF150" s="2618">
        <v>2023</v>
      </c>
      <c r="BG150" s="2619"/>
      <c r="BH150" s="2619"/>
      <c r="BI150" s="2619"/>
      <c r="BJ150" s="2619">
        <v>2019</v>
      </c>
      <c r="BK150" s="2620"/>
    </row>
    <row r="151" spans="3:63" ht="13.15" customHeight="1" x14ac:dyDescent="0.25">
      <c r="C151" s="2622"/>
      <c r="D151" s="2619" t="s">
        <v>1104</v>
      </c>
      <c r="E151" s="2619"/>
      <c r="F151" s="2619" t="s">
        <v>1105</v>
      </c>
      <c r="G151" s="2619"/>
      <c r="H151" s="2619" t="s">
        <v>1106</v>
      </c>
      <c r="I151" s="2620"/>
      <c r="J151" s="2618" t="s">
        <v>1104</v>
      </c>
      <c r="K151" s="2619"/>
      <c r="L151" s="2619" t="s">
        <v>1105</v>
      </c>
      <c r="M151" s="2619"/>
      <c r="N151" s="2619" t="s">
        <v>1106</v>
      </c>
      <c r="O151" s="2620"/>
      <c r="P151" s="2618" t="s">
        <v>1104</v>
      </c>
      <c r="Q151" s="2619"/>
      <c r="R151" s="2619" t="s">
        <v>1105</v>
      </c>
      <c r="S151" s="2619"/>
      <c r="T151" s="511" t="s">
        <v>1106</v>
      </c>
      <c r="U151" s="2618" t="s">
        <v>1104</v>
      </c>
      <c r="V151" s="2619"/>
      <c r="W151" s="2619" t="s">
        <v>1105</v>
      </c>
      <c r="X151" s="2619"/>
      <c r="Y151" s="2619" t="s">
        <v>1106</v>
      </c>
      <c r="Z151" s="2620"/>
      <c r="AA151" s="2618" t="s">
        <v>1104</v>
      </c>
      <c r="AB151" s="2619"/>
      <c r="AC151" s="2619" t="s">
        <v>1105</v>
      </c>
      <c r="AD151" s="2619"/>
      <c r="AE151" s="2619" t="s">
        <v>1106</v>
      </c>
      <c r="AF151" s="2620"/>
      <c r="AG151" s="510" t="s">
        <v>1104</v>
      </c>
      <c r="AH151" s="2618" t="s">
        <v>1104</v>
      </c>
      <c r="AI151" s="2619"/>
      <c r="AJ151" s="2619" t="s">
        <v>1105</v>
      </c>
      <c r="AK151" s="2619"/>
      <c r="AL151" s="2619" t="s">
        <v>1106</v>
      </c>
      <c r="AM151" s="2620"/>
      <c r="AN151" s="2618" t="s">
        <v>1104</v>
      </c>
      <c r="AO151" s="2619"/>
      <c r="AP151" s="2619" t="s">
        <v>1105</v>
      </c>
      <c r="AQ151" s="2619"/>
      <c r="AR151" s="2619" t="s">
        <v>1106</v>
      </c>
      <c r="AS151" s="2620"/>
      <c r="AT151" s="2618" t="s">
        <v>1104</v>
      </c>
      <c r="AU151" s="2619"/>
      <c r="AV151" s="2619" t="s">
        <v>1105</v>
      </c>
      <c r="AW151" s="2619"/>
      <c r="AX151" s="2619" t="s">
        <v>1106</v>
      </c>
      <c r="AY151" s="2620"/>
      <c r="AZ151" s="2618" t="s">
        <v>1104</v>
      </c>
      <c r="BA151" s="2619"/>
      <c r="BB151" s="2619" t="s">
        <v>1105</v>
      </c>
      <c r="BC151" s="2619"/>
      <c r="BD151" s="2619" t="s">
        <v>1106</v>
      </c>
      <c r="BE151" s="2620"/>
      <c r="BF151" s="2618" t="s">
        <v>1104</v>
      </c>
      <c r="BG151" s="2619"/>
      <c r="BH151" s="2619" t="s">
        <v>1105</v>
      </c>
      <c r="BI151" s="2619"/>
      <c r="BJ151" s="2619" t="s">
        <v>1106</v>
      </c>
      <c r="BK151" s="2620"/>
    </row>
    <row r="152" spans="3:63" ht="18.75" x14ac:dyDescent="0.25">
      <c r="C152" s="2623"/>
      <c r="D152" s="512" t="s">
        <v>1008</v>
      </c>
      <c r="E152" s="513" t="s">
        <v>1009</v>
      </c>
      <c r="F152" s="512" t="s">
        <v>1008</v>
      </c>
      <c r="G152" s="513" t="s">
        <v>1009</v>
      </c>
      <c r="H152" s="512" t="s">
        <v>1008</v>
      </c>
      <c r="I152" s="514" t="s">
        <v>1009</v>
      </c>
      <c r="J152" s="515" t="s">
        <v>1008</v>
      </c>
      <c r="K152" s="513" t="s">
        <v>1009</v>
      </c>
      <c r="L152" s="512" t="s">
        <v>1008</v>
      </c>
      <c r="M152" s="513" t="s">
        <v>1009</v>
      </c>
      <c r="N152" s="512" t="s">
        <v>1008</v>
      </c>
      <c r="O152" s="514" t="s">
        <v>1009</v>
      </c>
      <c r="P152" s="515" t="s">
        <v>1008</v>
      </c>
      <c r="Q152" s="513" t="s">
        <v>1009</v>
      </c>
      <c r="R152" s="512" t="s">
        <v>1008</v>
      </c>
      <c r="S152" s="513" t="s">
        <v>1009</v>
      </c>
      <c r="T152" s="512" t="s">
        <v>1008</v>
      </c>
      <c r="U152" s="515" t="s">
        <v>1008</v>
      </c>
      <c r="V152" s="513" t="s">
        <v>1009</v>
      </c>
      <c r="W152" s="512" t="s">
        <v>1008</v>
      </c>
      <c r="X152" s="513" t="s">
        <v>1009</v>
      </c>
      <c r="Y152" s="512" t="s">
        <v>1008</v>
      </c>
      <c r="Z152" s="514" t="s">
        <v>1009</v>
      </c>
      <c r="AA152" s="515" t="s">
        <v>1008</v>
      </c>
      <c r="AB152" s="513" t="s">
        <v>1009</v>
      </c>
      <c r="AC152" s="512" t="s">
        <v>1008</v>
      </c>
      <c r="AD152" s="516" t="s">
        <v>1009</v>
      </c>
      <c r="AE152" s="512" t="s">
        <v>1008</v>
      </c>
      <c r="AF152" s="514" t="s">
        <v>1009</v>
      </c>
      <c r="AG152" s="517" t="s">
        <v>1008</v>
      </c>
      <c r="AH152" s="515" t="s">
        <v>1008</v>
      </c>
      <c r="AI152" s="513" t="s">
        <v>1009</v>
      </c>
      <c r="AJ152" s="512" t="s">
        <v>1008</v>
      </c>
      <c r="AK152" s="516" t="s">
        <v>1009</v>
      </c>
      <c r="AL152" s="512" t="s">
        <v>1008</v>
      </c>
      <c r="AM152" s="514" t="s">
        <v>1009</v>
      </c>
      <c r="AN152" s="515" t="s">
        <v>1008</v>
      </c>
      <c r="AO152" s="513" t="s">
        <v>1009</v>
      </c>
      <c r="AP152" s="512" t="s">
        <v>1008</v>
      </c>
      <c r="AQ152" s="516" t="s">
        <v>1009</v>
      </c>
      <c r="AR152" s="512" t="s">
        <v>1008</v>
      </c>
      <c r="AS152" s="514" t="s">
        <v>1009</v>
      </c>
      <c r="AT152" s="515" t="s">
        <v>1008</v>
      </c>
      <c r="AU152" s="513" t="s">
        <v>1009</v>
      </c>
      <c r="AV152" s="512" t="s">
        <v>1008</v>
      </c>
      <c r="AW152" s="516" t="s">
        <v>1009</v>
      </c>
      <c r="AX152" s="512" t="s">
        <v>1008</v>
      </c>
      <c r="AY152" s="514" t="s">
        <v>1009</v>
      </c>
      <c r="AZ152" s="515" t="s">
        <v>1008</v>
      </c>
      <c r="BA152" s="513" t="s">
        <v>1009</v>
      </c>
      <c r="BB152" s="512" t="s">
        <v>1008</v>
      </c>
      <c r="BC152" s="516" t="s">
        <v>1009</v>
      </c>
      <c r="BD152" s="512" t="s">
        <v>1008</v>
      </c>
      <c r="BE152" s="514" t="s">
        <v>1009</v>
      </c>
      <c r="BF152" s="515" t="s">
        <v>1008</v>
      </c>
      <c r="BG152" s="513" t="s">
        <v>1009</v>
      </c>
      <c r="BH152" s="512" t="s">
        <v>1008</v>
      </c>
      <c r="BI152" s="516" t="s">
        <v>1009</v>
      </c>
      <c r="BJ152" s="512" t="s">
        <v>1008</v>
      </c>
      <c r="BK152" s="514" t="s">
        <v>1009</v>
      </c>
    </row>
    <row r="153" spans="3:63" ht="18.75" x14ac:dyDescent="0.4">
      <c r="C153" s="451"/>
      <c r="D153" s="451"/>
      <c r="E153" s="502"/>
      <c r="F153" s="451"/>
      <c r="G153" s="502"/>
      <c r="H153" s="451"/>
      <c r="I153" s="502"/>
      <c r="J153" s="451"/>
      <c r="K153" s="502"/>
      <c r="L153" s="451"/>
      <c r="M153" s="502"/>
      <c r="N153" s="451"/>
      <c r="O153" s="502"/>
      <c r="P153" s="451"/>
      <c r="Q153" s="502"/>
      <c r="R153" s="502"/>
      <c r="S153" s="502"/>
      <c r="T153" s="502"/>
      <c r="U153" s="451"/>
      <c r="V153" s="502"/>
      <c r="W153" s="451"/>
      <c r="X153" s="502"/>
      <c r="Y153" s="451"/>
      <c r="Z153" s="502"/>
      <c r="AA153" s="451"/>
      <c r="AB153" s="502"/>
      <c r="AC153" s="451"/>
      <c r="AD153" s="518"/>
      <c r="AE153" s="451"/>
      <c r="AF153" s="502"/>
      <c r="AG153" s="519"/>
      <c r="AH153" s="451"/>
      <c r="AI153" s="502"/>
      <c r="AJ153" s="451"/>
      <c r="AK153" s="518"/>
      <c r="AL153" s="451"/>
      <c r="AM153" s="502"/>
      <c r="AN153" s="483"/>
      <c r="AO153" s="484"/>
      <c r="AP153" s="483"/>
      <c r="AQ153" s="520"/>
      <c r="AR153" s="483"/>
      <c r="AS153" s="484"/>
      <c r="AT153" s="41"/>
      <c r="AU153" s="41"/>
      <c r="AV153" s="41"/>
      <c r="AW153" s="41"/>
      <c r="AX153" s="41"/>
      <c r="AY153" s="41"/>
      <c r="AZ153" s="41"/>
      <c r="BA153" s="41"/>
      <c r="BB153" s="41"/>
      <c r="BC153" s="41"/>
      <c r="BD153" s="41"/>
      <c r="BE153" s="41"/>
      <c r="BF153" s="41"/>
      <c r="BG153" s="41"/>
      <c r="BH153" s="41"/>
      <c r="BI153" s="41"/>
      <c r="BJ153" s="41"/>
      <c r="BK153" s="41"/>
    </row>
    <row r="154" spans="3:63" ht="18.75" x14ac:dyDescent="0.4">
      <c r="C154" s="451" t="s">
        <v>1104</v>
      </c>
      <c r="D154" s="451">
        <v>473</v>
      </c>
      <c r="E154" s="502">
        <v>9.9096628431011258</v>
      </c>
      <c r="F154" s="451">
        <v>164</v>
      </c>
      <c r="G154" s="502">
        <v>6.9409058051366097</v>
      </c>
      <c r="H154" s="451">
        <v>309</v>
      </c>
      <c r="I154" s="502">
        <v>12.819901133254367</v>
      </c>
      <c r="J154" s="451">
        <v>426</v>
      </c>
      <c r="K154" s="502">
        <v>8.8158110121896165</v>
      </c>
      <c r="L154" s="451">
        <v>147</v>
      </c>
      <c r="M154" s="502">
        <v>6.1431658533588704</v>
      </c>
      <c r="N154" s="451">
        <v>279</v>
      </c>
      <c r="O154" s="502">
        <v>11.437595005829484</v>
      </c>
      <c r="P154" s="492">
        <v>370</v>
      </c>
      <c r="Q154" s="492">
        <v>7.6</v>
      </c>
      <c r="R154" s="492">
        <v>132</v>
      </c>
      <c r="S154" s="492">
        <v>5.4</v>
      </c>
      <c r="T154" s="492">
        <v>238</v>
      </c>
      <c r="U154" s="451">
        <v>354</v>
      </c>
      <c r="V154" s="502">
        <v>7.1551563310702964</v>
      </c>
      <c r="W154" s="451">
        <v>112</v>
      </c>
      <c r="X154" s="502">
        <v>4.5682270833052918</v>
      </c>
      <c r="Y154" s="451">
        <v>242</v>
      </c>
      <c r="Z154" s="502">
        <v>9.6964296303656923</v>
      </c>
      <c r="AA154" s="451">
        <v>408</v>
      </c>
      <c r="AB154" s="502">
        <v>8.1544663791151315</v>
      </c>
      <c r="AC154" s="451">
        <v>138</v>
      </c>
      <c r="AD154" s="518">
        <v>5.5637825173858131</v>
      </c>
      <c r="AE154" s="451">
        <v>270</v>
      </c>
      <c r="AF154" s="502">
        <v>10.701265840846018</v>
      </c>
      <c r="AG154" s="519">
        <v>92</v>
      </c>
      <c r="AH154" s="451">
        <v>382</v>
      </c>
      <c r="AI154" s="502">
        <v>7.5523937430592616</v>
      </c>
      <c r="AJ154" s="451">
        <v>119</v>
      </c>
      <c r="AK154" s="518">
        <v>4.7442018079794286</v>
      </c>
      <c r="AL154" s="451">
        <v>263</v>
      </c>
      <c r="AM154" s="443">
        <v>10.31504419780725</v>
      </c>
      <c r="AN154" s="491">
        <v>338</v>
      </c>
      <c r="AO154" s="497">
        <v>6.6129013008828998</v>
      </c>
      <c r="AP154" s="521">
        <v>116</v>
      </c>
      <c r="AQ154" s="497">
        <v>4.5747097425542655</v>
      </c>
      <c r="AR154" s="521">
        <v>222</v>
      </c>
      <c r="AS154" s="497">
        <v>8.6195482813125466</v>
      </c>
      <c r="AT154" s="491">
        <v>357</v>
      </c>
      <c r="AU154" s="497">
        <v>6.9145564195845806</v>
      </c>
      <c r="AV154" s="521">
        <v>118</v>
      </c>
      <c r="AW154" s="497">
        <v>4.6051170655881846</v>
      </c>
      <c r="AX154" s="521">
        <v>239</v>
      </c>
      <c r="AY154" s="497">
        <v>9.1899960548385131</v>
      </c>
      <c r="AZ154" s="492">
        <v>404</v>
      </c>
      <c r="BA154" s="492">
        <v>7.7</v>
      </c>
      <c r="BB154" s="492">
        <v>128</v>
      </c>
      <c r="BC154" s="492">
        <v>4.9000000000000004</v>
      </c>
      <c r="BD154" s="492">
        <v>276</v>
      </c>
      <c r="BE154" s="492">
        <v>10.5</v>
      </c>
      <c r="BF154" s="492">
        <v>474</v>
      </c>
      <c r="BG154" s="492">
        <v>9</v>
      </c>
      <c r="BH154" s="492">
        <v>161</v>
      </c>
      <c r="BI154" s="492">
        <v>6.2</v>
      </c>
      <c r="BJ154" s="492">
        <v>313</v>
      </c>
      <c r="BK154" s="492">
        <v>11.8</v>
      </c>
    </row>
    <row r="155" spans="3:63" ht="18.75" x14ac:dyDescent="0.4">
      <c r="C155" s="451"/>
      <c r="D155" s="451"/>
      <c r="E155" s="502"/>
      <c r="F155" s="451"/>
      <c r="G155" s="502"/>
      <c r="H155" s="451"/>
      <c r="I155" s="502"/>
      <c r="J155" s="451"/>
      <c r="K155" s="502"/>
      <c r="L155" s="451"/>
      <c r="M155" s="502"/>
      <c r="N155" s="451"/>
      <c r="O155" s="502"/>
      <c r="P155" s="487"/>
      <c r="Q155" s="492"/>
      <c r="R155" s="487"/>
      <c r="S155" s="492"/>
      <c r="T155" s="487"/>
      <c r="U155" s="451"/>
      <c r="V155" s="502"/>
      <c r="W155" s="451"/>
      <c r="X155" s="502"/>
      <c r="Y155" s="451"/>
      <c r="Z155" s="502"/>
      <c r="AA155" s="451"/>
      <c r="AB155" s="502"/>
      <c r="AC155" s="451"/>
      <c r="AD155" s="518"/>
      <c r="AE155" s="451"/>
      <c r="AF155" s="502"/>
      <c r="AG155" s="519"/>
      <c r="AH155" s="451"/>
      <c r="AI155" s="502"/>
      <c r="AJ155" s="451"/>
      <c r="AK155" s="518"/>
      <c r="AL155" s="451"/>
      <c r="AM155" s="443"/>
      <c r="AN155" s="522"/>
      <c r="AO155" s="523"/>
      <c r="AP155" s="522"/>
      <c r="AQ155" s="524"/>
      <c r="AR155" s="522"/>
      <c r="AS155" s="444"/>
      <c r="AT155" s="522"/>
      <c r="AU155" s="523"/>
      <c r="AV155" s="522"/>
      <c r="AW155" s="524"/>
      <c r="AX155" s="522"/>
      <c r="AY155" s="444"/>
      <c r="AZ155" s="492"/>
      <c r="BA155" s="492"/>
      <c r="BB155" s="492"/>
      <c r="BC155" s="492"/>
      <c r="BD155" s="492"/>
      <c r="BE155" s="492"/>
      <c r="BF155" s="492"/>
      <c r="BG155" s="492"/>
      <c r="BH155" s="492"/>
      <c r="BI155" s="492"/>
      <c r="BJ155" s="492"/>
      <c r="BK155" s="492"/>
    </row>
    <row r="156" spans="3:63" ht="18.75" x14ac:dyDescent="0.4">
      <c r="C156" s="451" t="s">
        <v>1107</v>
      </c>
      <c r="D156" s="451">
        <v>0</v>
      </c>
      <c r="E156" s="502">
        <v>0</v>
      </c>
      <c r="F156" s="451">
        <v>0</v>
      </c>
      <c r="G156" s="502">
        <v>0</v>
      </c>
      <c r="H156" s="451">
        <v>0</v>
      </c>
      <c r="I156" s="502">
        <v>0</v>
      </c>
      <c r="J156" s="451">
        <v>0</v>
      </c>
      <c r="K156" s="502">
        <v>0</v>
      </c>
      <c r="L156" s="451">
        <v>0</v>
      </c>
      <c r="M156" s="502">
        <v>0</v>
      </c>
      <c r="N156" s="451">
        <v>0</v>
      </c>
      <c r="O156" s="502">
        <v>0</v>
      </c>
      <c r="P156" s="492">
        <v>2</v>
      </c>
      <c r="Q156" s="492">
        <v>0.3</v>
      </c>
      <c r="R156" s="492">
        <v>1</v>
      </c>
      <c r="S156" s="492">
        <v>0.3</v>
      </c>
      <c r="T156" s="492">
        <v>1</v>
      </c>
      <c r="U156" s="451">
        <v>1</v>
      </c>
      <c r="V156" s="502">
        <v>1.4120105618390026</v>
      </c>
      <c r="W156" s="451">
        <v>1</v>
      </c>
      <c r="X156" s="502">
        <v>2.8580410986309985</v>
      </c>
      <c r="Y156" s="451">
        <v>0</v>
      </c>
      <c r="Z156" s="502">
        <v>0</v>
      </c>
      <c r="AA156" s="451">
        <v>2</v>
      </c>
      <c r="AB156" s="502">
        <v>2.7478189187332553</v>
      </c>
      <c r="AC156" s="451">
        <v>1</v>
      </c>
      <c r="AD156" s="518">
        <v>2.8146021559852512</v>
      </c>
      <c r="AE156" s="451">
        <v>1</v>
      </c>
      <c r="AF156" s="502">
        <v>2.684131415074082</v>
      </c>
      <c r="AG156" s="519">
        <v>0</v>
      </c>
      <c r="AH156" s="451">
        <v>1</v>
      </c>
      <c r="AI156" s="502">
        <v>0.2</v>
      </c>
      <c r="AJ156" s="451">
        <v>1</v>
      </c>
      <c r="AK156" s="518">
        <v>0.2</v>
      </c>
      <c r="AL156" s="451">
        <v>0</v>
      </c>
      <c r="AM156" s="443"/>
      <c r="AN156" s="491">
        <v>0</v>
      </c>
      <c r="AO156" s="497">
        <v>0</v>
      </c>
      <c r="AP156" s="491">
        <v>0</v>
      </c>
      <c r="AQ156" s="497">
        <v>0</v>
      </c>
      <c r="AR156" s="491">
        <v>0</v>
      </c>
      <c r="AS156" s="497">
        <v>0</v>
      </c>
      <c r="AT156" s="491">
        <v>1</v>
      </c>
      <c r="AU156" s="497">
        <v>1.4138872000791778</v>
      </c>
      <c r="AV156" s="491">
        <v>0</v>
      </c>
      <c r="AW156" s="497">
        <v>0</v>
      </c>
      <c r="AX156" s="491">
        <v>1</v>
      </c>
      <c r="AY156" s="497">
        <v>2.7618205921343351</v>
      </c>
      <c r="AZ156" s="492">
        <v>1</v>
      </c>
      <c r="BA156" s="492">
        <v>1.4</v>
      </c>
      <c r="BB156" s="492">
        <v>1</v>
      </c>
      <c r="BC156" s="492">
        <v>2.9</v>
      </c>
      <c r="BD156" s="492">
        <v>0</v>
      </c>
      <c r="BE156" s="492">
        <v>0</v>
      </c>
      <c r="BF156" s="492">
        <v>1</v>
      </c>
      <c r="BG156" s="492">
        <v>1.4</v>
      </c>
      <c r="BH156" s="492">
        <v>1</v>
      </c>
      <c r="BI156" s="492">
        <v>3</v>
      </c>
      <c r="BJ156" s="492">
        <v>0</v>
      </c>
      <c r="BK156" s="492">
        <v>0</v>
      </c>
    </row>
    <row r="157" spans="3:63" ht="18.75" x14ac:dyDescent="0.4">
      <c r="C157" s="451" t="s">
        <v>1108</v>
      </c>
      <c r="D157" s="451">
        <v>12</v>
      </c>
      <c r="E157" s="502">
        <v>4.0793432257406561</v>
      </c>
      <c r="F157" s="451">
        <v>7</v>
      </c>
      <c r="G157" s="502">
        <v>4.8786267362684077</v>
      </c>
      <c r="H157" s="451">
        <v>5</v>
      </c>
      <c r="I157" s="502">
        <v>3.3182463731567138</v>
      </c>
      <c r="J157" s="451">
        <v>4</v>
      </c>
      <c r="K157" s="502">
        <v>2.7804037146193625</v>
      </c>
      <c r="L157" s="451">
        <v>2</v>
      </c>
      <c r="M157" s="502">
        <v>1.3252054068380599</v>
      </c>
      <c r="N157" s="451">
        <v>2</v>
      </c>
      <c r="O157" s="502">
        <v>0.66530722224255101</v>
      </c>
      <c r="P157" s="492">
        <v>3</v>
      </c>
      <c r="Q157" s="492">
        <v>1</v>
      </c>
      <c r="R157" s="492">
        <v>1</v>
      </c>
      <c r="S157" s="492">
        <v>0.7</v>
      </c>
      <c r="T157" s="492">
        <v>2</v>
      </c>
      <c r="U157" s="451">
        <v>0</v>
      </c>
      <c r="V157" s="502">
        <v>0</v>
      </c>
      <c r="W157" s="451">
        <v>0</v>
      </c>
      <c r="X157" s="502">
        <v>0</v>
      </c>
      <c r="Y157" s="451">
        <v>0</v>
      </c>
      <c r="Z157" s="502">
        <v>0</v>
      </c>
      <c r="AA157" s="451">
        <v>2</v>
      </c>
      <c r="AB157" s="502">
        <v>0.67344829095659964</v>
      </c>
      <c r="AC157" s="451">
        <v>2</v>
      </c>
      <c r="AD157" s="518">
        <v>1.3793483958178157</v>
      </c>
      <c r="AE157" s="451">
        <v>0</v>
      </c>
      <c r="AF157" s="502">
        <v>0</v>
      </c>
      <c r="AG157" s="519">
        <v>0</v>
      </c>
      <c r="AH157" s="451">
        <v>3</v>
      </c>
      <c r="AI157" s="502">
        <v>0.81523732917381131</v>
      </c>
      <c r="AJ157" s="451">
        <v>1</v>
      </c>
      <c r="AK157" s="518">
        <v>0.55661931691677424</v>
      </c>
      <c r="AL157" s="451">
        <v>2</v>
      </c>
      <c r="AM157" s="443">
        <v>1.0619375049778321</v>
      </c>
      <c r="AN157" s="491">
        <v>5</v>
      </c>
      <c r="AO157" s="497">
        <v>1.7047333626547472</v>
      </c>
      <c r="AP157" s="491">
        <v>3</v>
      </c>
      <c r="AQ157" s="497">
        <v>2.0950598488763497</v>
      </c>
      <c r="AR157" s="491">
        <v>2</v>
      </c>
      <c r="AS157" s="497">
        <v>1.3323829001978589</v>
      </c>
      <c r="AT157" s="491">
        <v>5</v>
      </c>
      <c r="AU157" s="497">
        <v>1.7095770506376724</v>
      </c>
      <c r="AV157" s="491">
        <v>1</v>
      </c>
      <c r="AW157" s="497">
        <v>0.70032915470271029</v>
      </c>
      <c r="AX157" s="491">
        <v>4</v>
      </c>
      <c r="AY157" s="497">
        <v>2.672367717797969</v>
      </c>
      <c r="AZ157" s="492">
        <v>5</v>
      </c>
      <c r="BA157" s="492">
        <v>1.7</v>
      </c>
      <c r="BB157" s="492">
        <v>1</v>
      </c>
      <c r="BC157" s="492">
        <v>0.7</v>
      </c>
      <c r="BD157" s="492">
        <v>4</v>
      </c>
      <c r="BE157" s="492">
        <v>2.7</v>
      </c>
      <c r="BF157" s="492">
        <v>10</v>
      </c>
      <c r="BG157" s="492">
        <v>3.5</v>
      </c>
      <c r="BH157" s="492">
        <v>7</v>
      </c>
      <c r="BI157" s="492">
        <v>5</v>
      </c>
      <c r="BJ157" s="492">
        <v>3</v>
      </c>
      <c r="BK157" s="492">
        <v>2</v>
      </c>
    </row>
    <row r="158" spans="3:63" ht="18.75" x14ac:dyDescent="0.4">
      <c r="C158" s="451" t="s">
        <v>1109</v>
      </c>
      <c r="D158" s="451">
        <v>11</v>
      </c>
      <c r="E158" s="502">
        <v>2.9875067897881586</v>
      </c>
      <c r="F158" s="451">
        <v>6</v>
      </c>
      <c r="G158" s="502">
        <v>3.347635174718659</v>
      </c>
      <c r="H158" s="451">
        <v>5</v>
      </c>
      <c r="I158" s="502">
        <v>2.6459366351094626</v>
      </c>
      <c r="J158" s="451">
        <v>4</v>
      </c>
      <c r="K158" s="502">
        <v>2.2175407473112321</v>
      </c>
      <c r="L158" s="451">
        <v>4</v>
      </c>
      <c r="M158" s="502">
        <v>2.1040782296285778</v>
      </c>
      <c r="N158" s="451">
        <v>0</v>
      </c>
      <c r="O158" s="502">
        <v>0</v>
      </c>
      <c r="P158" s="492">
        <v>1</v>
      </c>
      <c r="Q158" s="492">
        <v>0.3</v>
      </c>
      <c r="R158" s="492">
        <v>1</v>
      </c>
      <c r="S158" s="492">
        <v>0.6</v>
      </c>
      <c r="T158" s="492">
        <v>0</v>
      </c>
      <c r="U158" s="451">
        <v>0</v>
      </c>
      <c r="V158" s="502">
        <v>0</v>
      </c>
      <c r="W158" s="451">
        <v>0</v>
      </c>
      <c r="X158" s="502">
        <v>0</v>
      </c>
      <c r="Y158" s="451">
        <v>0</v>
      </c>
      <c r="Z158" s="502">
        <v>0</v>
      </c>
      <c r="AA158" s="451">
        <v>3</v>
      </c>
      <c r="AB158" s="502">
        <v>0.80676173905560467</v>
      </c>
      <c r="AC158" s="451">
        <v>1</v>
      </c>
      <c r="AD158" s="518">
        <v>0.55146247849296337</v>
      </c>
      <c r="AE158" s="451">
        <v>2</v>
      </c>
      <c r="AF158" s="502">
        <v>1.0497530455960236</v>
      </c>
      <c r="AG158" s="519">
        <v>1</v>
      </c>
      <c r="AH158" s="451">
        <v>3</v>
      </c>
      <c r="AI158" s="502">
        <v>0.80833555625611297</v>
      </c>
      <c r="AJ158" s="451">
        <v>1</v>
      </c>
      <c r="AK158" s="518">
        <v>0.55213233507807158</v>
      </c>
      <c r="AL158" s="451">
        <v>2</v>
      </c>
      <c r="AM158" s="443">
        <v>1.052537404548014</v>
      </c>
      <c r="AN158" s="491">
        <v>2</v>
      </c>
      <c r="AO158" s="497">
        <v>0.53810887018661624</v>
      </c>
      <c r="AP158" s="491">
        <v>1</v>
      </c>
      <c r="AQ158" s="497">
        <v>0.5515354747617367</v>
      </c>
      <c r="AR158" s="491">
        <v>1</v>
      </c>
      <c r="AS158" s="497">
        <v>0.52532044547173773</v>
      </c>
      <c r="AT158" s="491">
        <v>3</v>
      </c>
      <c r="AU158" s="497">
        <v>0.79882413087934567</v>
      </c>
      <c r="AV158" s="491">
        <v>0</v>
      </c>
      <c r="AW158" s="497">
        <v>0</v>
      </c>
      <c r="AX158" s="491">
        <v>3</v>
      </c>
      <c r="AY158" s="497">
        <v>1.5605006085952373</v>
      </c>
      <c r="AZ158" s="492">
        <v>2</v>
      </c>
      <c r="BA158" s="492">
        <v>0.5</v>
      </c>
      <c r="BB158" s="492">
        <v>2</v>
      </c>
      <c r="BC158" s="492">
        <v>1.1000000000000001</v>
      </c>
      <c r="BD158" s="492">
        <v>0</v>
      </c>
      <c r="BE158" s="492">
        <v>0</v>
      </c>
      <c r="BF158" s="492">
        <v>5</v>
      </c>
      <c r="BG158" s="492">
        <v>1.3</v>
      </c>
      <c r="BH158" s="492">
        <v>3</v>
      </c>
      <c r="BI158" s="492">
        <v>1.6</v>
      </c>
      <c r="BJ158" s="492">
        <v>2</v>
      </c>
      <c r="BK158" s="492">
        <v>1</v>
      </c>
    </row>
    <row r="159" spans="3:63" ht="18.75" x14ac:dyDescent="0.4">
      <c r="C159" s="451" t="s">
        <v>1110</v>
      </c>
      <c r="D159" s="451">
        <v>5</v>
      </c>
      <c r="E159" s="502">
        <v>1.3029519679786523</v>
      </c>
      <c r="F159" s="451">
        <v>4</v>
      </c>
      <c r="G159" s="502">
        <v>2.1398269949874553</v>
      </c>
      <c r="H159" s="451">
        <v>1</v>
      </c>
      <c r="I159" s="502">
        <v>0.50809651801456202</v>
      </c>
      <c r="J159" s="451">
        <v>4</v>
      </c>
      <c r="K159" s="502">
        <v>2.1844912046922871</v>
      </c>
      <c r="L159" s="451">
        <v>0</v>
      </c>
      <c r="M159" s="502">
        <v>0</v>
      </c>
      <c r="N159" s="451">
        <v>4</v>
      </c>
      <c r="O159" s="502">
        <v>1.083582105725106</v>
      </c>
      <c r="P159" s="492">
        <v>1</v>
      </c>
      <c r="Q159" s="492">
        <v>0.3</v>
      </c>
      <c r="R159" s="492">
        <v>0</v>
      </c>
      <c r="S159" s="492">
        <v>0</v>
      </c>
      <c r="T159" s="492">
        <v>1</v>
      </c>
      <c r="U159" s="451">
        <v>3</v>
      </c>
      <c r="V159" s="502">
        <v>0.81912604711613024</v>
      </c>
      <c r="W159" s="451">
        <v>3</v>
      </c>
      <c r="X159" s="502">
        <v>1.6816991888604247</v>
      </c>
      <c r="Y159" s="451">
        <v>0</v>
      </c>
      <c r="Z159" s="502">
        <v>0</v>
      </c>
      <c r="AA159" s="451">
        <v>6</v>
      </c>
      <c r="AB159" s="502">
        <v>1.6213324109753395</v>
      </c>
      <c r="AC159" s="451">
        <v>1</v>
      </c>
      <c r="AD159" s="518">
        <v>0.55407494417694936</v>
      </c>
      <c r="AE159" s="451">
        <v>5</v>
      </c>
      <c r="AF159" s="502">
        <v>2.6373394519608619</v>
      </c>
      <c r="AG159" s="519">
        <v>1</v>
      </c>
      <c r="AH159" s="451">
        <v>6</v>
      </c>
      <c r="AI159" s="502">
        <v>1.6111361732293612</v>
      </c>
      <c r="AJ159" s="451">
        <v>3</v>
      </c>
      <c r="AK159" s="518">
        <v>1.6540225829216655</v>
      </c>
      <c r="AL159" s="451">
        <v>3</v>
      </c>
      <c r="AM159" s="443">
        <v>1.5704175216717617</v>
      </c>
      <c r="AN159" s="491">
        <v>0</v>
      </c>
      <c r="AO159" s="497">
        <v>0</v>
      </c>
      <c r="AP159" s="491">
        <v>0</v>
      </c>
      <c r="AQ159" s="497">
        <v>0</v>
      </c>
      <c r="AR159" s="491">
        <v>0</v>
      </c>
      <c r="AS159" s="497">
        <v>0</v>
      </c>
      <c r="AT159" s="491">
        <v>3</v>
      </c>
      <c r="AU159" s="497">
        <v>0.80358721332026162</v>
      </c>
      <c r="AV159" s="491">
        <v>2</v>
      </c>
      <c r="AW159" s="497">
        <v>1.0991003863337858</v>
      </c>
      <c r="AX159" s="491">
        <v>1</v>
      </c>
      <c r="AY159" s="497">
        <v>0.52257798169931902</v>
      </c>
      <c r="AZ159" s="492">
        <v>4</v>
      </c>
      <c r="BA159" s="492">
        <v>1.1000000000000001</v>
      </c>
      <c r="BB159" s="492">
        <v>3</v>
      </c>
      <c r="BC159" s="492">
        <v>1.6</v>
      </c>
      <c r="BD159" s="492">
        <v>1</v>
      </c>
      <c r="BE159" s="492">
        <v>0.5</v>
      </c>
      <c r="BF159" s="492">
        <v>4</v>
      </c>
      <c r="BG159" s="492">
        <v>1.1000000000000001</v>
      </c>
      <c r="BH159" s="492">
        <v>3</v>
      </c>
      <c r="BI159" s="492">
        <v>1.6</v>
      </c>
      <c r="BJ159" s="492">
        <v>1</v>
      </c>
      <c r="BK159" s="492">
        <v>0.5</v>
      </c>
    </row>
    <row r="160" spans="3:63" ht="18.75" x14ac:dyDescent="0.4">
      <c r="C160" s="451" t="s">
        <v>1111</v>
      </c>
      <c r="D160" s="451">
        <v>13</v>
      </c>
      <c r="E160" s="502">
        <v>3.1426243814469124</v>
      </c>
      <c r="F160" s="451">
        <v>3</v>
      </c>
      <c r="G160" s="502">
        <v>1.4938379185858335</v>
      </c>
      <c r="H160" s="451">
        <v>10</v>
      </c>
      <c r="I160" s="502">
        <v>4.698320820138882</v>
      </c>
      <c r="J160" s="451">
        <v>14</v>
      </c>
      <c r="K160" s="502">
        <v>6.9994050505707017</v>
      </c>
      <c r="L160" s="451">
        <v>3</v>
      </c>
      <c r="M160" s="502">
        <v>1.420689981767812</v>
      </c>
      <c r="N160" s="451">
        <v>11</v>
      </c>
      <c r="O160" s="502">
        <v>2.7010435850214853</v>
      </c>
      <c r="P160" s="492">
        <v>14</v>
      </c>
      <c r="Q160" s="492">
        <v>3.4</v>
      </c>
      <c r="R160" s="492">
        <v>10</v>
      </c>
      <c r="S160" s="492">
        <v>5</v>
      </c>
      <c r="T160" s="492">
        <v>4</v>
      </c>
      <c r="U160" s="451">
        <v>14</v>
      </c>
      <c r="V160" s="502">
        <v>3.481928789582069</v>
      </c>
      <c r="W160" s="451">
        <v>7</v>
      </c>
      <c r="X160" s="502">
        <v>3.5679516389640704</v>
      </c>
      <c r="Y160" s="451">
        <v>7</v>
      </c>
      <c r="Z160" s="502">
        <v>3.3999562862763191</v>
      </c>
      <c r="AA160" s="451">
        <v>9</v>
      </c>
      <c r="AB160" s="502">
        <v>2.2823754964166705</v>
      </c>
      <c r="AC160" s="451">
        <v>2</v>
      </c>
      <c r="AD160" s="518">
        <v>1.04192714845378</v>
      </c>
      <c r="AE160" s="451">
        <v>7</v>
      </c>
      <c r="AF160" s="502">
        <v>3.4589423542549933</v>
      </c>
      <c r="AG160" s="519">
        <v>1</v>
      </c>
      <c r="AH160" s="451">
        <v>9</v>
      </c>
      <c r="AI160" s="502">
        <v>2.3098896642703699</v>
      </c>
      <c r="AJ160" s="451">
        <v>4</v>
      </c>
      <c r="AK160" s="518">
        <v>2.1056288723830985</v>
      </c>
      <c r="AL160" s="451">
        <v>5</v>
      </c>
      <c r="AM160" s="443">
        <v>2.5042321523374502</v>
      </c>
      <c r="AN160" s="491">
        <v>4</v>
      </c>
      <c r="AO160" s="497">
        <v>1.0489464643948234</v>
      </c>
      <c r="AP160" s="491">
        <v>2</v>
      </c>
      <c r="AQ160" s="497">
        <v>1.0750202910079929</v>
      </c>
      <c r="AR160" s="491">
        <v>2</v>
      </c>
      <c r="AS160" s="497">
        <v>1.0241074903221841</v>
      </c>
      <c r="AT160" s="491">
        <v>17</v>
      </c>
      <c r="AU160" s="497">
        <v>4.5367328584886275</v>
      </c>
      <c r="AV160" s="491">
        <v>6</v>
      </c>
      <c r="AW160" s="497">
        <v>3.2904839205019085</v>
      </c>
      <c r="AX160" s="491">
        <v>11</v>
      </c>
      <c r="AY160" s="497">
        <v>5.7179987004548405</v>
      </c>
      <c r="AZ160" s="492">
        <v>14</v>
      </c>
      <c r="BA160" s="492">
        <v>3.8</v>
      </c>
      <c r="BB160" s="492">
        <v>4</v>
      </c>
      <c r="BC160" s="492">
        <v>2.2000000000000002</v>
      </c>
      <c r="BD160" s="492">
        <v>10</v>
      </c>
      <c r="BE160" s="492">
        <v>5.2</v>
      </c>
      <c r="BF160" s="492">
        <v>20</v>
      </c>
      <c r="BG160" s="492">
        <v>5.3</v>
      </c>
      <c r="BH160" s="492">
        <v>10</v>
      </c>
      <c r="BI160" s="492">
        <v>5.5</v>
      </c>
      <c r="BJ160" s="492">
        <v>10</v>
      </c>
      <c r="BK160" s="492">
        <v>5.2</v>
      </c>
    </row>
    <row r="161" spans="3:63" ht="18.75" x14ac:dyDescent="0.4">
      <c r="C161" s="451" t="s">
        <v>1112</v>
      </c>
      <c r="D161" s="451">
        <v>32</v>
      </c>
      <c r="E161" s="502">
        <v>7.2988871478001833</v>
      </c>
      <c r="F161" s="451">
        <v>13</v>
      </c>
      <c r="G161" s="502">
        <v>6.1666318805381106</v>
      </c>
      <c r="H161" s="451">
        <v>19</v>
      </c>
      <c r="I161" s="502">
        <v>8.3475754686724279</v>
      </c>
      <c r="J161" s="451">
        <v>26</v>
      </c>
      <c r="K161" s="502">
        <v>12.404402608741288</v>
      </c>
      <c r="L161" s="451">
        <v>11</v>
      </c>
      <c r="M161" s="502">
        <v>4.8688724134115304</v>
      </c>
      <c r="N161" s="451">
        <v>15</v>
      </c>
      <c r="O161" s="502">
        <v>3.448442338595656</v>
      </c>
      <c r="P161" s="492">
        <v>30</v>
      </c>
      <c r="Q161" s="492">
        <v>6.9</v>
      </c>
      <c r="R161" s="492">
        <v>10</v>
      </c>
      <c r="S161" s="492">
        <v>4.8</v>
      </c>
      <c r="T161" s="492">
        <v>20</v>
      </c>
      <c r="U161" s="451">
        <v>28</v>
      </c>
      <c r="V161" s="502">
        <v>6.4705923133985168</v>
      </c>
      <c r="W161" s="451">
        <v>9</v>
      </c>
      <c r="X161" s="502">
        <v>4.2992877513291967</v>
      </c>
      <c r="Y161" s="451">
        <v>19</v>
      </c>
      <c r="Z161" s="502">
        <v>8.5053046241998302</v>
      </c>
      <c r="AA161" s="451">
        <v>33</v>
      </c>
      <c r="AB161" s="502">
        <v>7.7248818444208798</v>
      </c>
      <c r="AC161" s="451">
        <v>9</v>
      </c>
      <c r="AD161" s="518">
        <v>4.3348216220902511</v>
      </c>
      <c r="AE161" s="451">
        <v>24</v>
      </c>
      <c r="AF161" s="502">
        <v>10.93045498018855</v>
      </c>
      <c r="AG161" s="519">
        <v>7</v>
      </c>
      <c r="AH161" s="451">
        <v>30</v>
      </c>
      <c r="AI161" s="502">
        <v>7.1003060231895994</v>
      </c>
      <c r="AJ161" s="451">
        <v>7</v>
      </c>
      <c r="AK161" s="518">
        <v>3.3973985633857504</v>
      </c>
      <c r="AL161" s="451">
        <v>23</v>
      </c>
      <c r="AM161" s="443">
        <v>10.624685301440799</v>
      </c>
      <c r="AN161" s="491">
        <v>25</v>
      </c>
      <c r="AO161" s="497">
        <v>5.9567918148915036</v>
      </c>
      <c r="AP161" s="491">
        <v>9</v>
      </c>
      <c r="AQ161" s="497">
        <v>4.3900297546461147</v>
      </c>
      <c r="AR161" s="491">
        <v>16</v>
      </c>
      <c r="AS161" s="497">
        <v>7.452987949450109</v>
      </c>
      <c r="AT161" s="491">
        <v>31</v>
      </c>
      <c r="AU161" s="497">
        <v>7.4615010614586996</v>
      </c>
      <c r="AV161" s="491">
        <v>10</v>
      </c>
      <c r="AW161" s="497">
        <v>4.9102166878624356</v>
      </c>
      <c r="AX161" s="491">
        <v>21</v>
      </c>
      <c r="AY161" s="497">
        <v>9.9145928643258774</v>
      </c>
      <c r="AZ161" s="492">
        <v>25</v>
      </c>
      <c r="BA161" s="492">
        <v>6.1</v>
      </c>
      <c r="BB161" s="492">
        <v>5</v>
      </c>
      <c r="BC161" s="492">
        <v>2.5</v>
      </c>
      <c r="BD161" s="492">
        <v>20</v>
      </c>
      <c r="BE161" s="492">
        <v>9.6</v>
      </c>
      <c r="BF161" s="492">
        <v>22</v>
      </c>
      <c r="BG161" s="492">
        <v>5.5</v>
      </c>
      <c r="BH161" s="492">
        <v>7</v>
      </c>
      <c r="BI161" s="492">
        <v>3.6</v>
      </c>
      <c r="BJ161" s="492">
        <v>15</v>
      </c>
      <c r="BK161" s="492">
        <v>7.3</v>
      </c>
    </row>
    <row r="162" spans="3:63" ht="18.75" x14ac:dyDescent="0.4">
      <c r="C162" s="451" t="s">
        <v>1113</v>
      </c>
      <c r="D162" s="451">
        <v>33</v>
      </c>
      <c r="E162" s="502">
        <v>7.3356318313071425</v>
      </c>
      <c r="F162" s="451">
        <v>10</v>
      </c>
      <c r="G162" s="502">
        <v>4.5782095538076968</v>
      </c>
      <c r="H162" s="451">
        <v>23</v>
      </c>
      <c r="I162" s="502">
        <v>9.9380814317750712</v>
      </c>
      <c r="J162" s="451">
        <v>42</v>
      </c>
      <c r="K162" s="502">
        <v>19.171866655102683</v>
      </c>
      <c r="L162" s="451">
        <v>11</v>
      </c>
      <c r="M162" s="502">
        <v>4.7318544137447462</v>
      </c>
      <c r="N162" s="451">
        <v>31</v>
      </c>
      <c r="O162" s="502">
        <v>6.9423604921461743</v>
      </c>
      <c r="P162" s="492">
        <v>38</v>
      </c>
      <c r="Q162" s="492">
        <v>8.5</v>
      </c>
      <c r="R162" s="492">
        <v>14</v>
      </c>
      <c r="S162" s="492">
        <v>6.5</v>
      </c>
      <c r="T162" s="492">
        <v>24</v>
      </c>
      <c r="U162" s="451">
        <v>32</v>
      </c>
      <c r="V162" s="502">
        <v>7.1713343836350152</v>
      </c>
      <c r="W162" s="451">
        <v>6</v>
      </c>
      <c r="X162" s="502">
        <v>2.7842873384533284</v>
      </c>
      <c r="Y162" s="451">
        <v>26</v>
      </c>
      <c r="Z162" s="502">
        <v>11.26877768435287</v>
      </c>
      <c r="AA162" s="451">
        <v>44</v>
      </c>
      <c r="AB162" s="502">
        <v>9.8170459616242738</v>
      </c>
      <c r="AC162" s="451">
        <v>13</v>
      </c>
      <c r="AD162" s="518">
        <v>6.0083932632045993</v>
      </c>
      <c r="AE162" s="451">
        <v>31</v>
      </c>
      <c r="AF162" s="502">
        <v>13.371521247778603</v>
      </c>
      <c r="AG162" s="519">
        <v>12</v>
      </c>
      <c r="AH162" s="451">
        <v>40</v>
      </c>
      <c r="AI162" s="502">
        <v>8.9807923304033483</v>
      </c>
      <c r="AJ162" s="451">
        <v>13</v>
      </c>
      <c r="AK162" s="518">
        <v>6.0456961619130443</v>
      </c>
      <c r="AL162" s="451">
        <v>27</v>
      </c>
      <c r="AM162" s="443">
        <v>11.720479584660932</v>
      </c>
      <c r="AN162" s="491">
        <v>30</v>
      </c>
      <c r="AO162" s="497">
        <v>6.7849356335772892</v>
      </c>
      <c r="AP162" s="491">
        <v>14</v>
      </c>
      <c r="AQ162" s="497">
        <v>6.5524665356173362</v>
      </c>
      <c r="AR162" s="491">
        <v>16</v>
      </c>
      <c r="AS162" s="497">
        <v>7.0023107625516428</v>
      </c>
      <c r="AT162" s="491">
        <v>34</v>
      </c>
      <c r="AU162" s="497">
        <v>7.7044744868593389</v>
      </c>
      <c r="AV162" s="491">
        <v>12</v>
      </c>
      <c r="AW162" s="497">
        <v>5.6151646881009976</v>
      </c>
      <c r="AX162" s="491">
        <v>22</v>
      </c>
      <c r="AY162" s="497">
        <v>9.6662931962477199</v>
      </c>
      <c r="AZ162" s="492">
        <v>50</v>
      </c>
      <c r="BA162" s="492">
        <v>11.4</v>
      </c>
      <c r="BB162" s="492">
        <v>21</v>
      </c>
      <c r="BC162" s="492">
        <v>9.9</v>
      </c>
      <c r="BD162" s="492">
        <v>29</v>
      </c>
      <c r="BE162" s="492">
        <v>12.9</v>
      </c>
      <c r="BF162" s="492">
        <v>57</v>
      </c>
      <c r="BG162" s="492">
        <v>13.2</v>
      </c>
      <c r="BH162" s="492">
        <v>10</v>
      </c>
      <c r="BI162" s="492">
        <v>4.7</v>
      </c>
      <c r="BJ162" s="492">
        <v>47</v>
      </c>
      <c r="BK162" s="492">
        <v>21.2</v>
      </c>
    </row>
    <row r="163" spans="3:63" ht="18.75" x14ac:dyDescent="0.4">
      <c r="C163" s="451" t="s">
        <v>1114</v>
      </c>
      <c r="D163" s="451">
        <v>44</v>
      </c>
      <c r="E163" s="502">
        <v>11.037084604270348</v>
      </c>
      <c r="F163" s="451">
        <v>16</v>
      </c>
      <c r="G163" s="502">
        <v>8.198737394441256</v>
      </c>
      <c r="H163" s="451">
        <v>28</v>
      </c>
      <c r="I163" s="502">
        <v>13.75894331315355</v>
      </c>
      <c r="J163" s="451">
        <v>50</v>
      </c>
      <c r="K163" s="502">
        <v>24.802694564737511</v>
      </c>
      <c r="L163" s="451">
        <v>15</v>
      </c>
      <c r="M163" s="502">
        <v>7.0994154814586938</v>
      </c>
      <c r="N163" s="451">
        <v>35</v>
      </c>
      <c r="O163" s="502">
        <v>8.1565308177038673</v>
      </c>
      <c r="P163" s="492">
        <v>45</v>
      </c>
      <c r="Q163" s="492">
        <v>10.5</v>
      </c>
      <c r="R163" s="492">
        <v>17</v>
      </c>
      <c r="S163" s="492">
        <v>8.1</v>
      </c>
      <c r="T163" s="492">
        <v>28</v>
      </c>
      <c r="U163" s="451">
        <v>39</v>
      </c>
      <c r="V163" s="502">
        <v>8.9029509858306106</v>
      </c>
      <c r="W163" s="451">
        <v>13</v>
      </c>
      <c r="X163" s="502">
        <v>6.0911041766232792</v>
      </c>
      <c r="Y163" s="451">
        <v>26</v>
      </c>
      <c r="Z163" s="502">
        <v>11.574537797543526</v>
      </c>
      <c r="AA163" s="451">
        <v>38</v>
      </c>
      <c r="AB163" s="502">
        <v>8.5366593356232556</v>
      </c>
      <c r="AC163" s="451">
        <v>11</v>
      </c>
      <c r="AD163" s="518">
        <v>5.0773136395107317</v>
      </c>
      <c r="AE163" s="451">
        <v>27</v>
      </c>
      <c r="AF163" s="502">
        <v>11.816761419586939</v>
      </c>
      <c r="AG163" s="519">
        <v>11</v>
      </c>
      <c r="AH163" s="451">
        <v>38</v>
      </c>
      <c r="AI163" s="502">
        <v>8.3936905953114618</v>
      </c>
      <c r="AJ163" s="451">
        <v>12</v>
      </c>
      <c r="AK163" s="518">
        <v>5.448700484934343</v>
      </c>
      <c r="AL163" s="451">
        <v>26</v>
      </c>
      <c r="AM163" s="443">
        <v>11.183517216164484</v>
      </c>
      <c r="AN163" s="491">
        <v>47</v>
      </c>
      <c r="AO163" s="497">
        <v>10.348160559417156</v>
      </c>
      <c r="AP163" s="491">
        <v>15</v>
      </c>
      <c r="AQ163" s="497">
        <v>6.7924938414722495</v>
      </c>
      <c r="AR163" s="491">
        <v>32</v>
      </c>
      <c r="AS163" s="497">
        <v>13.713012363137709</v>
      </c>
      <c r="AT163" s="491">
        <v>37</v>
      </c>
      <c r="AU163" s="497">
        <v>8.2397821134373022</v>
      </c>
      <c r="AV163" s="491">
        <v>10</v>
      </c>
      <c r="AW163" s="497">
        <v>4.5925490484238374</v>
      </c>
      <c r="AX163" s="491">
        <v>27</v>
      </c>
      <c r="AY163" s="497">
        <v>11.673303155682953</v>
      </c>
      <c r="AZ163" s="492">
        <v>35</v>
      </c>
      <c r="BA163" s="492">
        <v>7.8</v>
      </c>
      <c r="BB163" s="492">
        <v>9</v>
      </c>
      <c r="BC163" s="492">
        <v>4.0999999999999996</v>
      </c>
      <c r="BD163" s="492">
        <v>26</v>
      </c>
      <c r="BE163" s="492">
        <v>11.2</v>
      </c>
      <c r="BF163" s="492">
        <v>56</v>
      </c>
      <c r="BG163" s="492">
        <v>12.4</v>
      </c>
      <c r="BH163" s="492">
        <v>16</v>
      </c>
      <c r="BI163" s="492">
        <v>7.3</v>
      </c>
      <c r="BJ163" s="492">
        <v>40</v>
      </c>
      <c r="BK163" s="492">
        <v>17.2</v>
      </c>
    </row>
    <row r="164" spans="3:63" ht="18.75" x14ac:dyDescent="0.4">
      <c r="C164" s="451" t="s">
        <v>1115</v>
      </c>
      <c r="D164" s="451">
        <v>39</v>
      </c>
      <c r="E164" s="502">
        <v>11.358308019839178</v>
      </c>
      <c r="F164" s="451">
        <v>17</v>
      </c>
      <c r="G164" s="502">
        <v>9.9531033190672176</v>
      </c>
      <c r="H164" s="451">
        <v>22</v>
      </c>
      <c r="I164" s="502">
        <v>12.74918868799258</v>
      </c>
      <c r="J164" s="451">
        <v>27</v>
      </c>
      <c r="K164" s="502">
        <v>15.263119216267095</v>
      </c>
      <c r="L164" s="451">
        <v>10</v>
      </c>
      <c r="M164" s="502">
        <v>5.5694482347633816</v>
      </c>
      <c r="N164" s="451">
        <v>17</v>
      </c>
      <c r="O164" s="502">
        <v>4.6123959497737212</v>
      </c>
      <c r="P164" s="492">
        <v>33</v>
      </c>
      <c r="Q164" s="492">
        <v>9</v>
      </c>
      <c r="R164" s="492">
        <v>16</v>
      </c>
      <c r="S164" s="492">
        <v>8.6999999999999993</v>
      </c>
      <c r="T164" s="492">
        <v>17</v>
      </c>
      <c r="U164" s="451">
        <v>30</v>
      </c>
      <c r="V164" s="502">
        <v>7.883326763894364</v>
      </c>
      <c r="W164" s="451">
        <v>7</v>
      </c>
      <c r="X164" s="502">
        <v>3.7161301282595769</v>
      </c>
      <c r="Y164" s="451">
        <v>23</v>
      </c>
      <c r="Z164" s="502">
        <v>11.967822168569377</v>
      </c>
      <c r="AA164" s="451">
        <v>40</v>
      </c>
      <c r="AB164" s="502">
        <v>10.306329890160288</v>
      </c>
      <c r="AC164" s="451">
        <v>10</v>
      </c>
      <c r="AD164" s="518">
        <v>5.2287034906824505</v>
      </c>
      <c r="AE164" s="451">
        <v>30</v>
      </c>
      <c r="AF164" s="502">
        <v>15.239333736329048</v>
      </c>
      <c r="AG164" s="519">
        <v>5</v>
      </c>
      <c r="AH164" s="451">
        <v>33</v>
      </c>
      <c r="AI164" s="502">
        <v>8.3029729675328596</v>
      </c>
      <c r="AJ164" s="451">
        <v>7</v>
      </c>
      <c r="AK164" s="518">
        <v>3.5938350327038986</v>
      </c>
      <c r="AL164" s="451">
        <v>26</v>
      </c>
      <c r="AM164" s="443">
        <v>12.82873636946761</v>
      </c>
      <c r="AN164" s="491">
        <v>35</v>
      </c>
      <c r="AO164" s="497">
        <v>8.5045584433256227</v>
      </c>
      <c r="AP164" s="491">
        <v>7</v>
      </c>
      <c r="AQ164" s="497">
        <v>3.4788140226023514</v>
      </c>
      <c r="AR164" s="491">
        <v>28</v>
      </c>
      <c r="AS164" s="497">
        <v>13.312667002653026</v>
      </c>
      <c r="AT164" s="491">
        <v>33</v>
      </c>
      <c r="AU164" s="497">
        <v>7.7165365378005069</v>
      </c>
      <c r="AV164" s="491">
        <v>11</v>
      </c>
      <c r="AW164" s="497">
        <v>5.2691329402240816</v>
      </c>
      <c r="AX164" s="491">
        <v>22</v>
      </c>
      <c r="AY164" s="497">
        <v>10.050710402485267</v>
      </c>
      <c r="AZ164" s="492">
        <v>41</v>
      </c>
      <c r="BA164" s="492">
        <v>9.4</v>
      </c>
      <c r="BB164" s="492">
        <v>15</v>
      </c>
      <c r="BC164" s="492">
        <v>7</v>
      </c>
      <c r="BD164" s="492">
        <v>26</v>
      </c>
      <c r="BE164" s="492">
        <v>11.6</v>
      </c>
      <c r="BF164" s="492">
        <v>46</v>
      </c>
      <c r="BG164" s="492">
        <v>10.4</v>
      </c>
      <c r="BH164" s="492">
        <v>15</v>
      </c>
      <c r="BI164" s="492">
        <v>6.9</v>
      </c>
      <c r="BJ164" s="492">
        <v>31</v>
      </c>
      <c r="BK164" s="492">
        <v>13.6</v>
      </c>
    </row>
    <row r="165" spans="3:63" ht="18.75" x14ac:dyDescent="0.4">
      <c r="C165" s="451" t="s">
        <v>1116</v>
      </c>
      <c r="D165" s="451">
        <v>43</v>
      </c>
      <c r="E165" s="502">
        <v>14.194885879719799</v>
      </c>
      <c r="F165" s="451">
        <v>17</v>
      </c>
      <c r="G165" s="502">
        <v>11.177151272880288</v>
      </c>
      <c r="H165" s="451">
        <v>26</v>
      </c>
      <c r="I165" s="502">
        <v>17.237950009944971</v>
      </c>
      <c r="J165" s="451">
        <v>34</v>
      </c>
      <c r="K165" s="502">
        <v>22.126197417742606</v>
      </c>
      <c r="L165" s="451">
        <v>10</v>
      </c>
      <c r="M165" s="502">
        <v>6.5521782716664161</v>
      </c>
      <c r="N165" s="451">
        <v>24</v>
      </c>
      <c r="O165" s="502">
        <v>7.7088867403936021</v>
      </c>
      <c r="P165" s="492">
        <v>21</v>
      </c>
      <c r="Q165" s="492">
        <v>6.7</v>
      </c>
      <c r="R165" s="492">
        <v>5</v>
      </c>
      <c r="S165" s="492">
        <v>3.2</v>
      </c>
      <c r="T165" s="492">
        <v>16</v>
      </c>
      <c r="U165" s="451">
        <v>26</v>
      </c>
      <c r="V165" s="502">
        <v>8.1798561603755182</v>
      </c>
      <c r="W165" s="451">
        <v>7</v>
      </c>
      <c r="X165" s="502">
        <v>4.4124228613931908</v>
      </c>
      <c r="Y165" s="451">
        <v>19</v>
      </c>
      <c r="Z165" s="502">
        <v>11.933848791854833</v>
      </c>
      <c r="AA165" s="451">
        <v>22</v>
      </c>
      <c r="AB165" s="502">
        <v>6.6945606694560666</v>
      </c>
      <c r="AC165" s="451">
        <v>10</v>
      </c>
      <c r="AD165" s="518">
        <v>6.10232376488967</v>
      </c>
      <c r="AE165" s="451">
        <v>12</v>
      </c>
      <c r="AF165" s="502">
        <v>7.2836306470898862</v>
      </c>
      <c r="AG165" s="519">
        <v>6</v>
      </c>
      <c r="AH165" s="451">
        <v>28</v>
      </c>
      <c r="AI165" s="502">
        <v>8.2414994819628902</v>
      </c>
      <c r="AJ165" s="451">
        <v>9</v>
      </c>
      <c r="AK165" s="518">
        <v>5.3124299054387478</v>
      </c>
      <c r="AL165" s="451">
        <v>19</v>
      </c>
      <c r="AM165" s="443">
        <v>11.154817119708801</v>
      </c>
      <c r="AN165" s="491">
        <v>31</v>
      </c>
      <c r="AO165" s="497">
        <v>8.7866239239928685</v>
      </c>
      <c r="AP165" s="491">
        <v>12</v>
      </c>
      <c r="AQ165" s="497">
        <v>6.8365161113896358</v>
      </c>
      <c r="AR165" s="491">
        <v>19</v>
      </c>
      <c r="AS165" s="497">
        <v>10.717448570348768</v>
      </c>
      <c r="AT165" s="491">
        <v>26</v>
      </c>
      <c r="AU165" s="497">
        <v>7.1247711852330893</v>
      </c>
      <c r="AV165" s="491">
        <v>9</v>
      </c>
      <c r="AW165" s="497">
        <v>4.9579947665610797</v>
      </c>
      <c r="AX165" s="491">
        <v>17</v>
      </c>
      <c r="AY165" s="497">
        <v>9.2694071396245352</v>
      </c>
      <c r="AZ165" s="492">
        <v>41</v>
      </c>
      <c r="BA165" s="492">
        <v>10.9</v>
      </c>
      <c r="BB165" s="492">
        <v>14</v>
      </c>
      <c r="BC165" s="492">
        <v>7.5</v>
      </c>
      <c r="BD165" s="492">
        <v>27</v>
      </c>
      <c r="BE165" s="492">
        <v>14.2</v>
      </c>
      <c r="BF165" s="492">
        <v>35</v>
      </c>
      <c r="BG165" s="492">
        <v>9.1</v>
      </c>
      <c r="BH165" s="492">
        <v>18</v>
      </c>
      <c r="BI165" s="492">
        <v>9.5</v>
      </c>
      <c r="BJ165" s="492">
        <v>17</v>
      </c>
      <c r="BK165" s="492">
        <v>8.6999999999999993</v>
      </c>
    </row>
    <row r="166" spans="3:63" ht="18.75" x14ac:dyDescent="0.4">
      <c r="C166" s="451" t="s">
        <v>1117</v>
      </c>
      <c r="D166" s="451">
        <v>35</v>
      </c>
      <c r="E166" s="502">
        <v>11.844211395484987</v>
      </c>
      <c r="F166" s="451">
        <v>11</v>
      </c>
      <c r="G166" s="502">
        <v>7.3623409567027425</v>
      </c>
      <c r="H166" s="451">
        <v>24</v>
      </c>
      <c r="I166" s="502">
        <v>16.427779374922995</v>
      </c>
      <c r="J166" s="451">
        <v>36</v>
      </c>
      <c r="K166" s="502">
        <v>24.180385677151552</v>
      </c>
      <c r="L166" s="451">
        <v>13</v>
      </c>
      <c r="M166" s="502">
        <v>8.9600176443424377</v>
      </c>
      <c r="N166" s="451">
        <v>23</v>
      </c>
      <c r="O166" s="502">
        <v>7.8496150275760384</v>
      </c>
      <c r="P166" s="492">
        <v>30</v>
      </c>
      <c r="Q166" s="492">
        <v>10.199999999999999</v>
      </c>
      <c r="R166" s="492">
        <v>10</v>
      </c>
      <c r="S166" s="492">
        <v>6.7</v>
      </c>
      <c r="T166" s="492">
        <v>20</v>
      </c>
      <c r="U166" s="451">
        <v>33</v>
      </c>
      <c r="V166" s="502">
        <v>11.289461800566526</v>
      </c>
      <c r="W166" s="451">
        <v>11</v>
      </c>
      <c r="X166" s="502">
        <v>7.4281160947017275</v>
      </c>
      <c r="Y166" s="451">
        <v>22</v>
      </c>
      <c r="Z166" s="502">
        <v>15.254260792389509</v>
      </c>
      <c r="AA166" s="451">
        <v>26</v>
      </c>
      <c r="AB166" s="502">
        <v>8.8514856878285251</v>
      </c>
      <c r="AC166" s="451">
        <v>10</v>
      </c>
      <c r="AD166" s="518">
        <v>6.7287506055875541</v>
      </c>
      <c r="AE166" s="451">
        <v>16</v>
      </c>
      <c r="AF166" s="502">
        <v>11.025358324145536</v>
      </c>
      <c r="AG166" s="519">
        <v>7</v>
      </c>
      <c r="AH166" s="451">
        <v>29</v>
      </c>
      <c r="AI166" s="502">
        <v>9.7719430666379115</v>
      </c>
      <c r="AJ166" s="451">
        <v>5</v>
      </c>
      <c r="AK166" s="518">
        <v>3.3352677886507509</v>
      </c>
      <c r="AL166" s="451">
        <v>24</v>
      </c>
      <c r="AM166" s="443">
        <v>16.342650914167034</v>
      </c>
      <c r="AN166" s="491">
        <v>22</v>
      </c>
      <c r="AO166" s="497">
        <v>7.3262024962369958</v>
      </c>
      <c r="AP166" s="491">
        <v>6</v>
      </c>
      <c r="AQ166" s="497">
        <v>3.9600823697132901</v>
      </c>
      <c r="AR166" s="491">
        <v>16</v>
      </c>
      <c r="AS166" s="497">
        <v>10.754133620110229</v>
      </c>
      <c r="AT166" s="491">
        <v>29</v>
      </c>
      <c r="AU166" s="497">
        <v>9.4939402471043479</v>
      </c>
      <c r="AV166" s="491">
        <v>9</v>
      </c>
      <c r="AW166" s="497">
        <v>5.8592987070480849</v>
      </c>
      <c r="AX166" s="491">
        <v>20</v>
      </c>
      <c r="AY166" s="497">
        <v>13.17037193130334</v>
      </c>
      <c r="AZ166" s="492">
        <v>28</v>
      </c>
      <c r="BA166" s="492">
        <v>9</v>
      </c>
      <c r="BB166" s="492">
        <v>7</v>
      </c>
      <c r="BC166" s="492">
        <v>4.5</v>
      </c>
      <c r="BD166" s="492">
        <v>21</v>
      </c>
      <c r="BE166" s="492">
        <v>13.5</v>
      </c>
      <c r="BF166" s="492">
        <v>32</v>
      </c>
      <c r="BG166" s="492">
        <v>9.9</v>
      </c>
      <c r="BH166" s="492">
        <v>7</v>
      </c>
      <c r="BI166" s="492">
        <v>4.3</v>
      </c>
      <c r="BJ166" s="492">
        <v>25</v>
      </c>
      <c r="BK166" s="492">
        <v>15.5</v>
      </c>
    </row>
    <row r="167" spans="3:63" ht="18.75" x14ac:dyDescent="0.4">
      <c r="C167" s="451" t="s">
        <v>1118</v>
      </c>
      <c r="D167" s="451">
        <v>49</v>
      </c>
      <c r="E167" s="502">
        <v>17.803421163544407</v>
      </c>
      <c r="F167" s="451">
        <v>12</v>
      </c>
      <c r="G167" s="502">
        <v>8.6234774172685142</v>
      </c>
      <c r="H167" s="451">
        <v>37</v>
      </c>
      <c r="I167" s="502">
        <v>27.191287029756086</v>
      </c>
      <c r="J167" s="451">
        <v>38</v>
      </c>
      <c r="K167" s="502">
        <v>26.811732249574892</v>
      </c>
      <c r="L167" s="451">
        <v>11</v>
      </c>
      <c r="M167" s="502">
        <v>7.9591910567635038</v>
      </c>
      <c r="N167" s="451">
        <v>27</v>
      </c>
      <c r="O167" s="502">
        <v>9.5323836254832379</v>
      </c>
      <c r="P167" s="492">
        <v>32</v>
      </c>
      <c r="Q167" s="492">
        <v>11.3</v>
      </c>
      <c r="R167" s="492">
        <v>5</v>
      </c>
      <c r="S167" s="492">
        <v>3.5</v>
      </c>
      <c r="T167" s="492">
        <v>27</v>
      </c>
      <c r="U167" s="451">
        <v>23</v>
      </c>
      <c r="V167" s="502">
        <v>8.0285677384222822</v>
      </c>
      <c r="W167" s="451">
        <v>6</v>
      </c>
      <c r="X167" s="502">
        <v>4.1218699550029196</v>
      </c>
      <c r="Y167" s="451">
        <v>17</v>
      </c>
      <c r="Z167" s="502">
        <v>12.064267060292948</v>
      </c>
      <c r="AA167" s="451">
        <v>30</v>
      </c>
      <c r="AB167" s="502">
        <v>10.407379525909171</v>
      </c>
      <c r="AC167" s="451">
        <v>7</v>
      </c>
      <c r="AD167" s="518">
        <v>4.7716753352101922</v>
      </c>
      <c r="AE167" s="451">
        <v>23</v>
      </c>
      <c r="AF167" s="502">
        <v>16.247757103095552</v>
      </c>
      <c r="AG167" s="519">
        <v>10</v>
      </c>
      <c r="AH167" s="451">
        <v>33</v>
      </c>
      <c r="AI167" s="502">
        <v>11.466893687996247</v>
      </c>
      <c r="AJ167" s="451">
        <v>11</v>
      </c>
      <c r="AK167" s="518">
        <v>7.5004432080077459</v>
      </c>
      <c r="AL167" s="451">
        <v>22</v>
      </c>
      <c r="AM167" s="443">
        <v>15.588795907232493</v>
      </c>
      <c r="AN167" s="491">
        <v>28</v>
      </c>
      <c r="AO167" s="497">
        <v>9.7725781457231022</v>
      </c>
      <c r="AP167" s="491">
        <v>11</v>
      </c>
      <c r="AQ167" s="497">
        <v>7.5249692160350259</v>
      </c>
      <c r="AR167" s="491">
        <v>17</v>
      </c>
      <c r="AS167" s="497">
        <v>12.113784061110477</v>
      </c>
      <c r="AT167" s="491">
        <v>26</v>
      </c>
      <c r="AU167" s="497">
        <v>9.0981940084893154</v>
      </c>
      <c r="AV167" s="491">
        <v>9</v>
      </c>
      <c r="AW167" s="497">
        <v>6.170342591132532</v>
      </c>
      <c r="AX167" s="491">
        <v>17</v>
      </c>
      <c r="AY167" s="497">
        <v>12.150494596603579</v>
      </c>
      <c r="AZ167" s="492">
        <v>27</v>
      </c>
      <c r="BA167" s="492">
        <v>9.5</v>
      </c>
      <c r="BB167" s="492">
        <v>4</v>
      </c>
      <c r="BC167" s="492">
        <v>2.7</v>
      </c>
      <c r="BD167" s="492">
        <v>23</v>
      </c>
      <c r="BE167" s="492">
        <v>16.5</v>
      </c>
      <c r="BF167" s="492">
        <v>24</v>
      </c>
      <c r="BG167" s="492">
        <v>8.4</v>
      </c>
      <c r="BH167" s="492">
        <v>10</v>
      </c>
      <c r="BI167" s="492">
        <v>6.8</v>
      </c>
      <c r="BJ167" s="492">
        <v>14</v>
      </c>
      <c r="BK167" s="492">
        <v>9.9</v>
      </c>
    </row>
    <row r="168" spans="3:63" ht="18.75" x14ac:dyDescent="0.4">
      <c r="C168" s="451" t="s">
        <v>1119</v>
      </c>
      <c r="D168" s="451">
        <v>44</v>
      </c>
      <c r="E168" s="502">
        <v>19.417647110742372</v>
      </c>
      <c r="F168" s="451">
        <v>12</v>
      </c>
      <c r="G168" s="502">
        <v>10.449138816809182</v>
      </c>
      <c r="H168" s="451">
        <v>32</v>
      </c>
      <c r="I168" s="502">
        <v>28.633809370414117</v>
      </c>
      <c r="J168" s="451">
        <v>27</v>
      </c>
      <c r="K168" s="502">
        <v>22.631261315630656</v>
      </c>
      <c r="L168" s="451">
        <v>10</v>
      </c>
      <c r="M168" s="502">
        <v>8.6180893695867624</v>
      </c>
      <c r="N168" s="451">
        <v>17</v>
      </c>
      <c r="O168" s="502">
        <v>6.9563794091169484</v>
      </c>
      <c r="P168" s="492">
        <v>31</v>
      </c>
      <c r="Q168" s="492">
        <v>12.7</v>
      </c>
      <c r="R168" s="492">
        <v>11</v>
      </c>
      <c r="S168" s="492">
        <v>8.9</v>
      </c>
      <c r="T168" s="492">
        <v>20</v>
      </c>
      <c r="U168" s="451">
        <v>35</v>
      </c>
      <c r="V168" s="502">
        <v>13.858422357198856</v>
      </c>
      <c r="W168" s="451">
        <v>12</v>
      </c>
      <c r="X168" s="502">
        <v>9.3583304738434663</v>
      </c>
      <c r="Y168" s="451">
        <v>23</v>
      </c>
      <c r="Z168" s="502">
        <v>18.49975065553464</v>
      </c>
      <c r="AA168" s="451">
        <v>47</v>
      </c>
      <c r="AB168" s="502">
        <v>18.082695629758728</v>
      </c>
      <c r="AC168" s="451">
        <v>17</v>
      </c>
      <c r="AD168" s="518">
        <v>12.865435116583548</v>
      </c>
      <c r="AE168" s="451">
        <v>30</v>
      </c>
      <c r="AF168" s="502">
        <v>23.477852559085928</v>
      </c>
      <c r="AG168" s="519">
        <v>5</v>
      </c>
      <c r="AH168" s="451">
        <v>21</v>
      </c>
      <c r="AI168" s="502">
        <v>7.8707104627977751</v>
      </c>
      <c r="AJ168" s="451">
        <v>4</v>
      </c>
      <c r="AK168" s="518">
        <v>2.9437305897764237</v>
      </c>
      <c r="AL168" s="451">
        <v>17</v>
      </c>
      <c r="AM168" s="443">
        <v>12.98403727182464</v>
      </c>
      <c r="AN168" s="491">
        <v>31</v>
      </c>
      <c r="AO168" s="497">
        <v>11.414011988394527</v>
      </c>
      <c r="AP168" s="491">
        <v>6</v>
      </c>
      <c r="AQ168" s="497">
        <v>4.3329120779924173</v>
      </c>
      <c r="AR168" s="491">
        <v>25</v>
      </c>
      <c r="AS168" s="497">
        <v>18.779907001900526</v>
      </c>
      <c r="AT168" s="491">
        <v>28</v>
      </c>
      <c r="AU168" s="497">
        <v>10.181781157159429</v>
      </c>
      <c r="AV168" s="491">
        <v>9</v>
      </c>
      <c r="AW168" s="497">
        <v>6.4118548071100339</v>
      </c>
      <c r="AX168" s="491">
        <v>19</v>
      </c>
      <c r="AY168" s="497">
        <v>14.112124543212811</v>
      </c>
      <c r="AZ168" s="492">
        <v>34</v>
      </c>
      <c r="BA168" s="492">
        <v>12.2</v>
      </c>
      <c r="BB168" s="492">
        <v>12</v>
      </c>
      <c r="BC168" s="492">
        <v>8.4</v>
      </c>
      <c r="BD168" s="492">
        <v>22</v>
      </c>
      <c r="BE168" s="492">
        <v>16.2</v>
      </c>
      <c r="BF168" s="492">
        <v>39</v>
      </c>
      <c r="BG168" s="492">
        <v>13.9</v>
      </c>
      <c r="BH168" s="492">
        <v>11</v>
      </c>
      <c r="BI168" s="492">
        <v>7.7</v>
      </c>
      <c r="BJ168" s="492">
        <v>28</v>
      </c>
      <c r="BK168" s="492">
        <v>20.5</v>
      </c>
    </row>
    <row r="169" spans="3:63" ht="18.75" x14ac:dyDescent="0.4">
      <c r="C169" s="451" t="s">
        <v>1120</v>
      </c>
      <c r="D169" s="451">
        <v>29</v>
      </c>
      <c r="E169" s="502">
        <v>17.072179999646782</v>
      </c>
      <c r="F169" s="451">
        <v>6</v>
      </c>
      <c r="G169" s="502">
        <v>6.9420340159666791</v>
      </c>
      <c r="H169" s="451">
        <v>23</v>
      </c>
      <c r="I169" s="502">
        <v>27.565708258925895</v>
      </c>
      <c r="J169" s="451">
        <v>32</v>
      </c>
      <c r="K169" s="502">
        <v>34.756918799148458</v>
      </c>
      <c r="L169" s="451">
        <v>14</v>
      </c>
      <c r="M169" s="502">
        <v>15.776958878483608</v>
      </c>
      <c r="N169" s="451">
        <v>18</v>
      </c>
      <c r="O169" s="502">
        <v>9.4083211373614883</v>
      </c>
      <c r="P169" s="492">
        <v>28</v>
      </c>
      <c r="Q169" s="492">
        <v>14.6</v>
      </c>
      <c r="R169" s="492">
        <v>7</v>
      </c>
      <c r="S169" s="492">
        <v>7.2</v>
      </c>
      <c r="T169" s="492">
        <v>21</v>
      </c>
      <c r="U169" s="451">
        <v>21</v>
      </c>
      <c r="V169" s="502">
        <v>10.482127971808067</v>
      </c>
      <c r="W169" s="451">
        <v>8</v>
      </c>
      <c r="X169" s="502">
        <v>7.8311601863816129</v>
      </c>
      <c r="Y169" s="451">
        <v>13</v>
      </c>
      <c r="Z169" s="502">
        <v>13.240311656566686</v>
      </c>
      <c r="AA169" s="451">
        <v>25</v>
      </c>
      <c r="AB169" s="502">
        <v>11.964413049824602</v>
      </c>
      <c r="AC169" s="451">
        <v>9</v>
      </c>
      <c r="AD169" s="518">
        <v>8.4424599452178146</v>
      </c>
      <c r="AE169" s="451">
        <v>16</v>
      </c>
      <c r="AF169" s="502">
        <v>15.632785860145189</v>
      </c>
      <c r="AG169" s="519">
        <v>6</v>
      </c>
      <c r="AH169" s="451">
        <v>30</v>
      </c>
      <c r="AI169" s="502">
        <v>13.80116205784527</v>
      </c>
      <c r="AJ169" s="451">
        <v>9</v>
      </c>
      <c r="AK169" s="518">
        <v>8.1154192966636618</v>
      </c>
      <c r="AL169" s="451">
        <v>21</v>
      </c>
      <c r="AM169" s="443">
        <v>19.723310134963793</v>
      </c>
      <c r="AN169" s="491">
        <v>28</v>
      </c>
      <c r="AO169" s="497">
        <v>12.391135027968561</v>
      </c>
      <c r="AP169" s="491">
        <v>9</v>
      </c>
      <c r="AQ169" s="497">
        <v>7.8030171666377672</v>
      </c>
      <c r="AR169" s="491">
        <v>19</v>
      </c>
      <c r="AS169" s="497">
        <v>17.174675489026288</v>
      </c>
      <c r="AT169" s="491">
        <v>36</v>
      </c>
      <c r="AU169" s="497">
        <v>15.328607012837708</v>
      </c>
      <c r="AV169" s="491">
        <v>9</v>
      </c>
      <c r="AW169" s="497">
        <v>7.4999375005208284</v>
      </c>
      <c r="AX169" s="491">
        <v>27</v>
      </c>
      <c r="AY169" s="497">
        <v>23.50810594319745</v>
      </c>
      <c r="AZ169" s="492">
        <v>28</v>
      </c>
      <c r="BA169" s="492">
        <v>11.5</v>
      </c>
      <c r="BB169" s="492">
        <v>5</v>
      </c>
      <c r="BC169" s="492">
        <v>4</v>
      </c>
      <c r="BD169" s="492">
        <v>23</v>
      </c>
      <c r="BE169" s="492">
        <v>19.399999999999999</v>
      </c>
      <c r="BF169" s="492">
        <v>31</v>
      </c>
      <c r="BG169" s="492">
        <v>12.4</v>
      </c>
      <c r="BH169" s="492">
        <v>12</v>
      </c>
      <c r="BI169" s="492">
        <v>9.4</v>
      </c>
      <c r="BJ169" s="492">
        <v>19</v>
      </c>
      <c r="BK169" s="492">
        <v>15.6</v>
      </c>
    </row>
    <row r="170" spans="3:63" ht="18.75" x14ac:dyDescent="0.4">
      <c r="C170" s="451" t="s">
        <v>1121</v>
      </c>
      <c r="D170" s="451">
        <v>20</v>
      </c>
      <c r="E170" s="502">
        <v>16.904170258802846</v>
      </c>
      <c r="F170" s="451">
        <v>5</v>
      </c>
      <c r="G170" s="502">
        <v>8.2841805288620858</v>
      </c>
      <c r="H170" s="451">
        <v>15</v>
      </c>
      <c r="I170" s="502">
        <v>25.880810241899308</v>
      </c>
      <c r="J170" s="451">
        <v>30</v>
      </c>
      <c r="K170" s="502">
        <v>47.244838501393723</v>
      </c>
      <c r="L170" s="451">
        <v>9</v>
      </c>
      <c r="M170" s="502">
        <v>14.783422855171732</v>
      </c>
      <c r="N170" s="451">
        <v>21</v>
      </c>
      <c r="O170" s="502">
        <v>15.980154170439759</v>
      </c>
      <c r="P170" s="492">
        <v>17</v>
      </c>
      <c r="Q170" s="492">
        <v>12.9</v>
      </c>
      <c r="R170" s="492">
        <v>7</v>
      </c>
      <c r="S170" s="492">
        <v>10.4</v>
      </c>
      <c r="T170" s="492">
        <v>10</v>
      </c>
      <c r="U170" s="451">
        <v>26</v>
      </c>
      <c r="V170" s="502">
        <v>18.526963858168966</v>
      </c>
      <c r="W170" s="451">
        <v>10</v>
      </c>
      <c r="X170" s="502">
        <v>13.903178266551734</v>
      </c>
      <c r="Y170" s="451">
        <v>16</v>
      </c>
      <c r="Z170" s="502">
        <v>23.388393509720803</v>
      </c>
      <c r="AA170" s="451">
        <v>30</v>
      </c>
      <c r="AB170" s="502">
        <v>20.031650007011077</v>
      </c>
      <c r="AC170" s="451">
        <v>13</v>
      </c>
      <c r="AD170" s="518">
        <v>16.914309505841942</v>
      </c>
      <c r="AE170" s="451">
        <v>17</v>
      </c>
      <c r="AF170" s="502">
        <v>23.318016596941224</v>
      </c>
      <c r="AG170" s="519">
        <v>7</v>
      </c>
      <c r="AH170" s="451">
        <v>23</v>
      </c>
      <c r="AI170" s="502">
        <v>14.401823396075191</v>
      </c>
      <c r="AJ170" s="451">
        <v>8</v>
      </c>
      <c r="AK170" s="518">
        <v>9.7515785367756393</v>
      </c>
      <c r="AL170" s="451">
        <v>15</v>
      </c>
      <c r="AM170" s="443">
        <v>19.313967861557479</v>
      </c>
      <c r="AN170" s="491">
        <v>14</v>
      </c>
      <c r="AO170" s="497">
        <v>8.2272604398058355</v>
      </c>
      <c r="AP170" s="491">
        <v>7</v>
      </c>
      <c r="AQ170" s="497">
        <v>7.9971667180770236</v>
      </c>
      <c r="AR170" s="491">
        <v>7</v>
      </c>
      <c r="AS170" s="497">
        <v>8.4709868699703517</v>
      </c>
      <c r="AT170" s="491">
        <v>19</v>
      </c>
      <c r="AU170" s="497">
        <v>10.541558708159721</v>
      </c>
      <c r="AV170" s="491">
        <v>10</v>
      </c>
      <c r="AW170" s="497">
        <v>10.767507967955895</v>
      </c>
      <c r="AX170" s="491">
        <v>9</v>
      </c>
      <c r="AY170" s="497">
        <v>10.3013723717193</v>
      </c>
      <c r="AZ170" s="492">
        <v>25</v>
      </c>
      <c r="BA170" s="492">
        <v>13.2</v>
      </c>
      <c r="BB170" s="492">
        <v>7</v>
      </c>
      <c r="BC170" s="492">
        <v>7.2</v>
      </c>
      <c r="BD170" s="492">
        <v>18</v>
      </c>
      <c r="BE170" s="492">
        <v>19.7</v>
      </c>
      <c r="BF170" s="492">
        <v>35</v>
      </c>
      <c r="BG170" s="492">
        <v>17.7</v>
      </c>
      <c r="BH170" s="492">
        <v>11</v>
      </c>
      <c r="BI170" s="492">
        <v>10.8</v>
      </c>
      <c r="BJ170" s="492">
        <v>24</v>
      </c>
      <c r="BK170" s="492">
        <v>25.1</v>
      </c>
    </row>
    <row r="171" spans="3:63" ht="18.75" x14ac:dyDescent="0.4">
      <c r="C171" s="451" t="s">
        <v>1122</v>
      </c>
      <c r="D171" s="451">
        <v>22</v>
      </c>
      <c r="E171" s="502">
        <v>25.874134098580452</v>
      </c>
      <c r="F171" s="451">
        <v>10</v>
      </c>
      <c r="G171" s="502">
        <v>22.701990964607596</v>
      </c>
      <c r="H171" s="451">
        <v>12</v>
      </c>
      <c r="I171" s="502">
        <v>29.284006052027916</v>
      </c>
      <c r="J171" s="451">
        <v>26</v>
      </c>
      <c r="K171" s="502">
        <v>56.472632493483921</v>
      </c>
      <c r="L171" s="451">
        <v>10</v>
      </c>
      <c r="M171" s="502">
        <v>23.360119603812372</v>
      </c>
      <c r="N171" s="451">
        <v>16</v>
      </c>
      <c r="O171" s="502">
        <v>17.203191191966109</v>
      </c>
      <c r="P171" s="492">
        <v>18</v>
      </c>
      <c r="Q171" s="492">
        <v>19.399999999999999</v>
      </c>
      <c r="R171" s="492">
        <v>8</v>
      </c>
      <c r="S171" s="492">
        <v>16.600000000000001</v>
      </c>
      <c r="T171" s="492">
        <v>10</v>
      </c>
      <c r="U171" s="451">
        <v>15</v>
      </c>
      <c r="V171" s="502">
        <v>15.383353160766294</v>
      </c>
      <c r="W171" s="451">
        <v>4</v>
      </c>
      <c r="X171" s="502">
        <v>7.9253432664302279</v>
      </c>
      <c r="Y171" s="451">
        <v>11</v>
      </c>
      <c r="Z171" s="502">
        <v>23.38584518570487</v>
      </c>
      <c r="AA171" s="451">
        <v>20</v>
      </c>
      <c r="AB171" s="502">
        <v>19.563154754335685</v>
      </c>
      <c r="AC171" s="451">
        <v>8</v>
      </c>
      <c r="AD171" s="518">
        <v>15.12373102444373</v>
      </c>
      <c r="AE171" s="451">
        <v>12</v>
      </c>
      <c r="AF171" s="502">
        <v>24.32300956705043</v>
      </c>
      <c r="AG171" s="519">
        <v>2</v>
      </c>
      <c r="AH171" s="451">
        <v>13</v>
      </c>
      <c r="AI171" s="502">
        <v>12.113983264066198</v>
      </c>
      <c r="AJ171" s="451">
        <v>5</v>
      </c>
      <c r="AK171" s="518">
        <v>8.9996040174232323</v>
      </c>
      <c r="AL171" s="451">
        <v>8</v>
      </c>
      <c r="AM171" s="443">
        <v>15.457145065306436</v>
      </c>
      <c r="AN171" s="491">
        <v>8</v>
      </c>
      <c r="AO171" s="497">
        <v>7.0798339778932187</v>
      </c>
      <c r="AP171" s="491">
        <v>1</v>
      </c>
      <c r="AQ171" s="497">
        <v>1.7069798405680827</v>
      </c>
      <c r="AR171" s="491">
        <v>7</v>
      </c>
      <c r="AS171" s="497">
        <v>12.864336384018818</v>
      </c>
      <c r="AT171" s="491">
        <v>12</v>
      </c>
      <c r="AU171" s="497">
        <v>10.035039011214156</v>
      </c>
      <c r="AV171" s="491">
        <v>4</v>
      </c>
      <c r="AW171" s="497">
        <v>6.4413275576096236</v>
      </c>
      <c r="AX171" s="491">
        <v>8</v>
      </c>
      <c r="AY171" s="497">
        <v>13.917400229637105</v>
      </c>
      <c r="AZ171" s="492">
        <v>19</v>
      </c>
      <c r="BA171" s="492">
        <v>14.9</v>
      </c>
      <c r="BB171" s="492">
        <v>9</v>
      </c>
      <c r="BC171" s="492">
        <v>13.5</v>
      </c>
      <c r="BD171" s="492">
        <v>10</v>
      </c>
      <c r="BE171" s="492">
        <v>16.3</v>
      </c>
      <c r="BF171" s="492">
        <v>16</v>
      </c>
      <c r="BG171" s="492">
        <v>11.7</v>
      </c>
      <c r="BH171" s="492">
        <v>7</v>
      </c>
      <c r="BI171" s="492">
        <v>9.8000000000000007</v>
      </c>
      <c r="BJ171" s="492">
        <v>9</v>
      </c>
      <c r="BK171" s="492">
        <v>13.8</v>
      </c>
    </row>
    <row r="172" spans="3:63" ht="18.75" x14ac:dyDescent="0.4">
      <c r="C172" s="451" t="s">
        <v>1123</v>
      </c>
      <c r="D172" s="451">
        <v>42</v>
      </c>
      <c r="E172" s="502">
        <v>30.481609428977848</v>
      </c>
      <c r="F172" s="451">
        <v>15</v>
      </c>
      <c r="G172" s="502">
        <v>19.806686737442561</v>
      </c>
      <c r="H172" s="451">
        <v>27</v>
      </c>
      <c r="I172" s="502">
        <v>43.509088565166948</v>
      </c>
      <c r="J172" s="451">
        <v>32</v>
      </c>
      <c r="K172" s="502">
        <v>40.895613945404357</v>
      </c>
      <c r="L172" s="451">
        <v>14</v>
      </c>
      <c r="M172" s="502">
        <v>21.821809339734397</v>
      </c>
      <c r="N172" s="451">
        <v>18</v>
      </c>
      <c r="O172" s="502">
        <v>12.23299783204094</v>
      </c>
      <c r="P172" s="492">
        <v>26</v>
      </c>
      <c r="Q172" s="492">
        <v>17.7</v>
      </c>
      <c r="R172" s="492">
        <v>9</v>
      </c>
      <c r="S172" s="492">
        <v>11.1</v>
      </c>
      <c r="T172" s="492">
        <v>17</v>
      </c>
      <c r="U172" s="451">
        <v>28</v>
      </c>
      <c r="V172" s="502">
        <v>18.422385830553527</v>
      </c>
      <c r="W172" s="451">
        <v>8</v>
      </c>
      <c r="X172" s="502">
        <v>9.5767094426355097</v>
      </c>
      <c r="Y172" s="451">
        <v>20</v>
      </c>
      <c r="Z172" s="502">
        <v>29.217127079894233</v>
      </c>
      <c r="AA172" s="451">
        <v>30</v>
      </c>
      <c r="AB172" s="502">
        <v>19.077294839591747</v>
      </c>
      <c r="AC172" s="451">
        <v>14</v>
      </c>
      <c r="AD172" s="518">
        <v>16.191897112059493</v>
      </c>
      <c r="AE172" s="451">
        <v>16</v>
      </c>
      <c r="AF172" s="502">
        <v>22.601423889705053</v>
      </c>
      <c r="AG172" s="519">
        <v>11</v>
      </c>
      <c r="AH172" s="451">
        <v>42</v>
      </c>
      <c r="AI172" s="502">
        <v>25.725993666505371</v>
      </c>
      <c r="AJ172" s="451">
        <v>19</v>
      </c>
      <c r="AK172" s="518">
        <v>21.166614678490262</v>
      </c>
      <c r="AL172" s="451">
        <v>23</v>
      </c>
      <c r="AM172" s="443">
        <v>31.294645894278524</v>
      </c>
      <c r="AN172" s="491">
        <v>27</v>
      </c>
      <c r="AO172" s="497">
        <v>15.891607465524039</v>
      </c>
      <c r="AP172" s="491">
        <v>12</v>
      </c>
      <c r="AQ172" s="497">
        <v>12.847828181711117</v>
      </c>
      <c r="AR172" s="491">
        <v>15</v>
      </c>
      <c r="AS172" s="497">
        <v>19.6078431372549</v>
      </c>
      <c r="AT172" s="491">
        <v>17</v>
      </c>
      <c r="AU172" s="497">
        <v>9.6079938508839362</v>
      </c>
      <c r="AV172" s="491">
        <v>7</v>
      </c>
      <c r="AW172" s="497">
        <v>7.1981654961078494</v>
      </c>
      <c r="AX172" s="491">
        <v>10</v>
      </c>
      <c r="AY172" s="497">
        <v>12.548783395449812</v>
      </c>
      <c r="AZ172" s="492">
        <v>24</v>
      </c>
      <c r="BA172" s="492">
        <v>13</v>
      </c>
      <c r="BB172" s="492">
        <v>9</v>
      </c>
      <c r="BC172" s="492">
        <v>8.9</v>
      </c>
      <c r="BD172" s="492">
        <v>15</v>
      </c>
      <c r="BE172" s="492">
        <v>18.100000000000001</v>
      </c>
      <c r="BF172" s="492">
        <v>41</v>
      </c>
      <c r="BG172" s="492">
        <v>21.3</v>
      </c>
      <c r="BH172" s="492">
        <v>13</v>
      </c>
      <c r="BI172" s="492">
        <v>12.3</v>
      </c>
      <c r="BJ172" s="492">
        <v>28</v>
      </c>
      <c r="BK172" s="492">
        <v>32.299999999999997</v>
      </c>
    </row>
    <row r="173" spans="3:63" ht="18.75" x14ac:dyDescent="0.4">
      <c r="C173" s="503" t="s">
        <v>1124</v>
      </c>
      <c r="D173" s="503">
        <v>0</v>
      </c>
      <c r="E173" s="505"/>
      <c r="F173" s="503">
        <v>0</v>
      </c>
      <c r="G173" s="505"/>
      <c r="H173" s="503">
        <v>0</v>
      </c>
      <c r="I173" s="505"/>
      <c r="J173" s="503">
        <v>0</v>
      </c>
      <c r="K173" s="505"/>
      <c r="L173" s="503">
        <v>0</v>
      </c>
      <c r="M173" s="505"/>
      <c r="N173" s="503">
        <v>0</v>
      </c>
      <c r="O173" s="505"/>
      <c r="P173" s="525">
        <v>0</v>
      </c>
      <c r="Q173" s="525"/>
      <c r="R173" s="525">
        <v>0</v>
      </c>
      <c r="S173" s="525"/>
      <c r="T173" s="525">
        <v>0</v>
      </c>
      <c r="U173" s="503">
        <v>0</v>
      </c>
      <c r="V173" s="505"/>
      <c r="W173" s="503">
        <v>0</v>
      </c>
      <c r="X173" s="505"/>
      <c r="Y173" s="503">
        <v>0</v>
      </c>
      <c r="Z173" s="505"/>
      <c r="AA173" s="503">
        <v>1</v>
      </c>
      <c r="AB173" s="505"/>
      <c r="AC173" s="503">
        <v>0</v>
      </c>
      <c r="AD173" s="526"/>
      <c r="AE173" s="503">
        <v>1</v>
      </c>
      <c r="AF173" s="505"/>
      <c r="AG173" s="527">
        <v>0</v>
      </c>
      <c r="AH173" s="503">
        <v>0</v>
      </c>
      <c r="AI173" s="505"/>
      <c r="AJ173" s="503">
        <v>0</v>
      </c>
      <c r="AK173" s="526"/>
      <c r="AL173" s="503">
        <v>0</v>
      </c>
      <c r="AM173" s="505"/>
      <c r="AN173" s="528">
        <v>1</v>
      </c>
      <c r="AO173" s="449"/>
      <c r="AP173" s="528">
        <v>1</v>
      </c>
      <c r="AQ173" s="449"/>
      <c r="AR173" s="528">
        <v>0</v>
      </c>
      <c r="AS173" s="449"/>
      <c r="AT173" s="528">
        <v>0</v>
      </c>
      <c r="AU173" s="449"/>
      <c r="AV173" s="528">
        <v>0</v>
      </c>
      <c r="AW173" s="449"/>
      <c r="AX173" s="528">
        <v>0</v>
      </c>
      <c r="AY173" s="449"/>
      <c r="AZ173" s="525">
        <v>1</v>
      </c>
      <c r="BA173" s="525"/>
      <c r="BB173" s="525">
        <v>0</v>
      </c>
      <c r="BC173" s="525"/>
      <c r="BD173" s="525">
        <v>1</v>
      </c>
      <c r="BE173" s="525"/>
      <c r="BF173" s="525">
        <v>0</v>
      </c>
      <c r="BG173" s="525"/>
      <c r="BH173" s="525">
        <v>0</v>
      </c>
      <c r="BI173" s="525"/>
      <c r="BJ173" s="525">
        <v>0</v>
      </c>
      <c r="BK173" s="525"/>
    </row>
    <row r="174" spans="3:63" ht="18.75" x14ac:dyDescent="0.4">
      <c r="C174" s="41" t="s">
        <v>1004</v>
      </c>
      <c r="D174" s="451"/>
      <c r="E174" s="502"/>
      <c r="F174" s="451"/>
      <c r="G174" s="502"/>
      <c r="H174" s="451"/>
      <c r="I174" s="502"/>
      <c r="J174" s="451"/>
      <c r="K174" s="502"/>
      <c r="L174" s="451"/>
      <c r="M174" s="502"/>
      <c r="N174" s="451"/>
      <c r="O174" s="502"/>
      <c r="P174" s="451"/>
      <c r="Q174" s="502"/>
      <c r="R174" s="502"/>
      <c r="S174" s="502"/>
      <c r="T174" s="502"/>
      <c r="U174" s="451"/>
      <c r="V174" s="502"/>
      <c r="W174" s="451"/>
      <c r="X174" s="502"/>
      <c r="Y174" s="451"/>
      <c r="Z174" s="502"/>
      <c r="AA174" s="451"/>
      <c r="AB174" s="502"/>
      <c r="AC174" s="451"/>
      <c r="AD174" s="518"/>
      <c r="AE174" s="451"/>
      <c r="AF174" s="502"/>
      <c r="AG174" s="519"/>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row>
    <row r="175" spans="3:63" ht="18.75" x14ac:dyDescent="0.4">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29"/>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row>
    <row r="176" spans="3:63" ht="18.75" x14ac:dyDescent="0.4">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29"/>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row>
    <row r="177" spans="3:63" ht="18.75" x14ac:dyDescent="0.4">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29"/>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row>
    <row r="178" spans="3:63" ht="18.75" x14ac:dyDescent="0.4">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row>
  </sheetData>
  <mergeCells count="60">
    <mergeCell ref="A5:B5"/>
    <mergeCell ref="C5:P5"/>
    <mergeCell ref="C1:D1"/>
    <mergeCell ref="A3:B3"/>
    <mergeCell ref="C3:P3"/>
    <mergeCell ref="A4:B4"/>
    <mergeCell ref="C4:P4"/>
    <mergeCell ref="A6:B6"/>
    <mergeCell ref="C6:P6"/>
    <mergeCell ref="C42:C43"/>
    <mergeCell ref="D42:E42"/>
    <mergeCell ref="F42:G42"/>
    <mergeCell ref="H42:I42"/>
    <mergeCell ref="J42:K42"/>
    <mergeCell ref="L42:M42"/>
    <mergeCell ref="N42:O42"/>
    <mergeCell ref="P42:Q42"/>
    <mergeCell ref="C150:C152"/>
    <mergeCell ref="D150:I150"/>
    <mergeCell ref="J150:O150"/>
    <mergeCell ref="P150:T150"/>
    <mergeCell ref="U150:Z150"/>
    <mergeCell ref="D151:E151"/>
    <mergeCell ref="F151:G151"/>
    <mergeCell ref="R151:S151"/>
    <mergeCell ref="H151:I151"/>
    <mergeCell ref="J151:K151"/>
    <mergeCell ref="L151:M151"/>
    <mergeCell ref="N151:O151"/>
    <mergeCell ref="P151:Q151"/>
    <mergeCell ref="AZ150:BE150"/>
    <mergeCell ref="BF150:BK150"/>
    <mergeCell ref="R42:S42"/>
    <mergeCell ref="T42:U42"/>
    <mergeCell ref="V42:W42"/>
    <mergeCell ref="AA150:AF150"/>
    <mergeCell ref="AH150:AM150"/>
    <mergeCell ref="AN150:AS150"/>
    <mergeCell ref="AT150:AY150"/>
    <mergeCell ref="AR151:AS151"/>
    <mergeCell ref="U151:V151"/>
    <mergeCell ref="W151:X151"/>
    <mergeCell ref="Y151:Z151"/>
    <mergeCell ref="AA151:AB151"/>
    <mergeCell ref="AC151:AD151"/>
    <mergeCell ref="AE151:AF151"/>
    <mergeCell ref="AH151:AI151"/>
    <mergeCell ref="AJ151:AK151"/>
    <mergeCell ref="AL151:AM151"/>
    <mergeCell ref="AN151:AO151"/>
    <mergeCell ref="AP151:AQ151"/>
    <mergeCell ref="BF151:BG151"/>
    <mergeCell ref="BH151:BI151"/>
    <mergeCell ref="BJ151:BK151"/>
    <mergeCell ref="AT151:AU151"/>
    <mergeCell ref="AV151:AW151"/>
    <mergeCell ref="AX151:AY151"/>
    <mergeCell ref="AZ151:BA151"/>
    <mergeCell ref="BB151:BC151"/>
    <mergeCell ref="BD151:BE151"/>
  </mergeCells>
  <hyperlinks>
    <hyperlink ref="A1" location="'ODS 3.'!A1" display="REGRESAR" xr:uid="{313DC87B-F415-4E40-8ED4-769C195E6724}"/>
    <hyperlink ref="C1" location="'Metadato 3.3.2'!A1" display="VER METADATO" xr:uid="{3741A111-EE80-4E56-B946-2D5B04B9B767}"/>
    <hyperlink ref="C36" r:id="rId1" xr:uid="{01147D46-9623-44B6-B5B9-032361DD328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F3B5-A14E-4CE5-AA74-4FA512102F12}">
  <dimension ref="A1:AC102"/>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5.5703125" style="22" customWidth="1"/>
    <col min="3" max="3" width="13.7109375" style="22" customWidth="1"/>
    <col min="4" max="4" width="5.28515625" style="22" customWidth="1"/>
    <col min="5" max="5" width="1" style="22" customWidth="1"/>
    <col min="6" max="6" width="7.28515625" style="22" customWidth="1"/>
    <col min="7" max="7" width="9" style="22" customWidth="1"/>
    <col min="8" max="8" width="1.42578125" style="22" customWidth="1"/>
    <col min="9" max="9" width="8.28515625" style="22" customWidth="1"/>
    <col min="10" max="10" width="6.7109375" style="22" customWidth="1"/>
    <col min="11" max="11" width="1.28515625" style="22" customWidth="1"/>
    <col min="12" max="12" width="7.7109375" style="22" customWidth="1"/>
    <col min="13" max="13" width="9.5703125" style="22" customWidth="1"/>
    <col min="14" max="17" width="7.7109375" style="22" customWidth="1"/>
    <col min="18" max="18" width="2" style="22" customWidth="1"/>
    <col min="19" max="19" width="8.28515625" style="22" customWidth="1"/>
    <col min="20" max="21" width="10" style="22" customWidth="1"/>
    <col min="22" max="22" width="1.42578125" style="22" customWidth="1"/>
    <col min="23" max="29" width="8.7109375" style="22" customWidth="1"/>
    <col min="30" max="16384" width="11.42578125" style="22"/>
  </cols>
  <sheetData>
    <row r="1" spans="1:29" ht="19.5" x14ac:dyDescent="0.4">
      <c r="A1" s="15" t="s">
        <v>39</v>
      </c>
      <c r="B1" s="16"/>
      <c r="C1" s="2421" t="s">
        <v>149</v>
      </c>
      <c r="D1" s="2421"/>
      <c r="E1" s="16"/>
      <c r="F1" s="16"/>
      <c r="G1" s="16"/>
      <c r="H1" s="16"/>
      <c r="I1" s="16"/>
      <c r="J1" s="16"/>
      <c r="K1" s="16"/>
      <c r="L1" s="16"/>
      <c r="M1" s="16"/>
      <c r="N1" s="16"/>
      <c r="O1" s="16"/>
      <c r="P1" s="16"/>
      <c r="Q1" s="16"/>
      <c r="R1" s="16"/>
      <c r="S1" s="16"/>
      <c r="T1" s="16"/>
      <c r="U1" s="16"/>
      <c r="V1" s="16"/>
      <c r="W1" s="16"/>
      <c r="X1" s="16"/>
      <c r="Y1" s="16"/>
      <c r="Z1" s="16"/>
    </row>
    <row r="2" spans="1:29" ht="19.5" x14ac:dyDescent="0.4">
      <c r="A2" s="16"/>
      <c r="B2" s="16"/>
      <c r="C2" s="16"/>
      <c r="D2" s="16"/>
      <c r="E2" s="16"/>
      <c r="F2" s="16"/>
      <c r="G2" s="16"/>
      <c r="H2" s="16"/>
      <c r="I2" s="16"/>
      <c r="J2" s="16"/>
      <c r="K2" s="16"/>
      <c r="L2" s="16"/>
      <c r="M2" s="16"/>
      <c r="N2" s="16"/>
      <c r="O2" s="16"/>
      <c r="P2" s="16"/>
      <c r="Q2" s="16"/>
      <c r="R2" s="16"/>
      <c r="S2" s="16"/>
      <c r="T2" s="16"/>
      <c r="U2" s="16"/>
      <c r="V2" s="16"/>
      <c r="W2" s="16"/>
      <c r="X2" s="16"/>
      <c r="Y2" s="16"/>
      <c r="Z2" s="16"/>
    </row>
    <row r="3" spans="1:29" s="72" customFormat="1" ht="19.5" x14ac:dyDescent="0.35">
      <c r="A3" s="2413" t="s">
        <v>41</v>
      </c>
      <c r="B3" s="2413"/>
      <c r="C3" s="2414" t="s">
        <v>2</v>
      </c>
      <c r="D3" s="2415"/>
      <c r="E3" s="2415"/>
      <c r="F3" s="2415"/>
      <c r="G3" s="2415"/>
      <c r="H3" s="2415"/>
      <c r="I3" s="2415"/>
      <c r="J3" s="2415"/>
      <c r="K3" s="2415"/>
      <c r="L3" s="2415"/>
      <c r="M3" s="2415"/>
      <c r="N3" s="2415"/>
      <c r="O3" s="2415"/>
      <c r="P3" s="2415"/>
      <c r="Q3" s="2415"/>
      <c r="R3" s="2415"/>
      <c r="S3" s="2415"/>
      <c r="T3" s="2415"/>
      <c r="U3" s="2415"/>
      <c r="V3" s="2415"/>
      <c r="W3" s="2415"/>
      <c r="X3" s="2415"/>
      <c r="Y3" s="2415"/>
      <c r="Z3" s="2466"/>
      <c r="AA3" s="70"/>
      <c r="AB3" s="70"/>
      <c r="AC3" s="71"/>
    </row>
    <row r="4" spans="1:29" s="72" customFormat="1" ht="19.5" x14ac:dyDescent="0.35">
      <c r="A4" s="2413" t="s">
        <v>42</v>
      </c>
      <c r="B4" s="2413"/>
      <c r="C4" s="2414" t="s">
        <v>9</v>
      </c>
      <c r="D4" s="2415"/>
      <c r="E4" s="2415"/>
      <c r="F4" s="2415"/>
      <c r="G4" s="2415"/>
      <c r="H4" s="2415"/>
      <c r="I4" s="2415"/>
      <c r="J4" s="2415"/>
      <c r="K4" s="2415"/>
      <c r="L4" s="2415"/>
      <c r="M4" s="2415"/>
      <c r="N4" s="2415"/>
      <c r="O4" s="2415"/>
      <c r="P4" s="2415"/>
      <c r="Q4" s="2415"/>
      <c r="R4" s="2415"/>
      <c r="S4" s="2415"/>
      <c r="T4" s="2415"/>
      <c r="U4" s="2415"/>
      <c r="V4" s="2415"/>
      <c r="W4" s="2415"/>
      <c r="X4" s="2415"/>
      <c r="Y4" s="2415"/>
      <c r="Z4" s="2466"/>
      <c r="AA4" s="70"/>
      <c r="AB4" s="70"/>
      <c r="AC4" s="71"/>
    </row>
    <row r="5" spans="1:29" s="72" customFormat="1" ht="19.5" x14ac:dyDescent="0.35">
      <c r="A5" s="2413" t="s">
        <v>43</v>
      </c>
      <c r="B5" s="2413"/>
      <c r="C5" s="2414" t="s">
        <v>13</v>
      </c>
      <c r="D5" s="2415"/>
      <c r="E5" s="2415"/>
      <c r="F5" s="2415"/>
      <c r="G5" s="2415"/>
      <c r="H5" s="2415"/>
      <c r="I5" s="2415"/>
      <c r="J5" s="2415"/>
      <c r="K5" s="2415"/>
      <c r="L5" s="2415"/>
      <c r="M5" s="2415"/>
      <c r="N5" s="2415"/>
      <c r="O5" s="2415"/>
      <c r="P5" s="2415"/>
      <c r="Q5" s="2415"/>
      <c r="R5" s="2415"/>
      <c r="S5" s="2415"/>
      <c r="T5" s="2415"/>
      <c r="U5" s="2415"/>
      <c r="V5" s="2415"/>
      <c r="W5" s="2415"/>
      <c r="X5" s="2415"/>
      <c r="Y5" s="2415"/>
      <c r="Z5" s="2466"/>
      <c r="AA5" s="70"/>
      <c r="AB5" s="70"/>
      <c r="AC5" s="71"/>
    </row>
    <row r="6" spans="1:29" s="74" customFormat="1" ht="17.45" customHeight="1" x14ac:dyDescent="0.25">
      <c r="A6" s="2462" t="s">
        <v>132</v>
      </c>
      <c r="B6" s="2462"/>
      <c r="C6" s="2463" t="s">
        <v>150</v>
      </c>
      <c r="D6" s="2464"/>
      <c r="E6" s="2464"/>
      <c r="F6" s="2464"/>
      <c r="G6" s="2464"/>
      <c r="H6" s="2464"/>
      <c r="I6" s="2464"/>
      <c r="J6" s="2464"/>
      <c r="K6" s="2464"/>
      <c r="L6" s="2464"/>
      <c r="M6" s="2464"/>
      <c r="N6" s="2464"/>
      <c r="O6" s="2464"/>
      <c r="P6" s="2464"/>
      <c r="Q6" s="2464"/>
      <c r="R6" s="2464"/>
      <c r="S6" s="2464"/>
      <c r="T6" s="2464"/>
      <c r="U6" s="2464"/>
      <c r="V6" s="2464"/>
      <c r="W6" s="2464"/>
      <c r="X6" s="2464"/>
      <c r="Y6" s="2464"/>
      <c r="Z6" s="2465"/>
      <c r="AA6" s="70"/>
      <c r="AB6" s="70"/>
      <c r="AC6" s="71"/>
    </row>
    <row r="7" spans="1:29" ht="16.5" x14ac:dyDescent="0.25">
      <c r="A7" s="99"/>
      <c r="B7" s="99"/>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row>
    <row r="9" spans="1:29" ht="19.5" x14ac:dyDescent="0.25">
      <c r="C9" s="24" t="s">
        <v>150</v>
      </c>
      <c r="D9" s="76"/>
      <c r="E9" s="76"/>
      <c r="F9" s="76"/>
      <c r="G9" s="76"/>
      <c r="H9" s="76"/>
      <c r="I9" s="76"/>
      <c r="J9" s="76"/>
      <c r="K9" s="76"/>
      <c r="L9" s="76"/>
      <c r="M9" s="76"/>
      <c r="N9" s="76"/>
      <c r="O9" s="76"/>
      <c r="P9" s="76"/>
      <c r="Q9" s="76"/>
      <c r="R9" s="76"/>
      <c r="S9" s="76"/>
      <c r="T9" s="76"/>
      <c r="U9" s="76"/>
      <c r="V9" s="76"/>
      <c r="W9" s="76"/>
      <c r="X9" s="76"/>
      <c r="Y9" s="76"/>
      <c r="Z9" s="76"/>
      <c r="AA9" s="76"/>
      <c r="AB9" s="76"/>
      <c r="AC9" s="76"/>
    </row>
    <row r="10" spans="1:29" ht="16.5" x14ac:dyDescent="0.25">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ht="12.75" customHeight="1" x14ac:dyDescent="0.25">
      <c r="A11" s="23"/>
      <c r="C11" s="2440" t="s">
        <v>46</v>
      </c>
      <c r="D11" s="2440" t="s">
        <v>47</v>
      </c>
      <c r="E11" s="78"/>
      <c r="F11" s="2418" t="s">
        <v>48</v>
      </c>
      <c r="G11" s="2418"/>
      <c r="H11" s="26"/>
      <c r="I11" s="2418" t="s">
        <v>49</v>
      </c>
      <c r="J11" s="2418"/>
      <c r="K11" s="26"/>
      <c r="L11" s="2418" t="s">
        <v>50</v>
      </c>
      <c r="M11" s="2418"/>
      <c r="N11" s="2418"/>
      <c r="O11" s="2418"/>
      <c r="P11" s="2418"/>
      <c r="Q11" s="2418"/>
      <c r="R11" s="26"/>
      <c r="S11" s="2418" t="s">
        <v>51</v>
      </c>
      <c r="T11" s="2418"/>
      <c r="U11" s="2418"/>
      <c r="V11" s="26"/>
      <c r="W11" s="2418" t="s">
        <v>52</v>
      </c>
      <c r="X11" s="2418"/>
      <c r="Y11" s="2418"/>
      <c r="Z11" s="2418"/>
      <c r="AA11" s="2418"/>
      <c r="AB11" s="2418"/>
      <c r="AC11" s="2418"/>
    </row>
    <row r="12" spans="1:29" ht="56.25" x14ac:dyDescent="0.25">
      <c r="A12" s="21"/>
      <c r="C12" s="2441"/>
      <c r="D12" s="2441"/>
      <c r="E12" s="79"/>
      <c r="F12" s="27" t="s">
        <v>53</v>
      </c>
      <c r="G12" s="27" t="s">
        <v>54</v>
      </c>
      <c r="H12" s="27"/>
      <c r="I12" s="27" t="s">
        <v>55</v>
      </c>
      <c r="J12" s="27" t="s">
        <v>56</v>
      </c>
      <c r="K12" s="27"/>
      <c r="L12" s="27" t="s">
        <v>57</v>
      </c>
      <c r="M12" s="27" t="s">
        <v>58</v>
      </c>
      <c r="N12" s="27" t="s">
        <v>59</v>
      </c>
      <c r="O12" s="27" t="s">
        <v>151</v>
      </c>
      <c r="P12" s="28" t="s">
        <v>61</v>
      </c>
      <c r="Q12" s="28" t="s">
        <v>62</v>
      </c>
      <c r="R12" s="28"/>
      <c r="S12" s="27" t="s">
        <v>63</v>
      </c>
      <c r="T12" s="27" t="s">
        <v>64</v>
      </c>
      <c r="U12" s="27" t="s">
        <v>65</v>
      </c>
      <c r="V12" s="27"/>
      <c r="W12" s="27" t="s">
        <v>66</v>
      </c>
      <c r="X12" s="28" t="s">
        <v>67</v>
      </c>
      <c r="Y12" s="27" t="s">
        <v>68</v>
      </c>
      <c r="Z12" s="27" t="s">
        <v>69</v>
      </c>
      <c r="AA12" s="27" t="s">
        <v>70</v>
      </c>
      <c r="AB12" s="27" t="s">
        <v>71</v>
      </c>
      <c r="AC12" s="27" t="s">
        <v>72</v>
      </c>
    </row>
    <row r="13" spans="1:29" ht="18.75" x14ac:dyDescent="0.4">
      <c r="A13" s="23"/>
      <c r="C13" s="4">
        <v>2010</v>
      </c>
      <c r="D13" s="101">
        <v>30.94220328773018</v>
      </c>
      <c r="E13" s="101"/>
      <c r="F13" s="101">
        <v>32.192170175931274</v>
      </c>
      <c r="G13" s="101">
        <v>29.756020906343373</v>
      </c>
      <c r="H13" s="101"/>
      <c r="I13" s="101">
        <v>22.94508529078529</v>
      </c>
      <c r="J13" s="101">
        <v>52.305390314222109</v>
      </c>
      <c r="K13" s="101"/>
      <c r="L13" s="101">
        <v>22.069372883305611</v>
      </c>
      <c r="M13" s="101">
        <v>44.162555303510402</v>
      </c>
      <c r="N13" s="101">
        <v>40.212194770330143</v>
      </c>
      <c r="O13" s="101">
        <v>44.283001471196059</v>
      </c>
      <c r="P13" s="101">
        <v>49.967426549336444</v>
      </c>
      <c r="Q13" s="101">
        <v>48.14774300707856</v>
      </c>
      <c r="R13" s="102"/>
      <c r="S13" s="101">
        <v>27.367986837800544</v>
      </c>
      <c r="T13" s="101">
        <v>42.510755051211355</v>
      </c>
      <c r="U13" s="101">
        <v>28.882688374295</v>
      </c>
      <c r="V13" s="102"/>
      <c r="W13" s="101">
        <v>42.403066116364599</v>
      </c>
      <c r="X13" s="101">
        <v>36.183211403109802</v>
      </c>
      <c r="Y13" s="101">
        <v>36.60948735500088</v>
      </c>
      <c r="Z13" s="101">
        <v>36.268899617815272</v>
      </c>
      <c r="AA13" s="101">
        <v>26.686119533972015</v>
      </c>
      <c r="AB13" s="101">
        <v>26.701565226088213</v>
      </c>
      <c r="AC13" s="101">
        <v>20.809819729033702</v>
      </c>
    </row>
    <row r="14" spans="1:29" ht="18.75" x14ac:dyDescent="0.4">
      <c r="A14" s="23"/>
      <c r="C14" s="4">
        <v>2011</v>
      </c>
      <c r="D14" s="101">
        <v>28.799579236390027</v>
      </c>
      <c r="E14" s="101"/>
      <c r="F14" s="101">
        <v>29.865189168451163</v>
      </c>
      <c r="G14" s="101">
        <v>27.782824078834363</v>
      </c>
      <c r="H14" s="101"/>
      <c r="I14" s="101">
        <v>21.49532654183303</v>
      </c>
      <c r="J14" s="101">
        <v>48.297357230523716</v>
      </c>
      <c r="K14" s="101"/>
      <c r="L14" s="101">
        <v>21.26726363072591</v>
      </c>
      <c r="M14" s="101">
        <v>42.434589411523959</v>
      </c>
      <c r="N14" s="101">
        <v>34.830332436513594</v>
      </c>
      <c r="O14" s="101">
        <v>41.651616476928496</v>
      </c>
      <c r="P14" s="101">
        <v>43.969306233457175</v>
      </c>
      <c r="Q14" s="101">
        <v>41.846760563380279</v>
      </c>
      <c r="R14" s="102"/>
      <c r="S14" s="101">
        <v>24.695419312216007</v>
      </c>
      <c r="T14" s="101">
        <v>39.871159681395788</v>
      </c>
      <c r="U14" s="101">
        <v>27.320720272416654</v>
      </c>
      <c r="V14" s="102"/>
      <c r="W14" s="101">
        <v>40.7690210695731</v>
      </c>
      <c r="X14" s="101">
        <v>34.783337949112017</v>
      </c>
      <c r="Y14" s="101">
        <v>34.218452664481717</v>
      </c>
      <c r="Z14" s="101">
        <v>32.552410064557336</v>
      </c>
      <c r="AA14" s="101">
        <v>26.23480003432454</v>
      </c>
      <c r="AB14" s="101">
        <v>24.010847417599411</v>
      </c>
      <c r="AC14" s="101">
        <v>20.486243426568095</v>
      </c>
    </row>
    <row r="15" spans="1:29" ht="18.75" x14ac:dyDescent="0.4">
      <c r="A15" s="23"/>
      <c r="C15" s="4">
        <v>2012</v>
      </c>
      <c r="D15" s="101">
        <v>26.212974244598868</v>
      </c>
      <c r="E15" s="101"/>
      <c r="F15" s="101">
        <v>27.344178887605636</v>
      </c>
      <c r="G15" s="101">
        <v>25.138806118499051</v>
      </c>
      <c r="H15" s="101"/>
      <c r="I15" s="101">
        <v>19.016587099789543</v>
      </c>
      <c r="J15" s="101">
        <v>45.441863808456304</v>
      </c>
      <c r="K15" s="101"/>
      <c r="L15" s="101">
        <v>18.808057581692822</v>
      </c>
      <c r="M15" s="101">
        <v>40.055502836779802</v>
      </c>
      <c r="N15" s="101">
        <v>29.55893024322566</v>
      </c>
      <c r="O15" s="101">
        <v>38.142975466255393</v>
      </c>
      <c r="P15" s="101">
        <v>41.716934012102584</v>
      </c>
      <c r="Q15" s="101">
        <v>40.458784488898949</v>
      </c>
      <c r="R15" s="102"/>
      <c r="S15" s="101">
        <v>22.287993931507636</v>
      </c>
      <c r="T15" s="101">
        <v>36.454951708231228</v>
      </c>
      <c r="U15" s="101">
        <v>25.606295661397315</v>
      </c>
      <c r="V15" s="102"/>
      <c r="W15" s="101">
        <v>36.829999475996509</v>
      </c>
      <c r="X15" s="101">
        <v>31.57360750784397</v>
      </c>
      <c r="Y15" s="101">
        <v>31.7300310751715</v>
      </c>
      <c r="Z15" s="101">
        <v>31.818532681935281</v>
      </c>
      <c r="AA15" s="101">
        <v>21.687468572547971</v>
      </c>
      <c r="AB15" s="101">
        <v>23.040163341259177</v>
      </c>
      <c r="AC15" s="101">
        <v>17.037239222166484</v>
      </c>
    </row>
    <row r="16" spans="1:29" ht="18.75" x14ac:dyDescent="0.4">
      <c r="A16" s="21"/>
      <c r="C16" s="4">
        <v>2013</v>
      </c>
      <c r="D16" s="101">
        <v>25.347211221160709</v>
      </c>
      <c r="E16" s="101"/>
      <c r="F16" s="101">
        <v>26.31938214556817</v>
      </c>
      <c r="G16" s="101">
        <v>24.436160528559601</v>
      </c>
      <c r="H16" s="101"/>
      <c r="I16" s="101">
        <v>18.206463396298826</v>
      </c>
      <c r="J16" s="101">
        <v>44.357779696931232</v>
      </c>
      <c r="K16" s="101"/>
      <c r="L16" s="101">
        <v>17.230080190250284</v>
      </c>
      <c r="M16" s="101">
        <v>38.219873090348933</v>
      </c>
      <c r="N16" s="101">
        <v>33.962939457449004</v>
      </c>
      <c r="O16" s="101">
        <v>38.016568758647281</v>
      </c>
      <c r="P16" s="101">
        <v>39.528947536508227</v>
      </c>
      <c r="Q16" s="101">
        <v>42.839536937219997</v>
      </c>
      <c r="R16" s="102"/>
      <c r="S16" s="101">
        <v>20.960986783096004</v>
      </c>
      <c r="T16" s="101">
        <v>39.737795267371581</v>
      </c>
      <c r="U16" s="101">
        <v>24.839208970262099</v>
      </c>
      <c r="V16" s="102"/>
      <c r="W16" s="101">
        <v>38.246174938457656</v>
      </c>
      <c r="X16" s="101">
        <v>28.99014565681232</v>
      </c>
      <c r="Y16" s="101">
        <v>30.821057633561878</v>
      </c>
      <c r="Z16" s="101">
        <v>31.428222695981905</v>
      </c>
      <c r="AA16" s="101">
        <v>22.177284338917755</v>
      </c>
      <c r="AB16" s="101">
        <v>21.538367576437018</v>
      </c>
      <c r="AC16" s="101">
        <v>16.694176114583613</v>
      </c>
    </row>
    <row r="17" spans="1:29" ht="18.75" x14ac:dyDescent="0.4">
      <c r="A17" s="23"/>
      <c r="C17" s="4">
        <v>2014</v>
      </c>
      <c r="D17" s="101">
        <v>25.706942763534933</v>
      </c>
      <c r="E17" s="101"/>
      <c r="F17" s="101">
        <v>26.692748294500003</v>
      </c>
      <c r="G17" s="101">
        <v>24.767775450383585</v>
      </c>
      <c r="H17" s="101"/>
      <c r="I17" s="101">
        <v>19.321108908624886</v>
      </c>
      <c r="J17" s="101">
        <v>42.683638911596404</v>
      </c>
      <c r="K17" s="101"/>
      <c r="L17" s="101">
        <v>18.600102631672996</v>
      </c>
      <c r="M17" s="101">
        <v>36.737786195755113</v>
      </c>
      <c r="N17" s="101">
        <v>30.671071499882014</v>
      </c>
      <c r="O17" s="101">
        <v>38.310046498836826</v>
      </c>
      <c r="P17" s="101">
        <v>40.340429906061722</v>
      </c>
      <c r="Q17" s="101">
        <v>38.959006435252235</v>
      </c>
      <c r="R17" s="102"/>
      <c r="S17" s="101">
        <v>21.729460024820717</v>
      </c>
      <c r="T17" s="101">
        <v>37.586690218269162</v>
      </c>
      <c r="U17" s="101">
        <v>25.422157204159262</v>
      </c>
      <c r="V17" s="102"/>
      <c r="W17" s="101">
        <v>36.123661381659751</v>
      </c>
      <c r="X17" s="101">
        <v>30.17739191720452</v>
      </c>
      <c r="Y17" s="101">
        <v>29.427249426102826</v>
      </c>
      <c r="Z17" s="101">
        <v>32.649853364759458</v>
      </c>
      <c r="AA17" s="101">
        <v>21.455059669020656</v>
      </c>
      <c r="AB17" s="101">
        <v>22.449037390024813</v>
      </c>
      <c r="AC17" s="101">
        <v>19.237381648526743</v>
      </c>
    </row>
    <row r="18" spans="1:29" ht="18.75" x14ac:dyDescent="0.4">
      <c r="A18" s="23"/>
      <c r="C18" s="4">
        <v>2015</v>
      </c>
      <c r="D18" s="101">
        <v>26.166948088765608</v>
      </c>
      <c r="E18" s="101"/>
      <c r="F18" s="101">
        <v>27.143837007460657</v>
      </c>
      <c r="G18" s="101">
        <v>25.239899571473707</v>
      </c>
      <c r="H18" s="101"/>
      <c r="I18" s="101">
        <v>20.624912408194511</v>
      </c>
      <c r="J18" s="101">
        <v>40.873532851403674</v>
      </c>
      <c r="K18" s="101"/>
      <c r="L18" s="101">
        <v>19.434953329257382</v>
      </c>
      <c r="M18" s="101">
        <v>31.884367020433157</v>
      </c>
      <c r="N18" s="101">
        <v>30.380402367202038</v>
      </c>
      <c r="O18" s="101">
        <v>34.983833203255656</v>
      </c>
      <c r="P18" s="101">
        <v>44.078918527303308</v>
      </c>
      <c r="Q18" s="101">
        <v>41.794344874229381</v>
      </c>
      <c r="R18" s="102"/>
      <c r="S18" s="101">
        <v>22.248845483407269</v>
      </c>
      <c r="T18" s="101">
        <v>40.233622977262087</v>
      </c>
      <c r="U18" s="101">
        <v>24.945859859894501</v>
      </c>
      <c r="V18" s="102"/>
      <c r="W18" s="101">
        <v>37.320351041709138</v>
      </c>
      <c r="X18" s="101">
        <v>30.167420394003219</v>
      </c>
      <c r="Y18" s="101">
        <v>31.794606582892833</v>
      </c>
      <c r="Z18" s="101">
        <v>33.779260355565953</v>
      </c>
      <c r="AA18" s="101">
        <v>22.283592720496689</v>
      </c>
      <c r="AB18" s="101">
        <v>22.269324686016343</v>
      </c>
      <c r="AC18" s="101">
        <v>17.726677503838165</v>
      </c>
    </row>
    <row r="19" spans="1:29" ht="18.75" x14ac:dyDescent="0.4">
      <c r="A19" s="23"/>
      <c r="C19" s="4">
        <v>2016</v>
      </c>
      <c r="D19" s="101">
        <v>25.039671923798746</v>
      </c>
      <c r="E19" s="101"/>
      <c r="F19" s="101">
        <v>26.170797852053614</v>
      </c>
      <c r="G19" s="101">
        <v>23.970610928552546</v>
      </c>
      <c r="H19" s="101"/>
      <c r="I19" s="101">
        <v>19.606363563222772</v>
      </c>
      <c r="J19" s="101">
        <v>39.448262438425488</v>
      </c>
      <c r="K19" s="101"/>
      <c r="L19" s="101">
        <v>18.716496771323428</v>
      </c>
      <c r="M19" s="101">
        <v>28.650735204861981</v>
      </c>
      <c r="N19" s="101">
        <v>30.414764387216682</v>
      </c>
      <c r="O19" s="101">
        <v>30.524731731110322</v>
      </c>
      <c r="P19" s="101">
        <v>42.033258074731563</v>
      </c>
      <c r="Q19" s="101">
        <v>42.601089432099648</v>
      </c>
      <c r="R19" s="102"/>
      <c r="S19" s="101">
        <v>21.523455194618233</v>
      </c>
      <c r="T19" s="101">
        <v>34.911937594530656</v>
      </c>
      <c r="U19" s="101">
        <v>23.73482304485302</v>
      </c>
      <c r="V19" s="102"/>
      <c r="W19" s="101">
        <v>36.500160110539312</v>
      </c>
      <c r="X19" s="101">
        <v>29.669719515830202</v>
      </c>
      <c r="Y19" s="101">
        <v>31.16012907129172</v>
      </c>
      <c r="Z19" s="101">
        <v>31.108090954705407</v>
      </c>
      <c r="AA19" s="101">
        <v>21.925952724083395</v>
      </c>
      <c r="AB19" s="101">
        <v>21.116865470098489</v>
      </c>
      <c r="AC19" s="101">
        <v>16.837690691436727</v>
      </c>
    </row>
    <row r="20" spans="1:29" ht="18.75" x14ac:dyDescent="0.4">
      <c r="A20" s="23"/>
      <c r="C20" s="4">
        <v>2017</v>
      </c>
      <c r="D20" s="101">
        <v>23.076541169418547</v>
      </c>
      <c r="E20" s="5"/>
      <c r="F20" s="101">
        <v>24.18169411412261</v>
      </c>
      <c r="G20" s="101">
        <v>22.027263573023703</v>
      </c>
      <c r="H20" s="101"/>
      <c r="I20" s="101">
        <v>18.119081220578881</v>
      </c>
      <c r="J20" s="101">
        <v>36.192786857147503</v>
      </c>
      <c r="K20" s="101"/>
      <c r="L20" s="101">
        <v>17.305650614752423</v>
      </c>
      <c r="M20" s="101">
        <v>23.468935754849355</v>
      </c>
      <c r="N20" s="101">
        <v>31.355389688809531</v>
      </c>
      <c r="O20" s="101">
        <v>29.469433563663571</v>
      </c>
      <c r="P20" s="101">
        <v>36.904474874320904</v>
      </c>
      <c r="Q20" s="101">
        <v>39.781114213801828</v>
      </c>
      <c r="R20" s="102"/>
      <c r="S20" s="101">
        <v>19.698161317688996</v>
      </c>
      <c r="T20" s="101">
        <v>35.289059555220504</v>
      </c>
      <c r="U20" s="101">
        <v>22.060411951764589</v>
      </c>
      <c r="V20" s="102"/>
      <c r="W20" s="101">
        <v>34.747023412797859</v>
      </c>
      <c r="X20" s="101">
        <v>26.824865893213573</v>
      </c>
      <c r="Y20" s="101">
        <v>28.652798535618835</v>
      </c>
      <c r="Z20" s="101">
        <v>29.754832274196996</v>
      </c>
      <c r="AA20" s="101">
        <v>20.015559242056487</v>
      </c>
      <c r="AB20" s="101">
        <v>19.779254064602465</v>
      </c>
      <c r="AC20" s="101">
        <v>14.616299488990453</v>
      </c>
    </row>
    <row r="21" spans="1:29" ht="18.75" x14ac:dyDescent="0.4">
      <c r="A21" s="23"/>
      <c r="C21" s="4">
        <v>2018</v>
      </c>
      <c r="D21" s="101">
        <v>23.621087669191283</v>
      </c>
      <c r="E21" s="5"/>
      <c r="F21" s="101">
        <v>24.528000520338697</v>
      </c>
      <c r="G21" s="101">
        <v>22.761034377757131</v>
      </c>
      <c r="H21" s="101"/>
      <c r="I21" s="101">
        <v>18.779426787796091</v>
      </c>
      <c r="J21" s="101">
        <v>36.393961749191568</v>
      </c>
      <c r="K21" s="101"/>
      <c r="L21" s="101">
        <v>16.902425894845543</v>
      </c>
      <c r="M21" s="101">
        <v>26.047169983782215</v>
      </c>
      <c r="N21" s="101">
        <v>31.676514334838913</v>
      </c>
      <c r="O21" s="101">
        <v>30.869725572691138</v>
      </c>
      <c r="P21" s="101">
        <v>41.067007995448954</v>
      </c>
      <c r="Q21" s="101">
        <v>40.735669078978042</v>
      </c>
      <c r="R21" s="102"/>
      <c r="S21" s="101">
        <v>19.414005935449964</v>
      </c>
      <c r="T21" s="101">
        <v>33.981118678833461</v>
      </c>
      <c r="U21" s="101">
        <v>23.029333475750452</v>
      </c>
      <c r="V21" s="102"/>
      <c r="W21" s="101">
        <v>35.859718839465025</v>
      </c>
      <c r="X21" s="101">
        <v>28.627267319963085</v>
      </c>
      <c r="Y21" s="101">
        <v>30.096448439645162</v>
      </c>
      <c r="Z21" s="101">
        <v>30.692075885798676</v>
      </c>
      <c r="AA21" s="101">
        <v>20.647701765432515</v>
      </c>
      <c r="AB21" s="101">
        <v>19.714863478750509</v>
      </c>
      <c r="AC21" s="101">
        <v>15.181885058989501</v>
      </c>
    </row>
    <row r="22" spans="1:29" ht="18.75" x14ac:dyDescent="0.4">
      <c r="A22" s="23"/>
      <c r="C22" s="4">
        <v>2019</v>
      </c>
      <c r="D22" s="101">
        <v>20.715601092998959</v>
      </c>
      <c r="E22" s="101"/>
      <c r="F22" s="101">
        <v>21.413951696404922</v>
      </c>
      <c r="G22" s="101">
        <v>20.057604749892327</v>
      </c>
      <c r="H22" s="101"/>
      <c r="I22" s="101">
        <v>16.912945356201657</v>
      </c>
      <c r="J22" s="101">
        <v>30.736962724317724</v>
      </c>
      <c r="K22" s="101"/>
      <c r="L22" s="101">
        <v>14.969332610430591</v>
      </c>
      <c r="M22" s="101">
        <v>23.931443353421777</v>
      </c>
      <c r="N22" s="101">
        <v>26.47811890723732</v>
      </c>
      <c r="O22" s="101">
        <v>25.515179005521858</v>
      </c>
      <c r="P22" s="101">
        <v>35.247758884793825</v>
      </c>
      <c r="Q22" s="101">
        <v>36.662731871838112</v>
      </c>
      <c r="R22" s="102"/>
      <c r="S22" s="101">
        <v>17.285807030608545</v>
      </c>
      <c r="T22" s="101">
        <v>29.040835797209603</v>
      </c>
      <c r="U22" s="101">
        <v>19.682181562780091</v>
      </c>
      <c r="V22" s="102"/>
      <c r="W22" s="101">
        <v>32.672171036443665</v>
      </c>
      <c r="X22" s="101">
        <v>25.149841798758743</v>
      </c>
      <c r="Y22" s="101">
        <v>26.218164842574822</v>
      </c>
      <c r="Z22" s="101">
        <v>27.875533648795255</v>
      </c>
      <c r="AA22" s="101">
        <v>18.215836112524929</v>
      </c>
      <c r="AB22" s="101">
        <v>17.161419682212525</v>
      </c>
      <c r="AC22" s="101">
        <v>12.798129575646596</v>
      </c>
    </row>
    <row r="23" spans="1:29" ht="18.75" x14ac:dyDescent="0.4">
      <c r="A23" s="23"/>
      <c r="C23" s="4">
        <v>2020</v>
      </c>
      <c r="D23" s="101">
        <v>20.130453265837463</v>
      </c>
      <c r="E23" s="101"/>
      <c r="F23" s="101">
        <v>21.075944081504705</v>
      </c>
      <c r="G23" s="101">
        <v>19.237947910585259</v>
      </c>
      <c r="H23" s="101"/>
      <c r="I23" s="101">
        <v>16.235920835083178</v>
      </c>
      <c r="J23" s="101">
        <v>30.393381494163158</v>
      </c>
      <c r="K23" s="101"/>
      <c r="L23" s="101">
        <v>15.086938586969953</v>
      </c>
      <c r="M23" s="101">
        <v>23.625115912757391</v>
      </c>
      <c r="N23" s="101">
        <v>23.605567157471778</v>
      </c>
      <c r="O23" s="101">
        <v>21.591065728625829</v>
      </c>
      <c r="P23" s="101">
        <v>36.122316285279986</v>
      </c>
      <c r="Q23" s="101">
        <v>33.39327897945499</v>
      </c>
      <c r="R23" s="102"/>
      <c r="S23" s="101">
        <v>16.585132342467514</v>
      </c>
      <c r="T23" s="101">
        <v>23.833967631062592</v>
      </c>
      <c r="U23" s="101">
        <v>19.54209251207342</v>
      </c>
      <c r="V23" s="102"/>
      <c r="W23" s="101">
        <v>30.39245683599238</v>
      </c>
      <c r="X23" s="101">
        <v>24.591288918545928</v>
      </c>
      <c r="Y23" s="101">
        <v>25.543501586764588</v>
      </c>
      <c r="Z23" s="101">
        <v>28.226991406563069</v>
      </c>
      <c r="AA23" s="101">
        <v>17.888507367794364</v>
      </c>
      <c r="AB23" s="101">
        <v>17.432862052122946</v>
      </c>
      <c r="AC23" s="101">
        <v>10.971035099771539</v>
      </c>
    </row>
    <row r="24" spans="1:29" ht="18.75" x14ac:dyDescent="0.4">
      <c r="A24" s="23"/>
      <c r="C24" s="4">
        <v>2021</v>
      </c>
      <c r="D24" s="101">
        <v>20.49210206679221</v>
      </c>
      <c r="E24" s="101"/>
      <c r="F24" s="101">
        <v>20.940485884935054</v>
      </c>
      <c r="G24" s="101">
        <v>20.075782233825006</v>
      </c>
      <c r="H24" s="101"/>
      <c r="I24" s="101">
        <v>16.562821309228003</v>
      </c>
      <c r="J24" s="101">
        <v>30.826566233539417</v>
      </c>
      <c r="K24" s="101"/>
      <c r="L24" s="101">
        <v>14.899773784089481</v>
      </c>
      <c r="M24" s="101">
        <v>23.355217838919685</v>
      </c>
      <c r="N24" s="101">
        <v>26.684748455830398</v>
      </c>
      <c r="O24" s="101">
        <v>26.939655752667473</v>
      </c>
      <c r="P24" s="101">
        <v>35.201725264896105</v>
      </c>
      <c r="Q24" s="101">
        <v>33.353688096658715</v>
      </c>
      <c r="R24" s="102"/>
      <c r="S24" s="101">
        <v>17.239500648746692</v>
      </c>
      <c r="T24" s="101">
        <v>27.103270878911733</v>
      </c>
      <c r="U24" s="101">
        <v>19.053469905937405</v>
      </c>
      <c r="V24" s="102"/>
      <c r="W24" s="101">
        <v>34.1324393862565</v>
      </c>
      <c r="X24" s="101">
        <v>25.736729057993252</v>
      </c>
      <c r="Y24" s="101">
        <v>23.668363688148144</v>
      </c>
      <c r="Z24" s="101">
        <v>27.577509916300428</v>
      </c>
      <c r="AA24" s="101">
        <v>18.041668646883991</v>
      </c>
      <c r="AB24" s="101">
        <v>17.547205424050883</v>
      </c>
      <c r="AC24" s="101">
        <v>13.339157436368657</v>
      </c>
    </row>
    <row r="25" spans="1:29" ht="18.75" x14ac:dyDescent="0.4">
      <c r="A25" s="23"/>
      <c r="C25" s="4">
        <v>2022</v>
      </c>
      <c r="D25" s="101">
        <v>17.788552200966549</v>
      </c>
      <c r="E25" s="101"/>
      <c r="F25" s="101">
        <v>18.693762457285715</v>
      </c>
      <c r="G25" s="101">
        <v>16.961643625208946</v>
      </c>
      <c r="H25" s="101"/>
      <c r="I25" s="101">
        <v>14.171409754246772</v>
      </c>
      <c r="J25" s="101">
        <v>27.290468844135358</v>
      </c>
      <c r="K25" s="101"/>
      <c r="L25" s="101">
        <v>12.734559575361079</v>
      </c>
      <c r="M25" s="101">
        <v>23.170698522408774</v>
      </c>
      <c r="N25" s="101">
        <v>25.48112699186575</v>
      </c>
      <c r="O25" s="101">
        <v>19.95913372057213</v>
      </c>
      <c r="P25" s="101">
        <v>30.316881767588811</v>
      </c>
      <c r="Q25" s="101">
        <v>29.158686667827393</v>
      </c>
      <c r="R25" s="102"/>
      <c r="S25" s="101">
        <v>14.529299698899006</v>
      </c>
      <c r="T25" s="101">
        <v>25.223322035305902</v>
      </c>
      <c r="U25" s="101">
        <v>16.62280358895519</v>
      </c>
      <c r="V25" s="102"/>
      <c r="W25" s="101">
        <v>30.442415164838703</v>
      </c>
      <c r="X25" s="101">
        <v>24.387890632217061</v>
      </c>
      <c r="Y25" s="101">
        <v>21.80377827759056</v>
      </c>
      <c r="Z25" s="101">
        <v>23.315502685288468</v>
      </c>
      <c r="AA25" s="101">
        <v>16.095239905469704</v>
      </c>
      <c r="AB25" s="101">
        <v>15.32276093691781</v>
      </c>
      <c r="AC25" s="101">
        <v>9.8289068248388158</v>
      </c>
    </row>
    <row r="26" spans="1:29" ht="18.75" x14ac:dyDescent="0.4">
      <c r="A26" s="23"/>
      <c r="C26" s="2358">
        <v>2023</v>
      </c>
      <c r="D26" s="2360">
        <v>15.3019874825576</v>
      </c>
      <c r="E26" s="2360"/>
      <c r="F26" s="2360">
        <v>16.073928613239122</v>
      </c>
      <c r="G26" s="2360">
        <v>14.605147915716632</v>
      </c>
      <c r="H26" s="2360"/>
      <c r="I26" s="2360">
        <v>11.833432044240705</v>
      </c>
      <c r="J26" s="2360">
        <v>24.395795472237801</v>
      </c>
      <c r="K26" s="2360"/>
      <c r="L26" s="2360">
        <v>10.723726177365968</v>
      </c>
      <c r="M26" s="2360">
        <v>21.209368429535314</v>
      </c>
      <c r="N26" s="2360">
        <v>20.765023865480298</v>
      </c>
      <c r="O26" s="2360">
        <v>19.12336166325305</v>
      </c>
      <c r="P26" s="2360">
        <v>24.909414183632197</v>
      </c>
      <c r="Q26" s="2360">
        <v>25.833663437646297</v>
      </c>
      <c r="R26" s="2361"/>
      <c r="S26" s="2360">
        <v>12.540522000047408</v>
      </c>
      <c r="T26" s="2360">
        <v>22.094302836022631</v>
      </c>
      <c r="U26" s="2360">
        <v>14.323629414464149</v>
      </c>
      <c r="V26" s="2361"/>
      <c r="W26" s="2360">
        <v>25.481083558569185</v>
      </c>
      <c r="X26" s="2360">
        <v>21.668595299061124</v>
      </c>
      <c r="Y26" s="2360">
        <v>19.785648729896668</v>
      </c>
      <c r="Z26" s="2360">
        <v>19.993676460624677</v>
      </c>
      <c r="AA26" s="2360">
        <v>13.758206822602052</v>
      </c>
      <c r="AB26" s="2360">
        <v>13.079482282077723</v>
      </c>
      <c r="AC26" s="2360">
        <v>8.9358746607115922</v>
      </c>
    </row>
    <row r="27" spans="1:29" ht="18.75" x14ac:dyDescent="0.4">
      <c r="A27" s="23"/>
      <c r="C27" s="82">
        <v>2024</v>
      </c>
      <c r="D27" s="103">
        <v>13.089035043813485</v>
      </c>
      <c r="E27" s="103"/>
      <c r="F27" s="103">
        <v>13.829743943089156</v>
      </c>
      <c r="G27" s="103">
        <v>12.413009771752066</v>
      </c>
      <c r="H27" s="103"/>
      <c r="I27" s="103">
        <v>10.023168208174114</v>
      </c>
      <c r="J27" s="103">
        <v>21.113353186956619</v>
      </c>
      <c r="K27" s="103"/>
      <c r="L27" s="103">
        <v>8.9089019425095657</v>
      </c>
      <c r="M27" s="103">
        <v>16.942669632764616</v>
      </c>
      <c r="N27" s="103">
        <v>13.574597026115207</v>
      </c>
      <c r="O27" s="103">
        <v>14.54303771272108</v>
      </c>
      <c r="P27" s="103">
        <v>23.761229778054101</v>
      </c>
      <c r="Q27" s="103">
        <v>26.861135355701364</v>
      </c>
      <c r="R27" s="104"/>
      <c r="S27" s="103">
        <v>11.044202607687764</v>
      </c>
      <c r="T27" s="103">
        <v>17.94012116934298</v>
      </c>
      <c r="U27" s="103">
        <v>11.555568655917819</v>
      </c>
      <c r="V27" s="104"/>
      <c r="W27" s="103">
        <v>23.799748998573076</v>
      </c>
      <c r="X27" s="103">
        <v>19.425700831664059</v>
      </c>
      <c r="Y27" s="103">
        <v>18.104514533085961</v>
      </c>
      <c r="Z27" s="103">
        <v>16.577107353947731</v>
      </c>
      <c r="AA27" s="103">
        <v>11.943085025845985</v>
      </c>
      <c r="AB27" s="103">
        <v>11.005695695596714</v>
      </c>
      <c r="AC27" s="103">
        <v>7.0777222586966433</v>
      </c>
    </row>
    <row r="28" spans="1:29" ht="18.75" x14ac:dyDescent="0.4">
      <c r="A28" s="23"/>
      <c r="C28" s="2277" t="s">
        <v>8107</v>
      </c>
      <c r="D28" s="101"/>
      <c r="E28" s="101"/>
      <c r="F28" s="101"/>
      <c r="G28" s="101"/>
      <c r="H28" s="101"/>
      <c r="I28" s="101"/>
      <c r="J28" s="101"/>
      <c r="K28" s="101"/>
      <c r="L28" s="101"/>
      <c r="M28" s="101"/>
      <c r="N28" s="101"/>
      <c r="O28" s="101"/>
      <c r="P28" s="101"/>
      <c r="Q28" s="101"/>
      <c r="R28" s="102"/>
      <c r="S28" s="101"/>
      <c r="T28" s="101"/>
      <c r="U28" s="101"/>
      <c r="V28" s="102"/>
      <c r="W28" s="101"/>
      <c r="X28" s="101"/>
      <c r="Y28" s="101"/>
      <c r="Z28" s="101"/>
      <c r="AA28" s="101"/>
      <c r="AB28" s="101"/>
      <c r="AC28" s="101"/>
    </row>
    <row r="29" spans="1:29" ht="15" x14ac:dyDescent="0.25">
      <c r="A29" s="23"/>
      <c r="C29" s="2287"/>
      <c r="D29" s="2287"/>
      <c r="E29" s="2287"/>
      <c r="F29" s="2287"/>
      <c r="G29" s="2287"/>
      <c r="H29" s="2287"/>
      <c r="I29" s="2287"/>
      <c r="J29" s="2287"/>
      <c r="K29" s="2287"/>
      <c r="L29" s="2287"/>
      <c r="M29" s="2287"/>
      <c r="N29" s="2287"/>
      <c r="O29" s="2287"/>
      <c r="P29" s="2287"/>
      <c r="Q29" s="2287"/>
      <c r="R29" s="2287"/>
      <c r="S29" s="2287"/>
      <c r="T29" s="2287"/>
      <c r="U29" s="2287"/>
      <c r="V29" s="2287"/>
      <c r="W29" s="2287"/>
      <c r="X29" s="2287"/>
      <c r="Y29" s="2287"/>
      <c r="Z29" s="2287"/>
      <c r="AA29" s="2287"/>
      <c r="AB29" s="2287"/>
      <c r="AC29" s="2287"/>
    </row>
    <row r="30" spans="1:29" x14ac:dyDescent="0.25">
      <c r="A30" s="23"/>
    </row>
    <row r="31" spans="1:29" ht="19.5" x14ac:dyDescent="0.25">
      <c r="A31" s="23"/>
      <c r="C31" s="105" t="s">
        <v>8108</v>
      </c>
    </row>
    <row r="32" spans="1:29" x14ac:dyDescent="0.25">
      <c r="A32" s="21"/>
    </row>
    <row r="33" spans="1:1" x14ac:dyDescent="0.25">
      <c r="A33" s="23"/>
    </row>
    <row r="53" spans="3:13" ht="16.5" x14ac:dyDescent="0.25">
      <c r="C53" s="106" t="s">
        <v>8109</v>
      </c>
    </row>
    <row r="59" spans="3:13" ht="19.5" x14ac:dyDescent="0.4">
      <c r="C59" s="107" t="s">
        <v>152</v>
      </c>
      <c r="D59" s="107"/>
      <c r="E59" s="107"/>
      <c r="F59" s="107"/>
      <c r="G59" s="107"/>
      <c r="H59" s="107"/>
      <c r="I59" s="107"/>
      <c r="J59" s="107"/>
      <c r="K59" s="107"/>
      <c r="L59" s="107"/>
      <c r="M59" s="107"/>
    </row>
    <row r="60" spans="3:13" ht="18.75" x14ac:dyDescent="0.25">
      <c r="C60" s="2459" t="s">
        <v>153</v>
      </c>
      <c r="D60" s="2459" t="s">
        <v>154</v>
      </c>
      <c r="E60" s="108"/>
      <c r="F60" s="2461" t="s">
        <v>50</v>
      </c>
      <c r="G60" s="2461"/>
      <c r="H60" s="2461"/>
      <c r="I60" s="2461"/>
      <c r="J60" s="2461"/>
      <c r="K60" s="2461"/>
      <c r="L60" s="2461"/>
      <c r="M60" s="2461"/>
    </row>
    <row r="61" spans="3:13" ht="37.5" x14ac:dyDescent="0.25">
      <c r="C61" s="2460"/>
      <c r="D61" s="2460"/>
      <c r="E61" s="109"/>
      <c r="F61" s="109" t="s">
        <v>57</v>
      </c>
      <c r="G61" s="109" t="s">
        <v>58</v>
      </c>
      <c r="H61" s="109"/>
      <c r="I61" s="109" t="s">
        <v>59</v>
      </c>
      <c r="J61" s="109" t="s">
        <v>60</v>
      </c>
      <c r="K61" s="109"/>
      <c r="L61" s="109" t="s">
        <v>61</v>
      </c>
      <c r="M61" s="109" t="s">
        <v>62</v>
      </c>
    </row>
    <row r="62" spans="3:13" ht="18.75" x14ac:dyDescent="0.25">
      <c r="C62" s="110" t="s">
        <v>155</v>
      </c>
      <c r="D62" s="111">
        <v>0.88146861624364659</v>
      </c>
      <c r="E62" s="111"/>
      <c r="F62" s="111">
        <v>0.64426976481359766</v>
      </c>
      <c r="G62" s="111">
        <v>0.99836236768405462</v>
      </c>
      <c r="H62" s="111"/>
      <c r="I62" s="111">
        <v>1.0177563675090329</v>
      </c>
      <c r="J62" s="111">
        <v>1.0468826993922613</v>
      </c>
      <c r="K62" s="111"/>
      <c r="L62" s="111">
        <v>1.5824491274195494</v>
      </c>
      <c r="M62" s="111">
        <v>1.5619787932530849</v>
      </c>
    </row>
    <row r="63" spans="3:13" ht="37.5" x14ac:dyDescent="0.25">
      <c r="C63" s="112" t="s">
        <v>156</v>
      </c>
      <c r="D63" s="111">
        <v>1.0940294405008528</v>
      </c>
      <c r="E63" s="111"/>
      <c r="F63" s="111">
        <v>0.65507127051921987</v>
      </c>
      <c r="G63" s="111">
        <v>1.449977057325041</v>
      </c>
      <c r="H63" s="111"/>
      <c r="I63" s="111">
        <v>1.5591066078769003</v>
      </c>
      <c r="J63" s="111">
        <v>1.5586503038693491</v>
      </c>
      <c r="K63" s="111"/>
      <c r="L63" s="111">
        <v>2.2206535298930898</v>
      </c>
      <c r="M63" s="111">
        <v>2.0978076299007555</v>
      </c>
    </row>
    <row r="64" spans="3:13" ht="18.75" x14ac:dyDescent="0.25">
      <c r="C64" s="110" t="s">
        <v>157</v>
      </c>
      <c r="D64" s="111">
        <v>0.99180747967323712</v>
      </c>
      <c r="E64" s="111"/>
      <c r="F64" s="111">
        <v>0.55978014445375412</v>
      </c>
      <c r="G64" s="111">
        <v>1.2871631777978199</v>
      </c>
      <c r="H64" s="111"/>
      <c r="I64" s="111">
        <v>1.3454628698828526</v>
      </c>
      <c r="J64" s="111">
        <v>1.3809434419754252</v>
      </c>
      <c r="K64" s="111"/>
      <c r="L64" s="111">
        <v>2.2374545600879969</v>
      </c>
      <c r="M64" s="111">
        <v>2.0229047960454358</v>
      </c>
    </row>
    <row r="65" spans="3:13" ht="18.75" x14ac:dyDescent="0.25">
      <c r="C65" s="110" t="s">
        <v>158</v>
      </c>
      <c r="D65" s="111">
        <v>0.86887166351792977</v>
      </c>
      <c r="E65" s="111"/>
      <c r="F65" s="111">
        <v>0.65017135152646488</v>
      </c>
      <c r="G65" s="111">
        <v>1.0019092524907298</v>
      </c>
      <c r="H65" s="111"/>
      <c r="I65" s="111">
        <v>1.2646435289785125</v>
      </c>
      <c r="J65" s="111">
        <v>1.0858212554718649</v>
      </c>
      <c r="K65" s="111"/>
      <c r="L65" s="111">
        <v>1.3477265512168728</v>
      </c>
      <c r="M65" s="111">
        <v>1.3936581009521651</v>
      </c>
    </row>
    <row r="66" spans="3:13" ht="18.75" x14ac:dyDescent="0.25">
      <c r="C66" s="113" t="s">
        <v>159</v>
      </c>
      <c r="D66" s="114">
        <v>0.51205502569802464</v>
      </c>
      <c r="E66" s="114"/>
      <c r="F66" s="114">
        <v>0.37938286264659765</v>
      </c>
      <c r="G66" s="114">
        <v>0.53440610116928566</v>
      </c>
      <c r="H66" s="114"/>
      <c r="I66" s="114">
        <v>0.63257059250928127</v>
      </c>
      <c r="J66" s="114">
        <v>0.8195477548083312</v>
      </c>
      <c r="K66" s="114"/>
      <c r="L66" s="114">
        <v>0.8039678600651915</v>
      </c>
      <c r="M66" s="114">
        <v>0.80544130410173198</v>
      </c>
    </row>
    <row r="67" spans="3:13" ht="18.75" x14ac:dyDescent="0.4">
      <c r="C67" s="115" t="s">
        <v>160</v>
      </c>
      <c r="D67" s="115"/>
      <c r="E67" s="115"/>
      <c r="F67" s="115"/>
      <c r="G67" s="115"/>
      <c r="H67" s="115"/>
      <c r="I67" s="115"/>
      <c r="J67" s="115"/>
      <c r="K67" s="115"/>
      <c r="L67" s="115"/>
      <c r="M67" s="115"/>
    </row>
    <row r="68" spans="3:13" ht="18.75" x14ac:dyDescent="0.4">
      <c r="C68" s="115"/>
      <c r="D68" s="115"/>
      <c r="E68" s="115"/>
      <c r="F68" s="115"/>
      <c r="G68" s="115"/>
      <c r="H68" s="115"/>
      <c r="I68" s="115"/>
      <c r="J68" s="115"/>
      <c r="K68" s="115"/>
      <c r="L68" s="115"/>
      <c r="M68" s="115"/>
    </row>
    <row r="69" spans="3:13" ht="18.75" x14ac:dyDescent="0.4">
      <c r="C69" s="115"/>
      <c r="D69" s="115"/>
      <c r="E69" s="115"/>
      <c r="F69" s="115"/>
      <c r="G69" s="115"/>
      <c r="H69" s="115"/>
      <c r="I69" s="115"/>
      <c r="J69" s="115"/>
      <c r="K69" s="115"/>
      <c r="L69" s="115"/>
      <c r="M69" s="115"/>
    </row>
    <row r="70" spans="3:13" ht="19.5" x14ac:dyDescent="0.4">
      <c r="C70" s="116" t="s">
        <v>161</v>
      </c>
      <c r="D70" s="117"/>
      <c r="E70" s="117"/>
      <c r="F70" s="117"/>
      <c r="G70" s="117"/>
      <c r="H70" s="117"/>
      <c r="I70" s="117"/>
      <c r="J70" s="117"/>
      <c r="K70" s="117"/>
      <c r="L70" s="117"/>
      <c r="M70" s="117"/>
    </row>
    <row r="71" spans="3:13" ht="18.75" x14ac:dyDescent="0.25">
      <c r="C71" s="2459" t="s">
        <v>153</v>
      </c>
      <c r="D71" s="2459" t="s">
        <v>154</v>
      </c>
      <c r="E71" s="108"/>
      <c r="F71" s="2461" t="s">
        <v>50</v>
      </c>
      <c r="G71" s="2461"/>
      <c r="H71" s="2461"/>
      <c r="I71" s="2461"/>
      <c r="J71" s="2461"/>
      <c r="K71" s="2461"/>
      <c r="L71" s="2461"/>
      <c r="M71" s="2461"/>
    </row>
    <row r="72" spans="3:13" ht="37.5" x14ac:dyDescent="0.25">
      <c r="C72" s="2460"/>
      <c r="D72" s="2460"/>
      <c r="E72" s="109"/>
      <c r="F72" s="109" t="s">
        <v>57</v>
      </c>
      <c r="G72" s="109" t="s">
        <v>58</v>
      </c>
      <c r="H72" s="109"/>
      <c r="I72" s="109" t="s">
        <v>59</v>
      </c>
      <c r="J72" s="109" t="s">
        <v>60</v>
      </c>
      <c r="K72" s="109"/>
      <c r="L72" s="109" t="s">
        <v>61</v>
      </c>
      <c r="M72" s="109" t="s">
        <v>62</v>
      </c>
    </row>
    <row r="73" spans="3:13" ht="18.75" x14ac:dyDescent="0.4">
      <c r="C73" s="110" t="s">
        <v>155</v>
      </c>
      <c r="D73" s="118">
        <v>0.74954196531911732</v>
      </c>
      <c r="E73" s="115"/>
      <c r="F73" s="118">
        <v>0.52889767708658808</v>
      </c>
      <c r="G73" s="118">
        <v>0.87320978548159134</v>
      </c>
      <c r="H73" s="115"/>
      <c r="I73" s="118">
        <v>0.94505838708730039</v>
      </c>
      <c r="J73" s="118">
        <v>0.91950494530589066</v>
      </c>
      <c r="K73" s="115"/>
      <c r="L73" s="118">
        <v>1.3242655345021894</v>
      </c>
      <c r="M73" s="118">
        <v>1.3777111374572824</v>
      </c>
    </row>
    <row r="74" spans="3:13" ht="37.5" x14ac:dyDescent="0.4">
      <c r="C74" s="112" t="s">
        <v>156</v>
      </c>
      <c r="D74" s="118">
        <v>0.99030356295331601</v>
      </c>
      <c r="E74" s="115"/>
      <c r="F74" s="118">
        <v>0.68776611372529062</v>
      </c>
      <c r="G74" s="118">
        <v>1.5493807240764645</v>
      </c>
      <c r="H74" s="115"/>
      <c r="I74" s="118">
        <v>1.7966387048148538</v>
      </c>
      <c r="J74" s="118">
        <v>1.0455522195850588</v>
      </c>
      <c r="K74" s="115"/>
      <c r="L74" s="118">
        <v>1.318139528788951</v>
      </c>
      <c r="M74" s="118">
        <v>1.770032777739035</v>
      </c>
    </row>
    <row r="75" spans="3:13" ht="18.75" x14ac:dyDescent="0.4">
      <c r="C75" s="110" t="s">
        <v>157</v>
      </c>
      <c r="D75" s="118">
        <v>0.81211552912016394</v>
      </c>
      <c r="E75" s="115"/>
      <c r="F75" s="118">
        <v>0.45006972004719342</v>
      </c>
      <c r="G75" s="118">
        <v>1.2963688610240343</v>
      </c>
      <c r="H75" s="115"/>
      <c r="I75" s="118">
        <v>1.3306187171480837</v>
      </c>
      <c r="J75" s="118">
        <v>1.1530686353052162</v>
      </c>
      <c r="K75" s="115"/>
      <c r="L75" s="118">
        <v>1.5754317687449213</v>
      </c>
      <c r="M75" s="118">
        <v>1.5801311109561338</v>
      </c>
    </row>
    <row r="76" spans="3:13" ht="18.75" x14ac:dyDescent="0.4">
      <c r="C76" s="110" t="s">
        <v>158</v>
      </c>
      <c r="D76" s="118">
        <v>0.70036679298062876</v>
      </c>
      <c r="E76" s="115"/>
      <c r="F76" s="118">
        <v>0.50850708937068612</v>
      </c>
      <c r="G76" s="118">
        <v>0.8772819472616632</v>
      </c>
      <c r="H76" s="115"/>
      <c r="I76" s="118">
        <v>1.1573009145515822</v>
      </c>
      <c r="J76" s="118">
        <v>0.81777864296713354</v>
      </c>
      <c r="K76" s="115"/>
      <c r="L76" s="118">
        <v>1.1833128041163281</v>
      </c>
      <c r="M76" s="118">
        <v>1.0253620661598906</v>
      </c>
    </row>
    <row r="77" spans="3:13" ht="18.75" x14ac:dyDescent="0.4">
      <c r="C77" s="113" t="s">
        <v>159</v>
      </c>
      <c r="D77" s="119">
        <v>0.44709778730466926</v>
      </c>
      <c r="E77" s="120"/>
      <c r="F77" s="119">
        <v>0.32532912992179197</v>
      </c>
      <c r="G77" s="119">
        <v>0.62354016841846516</v>
      </c>
      <c r="H77" s="120"/>
      <c r="I77" s="119">
        <v>0.55563168661844353</v>
      </c>
      <c r="J77" s="119">
        <v>0.5184148067175296</v>
      </c>
      <c r="K77" s="120"/>
      <c r="L77" s="119">
        <v>0.69181277354089732</v>
      </c>
      <c r="M77" s="119">
        <v>0.793186414673268</v>
      </c>
    </row>
    <row r="78" spans="3:13" ht="18.75" x14ac:dyDescent="0.4">
      <c r="C78" s="115" t="s">
        <v>162</v>
      </c>
      <c r="D78" s="115"/>
      <c r="E78" s="115"/>
      <c r="F78" s="115"/>
      <c r="G78" s="115"/>
      <c r="H78" s="115"/>
      <c r="I78" s="115"/>
      <c r="J78" s="115"/>
      <c r="K78" s="115"/>
      <c r="L78" s="115"/>
      <c r="M78" s="115"/>
    </row>
    <row r="82" spans="3:14" ht="19.5" x14ac:dyDescent="0.25">
      <c r="C82" s="116" t="s">
        <v>163</v>
      </c>
      <c r="D82" s="116"/>
      <c r="E82" s="116"/>
      <c r="F82" s="116"/>
      <c r="G82" s="116"/>
      <c r="H82" s="116"/>
      <c r="I82" s="116"/>
      <c r="J82" s="116"/>
      <c r="K82" s="116"/>
      <c r="L82" s="116"/>
      <c r="M82" s="116"/>
      <c r="N82" s="116"/>
    </row>
    <row r="83" spans="3:14" ht="13.9" customHeight="1" x14ac:dyDescent="0.25">
      <c r="C83" s="2459" t="s">
        <v>153</v>
      </c>
      <c r="D83" s="2459" t="s">
        <v>154</v>
      </c>
      <c r="E83" s="108"/>
      <c r="F83" s="2461" t="s">
        <v>50</v>
      </c>
      <c r="G83" s="2461"/>
      <c r="H83" s="2461"/>
      <c r="I83" s="2461"/>
      <c r="J83" s="2461"/>
      <c r="K83" s="2461"/>
      <c r="L83" s="2461"/>
      <c r="M83" s="2461"/>
    </row>
    <row r="84" spans="3:14" ht="37.5" x14ac:dyDescent="0.25">
      <c r="C84" s="2460"/>
      <c r="D84" s="2460"/>
      <c r="E84" s="109"/>
      <c r="F84" s="109" t="s">
        <v>57</v>
      </c>
      <c r="G84" s="109" t="s">
        <v>58</v>
      </c>
      <c r="H84" s="109"/>
      <c r="I84" s="109" t="s">
        <v>59</v>
      </c>
      <c r="J84" s="109" t="s">
        <v>60</v>
      </c>
      <c r="K84" s="109"/>
      <c r="L84" s="109" t="s">
        <v>61</v>
      </c>
      <c r="M84" s="109" t="s">
        <v>62</v>
      </c>
    </row>
    <row r="85" spans="3:14" ht="18.75" x14ac:dyDescent="0.4">
      <c r="C85" s="110" t="s">
        <v>155</v>
      </c>
      <c r="D85" s="118">
        <v>0.62836691472596484</v>
      </c>
      <c r="E85" s="115"/>
      <c r="F85" s="118">
        <v>0.42950802113797287</v>
      </c>
      <c r="G85" s="118">
        <v>0.83363581815353394</v>
      </c>
      <c r="H85" s="115"/>
      <c r="I85" s="118">
        <v>0.85567780247003478</v>
      </c>
      <c r="J85" s="118">
        <v>0.80257163690970379</v>
      </c>
      <c r="K85" s="115"/>
      <c r="L85" s="118">
        <v>1.0210680754950092</v>
      </c>
      <c r="M85" s="118">
        <v>1.1715146978223958</v>
      </c>
    </row>
    <row r="86" spans="3:14" ht="37.5" x14ac:dyDescent="0.4">
      <c r="C86" s="112" t="s">
        <v>156</v>
      </c>
      <c r="D86" s="118">
        <v>0.79579157656104815</v>
      </c>
      <c r="E86" s="115"/>
      <c r="F86" s="118">
        <v>0.50876180206478372</v>
      </c>
      <c r="G86" s="118">
        <v>1.243916351218211</v>
      </c>
      <c r="H86" s="115"/>
      <c r="I86" s="118">
        <v>1.2739990527888072</v>
      </c>
      <c r="J86" s="118">
        <v>1.1865844589960377</v>
      </c>
      <c r="K86" s="115"/>
      <c r="L86" s="118">
        <v>1.3689422847986816</v>
      </c>
      <c r="M86" s="118">
        <v>1.1970136484553588</v>
      </c>
    </row>
    <row r="87" spans="3:14" ht="18.75" x14ac:dyDescent="0.4">
      <c r="C87" s="110" t="s">
        <v>157</v>
      </c>
      <c r="D87" s="118">
        <v>0.65539999631291124</v>
      </c>
      <c r="E87" s="115"/>
      <c r="F87" s="118">
        <v>0.36618850264224695</v>
      </c>
      <c r="G87" s="118">
        <v>1.0488321616676421</v>
      </c>
      <c r="H87" s="115"/>
      <c r="I87" s="118">
        <v>0.80913694487959498</v>
      </c>
      <c r="J87" s="118">
        <v>1.1219686523092016</v>
      </c>
      <c r="K87" s="115"/>
      <c r="L87" s="118">
        <v>1.2375402989684761</v>
      </c>
      <c r="M87" s="118">
        <v>1.2806622374911436</v>
      </c>
    </row>
    <row r="88" spans="3:14" ht="18.75" x14ac:dyDescent="0.4">
      <c r="C88" s="110" t="s">
        <v>158</v>
      </c>
      <c r="D88" s="118">
        <v>0.60076121671771765</v>
      </c>
      <c r="E88" s="115"/>
      <c r="F88" s="118">
        <v>0.43781174908672577</v>
      </c>
      <c r="G88" s="118">
        <v>0.7866333809901257</v>
      </c>
      <c r="H88" s="115"/>
      <c r="I88" s="118">
        <v>0.8128407835136674</v>
      </c>
      <c r="J88" s="118">
        <v>0.77332004918983588</v>
      </c>
      <c r="K88" s="115"/>
      <c r="L88" s="118">
        <v>0.89523233441226335</v>
      </c>
      <c r="M88" s="118">
        <v>1.0117145899893516</v>
      </c>
    </row>
    <row r="89" spans="3:14" ht="18.75" x14ac:dyDescent="0.4">
      <c r="C89" s="113" t="s">
        <v>159</v>
      </c>
      <c r="D89" s="119">
        <v>0.3817843174607774</v>
      </c>
      <c r="E89" s="120"/>
      <c r="F89" s="119">
        <v>0.27350110827310892</v>
      </c>
      <c r="G89" s="119">
        <v>0.47254302074922416</v>
      </c>
      <c r="H89" s="120"/>
      <c r="I89" s="119">
        <v>0.49122918867718252</v>
      </c>
      <c r="J89" s="119">
        <v>0.51642107847030172</v>
      </c>
      <c r="K89" s="120"/>
      <c r="L89" s="119">
        <v>0.59928829286812835</v>
      </c>
      <c r="M89" s="119">
        <v>0.66638148836338873</v>
      </c>
    </row>
    <row r="90" spans="3:14" ht="18.75" x14ac:dyDescent="0.4">
      <c r="C90" s="115" t="s">
        <v>164</v>
      </c>
      <c r="D90" s="121"/>
      <c r="E90" s="121"/>
      <c r="F90" s="121"/>
      <c r="G90" s="121"/>
      <c r="H90" s="121"/>
      <c r="I90" s="121"/>
      <c r="J90" s="121"/>
      <c r="K90" s="121"/>
      <c r="L90" s="121"/>
      <c r="M90" s="121"/>
    </row>
    <row r="94" spans="3:14" ht="19.5" x14ac:dyDescent="0.25">
      <c r="C94" s="2280" t="s">
        <v>8110</v>
      </c>
      <c r="D94" s="2280"/>
      <c r="E94" s="2280"/>
      <c r="F94" s="2280"/>
      <c r="G94" s="2280"/>
      <c r="H94" s="2280"/>
      <c r="I94" s="2280"/>
      <c r="J94" s="2280"/>
      <c r="K94" s="2280"/>
      <c r="L94" s="2280"/>
      <c r="M94" s="2280"/>
    </row>
    <row r="95" spans="3:14" ht="18.75" x14ac:dyDescent="0.25">
      <c r="C95" s="2459" t="s">
        <v>153</v>
      </c>
      <c r="D95" s="2459" t="s">
        <v>154</v>
      </c>
      <c r="E95" s="2275"/>
      <c r="F95" s="2461" t="s">
        <v>50</v>
      </c>
      <c r="G95" s="2461"/>
      <c r="H95" s="2461"/>
      <c r="I95" s="2461"/>
      <c r="J95" s="2461"/>
      <c r="K95" s="2461"/>
      <c r="L95" s="2461"/>
      <c r="M95" s="2461"/>
    </row>
    <row r="96" spans="3:14" ht="37.5" x14ac:dyDescent="0.25">
      <c r="C96" s="2460"/>
      <c r="D96" s="2460"/>
      <c r="E96" s="2276"/>
      <c r="F96" s="2276" t="s">
        <v>57</v>
      </c>
      <c r="G96" s="2276" t="s">
        <v>58</v>
      </c>
      <c r="H96" s="2276"/>
      <c r="I96" s="2276" t="s">
        <v>59</v>
      </c>
      <c r="J96" s="2276" t="s">
        <v>60</v>
      </c>
      <c r="K96" s="2276"/>
      <c r="L96" s="2276" t="s">
        <v>61</v>
      </c>
      <c r="M96" s="2276" t="s">
        <v>62</v>
      </c>
    </row>
    <row r="97" spans="3:13" ht="18.75" x14ac:dyDescent="0.4">
      <c r="C97" s="110" t="s">
        <v>155</v>
      </c>
      <c r="D97" s="118">
        <v>0.51233702259386404</v>
      </c>
      <c r="E97" s="2279"/>
      <c r="F97" s="118">
        <v>0.34035800995113263</v>
      </c>
      <c r="G97" s="118">
        <v>0.66942389680428549</v>
      </c>
      <c r="H97" s="2279"/>
      <c r="I97" s="118">
        <v>0.55228100653235523</v>
      </c>
      <c r="J97" s="118">
        <v>0.59669005479993265</v>
      </c>
      <c r="K97" s="2279"/>
      <c r="L97" s="118">
        <v>0.95011636781058195</v>
      </c>
      <c r="M97" s="118">
        <v>1.0898631012624511</v>
      </c>
    </row>
    <row r="98" spans="3:13" ht="37.5" x14ac:dyDescent="0.4">
      <c r="C98" s="112" t="s">
        <v>156</v>
      </c>
      <c r="D98" s="118">
        <v>0.65065273291601589</v>
      </c>
      <c r="E98" s="2279"/>
      <c r="F98" s="118">
        <v>0.41331374472372479</v>
      </c>
      <c r="G98" s="118">
        <v>0.84830375687789261</v>
      </c>
      <c r="H98" s="2279"/>
      <c r="I98" s="118">
        <v>0.84845288637954996</v>
      </c>
      <c r="J98" s="118">
        <v>0.64431990283803631</v>
      </c>
      <c r="K98" s="2279"/>
      <c r="L98" s="118">
        <v>1.2248263943638857</v>
      </c>
      <c r="M98" s="118">
        <v>1.5013250412826942</v>
      </c>
    </row>
    <row r="99" spans="3:13" ht="18.75" x14ac:dyDescent="0.4">
      <c r="C99" s="110" t="s">
        <v>157</v>
      </c>
      <c r="D99" s="118">
        <v>0.57435556860625114</v>
      </c>
      <c r="E99" s="2279"/>
      <c r="F99" s="118">
        <v>0.28865828380699543</v>
      </c>
      <c r="G99" s="118">
        <v>0.89206719381991728</v>
      </c>
      <c r="H99" s="2279"/>
      <c r="I99" s="118">
        <v>0.61933293743297091</v>
      </c>
      <c r="J99" s="118">
        <v>0.87720132573401877</v>
      </c>
      <c r="K99" s="2279"/>
      <c r="L99" s="118">
        <v>1.247027732751387</v>
      </c>
      <c r="M99" s="118">
        <v>1.4075067916688864</v>
      </c>
    </row>
    <row r="100" spans="3:13" ht="18.75" x14ac:dyDescent="0.4">
      <c r="C100" s="110" t="s">
        <v>158</v>
      </c>
      <c r="D100" s="118">
        <v>0.5192920059313596</v>
      </c>
      <c r="E100" s="2279"/>
      <c r="F100" s="118">
        <v>0.34568865650840458</v>
      </c>
      <c r="G100" s="118">
        <v>0.66929028653329858</v>
      </c>
      <c r="H100" s="2279"/>
      <c r="I100" s="118">
        <v>0.58628707503493693</v>
      </c>
      <c r="J100" s="118">
        <v>0.65606274555710764</v>
      </c>
      <c r="K100" s="2279"/>
      <c r="L100" s="118">
        <v>0.97015223474551526</v>
      </c>
      <c r="M100" s="118">
        <v>1.0336431754825197</v>
      </c>
    </row>
    <row r="101" spans="3:13" ht="18.75" x14ac:dyDescent="0.4">
      <c r="C101" s="113" t="s">
        <v>159</v>
      </c>
      <c r="D101" s="119">
        <v>0.32322697322381805</v>
      </c>
      <c r="E101" s="120"/>
      <c r="F101" s="119">
        <v>0.2199812695016892</v>
      </c>
      <c r="G101" s="119">
        <v>0.39674962649856116</v>
      </c>
      <c r="H101" s="120"/>
      <c r="I101" s="119">
        <v>0.3254655522366891</v>
      </c>
      <c r="J101" s="119">
        <v>0.39515946121935358</v>
      </c>
      <c r="K101" s="120"/>
      <c r="L101" s="119">
        <v>0.55907006666708636</v>
      </c>
      <c r="M101" s="119">
        <v>0.71435705534544247</v>
      </c>
    </row>
    <row r="102" spans="3:13" ht="18.75" x14ac:dyDescent="0.4">
      <c r="C102" s="2279" t="s">
        <v>8111</v>
      </c>
      <c r="D102" s="121"/>
      <c r="E102" s="121"/>
      <c r="F102" s="121"/>
      <c r="G102" s="121"/>
      <c r="H102" s="121"/>
      <c r="I102" s="121"/>
      <c r="J102" s="121"/>
      <c r="K102" s="121"/>
      <c r="L102" s="121"/>
      <c r="M102" s="121"/>
    </row>
  </sheetData>
  <mergeCells count="28">
    <mergeCell ref="A5:B5"/>
    <mergeCell ref="C5:Z5"/>
    <mergeCell ref="C1:D1"/>
    <mergeCell ref="A3:B3"/>
    <mergeCell ref="C3:Z3"/>
    <mergeCell ref="A4:B4"/>
    <mergeCell ref="C4:Z4"/>
    <mergeCell ref="A6:B6"/>
    <mergeCell ref="C6:Z6"/>
    <mergeCell ref="C11:C12"/>
    <mergeCell ref="D11:D12"/>
    <mergeCell ref="F11:G11"/>
    <mergeCell ref="I11:J11"/>
    <mergeCell ref="L11:Q11"/>
    <mergeCell ref="S11:U11"/>
    <mergeCell ref="W11:AC11"/>
    <mergeCell ref="C60:C61"/>
    <mergeCell ref="D60:D61"/>
    <mergeCell ref="F60:M60"/>
    <mergeCell ref="C71:C72"/>
    <mergeCell ref="D71:D72"/>
    <mergeCell ref="F71:M71"/>
    <mergeCell ref="C95:C96"/>
    <mergeCell ref="D95:D96"/>
    <mergeCell ref="F95:M95"/>
    <mergeCell ref="C83:C84"/>
    <mergeCell ref="D83:D84"/>
    <mergeCell ref="F83:M83"/>
  </mergeCells>
  <hyperlinks>
    <hyperlink ref="A1" location="'ODS 1.'!A1" display="REGRESAR" xr:uid="{CD769822-7788-43F5-8DE6-6329C58DF619}"/>
    <hyperlink ref="C1" location="'Metadato 1.2.2'!A1" display="VER METADATO" xr:uid="{DEC5E063-3354-4127-8CBA-D209E3E54E0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616-51E9-4D1B-BB86-4AE866CE0C10}">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28515625" style="222" customWidth="1"/>
    <col min="2" max="2" width="26.42578125" style="222" customWidth="1"/>
    <col min="3" max="3" width="24" style="222" customWidth="1"/>
    <col min="4" max="4" width="68.4257812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445" t="s">
        <v>234</v>
      </c>
      <c r="C4" s="2445"/>
      <c r="D4" s="49" t="s">
        <v>832</v>
      </c>
    </row>
    <row r="5" spans="1:6" ht="56.25" x14ac:dyDescent="0.25">
      <c r="B5" s="2445" t="s">
        <v>79</v>
      </c>
      <c r="C5" s="2445"/>
      <c r="D5" s="49" t="s">
        <v>672</v>
      </c>
    </row>
    <row r="6" spans="1:6" x14ac:dyDescent="0.25">
      <c r="B6" s="2445" t="s">
        <v>80</v>
      </c>
      <c r="C6" s="2445"/>
      <c r="D6" s="50" t="s">
        <v>675</v>
      </c>
    </row>
    <row r="7" spans="1:6" ht="15" customHeight="1" x14ac:dyDescent="0.25">
      <c r="B7" s="2446" t="s">
        <v>81</v>
      </c>
      <c r="C7" s="2446"/>
      <c r="D7" s="93" t="s">
        <v>676</v>
      </c>
    </row>
    <row r="8" spans="1:6" x14ac:dyDescent="0.25">
      <c r="B8" s="2446" t="s">
        <v>82</v>
      </c>
      <c r="C8" s="2446"/>
      <c r="D8" s="94" t="s">
        <v>942</v>
      </c>
    </row>
    <row r="9" spans="1:6" x14ac:dyDescent="0.4">
      <c r="B9" s="5"/>
      <c r="C9" s="5"/>
      <c r="D9" s="5"/>
    </row>
    <row r="10" spans="1:6" ht="23.25" customHeight="1" x14ac:dyDescent="0.25">
      <c r="B10" s="2604" t="s">
        <v>85</v>
      </c>
      <c r="C10" s="2604"/>
      <c r="D10" s="2604"/>
    </row>
    <row r="11" spans="1:6" ht="37.5" x14ac:dyDescent="0.25">
      <c r="B11" s="2453" t="s">
        <v>86</v>
      </c>
      <c r="C11" s="2454"/>
      <c r="D11" s="49" t="s">
        <v>1125</v>
      </c>
    </row>
    <row r="12" spans="1:6" ht="31.5" customHeight="1" x14ac:dyDescent="0.25">
      <c r="B12" s="2455" t="s">
        <v>88</v>
      </c>
      <c r="C12" s="2455"/>
      <c r="D12" s="169" t="s">
        <v>1126</v>
      </c>
    </row>
    <row r="13" spans="1:6" x14ac:dyDescent="0.25">
      <c r="B13" s="2445" t="s">
        <v>90</v>
      </c>
      <c r="C13" s="2445"/>
      <c r="D13" s="54" t="s">
        <v>675</v>
      </c>
    </row>
    <row r="14" spans="1:6" x14ac:dyDescent="0.25">
      <c r="B14" s="2445" t="s">
        <v>91</v>
      </c>
      <c r="C14" s="2456"/>
      <c r="D14" s="54" t="s">
        <v>92</v>
      </c>
    </row>
    <row r="15" spans="1:6" ht="243.75" x14ac:dyDescent="0.25">
      <c r="B15" s="2445" t="s">
        <v>93</v>
      </c>
      <c r="C15" s="2445"/>
      <c r="D15" s="56" t="s">
        <v>1127</v>
      </c>
    </row>
    <row r="16" spans="1:6" ht="48.75" customHeight="1" x14ac:dyDescent="0.25">
      <c r="B16" s="2445" t="s">
        <v>95</v>
      </c>
      <c r="C16" s="2445"/>
      <c r="D16" s="56"/>
    </row>
    <row r="17" spans="2:4" x14ac:dyDescent="0.25">
      <c r="B17" s="2445" t="s">
        <v>97</v>
      </c>
      <c r="C17" s="2445"/>
      <c r="D17" s="56" t="s">
        <v>1128</v>
      </c>
    </row>
    <row r="18" spans="2:4" x14ac:dyDescent="0.25">
      <c r="B18" s="2446" t="s">
        <v>99</v>
      </c>
      <c r="C18" s="2446"/>
      <c r="D18" s="49"/>
    </row>
    <row r="19" spans="2:4" ht="37.5" x14ac:dyDescent="0.25">
      <c r="B19" s="2457" t="s">
        <v>100</v>
      </c>
      <c r="C19" s="2458"/>
      <c r="D19" s="56" t="s">
        <v>1129</v>
      </c>
    </row>
    <row r="20" spans="2:4" x14ac:dyDescent="0.25">
      <c r="B20" s="2445" t="s">
        <v>102</v>
      </c>
      <c r="C20" s="2445"/>
      <c r="D20" s="56" t="s">
        <v>140</v>
      </c>
    </row>
    <row r="21" spans="2:4" x14ac:dyDescent="0.25">
      <c r="B21" s="2451" t="s">
        <v>104</v>
      </c>
      <c r="C21" s="95" t="s">
        <v>105</v>
      </c>
      <c r="D21" s="56" t="s">
        <v>140</v>
      </c>
    </row>
    <row r="22" spans="2:4" x14ac:dyDescent="0.25">
      <c r="B22" s="2452"/>
      <c r="C22" s="96" t="s">
        <v>107</v>
      </c>
      <c r="D22" s="55"/>
    </row>
    <row r="23" spans="2:4" x14ac:dyDescent="0.25">
      <c r="B23" s="2444" t="s">
        <v>109</v>
      </c>
      <c r="C23" s="2444"/>
      <c r="D23" s="56" t="s">
        <v>143</v>
      </c>
    </row>
    <row r="24" spans="2:4" x14ac:dyDescent="0.25">
      <c r="B24" s="2444" t="s">
        <v>111</v>
      </c>
      <c r="C24" s="2444"/>
      <c r="D24" s="59" t="s">
        <v>522</v>
      </c>
    </row>
    <row r="25" spans="2:4" x14ac:dyDescent="0.25">
      <c r="B25" s="2445" t="s">
        <v>113</v>
      </c>
      <c r="C25" s="2445"/>
      <c r="D25" s="56" t="s">
        <v>220</v>
      </c>
    </row>
    <row r="26" spans="2:4" ht="15" customHeight="1" x14ac:dyDescent="0.25">
      <c r="B26" s="2446" t="s">
        <v>115</v>
      </c>
      <c r="C26" s="2446"/>
      <c r="D26" s="59" t="s">
        <v>1130</v>
      </c>
    </row>
    <row r="27" spans="2:4" x14ac:dyDescent="0.25">
      <c r="B27" s="2447" t="s">
        <v>117</v>
      </c>
      <c r="C27" s="2448"/>
      <c r="D27" s="49"/>
    </row>
    <row r="28" spans="2:4" ht="37.5" x14ac:dyDescent="0.25">
      <c r="B28" s="97" t="s">
        <v>118</v>
      </c>
      <c r="C28" s="98"/>
      <c r="D28" s="56" t="s">
        <v>1131</v>
      </c>
    </row>
    <row r="29" spans="2:4" x14ac:dyDescent="0.25">
      <c r="B29" s="2449" t="s">
        <v>120</v>
      </c>
      <c r="C29" s="2450"/>
      <c r="D29" s="62"/>
    </row>
    <row r="30" spans="2:4" x14ac:dyDescent="0.25">
      <c r="B30" s="63"/>
      <c r="C30" s="63"/>
      <c r="D30" s="64"/>
    </row>
    <row r="31" spans="2:4" ht="23.25" customHeight="1" x14ac:dyDescent="0.25">
      <c r="B31" s="2604" t="s">
        <v>121</v>
      </c>
      <c r="C31" s="2604"/>
      <c r="D31" s="2604"/>
    </row>
    <row r="32" spans="2:4" x14ac:dyDescent="0.25">
      <c r="B32" s="2442" t="s">
        <v>122</v>
      </c>
      <c r="C32" s="2443"/>
      <c r="D32" s="59" t="s">
        <v>1132</v>
      </c>
    </row>
    <row r="33" spans="2:4" x14ac:dyDescent="0.25">
      <c r="B33" s="2442" t="s">
        <v>124</v>
      </c>
      <c r="C33" s="2443"/>
      <c r="D33" s="59" t="s">
        <v>1133</v>
      </c>
    </row>
    <row r="34" spans="2:4" x14ac:dyDescent="0.25">
      <c r="B34" s="2442" t="s">
        <v>126</v>
      </c>
      <c r="C34" s="2443"/>
      <c r="D34" s="59" t="s">
        <v>522</v>
      </c>
    </row>
    <row r="35" spans="2:4" x14ac:dyDescent="0.25">
      <c r="B35" s="2442" t="s">
        <v>128</v>
      </c>
      <c r="C35" s="2443"/>
      <c r="D35" s="59" t="s">
        <v>1134</v>
      </c>
    </row>
    <row r="36" spans="2:4" x14ac:dyDescent="0.25">
      <c r="B36" s="2442" t="s">
        <v>130</v>
      </c>
      <c r="C36" s="2443"/>
      <c r="D36" s="460" t="s">
        <v>1135</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6AF887B2-A474-4489-9F68-51B4F3B4FF34}">
      <formula1>Tipo_operación</formula1>
    </dataValidation>
    <dataValidation type="list" allowBlank="1" showInputMessage="1" showErrorMessage="1" sqref="D14" xr:uid="{3906AD25-EC39-4128-9064-501548881961}">
      <formula1>Tipo_indicador</formula1>
    </dataValidation>
    <dataValidation type="list" allowBlank="1" showInputMessage="1" showErrorMessage="1" sqref="D7" xr:uid="{ED1A4E09-DBA0-43D9-94DC-AC67B1BC4F14}">
      <formula1>Nombre_indicador_ODS</formula1>
    </dataValidation>
    <dataValidation type="list" allowBlank="1" showInputMessage="1" showErrorMessage="1" sqref="D6" xr:uid="{3984F465-6E9F-43B4-8A6E-F60469F0C9D4}">
      <formula1>Numero_indicador</formula1>
    </dataValidation>
    <dataValidation type="list" allowBlank="1" showInputMessage="1" showErrorMessage="1" sqref="D5" xr:uid="{76E03D2B-3A0B-4B51-9D6C-24DBD6E5A80F}">
      <formula1>Metas_ODS</formula1>
    </dataValidation>
    <dataValidation type="list" allowBlank="1" showInputMessage="1" showErrorMessage="1" sqref="D4" xr:uid="{FF18F416-149D-4EDA-B751-DD85A9C86BCA}">
      <formula1>ODS</formula1>
    </dataValidation>
    <dataValidation allowBlank="1" showDropDown="1" showInputMessage="1" showErrorMessage="1" sqref="D13" xr:uid="{ED1FE307-DD75-4496-86D8-5A3EB15BDE4E}"/>
  </dataValidations>
  <hyperlinks>
    <hyperlink ref="B1" location="'3.3.2'!A1" display="REGRESAR" xr:uid="{C048A651-B2C6-4402-937E-023689A6838F}"/>
    <hyperlink ref="D8" r:id="rId1" xr:uid="{B54963B1-AC88-4CC3-9126-23DF0C0AF818}"/>
    <hyperlink ref="D36" r:id="rId2" xr:uid="{23416D54-3A65-4EAA-B1F9-6F3B027F78C0}"/>
  </hyperlinks>
  <pageMargins left="0.7" right="0.7" top="0.75" bottom="0.75" header="0.3" footer="0.3"/>
  <pageSetup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62ED-76F3-4855-A806-ECD5936350B0}">
  <dimension ref="A1:AC5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28515625" style="22" customWidth="1"/>
    <col min="2" max="2" width="18.28515625" style="22" customWidth="1"/>
    <col min="3" max="3" width="8.28515625" style="22" customWidth="1"/>
    <col min="4" max="4" width="13.5703125" style="22" customWidth="1"/>
    <col min="5" max="5" width="9.28515625" style="22" customWidth="1"/>
    <col min="6" max="7" width="11.42578125" style="22"/>
    <col min="8" max="8" width="13.28515625" style="22" customWidth="1"/>
    <col min="9" max="9" width="11.28515625" style="22" customWidth="1"/>
    <col min="10" max="10" width="16.5703125" style="22" customWidth="1"/>
    <col min="11" max="11" width="16.42578125" style="22" customWidth="1"/>
    <col min="12" max="16384" width="11.42578125" style="22"/>
  </cols>
  <sheetData>
    <row r="1" spans="1:29" s="16" customFormat="1" ht="19.5" x14ac:dyDescent="0.4">
      <c r="A1" s="15" t="s">
        <v>39</v>
      </c>
      <c r="C1" s="2421" t="s">
        <v>149</v>
      </c>
      <c r="D1" s="2421"/>
    </row>
    <row r="2" spans="1:29" s="16" customFormat="1" ht="19.5" x14ac:dyDescent="0.4"/>
    <row r="3" spans="1:29" s="16" customFormat="1" ht="22.9" customHeight="1" x14ac:dyDescent="0.4">
      <c r="A3" s="2574" t="s">
        <v>41</v>
      </c>
      <c r="B3" s="2574"/>
      <c r="C3" s="2574" t="s">
        <v>733</v>
      </c>
      <c r="D3" s="2575"/>
      <c r="E3" s="2575"/>
      <c r="F3" s="2575"/>
      <c r="G3" s="2575"/>
      <c r="H3" s="2575"/>
      <c r="I3" s="2575"/>
      <c r="J3" s="2575"/>
      <c r="K3" s="2575"/>
      <c r="L3" s="2575"/>
      <c r="M3" s="2575"/>
      <c r="N3" s="2575"/>
      <c r="O3" s="2575"/>
      <c r="P3" s="2575"/>
      <c r="Q3" s="2575"/>
      <c r="R3" s="2575"/>
      <c r="S3" s="2575"/>
      <c r="T3" s="2575"/>
      <c r="U3" s="2575"/>
      <c r="V3" s="2575"/>
      <c r="W3" s="2575"/>
      <c r="X3" s="529"/>
    </row>
    <row r="4" spans="1:29" s="16" customFormat="1" ht="19.5" x14ac:dyDescent="0.4">
      <c r="A4" s="2574" t="s">
        <v>42</v>
      </c>
      <c r="B4" s="2574"/>
      <c r="C4" s="2574" t="s">
        <v>672</v>
      </c>
      <c r="D4" s="2575"/>
      <c r="E4" s="2575"/>
      <c r="F4" s="2575"/>
      <c r="G4" s="2575"/>
      <c r="H4" s="2575"/>
      <c r="I4" s="2575"/>
      <c r="J4" s="2575"/>
      <c r="K4" s="2575"/>
      <c r="L4" s="2575"/>
      <c r="M4" s="2575"/>
      <c r="N4" s="2575"/>
      <c r="O4" s="2575"/>
      <c r="P4" s="2575"/>
      <c r="Q4" s="2575"/>
      <c r="R4" s="2575"/>
      <c r="S4" s="2575"/>
      <c r="T4" s="2575"/>
      <c r="U4" s="2575"/>
      <c r="V4" s="2575"/>
      <c r="W4" s="2575"/>
      <c r="X4" s="529"/>
    </row>
    <row r="5" spans="1:29" s="16" customFormat="1" ht="21" customHeight="1" x14ac:dyDescent="0.4">
      <c r="A5" s="2574" t="s">
        <v>43</v>
      </c>
      <c r="B5" s="2574"/>
      <c r="C5" s="2574" t="s">
        <v>678</v>
      </c>
      <c r="D5" s="2575"/>
      <c r="E5" s="2575"/>
      <c r="F5" s="2575"/>
      <c r="G5" s="2575"/>
      <c r="H5" s="2575"/>
      <c r="I5" s="2575"/>
      <c r="J5" s="2575"/>
      <c r="K5" s="2575"/>
      <c r="L5" s="2575"/>
      <c r="M5" s="2575"/>
      <c r="N5" s="2575"/>
      <c r="O5" s="2575"/>
      <c r="P5" s="2575"/>
      <c r="Q5" s="2575"/>
      <c r="R5" s="2575"/>
      <c r="S5" s="2575"/>
      <c r="T5" s="2575"/>
      <c r="U5" s="2575"/>
      <c r="V5" s="2575"/>
      <c r="W5" s="2575"/>
      <c r="X5" s="529"/>
    </row>
    <row r="6" spans="1:29" s="16" customFormat="1" ht="57" customHeight="1" x14ac:dyDescent="0.4">
      <c r="A6" s="2574" t="s">
        <v>132</v>
      </c>
      <c r="B6" s="2575"/>
      <c r="C6" s="2574" t="s">
        <v>1136</v>
      </c>
      <c r="D6" s="2575"/>
      <c r="E6" s="2575"/>
      <c r="F6" s="2575"/>
      <c r="G6" s="2575"/>
      <c r="H6" s="2575"/>
      <c r="I6" s="2575"/>
      <c r="J6" s="2575"/>
      <c r="K6" s="2575"/>
      <c r="L6" s="2575"/>
      <c r="M6" s="2575"/>
      <c r="N6" s="2575"/>
      <c r="O6" s="2575"/>
      <c r="P6" s="2575"/>
      <c r="Q6" s="2575"/>
      <c r="R6" s="2575"/>
      <c r="S6" s="2575"/>
      <c r="T6" s="2575"/>
      <c r="U6" s="2575"/>
      <c r="V6" s="2575"/>
      <c r="W6" s="2575"/>
      <c r="X6" s="529"/>
    </row>
    <row r="7" spans="1:29" s="16" customFormat="1" ht="19.5" x14ac:dyDescent="0.4"/>
    <row r="8" spans="1:29" s="16" customFormat="1" ht="19.5" x14ac:dyDescent="0.4"/>
    <row r="9" spans="1:29" s="16" customFormat="1" ht="15" customHeight="1" x14ac:dyDescent="0.4">
      <c r="C9" s="2627" t="s">
        <v>1137</v>
      </c>
      <c r="D9" s="2627"/>
      <c r="E9" s="2627"/>
      <c r="F9" s="162"/>
      <c r="G9" s="2628" t="s">
        <v>1138</v>
      </c>
      <c r="H9" s="2628"/>
      <c r="I9" s="2628"/>
      <c r="L9" s="105" t="s">
        <v>1139</v>
      </c>
    </row>
    <row r="10" spans="1:29" s="16" customFormat="1" ht="13.15" customHeight="1" x14ac:dyDescent="0.4">
      <c r="C10" s="530" t="s">
        <v>1140</v>
      </c>
      <c r="D10" s="531"/>
      <c r="E10" s="531"/>
      <c r="F10" s="162"/>
      <c r="G10" s="532" t="s">
        <v>1141</v>
      </c>
      <c r="H10" s="533"/>
      <c r="I10" s="533"/>
      <c r="L10" s="105"/>
    </row>
    <row r="11" spans="1:29" ht="13.9" customHeight="1" x14ac:dyDescent="0.4">
      <c r="C11" s="276"/>
      <c r="D11" s="276"/>
      <c r="E11" s="276"/>
      <c r="F11" s="175"/>
      <c r="G11" s="276"/>
      <c r="H11" s="276"/>
      <c r="I11" s="276"/>
      <c r="L11" s="105"/>
      <c r="M11" s="16"/>
      <c r="N11" s="16"/>
      <c r="O11" s="16"/>
      <c r="P11" s="16"/>
      <c r="Q11" s="16"/>
      <c r="R11" s="16"/>
      <c r="S11" s="16"/>
      <c r="T11" s="16"/>
    </row>
    <row r="12" spans="1:29" ht="15.75" customHeight="1" x14ac:dyDescent="0.25">
      <c r="C12" s="409" t="s">
        <v>247</v>
      </c>
      <c r="D12" s="409" t="s">
        <v>258</v>
      </c>
      <c r="G12" s="534" t="s">
        <v>247</v>
      </c>
      <c r="H12" s="534" t="s">
        <v>1142</v>
      </c>
      <c r="I12" s="535"/>
    </row>
    <row r="13" spans="1:29" ht="18.75" x14ac:dyDescent="0.4">
      <c r="C13" s="198">
        <v>1990</v>
      </c>
      <c r="D13" s="536">
        <v>1.4</v>
      </c>
      <c r="E13" s="537"/>
      <c r="G13" s="538">
        <v>2010</v>
      </c>
      <c r="H13" s="539">
        <v>0.09</v>
      </c>
    </row>
    <row r="14" spans="1:29" ht="18.75" x14ac:dyDescent="0.4">
      <c r="C14" s="198">
        <v>1995</v>
      </c>
      <c r="D14" s="536">
        <v>4.0999999999999996</v>
      </c>
      <c r="E14" s="537"/>
      <c r="G14" s="538">
        <v>2011</v>
      </c>
      <c r="H14" s="539">
        <v>0.01</v>
      </c>
      <c r="W14" s="540"/>
      <c r="X14" s="540"/>
      <c r="Y14" s="540"/>
      <c r="Z14" s="540"/>
      <c r="AA14" s="540"/>
      <c r="AB14" s="540"/>
      <c r="AC14" s="540"/>
    </row>
    <row r="15" spans="1:29" ht="18.75" x14ac:dyDescent="0.4">
      <c r="C15" s="541">
        <v>2000</v>
      </c>
      <c r="D15" s="416">
        <v>1.4</v>
      </c>
      <c r="E15" s="537"/>
      <c r="G15" s="538">
        <v>2012</v>
      </c>
      <c r="H15" s="539">
        <v>6.0000000000000001E-3</v>
      </c>
      <c r="W15" s="540"/>
      <c r="X15" s="540"/>
      <c r="Y15" s="540"/>
      <c r="Z15" s="540"/>
      <c r="AA15" s="540"/>
      <c r="AB15" s="540"/>
      <c r="AC15" s="540"/>
    </row>
    <row r="16" spans="1:29" ht="18.75" x14ac:dyDescent="0.4">
      <c r="C16" s="198">
        <v>2005</v>
      </c>
      <c r="D16" s="416">
        <v>2.2999999999999998</v>
      </c>
      <c r="E16" s="537"/>
      <c r="G16" s="538">
        <v>2013</v>
      </c>
      <c r="H16" s="539">
        <v>2E-3</v>
      </c>
    </row>
    <row r="17" spans="3:19" ht="18.75" x14ac:dyDescent="0.4">
      <c r="C17" s="198">
        <v>2006</v>
      </c>
      <c r="D17" s="416">
        <v>1.8</v>
      </c>
      <c r="E17" s="537"/>
      <c r="G17" s="538">
        <v>2014</v>
      </c>
      <c r="H17" s="539">
        <v>0</v>
      </c>
    </row>
    <row r="18" spans="3:19" ht="18.75" x14ac:dyDescent="0.4">
      <c r="C18" s="541">
        <v>2007</v>
      </c>
      <c r="D18" s="416">
        <v>0.8</v>
      </c>
      <c r="E18" s="537"/>
      <c r="G18" s="538">
        <v>2015</v>
      </c>
      <c r="H18" s="539">
        <v>0</v>
      </c>
    </row>
    <row r="19" spans="3:19" ht="18.75" x14ac:dyDescent="0.4">
      <c r="C19" s="198">
        <v>2008</v>
      </c>
      <c r="D19" s="416">
        <v>0.6</v>
      </c>
      <c r="E19" s="537"/>
      <c r="G19" s="538">
        <v>2016</v>
      </c>
      <c r="H19" s="539">
        <v>3.0000000000000001E-3</v>
      </c>
    </row>
    <row r="20" spans="3:19" ht="18.75" x14ac:dyDescent="0.4">
      <c r="C20" s="198">
        <v>2009</v>
      </c>
      <c r="D20" s="416">
        <v>0.2</v>
      </c>
      <c r="E20" s="537"/>
      <c r="G20" s="538">
        <v>2017</v>
      </c>
      <c r="H20" s="539">
        <v>0.01</v>
      </c>
    </row>
    <row r="21" spans="3:19" ht="18.75" x14ac:dyDescent="0.4">
      <c r="C21" s="301">
        <v>2010</v>
      </c>
      <c r="D21" s="542">
        <v>0.1</v>
      </c>
      <c r="E21" s="537"/>
      <c r="G21" s="543" t="s">
        <v>1143</v>
      </c>
      <c r="H21" s="544">
        <v>1.3990480995168328E-2</v>
      </c>
    </row>
    <row r="22" spans="3:19" ht="18.75" x14ac:dyDescent="0.4">
      <c r="C22" s="545">
        <v>2011</v>
      </c>
      <c r="D22" s="546">
        <v>0.01</v>
      </c>
      <c r="E22" s="537"/>
      <c r="G22" s="543">
        <v>2019</v>
      </c>
      <c r="H22" s="544">
        <v>1.7991275486835445E-2</v>
      </c>
    </row>
    <row r="23" spans="3:19" ht="18.75" x14ac:dyDescent="0.4">
      <c r="C23" s="301">
        <v>2012</v>
      </c>
      <c r="D23" s="542">
        <v>0</v>
      </c>
      <c r="E23" s="537"/>
      <c r="G23" s="543">
        <v>2020</v>
      </c>
      <c r="H23" s="544">
        <v>1.7999613008320321E-2</v>
      </c>
    </row>
    <row r="24" spans="3:19" ht="18.75" x14ac:dyDescent="0.4">
      <c r="C24" s="301">
        <v>2013</v>
      </c>
      <c r="D24" s="542">
        <v>0</v>
      </c>
      <c r="E24" s="537"/>
      <c r="G24" s="543">
        <v>2021</v>
      </c>
      <c r="H24" s="544">
        <v>3.2732774087109083E-2</v>
      </c>
    </row>
    <row r="25" spans="3:19" ht="18.75" x14ac:dyDescent="0.4">
      <c r="C25" s="301">
        <v>2014</v>
      </c>
      <c r="D25" s="546">
        <v>0.13</v>
      </c>
      <c r="E25" s="537"/>
      <c r="G25" s="543">
        <v>2022</v>
      </c>
      <c r="H25" s="544">
        <v>0.22604974992199889</v>
      </c>
      <c r="I25" s="22" t="s">
        <v>1144</v>
      </c>
      <c r="J25" s="5"/>
      <c r="K25" s="5" t="s">
        <v>1145</v>
      </c>
      <c r="L25" s="5"/>
      <c r="M25" s="5"/>
      <c r="N25" s="5"/>
    </row>
    <row r="26" spans="3:19" ht="17.45" customHeight="1" x14ac:dyDescent="0.4">
      <c r="C26" s="545">
        <v>2015</v>
      </c>
      <c r="D26" s="232">
        <v>0.08</v>
      </c>
      <c r="E26" s="537"/>
      <c r="G26" s="543" t="s">
        <v>1146</v>
      </c>
      <c r="H26" s="544">
        <v>0.25669407775575487</v>
      </c>
      <c r="I26" s="22" t="s">
        <v>1144</v>
      </c>
      <c r="J26" s="5"/>
      <c r="K26" s="5"/>
      <c r="L26" s="222" t="s">
        <v>1147</v>
      </c>
      <c r="M26" s="222"/>
      <c r="N26" s="222"/>
    </row>
    <row r="27" spans="3:19" ht="18.75" x14ac:dyDescent="0.4">
      <c r="C27" s="545">
        <v>2016</v>
      </c>
      <c r="D27" s="547">
        <v>7.0000000000000001E-3</v>
      </c>
      <c r="E27" s="537"/>
      <c r="G27" s="548" t="s">
        <v>1147</v>
      </c>
      <c r="H27" s="548"/>
      <c r="I27" s="548"/>
      <c r="J27" s="5"/>
      <c r="K27" s="5"/>
      <c r="L27" s="2629" t="s">
        <v>1148</v>
      </c>
      <c r="M27" s="2629"/>
      <c r="N27" s="2629"/>
    </row>
    <row r="28" spans="3:19" ht="18.75" x14ac:dyDescent="0.4">
      <c r="C28" s="545">
        <v>2017</v>
      </c>
      <c r="D28" s="547">
        <v>1.2999999999999999E-2</v>
      </c>
      <c r="E28" s="537"/>
      <c r="G28" s="2629" t="s">
        <v>1148</v>
      </c>
      <c r="H28" s="2629"/>
      <c r="I28" s="2629"/>
      <c r="J28" s="5"/>
      <c r="K28" s="5"/>
      <c r="L28" s="36" t="s">
        <v>1149</v>
      </c>
      <c r="M28" s="5"/>
      <c r="N28" s="5"/>
    </row>
    <row r="29" spans="3:19" ht="18.75" x14ac:dyDescent="0.4">
      <c r="C29" s="545">
        <v>2018</v>
      </c>
      <c r="D29" s="547">
        <v>2.1585313535402564E-2</v>
      </c>
      <c r="E29" s="537"/>
      <c r="G29" s="36" t="s">
        <v>1149</v>
      </c>
      <c r="H29" s="5"/>
      <c r="I29" s="5"/>
      <c r="J29" s="5"/>
      <c r="K29" s="5"/>
      <c r="L29" s="36" t="s">
        <v>1150</v>
      </c>
      <c r="M29" s="5"/>
      <c r="N29" s="5"/>
    </row>
    <row r="30" spans="3:19" ht="18.75" x14ac:dyDescent="0.4">
      <c r="C30" s="545">
        <v>2019</v>
      </c>
      <c r="D30" s="547">
        <v>2.7678885364362221E-2</v>
      </c>
      <c r="E30" s="537"/>
      <c r="G30" s="36" t="s">
        <v>1150</v>
      </c>
      <c r="H30" s="5"/>
      <c r="I30" s="5"/>
    </row>
    <row r="31" spans="3:19" ht="18.75" x14ac:dyDescent="0.4">
      <c r="C31" s="545">
        <v>2020</v>
      </c>
      <c r="D31" s="547">
        <v>2.5629883740108283E-2</v>
      </c>
      <c r="E31" s="5"/>
    </row>
    <row r="32" spans="3:19" ht="15.4" customHeight="1" x14ac:dyDescent="0.55000000000000004">
      <c r="C32" s="545">
        <v>2021</v>
      </c>
      <c r="D32" s="547">
        <v>3.9899121076594497E-2</v>
      </c>
      <c r="E32" s="5"/>
      <c r="J32" s="44"/>
      <c r="K32" s="44"/>
      <c r="L32" s="44"/>
      <c r="O32" s="2625"/>
      <c r="P32" s="2625"/>
      <c r="Q32" s="2625"/>
      <c r="R32" s="2625"/>
      <c r="S32" s="2625"/>
    </row>
    <row r="33" spans="3:11" ht="22.5" x14ac:dyDescent="0.4">
      <c r="C33" s="545">
        <v>2022</v>
      </c>
      <c r="D33" s="547">
        <v>9.0004414974276373E-2</v>
      </c>
      <c r="E33" s="5"/>
      <c r="G33" s="44"/>
      <c r="H33" s="44"/>
      <c r="I33" s="44"/>
    </row>
    <row r="34" spans="3:11" ht="18.75" x14ac:dyDescent="0.4">
      <c r="C34" s="549" t="s">
        <v>1146</v>
      </c>
      <c r="D34" s="550">
        <v>0.12489599434756414</v>
      </c>
      <c r="E34" s="5"/>
    </row>
    <row r="35" spans="3:11" ht="18.75" x14ac:dyDescent="0.4">
      <c r="C35" s="5" t="s">
        <v>1147</v>
      </c>
      <c r="D35" s="5"/>
      <c r="E35" s="5"/>
      <c r="F35" s="34"/>
    </row>
    <row r="36" spans="3:11" ht="18.75" x14ac:dyDescent="0.4">
      <c r="C36" s="36" t="s">
        <v>1148</v>
      </c>
      <c r="D36" s="5"/>
      <c r="E36" s="5"/>
      <c r="F36" s="551"/>
    </row>
    <row r="37" spans="3:11" ht="18.75" x14ac:dyDescent="0.25">
      <c r="C37" s="36" t="s">
        <v>1151</v>
      </c>
      <c r="D37" s="36"/>
      <c r="E37" s="36"/>
    </row>
    <row r="38" spans="3:11" ht="18.75" x14ac:dyDescent="0.25">
      <c r="C38" s="2626" t="s">
        <v>1150</v>
      </c>
      <c r="D38" s="2626"/>
      <c r="E38" s="2626"/>
    </row>
    <row r="45" spans="3:11" ht="19.5" x14ac:dyDescent="0.4">
      <c r="C45" s="552" t="s">
        <v>1152</v>
      </c>
      <c r="D45" s="552"/>
      <c r="E45" s="552"/>
      <c r="F45" s="552"/>
      <c r="G45" s="552"/>
      <c r="H45" s="552"/>
      <c r="I45" s="552"/>
      <c r="J45" s="552"/>
      <c r="K45" s="552"/>
    </row>
    <row r="46" spans="3:11" ht="43.15" customHeight="1" x14ac:dyDescent="0.25">
      <c r="C46" s="390" t="s">
        <v>46</v>
      </c>
      <c r="D46" s="390" t="s">
        <v>47</v>
      </c>
      <c r="E46" s="390" t="s">
        <v>1153</v>
      </c>
      <c r="F46" s="390" t="s">
        <v>1154</v>
      </c>
      <c r="G46" s="390" t="s">
        <v>1155</v>
      </c>
      <c r="H46" s="390" t="s">
        <v>1156</v>
      </c>
      <c r="I46" s="409" t="s">
        <v>1157</v>
      </c>
      <c r="J46" s="409" t="s">
        <v>1158</v>
      </c>
      <c r="K46" s="409" t="s">
        <v>1159</v>
      </c>
    </row>
    <row r="47" spans="3:11" ht="18.75" x14ac:dyDescent="0.4">
      <c r="C47" s="545" t="s">
        <v>1143</v>
      </c>
      <c r="D47" s="6">
        <v>108</v>
      </c>
      <c r="E47" s="4">
        <v>70</v>
      </c>
      <c r="F47" s="4">
        <v>38</v>
      </c>
      <c r="G47" s="4">
        <v>0</v>
      </c>
      <c r="H47" s="4">
        <v>0</v>
      </c>
      <c r="I47" s="553">
        <v>5003401.957672134</v>
      </c>
      <c r="J47" s="5">
        <f t="shared" ref="J47:J52" si="0">+(D47/I47)*1000</f>
        <v>2.1585313535402564E-2</v>
      </c>
      <c r="K47" s="5">
        <f t="shared" ref="K47:K52" si="1">+E47/I47*1000</f>
        <v>1.3990480995168328E-2</v>
      </c>
    </row>
    <row r="48" spans="3:11" ht="18.75" x14ac:dyDescent="0.4">
      <c r="C48" s="545">
        <v>2019</v>
      </c>
      <c r="D48" s="4">
        <v>140</v>
      </c>
      <c r="E48" s="4">
        <v>91</v>
      </c>
      <c r="F48" s="4">
        <v>44</v>
      </c>
      <c r="G48" s="4">
        <v>0</v>
      </c>
      <c r="H48" s="4">
        <v>5</v>
      </c>
      <c r="I48" s="554">
        <v>5058007.1472190181</v>
      </c>
      <c r="J48" s="5">
        <f t="shared" si="0"/>
        <v>2.7678885364362221E-2</v>
      </c>
      <c r="K48" s="5">
        <f t="shared" si="1"/>
        <v>1.7991275486835445E-2</v>
      </c>
    </row>
    <row r="49" spans="3:11" ht="18.75" x14ac:dyDescent="0.4">
      <c r="C49" s="545" t="s">
        <v>1160</v>
      </c>
      <c r="D49" s="4">
        <v>131</v>
      </c>
      <c r="E49" s="4">
        <v>92</v>
      </c>
      <c r="F49" s="4">
        <v>21</v>
      </c>
      <c r="G49" s="4">
        <v>0</v>
      </c>
      <c r="H49" s="4">
        <v>18</v>
      </c>
      <c r="I49" s="554">
        <v>5111221</v>
      </c>
      <c r="J49" s="5">
        <f t="shared" si="0"/>
        <v>2.5629883740108283E-2</v>
      </c>
      <c r="K49" s="5">
        <f t="shared" si="1"/>
        <v>1.7999613008320321E-2</v>
      </c>
    </row>
    <row r="50" spans="3:11" ht="18.75" x14ac:dyDescent="0.4">
      <c r="C50" s="545">
        <v>2021</v>
      </c>
      <c r="D50" s="4">
        <v>218</v>
      </c>
      <c r="E50" s="4">
        <v>186</v>
      </c>
      <c r="F50" s="4">
        <v>35</v>
      </c>
      <c r="G50" s="4">
        <v>0</v>
      </c>
      <c r="H50" s="4">
        <v>4</v>
      </c>
      <c r="I50" s="554">
        <v>5163021</v>
      </c>
      <c r="J50" s="5">
        <f t="shared" si="0"/>
        <v>4.2223341721833015E-2</v>
      </c>
      <c r="K50" s="5">
        <f t="shared" si="1"/>
        <v>3.6025420001196976E-2</v>
      </c>
    </row>
    <row r="51" spans="3:11" ht="18.75" x14ac:dyDescent="0.4">
      <c r="C51" s="545">
        <v>2022</v>
      </c>
      <c r="D51" s="4">
        <v>454</v>
      </c>
      <c r="E51" s="4">
        <v>405</v>
      </c>
      <c r="F51" s="4">
        <v>36</v>
      </c>
      <c r="G51" s="4">
        <v>0</v>
      </c>
      <c r="H51" s="4">
        <v>13</v>
      </c>
      <c r="I51" s="554">
        <v>5044197</v>
      </c>
      <c r="J51" s="5">
        <f t="shared" si="0"/>
        <v>9.0004414974276373E-2</v>
      </c>
      <c r="K51" s="5">
        <f t="shared" si="1"/>
        <v>8.0290282080576952E-2</v>
      </c>
    </row>
    <row r="52" spans="3:11" ht="18.75" x14ac:dyDescent="0.4">
      <c r="C52" s="555" t="s">
        <v>1146</v>
      </c>
      <c r="D52" s="82">
        <v>630</v>
      </c>
      <c r="E52" s="82">
        <v>535</v>
      </c>
      <c r="F52" s="82">
        <v>93</v>
      </c>
      <c r="G52" s="82">
        <v>0</v>
      </c>
      <c r="H52" s="82">
        <v>2</v>
      </c>
      <c r="I52" s="556">
        <v>5044197</v>
      </c>
      <c r="J52" s="153">
        <f t="shared" si="0"/>
        <v>0.12489599434756414</v>
      </c>
      <c r="K52" s="153">
        <f t="shared" si="1"/>
        <v>0.10606247139039177</v>
      </c>
    </row>
    <row r="53" spans="3:11" ht="18.75" x14ac:dyDescent="0.4">
      <c r="C53" s="5"/>
      <c r="D53" s="5"/>
      <c r="E53" s="5"/>
      <c r="F53" s="5"/>
      <c r="G53" s="5"/>
      <c r="H53" s="5"/>
      <c r="I53" s="5"/>
      <c r="J53" s="5"/>
      <c r="K53" s="5"/>
    </row>
    <row r="54" spans="3:11" ht="18.75" x14ac:dyDescent="0.4">
      <c r="C54" s="5" t="s">
        <v>1161</v>
      </c>
      <c r="D54" s="5"/>
      <c r="E54" s="5"/>
      <c r="F54" s="5"/>
      <c r="G54" s="5"/>
      <c r="H54" s="5"/>
      <c r="I54" s="5"/>
      <c r="J54" s="5"/>
      <c r="K54" s="5"/>
    </row>
    <row r="55" spans="3:11" ht="18.75" x14ac:dyDescent="0.4">
      <c r="C55" s="5" t="s">
        <v>1148</v>
      </c>
      <c r="D55" s="5"/>
      <c r="E55" s="5"/>
      <c r="F55" s="5"/>
      <c r="G55" s="5"/>
      <c r="H55" s="5"/>
      <c r="I55" s="5"/>
      <c r="J55" s="5"/>
      <c r="K55" s="5"/>
    </row>
    <row r="56" spans="3:11" ht="18.75" x14ac:dyDescent="0.4">
      <c r="C56" s="5" t="s">
        <v>1147</v>
      </c>
      <c r="D56" s="5"/>
      <c r="E56" s="5"/>
      <c r="F56" s="5"/>
      <c r="G56" s="5"/>
      <c r="H56" s="5"/>
      <c r="I56" s="5"/>
      <c r="J56" s="5"/>
      <c r="K56" s="5"/>
    </row>
  </sheetData>
  <mergeCells count="15">
    <mergeCell ref="A5:B5"/>
    <mergeCell ref="C5:W5"/>
    <mergeCell ref="C1:D1"/>
    <mergeCell ref="A3:B3"/>
    <mergeCell ref="C3:W3"/>
    <mergeCell ref="A4:B4"/>
    <mergeCell ref="C4:W4"/>
    <mergeCell ref="O32:S32"/>
    <mergeCell ref="C38:E38"/>
    <mergeCell ref="A6:B6"/>
    <mergeCell ref="C6:W6"/>
    <mergeCell ref="C9:E9"/>
    <mergeCell ref="G9:I9"/>
    <mergeCell ref="L27:N27"/>
    <mergeCell ref="G28:I28"/>
  </mergeCells>
  <hyperlinks>
    <hyperlink ref="A1" location="'ODS 3.'!A1" display="REGRESAR" xr:uid="{81CF9484-BC23-46BC-AB67-4B41340AB834}"/>
    <hyperlink ref="C1" location="'Metadato 3.3.3'!A1" display="VER METADATO" xr:uid="{4DCB273A-6B51-4BD7-9E96-AE48CD0B7791}"/>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F500-FD41-4C87-98F9-6DD43757E16B}">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6.5703125" style="5" customWidth="1"/>
    <col min="2" max="2" width="26.42578125" style="5" customWidth="1"/>
    <col min="3" max="3" width="24" style="5" customWidth="1"/>
    <col min="4" max="4" width="85.7109375" style="5" customWidth="1"/>
    <col min="5" max="5" width="11.42578125" style="5"/>
    <col min="6" max="6" width="7.28515625" style="5" customWidth="1"/>
    <col min="7" max="16384" width="11.42578125" style="5"/>
  </cols>
  <sheetData>
    <row r="1" spans="1:6" x14ac:dyDescent="0.4">
      <c r="B1" s="90" t="s">
        <v>39</v>
      </c>
    </row>
    <row r="2" spans="1:6" ht="19.5" thickBot="1" x14ac:dyDescent="0.45"/>
    <row r="3" spans="1:6" ht="23.25" customHeight="1" thickBot="1" x14ac:dyDescent="0.45">
      <c r="B3" s="2604" t="s">
        <v>75</v>
      </c>
      <c r="C3" s="2604"/>
      <c r="D3" s="2604"/>
      <c r="F3" s="91" t="s">
        <v>76</v>
      </c>
    </row>
    <row r="4" spans="1:6" x14ac:dyDescent="0.4">
      <c r="A4" s="92"/>
      <c r="B4" s="2445" t="s">
        <v>234</v>
      </c>
      <c r="C4" s="2445"/>
      <c r="D4" s="49" t="s">
        <v>832</v>
      </c>
    </row>
    <row r="5" spans="1:6" ht="56.25" x14ac:dyDescent="0.4">
      <c r="B5" s="2445" t="s">
        <v>79</v>
      </c>
      <c r="C5" s="2445"/>
      <c r="D5" s="49" t="s">
        <v>672</v>
      </c>
    </row>
    <row r="6" spans="1:6" x14ac:dyDescent="0.4">
      <c r="B6" s="2445" t="s">
        <v>80</v>
      </c>
      <c r="C6" s="2445"/>
      <c r="D6" s="50" t="s">
        <v>677</v>
      </c>
    </row>
    <row r="7" spans="1:6" x14ac:dyDescent="0.4">
      <c r="B7" s="2446" t="s">
        <v>81</v>
      </c>
      <c r="C7" s="2446"/>
      <c r="D7" s="93" t="s">
        <v>678</v>
      </c>
    </row>
    <row r="8" spans="1:6" x14ac:dyDescent="0.4">
      <c r="B8" s="2446" t="s">
        <v>82</v>
      </c>
      <c r="C8" s="2446"/>
      <c r="D8" s="94" t="s">
        <v>1162</v>
      </c>
    </row>
    <row r="10" spans="1:6" ht="19.5" x14ac:dyDescent="0.4">
      <c r="B10" s="2604" t="s">
        <v>85</v>
      </c>
      <c r="C10" s="2604"/>
      <c r="D10" s="2604"/>
    </row>
    <row r="11" spans="1:6" x14ac:dyDescent="0.4">
      <c r="B11" s="2453" t="s">
        <v>86</v>
      </c>
      <c r="C11" s="2454"/>
      <c r="D11" s="159" t="s">
        <v>1163</v>
      </c>
    </row>
    <row r="12" spans="1:6" ht="14.65" customHeight="1" x14ac:dyDescent="0.4">
      <c r="B12" s="2455" t="s">
        <v>88</v>
      </c>
      <c r="C12" s="2455"/>
      <c r="D12" s="214" t="s">
        <v>1164</v>
      </c>
    </row>
    <row r="13" spans="1:6" x14ac:dyDescent="0.4">
      <c r="B13" s="2445" t="s">
        <v>90</v>
      </c>
      <c r="C13" s="2445"/>
      <c r="D13" s="54" t="s">
        <v>677</v>
      </c>
    </row>
    <row r="14" spans="1:6" x14ac:dyDescent="0.4">
      <c r="B14" s="2445" t="s">
        <v>91</v>
      </c>
      <c r="C14" s="2456"/>
      <c r="D14" s="54" t="s">
        <v>92</v>
      </c>
    </row>
    <row r="15" spans="1:6" ht="119.25" customHeight="1" x14ac:dyDescent="0.4">
      <c r="B15" s="2445" t="s">
        <v>93</v>
      </c>
      <c r="C15" s="2445"/>
      <c r="D15" s="203" t="s">
        <v>1165</v>
      </c>
    </row>
    <row r="16" spans="1:6" ht="42.75" customHeight="1" x14ac:dyDescent="0.4">
      <c r="B16" s="2445" t="s">
        <v>95</v>
      </c>
      <c r="C16" s="2445"/>
      <c r="D16" s="203"/>
    </row>
    <row r="17" spans="2:4" x14ac:dyDescent="0.4">
      <c r="B17" s="2445" t="s">
        <v>97</v>
      </c>
      <c r="C17" s="2445"/>
      <c r="D17" s="203" t="s">
        <v>1166</v>
      </c>
    </row>
    <row r="18" spans="2:4" x14ac:dyDescent="0.4">
      <c r="B18" s="2446" t="s">
        <v>99</v>
      </c>
      <c r="C18" s="2446"/>
      <c r="D18" s="49"/>
    </row>
    <row r="19" spans="2:4" ht="37.5" x14ac:dyDescent="0.4">
      <c r="B19" s="2457" t="s">
        <v>100</v>
      </c>
      <c r="C19" s="2458"/>
      <c r="D19" s="203" t="s">
        <v>1167</v>
      </c>
    </row>
    <row r="20" spans="2:4" x14ac:dyDescent="0.4">
      <c r="B20" s="2445" t="s">
        <v>102</v>
      </c>
      <c r="C20" s="2445"/>
      <c r="D20" s="203" t="s">
        <v>140</v>
      </c>
    </row>
    <row r="21" spans="2:4" x14ac:dyDescent="0.4">
      <c r="B21" s="2451" t="s">
        <v>104</v>
      </c>
      <c r="C21" s="95" t="s">
        <v>105</v>
      </c>
      <c r="D21" s="203" t="s">
        <v>140</v>
      </c>
    </row>
    <row r="22" spans="2:4" x14ac:dyDescent="0.4">
      <c r="B22" s="2452"/>
      <c r="C22" s="96" t="s">
        <v>107</v>
      </c>
      <c r="D22" s="55"/>
    </row>
    <row r="23" spans="2:4" x14ac:dyDescent="0.4">
      <c r="B23" s="2444" t="s">
        <v>109</v>
      </c>
      <c r="C23" s="2444"/>
      <c r="D23" s="203" t="s">
        <v>143</v>
      </c>
    </row>
    <row r="24" spans="2:4" x14ac:dyDescent="0.4">
      <c r="B24" s="2444" t="s">
        <v>111</v>
      </c>
      <c r="C24" s="2444"/>
      <c r="D24" s="205" t="s">
        <v>522</v>
      </c>
    </row>
    <row r="25" spans="2:4" x14ac:dyDescent="0.4">
      <c r="B25" s="2445" t="s">
        <v>113</v>
      </c>
      <c r="C25" s="2445"/>
      <c r="D25" s="56" t="s">
        <v>220</v>
      </c>
    </row>
    <row r="26" spans="2:4" ht="14.65" customHeight="1" x14ac:dyDescent="0.4">
      <c r="B26" s="2446" t="s">
        <v>115</v>
      </c>
      <c r="C26" s="2446"/>
      <c r="D26" s="205" t="s">
        <v>1168</v>
      </c>
    </row>
    <row r="27" spans="2:4" x14ac:dyDescent="0.4">
      <c r="B27" s="2447" t="s">
        <v>117</v>
      </c>
      <c r="C27" s="2448"/>
      <c r="D27" s="49"/>
    </row>
    <row r="28" spans="2:4" ht="42.75" customHeight="1" x14ac:dyDescent="0.4">
      <c r="B28" s="97" t="s">
        <v>118</v>
      </c>
      <c r="C28" s="98"/>
      <c r="D28" s="203" t="s">
        <v>1169</v>
      </c>
    </row>
    <row r="29" spans="2:4" x14ac:dyDescent="0.4">
      <c r="B29" s="2449" t="s">
        <v>120</v>
      </c>
      <c r="C29" s="2450"/>
      <c r="D29" s="62"/>
    </row>
    <row r="30" spans="2:4" x14ac:dyDescent="0.4">
      <c r="B30" s="63"/>
      <c r="C30" s="63"/>
      <c r="D30" s="64"/>
    </row>
    <row r="31" spans="2:4" ht="19.5" x14ac:dyDescent="0.4">
      <c r="B31" s="2604" t="s">
        <v>121</v>
      </c>
      <c r="C31" s="2604"/>
      <c r="D31" s="2604"/>
    </row>
    <row r="32" spans="2:4" x14ac:dyDescent="0.4">
      <c r="B32" s="2442" t="s">
        <v>122</v>
      </c>
      <c r="C32" s="2443"/>
      <c r="D32" s="205" t="s">
        <v>1170</v>
      </c>
    </row>
    <row r="33" spans="2:4" x14ac:dyDescent="0.4">
      <c r="B33" s="2442" t="s">
        <v>124</v>
      </c>
      <c r="C33" s="2443"/>
      <c r="D33" s="205" t="s">
        <v>1171</v>
      </c>
    </row>
    <row r="34" spans="2:4" x14ac:dyDescent="0.4">
      <c r="B34" s="2442" t="s">
        <v>126</v>
      </c>
      <c r="C34" s="2443"/>
      <c r="D34" s="205" t="s">
        <v>522</v>
      </c>
    </row>
    <row r="35" spans="2:4" x14ac:dyDescent="0.4">
      <c r="B35" s="2442" t="s">
        <v>128</v>
      </c>
      <c r="C35" s="2443"/>
      <c r="D35" s="205" t="s">
        <v>1172</v>
      </c>
    </row>
    <row r="36" spans="2:4" x14ac:dyDescent="0.4">
      <c r="B36" s="2442" t="s">
        <v>130</v>
      </c>
      <c r="C36" s="2443"/>
      <c r="D36" s="205" t="s">
        <v>1173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A4D44C5C-22AA-4F14-AD08-BC37CFD3565B}">
      <formula1>Tipo_operación</formula1>
    </dataValidation>
    <dataValidation type="list" allowBlank="1" showInputMessage="1" showErrorMessage="1" sqref="D14" xr:uid="{04F64D7F-A63C-4CAF-AC9C-1F2BB9257B32}">
      <formula1>Tipo_indicador</formula1>
    </dataValidation>
    <dataValidation type="list" allowBlank="1" showInputMessage="1" showErrorMessage="1" sqref="D7" xr:uid="{C7F66583-5C7F-440E-8F94-0E63CF886AE5}">
      <formula1>Nombre_indicador_ODS</formula1>
    </dataValidation>
    <dataValidation type="list" allowBlank="1" showInputMessage="1" showErrorMessage="1" sqref="D6" xr:uid="{02D26D73-CB6C-4298-AB1F-1BC11E11A423}">
      <formula1>Numero_indicador</formula1>
    </dataValidation>
    <dataValidation type="list" allowBlank="1" showInputMessage="1" showErrorMessage="1" sqref="D5" xr:uid="{8437E045-FCAA-484E-85A0-3E327070E802}">
      <formula1>Metas_ODS</formula1>
    </dataValidation>
    <dataValidation type="list" allowBlank="1" showInputMessage="1" showErrorMessage="1" sqref="D4" xr:uid="{602E4138-BF79-4E8D-AB7C-97FBA0487916}">
      <formula1>ODS</formula1>
    </dataValidation>
    <dataValidation allowBlank="1" showDropDown="1" showInputMessage="1" showErrorMessage="1" sqref="D13" xr:uid="{9B307103-426D-4265-A69B-C3011C6B1084}"/>
  </dataValidations>
  <hyperlinks>
    <hyperlink ref="B1" location="'3.3.3'!A1" display="REGRESAR" xr:uid="{206AD8AC-1E1D-4458-A08C-34AAB07358C6}"/>
    <hyperlink ref="D8" r:id="rId1" xr:uid="{9648E5D6-EFD6-4FD6-BB00-1BD431ED2437}"/>
  </hyperlinks>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188D-4596-4A6E-B2E0-E26B60B39EF9}">
  <dimension ref="A1:Q34"/>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2" width="15.28515625" style="22" customWidth="1"/>
    <col min="3" max="3" width="11.42578125" style="22"/>
    <col min="4" max="4" width="10.7109375" style="22" customWidth="1"/>
    <col min="5" max="5" width="3.7109375" style="22" customWidth="1"/>
    <col min="6" max="16384" width="11.42578125" style="22"/>
  </cols>
  <sheetData>
    <row r="1" spans="1:17" s="16" customFormat="1" ht="19.5" x14ac:dyDescent="0.4">
      <c r="A1" s="15" t="s">
        <v>39</v>
      </c>
      <c r="C1" s="2421" t="s">
        <v>149</v>
      </c>
      <c r="D1" s="2421"/>
    </row>
    <row r="2" spans="1:17" s="16" customFormat="1" ht="19.5" x14ac:dyDescent="0.4"/>
    <row r="3" spans="1:17" s="16" customFormat="1" ht="19.5" x14ac:dyDescent="0.4">
      <c r="A3" s="2574" t="s">
        <v>41</v>
      </c>
      <c r="B3" s="2574"/>
      <c r="C3" s="2574" t="s">
        <v>733</v>
      </c>
      <c r="D3" s="2575"/>
      <c r="E3" s="2575"/>
      <c r="F3" s="2575"/>
      <c r="G3" s="2575"/>
      <c r="H3" s="2575"/>
      <c r="I3" s="2575"/>
      <c r="J3" s="2575"/>
      <c r="K3" s="2575"/>
      <c r="L3" s="2575"/>
      <c r="M3" s="2575"/>
      <c r="N3" s="2575"/>
      <c r="O3" s="2575"/>
      <c r="P3" s="2575"/>
      <c r="Q3" s="2575"/>
    </row>
    <row r="4" spans="1:17" s="16" customFormat="1" ht="19.5" x14ac:dyDescent="0.4">
      <c r="A4" s="2574" t="s">
        <v>42</v>
      </c>
      <c r="B4" s="2574"/>
      <c r="C4" s="2574" t="s">
        <v>672</v>
      </c>
      <c r="D4" s="2575"/>
      <c r="E4" s="2575"/>
      <c r="F4" s="2575"/>
      <c r="G4" s="2575"/>
      <c r="H4" s="2575"/>
      <c r="I4" s="2575"/>
      <c r="J4" s="2575"/>
      <c r="K4" s="2575"/>
      <c r="L4" s="2575"/>
      <c r="M4" s="2575"/>
      <c r="N4" s="2575"/>
      <c r="O4" s="2575"/>
      <c r="P4" s="2575"/>
      <c r="Q4" s="2575"/>
    </row>
    <row r="5" spans="1:17" s="16" customFormat="1" ht="19.5" x14ac:dyDescent="0.4">
      <c r="A5" s="2574" t="s">
        <v>43</v>
      </c>
      <c r="B5" s="2574"/>
      <c r="C5" s="2574" t="s">
        <v>680</v>
      </c>
      <c r="D5" s="2575"/>
      <c r="E5" s="2575"/>
      <c r="F5" s="2575"/>
      <c r="G5" s="2575"/>
      <c r="H5" s="2575"/>
      <c r="I5" s="2575"/>
      <c r="J5" s="2575"/>
      <c r="K5" s="2575"/>
      <c r="L5" s="2575"/>
      <c r="M5" s="2575"/>
      <c r="N5" s="2575"/>
      <c r="O5" s="2575"/>
      <c r="P5" s="2575"/>
      <c r="Q5" s="2575"/>
    </row>
    <row r="6" spans="1:17" s="16" customFormat="1" ht="19.5" x14ac:dyDescent="0.4">
      <c r="A6" s="2574" t="s">
        <v>132</v>
      </c>
      <c r="B6" s="2575"/>
      <c r="C6" s="2574" t="s">
        <v>1174</v>
      </c>
      <c r="D6" s="2575"/>
      <c r="E6" s="2575"/>
      <c r="F6" s="2575"/>
      <c r="G6" s="2575"/>
      <c r="H6" s="2575"/>
      <c r="I6" s="2575"/>
      <c r="J6" s="2575"/>
      <c r="K6" s="2575"/>
      <c r="L6" s="2575"/>
      <c r="M6" s="2575"/>
      <c r="N6" s="2575"/>
      <c r="O6" s="2575"/>
      <c r="P6" s="2575"/>
      <c r="Q6" s="2575"/>
    </row>
    <row r="7" spans="1:17" s="16" customFormat="1" ht="19.5" x14ac:dyDescent="0.4"/>
    <row r="8" spans="1:17" s="16" customFormat="1" ht="19.5" x14ac:dyDescent="0.4"/>
    <row r="9" spans="1:17" s="16" customFormat="1" ht="19.5" x14ac:dyDescent="0.4">
      <c r="C9" s="320" t="s">
        <v>999</v>
      </c>
      <c r="D9" s="320"/>
      <c r="E9" s="320"/>
    </row>
    <row r="10" spans="1:17" s="16" customFormat="1" ht="19.5" x14ac:dyDescent="0.4">
      <c r="C10" s="320" t="s">
        <v>1175</v>
      </c>
      <c r="D10" s="320"/>
      <c r="E10" s="320"/>
      <c r="H10" s="105" t="s">
        <v>1176</v>
      </c>
    </row>
    <row r="11" spans="1:17" ht="13.9" customHeight="1" x14ac:dyDescent="0.25">
      <c r="C11" s="557"/>
      <c r="D11" s="557"/>
      <c r="E11" s="557"/>
    </row>
    <row r="12" spans="1:17" ht="20.25" customHeight="1" x14ac:dyDescent="0.25">
      <c r="C12" s="390" t="s">
        <v>46</v>
      </c>
      <c r="D12" s="2580" t="s">
        <v>258</v>
      </c>
      <c r="E12" s="2580"/>
    </row>
    <row r="13" spans="1:17" ht="18.75" x14ac:dyDescent="0.4">
      <c r="C13" s="164">
        <v>2009</v>
      </c>
      <c r="D13" s="5">
        <v>1.46</v>
      </c>
      <c r="E13" s="5"/>
    </row>
    <row r="14" spans="1:17" ht="18.75" x14ac:dyDescent="0.4">
      <c r="C14" s="164">
        <v>2010</v>
      </c>
      <c r="D14" s="5">
        <v>0.37</v>
      </c>
      <c r="E14" s="5"/>
    </row>
    <row r="15" spans="1:17" ht="18.75" x14ac:dyDescent="0.4">
      <c r="C15" s="164">
        <v>2011</v>
      </c>
      <c r="D15" s="5">
        <v>3.03</v>
      </c>
      <c r="E15" s="5"/>
    </row>
    <row r="16" spans="1:17" ht="18.75" x14ac:dyDescent="0.4">
      <c r="C16" s="164">
        <v>2012</v>
      </c>
      <c r="D16" s="5">
        <v>4.54</v>
      </c>
      <c r="E16" s="5"/>
    </row>
    <row r="17" spans="3:8" ht="18.75" x14ac:dyDescent="0.4">
      <c r="C17" s="164">
        <v>2013</v>
      </c>
      <c r="D17" s="5">
        <v>3.34</v>
      </c>
      <c r="E17" s="5"/>
    </row>
    <row r="18" spans="3:8" ht="18.75" x14ac:dyDescent="0.4">
      <c r="C18" s="164">
        <v>2014</v>
      </c>
      <c r="D18" s="5">
        <v>4.57</v>
      </c>
      <c r="E18" s="5"/>
    </row>
    <row r="19" spans="3:8" ht="18.75" x14ac:dyDescent="0.4">
      <c r="C19" s="164">
        <v>2015</v>
      </c>
      <c r="D19" s="558">
        <v>2.9</v>
      </c>
      <c r="E19" s="5"/>
    </row>
    <row r="20" spans="3:8" ht="18.75" x14ac:dyDescent="0.4">
      <c r="C20" s="164">
        <v>2016</v>
      </c>
      <c r="D20" s="559">
        <v>3.0876996678371298</v>
      </c>
      <c r="E20" s="5"/>
    </row>
    <row r="21" spans="3:8" ht="18.75" x14ac:dyDescent="0.4">
      <c r="C21" s="164">
        <v>2017</v>
      </c>
      <c r="D21" s="558">
        <v>4.9115903628533388</v>
      </c>
      <c r="E21" s="5"/>
    </row>
    <row r="22" spans="3:8" ht="18.75" x14ac:dyDescent="0.4">
      <c r="C22" s="164">
        <v>2018</v>
      </c>
      <c r="D22" s="558">
        <v>5.0365821753358171</v>
      </c>
      <c r="E22" s="5"/>
    </row>
    <row r="23" spans="3:8" ht="18.75" x14ac:dyDescent="0.4">
      <c r="C23" s="164">
        <v>2019</v>
      </c>
      <c r="D23" s="558">
        <v>3.7761968715296308</v>
      </c>
      <c r="E23" s="5"/>
    </row>
    <row r="24" spans="3:8" ht="18.75" x14ac:dyDescent="0.4">
      <c r="C24" s="164">
        <v>2020</v>
      </c>
      <c r="D24" s="558">
        <v>4.4000000000000004</v>
      </c>
      <c r="E24" s="5"/>
    </row>
    <row r="25" spans="3:8" ht="18.75" x14ac:dyDescent="0.4">
      <c r="C25" s="164">
        <v>2021</v>
      </c>
      <c r="D25" s="558">
        <v>2.4</v>
      </c>
      <c r="E25" s="5"/>
    </row>
    <row r="26" spans="3:8" ht="18.75" x14ac:dyDescent="0.4">
      <c r="C26" s="164">
        <v>2022</v>
      </c>
      <c r="D26" s="558">
        <v>1.8</v>
      </c>
      <c r="E26" s="5"/>
      <c r="H26" s="5" t="s">
        <v>1177</v>
      </c>
    </row>
    <row r="27" spans="3:8" ht="18.75" x14ac:dyDescent="0.4">
      <c r="C27" s="164">
        <v>2023</v>
      </c>
      <c r="D27" s="558">
        <v>5</v>
      </c>
    </row>
    <row r="28" spans="3:8" ht="18.75" x14ac:dyDescent="0.4">
      <c r="C28" s="166" t="s">
        <v>1178</v>
      </c>
      <c r="D28" s="560">
        <v>3.6</v>
      </c>
    </row>
    <row r="29" spans="3:8" ht="18.75" x14ac:dyDescent="0.4">
      <c r="D29" s="5"/>
    </row>
    <row r="30" spans="3:8" ht="18.75" x14ac:dyDescent="0.4">
      <c r="C30" s="5" t="s">
        <v>1179</v>
      </c>
    </row>
    <row r="31" spans="3:8" ht="18.75" x14ac:dyDescent="0.4">
      <c r="C31" s="5" t="s">
        <v>1180</v>
      </c>
    </row>
    <row r="34" spans="3:8" ht="22.5" x14ac:dyDescent="0.25">
      <c r="C34" s="561"/>
      <c r="D34" s="561"/>
      <c r="E34" s="561"/>
      <c r="F34" s="561"/>
      <c r="G34" s="561"/>
      <c r="H34" s="561"/>
    </row>
  </sheetData>
  <mergeCells count="10">
    <mergeCell ref="A6:B6"/>
    <mergeCell ref="C6:Q6"/>
    <mergeCell ref="D12:E12"/>
    <mergeCell ref="C1:D1"/>
    <mergeCell ref="A3:B3"/>
    <mergeCell ref="C3:Q3"/>
    <mergeCell ref="A4:B4"/>
    <mergeCell ref="C4:Q4"/>
    <mergeCell ref="A5:B5"/>
    <mergeCell ref="C5:Q5"/>
  </mergeCells>
  <hyperlinks>
    <hyperlink ref="A1" location="'ODS 3.'!A1" display="REGRESAR" xr:uid="{4E999136-A587-476C-A692-45E18139AFEB}"/>
    <hyperlink ref="C1" location="'Metadato 3.3.4'!A1" display="VER METADATO" xr:uid="{D00F4AB0-AA69-4370-9C66-7A2D1789F384}"/>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4463-7FA6-4584-8D4B-09618057B9BE}">
  <sheetPr>
    <tabColor theme="0" tint="-0.499984740745262"/>
  </sheetPr>
  <dimension ref="A1:F36"/>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445" t="s">
        <v>234</v>
      </c>
      <c r="C4" s="2445"/>
      <c r="D4" s="49" t="s">
        <v>832</v>
      </c>
    </row>
    <row r="5" spans="1:6" ht="56.25" x14ac:dyDescent="0.25">
      <c r="B5" s="2445" t="s">
        <v>79</v>
      </c>
      <c r="C5" s="2445"/>
      <c r="D5" s="49" t="s">
        <v>672</v>
      </c>
    </row>
    <row r="6" spans="1:6" x14ac:dyDescent="0.25">
      <c r="B6" s="2445" t="s">
        <v>80</v>
      </c>
      <c r="C6" s="2445"/>
      <c r="D6" s="50" t="s">
        <v>679</v>
      </c>
    </row>
    <row r="7" spans="1:6" x14ac:dyDescent="0.25">
      <c r="B7" s="2446" t="s">
        <v>81</v>
      </c>
      <c r="C7" s="2446"/>
      <c r="D7" s="93" t="s">
        <v>680</v>
      </c>
    </row>
    <row r="8" spans="1:6" x14ac:dyDescent="0.25">
      <c r="B8" s="2446" t="s">
        <v>82</v>
      </c>
      <c r="C8" s="2446"/>
      <c r="D8" s="94" t="s">
        <v>1181</v>
      </c>
    </row>
    <row r="9" spans="1:6" x14ac:dyDescent="0.4">
      <c r="B9" s="5"/>
      <c r="C9" s="5"/>
      <c r="D9" s="5"/>
    </row>
    <row r="10" spans="1:6" ht="23.25" customHeight="1" x14ac:dyDescent="0.25">
      <c r="B10" s="2604" t="s">
        <v>85</v>
      </c>
      <c r="C10" s="2604"/>
      <c r="D10" s="2604"/>
    </row>
    <row r="11" spans="1:6" ht="37.5" x14ac:dyDescent="0.25">
      <c r="B11" s="2453" t="s">
        <v>86</v>
      </c>
      <c r="C11" s="2454"/>
      <c r="D11" s="49" t="s">
        <v>1182</v>
      </c>
    </row>
    <row r="12" spans="1:6" ht="18" customHeight="1" x14ac:dyDescent="0.25">
      <c r="B12" s="2455" t="s">
        <v>88</v>
      </c>
      <c r="C12" s="2455"/>
      <c r="D12" s="169" t="s">
        <v>1183</v>
      </c>
    </row>
    <row r="13" spans="1:6" x14ac:dyDescent="0.25">
      <c r="B13" s="2445" t="s">
        <v>90</v>
      </c>
      <c r="C13" s="2445"/>
      <c r="D13" s="54" t="s">
        <v>679</v>
      </c>
    </row>
    <row r="14" spans="1:6" x14ac:dyDescent="0.25">
      <c r="B14" s="2445" t="s">
        <v>91</v>
      </c>
      <c r="C14" s="2456"/>
      <c r="D14" s="54" t="s">
        <v>92</v>
      </c>
    </row>
    <row r="15" spans="1:6" ht="101.65" customHeight="1" x14ac:dyDescent="0.25">
      <c r="B15" s="2445" t="s">
        <v>93</v>
      </c>
      <c r="C15" s="2445"/>
      <c r="D15" s="56" t="s">
        <v>1184</v>
      </c>
    </row>
    <row r="16" spans="1:6" ht="45.75" customHeight="1" x14ac:dyDescent="0.25">
      <c r="B16" s="2445" t="s">
        <v>95</v>
      </c>
      <c r="C16" s="2445"/>
      <c r="D16" s="56"/>
    </row>
    <row r="17" spans="2:4" x14ac:dyDescent="0.25">
      <c r="B17" s="2445" t="s">
        <v>97</v>
      </c>
      <c r="C17" s="2445"/>
      <c r="D17" s="56" t="s">
        <v>1128</v>
      </c>
    </row>
    <row r="18" spans="2:4" x14ac:dyDescent="0.25">
      <c r="B18" s="2446" t="s">
        <v>99</v>
      </c>
      <c r="C18" s="2446"/>
      <c r="D18" s="49"/>
    </row>
    <row r="19" spans="2:4" ht="37.5" x14ac:dyDescent="0.25">
      <c r="B19" s="2457" t="s">
        <v>100</v>
      </c>
      <c r="C19" s="2458"/>
      <c r="D19" s="56" t="s">
        <v>1185</v>
      </c>
    </row>
    <row r="20" spans="2:4" x14ac:dyDescent="0.25">
      <c r="B20" s="2445" t="s">
        <v>102</v>
      </c>
      <c r="C20" s="2445"/>
      <c r="D20" s="56" t="s">
        <v>140</v>
      </c>
    </row>
    <row r="21" spans="2:4" x14ac:dyDescent="0.25">
      <c r="B21" s="2451" t="s">
        <v>104</v>
      </c>
      <c r="C21" s="95" t="s">
        <v>105</v>
      </c>
      <c r="D21" s="49" t="s">
        <v>1186</v>
      </c>
    </row>
    <row r="22" spans="2:4" x14ac:dyDescent="0.25">
      <c r="B22" s="2452"/>
      <c r="C22" s="96" t="s">
        <v>107</v>
      </c>
      <c r="D22" s="56" t="s">
        <v>1186</v>
      </c>
    </row>
    <row r="23" spans="2:4" x14ac:dyDescent="0.25">
      <c r="B23" s="2444" t="s">
        <v>109</v>
      </c>
      <c r="C23" s="2444"/>
      <c r="D23" s="56" t="s">
        <v>143</v>
      </c>
    </row>
    <row r="24" spans="2:4" x14ac:dyDescent="0.25">
      <c r="B24" s="2444" t="s">
        <v>111</v>
      </c>
      <c r="C24" s="2444"/>
      <c r="D24" s="59" t="s">
        <v>522</v>
      </c>
    </row>
    <row r="25" spans="2:4" x14ac:dyDescent="0.25">
      <c r="B25" s="2445" t="s">
        <v>113</v>
      </c>
      <c r="C25" s="2445"/>
      <c r="D25" s="56" t="s">
        <v>220</v>
      </c>
    </row>
    <row r="26" spans="2:4" ht="14.65" customHeight="1" x14ac:dyDescent="0.25">
      <c r="B26" s="2446" t="s">
        <v>115</v>
      </c>
      <c r="C26" s="2446"/>
      <c r="D26" s="59" t="s">
        <v>1187</v>
      </c>
    </row>
    <row r="27" spans="2:4" x14ac:dyDescent="0.25">
      <c r="B27" s="2447" t="s">
        <v>117</v>
      </c>
      <c r="C27" s="2448"/>
      <c r="D27" s="49"/>
    </row>
    <row r="28" spans="2:4" ht="75" x14ac:dyDescent="0.25">
      <c r="B28" s="97" t="s">
        <v>118</v>
      </c>
      <c r="C28" s="98"/>
      <c r="D28" s="56" t="s">
        <v>1188</v>
      </c>
    </row>
    <row r="29" spans="2:4" x14ac:dyDescent="0.25">
      <c r="B29" s="2449" t="s">
        <v>120</v>
      </c>
      <c r="C29" s="2450"/>
      <c r="D29" s="62"/>
    </row>
    <row r="30" spans="2:4" x14ac:dyDescent="0.25">
      <c r="B30" s="63"/>
      <c r="C30" s="63"/>
      <c r="D30" s="64"/>
    </row>
    <row r="31" spans="2:4" ht="23.25" customHeight="1" x14ac:dyDescent="0.25">
      <c r="B31" s="2604" t="s">
        <v>121</v>
      </c>
      <c r="C31" s="2604"/>
      <c r="D31" s="2604"/>
    </row>
    <row r="32" spans="2:4" x14ac:dyDescent="0.25">
      <c r="B32" s="2442" t="s">
        <v>122</v>
      </c>
      <c r="C32" s="2443"/>
      <c r="D32" s="59" t="s">
        <v>1189</v>
      </c>
    </row>
    <row r="33" spans="2:4" x14ac:dyDescent="0.25">
      <c r="B33" s="2442" t="s">
        <v>124</v>
      </c>
      <c r="C33" s="2443"/>
      <c r="D33" s="59" t="s">
        <v>1190</v>
      </c>
    </row>
    <row r="34" spans="2:4" x14ac:dyDescent="0.25">
      <c r="B34" s="2442" t="s">
        <v>126</v>
      </c>
      <c r="C34" s="2443"/>
      <c r="D34" s="59" t="s">
        <v>522</v>
      </c>
    </row>
    <row r="35" spans="2:4" x14ac:dyDescent="0.25">
      <c r="B35" s="2442" t="s">
        <v>128</v>
      </c>
      <c r="C35" s="2443"/>
      <c r="D35" s="59" t="s">
        <v>1191</v>
      </c>
    </row>
    <row r="36" spans="2:4" x14ac:dyDescent="0.25">
      <c r="B36" s="2442" t="s">
        <v>130</v>
      </c>
      <c r="C36" s="2443"/>
      <c r="D36" s="562" t="s">
        <v>1192</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33B44A48-94CF-4410-A9E2-4E03A67DD837}"/>
    <dataValidation type="list" allowBlank="1" showInputMessage="1" showErrorMessage="1" sqref="D4" xr:uid="{8EB8437A-6DE7-41F7-B221-67CE43BE580E}">
      <formula1>ODS</formula1>
    </dataValidation>
    <dataValidation type="list" allowBlank="1" showInputMessage="1" showErrorMessage="1" sqref="D5" xr:uid="{93A035DD-E94C-4381-B534-01EEF203B256}">
      <formula1>Metas_ODS</formula1>
    </dataValidation>
    <dataValidation type="list" allowBlank="1" showInputMessage="1" showErrorMessage="1" sqref="D6" xr:uid="{CEFF1264-05A6-466E-B2C5-229B62A54A05}">
      <formula1>Numero_indicador</formula1>
    </dataValidation>
    <dataValidation type="list" allowBlank="1" showInputMessage="1" showErrorMessage="1" sqref="D7" xr:uid="{FBE89A6F-8982-4D57-BB87-24B8D2219351}">
      <formula1>Nombre_indicador_ODS</formula1>
    </dataValidation>
    <dataValidation type="list" allowBlank="1" showInputMessage="1" showErrorMessage="1" sqref="D14" xr:uid="{BDEBA76D-F640-42EF-BA03-82AADA2D652A}">
      <formula1>Tipo_indicador</formula1>
    </dataValidation>
    <dataValidation type="list" allowBlank="1" showInputMessage="1" showErrorMessage="1" sqref="D25" xr:uid="{32EBB762-360E-41F9-B070-B90B91F4DEE7}">
      <formula1>Tipo_operación</formula1>
    </dataValidation>
  </dataValidations>
  <hyperlinks>
    <hyperlink ref="B1" location="'3.3.4'!A1" display="REGRESAR" xr:uid="{3E2ED062-8CA4-4331-8E9F-67C5355A41C5}"/>
    <hyperlink ref="D8" r:id="rId1" xr:uid="{2610BCEB-55F3-4245-92D4-87C86BF8DE9B}"/>
    <hyperlink ref="D36" r:id="rId2" xr:uid="{167B5C08-2FF4-4B19-8465-5ECFA9AA6B77}"/>
  </hyperlinks>
  <pageMargins left="0.7" right="0.7" top="0.75" bottom="0.75" header="0.3" footer="0.3"/>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847C-3AD4-49D6-9024-C35C86F8C26D}">
  <dimension ref="A1:P29"/>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5703125" style="22" customWidth="1"/>
    <col min="3" max="3" width="11.5703125" style="89" customWidth="1"/>
    <col min="4" max="6" width="11.5703125" style="22" customWidth="1"/>
    <col min="7" max="16384" width="11.42578125" style="22"/>
  </cols>
  <sheetData>
    <row r="1" spans="1:16" ht="19.5" x14ac:dyDescent="0.4">
      <c r="A1" s="15" t="s">
        <v>39</v>
      </c>
      <c r="B1" s="161"/>
      <c r="C1" s="2562" t="s">
        <v>149</v>
      </c>
      <c r="D1" s="2562"/>
      <c r="E1" s="16"/>
      <c r="F1" s="16"/>
      <c r="G1" s="16"/>
      <c r="H1" s="16"/>
      <c r="I1" s="16"/>
      <c r="J1" s="16"/>
      <c r="K1" s="16"/>
      <c r="L1" s="16"/>
      <c r="M1" s="16"/>
      <c r="N1" s="16"/>
      <c r="O1" s="16"/>
      <c r="P1" s="16"/>
    </row>
    <row r="2" spans="1:16" ht="19.5" x14ac:dyDescent="0.4">
      <c r="A2" s="16"/>
      <c r="B2" s="16"/>
      <c r="C2" s="218"/>
      <c r="D2" s="16"/>
      <c r="E2" s="16"/>
      <c r="F2" s="16"/>
      <c r="G2" s="16"/>
      <c r="H2" s="16"/>
      <c r="I2" s="16"/>
      <c r="J2" s="16"/>
      <c r="K2" s="16"/>
      <c r="L2" s="16"/>
      <c r="M2" s="16"/>
      <c r="N2" s="16"/>
      <c r="O2" s="16"/>
      <c r="P2" s="16"/>
    </row>
    <row r="3" spans="1:16" ht="19.5" x14ac:dyDescent="0.25">
      <c r="A3" s="2574" t="s">
        <v>41</v>
      </c>
      <c r="B3" s="2574"/>
      <c r="C3" s="2574" t="s">
        <v>733</v>
      </c>
      <c r="D3" s="2575"/>
      <c r="E3" s="2575"/>
      <c r="F3" s="2575"/>
      <c r="G3" s="2575"/>
      <c r="H3" s="2575"/>
      <c r="I3" s="2575"/>
      <c r="J3" s="2575"/>
      <c r="K3" s="2575"/>
      <c r="L3" s="2575"/>
      <c r="M3" s="2575"/>
      <c r="N3" s="2575"/>
      <c r="O3" s="2575"/>
      <c r="P3" s="2575"/>
    </row>
    <row r="4" spans="1:16" ht="19.5" x14ac:dyDescent="0.25">
      <c r="A4" s="2574" t="s">
        <v>42</v>
      </c>
      <c r="B4" s="2574"/>
      <c r="C4" s="2574" t="s">
        <v>948</v>
      </c>
      <c r="D4" s="2575"/>
      <c r="E4" s="2575"/>
      <c r="F4" s="2575"/>
      <c r="G4" s="2575"/>
      <c r="H4" s="2575"/>
      <c r="I4" s="2575"/>
      <c r="J4" s="2575"/>
      <c r="K4" s="2575"/>
      <c r="L4" s="2575"/>
      <c r="M4" s="2575"/>
      <c r="N4" s="2575"/>
      <c r="O4" s="2575"/>
      <c r="P4" s="2575"/>
    </row>
    <row r="5" spans="1:16" ht="16.5" customHeight="1" x14ac:dyDescent="0.25">
      <c r="A5" s="2574" t="s">
        <v>43</v>
      </c>
      <c r="B5" s="2574"/>
      <c r="C5" s="2574" t="s">
        <v>682</v>
      </c>
      <c r="D5" s="2575"/>
      <c r="E5" s="2575"/>
      <c r="F5" s="2575"/>
      <c r="G5" s="2575"/>
      <c r="H5" s="2575"/>
      <c r="I5" s="2575"/>
      <c r="J5" s="2575"/>
      <c r="K5" s="2575"/>
      <c r="L5" s="2575"/>
      <c r="M5" s="2575"/>
      <c r="N5" s="2575"/>
      <c r="O5" s="2575"/>
      <c r="P5" s="2575"/>
    </row>
    <row r="6" spans="1:16" ht="15.75" customHeight="1" x14ac:dyDescent="0.25">
      <c r="A6" s="2574" t="s">
        <v>132</v>
      </c>
      <c r="B6" s="2575"/>
      <c r="C6" s="2574" t="s">
        <v>1193</v>
      </c>
      <c r="D6" s="2575"/>
      <c r="E6" s="2575"/>
      <c r="F6" s="2575"/>
      <c r="G6" s="2575"/>
      <c r="H6" s="2575"/>
      <c r="I6" s="2575"/>
      <c r="J6" s="2575"/>
      <c r="K6" s="2575"/>
      <c r="L6" s="2575"/>
      <c r="M6" s="2575"/>
      <c r="N6" s="2575"/>
      <c r="O6" s="2575"/>
      <c r="P6" s="2575"/>
    </row>
    <row r="7" spans="1:16" ht="19.5" x14ac:dyDescent="0.4">
      <c r="A7" s="217"/>
      <c r="B7" s="16"/>
      <c r="C7" s="218"/>
      <c r="D7" s="16"/>
      <c r="E7" s="16"/>
      <c r="F7" s="16"/>
      <c r="G7" s="16"/>
      <c r="H7" s="16"/>
      <c r="I7" s="16"/>
      <c r="J7" s="16"/>
      <c r="K7" s="16"/>
      <c r="L7" s="16"/>
      <c r="M7" s="16"/>
      <c r="N7" s="16"/>
      <c r="O7" s="16"/>
      <c r="P7" s="16"/>
    </row>
    <row r="8" spans="1:16" ht="19.5" x14ac:dyDescent="0.4">
      <c r="A8" s="217"/>
      <c r="B8" s="16"/>
      <c r="H8" s="16"/>
      <c r="I8" s="16"/>
      <c r="J8" s="16"/>
      <c r="K8" s="16"/>
      <c r="L8" s="16"/>
      <c r="M8" s="16"/>
      <c r="N8" s="16"/>
      <c r="O8" s="16"/>
      <c r="P8" s="16"/>
    </row>
    <row r="9" spans="1:16" ht="19.5" x14ac:dyDescent="0.4">
      <c r="A9" s="217"/>
      <c r="B9" s="16"/>
      <c r="C9" s="164" t="s">
        <v>1194</v>
      </c>
      <c r="H9" s="16"/>
      <c r="I9" s="16"/>
      <c r="J9" s="16"/>
      <c r="K9" s="16"/>
      <c r="L9" s="16"/>
      <c r="M9" s="16"/>
      <c r="N9" s="16"/>
      <c r="O9" s="16"/>
      <c r="P9" s="16"/>
    </row>
    <row r="10" spans="1:16" ht="18.75" x14ac:dyDescent="0.25">
      <c r="A10" s="23"/>
      <c r="C10" s="2578" t="s">
        <v>46</v>
      </c>
      <c r="D10" s="2630" t="s">
        <v>1195</v>
      </c>
      <c r="E10" s="2630"/>
      <c r="F10" s="2630" t="s">
        <v>1196</v>
      </c>
      <c r="G10" s="2630"/>
    </row>
    <row r="11" spans="1:16" ht="37.5" x14ac:dyDescent="0.25">
      <c r="A11" s="23"/>
      <c r="C11" s="2579"/>
      <c r="D11" s="563" t="s">
        <v>953</v>
      </c>
      <c r="E11" s="563" t="s">
        <v>1197</v>
      </c>
      <c r="F11" s="563" t="s">
        <v>953</v>
      </c>
      <c r="G11" s="563" t="s">
        <v>1197</v>
      </c>
    </row>
    <row r="12" spans="1:16" ht="18.75" x14ac:dyDescent="0.4">
      <c r="A12" s="21"/>
      <c r="C12" s="564">
        <v>2023</v>
      </c>
      <c r="D12" s="565">
        <v>30649</v>
      </c>
      <c r="E12" s="565">
        <v>582.4</v>
      </c>
      <c r="F12" s="565">
        <v>91</v>
      </c>
      <c r="G12" s="565">
        <v>1.7</v>
      </c>
    </row>
    <row r="13" spans="1:16" x14ac:dyDescent="0.25">
      <c r="A13" s="23"/>
      <c r="C13" s="22" t="s">
        <v>1198</v>
      </c>
    </row>
    <row r="14" spans="1:16" x14ac:dyDescent="0.25">
      <c r="A14" s="23"/>
    </row>
    <row r="15" spans="1:16" x14ac:dyDescent="0.25">
      <c r="A15" s="23"/>
    </row>
    <row r="16" spans="1:16" x14ac:dyDescent="0.25">
      <c r="A16" s="21"/>
    </row>
    <row r="17" spans="1:1" x14ac:dyDescent="0.25">
      <c r="A17" s="23"/>
    </row>
    <row r="18" spans="1:1" x14ac:dyDescent="0.25">
      <c r="A18" s="23"/>
    </row>
    <row r="19" spans="1:1" x14ac:dyDescent="0.25">
      <c r="A19" s="23"/>
    </row>
    <row r="20" spans="1:1" x14ac:dyDescent="0.25">
      <c r="A20" s="21"/>
    </row>
    <row r="21" spans="1:1" x14ac:dyDescent="0.25">
      <c r="A21" s="23"/>
    </row>
    <row r="22" spans="1:1" x14ac:dyDescent="0.25">
      <c r="A22" s="23"/>
    </row>
    <row r="23" spans="1:1" x14ac:dyDescent="0.25">
      <c r="A23" s="23"/>
    </row>
    <row r="24" spans="1:1" x14ac:dyDescent="0.25">
      <c r="A24" s="21"/>
    </row>
    <row r="25" spans="1:1" x14ac:dyDescent="0.25">
      <c r="A25" s="23"/>
    </row>
    <row r="26" spans="1:1" x14ac:dyDescent="0.25">
      <c r="A26" s="23"/>
    </row>
    <row r="27" spans="1:1" x14ac:dyDescent="0.25">
      <c r="A27" s="23"/>
    </row>
    <row r="28" spans="1:1" x14ac:dyDescent="0.25">
      <c r="A28" s="21"/>
    </row>
    <row r="29" spans="1:1" x14ac:dyDescent="0.25">
      <c r="A29" s="23"/>
    </row>
  </sheetData>
  <mergeCells count="12">
    <mergeCell ref="A5:B5"/>
    <mergeCell ref="C5:P5"/>
    <mergeCell ref="C1:D1"/>
    <mergeCell ref="A3:B3"/>
    <mergeCell ref="C3:P3"/>
    <mergeCell ref="A4:B4"/>
    <mergeCell ref="C4:P4"/>
    <mergeCell ref="A6:B6"/>
    <mergeCell ref="C6:P6"/>
    <mergeCell ref="C10:C11"/>
    <mergeCell ref="D10:E10"/>
    <mergeCell ref="F10:G10"/>
  </mergeCells>
  <hyperlinks>
    <hyperlink ref="A1" location="'ODS 3.'!A1" display="REGRESAR" xr:uid="{F0711E86-0D91-4D1D-A82C-B0685C99EB42}"/>
    <hyperlink ref="C1" location="'Metadato 3.3.5'!A1" display="VER METADATO" xr:uid="{1EB7B9E5-594E-4573-9042-0D583DE66E95}"/>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FCB3-C453-4A26-9469-8EA3B7AF3659}">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445" t="s">
        <v>234</v>
      </c>
      <c r="C4" s="2445"/>
      <c r="D4" s="49" t="s">
        <v>832</v>
      </c>
    </row>
    <row r="5" spans="1:6" ht="56.25" x14ac:dyDescent="0.25">
      <c r="B5" s="2445" t="s">
        <v>79</v>
      </c>
      <c r="C5" s="2445"/>
      <c r="D5" s="49" t="s">
        <v>672</v>
      </c>
    </row>
    <row r="6" spans="1:6" x14ac:dyDescent="0.25">
      <c r="B6" s="2445" t="s">
        <v>80</v>
      </c>
      <c r="C6" s="2445"/>
      <c r="D6" s="50" t="s">
        <v>681</v>
      </c>
    </row>
    <row r="7" spans="1:6" ht="37.5" x14ac:dyDescent="0.25">
      <c r="B7" s="2446" t="s">
        <v>81</v>
      </c>
      <c r="C7" s="2446"/>
      <c r="D7" s="93" t="s">
        <v>682</v>
      </c>
    </row>
    <row r="8" spans="1:6" x14ac:dyDescent="0.25">
      <c r="B8" s="2457" t="s">
        <v>82</v>
      </c>
      <c r="C8" s="2458"/>
      <c r="D8" s="94" t="s">
        <v>1199</v>
      </c>
    </row>
    <row r="9" spans="1:6" x14ac:dyDescent="0.4">
      <c r="B9" s="5"/>
      <c r="C9" s="5"/>
      <c r="D9" s="5"/>
    </row>
    <row r="10" spans="1:6" ht="23.25" customHeight="1" x14ac:dyDescent="0.25">
      <c r="B10" s="2604" t="s">
        <v>85</v>
      </c>
      <c r="C10" s="2604"/>
      <c r="D10" s="2604"/>
    </row>
    <row r="11" spans="1:6" x14ac:dyDescent="0.25">
      <c r="B11" s="2453" t="s">
        <v>86</v>
      </c>
      <c r="C11" s="2454"/>
      <c r="D11" s="49"/>
    </row>
    <row r="12" spans="1:6" x14ac:dyDescent="0.25">
      <c r="B12" s="2455" t="s">
        <v>88</v>
      </c>
      <c r="C12" s="2455"/>
      <c r="D12" s="184" t="s">
        <v>1193</v>
      </c>
    </row>
    <row r="13" spans="1:6" x14ac:dyDescent="0.25">
      <c r="B13" s="2445" t="s">
        <v>90</v>
      </c>
      <c r="C13" s="2445"/>
      <c r="D13" s="54" t="s">
        <v>681</v>
      </c>
    </row>
    <row r="14" spans="1:6" x14ac:dyDescent="0.25">
      <c r="B14" s="2445" t="s">
        <v>91</v>
      </c>
      <c r="C14" s="2456"/>
      <c r="D14" s="54" t="s">
        <v>214</v>
      </c>
    </row>
    <row r="15" spans="1:6" x14ac:dyDescent="0.25">
      <c r="B15" s="2445" t="s">
        <v>93</v>
      </c>
      <c r="C15" s="2445"/>
      <c r="D15" s="49"/>
    </row>
    <row r="16" spans="1:6" ht="56.25" customHeight="1" x14ac:dyDescent="0.25">
      <c r="B16" s="2445" t="s">
        <v>95</v>
      </c>
      <c r="C16" s="2445"/>
      <c r="D16" s="49"/>
    </row>
    <row r="17" spans="2:4" x14ac:dyDescent="0.25">
      <c r="B17" s="2445" t="s">
        <v>97</v>
      </c>
      <c r="C17" s="2445"/>
      <c r="D17" s="55"/>
    </row>
    <row r="18" spans="2:4" x14ac:dyDescent="0.25">
      <c r="B18" s="2446" t="s">
        <v>99</v>
      </c>
      <c r="C18" s="2446"/>
      <c r="D18" s="49"/>
    </row>
    <row r="19" spans="2:4" x14ac:dyDescent="0.25">
      <c r="B19" s="2457" t="s">
        <v>100</v>
      </c>
      <c r="C19" s="2458"/>
      <c r="D19" s="55"/>
    </row>
    <row r="20" spans="2:4" x14ac:dyDescent="0.25">
      <c r="B20" s="2445" t="s">
        <v>102</v>
      </c>
      <c r="C20" s="2445"/>
      <c r="D20" s="49"/>
    </row>
    <row r="21" spans="2:4" x14ac:dyDescent="0.25">
      <c r="B21" s="2451" t="s">
        <v>104</v>
      </c>
      <c r="C21" s="95" t="s">
        <v>105</v>
      </c>
      <c r="D21" s="49"/>
    </row>
    <row r="22" spans="2:4" x14ac:dyDescent="0.25">
      <c r="B22" s="2452"/>
      <c r="C22" s="96" t="s">
        <v>107</v>
      </c>
      <c r="D22" s="55"/>
    </row>
    <row r="23" spans="2:4" x14ac:dyDescent="0.25">
      <c r="B23" s="2444" t="s">
        <v>109</v>
      </c>
      <c r="C23" s="2444"/>
      <c r="D23" s="49"/>
    </row>
    <row r="24" spans="2:4" x14ac:dyDescent="0.25">
      <c r="B24" s="2444" t="s">
        <v>111</v>
      </c>
      <c r="C24" s="2444"/>
      <c r="D24" s="59" t="s">
        <v>522</v>
      </c>
    </row>
    <row r="25" spans="2:4" x14ac:dyDescent="0.25">
      <c r="B25" s="2445" t="s">
        <v>113</v>
      </c>
      <c r="C25" s="2445"/>
      <c r="D25" s="56" t="s">
        <v>220</v>
      </c>
    </row>
    <row r="26" spans="2:4" x14ac:dyDescent="0.25">
      <c r="B26" s="2446" t="s">
        <v>115</v>
      </c>
      <c r="C26" s="2446"/>
      <c r="D26" s="59"/>
    </row>
    <row r="27" spans="2:4" x14ac:dyDescent="0.25">
      <c r="B27" s="2447" t="s">
        <v>117</v>
      </c>
      <c r="C27" s="2448"/>
      <c r="D27" s="49"/>
    </row>
    <row r="28" spans="2:4" ht="93.75" x14ac:dyDescent="0.25">
      <c r="B28" s="97" t="s">
        <v>118</v>
      </c>
      <c r="C28" s="98"/>
      <c r="D28" s="56" t="s">
        <v>1200</v>
      </c>
    </row>
    <row r="29" spans="2:4" x14ac:dyDescent="0.25">
      <c r="B29" s="2449" t="s">
        <v>120</v>
      </c>
      <c r="C29" s="2450"/>
      <c r="D29" s="62"/>
    </row>
    <row r="30" spans="2:4" x14ac:dyDescent="0.25">
      <c r="B30" s="63"/>
      <c r="C30" s="63"/>
      <c r="D30" s="64"/>
    </row>
    <row r="31" spans="2:4" ht="23.25" customHeight="1" x14ac:dyDescent="0.25">
      <c r="B31" s="2604" t="s">
        <v>121</v>
      </c>
      <c r="C31" s="2604"/>
      <c r="D31" s="2604"/>
    </row>
    <row r="32" spans="2:4" x14ac:dyDescent="0.25">
      <c r="B32" s="2442" t="s">
        <v>122</v>
      </c>
      <c r="C32" s="2443"/>
      <c r="D32" s="59"/>
    </row>
    <row r="33" spans="2:4" x14ac:dyDescent="0.25">
      <c r="B33" s="2442" t="s">
        <v>124</v>
      </c>
      <c r="C33" s="2443"/>
      <c r="D33" s="59"/>
    </row>
    <row r="34" spans="2:4" x14ac:dyDescent="0.25">
      <c r="B34" s="2442" t="s">
        <v>126</v>
      </c>
      <c r="C34" s="2443"/>
      <c r="D34" s="59" t="s">
        <v>522</v>
      </c>
    </row>
    <row r="35" spans="2:4" x14ac:dyDescent="0.25">
      <c r="B35" s="2442" t="s">
        <v>128</v>
      </c>
      <c r="C35" s="2443"/>
      <c r="D35" s="59"/>
    </row>
    <row r="36" spans="2:4" x14ac:dyDescent="0.25">
      <c r="B36" s="2442" t="s">
        <v>130</v>
      </c>
      <c r="C36" s="2443"/>
      <c r="D36" s="59"/>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5B71D847-15C2-4890-95B8-860306E5FE62}"/>
    <dataValidation type="list" allowBlank="1" showInputMessage="1" showErrorMessage="1" sqref="D4" xr:uid="{BD7E07AD-364F-41C4-B1F7-17A281D682C2}">
      <formula1>ODS</formula1>
    </dataValidation>
    <dataValidation type="list" allowBlank="1" showInputMessage="1" showErrorMessage="1" sqref="D5" xr:uid="{C980EFF2-6617-4308-86C9-0C56DA2C7067}">
      <formula1>Metas_ODS</formula1>
    </dataValidation>
    <dataValidation type="list" allowBlank="1" showInputMessage="1" showErrorMessage="1" sqref="D6" xr:uid="{C89F3821-0C76-40B2-B135-43166F356A0F}">
      <formula1>Numero_indicador</formula1>
    </dataValidation>
    <dataValidation type="list" allowBlank="1" showInputMessage="1" showErrorMessage="1" sqref="D7" xr:uid="{86D97F24-4360-4848-B73A-804636A68423}">
      <formula1>Nombre_indicador_ODS</formula1>
    </dataValidation>
    <dataValidation type="list" allowBlank="1" showInputMessage="1" showErrorMessage="1" sqref="D14" xr:uid="{91601615-BD00-473E-8689-0FE2C5F25D6B}">
      <formula1>Tipo_indicador</formula1>
    </dataValidation>
    <dataValidation type="list" allowBlank="1" showInputMessage="1" showErrorMessage="1" sqref="D25" xr:uid="{A90E78D3-D251-4990-943B-A2F69549BB4A}">
      <formula1>Tipo_operación</formula1>
    </dataValidation>
  </dataValidations>
  <hyperlinks>
    <hyperlink ref="B1" location="'3.3.5'!A1" display="REGRESAR" xr:uid="{E59E21E0-AD95-4A27-9611-3FF3848762A9}"/>
    <hyperlink ref="D8" r:id="rId1" xr:uid="{9AFB3A3E-755E-4360-B023-B5036E47545E}"/>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ED5E-605E-4A0F-AB4F-0D34E4786201}">
  <dimension ref="A1:W149"/>
  <sheetViews>
    <sheetView showGridLines="0" zoomScaleNormal="100" workbookViewId="0">
      <pane ySplit="1" topLeftCell="A2" activePane="bottomLeft" state="frozen"/>
      <selection activeCell="R16" sqref="R16"/>
      <selection pane="bottomLeft" activeCell="N12" sqref="N12"/>
    </sheetView>
  </sheetViews>
  <sheetFormatPr baseColWidth="10" defaultColWidth="11.42578125" defaultRowHeight="12.75" x14ac:dyDescent="0.25"/>
  <cols>
    <col min="1" max="2" width="16.28515625" style="22" customWidth="1"/>
    <col min="3" max="3" width="8.7109375" style="22" customWidth="1"/>
    <col min="4" max="4" width="8.42578125" style="22" customWidth="1"/>
    <col min="5" max="12" width="11.42578125" style="22"/>
    <col min="13" max="13" width="7.28515625" style="22" customWidth="1"/>
    <col min="14" max="18" width="11.42578125" style="22"/>
    <col min="19" max="19" width="11.42578125" style="22" customWidth="1"/>
    <col min="20" max="20" width="11.42578125" style="22"/>
    <col min="21" max="21" width="2.28515625" style="22" customWidth="1"/>
    <col min="22" max="26" width="11.42578125" style="22"/>
    <col min="27" max="27" width="11.42578125" style="22" customWidth="1"/>
    <col min="28" max="16384" width="11.42578125" style="22"/>
  </cols>
  <sheetData>
    <row r="1" spans="1:23" s="16" customFormat="1" ht="19.5" x14ac:dyDescent="0.4">
      <c r="A1" s="15" t="s">
        <v>39</v>
      </c>
      <c r="C1" s="2421" t="s">
        <v>149</v>
      </c>
      <c r="D1" s="2421"/>
    </row>
    <row r="2" spans="1:23" s="16" customFormat="1" ht="19.5" x14ac:dyDescent="0.4"/>
    <row r="3" spans="1:23" s="162" customFormat="1" ht="16.5" customHeight="1" x14ac:dyDescent="0.25">
      <c r="A3" s="2574" t="s">
        <v>41</v>
      </c>
      <c r="B3" s="2574"/>
      <c r="C3" s="2574" t="s">
        <v>733</v>
      </c>
      <c r="D3" s="2575"/>
      <c r="E3" s="2575"/>
      <c r="F3" s="2575"/>
      <c r="G3" s="2575"/>
      <c r="H3" s="2575"/>
      <c r="I3" s="2575"/>
      <c r="J3" s="2575"/>
      <c r="K3" s="2575"/>
      <c r="L3" s="2575"/>
      <c r="M3" s="2575"/>
      <c r="N3" s="2575"/>
      <c r="O3" s="2575"/>
      <c r="P3" s="2575"/>
      <c r="Q3" s="2575"/>
    </row>
    <row r="4" spans="1:23" s="162" customFormat="1" ht="16.5" customHeight="1" x14ac:dyDescent="0.25">
      <c r="A4" s="2574" t="s">
        <v>42</v>
      </c>
      <c r="B4" s="2574"/>
      <c r="C4" s="2574" t="s">
        <v>683</v>
      </c>
      <c r="D4" s="2575"/>
      <c r="E4" s="2575"/>
      <c r="F4" s="2575"/>
      <c r="G4" s="2575"/>
      <c r="H4" s="2575"/>
      <c r="I4" s="2575"/>
      <c r="J4" s="2575"/>
      <c r="K4" s="2575"/>
      <c r="L4" s="2575"/>
      <c r="M4" s="2575"/>
      <c r="N4" s="2575"/>
      <c r="O4" s="2575"/>
      <c r="P4" s="2575"/>
      <c r="Q4" s="2575"/>
    </row>
    <row r="5" spans="1:23" s="162" customFormat="1" ht="16.5" customHeight="1" x14ac:dyDescent="0.25">
      <c r="A5" s="2574" t="s">
        <v>43</v>
      </c>
      <c r="B5" s="2574"/>
      <c r="C5" s="2574" t="s">
        <v>685</v>
      </c>
      <c r="D5" s="2575"/>
      <c r="E5" s="2575"/>
      <c r="F5" s="2575"/>
      <c r="G5" s="2575"/>
      <c r="H5" s="2575"/>
      <c r="I5" s="2575"/>
      <c r="J5" s="2575"/>
      <c r="K5" s="2575"/>
      <c r="L5" s="2575"/>
      <c r="M5" s="2575"/>
      <c r="N5" s="2575"/>
      <c r="O5" s="2575"/>
      <c r="P5" s="2575"/>
      <c r="Q5" s="2575"/>
    </row>
    <row r="6" spans="1:23" s="162" customFormat="1" ht="39" customHeight="1" x14ac:dyDescent="0.25">
      <c r="A6" s="2574" t="s">
        <v>132</v>
      </c>
      <c r="B6" s="2575"/>
      <c r="C6" s="2574" t="s">
        <v>1201</v>
      </c>
      <c r="D6" s="2575"/>
      <c r="E6" s="2575"/>
      <c r="F6" s="2575"/>
      <c r="G6" s="2575"/>
      <c r="H6" s="2575"/>
      <c r="I6" s="2575"/>
      <c r="J6" s="2575"/>
      <c r="K6" s="2575"/>
      <c r="L6" s="2575"/>
      <c r="M6" s="2575"/>
      <c r="N6" s="2575"/>
      <c r="O6" s="2575"/>
      <c r="P6" s="2575"/>
      <c r="Q6" s="2575"/>
    </row>
    <row r="7" spans="1:23" s="16" customFormat="1" ht="12" customHeight="1" x14ac:dyDescent="0.4"/>
    <row r="8" spans="1:23" s="16" customFormat="1" ht="19.5" x14ac:dyDescent="0.4"/>
    <row r="9" spans="1:23" s="16" customFormat="1" ht="17.45" customHeight="1" x14ac:dyDescent="0.4">
      <c r="C9" s="138" t="s">
        <v>1202</v>
      </c>
      <c r="D9" s="138"/>
      <c r="E9" s="138"/>
      <c r="F9" s="138"/>
      <c r="G9" s="138"/>
      <c r="H9" s="138"/>
      <c r="I9" s="138"/>
      <c r="J9" s="138"/>
      <c r="K9" s="138"/>
      <c r="L9" s="138"/>
      <c r="M9" s="138"/>
      <c r="N9" s="138"/>
      <c r="O9" s="138"/>
      <c r="P9" s="138"/>
      <c r="Q9" s="138"/>
      <c r="R9" s="138"/>
      <c r="S9" s="138"/>
      <c r="T9" s="138"/>
      <c r="U9" s="138"/>
      <c r="V9" s="138"/>
      <c r="W9" s="138"/>
    </row>
    <row r="10" spans="1:23" ht="12.6" customHeight="1" x14ac:dyDescent="0.25">
      <c r="C10" s="226"/>
      <c r="D10" s="226"/>
      <c r="E10" s="226"/>
      <c r="F10" s="226"/>
      <c r="G10" s="226"/>
      <c r="H10" s="226"/>
      <c r="I10" s="226"/>
      <c r="J10" s="226"/>
      <c r="K10" s="226"/>
      <c r="L10" s="226"/>
      <c r="M10" s="226"/>
      <c r="N10" s="226"/>
      <c r="O10" s="226"/>
      <c r="P10" s="226"/>
      <c r="Q10" s="226"/>
      <c r="R10" s="226"/>
      <c r="S10" s="226"/>
      <c r="T10" s="226"/>
      <c r="U10" s="226"/>
      <c r="V10" s="226"/>
      <c r="W10" s="226"/>
    </row>
    <row r="11" spans="1:23" ht="15" customHeight="1" x14ac:dyDescent="0.25">
      <c r="C11" s="2576" t="s">
        <v>247</v>
      </c>
      <c r="D11" s="2578" t="s">
        <v>47</v>
      </c>
      <c r="E11" s="2581" t="s">
        <v>737</v>
      </c>
      <c r="F11" s="2581"/>
      <c r="G11" s="2581"/>
      <c r="H11" s="2581"/>
      <c r="I11" s="2581"/>
      <c r="J11" s="2581"/>
      <c r="K11" s="2581"/>
      <c r="L11" s="2581"/>
      <c r="M11" s="408"/>
      <c r="N11" s="2581" t="s">
        <v>8183</v>
      </c>
      <c r="O11" s="2581"/>
      <c r="P11" s="2581"/>
      <c r="Q11" s="2581"/>
      <c r="R11" s="2581"/>
      <c r="S11" s="2581"/>
      <c r="T11" s="2581"/>
      <c r="U11" s="408"/>
      <c r="V11" s="2581" t="s">
        <v>48</v>
      </c>
      <c r="W11" s="2581"/>
    </row>
    <row r="12" spans="1:23" ht="18.75" x14ac:dyDescent="0.25">
      <c r="C12" s="2577"/>
      <c r="D12" s="2579"/>
      <c r="E12" s="412" t="s">
        <v>861</v>
      </c>
      <c r="F12" s="412" t="s">
        <v>862</v>
      </c>
      <c r="G12" s="412" t="s">
        <v>1203</v>
      </c>
      <c r="H12" s="412" t="s">
        <v>1204</v>
      </c>
      <c r="I12" s="412" t="s">
        <v>1205</v>
      </c>
      <c r="J12" s="412" t="s">
        <v>1206</v>
      </c>
      <c r="K12" s="412" t="s">
        <v>1207</v>
      </c>
      <c r="L12" s="412" t="s">
        <v>1208</v>
      </c>
      <c r="M12" s="412"/>
      <c r="N12" s="412" t="s">
        <v>328</v>
      </c>
      <c r="O12" s="412" t="s">
        <v>329</v>
      </c>
      <c r="P12" s="412" t="s">
        <v>330</v>
      </c>
      <c r="Q12" s="412" t="s">
        <v>331</v>
      </c>
      <c r="R12" s="412" t="s">
        <v>332</v>
      </c>
      <c r="S12" s="412" t="s">
        <v>533</v>
      </c>
      <c r="T12" s="412" t="s">
        <v>334</v>
      </c>
      <c r="U12" s="412"/>
      <c r="V12" s="412" t="s">
        <v>894</v>
      </c>
      <c r="W12" s="412" t="s">
        <v>895</v>
      </c>
    </row>
    <row r="13" spans="1:23" ht="18.75" x14ac:dyDescent="0.4">
      <c r="C13" s="2378">
        <v>2010</v>
      </c>
      <c r="D13" s="566">
        <v>2.2215704849760365</v>
      </c>
      <c r="E13" s="566">
        <v>0.3255490213668441</v>
      </c>
      <c r="F13" s="566">
        <v>0.4996691263870745</v>
      </c>
      <c r="G13" s="566">
        <v>0.83683000294311893</v>
      </c>
      <c r="H13" s="566">
        <v>1.2629852713650436</v>
      </c>
      <c r="I13" s="566">
        <v>2.3357631937419754</v>
      </c>
      <c r="J13" s="566">
        <v>4.093857786315704</v>
      </c>
      <c r="K13" s="566">
        <v>6.5370303307773172</v>
      </c>
      <c r="L13" s="567">
        <v>10.539711427987937</v>
      </c>
      <c r="M13" s="566"/>
      <c r="N13" s="2603" t="s">
        <v>8178</v>
      </c>
      <c r="O13" s="2603"/>
      <c r="P13" s="2603"/>
      <c r="Q13" s="2603"/>
      <c r="R13" s="2603"/>
      <c r="S13" s="2603"/>
      <c r="T13" s="2603"/>
      <c r="U13" s="566"/>
      <c r="V13" s="566">
        <v>2.5420308189949128</v>
      </c>
      <c r="W13" s="566">
        <v>1.9030000585523359</v>
      </c>
    </row>
    <row r="14" spans="1:23" ht="18.75" x14ac:dyDescent="0.4">
      <c r="C14" s="2382">
        <v>2011</v>
      </c>
      <c r="D14" s="566">
        <v>2.0844264247001374</v>
      </c>
      <c r="E14" s="566">
        <v>0.25465426760173676</v>
      </c>
      <c r="F14" s="566">
        <v>0.47644649261655631</v>
      </c>
      <c r="G14" s="566">
        <v>0.79997436864970783</v>
      </c>
      <c r="H14" s="566">
        <v>1.155311804289328</v>
      </c>
      <c r="I14" s="566">
        <v>2.3817904827785581</v>
      </c>
      <c r="J14" s="566">
        <v>3.6608568333719105</v>
      </c>
      <c r="K14" s="566">
        <v>5.9307685823984082</v>
      </c>
      <c r="L14" s="567">
        <v>9.7427458812790331</v>
      </c>
      <c r="M14" s="566"/>
      <c r="N14" s="2572"/>
      <c r="O14" s="2572"/>
      <c r="P14" s="2572"/>
      <c r="Q14" s="2572"/>
      <c r="R14" s="2572"/>
      <c r="S14" s="2572"/>
      <c r="T14" s="2572"/>
      <c r="U14" s="566"/>
      <c r="V14" s="566">
        <v>2.4205668528032565</v>
      </c>
      <c r="W14" s="566">
        <v>1.750728180002816</v>
      </c>
    </row>
    <row r="15" spans="1:23" ht="18.75" x14ac:dyDescent="0.4">
      <c r="C15" s="2378">
        <v>2012</v>
      </c>
      <c r="D15" s="566">
        <v>2.0990571765040085</v>
      </c>
      <c r="E15" s="566">
        <v>0.24054700819205585</v>
      </c>
      <c r="F15" s="566">
        <v>0.46550409065883069</v>
      </c>
      <c r="G15" s="566">
        <v>0.82328248072972088</v>
      </c>
      <c r="H15" s="566">
        <v>1.1845500530522866</v>
      </c>
      <c r="I15" s="566">
        <v>2.1586152412287065</v>
      </c>
      <c r="J15" s="566">
        <v>3.8466035575786059</v>
      </c>
      <c r="K15" s="566">
        <v>6.1088747966636818</v>
      </c>
      <c r="L15" s="567">
        <v>9.363169682979203</v>
      </c>
      <c r="M15" s="566"/>
      <c r="N15" s="2572"/>
      <c r="O15" s="2572"/>
      <c r="P15" s="2572"/>
      <c r="Q15" s="2572"/>
      <c r="R15" s="2572"/>
      <c r="S15" s="2572"/>
      <c r="T15" s="2572"/>
      <c r="U15" s="566"/>
      <c r="V15" s="566">
        <v>2.4078986657622559</v>
      </c>
      <c r="W15" s="566">
        <v>1.7926568165585701</v>
      </c>
    </row>
    <row r="16" spans="1:23" ht="18.75" x14ac:dyDescent="0.4">
      <c r="C16" s="2378">
        <v>2013</v>
      </c>
      <c r="D16" s="566">
        <v>2.0492376683389177</v>
      </c>
      <c r="E16" s="566">
        <v>0.30883898254998005</v>
      </c>
      <c r="F16" s="566">
        <v>0.43884593900740593</v>
      </c>
      <c r="G16" s="566">
        <v>0.74290308221504986</v>
      </c>
      <c r="H16" s="566">
        <v>1.2802336405308943</v>
      </c>
      <c r="I16" s="566">
        <v>2.0476717630985739</v>
      </c>
      <c r="J16" s="566">
        <v>3.4444795762333889</v>
      </c>
      <c r="K16" s="566">
        <v>5.7039962872207051</v>
      </c>
      <c r="L16" s="567">
        <v>9.4221521726757853</v>
      </c>
      <c r="M16" s="566"/>
      <c r="N16" s="2572"/>
      <c r="O16" s="2572"/>
      <c r="P16" s="2572"/>
      <c r="Q16" s="2572"/>
      <c r="R16" s="2572"/>
      <c r="S16" s="2572"/>
      <c r="T16" s="2572"/>
      <c r="U16" s="566"/>
      <c r="V16" s="566">
        <v>2.3095974223169446</v>
      </c>
      <c r="W16" s="566">
        <v>1.7910251810579623</v>
      </c>
    </row>
    <row r="17" spans="1:23" ht="18.75" x14ac:dyDescent="0.4">
      <c r="A17" s="23"/>
      <c r="C17" s="2378">
        <v>2014</v>
      </c>
      <c r="D17" s="566">
        <v>2.0154930023775397</v>
      </c>
      <c r="E17" s="566">
        <v>0.24726613201887918</v>
      </c>
      <c r="F17" s="566">
        <v>0.43794573170403461</v>
      </c>
      <c r="G17" s="566">
        <v>0.77088501991129732</v>
      </c>
      <c r="H17" s="566">
        <v>1.1929026309961004</v>
      </c>
      <c r="I17" s="566">
        <v>2.1338888667064912</v>
      </c>
      <c r="J17" s="566">
        <v>3.3948152901285789</v>
      </c>
      <c r="K17" s="566">
        <v>5.4360578502748345</v>
      </c>
      <c r="L17" s="567">
        <v>9.0164580463323922</v>
      </c>
      <c r="M17" s="566"/>
      <c r="N17" s="2572"/>
      <c r="O17" s="2572"/>
      <c r="P17" s="2572"/>
      <c r="Q17" s="2572"/>
      <c r="R17" s="2572"/>
      <c r="S17" s="2572"/>
      <c r="T17" s="2572"/>
      <c r="U17" s="566"/>
      <c r="V17" s="566">
        <v>2.3553920878654924</v>
      </c>
      <c r="W17" s="566">
        <v>1.6787386990634288</v>
      </c>
    </row>
    <row r="18" spans="1:23" ht="18.75" x14ac:dyDescent="0.4">
      <c r="C18" s="2378">
        <v>2015</v>
      </c>
      <c r="D18" s="566">
        <v>2.0230809454862397</v>
      </c>
      <c r="E18" s="566">
        <v>0.26572418094151457</v>
      </c>
      <c r="F18" s="566">
        <v>0.49504348651854041</v>
      </c>
      <c r="G18" s="566">
        <v>0.64875283202241285</v>
      </c>
      <c r="H18" s="566">
        <v>1.066919282794172</v>
      </c>
      <c r="I18" s="566">
        <v>2.0220589142979346</v>
      </c>
      <c r="J18" s="566">
        <v>3.3836446788614101</v>
      </c>
      <c r="K18" s="566">
        <v>5.9348905176631694</v>
      </c>
      <c r="L18" s="567">
        <v>8.7516118128064448</v>
      </c>
      <c r="M18" s="566"/>
      <c r="N18" s="2572"/>
      <c r="O18" s="2572"/>
      <c r="P18" s="2572"/>
      <c r="Q18" s="2572"/>
      <c r="R18" s="2572"/>
      <c r="S18" s="2572"/>
      <c r="T18" s="2572"/>
      <c r="U18" s="566"/>
      <c r="V18" s="566">
        <v>2.3898972062029169</v>
      </c>
      <c r="W18" s="566">
        <v>1.6598964508833207</v>
      </c>
    </row>
    <row r="19" spans="1:23" ht="18.75" x14ac:dyDescent="0.4">
      <c r="C19" s="2382">
        <v>2016</v>
      </c>
      <c r="D19" s="566">
        <v>2.0466591767534235</v>
      </c>
      <c r="E19" s="566">
        <v>0.28333746148799249</v>
      </c>
      <c r="F19" s="566">
        <v>0.44791712812879481</v>
      </c>
      <c r="G19" s="566">
        <v>0.74341470393889864</v>
      </c>
      <c r="H19" s="566">
        <v>1.2241076382423237</v>
      </c>
      <c r="I19" s="566">
        <v>2.0345261660008127</v>
      </c>
      <c r="J19" s="566">
        <v>3.1688928537869567</v>
      </c>
      <c r="K19" s="566">
        <v>5.6085934640539232</v>
      </c>
      <c r="L19" s="567">
        <v>9.1084144721574525</v>
      </c>
      <c r="M19" s="566"/>
      <c r="N19" s="2572"/>
      <c r="O19" s="2572"/>
      <c r="P19" s="2572"/>
      <c r="Q19" s="2572"/>
      <c r="R19" s="2572"/>
      <c r="S19" s="2572"/>
      <c r="T19" s="2572"/>
      <c r="U19" s="566"/>
      <c r="V19" s="566">
        <v>2.3511836735391767</v>
      </c>
      <c r="W19" s="566">
        <v>1.7452311725638228</v>
      </c>
    </row>
    <row r="20" spans="1:23" ht="18.75" x14ac:dyDescent="0.4">
      <c r="C20" s="2382">
        <v>2017</v>
      </c>
      <c r="D20" s="566">
        <v>2.1210248828671858</v>
      </c>
      <c r="E20" s="566">
        <v>0.29021990951548887</v>
      </c>
      <c r="F20" s="566">
        <v>0.50402667269787838</v>
      </c>
      <c r="G20" s="566">
        <v>0.82266513045753253</v>
      </c>
      <c r="H20" s="566">
        <v>1.2857681816556932</v>
      </c>
      <c r="I20" s="566">
        <v>1.9310834867119293</v>
      </c>
      <c r="J20" s="566">
        <v>3.5682321713899858</v>
      </c>
      <c r="K20" s="566">
        <v>5.457801675726472</v>
      </c>
      <c r="L20" s="567">
        <v>9.2093430953863269</v>
      </c>
      <c r="M20" s="566"/>
      <c r="N20" s="2572"/>
      <c r="O20" s="2572"/>
      <c r="P20" s="2572"/>
      <c r="Q20" s="2572"/>
      <c r="R20" s="2572"/>
      <c r="S20" s="2572"/>
      <c r="T20" s="2572"/>
      <c r="U20" s="566"/>
      <c r="V20" s="566">
        <v>2.4118578948068681</v>
      </c>
      <c r="W20" s="566">
        <v>1.8333707814332045</v>
      </c>
    </row>
    <row r="21" spans="1:23" ht="18.75" x14ac:dyDescent="0.4">
      <c r="C21" s="2382">
        <v>2018</v>
      </c>
      <c r="D21" s="566">
        <v>2.1265578301943711</v>
      </c>
      <c r="E21" s="566">
        <v>0.29374823356869201</v>
      </c>
      <c r="F21" s="566">
        <v>0.44827655340140832</v>
      </c>
      <c r="G21" s="566">
        <v>0.78234690291071396</v>
      </c>
      <c r="H21" s="566">
        <v>1.2620137659917503</v>
      </c>
      <c r="I21" s="566">
        <v>2.1359370479422801</v>
      </c>
      <c r="J21" s="566">
        <v>3.3815271336118182</v>
      </c>
      <c r="K21" s="566">
        <v>5.6398863652198878</v>
      </c>
      <c r="L21" s="567">
        <v>8.8789191372799454</v>
      </c>
      <c r="M21" s="566"/>
      <c r="N21" s="2572"/>
      <c r="O21" s="2572"/>
      <c r="P21" s="2572"/>
      <c r="Q21" s="2572"/>
      <c r="R21" s="2572"/>
      <c r="S21" s="2572"/>
      <c r="T21" s="2572"/>
      <c r="U21" s="566"/>
      <c r="V21" s="566">
        <v>2.4915568196590092</v>
      </c>
      <c r="W21" s="566">
        <v>1.7656052470678267</v>
      </c>
    </row>
    <row r="22" spans="1:23" ht="18.75" x14ac:dyDescent="0.4">
      <c r="C22" s="2382">
        <v>2019</v>
      </c>
      <c r="D22" s="566">
        <v>2.1260469075063693</v>
      </c>
      <c r="E22" s="566">
        <v>0.26964750984645008</v>
      </c>
      <c r="F22" s="566">
        <v>0.42273349157220264</v>
      </c>
      <c r="G22" s="566">
        <v>0.83109332731254071</v>
      </c>
      <c r="H22" s="566">
        <v>1.2470442143207519</v>
      </c>
      <c r="I22" s="566">
        <v>2.0700281702262568</v>
      </c>
      <c r="J22" s="566">
        <v>3.3148132083303272</v>
      </c>
      <c r="K22" s="566">
        <v>5.4322284720689051</v>
      </c>
      <c r="L22" s="567">
        <v>9.114295602366278</v>
      </c>
      <c r="M22" s="566"/>
      <c r="N22" s="2572"/>
      <c r="O22" s="2572"/>
      <c r="P22" s="2572"/>
      <c r="Q22" s="2572"/>
      <c r="R22" s="2572"/>
      <c r="S22" s="2572"/>
      <c r="T22" s="2572"/>
      <c r="U22" s="566"/>
      <c r="V22" s="566">
        <v>2.3932139521250475</v>
      </c>
      <c r="W22" s="566">
        <v>1.8619132755246663</v>
      </c>
    </row>
    <row r="23" spans="1:23" ht="18.75" x14ac:dyDescent="0.4">
      <c r="C23" s="2382">
        <v>2020</v>
      </c>
      <c r="D23" s="566">
        <v>2.1685674032617683</v>
      </c>
      <c r="E23" s="566">
        <v>0.28461687360863092</v>
      </c>
      <c r="F23" s="566">
        <v>0.48033407018304214</v>
      </c>
      <c r="G23" s="566">
        <v>0.76961980596870305</v>
      </c>
      <c r="H23" s="566">
        <v>1.2833226310695665</v>
      </c>
      <c r="I23" s="566">
        <v>2.021207132156547</v>
      </c>
      <c r="J23" s="566">
        <v>3.3374169574026529</v>
      </c>
      <c r="K23" s="566">
        <v>5.5667400416037793</v>
      </c>
      <c r="L23" s="567">
        <v>9.213748849684654</v>
      </c>
      <c r="M23" s="566"/>
      <c r="N23" s="2572"/>
      <c r="O23" s="2572"/>
      <c r="P23" s="2572"/>
      <c r="Q23" s="2572"/>
      <c r="R23" s="2572"/>
      <c r="S23" s="2572"/>
      <c r="T23" s="2572"/>
      <c r="U23" s="566"/>
      <c r="V23" s="566">
        <v>2.5007263937991238</v>
      </c>
      <c r="W23" s="566">
        <v>1.8402235371382707</v>
      </c>
    </row>
    <row r="24" spans="1:23" ht="18.75" x14ac:dyDescent="0.4">
      <c r="C24" s="2382">
        <v>2021</v>
      </c>
      <c r="D24" s="566">
        <v>2.2277946766462038</v>
      </c>
      <c r="E24" s="566">
        <v>0.26371883943614693</v>
      </c>
      <c r="F24" s="566">
        <v>0.44973666264214573</v>
      </c>
      <c r="G24" s="566">
        <v>0.7936049196902053</v>
      </c>
      <c r="H24" s="566">
        <v>1.1291861096098355</v>
      </c>
      <c r="I24" s="566">
        <v>2.2898056532902054</v>
      </c>
      <c r="J24" s="566">
        <v>3.4472560817753255</v>
      </c>
      <c r="K24" s="566">
        <v>5.5523055335654554</v>
      </c>
      <c r="L24" s="567">
        <v>9.4462318297299586</v>
      </c>
      <c r="M24" s="566"/>
      <c r="N24" s="2572"/>
      <c r="O24" s="2572"/>
      <c r="P24" s="2572"/>
      <c r="Q24" s="2572"/>
      <c r="R24" s="2572"/>
      <c r="S24" s="2572"/>
      <c r="T24" s="2572"/>
      <c r="U24" s="566"/>
      <c r="V24" s="566">
        <v>2.5633399860825414</v>
      </c>
      <c r="W24" s="566">
        <v>1.896055943871177</v>
      </c>
    </row>
    <row r="25" spans="1:23" ht="18.75" x14ac:dyDescent="0.4">
      <c r="C25" s="2382">
        <v>2022</v>
      </c>
      <c r="D25" s="566">
        <v>2.1777596257167109</v>
      </c>
      <c r="E25" s="566">
        <v>0.26021881135283281</v>
      </c>
      <c r="F25" s="566">
        <v>0.46204376908627215</v>
      </c>
      <c r="G25" s="566">
        <v>0.75330603683444441</v>
      </c>
      <c r="H25" s="566">
        <v>1.2477669058887493</v>
      </c>
      <c r="I25" s="566">
        <v>2.2235144987395379</v>
      </c>
      <c r="J25" s="566">
        <v>3.3306422211435605</v>
      </c>
      <c r="K25" s="566">
        <v>5.5783485353605746</v>
      </c>
      <c r="L25" s="567">
        <v>8.5932959646194931</v>
      </c>
      <c r="M25" s="566"/>
      <c r="N25" s="2572"/>
      <c r="O25" s="2572"/>
      <c r="P25" s="2572"/>
      <c r="Q25" s="2572"/>
      <c r="R25" s="2572"/>
      <c r="S25" s="2572"/>
      <c r="T25" s="2572"/>
      <c r="U25" s="566"/>
      <c r="V25" s="566">
        <v>2.5063704069643586</v>
      </c>
      <c r="W25" s="566">
        <v>1.8529111366616364</v>
      </c>
    </row>
    <row r="26" spans="1:23" ht="18.75" x14ac:dyDescent="0.4">
      <c r="C26" s="2382">
        <v>2023</v>
      </c>
      <c r="D26" s="566">
        <v>2.2077880074817027</v>
      </c>
      <c r="E26" s="566">
        <v>0.26623920409680008</v>
      </c>
      <c r="F26" s="566">
        <v>0.40653205567241768</v>
      </c>
      <c r="G26" s="566">
        <v>0.84138408933391151</v>
      </c>
      <c r="H26" s="566">
        <v>1.3280643101579499</v>
      </c>
      <c r="I26" s="566">
        <v>2.1014704230606402</v>
      </c>
      <c r="J26" s="566">
        <v>3.3405865130691592</v>
      </c>
      <c r="K26" s="566">
        <v>5.442407537498883</v>
      </c>
      <c r="L26" s="567">
        <v>8.9036904468642728</v>
      </c>
      <c r="M26" s="566"/>
      <c r="N26" s="2572"/>
      <c r="O26" s="2572"/>
      <c r="P26" s="2572"/>
      <c r="Q26" s="2572"/>
      <c r="R26" s="2572"/>
      <c r="S26" s="2572"/>
      <c r="T26" s="2572"/>
      <c r="U26" s="566"/>
      <c r="V26" s="566">
        <v>2.5272578876394269</v>
      </c>
      <c r="W26" s="566">
        <v>1.8918963847271058</v>
      </c>
    </row>
    <row r="27" spans="1:23" ht="19.5" x14ac:dyDescent="0.4">
      <c r="C27" s="383" t="s">
        <v>8168</v>
      </c>
      <c r="D27" s="568">
        <v>2.2262093091500854</v>
      </c>
      <c r="E27" s="568">
        <v>0.25901823908842359</v>
      </c>
      <c r="F27" s="568">
        <v>0.44377599606477341</v>
      </c>
      <c r="G27" s="568">
        <v>0.79632433947151626</v>
      </c>
      <c r="H27" s="568">
        <v>1.4732262597400598</v>
      </c>
      <c r="I27" s="568">
        <v>2.1413126470771688</v>
      </c>
      <c r="J27" s="568">
        <v>3.3806997547718036</v>
      </c>
      <c r="K27" s="568">
        <v>5.519537644825304</v>
      </c>
      <c r="L27" s="569">
        <v>8.4737367117220579</v>
      </c>
      <c r="M27" s="568"/>
      <c r="N27" s="2573"/>
      <c r="O27" s="2573"/>
      <c r="P27" s="2573"/>
      <c r="Q27" s="2573"/>
      <c r="R27" s="2573"/>
      <c r="S27" s="2573"/>
      <c r="T27" s="2573"/>
      <c r="U27" s="568"/>
      <c r="V27" s="568">
        <v>2.5400072926429673</v>
      </c>
      <c r="W27" s="568">
        <v>1.9158509814249645</v>
      </c>
    </row>
    <row r="28" spans="1:23"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row>
    <row r="29" spans="1:23" ht="18.75" x14ac:dyDescent="0.4">
      <c r="C29" s="5" t="s">
        <v>746</v>
      </c>
      <c r="D29" s="2399"/>
      <c r="E29" s="2399"/>
      <c r="F29" s="2399"/>
      <c r="G29" s="5"/>
      <c r="H29" s="5"/>
      <c r="I29" s="5"/>
      <c r="J29" s="5"/>
      <c r="K29" s="5"/>
      <c r="L29" s="5"/>
      <c r="M29" s="5"/>
      <c r="N29" s="5"/>
      <c r="O29" s="5"/>
      <c r="P29" s="5"/>
      <c r="Q29" s="5"/>
      <c r="R29" s="5"/>
      <c r="S29" s="5"/>
      <c r="T29" s="5"/>
      <c r="U29" s="5"/>
      <c r="V29" s="5"/>
      <c r="W29" s="5"/>
    </row>
    <row r="30" spans="1:23" ht="18.75" x14ac:dyDescent="0.4">
      <c r="C30" s="5" t="s">
        <v>8170</v>
      </c>
      <c r="D30" s="2399"/>
      <c r="E30" s="2399"/>
      <c r="F30" s="2399"/>
      <c r="G30" s="5"/>
      <c r="H30" s="5"/>
      <c r="I30" s="5"/>
      <c r="J30" s="5"/>
      <c r="K30" s="5"/>
      <c r="L30" s="5"/>
      <c r="M30" s="5"/>
      <c r="N30" s="5"/>
      <c r="O30" s="5"/>
      <c r="P30" s="5"/>
      <c r="Q30" s="5"/>
      <c r="R30" s="5"/>
      <c r="S30" s="5"/>
      <c r="T30" s="5"/>
      <c r="U30" s="5"/>
      <c r="V30" s="5"/>
      <c r="W30" s="5"/>
    </row>
    <row r="32" spans="1:23" ht="10.9" customHeight="1" x14ac:dyDescent="0.25"/>
    <row r="33" spans="3:9" ht="19.5" x14ac:dyDescent="0.25">
      <c r="C33" s="43" t="s">
        <v>1209</v>
      </c>
      <c r="D33" s="433"/>
      <c r="E33" s="433"/>
      <c r="F33" s="433"/>
      <c r="G33" s="433"/>
      <c r="H33" s="433"/>
      <c r="I33" s="433"/>
    </row>
    <row r="34" spans="3:9" ht="19.5" x14ac:dyDescent="0.25">
      <c r="C34" s="43" t="s">
        <v>8180</v>
      </c>
      <c r="D34" s="433"/>
      <c r="E34" s="433"/>
      <c r="F34" s="433"/>
      <c r="G34" s="433"/>
      <c r="H34" s="433"/>
      <c r="I34" s="433"/>
    </row>
    <row r="35" spans="3:9" ht="18.75" x14ac:dyDescent="0.25">
      <c r="D35" s="168"/>
    </row>
    <row r="37" spans="3:9" ht="10.9" customHeight="1" x14ac:dyDescent="0.25"/>
    <row r="38" spans="3:9" ht="10.9" customHeight="1" x14ac:dyDescent="0.25"/>
    <row r="39" spans="3:9" ht="10.9" customHeight="1" x14ac:dyDescent="0.25"/>
    <row r="40" spans="3:9" ht="10.9" customHeight="1" x14ac:dyDescent="0.25"/>
    <row r="41" spans="3:9" ht="10.9" customHeight="1" x14ac:dyDescent="0.25"/>
    <row r="42" spans="3:9" ht="10.9" customHeight="1" x14ac:dyDescent="0.25"/>
    <row r="43" spans="3:9" ht="10.9" customHeight="1" x14ac:dyDescent="0.25"/>
    <row r="44" spans="3:9" ht="10.9" customHeight="1" x14ac:dyDescent="0.25"/>
    <row r="45" spans="3:9" ht="10.9" customHeight="1" x14ac:dyDescent="0.25"/>
    <row r="46" spans="3:9" ht="10.9" customHeight="1" x14ac:dyDescent="0.25"/>
    <row r="47" spans="3:9" ht="10.9" customHeight="1" x14ac:dyDescent="0.25"/>
    <row r="48" spans="3:9" ht="10.9" customHeight="1" x14ac:dyDescent="0.25"/>
    <row r="49" spans="3:19" ht="10.9" customHeight="1" x14ac:dyDescent="0.25"/>
    <row r="50" spans="3:19" ht="10.9" customHeight="1" x14ac:dyDescent="0.25"/>
    <row r="51" spans="3:19" ht="10.9" customHeight="1" x14ac:dyDescent="0.25"/>
    <row r="52" spans="3:19" ht="10.9" customHeight="1" x14ac:dyDescent="0.25"/>
    <row r="53" spans="3:19" ht="10.9" customHeight="1" x14ac:dyDescent="0.25"/>
    <row r="54" spans="3:19" ht="10.9" customHeight="1" x14ac:dyDescent="0.25"/>
    <row r="55" spans="3:19" ht="10.9" customHeight="1" x14ac:dyDescent="0.25"/>
    <row r="56" spans="3:19" ht="10.9" customHeight="1" x14ac:dyDescent="0.25"/>
    <row r="57" spans="3:19" ht="10.9" customHeight="1" x14ac:dyDescent="0.25"/>
    <row r="58" spans="3:19" ht="18.75" x14ac:dyDescent="0.4">
      <c r="C58" s="5" t="s">
        <v>8181</v>
      </c>
    </row>
    <row r="59" spans="3:19" ht="10.9" customHeight="1" x14ac:dyDescent="0.25"/>
    <row r="60" spans="3:19" ht="10.9" customHeight="1" x14ac:dyDescent="0.25"/>
    <row r="62" spans="3:19" ht="18.75" x14ac:dyDescent="0.4">
      <c r="C62" s="154" t="s">
        <v>1210</v>
      </c>
      <c r="D62" s="5"/>
      <c r="E62" s="5"/>
      <c r="F62" s="5"/>
      <c r="G62" s="5"/>
      <c r="H62" s="5"/>
      <c r="I62" s="5"/>
      <c r="J62" s="5"/>
      <c r="K62" s="5"/>
      <c r="L62" s="5"/>
      <c r="M62" s="5"/>
      <c r="N62" s="5"/>
      <c r="O62" s="5"/>
      <c r="P62" s="5"/>
    </row>
    <row r="63" spans="3:19" ht="18.75" x14ac:dyDescent="0.4">
      <c r="C63" s="5"/>
      <c r="D63" s="5"/>
      <c r="E63" s="5"/>
      <c r="F63" s="5"/>
      <c r="G63" s="5"/>
      <c r="H63" s="5"/>
      <c r="I63" s="5"/>
      <c r="J63" s="5"/>
      <c r="K63" s="5"/>
      <c r="L63" s="5"/>
      <c r="M63" s="5"/>
      <c r="N63" s="5"/>
      <c r="O63" s="5"/>
      <c r="P63" s="5"/>
    </row>
    <row r="64" spans="3:19" ht="37.5" x14ac:dyDescent="0.25">
      <c r="C64" s="388" t="s">
        <v>749</v>
      </c>
      <c r="D64" s="389" t="s">
        <v>750</v>
      </c>
      <c r="E64" s="390">
        <v>2010</v>
      </c>
      <c r="F64" s="390">
        <v>2011</v>
      </c>
      <c r="G64" s="390">
        <v>2012</v>
      </c>
      <c r="H64" s="390">
        <v>2013</v>
      </c>
      <c r="I64" s="390">
        <v>2014</v>
      </c>
      <c r="J64" s="390">
        <v>2015</v>
      </c>
      <c r="K64" s="390">
        <v>2016</v>
      </c>
      <c r="L64" s="390">
        <v>2017</v>
      </c>
      <c r="M64" s="390">
        <v>2018</v>
      </c>
      <c r="N64" s="390">
        <v>2019</v>
      </c>
      <c r="O64" s="390">
        <v>2020</v>
      </c>
      <c r="P64" s="390">
        <v>2021</v>
      </c>
      <c r="Q64" s="390">
        <v>2022</v>
      </c>
      <c r="R64" s="2379">
        <v>2023</v>
      </c>
      <c r="S64" s="2379">
        <v>2024</v>
      </c>
    </row>
    <row r="65" spans="3:17" ht="18.75" x14ac:dyDescent="0.4">
      <c r="C65" s="2569" t="s">
        <v>328</v>
      </c>
      <c r="D65" s="391" t="s">
        <v>328</v>
      </c>
      <c r="E65" s="340">
        <v>2.4549806865785322</v>
      </c>
      <c r="F65" s="340">
        <v>2.410950897630892</v>
      </c>
      <c r="G65" s="340">
        <v>2.4691198428036789</v>
      </c>
      <c r="H65" s="340">
        <v>2.1452186861166496</v>
      </c>
      <c r="I65" s="340">
        <v>2.3091559573144824</v>
      </c>
      <c r="J65" s="340">
        <v>2.2846109565384247</v>
      </c>
      <c r="K65" s="340">
        <v>2.1808972164247358</v>
      </c>
      <c r="L65" s="340">
        <v>2.1952256714976954</v>
      </c>
      <c r="M65" s="340">
        <v>1.9700373686171355</v>
      </c>
      <c r="N65" s="340">
        <v>2.1710836033341643</v>
      </c>
      <c r="O65" s="340">
        <v>2.3117551388956885</v>
      </c>
      <c r="P65" s="340">
        <v>2.3546662528162341</v>
      </c>
      <c r="Q65" s="423">
        <v>2.1616605771106507</v>
      </c>
    </row>
    <row r="66" spans="3:17" ht="18.75" x14ac:dyDescent="0.4">
      <c r="C66" s="2567"/>
      <c r="D66" s="391" t="s">
        <v>752</v>
      </c>
      <c r="E66" s="340">
        <v>2.0505580207072747</v>
      </c>
      <c r="F66" s="340">
        <v>1.7738650548584194</v>
      </c>
      <c r="G66" s="340">
        <v>1.5704624851767572</v>
      </c>
      <c r="H66" s="340">
        <v>1.9748597222657596</v>
      </c>
      <c r="I66" s="340">
        <v>1.8392495861688432</v>
      </c>
      <c r="J66" s="340">
        <v>1.7946877243359654</v>
      </c>
      <c r="K66" s="340">
        <v>1.7558748646513125</v>
      </c>
      <c r="L66" s="340">
        <v>2.3836875358989089</v>
      </c>
      <c r="M66" s="340">
        <v>2.3134433629566935</v>
      </c>
      <c r="N66" s="340">
        <v>2.465783786778966</v>
      </c>
      <c r="O66" s="340">
        <v>2.1779374931939453</v>
      </c>
      <c r="P66" s="340">
        <v>2.0963797134947724</v>
      </c>
      <c r="Q66" s="340">
        <v>1.833789566003136</v>
      </c>
    </row>
    <row r="67" spans="3:17" ht="18.75" x14ac:dyDescent="0.4">
      <c r="C67" s="2567"/>
      <c r="D67" s="391" t="s">
        <v>753</v>
      </c>
      <c r="E67" s="340">
        <v>2.3045596607351442</v>
      </c>
      <c r="F67" s="340">
        <v>2.2956464704435517</v>
      </c>
      <c r="G67" s="340">
        <v>2.2327213284691902</v>
      </c>
      <c r="H67" s="340">
        <v>2.2846587594789036</v>
      </c>
      <c r="I67" s="340">
        <v>2.2182617928105568</v>
      </c>
      <c r="J67" s="340">
        <v>2.4354468214651428</v>
      </c>
      <c r="K67" s="340">
        <v>2.165494065108589</v>
      </c>
      <c r="L67" s="340">
        <v>2.1777118219896208</v>
      </c>
      <c r="M67" s="340">
        <v>2.0801279020792682</v>
      </c>
      <c r="N67" s="340">
        <v>2.1868402681402608</v>
      </c>
      <c r="O67" s="340">
        <v>2.1830823475137575</v>
      </c>
      <c r="P67" s="340">
        <v>2.3045946339333363</v>
      </c>
      <c r="Q67" s="340">
        <v>2.0910854562223706</v>
      </c>
    </row>
    <row r="68" spans="3:17" ht="18.75" x14ac:dyDescent="0.4">
      <c r="C68" s="2567"/>
      <c r="D68" s="391" t="s">
        <v>754</v>
      </c>
      <c r="E68" s="340">
        <v>2.1234331118569765</v>
      </c>
      <c r="F68" s="340">
        <v>1.9416175682913765</v>
      </c>
      <c r="G68" s="340">
        <v>2.2185970636215333</v>
      </c>
      <c r="H68" s="340">
        <v>2.1049945780442685</v>
      </c>
      <c r="I68" s="340">
        <v>2.5580234589468431</v>
      </c>
      <c r="J68" s="340">
        <v>1.5216068167985393</v>
      </c>
      <c r="K68" s="340">
        <v>1.8283692126216455</v>
      </c>
      <c r="L68" s="340">
        <v>1.605965012905076</v>
      </c>
      <c r="M68" s="340">
        <v>2.2888405068944344</v>
      </c>
      <c r="N68" s="340">
        <v>1.9585441488493551</v>
      </c>
      <c r="O68" s="340">
        <v>1.3270343436488135</v>
      </c>
      <c r="P68" s="340">
        <v>1.7549292866728605</v>
      </c>
      <c r="Q68" s="340">
        <v>2.162107803700724</v>
      </c>
    </row>
    <row r="69" spans="3:17" ht="18.75" x14ac:dyDescent="0.4">
      <c r="C69" s="2567"/>
      <c r="D69" s="391" t="s">
        <v>755</v>
      </c>
      <c r="E69" s="340">
        <v>1.2430080795525169</v>
      </c>
      <c r="F69" s="340">
        <v>2.7326552299984819</v>
      </c>
      <c r="G69" s="340">
        <v>2.6662716634572656</v>
      </c>
      <c r="H69" s="340">
        <v>1.7383746197305521</v>
      </c>
      <c r="I69" s="340">
        <v>1.6992353440951573</v>
      </c>
      <c r="J69" s="340">
        <v>2.3493642896627973</v>
      </c>
      <c r="K69" s="340">
        <v>1.7484868863483525</v>
      </c>
      <c r="L69" s="340">
        <v>2.4963868085665486</v>
      </c>
      <c r="M69" s="340">
        <v>2.182004877422667</v>
      </c>
      <c r="N69" s="340">
        <v>1.7587939698492463</v>
      </c>
      <c r="O69" s="340">
        <v>1.8450184501845017</v>
      </c>
      <c r="P69" s="340">
        <v>1.5591268889421923</v>
      </c>
      <c r="Q69" s="340">
        <v>2.6935238318304249</v>
      </c>
    </row>
    <row r="70" spans="3:17" ht="18.75" x14ac:dyDescent="0.4">
      <c r="C70" s="2567"/>
      <c r="D70" s="391" t="s">
        <v>756</v>
      </c>
      <c r="E70" s="340">
        <v>2.0637746843638718</v>
      </c>
      <c r="F70" s="340">
        <v>2.1317752950929689</v>
      </c>
      <c r="G70" s="340">
        <v>2.0762842202399261</v>
      </c>
      <c r="H70" s="340">
        <v>1.4643487402846094</v>
      </c>
      <c r="I70" s="340">
        <v>1.5398152221733392</v>
      </c>
      <c r="J70" s="340">
        <v>1.7855867438040141</v>
      </c>
      <c r="K70" s="340">
        <v>1.9469457288878071</v>
      </c>
      <c r="L70" s="340">
        <v>2.1059782608695654</v>
      </c>
      <c r="M70" s="340">
        <v>2.0269821226822624</v>
      </c>
      <c r="N70" s="340">
        <v>2.8286243781903306</v>
      </c>
      <c r="O70" s="340">
        <v>2.323582773657574</v>
      </c>
      <c r="P70" s="340">
        <v>2.750945637562912</v>
      </c>
      <c r="Q70" s="340">
        <v>2.06058742119022</v>
      </c>
    </row>
    <row r="71" spans="3:17" ht="18.75" x14ac:dyDescent="0.4">
      <c r="C71" s="2567"/>
      <c r="D71" s="391" t="s">
        <v>757</v>
      </c>
      <c r="E71" s="340">
        <v>1.5951507417450947</v>
      </c>
      <c r="F71" s="340">
        <v>1.482521847690387</v>
      </c>
      <c r="G71" s="340">
        <v>1.7523809523809524</v>
      </c>
      <c r="H71" s="340">
        <v>2.312397433984783</v>
      </c>
      <c r="I71" s="340">
        <v>1.8240186779512622</v>
      </c>
      <c r="J71" s="340">
        <v>1.4251104460595696</v>
      </c>
      <c r="K71" s="340">
        <v>2.1526282897021041</v>
      </c>
      <c r="L71" s="340">
        <v>1.5614392396469789</v>
      </c>
      <c r="M71" s="340">
        <v>1.9269102990033222</v>
      </c>
      <c r="N71" s="340">
        <v>2.3410066328521264</v>
      </c>
      <c r="O71" s="340">
        <v>1.9747738565422346</v>
      </c>
      <c r="P71" s="340">
        <v>2.2501406337896119</v>
      </c>
      <c r="Q71" s="340">
        <v>1.8424123318798749</v>
      </c>
    </row>
    <row r="72" spans="3:17" ht="18.75" x14ac:dyDescent="0.4">
      <c r="C72" s="2567"/>
      <c r="D72" s="391" t="s">
        <v>758</v>
      </c>
      <c r="E72" s="340">
        <v>2.1097426835205657</v>
      </c>
      <c r="F72" s="340">
        <v>2.3371055036198776</v>
      </c>
      <c r="G72" s="340">
        <v>2.1894189487368076</v>
      </c>
      <c r="H72" s="340">
        <v>2.1368591509323718</v>
      </c>
      <c r="I72" s="340">
        <v>1.775822743564679</v>
      </c>
      <c r="J72" s="340">
        <v>1.9669426731385424</v>
      </c>
      <c r="K72" s="340">
        <v>2.0265148585306991</v>
      </c>
      <c r="L72" s="340">
        <v>2.5739636011264873</v>
      </c>
      <c r="M72" s="340">
        <v>2.0775212203953228</v>
      </c>
      <c r="N72" s="340">
        <v>2.3847261200215208</v>
      </c>
      <c r="O72" s="340">
        <v>2.4382245162762182</v>
      </c>
      <c r="P72" s="340">
        <v>2.3920433085735868</v>
      </c>
      <c r="Q72" s="340">
        <v>2.2552565354309051</v>
      </c>
    </row>
    <row r="73" spans="3:17" ht="18.75" x14ac:dyDescent="0.4">
      <c r="C73" s="2567"/>
      <c r="D73" s="391" t="s">
        <v>759</v>
      </c>
      <c r="E73" s="340">
        <v>1.9024773563836386</v>
      </c>
      <c r="F73" s="340">
        <v>1.6914340944786759</v>
      </c>
      <c r="G73" s="340">
        <v>1.2925969447708576</v>
      </c>
      <c r="H73" s="340">
        <v>1.4895160982316771</v>
      </c>
      <c r="I73" s="340">
        <v>1.4890923981833073</v>
      </c>
      <c r="J73" s="340">
        <v>2.1376811594202896</v>
      </c>
      <c r="K73" s="340">
        <v>1.7292490118577075</v>
      </c>
      <c r="L73" s="340">
        <v>1.9318338622878433</v>
      </c>
      <c r="M73" s="340">
        <v>1.8564147568096667</v>
      </c>
      <c r="N73" s="340">
        <v>1.7502724480697467</v>
      </c>
      <c r="O73" s="340">
        <v>1.7784388540386729</v>
      </c>
      <c r="P73" s="340">
        <v>1.9724493366843763</v>
      </c>
      <c r="Q73" s="340">
        <v>2.1947701762086913</v>
      </c>
    </row>
    <row r="74" spans="3:17" ht="18.75" x14ac:dyDescent="0.4">
      <c r="C74" s="2567"/>
      <c r="D74" s="391" t="s">
        <v>760</v>
      </c>
      <c r="E74" s="340">
        <v>2.266236185272569</v>
      </c>
      <c r="F74" s="340">
        <v>2.160280836508746</v>
      </c>
      <c r="G74" s="340">
        <v>2.3763294404033966</v>
      </c>
      <c r="H74" s="340">
        <v>2.6958719460825611</v>
      </c>
      <c r="I74" s="340">
        <v>2.1496013713912547</v>
      </c>
      <c r="J74" s="340">
        <v>2.4211163451669782</v>
      </c>
      <c r="K74" s="340">
        <v>1.9608841805032087</v>
      </c>
      <c r="L74" s="340">
        <v>1.856114039646596</v>
      </c>
      <c r="M74" s="340">
        <v>2.5289626436089501</v>
      </c>
      <c r="N74" s="340">
        <v>2.0865569465935199</v>
      </c>
      <c r="O74" s="340">
        <v>2.4445967557687918</v>
      </c>
      <c r="P74" s="340">
        <v>2.1152004987420123</v>
      </c>
      <c r="Q74" s="340">
        <v>1.9565642731363726</v>
      </c>
    </row>
    <row r="75" spans="3:17" ht="18.75" x14ac:dyDescent="0.4">
      <c r="C75" s="2567"/>
      <c r="D75" s="391" t="s">
        <v>761</v>
      </c>
      <c r="E75" s="340">
        <v>2.6161790017211701</v>
      </c>
      <c r="F75" s="340">
        <v>2.5507635509313644</v>
      </c>
      <c r="G75" s="340">
        <v>2.0912982387347645</v>
      </c>
      <c r="H75" s="340">
        <v>1.6590096988259315</v>
      </c>
      <c r="I75" s="340">
        <v>2.1797346951485332</v>
      </c>
      <c r="J75" s="340">
        <v>2.1548453670824608</v>
      </c>
      <c r="K75" s="340">
        <v>2.5388952853304989</v>
      </c>
      <c r="L75" s="340">
        <v>2.1899492853849702</v>
      </c>
      <c r="M75" s="340">
        <v>2.1409656882077863</v>
      </c>
      <c r="N75" s="340">
        <v>2.2580201018862729</v>
      </c>
      <c r="O75" s="340">
        <v>2.4260067928190199</v>
      </c>
      <c r="P75" s="340">
        <v>2.1818955883135542</v>
      </c>
      <c r="Q75" s="340">
        <v>2.3674242424242427</v>
      </c>
    </row>
    <row r="76" spans="3:17" ht="18.75" x14ac:dyDescent="0.4">
      <c r="C76" s="2567"/>
      <c r="D76" s="391" t="s">
        <v>762</v>
      </c>
      <c r="E76" s="340">
        <v>1.9258545979778525</v>
      </c>
      <c r="F76" s="340">
        <v>2.0047169811320753</v>
      </c>
      <c r="G76" s="340">
        <v>1.1536686663590217</v>
      </c>
      <c r="H76" s="340">
        <v>1.1301989150090417</v>
      </c>
      <c r="I76" s="340">
        <v>1.8809471121929631</v>
      </c>
      <c r="J76" s="340">
        <v>1.9484736956051094</v>
      </c>
      <c r="K76" s="340">
        <v>1.4727540500736376</v>
      </c>
      <c r="L76" s="340">
        <v>1.4351614556637622</v>
      </c>
      <c r="M76" s="340">
        <v>2.6013006503251628</v>
      </c>
      <c r="N76" s="340">
        <v>2.050380785002929</v>
      </c>
      <c r="O76" s="340">
        <v>1.7187052420509883</v>
      </c>
      <c r="P76" s="340">
        <v>2.1331849378593954</v>
      </c>
      <c r="Q76" s="340">
        <v>2.5257081003066935</v>
      </c>
    </row>
    <row r="77" spans="3:17" ht="18.75" x14ac:dyDescent="0.4">
      <c r="C77" s="2567"/>
      <c r="D77" s="391" t="s">
        <v>763</v>
      </c>
      <c r="E77" s="340">
        <v>2.8627866365119807</v>
      </c>
      <c r="F77" s="340">
        <v>2.4690665245082912</v>
      </c>
      <c r="G77" s="340">
        <v>2.4711696869851729</v>
      </c>
      <c r="H77" s="340">
        <v>2.5051179829759724</v>
      </c>
      <c r="I77" s="340">
        <v>2.8257539745418052</v>
      </c>
      <c r="J77" s="340">
        <v>2.0919961775872311</v>
      </c>
      <c r="K77" s="340">
        <v>2.0053306257139232</v>
      </c>
      <c r="L77" s="340">
        <v>2.652918210031034</v>
      </c>
      <c r="M77" s="340">
        <v>2.2718293164757015</v>
      </c>
      <c r="N77" s="340">
        <v>2.0945978859174827</v>
      </c>
      <c r="O77" s="340">
        <v>2.5223407321994813</v>
      </c>
      <c r="P77" s="340">
        <v>1.7642077531050058</v>
      </c>
      <c r="Q77" s="340">
        <v>2.3542445644647554</v>
      </c>
    </row>
    <row r="78" spans="3:17" ht="18.75" x14ac:dyDescent="0.4">
      <c r="C78" s="2567"/>
      <c r="D78" s="391" t="s">
        <v>764</v>
      </c>
      <c r="E78" s="340">
        <v>2.3032353258718108</v>
      </c>
      <c r="F78" s="340">
        <v>2.2237125410327909</v>
      </c>
      <c r="G78" s="340">
        <v>1.6240497581202489</v>
      </c>
      <c r="H78" s="340">
        <v>2.4084941822992638</v>
      </c>
      <c r="I78" s="340">
        <v>1.8960814317078039</v>
      </c>
      <c r="J78" s="340">
        <v>2.4086189499723334</v>
      </c>
      <c r="K78" s="340">
        <v>2.3351033203249951</v>
      </c>
      <c r="L78" s="340">
        <v>2.144231072430864</v>
      </c>
      <c r="M78" s="340">
        <v>2.2094977282628991</v>
      </c>
      <c r="N78" s="340">
        <v>1.9947828755562373</v>
      </c>
      <c r="O78" s="340">
        <v>2.2703880850033298</v>
      </c>
      <c r="P78" s="340">
        <v>2.3968601132516403</v>
      </c>
      <c r="Q78" s="340">
        <v>1.6340840216293304</v>
      </c>
    </row>
    <row r="79" spans="3:17" ht="18.75" x14ac:dyDescent="0.4">
      <c r="C79" s="2567"/>
      <c r="D79" s="391" t="s">
        <v>765</v>
      </c>
      <c r="E79" s="340">
        <v>2.2823606129768503</v>
      </c>
      <c r="F79" s="340">
        <v>2.1269053527118045</v>
      </c>
      <c r="G79" s="340">
        <v>1.7323216574853619</v>
      </c>
      <c r="H79" s="340">
        <v>2.0032595409479832</v>
      </c>
      <c r="I79" s="340">
        <v>1.9622842318821296</v>
      </c>
      <c r="J79" s="340">
        <v>1.5595048572078365</v>
      </c>
      <c r="K79" s="340">
        <v>1.4678664879698768</v>
      </c>
      <c r="L79" s="340">
        <v>1.4781268673145267</v>
      </c>
      <c r="M79" s="340">
        <v>1.8003476533399554</v>
      </c>
      <c r="N79" s="340">
        <v>1.5919179549977041</v>
      </c>
      <c r="O79" s="340">
        <v>1.7211703958691911</v>
      </c>
      <c r="P79" s="340">
        <v>1.7562137222801011</v>
      </c>
      <c r="Q79" s="340">
        <v>1.7943287445581833</v>
      </c>
    </row>
    <row r="80" spans="3:17" ht="18.75" x14ac:dyDescent="0.4">
      <c r="C80" s="2567"/>
      <c r="D80" s="391" t="s">
        <v>766</v>
      </c>
      <c r="E80" s="340">
        <v>0.38910505836575876</v>
      </c>
      <c r="F80" s="340">
        <v>3.0303030303030303</v>
      </c>
      <c r="G80" s="340">
        <v>1.8362100624311422</v>
      </c>
      <c r="H80" s="340">
        <v>0.3575259206292456</v>
      </c>
      <c r="I80" s="340">
        <v>1.0416666666666667</v>
      </c>
      <c r="J80" s="340">
        <v>3.0364372469635628</v>
      </c>
      <c r="K80" s="340">
        <v>1.3050570962479608</v>
      </c>
      <c r="L80" s="340">
        <v>1.5827793605571383</v>
      </c>
      <c r="M80" s="340">
        <v>1.8444512757454656</v>
      </c>
      <c r="N80" s="340">
        <v>2.0908004778972522</v>
      </c>
      <c r="O80" s="340">
        <v>2.6170398371619661</v>
      </c>
      <c r="P80" s="340">
        <v>2.2522522522522523</v>
      </c>
      <c r="Q80" s="340">
        <v>0.81922446750409605</v>
      </c>
    </row>
    <row r="81" spans="3:17" ht="18.75" x14ac:dyDescent="0.4">
      <c r="C81" s="2567"/>
      <c r="D81" s="391" t="s">
        <v>767</v>
      </c>
      <c r="E81" s="340">
        <v>1.3942140118508191</v>
      </c>
      <c r="F81" s="340">
        <v>1.0270455323519343</v>
      </c>
      <c r="G81" s="340">
        <v>3.0221625251846875</v>
      </c>
      <c r="H81" s="340">
        <v>2.3064250411861615</v>
      </c>
      <c r="I81" s="340">
        <v>1.6191709844559585</v>
      </c>
      <c r="J81" s="340">
        <v>2.5421035907213221</v>
      </c>
      <c r="K81" s="340">
        <v>2.1651716671821837</v>
      </c>
      <c r="L81" s="340">
        <v>2.1128886205855717</v>
      </c>
      <c r="M81" s="340">
        <v>0.88547815820543097</v>
      </c>
      <c r="N81" s="340">
        <v>3.7518037518037519</v>
      </c>
      <c r="O81" s="340">
        <v>3.3955857385398982</v>
      </c>
      <c r="P81" s="340">
        <v>2.2062879205736352</v>
      </c>
      <c r="Q81" s="340">
        <v>2.4271844660194173</v>
      </c>
    </row>
    <row r="82" spans="3:17" ht="18.75" x14ac:dyDescent="0.4">
      <c r="C82" s="2567"/>
      <c r="D82" s="391" t="s">
        <v>768</v>
      </c>
      <c r="E82" s="340">
        <v>1.5146831530139102</v>
      </c>
      <c r="F82" s="340">
        <v>1.6929681359211561</v>
      </c>
      <c r="G82" s="340">
        <v>1.7710608654584097</v>
      </c>
      <c r="H82" s="340">
        <v>1.7050052017107848</v>
      </c>
      <c r="I82" s="340">
        <v>1.6964967342437867</v>
      </c>
      <c r="J82" s="340">
        <v>1.5737161789066814</v>
      </c>
      <c r="K82" s="340">
        <v>2.1332325223449358</v>
      </c>
      <c r="L82" s="340">
        <v>1.5368716712154535</v>
      </c>
      <c r="M82" s="340">
        <v>2.2916666666666665</v>
      </c>
      <c r="N82" s="340">
        <v>1.9182076267935242</v>
      </c>
      <c r="O82" s="340">
        <v>2.111295430553461</v>
      </c>
      <c r="P82" s="340">
        <v>2.0789506249226579</v>
      </c>
      <c r="Q82" s="340">
        <v>1.8796074793731388</v>
      </c>
    </row>
    <row r="83" spans="3:17" ht="18.75" x14ac:dyDescent="0.4">
      <c r="C83" s="2567"/>
      <c r="D83" s="391" t="s">
        <v>769</v>
      </c>
      <c r="E83" s="340">
        <v>2.3196849544154934</v>
      </c>
      <c r="F83" s="340">
        <v>1.9721434734376926</v>
      </c>
      <c r="G83" s="340">
        <v>2.2706161626586852</v>
      </c>
      <c r="H83" s="340">
        <v>2.0724166399892168</v>
      </c>
      <c r="I83" s="340">
        <v>1.8145527127563057</v>
      </c>
      <c r="J83" s="340">
        <v>1.7893701739396772</v>
      </c>
      <c r="K83" s="340">
        <v>2.0405280258676171</v>
      </c>
      <c r="L83" s="340">
        <v>2.207776278670428</v>
      </c>
      <c r="M83" s="340">
        <v>2.1143551216878849</v>
      </c>
      <c r="N83" s="340">
        <v>2.1991232828512368</v>
      </c>
      <c r="O83" s="340">
        <v>1.9091913928484274</v>
      </c>
      <c r="P83" s="340">
        <v>2.0600809922253109</v>
      </c>
      <c r="Q83" s="340">
        <v>2.0138049803480413</v>
      </c>
    </row>
    <row r="84" spans="3:17" ht="18.75" x14ac:dyDescent="0.4">
      <c r="C84" s="2567"/>
      <c r="D84" s="391" t="s">
        <v>770</v>
      </c>
      <c r="E84" s="340">
        <v>1.9376089905057161</v>
      </c>
      <c r="F84" s="340">
        <v>2.2735884804850324</v>
      </c>
      <c r="G84" s="340">
        <v>2.0370370370370368</v>
      </c>
      <c r="H84" s="340">
        <v>1.9949220166848025</v>
      </c>
      <c r="I84" s="340">
        <v>2.6609898882384244</v>
      </c>
      <c r="J84" s="340">
        <v>2.0822488287350338</v>
      </c>
      <c r="K84" s="340">
        <v>2.1782841823056303</v>
      </c>
      <c r="L84" s="340">
        <v>1.6254876462938881</v>
      </c>
      <c r="M84" s="340">
        <v>1.5782828282828283</v>
      </c>
      <c r="N84" s="340">
        <v>1.9938650306748469</v>
      </c>
      <c r="O84" s="340">
        <v>2.0917376363364713</v>
      </c>
      <c r="P84" s="340">
        <v>1.485001485001485</v>
      </c>
      <c r="Q84" s="340">
        <v>2.3630187564613792</v>
      </c>
    </row>
    <row r="85" spans="3:17" ht="18.75" x14ac:dyDescent="0.4">
      <c r="C85" s="2567" t="s">
        <v>329</v>
      </c>
      <c r="D85" s="391" t="s">
        <v>329</v>
      </c>
      <c r="E85" s="340">
        <v>2.1607281403555607</v>
      </c>
      <c r="F85" s="340">
        <v>2.0078695532490247</v>
      </c>
      <c r="G85" s="340">
        <v>2.06413737893795</v>
      </c>
      <c r="H85" s="340">
        <v>2.052354103563772</v>
      </c>
      <c r="I85" s="340">
        <v>2.0989705402438661</v>
      </c>
      <c r="J85" s="340">
        <v>2.0221355478476131</v>
      </c>
      <c r="K85" s="340">
        <v>2.1135602678571428</v>
      </c>
      <c r="L85" s="340">
        <v>2.0088906987003292</v>
      </c>
      <c r="M85" s="340">
        <v>2.0236489167526384</v>
      </c>
      <c r="N85" s="340">
        <v>1.9848046449584029</v>
      </c>
      <c r="O85" s="340">
        <v>1.9550403580678417</v>
      </c>
      <c r="P85" s="340">
        <v>2.1272528841232941</v>
      </c>
      <c r="Q85" s="340">
        <v>2.2595105403440758</v>
      </c>
    </row>
    <row r="86" spans="3:17" ht="18.75" x14ac:dyDescent="0.4">
      <c r="C86" s="2567"/>
      <c r="D86" s="391" t="s">
        <v>771</v>
      </c>
      <c r="E86" s="340">
        <v>2.0826201072692001</v>
      </c>
      <c r="F86" s="340">
        <v>1.5844776783232335</v>
      </c>
      <c r="G86" s="340">
        <v>1.6499418463119744</v>
      </c>
      <c r="H86" s="340">
        <v>1.794526693584567</v>
      </c>
      <c r="I86" s="340">
        <v>1.7506371804443528</v>
      </c>
      <c r="J86" s="340">
        <v>1.9059083157789147</v>
      </c>
      <c r="K86" s="340">
        <v>2.2847698215935055</v>
      </c>
      <c r="L86" s="340">
        <v>1.8677447573113932</v>
      </c>
      <c r="M86" s="340">
        <v>2.1414755457308647</v>
      </c>
      <c r="N86" s="340">
        <v>1.9742893680030513</v>
      </c>
      <c r="O86" s="340">
        <v>2.3858512454581273</v>
      </c>
      <c r="P86" s="340">
        <v>2.2490682431564069</v>
      </c>
      <c r="Q86" s="340">
        <v>1.9312313699147741</v>
      </c>
    </row>
    <row r="87" spans="3:17" ht="18.75" x14ac:dyDescent="0.4">
      <c r="C87" s="2567"/>
      <c r="D87" s="391" t="s">
        <v>772</v>
      </c>
      <c r="E87" s="340">
        <v>2.2094057559323979</v>
      </c>
      <c r="F87" s="340">
        <v>1.7854153880488759</v>
      </c>
      <c r="G87" s="340">
        <v>2.1402254009536192</v>
      </c>
      <c r="H87" s="340">
        <v>1.7679966223348111</v>
      </c>
      <c r="I87" s="340">
        <v>2.1841354677904254</v>
      </c>
      <c r="J87" s="340">
        <v>1.9726820985342224</v>
      </c>
      <c r="K87" s="340">
        <v>1.9612590799031477</v>
      </c>
      <c r="L87" s="340">
        <v>1.6497372204284604</v>
      </c>
      <c r="M87" s="340">
        <v>2.1825533576860336</v>
      </c>
      <c r="N87" s="340">
        <v>1.8034729736692947</v>
      </c>
      <c r="O87" s="340">
        <v>1.8112751880455837</v>
      </c>
      <c r="P87" s="340">
        <v>1.9027379658001384</v>
      </c>
      <c r="Q87" s="340">
        <v>1.7505470459518599</v>
      </c>
    </row>
    <row r="88" spans="3:17" ht="18.75" x14ac:dyDescent="0.4">
      <c r="C88" s="2567"/>
      <c r="D88" s="391" t="s">
        <v>773</v>
      </c>
      <c r="E88" s="340">
        <v>0.34352456200618348</v>
      </c>
      <c r="F88" s="340">
        <v>0.33568311513930849</v>
      </c>
      <c r="G88" s="340">
        <v>0.98231827111984271</v>
      </c>
      <c r="H88" s="340">
        <v>1.598976654940838</v>
      </c>
      <c r="I88" s="340">
        <v>1.5644555694618272</v>
      </c>
      <c r="J88" s="340">
        <v>1.5234613040828764</v>
      </c>
      <c r="K88" s="340">
        <v>2.673002673002673</v>
      </c>
      <c r="L88" s="340">
        <v>2.324230098779779</v>
      </c>
      <c r="M88" s="340">
        <v>2.5619128949615715</v>
      </c>
      <c r="N88" s="340">
        <v>2.7862914460852606</v>
      </c>
      <c r="O88" s="340">
        <v>2.1810250817884405</v>
      </c>
      <c r="P88" s="340">
        <v>2.1436227224008575</v>
      </c>
      <c r="Q88" s="340">
        <v>1.321003963011889</v>
      </c>
    </row>
    <row r="89" spans="3:17" ht="18.75" x14ac:dyDescent="0.4">
      <c r="C89" s="2567"/>
      <c r="D89" s="391" t="s">
        <v>774</v>
      </c>
      <c r="E89" s="340">
        <v>2.3600809170600137</v>
      </c>
      <c r="F89" s="340">
        <v>1.7352503718393653</v>
      </c>
      <c r="G89" s="340">
        <v>2.2617124394184169</v>
      </c>
      <c r="H89" s="340">
        <v>2.5318458738824274</v>
      </c>
      <c r="I89" s="340">
        <v>1.3944840409048653</v>
      </c>
      <c r="J89" s="340">
        <v>2.4233244982961</v>
      </c>
      <c r="K89" s="340">
        <v>1.7722640673460346</v>
      </c>
      <c r="L89" s="340">
        <v>1.805184489854863</v>
      </c>
      <c r="M89" s="340">
        <v>2.120291186656301</v>
      </c>
      <c r="N89" s="340">
        <v>1.7988100179881001</v>
      </c>
      <c r="O89" s="340">
        <v>2.1694915254237288</v>
      </c>
      <c r="P89" s="340">
        <v>2.6648900732844769</v>
      </c>
      <c r="Q89" s="340">
        <v>2.2270256107945241</v>
      </c>
    </row>
    <row r="90" spans="3:17" ht="18.75" x14ac:dyDescent="0.4">
      <c r="C90" s="2567"/>
      <c r="D90" s="391" t="s">
        <v>775</v>
      </c>
      <c r="E90" s="340">
        <v>1.9616634906400627</v>
      </c>
      <c r="F90" s="340">
        <v>2.0224104946706754</v>
      </c>
      <c r="G90" s="340">
        <v>2.0205242728771204</v>
      </c>
      <c r="H90" s="340">
        <v>2.1795537104307217</v>
      </c>
      <c r="I90" s="340">
        <v>2.0763698977008</v>
      </c>
      <c r="J90" s="340">
        <v>2.1200019720948577</v>
      </c>
      <c r="K90" s="340">
        <v>2.1034515728081078</v>
      </c>
      <c r="L90" s="340">
        <v>1.8131101813110182</v>
      </c>
      <c r="M90" s="340">
        <v>2.2198061067319017</v>
      </c>
      <c r="N90" s="340">
        <v>1.854140914709518</v>
      </c>
      <c r="O90" s="340">
        <v>1.5942091430048688</v>
      </c>
      <c r="P90" s="340">
        <v>1.7241379310344827</v>
      </c>
      <c r="Q90" s="340">
        <v>1.685716635145136</v>
      </c>
    </row>
    <row r="91" spans="3:17" ht="18.75" x14ac:dyDescent="0.4">
      <c r="C91" s="2567"/>
      <c r="D91" s="391" t="s">
        <v>776</v>
      </c>
      <c r="E91" s="340">
        <v>2.6626093571700262</v>
      </c>
      <c r="F91" s="340">
        <v>2.4705083070841827</v>
      </c>
      <c r="G91" s="340">
        <v>1.6805713942740532</v>
      </c>
      <c r="H91" s="340">
        <v>2.6921051091473052</v>
      </c>
      <c r="I91" s="340">
        <v>1.6545900610486677</v>
      </c>
      <c r="J91" s="340">
        <v>1.6096802841918294</v>
      </c>
      <c r="K91" s="340">
        <v>1.8313045351718193</v>
      </c>
      <c r="L91" s="340">
        <v>1.5744725516951821</v>
      </c>
      <c r="M91" s="340">
        <v>2.3549889929862284</v>
      </c>
      <c r="N91" s="340">
        <v>2.2477522477522478</v>
      </c>
      <c r="O91" s="340">
        <v>2.0973563554775145</v>
      </c>
      <c r="P91" s="340">
        <v>2.3422562141491392</v>
      </c>
      <c r="Q91" s="340">
        <v>2.2522522522522523</v>
      </c>
    </row>
    <row r="92" spans="3:17" ht="18.75" x14ac:dyDescent="0.4">
      <c r="C92" s="2567"/>
      <c r="D92" s="391" t="s">
        <v>777</v>
      </c>
      <c r="E92" s="340">
        <v>1.7397067351503603</v>
      </c>
      <c r="F92" s="340">
        <v>1.3649136892814131</v>
      </c>
      <c r="G92" s="340">
        <v>1.8643672803542299</v>
      </c>
      <c r="H92" s="340">
        <v>2.0345113405169166</v>
      </c>
      <c r="I92" s="340">
        <v>1.5351999415161925</v>
      </c>
      <c r="J92" s="340">
        <v>1.4874628134296644</v>
      </c>
      <c r="K92" s="340">
        <v>1.8480492813141685</v>
      </c>
      <c r="L92" s="340">
        <v>2.0593901547864215</v>
      </c>
      <c r="M92" s="340">
        <v>1.420546264609027</v>
      </c>
      <c r="N92" s="340">
        <v>1.7578002385586038</v>
      </c>
      <c r="O92" s="340">
        <v>1.8335166850018336</v>
      </c>
      <c r="P92" s="340">
        <v>2.0916751329707761</v>
      </c>
      <c r="Q92" s="340">
        <v>2.106741573033708</v>
      </c>
    </row>
    <row r="93" spans="3:17" ht="18.75" x14ac:dyDescent="0.4">
      <c r="C93" s="2567"/>
      <c r="D93" s="391" t="s">
        <v>778</v>
      </c>
      <c r="E93" s="340">
        <v>2.533978346003225</v>
      </c>
      <c r="F93" s="340">
        <v>2.1240916713247624</v>
      </c>
      <c r="G93" s="340">
        <v>1.9493177387914229</v>
      </c>
      <c r="H93" s="340">
        <v>2.2093634928984742</v>
      </c>
      <c r="I93" s="340">
        <v>2.2494887525562373</v>
      </c>
      <c r="J93" s="340">
        <v>2.8786976374826287</v>
      </c>
      <c r="K93" s="340">
        <v>1.7307692307692308</v>
      </c>
      <c r="L93" s="340">
        <v>1.2149532710280375</v>
      </c>
      <c r="M93" s="340">
        <v>2.1838034576888079</v>
      </c>
      <c r="N93" s="340">
        <v>1.7706949977866313</v>
      </c>
      <c r="O93" s="340">
        <v>2.0720020720020722</v>
      </c>
      <c r="P93" s="340">
        <v>2.5346400811084826</v>
      </c>
      <c r="Q93" s="340">
        <v>2.4807740014884647</v>
      </c>
    </row>
    <row r="94" spans="3:17" ht="18.75" x14ac:dyDescent="0.4">
      <c r="C94" s="2567"/>
      <c r="D94" s="391" t="s">
        <v>779</v>
      </c>
      <c r="E94" s="340">
        <v>2.0406549078541483</v>
      </c>
      <c r="F94" s="340">
        <v>1.7115699069333863</v>
      </c>
      <c r="G94" s="340">
        <v>1.6372647353826184</v>
      </c>
      <c r="H94" s="340">
        <v>1.7710237659963437</v>
      </c>
      <c r="I94" s="340">
        <v>1.5628457623368002</v>
      </c>
      <c r="J94" s="340">
        <v>1.7514071419976738</v>
      </c>
      <c r="K94" s="340">
        <v>1.7896918897343788</v>
      </c>
      <c r="L94" s="340">
        <v>1.7432883398914181</v>
      </c>
      <c r="M94" s="340">
        <v>1.8466663448076088</v>
      </c>
      <c r="N94" s="340">
        <v>1.7668464715724934</v>
      </c>
      <c r="O94" s="340">
        <v>1.8631705709936153</v>
      </c>
      <c r="P94" s="340">
        <v>1.8758620689655172</v>
      </c>
      <c r="Q94" s="340">
        <v>2.0183801425749377</v>
      </c>
    </row>
    <row r="95" spans="3:17" ht="18.75" x14ac:dyDescent="0.4">
      <c r="C95" s="2567"/>
      <c r="D95" s="391" t="s">
        <v>780</v>
      </c>
      <c r="E95" s="340">
        <v>1.2031281331461801</v>
      </c>
      <c r="F95" s="340">
        <v>0.97694411879640475</v>
      </c>
      <c r="G95" s="340">
        <v>2.6555386949924129</v>
      </c>
      <c r="H95" s="340">
        <v>2.0325203252032522</v>
      </c>
      <c r="I95" s="340">
        <v>2.6997840172786174</v>
      </c>
      <c r="J95" s="340">
        <v>2.9767116091752759</v>
      </c>
      <c r="K95" s="340">
        <v>2.3692672194956845</v>
      </c>
      <c r="L95" s="340">
        <v>2.6307135810588624</v>
      </c>
      <c r="M95" s="340">
        <v>1.2793858947705101</v>
      </c>
      <c r="N95" s="340">
        <v>2.3313646254274167</v>
      </c>
      <c r="O95" s="340">
        <v>1.8187329493785995</v>
      </c>
      <c r="P95" s="340">
        <v>1.9171213685297153</v>
      </c>
      <c r="Q95" s="340">
        <v>2.3008340523439745</v>
      </c>
    </row>
    <row r="96" spans="3:17" ht="18.75" x14ac:dyDescent="0.4">
      <c r="C96" s="2567"/>
      <c r="D96" s="391" t="s">
        <v>781</v>
      </c>
      <c r="E96" s="340">
        <v>1.7311734883145791</v>
      </c>
      <c r="F96" s="340">
        <v>1.6849199663016006</v>
      </c>
      <c r="G96" s="340">
        <v>2.1028037383177569</v>
      </c>
      <c r="H96" s="340">
        <v>1.0236578707916288</v>
      </c>
      <c r="I96" s="340">
        <v>2.6595744680851063</v>
      </c>
      <c r="J96" s="340">
        <v>1.6165535079211122</v>
      </c>
      <c r="K96" s="340">
        <v>2.3950848693116735</v>
      </c>
      <c r="L96" s="340">
        <v>2.8317152103559873</v>
      </c>
      <c r="M96" s="340">
        <v>2.9498525073746311</v>
      </c>
      <c r="N96" s="340">
        <v>1.9140587616039813</v>
      </c>
      <c r="O96" s="340">
        <v>1.9580419580419581</v>
      </c>
      <c r="P96" s="340">
        <v>3.0914711765775595</v>
      </c>
      <c r="Q96" s="340">
        <v>2.1333333333333333</v>
      </c>
    </row>
    <row r="97" spans="3:17" ht="18.75" x14ac:dyDescent="0.4">
      <c r="C97" s="2567"/>
      <c r="D97" s="391" t="s">
        <v>782</v>
      </c>
      <c r="E97" s="340">
        <v>1.8510520145616092</v>
      </c>
      <c r="F97" s="340">
        <v>1.8606326150891304</v>
      </c>
      <c r="G97" s="340">
        <v>1.339857858557614</v>
      </c>
      <c r="H97" s="340">
        <v>1.4743407995463567</v>
      </c>
      <c r="I97" s="340">
        <v>2.3724137931034481</v>
      </c>
      <c r="J97" s="340">
        <v>1.1783610069630424</v>
      </c>
      <c r="K97" s="340">
        <v>0.88064649813510154</v>
      </c>
      <c r="L97" s="340">
        <v>2.2632399537293169</v>
      </c>
      <c r="M97" s="340">
        <v>1.9082101966924356</v>
      </c>
      <c r="N97" s="340">
        <v>1.4747859181731686</v>
      </c>
      <c r="O97" s="340">
        <v>2.7790643816581753</v>
      </c>
      <c r="P97" s="340">
        <v>2.6021804477544981</v>
      </c>
      <c r="Q97" s="340">
        <v>1.5247222827270748</v>
      </c>
    </row>
    <row r="98" spans="3:17" ht="18.75" x14ac:dyDescent="0.4">
      <c r="C98" s="2567"/>
      <c r="D98" s="391" t="s">
        <v>783</v>
      </c>
      <c r="E98" s="340">
        <v>1.7261219792865361</v>
      </c>
      <c r="F98" s="340">
        <v>0.66445182724252494</v>
      </c>
      <c r="G98" s="340">
        <v>1.5974440894568689</v>
      </c>
      <c r="H98" s="340">
        <v>1.6442297811119104</v>
      </c>
      <c r="I98" s="340">
        <v>1.1900039666798889</v>
      </c>
      <c r="J98" s="340">
        <v>1.3375370211139772</v>
      </c>
      <c r="K98" s="340">
        <v>1.6447368421052631</v>
      </c>
      <c r="L98" s="340">
        <v>1.1418533157663593</v>
      </c>
      <c r="M98" s="340">
        <v>1.52297148658939</v>
      </c>
      <c r="N98" s="340">
        <v>1.3863969988582614</v>
      </c>
      <c r="O98" s="340">
        <v>1.1028832519300455</v>
      </c>
      <c r="P98" s="340">
        <v>1.7420283268954024</v>
      </c>
      <c r="Q98" s="340">
        <v>1.6071298122580175</v>
      </c>
    </row>
    <row r="99" spans="3:17" ht="18.75" x14ac:dyDescent="0.4">
      <c r="C99" s="2567"/>
      <c r="D99" s="391" t="s">
        <v>784</v>
      </c>
      <c r="E99" s="340">
        <v>1.5850372483753368</v>
      </c>
      <c r="F99" s="340">
        <v>2.0083423451259077</v>
      </c>
      <c r="G99" s="340">
        <v>2.253267237494367</v>
      </c>
      <c r="H99" s="340">
        <v>1.4643432420559379</v>
      </c>
      <c r="I99" s="340">
        <v>1.9977168949771689</v>
      </c>
      <c r="J99" s="340">
        <v>1.941747572815534</v>
      </c>
      <c r="K99" s="340">
        <v>1.3435442697836895</v>
      </c>
      <c r="L99" s="340">
        <v>1.1755485893416928</v>
      </c>
      <c r="M99" s="340">
        <v>2.4160732451678535</v>
      </c>
      <c r="N99" s="340">
        <v>1.8557466287269577</v>
      </c>
      <c r="O99" s="340">
        <v>1.6879672052085846</v>
      </c>
      <c r="P99" s="340">
        <v>1.638001638001638</v>
      </c>
      <c r="Q99" s="340">
        <v>2.9545454545454546</v>
      </c>
    </row>
    <row r="100" spans="3:17" ht="18.75" x14ac:dyDescent="0.4">
      <c r="C100" s="2567"/>
      <c r="D100" s="393" t="s">
        <v>785</v>
      </c>
      <c r="E100" s="394" t="s">
        <v>786</v>
      </c>
      <c r="F100" s="394" t="s">
        <v>786</v>
      </c>
      <c r="G100" s="394" t="s">
        <v>786</v>
      </c>
      <c r="H100" s="394" t="s">
        <v>786</v>
      </c>
      <c r="I100" s="394" t="s">
        <v>786</v>
      </c>
      <c r="J100" s="394" t="s">
        <v>786</v>
      </c>
      <c r="K100" s="394" t="s">
        <v>786</v>
      </c>
      <c r="L100" s="394" t="s">
        <v>786</v>
      </c>
      <c r="M100" s="394" t="s">
        <v>786</v>
      </c>
      <c r="N100" s="340">
        <v>0.51308363263211898</v>
      </c>
      <c r="O100" s="340">
        <v>1.1647254575707153</v>
      </c>
      <c r="P100" s="340">
        <v>1.1074197120708749</v>
      </c>
      <c r="Q100" s="340">
        <v>0.60368246302444906</v>
      </c>
    </row>
    <row r="101" spans="3:17" ht="18.75" x14ac:dyDescent="0.4">
      <c r="C101" s="2567" t="s">
        <v>330</v>
      </c>
      <c r="D101" s="391" t="s">
        <v>330</v>
      </c>
      <c r="E101" s="340">
        <v>2.2547570803942776</v>
      </c>
      <c r="F101" s="340">
        <v>2.3513304363354961</v>
      </c>
      <c r="G101" s="340">
        <v>2.1486643437862951</v>
      </c>
      <c r="H101" s="340">
        <v>2.172647363712529</v>
      </c>
      <c r="I101" s="340">
        <v>1.9991947687736886</v>
      </c>
      <c r="J101" s="340">
        <v>1.9506380211860963</v>
      </c>
      <c r="K101" s="340">
        <v>1.9260197351063268</v>
      </c>
      <c r="L101" s="340">
        <v>2.2040058773490063</v>
      </c>
      <c r="M101" s="340">
        <v>1.9922579343563622</v>
      </c>
      <c r="N101" s="340">
        <v>1.9120930634198092</v>
      </c>
      <c r="O101" s="340">
        <v>2.2710251020753303</v>
      </c>
      <c r="P101" s="340">
        <v>2.1141900157970377</v>
      </c>
      <c r="Q101" s="340">
        <v>2.5498567167670623</v>
      </c>
    </row>
    <row r="102" spans="3:17" ht="18.75" x14ac:dyDescent="0.4">
      <c r="C102" s="2567"/>
      <c r="D102" s="391" t="s">
        <v>787</v>
      </c>
      <c r="E102" s="340">
        <v>1.8183355886332884</v>
      </c>
      <c r="F102" s="340">
        <v>2.1459227467811157</v>
      </c>
      <c r="G102" s="340">
        <v>2.0517359295168363</v>
      </c>
      <c r="H102" s="340">
        <v>1.808247179527497</v>
      </c>
      <c r="I102" s="340">
        <v>2.2660931018589645</v>
      </c>
      <c r="J102" s="340">
        <v>2.0596936673781969</v>
      </c>
      <c r="K102" s="340">
        <v>2.0047384727537816</v>
      </c>
      <c r="L102" s="340">
        <v>2.3494233233660826</v>
      </c>
      <c r="M102" s="340">
        <v>2.1586240512499129</v>
      </c>
      <c r="N102" s="340">
        <v>2.7918695311702018</v>
      </c>
      <c r="O102" s="340">
        <v>2.2000733357778595</v>
      </c>
      <c r="P102" s="340">
        <v>2.1239053718468175</v>
      </c>
      <c r="Q102" s="340">
        <v>2.3737730159748507</v>
      </c>
    </row>
    <row r="103" spans="3:17" ht="18.75" x14ac:dyDescent="0.4">
      <c r="C103" s="2567"/>
      <c r="D103" s="391" t="s">
        <v>788</v>
      </c>
      <c r="E103" s="340">
        <v>1.9366157070925702</v>
      </c>
      <c r="F103" s="340">
        <v>1.6620130301821567</v>
      </c>
      <c r="G103" s="340">
        <v>1.6578392111269</v>
      </c>
      <c r="H103" s="340">
        <v>2.0348654261679497</v>
      </c>
      <c r="I103" s="340">
        <v>1.7366076901074654</v>
      </c>
      <c r="J103" s="340">
        <v>1.7678372795169235</v>
      </c>
      <c r="K103" s="340">
        <v>2.2376974864484271</v>
      </c>
      <c r="L103" s="340">
        <v>2.1432197176214021</v>
      </c>
      <c r="M103" s="340">
        <v>1.9084319662354345</v>
      </c>
      <c r="N103" s="340">
        <v>1.8088688301454259</v>
      </c>
      <c r="O103" s="340">
        <v>1.8722332067680354</v>
      </c>
      <c r="P103" s="340">
        <v>2.1653577136572202</v>
      </c>
      <c r="Q103" s="340">
        <v>1.9442096365173287</v>
      </c>
    </row>
    <row r="104" spans="3:17" ht="18.75" x14ac:dyDescent="0.4">
      <c r="C104" s="2567"/>
      <c r="D104" s="391" t="s">
        <v>789</v>
      </c>
      <c r="E104" s="340">
        <v>2.1638330757341575</v>
      </c>
      <c r="F104" s="340">
        <v>1.8281535648994516</v>
      </c>
      <c r="G104" s="340">
        <v>1.4954389113204727</v>
      </c>
      <c r="H104" s="340">
        <v>2.0609450905343736</v>
      </c>
      <c r="I104" s="340">
        <v>1.7386264850767894</v>
      </c>
      <c r="J104" s="340">
        <v>2.1340162185232612</v>
      </c>
      <c r="K104" s="340">
        <v>2.6458710486004735</v>
      </c>
      <c r="L104" s="340">
        <v>1.5021166188720469</v>
      </c>
      <c r="M104" s="340">
        <v>2.8172793131204719</v>
      </c>
      <c r="N104" s="340">
        <v>2.5006580679126085</v>
      </c>
      <c r="O104" s="340">
        <v>1.423579655752556</v>
      </c>
      <c r="P104" s="340">
        <v>2.5371051630090067</v>
      </c>
      <c r="Q104" s="340">
        <v>2.3637720826076141</v>
      </c>
    </row>
    <row r="105" spans="3:17" ht="18.75" x14ac:dyDescent="0.4">
      <c r="C105" s="2567"/>
      <c r="D105" s="391" t="s">
        <v>790</v>
      </c>
      <c r="E105" s="340">
        <v>2.1580879984539072</v>
      </c>
      <c r="F105" s="340">
        <v>2.1958438086751744</v>
      </c>
      <c r="G105" s="340">
        <v>2.1007744646160602</v>
      </c>
      <c r="H105" s="340">
        <v>2.4154589371980677</v>
      </c>
      <c r="I105" s="340">
        <v>2.2006235099944984</v>
      </c>
      <c r="J105" s="340">
        <v>2.0171001926782277</v>
      </c>
      <c r="K105" s="340">
        <v>2.1318173743116007</v>
      </c>
      <c r="L105" s="340">
        <v>2.2483721201857096</v>
      </c>
      <c r="M105" s="340">
        <v>2.1042315231177215</v>
      </c>
      <c r="N105" s="340">
        <v>2.245977142207312</v>
      </c>
      <c r="O105" s="340">
        <v>1.8249199842776125</v>
      </c>
      <c r="P105" s="340">
        <v>2.6166351185836767</v>
      </c>
      <c r="Q105" s="340">
        <v>2.1546961325966851</v>
      </c>
    </row>
    <row r="106" spans="3:17" ht="18.75" x14ac:dyDescent="0.4">
      <c r="C106" s="2567"/>
      <c r="D106" s="391" t="s">
        <v>791</v>
      </c>
      <c r="E106" s="340">
        <v>2.197802197802198</v>
      </c>
      <c r="F106" s="340">
        <v>3.1619237809951741</v>
      </c>
      <c r="G106" s="340">
        <v>2.6118184786157363</v>
      </c>
      <c r="H106" s="340">
        <v>2.084669660038486</v>
      </c>
      <c r="I106" s="340">
        <v>2.5224657102317516</v>
      </c>
      <c r="J106" s="340">
        <v>2.6279177616324008</v>
      </c>
      <c r="K106" s="340">
        <v>2.4129090634896695</v>
      </c>
      <c r="L106" s="340">
        <v>2.0661157024793391</v>
      </c>
      <c r="M106" s="340">
        <v>1.1552346570397112</v>
      </c>
      <c r="N106" s="340">
        <v>2.2634035931532042</v>
      </c>
      <c r="O106" s="340">
        <v>2.773540424351685</v>
      </c>
      <c r="P106" s="340">
        <v>1.9021739130434783</v>
      </c>
      <c r="Q106" s="340">
        <v>3.1970161182895964</v>
      </c>
    </row>
    <row r="107" spans="3:17" ht="18.75" x14ac:dyDescent="0.4">
      <c r="C107" s="2567"/>
      <c r="D107" s="391" t="s">
        <v>792</v>
      </c>
      <c r="E107" s="340">
        <v>2.4787535410764874</v>
      </c>
      <c r="F107" s="340">
        <v>1.4866204162537164</v>
      </c>
      <c r="G107" s="340">
        <v>2.6157721371827165</v>
      </c>
      <c r="H107" s="340">
        <v>1.9463565155471161</v>
      </c>
      <c r="I107" s="340">
        <v>2.278010227801023</v>
      </c>
      <c r="J107" s="340">
        <v>1.954367784746841</v>
      </c>
      <c r="K107" s="340">
        <v>1.64349486963088</v>
      </c>
      <c r="L107" s="340">
        <v>2.264808362369338</v>
      </c>
      <c r="M107" s="340">
        <v>2.3079882036158481</v>
      </c>
      <c r="N107" s="340">
        <v>2.2225017821948252</v>
      </c>
      <c r="O107" s="340">
        <v>2.3884038873332236</v>
      </c>
      <c r="P107" s="340">
        <v>2.3044269254093392</v>
      </c>
      <c r="Q107" s="340">
        <v>2.1466905187835419</v>
      </c>
    </row>
    <row r="108" spans="3:17" ht="18.75" x14ac:dyDescent="0.4">
      <c r="C108" s="2567"/>
      <c r="D108" s="391" t="s">
        <v>793</v>
      </c>
      <c r="E108" s="340">
        <v>2.3122039251071511</v>
      </c>
      <c r="F108" s="340">
        <v>1.8737944337282999</v>
      </c>
      <c r="G108" s="340">
        <v>1.7206151199053663</v>
      </c>
      <c r="H108" s="340">
        <v>2.1029388570527314</v>
      </c>
      <c r="I108" s="340">
        <v>2.3124357656731758</v>
      </c>
      <c r="J108" s="340">
        <v>2.1551724137931032</v>
      </c>
      <c r="K108" s="340">
        <v>1.5155218772916157</v>
      </c>
      <c r="L108" s="340">
        <v>2.3447219829648773</v>
      </c>
      <c r="M108" s="340">
        <v>2.0158454830997141</v>
      </c>
      <c r="N108" s="340">
        <v>2.5252525252525255</v>
      </c>
      <c r="O108" s="340">
        <v>2.1601188065343591</v>
      </c>
      <c r="P108" s="340">
        <v>2.4266490183101697</v>
      </c>
      <c r="Q108" s="340">
        <v>2.5554400554400551</v>
      </c>
    </row>
    <row r="109" spans="3:17" ht="18.75" x14ac:dyDescent="0.4">
      <c r="C109" s="2570" t="s">
        <v>331</v>
      </c>
      <c r="D109" s="391" t="s">
        <v>331</v>
      </c>
      <c r="E109" s="340">
        <v>2.0243259334864336</v>
      </c>
      <c r="F109" s="340">
        <v>2.1471632669914942</v>
      </c>
      <c r="G109" s="340">
        <v>1.7939805545322034</v>
      </c>
      <c r="H109" s="340">
        <v>1.7448200654307524</v>
      </c>
      <c r="I109" s="340">
        <v>1.9997879012831972</v>
      </c>
      <c r="J109" s="340">
        <v>1.7497684130041613</v>
      </c>
      <c r="K109" s="340">
        <v>2.0319677174706294</v>
      </c>
      <c r="L109" s="340">
        <v>1.970457118101653</v>
      </c>
      <c r="M109" s="340">
        <v>1.9272563250912371</v>
      </c>
      <c r="N109" s="340">
        <v>2.0179881593542439</v>
      </c>
      <c r="O109" s="340">
        <v>1.9092953915363289</v>
      </c>
      <c r="P109" s="340">
        <v>2.0006970170252862</v>
      </c>
      <c r="Q109" s="340">
        <v>1.7866714311238163</v>
      </c>
    </row>
    <row r="110" spans="3:17" ht="18.75" x14ac:dyDescent="0.4">
      <c r="C110" s="2570"/>
      <c r="D110" s="391" t="s">
        <v>794</v>
      </c>
      <c r="E110" s="340">
        <v>2.1105248542071644</v>
      </c>
      <c r="F110" s="340">
        <v>1.9389238972370335</v>
      </c>
      <c r="G110" s="340">
        <v>1.9301998017632638</v>
      </c>
      <c r="H110" s="340">
        <v>1.6210739614994933</v>
      </c>
      <c r="I110" s="340">
        <v>1.672899035622909</v>
      </c>
      <c r="J110" s="340">
        <v>1.8123718223875613</v>
      </c>
      <c r="K110" s="340">
        <v>1.2026458208057726</v>
      </c>
      <c r="L110" s="340">
        <v>1.8469300418937789</v>
      </c>
      <c r="M110" s="340">
        <v>2.1528998242530757</v>
      </c>
      <c r="N110" s="340">
        <v>1.7567162260593856</v>
      </c>
      <c r="O110" s="340">
        <v>2.467896432007362</v>
      </c>
      <c r="P110" s="340">
        <v>2.0541473234460375</v>
      </c>
      <c r="Q110" s="340">
        <v>2.3456141060379343</v>
      </c>
    </row>
    <row r="111" spans="3:17" ht="18.75" x14ac:dyDescent="0.4">
      <c r="C111" s="2570"/>
      <c r="D111" s="391" t="s">
        <v>795</v>
      </c>
      <c r="E111" s="340">
        <v>2.1951801479360533</v>
      </c>
      <c r="F111" s="340">
        <v>1.2135922330097086</v>
      </c>
      <c r="G111" s="340">
        <v>2.5052382253803405</v>
      </c>
      <c r="H111" s="340">
        <v>2.0937277263007839</v>
      </c>
      <c r="I111" s="340">
        <v>1.3499390350113221</v>
      </c>
      <c r="J111" s="340">
        <v>1.9118021921998469</v>
      </c>
      <c r="K111" s="340">
        <v>2.495321272613849</v>
      </c>
      <c r="L111" s="340">
        <v>2.3270055113288426</v>
      </c>
      <c r="M111" s="340">
        <v>2.1271472146411945</v>
      </c>
      <c r="N111" s="340">
        <v>2.3270489863532382</v>
      </c>
      <c r="O111" s="340">
        <v>2.1710475304334342</v>
      </c>
      <c r="P111" s="340">
        <v>2.0275439938791124</v>
      </c>
      <c r="Q111" s="340">
        <v>1.8918612130614099</v>
      </c>
    </row>
    <row r="112" spans="3:17" ht="18.75" x14ac:dyDescent="0.4">
      <c r="C112" s="2570"/>
      <c r="D112" s="391" t="s">
        <v>796</v>
      </c>
      <c r="E112" s="340">
        <v>1.8769943064506036</v>
      </c>
      <c r="F112" s="340">
        <v>1.2751229582852632</v>
      </c>
      <c r="G112" s="340">
        <v>2.1173979531819787</v>
      </c>
      <c r="H112" s="340">
        <v>1.9425241387190768</v>
      </c>
      <c r="I112" s="340">
        <v>1.665463831677122</v>
      </c>
      <c r="J112" s="340">
        <v>1.8840501695645151</v>
      </c>
      <c r="K112" s="340">
        <v>2.193096966215863</v>
      </c>
      <c r="L112" s="340">
        <v>1.8304774495347536</v>
      </c>
      <c r="M112" s="340">
        <v>1.9831432821021318</v>
      </c>
      <c r="N112" s="340">
        <v>1.7891682785299805</v>
      </c>
      <c r="O112" s="340">
        <v>2.0765491528623343</v>
      </c>
      <c r="P112" s="340">
        <v>1.9419271314962085</v>
      </c>
      <c r="Q112" s="340">
        <v>2.4041732819233386</v>
      </c>
    </row>
    <row r="113" spans="3:17" ht="18.75" x14ac:dyDescent="0.4">
      <c r="C113" s="2570"/>
      <c r="D113" s="391" t="s">
        <v>797</v>
      </c>
      <c r="E113" s="340">
        <v>2.2724110745258082</v>
      </c>
      <c r="F113" s="340">
        <v>1.4416362571518673</v>
      </c>
      <c r="G113" s="340">
        <v>1.8363064008394543</v>
      </c>
      <c r="H113" s="340">
        <v>1.8299429738701167</v>
      </c>
      <c r="I113" s="340">
        <v>2.0707363538474279</v>
      </c>
      <c r="J113" s="340">
        <v>2.2521616730343856</v>
      </c>
      <c r="K113" s="340">
        <v>2.3089265448283958</v>
      </c>
      <c r="L113" s="340">
        <v>1.834862385321101</v>
      </c>
      <c r="M113" s="340">
        <v>2.3933285965371529</v>
      </c>
      <c r="N113" s="340">
        <v>2.3038104293132449</v>
      </c>
      <c r="O113" s="340">
        <v>2.43378668575519</v>
      </c>
      <c r="P113" s="340">
        <v>2.778461646678156</v>
      </c>
      <c r="Q113" s="340">
        <v>2.1468887426849959</v>
      </c>
    </row>
    <row r="114" spans="3:17" ht="18.75" x14ac:dyDescent="0.4">
      <c r="C114" s="2570"/>
      <c r="D114" s="391" t="s">
        <v>798</v>
      </c>
      <c r="E114" s="340">
        <v>2.0031628887717448</v>
      </c>
      <c r="F114" s="340">
        <v>1.4406256431364479</v>
      </c>
      <c r="G114" s="340">
        <v>2.2039671408535364</v>
      </c>
      <c r="H114" s="340">
        <v>1.5646391550948562</v>
      </c>
      <c r="I114" s="340">
        <v>2.1948659223208318</v>
      </c>
      <c r="J114" s="340">
        <v>2.138142604815469</v>
      </c>
      <c r="K114" s="340">
        <v>1.4474398407816176</v>
      </c>
      <c r="L114" s="340">
        <v>1.4134275618374557</v>
      </c>
      <c r="M114" s="340">
        <v>1.8131583491624934</v>
      </c>
      <c r="N114" s="340">
        <v>1.6041877744005404</v>
      </c>
      <c r="O114" s="340">
        <v>2.3142408463509381</v>
      </c>
      <c r="P114" s="340">
        <v>2.2010271460014672</v>
      </c>
      <c r="Q114" s="340">
        <v>2.0932292085983417</v>
      </c>
    </row>
    <row r="115" spans="3:17" ht="18.75" x14ac:dyDescent="0.4">
      <c r="C115" s="2570"/>
      <c r="D115" s="391" t="s">
        <v>799</v>
      </c>
      <c r="E115" s="340">
        <v>2.2433596554199569</v>
      </c>
      <c r="F115" s="340">
        <v>1.9311797752808988</v>
      </c>
      <c r="G115" s="340">
        <v>1.7132088401576153</v>
      </c>
      <c r="H115" s="340">
        <v>2.0962602716753311</v>
      </c>
      <c r="I115" s="340">
        <v>0.90252707581227443</v>
      </c>
      <c r="J115" s="340">
        <v>1.8425058078987422</v>
      </c>
      <c r="K115" s="340">
        <v>2.1101992966002343</v>
      </c>
      <c r="L115" s="340">
        <v>1.530221882172915</v>
      </c>
      <c r="M115" s="340">
        <v>1.7256902761104442</v>
      </c>
      <c r="N115" s="340">
        <v>1.7647058823529413</v>
      </c>
      <c r="O115" s="340">
        <v>1.3703570140641903</v>
      </c>
      <c r="P115" s="340">
        <v>2.0574671869457255</v>
      </c>
      <c r="Q115" s="340">
        <v>1.8174192646442053</v>
      </c>
    </row>
    <row r="116" spans="3:17" ht="18.75" x14ac:dyDescent="0.4">
      <c r="C116" s="2570"/>
      <c r="D116" s="391" t="s">
        <v>800</v>
      </c>
      <c r="E116" s="340">
        <v>1.9914368216668328</v>
      </c>
      <c r="F116" s="340">
        <v>1.6514474451136585</v>
      </c>
      <c r="G116" s="340">
        <v>2.5551244440238476</v>
      </c>
      <c r="H116" s="340">
        <v>1.9404915912031049</v>
      </c>
      <c r="I116" s="340">
        <v>2.1643069708720355</v>
      </c>
      <c r="J116" s="340">
        <v>2.6366672525927228</v>
      </c>
      <c r="K116" s="340">
        <v>1.3733905579399142</v>
      </c>
      <c r="L116" s="340">
        <v>1.7655960988733816</v>
      </c>
      <c r="M116" s="340">
        <v>1.8973766705164163</v>
      </c>
      <c r="N116" s="340">
        <v>1.6983420946219168</v>
      </c>
      <c r="O116" s="340">
        <v>1.8248175182481752</v>
      </c>
      <c r="P116" s="340">
        <v>2.0337922403003756</v>
      </c>
      <c r="Q116" s="340">
        <v>1.9312475859405176</v>
      </c>
    </row>
    <row r="117" spans="3:17" ht="18.75" x14ac:dyDescent="0.4">
      <c r="C117" s="2570"/>
      <c r="D117" s="391" t="s">
        <v>801</v>
      </c>
      <c r="E117" s="340">
        <v>2.2052337547780065</v>
      </c>
      <c r="F117" s="340">
        <v>2.2976951245781576</v>
      </c>
      <c r="G117" s="340">
        <v>2.3127058658630597</v>
      </c>
      <c r="H117" s="340">
        <v>1.782164644595243</v>
      </c>
      <c r="I117" s="340">
        <v>2.0105891026070641</v>
      </c>
      <c r="J117" s="340">
        <v>0.85011770860580693</v>
      </c>
      <c r="K117" s="340">
        <v>1.5347231103721704</v>
      </c>
      <c r="L117" s="340">
        <v>1.6941707975152163</v>
      </c>
      <c r="M117" s="340">
        <v>1.9105139898927648</v>
      </c>
      <c r="N117" s="340">
        <v>1.7545982575024202</v>
      </c>
      <c r="O117" s="340">
        <v>1.6643880401830826</v>
      </c>
      <c r="P117" s="340">
        <v>1.5290519877675841</v>
      </c>
      <c r="Q117" s="340">
        <v>1.8650192330108404</v>
      </c>
    </row>
    <row r="118" spans="3:17" ht="18.75" x14ac:dyDescent="0.4">
      <c r="C118" s="2570"/>
      <c r="D118" s="391" t="s">
        <v>802</v>
      </c>
      <c r="E118" s="340">
        <v>1.6095859787176965</v>
      </c>
      <c r="F118" s="340">
        <v>1.7519870096572943</v>
      </c>
      <c r="G118" s="340">
        <v>1.5928769808854761</v>
      </c>
      <c r="H118" s="340">
        <v>2.0370588004857599</v>
      </c>
      <c r="I118" s="340">
        <v>1.5794223826714799</v>
      </c>
      <c r="J118" s="340">
        <v>1.4417012074247613</v>
      </c>
      <c r="K118" s="340">
        <v>1.5837493544499914</v>
      </c>
      <c r="L118" s="340">
        <v>1.9165317384264615</v>
      </c>
      <c r="M118" s="340">
        <v>1.8124582657636175</v>
      </c>
      <c r="N118" s="340">
        <v>1.8056065613906231</v>
      </c>
      <c r="O118" s="340">
        <v>1.7700159301433713</v>
      </c>
      <c r="P118" s="340">
        <v>1.8491650308668317</v>
      </c>
      <c r="Q118" s="340">
        <v>2.2826654932482606</v>
      </c>
    </row>
    <row r="119" spans="3:17" ht="18.75" x14ac:dyDescent="0.4">
      <c r="C119" s="2570" t="s">
        <v>332</v>
      </c>
      <c r="D119" s="391" t="s">
        <v>803</v>
      </c>
      <c r="E119" s="340">
        <v>2.7680311890838207</v>
      </c>
      <c r="F119" s="340">
        <v>2.3563734290843805</v>
      </c>
      <c r="G119" s="340">
        <v>2.1159846501452497</v>
      </c>
      <c r="H119" s="340">
        <v>2.0020711080428026</v>
      </c>
      <c r="I119" s="340">
        <v>2.1604733098451105</v>
      </c>
      <c r="J119" s="340">
        <v>2.1406434710374134</v>
      </c>
      <c r="K119" s="340">
        <v>2.2650749923477198</v>
      </c>
      <c r="L119" s="340">
        <v>1.9451812555260832</v>
      </c>
      <c r="M119" s="340">
        <v>1.9349514839370572</v>
      </c>
      <c r="N119" s="340">
        <v>1.9507638202000219</v>
      </c>
      <c r="O119" s="340">
        <v>2.2587760091413998</v>
      </c>
      <c r="P119" s="340">
        <v>1.8614752191111454</v>
      </c>
      <c r="Q119" s="340">
        <v>2.1933694693054333</v>
      </c>
    </row>
    <row r="120" spans="3:17" ht="18.75" x14ac:dyDescent="0.4">
      <c r="C120" s="2570"/>
      <c r="D120" s="391" t="s">
        <v>804</v>
      </c>
      <c r="E120" s="340">
        <v>2.7188447138527367</v>
      </c>
      <c r="F120" s="340">
        <v>2.0894093065772865</v>
      </c>
      <c r="G120" s="340">
        <v>3.0125594025797691</v>
      </c>
      <c r="H120" s="340">
        <v>1.8653622948101476</v>
      </c>
      <c r="I120" s="340">
        <v>1.7008180124726655</v>
      </c>
      <c r="J120" s="340">
        <v>2.3685457129322596</v>
      </c>
      <c r="K120" s="340">
        <v>1.9196068645141475</v>
      </c>
      <c r="L120" s="340">
        <v>2.022850721108822</v>
      </c>
      <c r="M120" s="340">
        <v>2.3055809698078682</v>
      </c>
      <c r="N120" s="340">
        <v>2.3233370268434785</v>
      </c>
      <c r="O120" s="340">
        <v>2.6558568632932626</v>
      </c>
      <c r="P120" s="340">
        <v>1.8876990664470072</v>
      </c>
      <c r="Q120" s="340">
        <v>2.127947037762616</v>
      </c>
    </row>
    <row r="121" spans="3:17" ht="18.75" x14ac:dyDescent="0.4">
      <c r="C121" s="2570"/>
      <c r="D121" s="391" t="s">
        <v>805</v>
      </c>
      <c r="E121" s="340">
        <v>2.2150624244865083</v>
      </c>
      <c r="F121" s="340">
        <v>2.2236092689396898</v>
      </c>
      <c r="G121" s="340">
        <v>2.4512576837500473</v>
      </c>
      <c r="H121" s="340">
        <v>2.7070529704419082</v>
      </c>
      <c r="I121" s="340">
        <v>2.2347557731190806</v>
      </c>
      <c r="J121" s="340">
        <v>1.8550963619499123</v>
      </c>
      <c r="K121" s="340">
        <v>2.3586472659623947</v>
      </c>
      <c r="L121" s="340">
        <v>2.8700419219606577</v>
      </c>
      <c r="M121" s="340">
        <v>2.225844880556775</v>
      </c>
      <c r="N121" s="340">
        <v>2.3468454739408715</v>
      </c>
      <c r="O121" s="340">
        <v>2.6111210017209658</v>
      </c>
      <c r="P121" s="340">
        <v>2.3830974454357872</v>
      </c>
      <c r="Q121" s="340">
        <v>2.2246941045606228</v>
      </c>
    </row>
    <row r="122" spans="3:17" ht="18.75" x14ac:dyDescent="0.4">
      <c r="C122" s="2570"/>
      <c r="D122" s="391" t="s">
        <v>806</v>
      </c>
      <c r="E122" s="340">
        <v>3.590441995790516</v>
      </c>
      <c r="F122" s="340">
        <v>2.4032684450853159</v>
      </c>
      <c r="G122" s="340">
        <v>2.2139361454206479</v>
      </c>
      <c r="H122" s="340">
        <v>2.0391979154865756</v>
      </c>
      <c r="I122" s="340">
        <v>2.9735682819383262</v>
      </c>
      <c r="J122" s="340">
        <v>2.672367717797969</v>
      </c>
      <c r="K122" s="340">
        <v>1.5518311607697084</v>
      </c>
      <c r="L122" s="340">
        <v>2.1105527638190957</v>
      </c>
      <c r="M122" s="340">
        <v>1.7597028057483626</v>
      </c>
      <c r="N122" s="340">
        <v>1.9986675549633579</v>
      </c>
      <c r="O122" s="340">
        <v>3.4294188525349893</v>
      </c>
      <c r="P122" s="340">
        <v>1.9868147746771427</v>
      </c>
      <c r="Q122" s="340">
        <v>1.4995148628384933</v>
      </c>
    </row>
    <row r="123" spans="3:17" ht="18.75" x14ac:dyDescent="0.4">
      <c r="C123" s="2570"/>
      <c r="D123" s="391" t="s">
        <v>807</v>
      </c>
      <c r="E123" s="340">
        <v>2.4453109510276914</v>
      </c>
      <c r="F123" s="340">
        <v>2.1616123084747918</v>
      </c>
      <c r="G123" s="340">
        <v>1.8935923278968907</v>
      </c>
      <c r="H123" s="340">
        <v>1.8261074458058437</v>
      </c>
      <c r="I123" s="340">
        <v>2.2166647720813915</v>
      </c>
      <c r="J123" s="340">
        <v>2.0802540099633218</v>
      </c>
      <c r="K123" s="340">
        <v>1.9990530801199431</v>
      </c>
      <c r="L123" s="340">
        <v>2.6405321687909411</v>
      </c>
      <c r="M123" s="340">
        <v>2.0145440251572326</v>
      </c>
      <c r="N123" s="340">
        <v>2.378234398782344</v>
      </c>
      <c r="O123" s="340">
        <v>2.4430718170922834</v>
      </c>
      <c r="P123" s="340">
        <v>2.5961237187234234</v>
      </c>
      <c r="Q123" s="340">
        <v>2.6573731213243299</v>
      </c>
    </row>
    <row r="124" spans="3:17" ht="18.75" x14ac:dyDescent="0.4">
      <c r="C124" s="2570"/>
      <c r="D124" s="391" t="s">
        <v>808</v>
      </c>
      <c r="E124" s="340">
        <v>2.7368235190253376</v>
      </c>
      <c r="F124" s="340">
        <v>2.3199862519333219</v>
      </c>
      <c r="G124" s="340">
        <v>2.0046775810223854</v>
      </c>
      <c r="H124" s="340">
        <v>2.4420024420024422</v>
      </c>
      <c r="I124" s="340">
        <v>2.378686964795433</v>
      </c>
      <c r="J124" s="340">
        <v>2.7756360832690823</v>
      </c>
      <c r="K124" s="340">
        <v>2.4748762561871906</v>
      </c>
      <c r="L124" s="340">
        <v>2.2677395757132404</v>
      </c>
      <c r="M124" s="340">
        <v>2.6458810068649887</v>
      </c>
      <c r="N124" s="340">
        <v>2.3747991897743939</v>
      </c>
      <c r="O124" s="340">
        <v>2.7326137450471379</v>
      </c>
      <c r="P124" s="340">
        <v>2.2754651318431267</v>
      </c>
      <c r="Q124" s="340">
        <v>2.6276029691913552</v>
      </c>
    </row>
    <row r="125" spans="3:17" ht="18.75" x14ac:dyDescent="0.4">
      <c r="C125" s="2570"/>
      <c r="D125" s="391" t="s">
        <v>809</v>
      </c>
      <c r="E125" s="340">
        <v>2.9826464208242949</v>
      </c>
      <c r="F125" s="340">
        <v>2.2618414050026607</v>
      </c>
      <c r="G125" s="340">
        <v>1.8245796950345365</v>
      </c>
      <c r="H125" s="340">
        <v>2.6840490797546015</v>
      </c>
      <c r="I125" s="340">
        <v>1.5052684395383844</v>
      </c>
      <c r="J125" s="340">
        <v>3.0686142138210384</v>
      </c>
      <c r="K125" s="340">
        <v>2.1559468199784404</v>
      </c>
      <c r="L125" s="340">
        <v>2.9325513196480939</v>
      </c>
      <c r="M125" s="340">
        <v>1.7239397770371223</v>
      </c>
      <c r="N125" s="340">
        <v>2.7045300878972278</v>
      </c>
      <c r="O125" s="340">
        <v>2.2101889711570339</v>
      </c>
      <c r="P125" s="340">
        <v>2.2737115634473799</v>
      </c>
      <c r="Q125" s="340">
        <v>3.4035311635822163</v>
      </c>
    </row>
    <row r="126" spans="3:17" ht="18.75" x14ac:dyDescent="0.4">
      <c r="C126" s="2570"/>
      <c r="D126" s="391" t="s">
        <v>810</v>
      </c>
      <c r="E126" s="340">
        <v>1.6439643024894317</v>
      </c>
      <c r="F126" s="340">
        <v>1.735106998264893</v>
      </c>
      <c r="G126" s="340">
        <v>2.2735023303398885</v>
      </c>
      <c r="H126" s="340">
        <v>2.2381378692927485</v>
      </c>
      <c r="I126" s="340">
        <v>2.7505776213004731</v>
      </c>
      <c r="J126" s="340">
        <v>2.0522791099589544</v>
      </c>
      <c r="K126" s="340">
        <v>1.3755158184319121</v>
      </c>
      <c r="L126" s="340">
        <v>1.9754626741526302</v>
      </c>
      <c r="M126" s="340">
        <v>2.6582149064512834</v>
      </c>
      <c r="N126" s="340">
        <v>1.2063938876043028</v>
      </c>
      <c r="O126" s="340">
        <v>1.5827480462953805</v>
      </c>
      <c r="P126" s="340">
        <v>2.1388294769589731</v>
      </c>
      <c r="Q126" s="340">
        <v>2.2942357327215372</v>
      </c>
    </row>
    <row r="127" spans="3:17" ht="18.75" x14ac:dyDescent="0.4">
      <c r="C127" s="2570"/>
      <c r="D127" s="391" t="s">
        <v>811</v>
      </c>
      <c r="E127" s="340">
        <v>3.4064296359378328</v>
      </c>
      <c r="F127" s="340">
        <v>1.893939393939394</v>
      </c>
      <c r="G127" s="340">
        <v>3.1113876789047916</v>
      </c>
      <c r="H127" s="340">
        <v>1.4306151645207439</v>
      </c>
      <c r="I127" s="340">
        <v>2.2190841234617711</v>
      </c>
      <c r="J127" s="340">
        <v>1.3894402540690751</v>
      </c>
      <c r="K127" s="340">
        <v>1.7543859649122808</v>
      </c>
      <c r="L127" s="340">
        <v>2.8801843317972353</v>
      </c>
      <c r="M127" s="340">
        <v>1.5131454511064877</v>
      </c>
      <c r="N127" s="340">
        <v>1.1177347242921014</v>
      </c>
      <c r="O127" s="340">
        <v>1.8351991191044228</v>
      </c>
      <c r="P127" s="340">
        <v>1.6210374639769454</v>
      </c>
      <c r="Q127" s="340">
        <v>1.7717930545712259</v>
      </c>
    </row>
    <row r="128" spans="3:17" ht="18.75" x14ac:dyDescent="0.4">
      <c r="C128" s="2570"/>
      <c r="D128" s="391" t="s">
        <v>812</v>
      </c>
      <c r="E128" s="340">
        <v>2.2176022176022174</v>
      </c>
      <c r="F128" s="340">
        <v>2.0093770931011385</v>
      </c>
      <c r="G128" s="340">
        <v>2.3276865382128538</v>
      </c>
      <c r="H128" s="340">
        <v>2.1279258981099014</v>
      </c>
      <c r="I128" s="340">
        <v>1.6963528413910094</v>
      </c>
      <c r="J128" s="340">
        <v>1.7556179775280898</v>
      </c>
      <c r="K128" s="340">
        <v>1.9198193111236588</v>
      </c>
      <c r="L128" s="340">
        <v>2.1896211955331726</v>
      </c>
      <c r="M128" s="340">
        <v>2.1274332517817256</v>
      </c>
      <c r="N128" s="340">
        <v>2.5813113061435207</v>
      </c>
      <c r="O128" s="340">
        <v>2.1075873143315937</v>
      </c>
      <c r="P128" s="340">
        <v>2.91601866251944</v>
      </c>
      <c r="Q128" s="340">
        <v>2.7368818422046055</v>
      </c>
    </row>
    <row r="129" spans="3:17" ht="18.75" x14ac:dyDescent="0.4">
      <c r="C129" s="2570"/>
      <c r="D129" s="391" t="s">
        <v>813</v>
      </c>
      <c r="E129" s="340">
        <v>0.63211125158027814</v>
      </c>
      <c r="F129" s="340">
        <v>1.8668326073428749</v>
      </c>
      <c r="G129" s="340">
        <v>2.7422303473491771</v>
      </c>
      <c r="H129" s="340">
        <v>0.59808612440191389</v>
      </c>
      <c r="I129" s="340">
        <v>1.4692918013517484</v>
      </c>
      <c r="J129" s="340">
        <v>2.8752156411730883</v>
      </c>
      <c r="K129" s="340">
        <v>1.1220196353436185</v>
      </c>
      <c r="L129" s="340">
        <v>1.9178082191780821</v>
      </c>
      <c r="M129" s="340">
        <v>2.4135156878519708</v>
      </c>
      <c r="N129" s="340">
        <v>2.3615848858567303</v>
      </c>
      <c r="O129" s="340">
        <v>0.76942805847653251</v>
      </c>
      <c r="P129" s="340">
        <v>1.7570281124497991</v>
      </c>
      <c r="Q129" s="340">
        <v>2.2129333661175314</v>
      </c>
    </row>
    <row r="130" spans="3:17" ht="18.75" x14ac:dyDescent="0.4">
      <c r="C130" s="2567" t="s">
        <v>533</v>
      </c>
      <c r="D130" s="391" t="s">
        <v>533</v>
      </c>
      <c r="E130" s="340">
        <v>2.4965547544388746</v>
      </c>
      <c r="F130" s="340">
        <v>2.3435532916271233</v>
      </c>
      <c r="G130" s="340">
        <v>2.1194785707586981</v>
      </c>
      <c r="H130" s="340">
        <v>2.203886854998816</v>
      </c>
      <c r="I130" s="340">
        <v>2.2819741730054837</v>
      </c>
      <c r="J130" s="340">
        <v>2.0407813277083227</v>
      </c>
      <c r="K130" s="340">
        <v>2.2278009609469813</v>
      </c>
      <c r="L130" s="340">
        <v>2.3613132783438462</v>
      </c>
      <c r="M130" s="340">
        <v>2.1900110288325192</v>
      </c>
      <c r="N130" s="340">
        <v>2.1794517604444854</v>
      </c>
      <c r="O130" s="340">
        <v>2.3495256053395588</v>
      </c>
      <c r="P130" s="340">
        <v>2.4801587301587302</v>
      </c>
      <c r="Q130" s="340">
        <v>2.2243500036826984</v>
      </c>
    </row>
    <row r="131" spans="3:17" ht="18.75" x14ac:dyDescent="0.4">
      <c r="C131" s="2567"/>
      <c r="D131" s="391" t="s">
        <v>814</v>
      </c>
      <c r="E131" s="340">
        <v>1.5777395295467584</v>
      </c>
      <c r="F131" s="340">
        <v>1.3271863649063984</v>
      </c>
      <c r="G131" s="340">
        <v>1.2224938875305624</v>
      </c>
      <c r="H131" s="340">
        <v>1.6554098794861609</v>
      </c>
      <c r="I131" s="340">
        <v>2.1304067140090384</v>
      </c>
      <c r="J131" s="340">
        <v>1.3190126248351233</v>
      </c>
      <c r="K131" s="340">
        <v>2.0691333982473221</v>
      </c>
      <c r="L131" s="340">
        <v>1.8342109934323414</v>
      </c>
      <c r="M131" s="340">
        <v>2.0737327188940093</v>
      </c>
      <c r="N131" s="340">
        <v>1.6825574873808187</v>
      </c>
      <c r="O131" s="340">
        <v>1.968396303789163</v>
      </c>
      <c r="P131" s="340">
        <v>1.8281535648994516</v>
      </c>
      <c r="Q131" s="340">
        <v>2.5407579928011859</v>
      </c>
    </row>
    <row r="132" spans="3:17" ht="18.75" x14ac:dyDescent="0.4">
      <c r="C132" s="2567"/>
      <c r="D132" s="391" t="s">
        <v>815</v>
      </c>
      <c r="E132" s="340">
        <v>1.9879440810568167</v>
      </c>
      <c r="F132" s="340">
        <v>1.7440049828713797</v>
      </c>
      <c r="G132" s="340">
        <v>1.5096618357487923</v>
      </c>
      <c r="H132" s="340">
        <v>1.2321774335504314</v>
      </c>
      <c r="I132" s="340">
        <v>1.8246094195461284</v>
      </c>
      <c r="J132" s="340">
        <v>1.5489295790230682</v>
      </c>
      <c r="K132" s="340">
        <v>1.3361124472235584</v>
      </c>
      <c r="L132" s="340">
        <v>1.9173964865004922</v>
      </c>
      <c r="M132" s="340">
        <v>1.5600624024960998</v>
      </c>
      <c r="N132" s="340">
        <v>1.3197771043112718</v>
      </c>
      <c r="O132" s="340">
        <v>2.0913541518132992</v>
      </c>
      <c r="P132" s="340">
        <v>1.5188475169144382</v>
      </c>
      <c r="Q132" s="340">
        <v>1.6521544987720473</v>
      </c>
    </row>
    <row r="133" spans="3:17" ht="18.75" x14ac:dyDescent="0.4">
      <c r="C133" s="2567"/>
      <c r="D133" s="391" t="s">
        <v>816</v>
      </c>
      <c r="E133" s="340">
        <v>1.7895490336435218</v>
      </c>
      <c r="F133" s="340">
        <v>1.2231347195526823</v>
      </c>
      <c r="G133" s="340">
        <v>1.5313935681470139</v>
      </c>
      <c r="H133" s="340">
        <v>1.1629838843661739</v>
      </c>
      <c r="I133" s="340">
        <v>3.0809145451597209</v>
      </c>
      <c r="J133" s="340">
        <v>2.5280455048190866</v>
      </c>
      <c r="K133" s="340">
        <v>1.8455859735466011</v>
      </c>
      <c r="L133" s="340">
        <v>1.9510730901996096</v>
      </c>
      <c r="M133" s="340">
        <v>1.7608217168011739</v>
      </c>
      <c r="N133" s="340">
        <v>1.7196904557179709</v>
      </c>
      <c r="O133" s="340">
        <v>2.3826208829712683</v>
      </c>
      <c r="P133" s="340">
        <v>3.0149376456077839</v>
      </c>
      <c r="Q133" s="340">
        <v>3.4880601019586801</v>
      </c>
    </row>
    <row r="134" spans="3:17" ht="18.75" x14ac:dyDescent="0.4">
      <c r="C134" s="2567"/>
      <c r="D134" s="391" t="s">
        <v>817</v>
      </c>
      <c r="E134" s="340">
        <v>1.4445068614075915</v>
      </c>
      <c r="F134" s="340">
        <v>1.2557883996546582</v>
      </c>
      <c r="G134" s="340">
        <v>1.9931008049060943</v>
      </c>
      <c r="H134" s="340">
        <v>2.4007802535824143</v>
      </c>
      <c r="I134" s="340">
        <v>1.6891891891891893</v>
      </c>
      <c r="J134" s="340">
        <v>1.6485091743119267</v>
      </c>
      <c r="K134" s="340">
        <v>2.4482372691662002</v>
      </c>
      <c r="L134" s="340">
        <v>2.6717818729876002</v>
      </c>
      <c r="M134" s="340">
        <v>1.9481391911863495</v>
      </c>
      <c r="N134" s="340">
        <v>2.106233133679984</v>
      </c>
      <c r="O134" s="340">
        <v>1.5493867010974822</v>
      </c>
      <c r="P134" s="340">
        <v>2.6905829596412558</v>
      </c>
      <c r="Q134" s="340">
        <v>2.1017769568817273</v>
      </c>
    </row>
    <row r="135" spans="3:17" ht="18.75" x14ac:dyDescent="0.4">
      <c r="C135" s="2567"/>
      <c r="D135" s="391" t="s">
        <v>818</v>
      </c>
      <c r="E135" s="340">
        <v>2.0234010732823084</v>
      </c>
      <c r="F135" s="340">
        <v>1.7851071064263857</v>
      </c>
      <c r="G135" s="340">
        <v>1.4763779527559056</v>
      </c>
      <c r="H135" s="340">
        <v>1.4286848162552583</v>
      </c>
      <c r="I135" s="340">
        <v>1.5371608638844054</v>
      </c>
      <c r="J135" s="340">
        <v>2.3029492608275759</v>
      </c>
      <c r="K135" s="340">
        <v>2.0749856897538641</v>
      </c>
      <c r="L135" s="340">
        <v>1.8687707641196014</v>
      </c>
      <c r="M135" s="340">
        <v>1.7435622317596569</v>
      </c>
      <c r="N135" s="340">
        <v>2.5351014040561624</v>
      </c>
      <c r="O135" s="340">
        <v>1.7036850075719334</v>
      </c>
      <c r="P135" s="340">
        <v>1.6553246275519589</v>
      </c>
      <c r="Q135" s="340">
        <v>1.9096496986334071</v>
      </c>
    </row>
    <row r="136" spans="3:17" ht="18.75" x14ac:dyDescent="0.4">
      <c r="C136" s="2567"/>
      <c r="D136" s="391" t="s">
        <v>819</v>
      </c>
      <c r="E136" s="340">
        <v>2.0103028018595301</v>
      </c>
      <c r="F136" s="340">
        <v>2.5150288308183049</v>
      </c>
      <c r="G136" s="340">
        <v>2.3321174430425162</v>
      </c>
      <c r="H136" s="340">
        <v>2.0460657079387352</v>
      </c>
      <c r="I136" s="340">
        <v>1.9423021993716081</v>
      </c>
      <c r="J136" s="340">
        <v>2.116873711770932</v>
      </c>
      <c r="K136" s="340">
        <v>2.1165744057310323</v>
      </c>
      <c r="L136" s="340">
        <v>2.1222410865874366</v>
      </c>
      <c r="M136" s="340">
        <v>1.9214790195263813</v>
      </c>
      <c r="N136" s="340">
        <v>2.9984245565889109</v>
      </c>
      <c r="O136" s="340">
        <v>2.0900721572530481</v>
      </c>
      <c r="P136" s="340">
        <v>2.2903367282296188</v>
      </c>
      <c r="Q136" s="340">
        <v>1.8092876767406019</v>
      </c>
    </row>
    <row r="137" spans="3:17" ht="18.75" x14ac:dyDescent="0.4">
      <c r="C137" s="2567"/>
      <c r="D137" s="391" t="s">
        <v>820</v>
      </c>
      <c r="E137" s="340">
        <v>1.9875447197561946</v>
      </c>
      <c r="F137" s="340">
        <v>1.5080978296505148</v>
      </c>
      <c r="G137" s="340">
        <v>1.7489312087057909</v>
      </c>
      <c r="H137" s="340">
        <v>1.8589743589743588</v>
      </c>
      <c r="I137" s="340">
        <v>1.331473497337053</v>
      </c>
      <c r="J137" s="340">
        <v>1.5640640640640642</v>
      </c>
      <c r="K137" s="340">
        <v>1.6040471343081004</v>
      </c>
      <c r="L137" s="340">
        <v>1.15966796875</v>
      </c>
      <c r="M137" s="340">
        <v>2.1136542061718702</v>
      </c>
      <c r="N137" s="340">
        <v>1.6717415965132247</v>
      </c>
      <c r="O137" s="340">
        <v>1.77294486141481</v>
      </c>
      <c r="P137" s="340">
        <v>2.1603316401004262</v>
      </c>
      <c r="Q137" s="340">
        <v>1.9059720457433291</v>
      </c>
    </row>
    <row r="138" spans="3:17" ht="18.75" x14ac:dyDescent="0.4">
      <c r="C138" s="2567"/>
      <c r="D138" s="391" t="s">
        <v>821</v>
      </c>
      <c r="E138" s="340">
        <v>2.8396353310416975</v>
      </c>
      <c r="F138" s="340">
        <v>1.8691588785046729</v>
      </c>
      <c r="G138" s="340">
        <v>1.9363762102351314</v>
      </c>
      <c r="H138" s="340">
        <v>1.2009607686148918</v>
      </c>
      <c r="I138" s="340">
        <v>1.0301313417460727</v>
      </c>
      <c r="J138" s="340">
        <v>2.2338049143708116</v>
      </c>
      <c r="K138" s="340">
        <v>1.4277215942891137</v>
      </c>
      <c r="L138" s="340">
        <v>1.9473081328751431</v>
      </c>
      <c r="M138" s="340">
        <v>1.3264065436056152</v>
      </c>
      <c r="N138" s="340">
        <v>1.6011955593509821</v>
      </c>
      <c r="O138" s="340">
        <v>1.3415892672858616</v>
      </c>
      <c r="P138" s="340">
        <v>1.3970661610617703</v>
      </c>
      <c r="Q138" s="340">
        <v>2.8038286763994971</v>
      </c>
    </row>
    <row r="139" spans="3:17" ht="18.75" x14ac:dyDescent="0.4">
      <c r="C139" s="2567"/>
      <c r="D139" s="391" t="s">
        <v>822</v>
      </c>
      <c r="E139" s="340">
        <v>1.3771069736697146</v>
      </c>
      <c r="F139" s="340">
        <v>1.8228608192150977</v>
      </c>
      <c r="G139" s="340">
        <v>1.9806108620869385</v>
      </c>
      <c r="H139" s="340">
        <v>2.1329541414859583</v>
      </c>
      <c r="I139" s="340">
        <v>1.6828350821619482</v>
      </c>
      <c r="J139" s="340">
        <v>2.0210769452865596</v>
      </c>
      <c r="K139" s="340">
        <v>1.5429212642603329</v>
      </c>
      <c r="L139" s="340">
        <v>1.6864175022789425</v>
      </c>
      <c r="M139" s="340">
        <v>1.7347211102215105</v>
      </c>
      <c r="N139" s="340">
        <v>2.1708926710663423</v>
      </c>
      <c r="O139" s="340">
        <v>1.9513022821752777</v>
      </c>
      <c r="P139" s="340">
        <v>1.7447657028913259</v>
      </c>
      <c r="Q139" s="340">
        <v>1.8339650324000489</v>
      </c>
    </row>
    <row r="140" spans="3:17" ht="18.75" x14ac:dyDescent="0.4">
      <c r="C140" s="2567"/>
      <c r="D140" s="391" t="s">
        <v>823</v>
      </c>
      <c r="E140" s="340">
        <v>1.9618100967826315</v>
      </c>
      <c r="F140" s="340">
        <v>1.986837203526636</v>
      </c>
      <c r="G140" s="340">
        <v>1.5328381087135952</v>
      </c>
      <c r="H140" s="340">
        <v>1.0124873439082012</v>
      </c>
      <c r="I140" s="340">
        <v>0.96659864676189455</v>
      </c>
      <c r="J140" s="340">
        <v>1.638001638001638</v>
      </c>
      <c r="K140" s="340">
        <v>1.8549253148491653</v>
      </c>
      <c r="L140" s="340">
        <v>2.2455089820359282</v>
      </c>
      <c r="M140" s="340">
        <v>2.6065072802444722</v>
      </c>
      <c r="N140" s="340">
        <v>2.3330165039315647</v>
      </c>
      <c r="O140" s="340">
        <v>1.3305613305613306</v>
      </c>
      <c r="P140" s="340">
        <v>2.4238506907974471</v>
      </c>
      <c r="Q140" s="340">
        <v>2.2017771486985924</v>
      </c>
    </row>
    <row r="141" spans="3:17" ht="18.75" x14ac:dyDescent="0.4">
      <c r="C141" s="2567"/>
      <c r="D141" s="391" t="s">
        <v>824</v>
      </c>
      <c r="E141" s="340"/>
      <c r="F141" s="340"/>
      <c r="G141" s="340"/>
      <c r="H141" s="340"/>
      <c r="I141" s="340"/>
      <c r="J141" s="340"/>
      <c r="K141" s="340"/>
      <c r="L141" s="340"/>
      <c r="M141" s="340"/>
      <c r="N141" s="340"/>
      <c r="O141" s="340"/>
      <c r="P141" s="340"/>
      <c r="Q141" s="340">
        <v>1.7467248908296944</v>
      </c>
    </row>
    <row r="142" spans="3:17" ht="18.75" x14ac:dyDescent="0.4">
      <c r="C142" s="2567"/>
      <c r="D142" s="391" t="s">
        <v>825</v>
      </c>
      <c r="E142" s="340"/>
      <c r="F142" s="340"/>
      <c r="G142" s="340"/>
      <c r="H142" s="340"/>
      <c r="I142" s="340"/>
      <c r="J142" s="340"/>
      <c r="K142" s="340"/>
      <c r="L142" s="340"/>
      <c r="M142" s="340"/>
      <c r="N142" s="340"/>
      <c r="O142" s="340"/>
      <c r="P142" s="340"/>
      <c r="Q142" s="340">
        <v>1.8342504585626147</v>
      </c>
    </row>
    <row r="143" spans="3:17" ht="18.75" x14ac:dyDescent="0.4">
      <c r="C143" s="2567" t="s">
        <v>334</v>
      </c>
      <c r="D143" s="391" t="s">
        <v>334</v>
      </c>
      <c r="E143" s="340">
        <v>3.0338205033503929</v>
      </c>
      <c r="F143" s="340">
        <v>2.8544737388416026</v>
      </c>
      <c r="G143" s="340">
        <v>3.1326405867970659</v>
      </c>
      <c r="H143" s="340">
        <v>2.7056819320573204</v>
      </c>
      <c r="I143" s="340">
        <v>2.4631148550456907</v>
      </c>
      <c r="J143" s="340">
        <v>2.5131092477587416</v>
      </c>
      <c r="K143" s="340">
        <v>2.704241389126103</v>
      </c>
      <c r="L143" s="340">
        <v>2.8498014482597527</v>
      </c>
      <c r="M143" s="340">
        <v>3.0165565201372422</v>
      </c>
      <c r="N143" s="340">
        <v>2.5640443829275488</v>
      </c>
      <c r="O143" s="340">
        <v>2.7074196724245954</v>
      </c>
      <c r="P143" s="340">
        <v>3.0323823015117646</v>
      </c>
      <c r="Q143" s="340">
        <v>3.1352773514580132</v>
      </c>
    </row>
    <row r="144" spans="3:17" ht="18.75" x14ac:dyDescent="0.4">
      <c r="C144" s="2567"/>
      <c r="D144" s="391" t="s">
        <v>826</v>
      </c>
      <c r="E144" s="340">
        <v>1.636913359138791</v>
      </c>
      <c r="F144" s="340">
        <v>2.0152637569741185</v>
      </c>
      <c r="G144" s="340">
        <v>1.5707940634817463</v>
      </c>
      <c r="H144" s="340">
        <v>1.5594063742925726</v>
      </c>
      <c r="I144" s="340">
        <v>1.530143833520351</v>
      </c>
      <c r="J144" s="340">
        <v>1.6301931531887566</v>
      </c>
      <c r="K144" s="340">
        <v>1.8180368391675306</v>
      </c>
      <c r="L144" s="340">
        <v>2.0774549626368173</v>
      </c>
      <c r="M144" s="340">
        <v>2.3543971385019393</v>
      </c>
      <c r="N144" s="340">
        <v>2.0715188199688539</v>
      </c>
      <c r="O144" s="340">
        <v>1.9465834597658374</v>
      </c>
      <c r="P144" s="340">
        <v>2.1278084972352489</v>
      </c>
      <c r="Q144" s="340">
        <v>1.9888896509155751</v>
      </c>
    </row>
    <row r="145" spans="3:17" ht="18.75" x14ac:dyDescent="0.4">
      <c r="C145" s="2567"/>
      <c r="D145" s="391" t="s">
        <v>827</v>
      </c>
      <c r="E145" s="340">
        <v>1.9670411330156927</v>
      </c>
      <c r="F145" s="340">
        <v>2.565418163160595</v>
      </c>
      <c r="G145" s="340">
        <v>2.295779939057478</v>
      </c>
      <c r="H145" s="340">
        <v>1.7962849561134926</v>
      </c>
      <c r="I145" s="340">
        <v>1.4369536582445215</v>
      </c>
      <c r="J145" s="340">
        <v>1.129679404775817</v>
      </c>
      <c r="K145" s="340">
        <v>2.1681247622670217</v>
      </c>
      <c r="L145" s="340">
        <v>2.1613564374883545</v>
      </c>
      <c r="M145" s="340">
        <v>2.2668275382984171</v>
      </c>
      <c r="N145" s="340">
        <v>2.5800903031606106</v>
      </c>
      <c r="O145" s="340">
        <v>2.1797981928769818</v>
      </c>
      <c r="P145" s="340">
        <v>2.3772609819121451</v>
      </c>
      <c r="Q145" s="340">
        <v>1.7929634641407306</v>
      </c>
    </row>
    <row r="146" spans="3:17" ht="18.75" x14ac:dyDescent="0.4">
      <c r="C146" s="2567"/>
      <c r="D146" s="391" t="s">
        <v>828</v>
      </c>
      <c r="E146" s="340">
        <v>1.5391192817443351</v>
      </c>
      <c r="F146" s="340">
        <v>2.1364009860312243</v>
      </c>
      <c r="G146" s="340">
        <v>1.4202303929304088</v>
      </c>
      <c r="H146" s="340">
        <v>1.6719866241070072</v>
      </c>
      <c r="I146" s="340">
        <v>1.3908205841446453</v>
      </c>
      <c r="J146" s="340">
        <v>1.4081532070689291</v>
      </c>
      <c r="K146" s="340">
        <v>1.4866873901878632</v>
      </c>
      <c r="L146" s="340">
        <v>1.6298324532238087</v>
      </c>
      <c r="M146" s="340">
        <v>2.2058360118484908</v>
      </c>
      <c r="N146" s="340">
        <v>1.8282649765372663</v>
      </c>
      <c r="O146" s="340">
        <v>2.7730249572246151</v>
      </c>
      <c r="P146" s="340">
        <v>2.2234891676168758</v>
      </c>
      <c r="Q146" s="340">
        <v>1.3811391635821224</v>
      </c>
    </row>
    <row r="147" spans="3:17" ht="18.75" x14ac:dyDescent="0.4">
      <c r="C147" s="2567"/>
      <c r="D147" s="391" t="s">
        <v>829</v>
      </c>
      <c r="E147" s="340">
        <v>1.8164035210283638</v>
      </c>
      <c r="F147" s="340">
        <v>1.4278914802475011</v>
      </c>
      <c r="G147" s="340">
        <v>2.0490448806927093</v>
      </c>
      <c r="H147" s="340">
        <v>2.1900161030595813</v>
      </c>
      <c r="I147" s="340">
        <v>1.5686766643659409</v>
      </c>
      <c r="J147" s="340">
        <v>2.0128087831655992</v>
      </c>
      <c r="K147" s="340">
        <v>1.6638935108153079</v>
      </c>
      <c r="L147" s="340">
        <v>1.9161537568226685</v>
      </c>
      <c r="M147" s="340">
        <v>2.0463847203274215</v>
      </c>
      <c r="N147" s="340">
        <v>2.3912801690579468</v>
      </c>
      <c r="O147" s="340">
        <v>1.8507430188884657</v>
      </c>
      <c r="P147" s="340">
        <v>2.1290185224611453</v>
      </c>
      <c r="Q147" s="340">
        <v>2.3984566452891185</v>
      </c>
    </row>
    <row r="148" spans="3:17" ht="18.75" x14ac:dyDescent="0.4">
      <c r="C148" s="2568"/>
      <c r="D148" s="395" t="s">
        <v>830</v>
      </c>
      <c r="E148" s="397">
        <v>2.0144566891811824</v>
      </c>
      <c r="F148" s="397">
        <v>1.6667624576125064</v>
      </c>
      <c r="G148" s="397">
        <v>1.7820348610569694</v>
      </c>
      <c r="H148" s="397">
        <v>1.4060894489210969</v>
      </c>
      <c r="I148" s="397">
        <v>1.5756302521008403</v>
      </c>
      <c r="J148" s="397">
        <v>1.5273393748090827</v>
      </c>
      <c r="K148" s="397">
        <v>1.6730636748351539</v>
      </c>
      <c r="L148" s="397">
        <v>2.2902948754652162</v>
      </c>
      <c r="M148" s="397">
        <v>1.8071451739956443</v>
      </c>
      <c r="N148" s="397">
        <v>1.8904442543997839</v>
      </c>
      <c r="O148" s="397">
        <v>1.9695378151260503</v>
      </c>
      <c r="P148" s="397">
        <v>2.4193548387096775</v>
      </c>
      <c r="Q148" s="397">
        <v>1.8976114846747245</v>
      </c>
    </row>
    <row r="149" spans="3:17" ht="18.75" x14ac:dyDescent="0.4">
      <c r="C149" s="5" t="s">
        <v>831</v>
      </c>
      <c r="D149" s="5"/>
      <c r="E149" s="5"/>
      <c r="F149" s="5"/>
      <c r="G149" s="5"/>
      <c r="H149" s="5"/>
      <c r="I149" s="5"/>
      <c r="J149" s="5"/>
      <c r="K149" s="5"/>
      <c r="L149" s="5"/>
      <c r="M149" s="5"/>
      <c r="N149" s="5"/>
      <c r="O149" s="5"/>
      <c r="P149" s="5"/>
    </row>
  </sheetData>
  <mergeCells count="22">
    <mergeCell ref="A5:B5"/>
    <mergeCell ref="C5:Q5"/>
    <mergeCell ref="C1:D1"/>
    <mergeCell ref="A3:B3"/>
    <mergeCell ref="C3:Q3"/>
    <mergeCell ref="A4:B4"/>
    <mergeCell ref="C4:Q4"/>
    <mergeCell ref="A6:B6"/>
    <mergeCell ref="C6:Q6"/>
    <mergeCell ref="C11:C12"/>
    <mergeCell ref="D11:D12"/>
    <mergeCell ref="E11:L11"/>
    <mergeCell ref="N11:T11"/>
    <mergeCell ref="C130:C142"/>
    <mergeCell ref="C143:C148"/>
    <mergeCell ref="V11:W11"/>
    <mergeCell ref="C65:C84"/>
    <mergeCell ref="C85:C100"/>
    <mergeCell ref="C101:C108"/>
    <mergeCell ref="C109:C118"/>
    <mergeCell ref="C119:C129"/>
    <mergeCell ref="N13:T27"/>
  </mergeCells>
  <conditionalFormatting sqref="E65:P65">
    <cfRule type="cellIs" dxfId="748" priority="84" operator="equal">
      <formula>0</formula>
    </cfRule>
  </conditionalFormatting>
  <conditionalFormatting sqref="E66:P66">
    <cfRule type="cellIs" dxfId="747" priority="83" operator="equal">
      <formula>0</formula>
    </cfRule>
  </conditionalFormatting>
  <conditionalFormatting sqref="E67:P67">
    <cfRule type="cellIs" dxfId="746" priority="82" operator="equal">
      <formula>0</formula>
    </cfRule>
  </conditionalFormatting>
  <conditionalFormatting sqref="E68:P68">
    <cfRule type="cellIs" dxfId="745" priority="81" operator="equal">
      <formula>0</formula>
    </cfRule>
  </conditionalFormatting>
  <conditionalFormatting sqref="E69:P69">
    <cfRule type="cellIs" dxfId="744" priority="80" operator="equal">
      <formula>0</formula>
    </cfRule>
  </conditionalFormatting>
  <conditionalFormatting sqref="E70:P70">
    <cfRule type="cellIs" dxfId="743" priority="79" operator="equal">
      <formula>0</formula>
    </cfRule>
  </conditionalFormatting>
  <conditionalFormatting sqref="E71:P71">
    <cfRule type="cellIs" dxfId="742" priority="78" operator="equal">
      <formula>0</formula>
    </cfRule>
  </conditionalFormatting>
  <conditionalFormatting sqref="E72:P72">
    <cfRule type="cellIs" dxfId="741" priority="77" operator="equal">
      <formula>0</formula>
    </cfRule>
  </conditionalFormatting>
  <conditionalFormatting sqref="E73:P73">
    <cfRule type="cellIs" dxfId="740" priority="76" operator="equal">
      <formula>0</formula>
    </cfRule>
  </conditionalFormatting>
  <conditionalFormatting sqref="E74:P74">
    <cfRule type="cellIs" dxfId="739" priority="75" operator="equal">
      <formula>0</formula>
    </cfRule>
  </conditionalFormatting>
  <conditionalFormatting sqref="E75:P75">
    <cfRule type="cellIs" dxfId="738" priority="74" operator="equal">
      <formula>0</formula>
    </cfRule>
  </conditionalFormatting>
  <conditionalFormatting sqref="E76:P76">
    <cfRule type="cellIs" dxfId="737" priority="73" operator="equal">
      <formula>0</formula>
    </cfRule>
  </conditionalFormatting>
  <conditionalFormatting sqref="E77:P77">
    <cfRule type="cellIs" dxfId="736" priority="72" operator="equal">
      <formula>0</formula>
    </cfRule>
  </conditionalFormatting>
  <conditionalFormatting sqref="E78:P78">
    <cfRule type="cellIs" dxfId="735" priority="71" operator="equal">
      <formula>0</formula>
    </cfRule>
  </conditionalFormatting>
  <conditionalFormatting sqref="E79:P79">
    <cfRule type="cellIs" dxfId="734" priority="70" operator="equal">
      <formula>0</formula>
    </cfRule>
  </conditionalFormatting>
  <conditionalFormatting sqref="E80:P80">
    <cfRule type="cellIs" dxfId="733" priority="69" operator="equal">
      <formula>0</formula>
    </cfRule>
  </conditionalFormatting>
  <conditionalFormatting sqref="E81:P81">
    <cfRule type="cellIs" dxfId="732" priority="68" operator="equal">
      <formula>0</formula>
    </cfRule>
  </conditionalFormatting>
  <conditionalFormatting sqref="E82:P82">
    <cfRule type="cellIs" dxfId="731" priority="67" operator="equal">
      <formula>0</formula>
    </cfRule>
  </conditionalFormatting>
  <conditionalFormatting sqref="E83:P83">
    <cfRule type="cellIs" dxfId="730" priority="66" operator="equal">
      <formula>0</formula>
    </cfRule>
  </conditionalFormatting>
  <conditionalFormatting sqref="E84:P84">
    <cfRule type="cellIs" dxfId="729" priority="65" operator="equal">
      <formula>0</formula>
    </cfRule>
  </conditionalFormatting>
  <conditionalFormatting sqref="E85:P85">
    <cfRule type="cellIs" dxfId="728" priority="64" operator="equal">
      <formula>0</formula>
    </cfRule>
  </conditionalFormatting>
  <conditionalFormatting sqref="E86:P86">
    <cfRule type="cellIs" dxfId="727" priority="63" operator="equal">
      <formula>0</formula>
    </cfRule>
  </conditionalFormatting>
  <conditionalFormatting sqref="E87:P87">
    <cfRule type="cellIs" dxfId="726" priority="62" operator="equal">
      <formula>0</formula>
    </cfRule>
  </conditionalFormatting>
  <conditionalFormatting sqref="E88:P88">
    <cfRule type="cellIs" dxfId="725" priority="61" operator="equal">
      <formula>0</formula>
    </cfRule>
  </conditionalFormatting>
  <conditionalFormatting sqref="E89:P89">
    <cfRule type="cellIs" dxfId="724" priority="60" operator="equal">
      <formula>0</formula>
    </cfRule>
  </conditionalFormatting>
  <conditionalFormatting sqref="E90:P90">
    <cfRule type="cellIs" dxfId="723" priority="59" operator="equal">
      <formula>0</formula>
    </cfRule>
  </conditionalFormatting>
  <conditionalFormatting sqref="E91:P91">
    <cfRule type="cellIs" dxfId="722" priority="58" operator="equal">
      <formula>0</formula>
    </cfRule>
  </conditionalFormatting>
  <conditionalFormatting sqref="E92:P92">
    <cfRule type="cellIs" dxfId="721" priority="57" operator="equal">
      <formula>0</formula>
    </cfRule>
  </conditionalFormatting>
  <conditionalFormatting sqref="E93:P93">
    <cfRule type="cellIs" dxfId="720" priority="56" operator="equal">
      <formula>0</formula>
    </cfRule>
  </conditionalFormatting>
  <conditionalFormatting sqref="E94:P94">
    <cfRule type="cellIs" dxfId="719" priority="55" operator="equal">
      <formula>0</formula>
    </cfRule>
  </conditionalFormatting>
  <conditionalFormatting sqref="E95:P95">
    <cfRule type="cellIs" dxfId="718" priority="54" operator="equal">
      <formula>0</formula>
    </cfRule>
  </conditionalFormatting>
  <conditionalFormatting sqref="E96:P96">
    <cfRule type="cellIs" dxfId="717" priority="53" operator="equal">
      <formula>0</formula>
    </cfRule>
  </conditionalFormatting>
  <conditionalFormatting sqref="E97:P97">
    <cfRule type="cellIs" dxfId="716" priority="52" operator="equal">
      <formula>0</formula>
    </cfRule>
  </conditionalFormatting>
  <conditionalFormatting sqref="E98:P98">
    <cfRule type="cellIs" dxfId="715" priority="51" operator="equal">
      <formula>0</formula>
    </cfRule>
  </conditionalFormatting>
  <conditionalFormatting sqref="E99:P99">
    <cfRule type="cellIs" dxfId="714" priority="50" operator="equal">
      <formula>0</formula>
    </cfRule>
  </conditionalFormatting>
  <conditionalFormatting sqref="E100:P100">
    <cfRule type="cellIs" dxfId="713" priority="49" operator="equal">
      <formula>0</formula>
    </cfRule>
  </conditionalFormatting>
  <conditionalFormatting sqref="E101:P101">
    <cfRule type="cellIs" dxfId="712" priority="48" operator="equal">
      <formula>0</formula>
    </cfRule>
  </conditionalFormatting>
  <conditionalFormatting sqref="E102:P102">
    <cfRule type="cellIs" dxfId="711" priority="47" operator="equal">
      <formula>0</formula>
    </cfRule>
  </conditionalFormatting>
  <conditionalFormatting sqref="E103:P103">
    <cfRule type="cellIs" dxfId="710" priority="46" operator="equal">
      <formula>0</formula>
    </cfRule>
  </conditionalFormatting>
  <conditionalFormatting sqref="E104:P104">
    <cfRule type="cellIs" dxfId="709" priority="45" operator="equal">
      <formula>0</formula>
    </cfRule>
  </conditionalFormatting>
  <conditionalFormatting sqref="E105:P105">
    <cfRule type="cellIs" dxfId="708" priority="44" operator="equal">
      <formula>0</formula>
    </cfRule>
  </conditionalFormatting>
  <conditionalFormatting sqref="E106:P106">
    <cfRule type="cellIs" dxfId="707" priority="43" operator="equal">
      <formula>0</formula>
    </cfRule>
  </conditionalFormatting>
  <conditionalFormatting sqref="E107:P107">
    <cfRule type="cellIs" dxfId="706" priority="42" operator="equal">
      <formula>0</formula>
    </cfRule>
  </conditionalFormatting>
  <conditionalFormatting sqref="E108:P108">
    <cfRule type="cellIs" dxfId="705" priority="41" operator="equal">
      <formula>0</formula>
    </cfRule>
  </conditionalFormatting>
  <conditionalFormatting sqref="E109:P109">
    <cfRule type="cellIs" dxfId="704" priority="40" operator="equal">
      <formula>0</formula>
    </cfRule>
  </conditionalFormatting>
  <conditionalFormatting sqref="E110:P110">
    <cfRule type="cellIs" dxfId="703" priority="39" operator="equal">
      <formula>0</formula>
    </cfRule>
  </conditionalFormatting>
  <conditionalFormatting sqref="E111:P111">
    <cfRule type="cellIs" dxfId="702" priority="38" operator="equal">
      <formula>0</formula>
    </cfRule>
  </conditionalFormatting>
  <conditionalFormatting sqref="E112:P112">
    <cfRule type="cellIs" dxfId="701" priority="37" operator="equal">
      <formula>0</formula>
    </cfRule>
  </conditionalFormatting>
  <conditionalFormatting sqref="E113:P113">
    <cfRule type="cellIs" dxfId="700" priority="36" operator="equal">
      <formula>0</formula>
    </cfRule>
  </conditionalFormatting>
  <conditionalFormatting sqref="E114:P114">
    <cfRule type="cellIs" dxfId="699" priority="35" operator="equal">
      <formula>0</formula>
    </cfRule>
  </conditionalFormatting>
  <conditionalFormatting sqref="E115:P115">
    <cfRule type="cellIs" dxfId="698" priority="34" operator="equal">
      <formula>0</formula>
    </cfRule>
  </conditionalFormatting>
  <conditionalFormatting sqref="E116:P116">
    <cfRule type="cellIs" dxfId="697" priority="33" operator="equal">
      <formula>0</formula>
    </cfRule>
  </conditionalFormatting>
  <conditionalFormatting sqref="E117:P117">
    <cfRule type="cellIs" dxfId="696" priority="32" operator="equal">
      <formula>0</formula>
    </cfRule>
  </conditionalFormatting>
  <conditionalFormatting sqref="E118:P118">
    <cfRule type="cellIs" dxfId="695" priority="31" operator="equal">
      <formula>0</formula>
    </cfRule>
  </conditionalFormatting>
  <conditionalFormatting sqref="E119:P119">
    <cfRule type="cellIs" dxfId="694" priority="30" operator="equal">
      <formula>0</formula>
    </cfRule>
  </conditionalFormatting>
  <conditionalFormatting sqref="E120:P120">
    <cfRule type="cellIs" dxfId="693" priority="29" operator="equal">
      <formula>0</formula>
    </cfRule>
  </conditionalFormatting>
  <conditionalFormatting sqref="E121:P121">
    <cfRule type="cellIs" dxfId="692" priority="28" operator="equal">
      <formula>0</formula>
    </cfRule>
  </conditionalFormatting>
  <conditionalFormatting sqref="E122:P122">
    <cfRule type="cellIs" dxfId="691" priority="27" operator="equal">
      <formula>0</formula>
    </cfRule>
  </conditionalFormatting>
  <conditionalFormatting sqref="E123:P123">
    <cfRule type="cellIs" dxfId="690" priority="26" operator="equal">
      <formula>0</formula>
    </cfRule>
  </conditionalFormatting>
  <conditionalFormatting sqref="E124:P124">
    <cfRule type="cellIs" dxfId="689" priority="25" operator="equal">
      <formula>0</formula>
    </cfRule>
  </conditionalFormatting>
  <conditionalFormatting sqref="E125:P125">
    <cfRule type="cellIs" dxfId="688" priority="24" operator="equal">
      <formula>0</formula>
    </cfRule>
  </conditionalFormatting>
  <conditionalFormatting sqref="E126:P126">
    <cfRule type="cellIs" dxfId="687" priority="23" operator="equal">
      <formula>0</formula>
    </cfRule>
  </conditionalFormatting>
  <conditionalFormatting sqref="E127:P127">
    <cfRule type="cellIs" dxfId="686" priority="22" operator="equal">
      <formula>0</formula>
    </cfRule>
  </conditionalFormatting>
  <conditionalFormatting sqref="E128:P128">
    <cfRule type="cellIs" dxfId="685" priority="21" operator="equal">
      <formula>0</formula>
    </cfRule>
  </conditionalFormatting>
  <conditionalFormatting sqref="E129:P129">
    <cfRule type="cellIs" dxfId="684" priority="20" operator="equal">
      <formula>0</formula>
    </cfRule>
  </conditionalFormatting>
  <conditionalFormatting sqref="E130:P130">
    <cfRule type="cellIs" dxfId="683" priority="19" operator="equal">
      <formula>0</formula>
    </cfRule>
  </conditionalFormatting>
  <conditionalFormatting sqref="E131:P131">
    <cfRule type="cellIs" dxfId="682" priority="18" operator="equal">
      <formula>0</formula>
    </cfRule>
  </conditionalFormatting>
  <conditionalFormatting sqref="E132:P132">
    <cfRule type="cellIs" dxfId="681" priority="17" operator="equal">
      <formula>0</formula>
    </cfRule>
  </conditionalFormatting>
  <conditionalFormatting sqref="E133:P133">
    <cfRule type="cellIs" dxfId="680" priority="16" operator="equal">
      <formula>0</formula>
    </cfRule>
  </conditionalFormatting>
  <conditionalFormatting sqref="E134:P134">
    <cfRule type="cellIs" dxfId="679" priority="15" operator="equal">
      <formula>0</formula>
    </cfRule>
  </conditionalFormatting>
  <conditionalFormatting sqref="E135:P135">
    <cfRule type="cellIs" dxfId="678" priority="14" operator="equal">
      <formula>0</formula>
    </cfRule>
  </conditionalFormatting>
  <conditionalFormatting sqref="E136:P136">
    <cfRule type="cellIs" dxfId="677" priority="13" operator="equal">
      <formula>0</formula>
    </cfRule>
  </conditionalFormatting>
  <conditionalFormatting sqref="E137:P137">
    <cfRule type="cellIs" dxfId="676" priority="12" operator="equal">
      <formula>0</formula>
    </cfRule>
  </conditionalFormatting>
  <conditionalFormatting sqref="E138:P138">
    <cfRule type="cellIs" dxfId="675" priority="11" operator="equal">
      <formula>0</formula>
    </cfRule>
  </conditionalFormatting>
  <conditionalFormatting sqref="E139:P139">
    <cfRule type="cellIs" dxfId="674" priority="10" operator="equal">
      <formula>0</formula>
    </cfRule>
  </conditionalFormatting>
  <conditionalFormatting sqref="E140:P142">
    <cfRule type="cellIs" dxfId="673" priority="9" operator="equal">
      <formula>0</formula>
    </cfRule>
  </conditionalFormatting>
  <conditionalFormatting sqref="E143:P143">
    <cfRule type="cellIs" dxfId="672" priority="8" operator="equal">
      <formula>0</formula>
    </cfRule>
  </conditionalFormatting>
  <conditionalFormatting sqref="E144:P144">
    <cfRule type="cellIs" dxfId="671" priority="7" operator="equal">
      <formula>0</formula>
    </cfRule>
  </conditionalFormatting>
  <conditionalFormatting sqref="E145:P145">
    <cfRule type="cellIs" dxfId="670" priority="6" operator="equal">
      <formula>0</formula>
    </cfRule>
  </conditionalFormatting>
  <conditionalFormatting sqref="E146:P146">
    <cfRule type="cellIs" dxfId="669" priority="5" operator="equal">
      <formula>0</formula>
    </cfRule>
  </conditionalFormatting>
  <conditionalFormatting sqref="E147:P147">
    <cfRule type="cellIs" dxfId="668" priority="4" operator="equal">
      <formula>0</formula>
    </cfRule>
  </conditionalFormatting>
  <conditionalFormatting sqref="E148:P148">
    <cfRule type="cellIs" dxfId="667" priority="3" operator="equal">
      <formula>0</formula>
    </cfRule>
  </conditionalFormatting>
  <conditionalFormatting sqref="Q67:Q147">
    <cfRule type="cellIs" dxfId="666" priority="2" operator="equal">
      <formula>0</formula>
    </cfRule>
  </conditionalFormatting>
  <conditionalFormatting sqref="Q148">
    <cfRule type="cellIs" dxfId="665" priority="1" operator="equal">
      <formula>0</formula>
    </cfRule>
  </conditionalFormatting>
  <hyperlinks>
    <hyperlink ref="A1" location="'ODS 3.'!A1" display="REGRESAR" xr:uid="{25EC4F9C-BDD7-4E81-8EBA-C12E5419CC01}"/>
    <hyperlink ref="C1" location="'Metadato 3.4.1'!A1" display="VER METADATO" xr:uid="{8D27B6D0-1191-4338-90FA-8A723810DA56}"/>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7E6F0-6113-4D64-ABA4-28E826712053}">
  <sheetPr>
    <tabColor theme="0" tint="-0.499984740745262"/>
  </sheetPr>
  <dimension ref="A1:G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5.28515625" style="222" customWidth="1"/>
    <col min="2" max="2" width="26.42578125" style="222" customWidth="1"/>
    <col min="3" max="3" width="24" style="222" customWidth="1"/>
    <col min="4" max="4" width="85.7109375" style="222" customWidth="1"/>
    <col min="5" max="5" width="11.42578125" style="222"/>
    <col min="6" max="6" width="7.5703125" style="222" customWidth="1"/>
    <col min="7" max="7" width="44.42578125" style="222" bestFit="1" customWidth="1"/>
    <col min="8" max="16384" width="11.42578125" style="222"/>
  </cols>
  <sheetData>
    <row r="1" spans="1:6" x14ac:dyDescent="0.25">
      <c r="B1" s="223" t="s">
        <v>39</v>
      </c>
    </row>
    <row r="2" spans="1:6" ht="19.5" thickBot="1" x14ac:dyDescent="0.3"/>
    <row r="3" spans="1:6" ht="23.25" customHeight="1" thickBot="1" x14ac:dyDescent="0.3">
      <c r="B3" s="2604" t="s">
        <v>75</v>
      </c>
      <c r="C3" s="2604"/>
      <c r="D3" s="2604"/>
      <c r="F3" s="570" t="s">
        <v>76</v>
      </c>
    </row>
    <row r="4" spans="1:6" x14ac:dyDescent="0.25">
      <c r="A4" s="224"/>
      <c r="B4" s="2606" t="s">
        <v>234</v>
      </c>
      <c r="C4" s="2606"/>
      <c r="D4" s="359" t="s">
        <v>832</v>
      </c>
    </row>
    <row r="5" spans="1:6" ht="37.5" x14ac:dyDescent="0.25">
      <c r="B5" s="2445" t="s">
        <v>79</v>
      </c>
      <c r="C5" s="2445"/>
      <c r="D5" s="49" t="s">
        <v>683</v>
      </c>
    </row>
    <row r="6" spans="1:6" x14ac:dyDescent="0.25">
      <c r="B6" s="2445" t="s">
        <v>80</v>
      </c>
      <c r="C6" s="2445"/>
      <c r="D6" s="50" t="s">
        <v>684</v>
      </c>
    </row>
    <row r="7" spans="1:6" ht="37.5" x14ac:dyDescent="0.25">
      <c r="B7" s="2446" t="s">
        <v>81</v>
      </c>
      <c r="C7" s="2446"/>
      <c r="D7" s="93" t="s">
        <v>685</v>
      </c>
    </row>
    <row r="8" spans="1:6" x14ac:dyDescent="0.25">
      <c r="B8" s="2446" t="s">
        <v>82</v>
      </c>
      <c r="C8" s="2446"/>
      <c r="D8" s="94" t="s">
        <v>1211</v>
      </c>
    </row>
    <row r="9" spans="1:6" x14ac:dyDescent="0.4">
      <c r="B9" s="5"/>
      <c r="C9" s="5"/>
      <c r="D9" s="5"/>
    </row>
    <row r="10" spans="1:6" ht="23.25" customHeight="1" x14ac:dyDescent="0.25">
      <c r="B10" s="2604" t="s">
        <v>85</v>
      </c>
      <c r="C10" s="2604"/>
      <c r="D10" s="2604"/>
    </row>
    <row r="11" spans="1:6" ht="15.75" customHeight="1" x14ac:dyDescent="0.25">
      <c r="B11" s="2633" t="s">
        <v>86</v>
      </c>
      <c r="C11" s="2634"/>
      <c r="D11" s="359" t="s">
        <v>167</v>
      </c>
    </row>
    <row r="12" spans="1:6" ht="37.5" customHeight="1" x14ac:dyDescent="0.25">
      <c r="B12" s="2455" t="s">
        <v>88</v>
      </c>
      <c r="C12" s="2455"/>
      <c r="D12" s="571" t="s">
        <v>1212</v>
      </c>
    </row>
    <row r="13" spans="1:6" x14ac:dyDescent="0.25">
      <c r="B13" s="2445" t="s">
        <v>90</v>
      </c>
      <c r="C13" s="2445"/>
      <c r="D13" s="54" t="s">
        <v>684</v>
      </c>
    </row>
    <row r="14" spans="1:6" x14ac:dyDescent="0.25">
      <c r="B14" s="2445" t="s">
        <v>91</v>
      </c>
      <c r="C14" s="2456"/>
      <c r="D14" s="54" t="s">
        <v>214</v>
      </c>
    </row>
    <row r="15" spans="1:6" ht="409.5" x14ac:dyDescent="0.25">
      <c r="B15" s="2445" t="s">
        <v>93</v>
      </c>
      <c r="C15" s="2445"/>
      <c r="D15" s="56" t="s">
        <v>1213</v>
      </c>
    </row>
    <row r="16" spans="1:6" ht="120.75" customHeight="1" x14ac:dyDescent="0.4">
      <c r="B16" s="2445" t="s">
        <v>95</v>
      </c>
      <c r="C16" s="2445"/>
      <c r="D16" s="203" t="s">
        <v>1214</v>
      </c>
    </row>
    <row r="17" spans="2:7" x14ac:dyDescent="0.25">
      <c r="B17" s="2445" t="s">
        <v>97</v>
      </c>
      <c r="C17" s="2445"/>
      <c r="D17" s="56" t="s">
        <v>1215</v>
      </c>
    </row>
    <row r="18" spans="2:7" ht="37.5" x14ac:dyDescent="0.25">
      <c r="B18" s="2446" t="s">
        <v>99</v>
      </c>
      <c r="C18" s="2446"/>
      <c r="D18" s="49" t="s">
        <v>1216</v>
      </c>
    </row>
    <row r="19" spans="2:7" ht="37.5" x14ac:dyDescent="0.25">
      <c r="B19" s="2457" t="s">
        <v>100</v>
      </c>
      <c r="C19" s="2458"/>
      <c r="D19" s="56" t="s">
        <v>1217</v>
      </c>
    </row>
    <row r="20" spans="2:7" x14ac:dyDescent="0.25">
      <c r="B20" s="2445" t="s">
        <v>102</v>
      </c>
      <c r="C20" s="2445"/>
      <c r="D20" s="56" t="s">
        <v>140</v>
      </c>
    </row>
    <row r="21" spans="2:7" x14ac:dyDescent="0.25">
      <c r="B21" s="2451" t="s">
        <v>104</v>
      </c>
      <c r="C21" s="95" t="s">
        <v>105</v>
      </c>
      <c r="D21" s="49" t="s">
        <v>839</v>
      </c>
      <c r="F21" s="572"/>
      <c r="G21" s="573" t="s">
        <v>1218</v>
      </c>
    </row>
    <row r="22" spans="2:7" x14ac:dyDescent="0.25">
      <c r="B22" s="2452"/>
      <c r="C22" s="96" t="s">
        <v>107</v>
      </c>
      <c r="D22" s="55"/>
    </row>
    <row r="23" spans="2:7" x14ac:dyDescent="0.25">
      <c r="B23" s="2444" t="s">
        <v>109</v>
      </c>
      <c r="C23" s="2444"/>
      <c r="D23" s="56" t="s">
        <v>841</v>
      </c>
    </row>
    <row r="24" spans="2:7" x14ac:dyDescent="0.25">
      <c r="B24" s="2444" t="s">
        <v>111</v>
      </c>
      <c r="C24" s="2444"/>
      <c r="D24" s="59" t="s">
        <v>919</v>
      </c>
    </row>
    <row r="25" spans="2:7" x14ac:dyDescent="0.25">
      <c r="B25" s="2445" t="s">
        <v>113</v>
      </c>
      <c r="C25" s="2445"/>
      <c r="D25" s="56" t="s">
        <v>220</v>
      </c>
    </row>
    <row r="26" spans="2:7" ht="15" customHeight="1" x14ac:dyDescent="0.25">
      <c r="B26" s="2446" t="s">
        <v>115</v>
      </c>
      <c r="C26" s="2446"/>
      <c r="D26" s="59" t="s">
        <v>843</v>
      </c>
    </row>
    <row r="27" spans="2:7" x14ac:dyDescent="0.25">
      <c r="B27" s="2447" t="s">
        <v>117</v>
      </c>
      <c r="C27" s="2448"/>
      <c r="D27" s="49"/>
    </row>
    <row r="28" spans="2:7" ht="93.75" x14ac:dyDescent="0.25">
      <c r="B28" s="97" t="s">
        <v>118</v>
      </c>
      <c r="C28" s="98"/>
      <c r="D28" s="56" t="s">
        <v>1219</v>
      </c>
    </row>
    <row r="29" spans="2:7" x14ac:dyDescent="0.25">
      <c r="B29" s="2449" t="s">
        <v>120</v>
      </c>
      <c r="C29" s="2450"/>
      <c r="D29" s="62"/>
    </row>
    <row r="30" spans="2:7" x14ac:dyDescent="0.25">
      <c r="B30" s="63"/>
      <c r="C30" s="63"/>
      <c r="D30" s="64"/>
    </row>
    <row r="31" spans="2:7" ht="23.25" customHeight="1" x14ac:dyDescent="0.25">
      <c r="B31" s="2604" t="s">
        <v>121</v>
      </c>
      <c r="C31" s="2604"/>
      <c r="D31" s="2604"/>
    </row>
    <row r="32" spans="2:7" x14ac:dyDescent="0.25">
      <c r="B32" s="2631" t="s">
        <v>122</v>
      </c>
      <c r="C32" s="2632"/>
      <c r="D32" s="574"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FA8782A8-9760-4858-95E3-0756F66BE7DB}"/>
    <dataValidation type="list" allowBlank="1" showInputMessage="1" showErrorMessage="1" sqref="D4" xr:uid="{65EA76B8-7303-4ABB-A2C5-A6254C54D88A}">
      <formula1>ODS</formula1>
    </dataValidation>
    <dataValidation type="list" allowBlank="1" showInputMessage="1" showErrorMessage="1" sqref="D5" xr:uid="{E28C33FD-7884-48E7-A5FE-A516D73B0615}">
      <formula1>Metas_ODS</formula1>
    </dataValidation>
    <dataValidation type="list" allowBlank="1" showInputMessage="1" showErrorMessage="1" sqref="D6" xr:uid="{EAFDFFF0-B7DC-4446-AB2D-975E92A1B278}">
      <formula1>Numero_indicador</formula1>
    </dataValidation>
    <dataValidation type="list" allowBlank="1" showInputMessage="1" showErrorMessage="1" sqref="D7" xr:uid="{C84365C9-7316-400D-9804-639834007FB5}">
      <formula1>Nombre_indicador_ODS</formula1>
    </dataValidation>
  </dataValidations>
  <hyperlinks>
    <hyperlink ref="B1" location="'3.4.1'!A1" display="REGRESAR" xr:uid="{DA987C05-D45B-483A-B722-7ACC46C6D689}"/>
    <hyperlink ref="D8" r:id="rId1" xr:uid="{57D7326B-B933-4385-B319-D2017A90443F}"/>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DFE0-7544-49F7-8B8C-6D3BA9E98A7F}">
  <dimension ref="A1:AC145"/>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5.5703125" style="22" customWidth="1"/>
    <col min="3" max="3" width="9.85546875" style="22" customWidth="1"/>
    <col min="4" max="17" width="11.42578125" style="22"/>
    <col min="18" max="18" width="11.42578125" style="22" customWidth="1"/>
    <col min="19" max="19" width="6.85546875" style="22" customWidth="1"/>
    <col min="20" max="26" width="11.42578125" style="22"/>
    <col min="27" max="27" width="1.28515625" style="22" customWidth="1"/>
    <col min="28" max="16384" width="11.42578125" style="22"/>
  </cols>
  <sheetData>
    <row r="1" spans="1:29" s="16" customFormat="1" ht="19.5" x14ac:dyDescent="0.4">
      <c r="A1" s="15" t="s">
        <v>39</v>
      </c>
      <c r="C1" s="2421" t="s">
        <v>149</v>
      </c>
      <c r="D1" s="2421"/>
    </row>
    <row r="2" spans="1:29" s="16" customFormat="1" ht="19.5" x14ac:dyDescent="0.4"/>
    <row r="3" spans="1:29" s="16" customFormat="1" ht="19.5" x14ac:dyDescent="0.4">
      <c r="A3" s="2574" t="s">
        <v>41</v>
      </c>
      <c r="B3" s="2574"/>
      <c r="C3" s="2574" t="s">
        <v>733</v>
      </c>
      <c r="D3" s="2575"/>
      <c r="E3" s="2575"/>
      <c r="F3" s="2575"/>
      <c r="G3" s="2575"/>
      <c r="H3" s="2575"/>
      <c r="I3" s="2575"/>
      <c r="J3" s="2575"/>
      <c r="K3" s="2575"/>
      <c r="L3" s="2575"/>
      <c r="M3" s="2575"/>
      <c r="N3" s="2575"/>
      <c r="O3" s="2575"/>
      <c r="P3" s="2575"/>
      <c r="Q3" s="2575"/>
      <c r="R3" s="2575"/>
      <c r="S3" s="529"/>
    </row>
    <row r="4" spans="1:29" s="16" customFormat="1" ht="19.5" x14ac:dyDescent="0.4">
      <c r="A4" s="2574" t="s">
        <v>42</v>
      </c>
      <c r="B4" s="2574"/>
      <c r="C4" s="2574" t="s">
        <v>683</v>
      </c>
      <c r="D4" s="2575"/>
      <c r="E4" s="2575"/>
      <c r="F4" s="2575"/>
      <c r="G4" s="2575"/>
      <c r="H4" s="2575"/>
      <c r="I4" s="2575"/>
      <c r="J4" s="2575"/>
      <c r="K4" s="2575"/>
      <c r="L4" s="2575"/>
      <c r="M4" s="2575"/>
      <c r="N4" s="2575"/>
      <c r="O4" s="2575"/>
      <c r="P4" s="2575"/>
      <c r="Q4" s="2575"/>
      <c r="R4" s="2575"/>
      <c r="S4" s="529"/>
    </row>
    <row r="5" spans="1:29" s="16" customFormat="1" ht="19.5" x14ac:dyDescent="0.4">
      <c r="A5" s="2574" t="s">
        <v>43</v>
      </c>
      <c r="B5" s="2574"/>
      <c r="C5" s="2574" t="s">
        <v>687</v>
      </c>
      <c r="D5" s="2575"/>
      <c r="E5" s="2575"/>
      <c r="F5" s="2575"/>
      <c r="G5" s="2575"/>
      <c r="H5" s="2575"/>
      <c r="I5" s="2575"/>
      <c r="J5" s="2575"/>
      <c r="K5" s="2575"/>
      <c r="L5" s="2575"/>
      <c r="M5" s="2575"/>
      <c r="N5" s="2575"/>
      <c r="O5" s="2575"/>
      <c r="P5" s="2575"/>
      <c r="Q5" s="2575"/>
      <c r="R5" s="2575"/>
      <c r="S5" s="529"/>
    </row>
    <row r="6" spans="1:29" s="16" customFormat="1" ht="40.15" customHeight="1" x14ac:dyDescent="0.4">
      <c r="A6" s="2574" t="s">
        <v>132</v>
      </c>
      <c r="B6" s="2575"/>
      <c r="C6" s="2574" t="s">
        <v>1220</v>
      </c>
      <c r="D6" s="2575"/>
      <c r="E6" s="2575"/>
      <c r="F6" s="2575"/>
      <c r="G6" s="2575"/>
      <c r="H6" s="2575"/>
      <c r="I6" s="2575"/>
      <c r="J6" s="2575"/>
      <c r="K6" s="2575"/>
      <c r="L6" s="2575"/>
      <c r="M6" s="2575"/>
      <c r="N6" s="2575"/>
      <c r="O6" s="2575"/>
      <c r="P6" s="2575"/>
      <c r="Q6" s="2575"/>
      <c r="R6" s="2575"/>
      <c r="S6" s="529"/>
    </row>
    <row r="7" spans="1:29" s="16" customFormat="1" ht="15" customHeight="1" x14ac:dyDescent="0.4">
      <c r="A7" s="162"/>
      <c r="B7" s="162"/>
      <c r="C7" s="105"/>
    </row>
    <row r="8" spans="1:29" s="16" customFormat="1" ht="19.5" x14ac:dyDescent="0.4"/>
    <row r="9" spans="1:29" s="16" customFormat="1" ht="17.45" customHeight="1" x14ac:dyDescent="0.4">
      <c r="C9" s="163" t="s">
        <v>1221</v>
      </c>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5" customHeight="1" x14ac:dyDescent="0.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row>
    <row r="11" spans="1:29" ht="12.75" customHeight="1" x14ac:dyDescent="0.25">
      <c r="C11" s="2578" t="s">
        <v>247</v>
      </c>
      <c r="D11" s="2578" t="s">
        <v>258</v>
      </c>
      <c r="E11" s="2581" t="s">
        <v>737</v>
      </c>
      <c r="F11" s="2581"/>
      <c r="G11" s="2581"/>
      <c r="H11" s="2581"/>
      <c r="I11" s="2581"/>
      <c r="J11" s="2581"/>
      <c r="K11" s="2581"/>
      <c r="L11" s="2581"/>
      <c r="M11" s="2581"/>
      <c r="N11" s="2581"/>
      <c r="O11" s="2581"/>
      <c r="P11" s="2581"/>
      <c r="Q11" s="2581"/>
      <c r="R11" s="2581"/>
      <c r="S11" s="408"/>
      <c r="T11" s="2581" t="s">
        <v>8185</v>
      </c>
      <c r="U11" s="2581"/>
      <c r="V11" s="2581"/>
      <c r="W11" s="2581"/>
      <c r="X11" s="2581"/>
      <c r="Y11" s="2581"/>
      <c r="Z11" s="2581"/>
      <c r="AA11" s="408"/>
      <c r="AB11" s="2581" t="s">
        <v>48</v>
      </c>
      <c r="AC11" s="2581"/>
    </row>
    <row r="12" spans="1:29" ht="38.25" x14ac:dyDescent="0.25">
      <c r="C12" s="2579"/>
      <c r="D12" s="2579"/>
      <c r="E12" s="412" t="s">
        <v>1222</v>
      </c>
      <c r="F12" s="412" t="s">
        <v>858</v>
      </c>
      <c r="G12" s="412" t="s">
        <v>859</v>
      </c>
      <c r="H12" s="412" t="s">
        <v>860</v>
      </c>
      <c r="I12" s="412" t="s">
        <v>861</v>
      </c>
      <c r="J12" s="412" t="s">
        <v>862</v>
      </c>
      <c r="K12" s="412" t="s">
        <v>1203</v>
      </c>
      <c r="L12" s="412" t="s">
        <v>1204</v>
      </c>
      <c r="M12" s="412" t="s">
        <v>1205</v>
      </c>
      <c r="N12" s="412" t="s">
        <v>1206</v>
      </c>
      <c r="O12" s="412" t="s">
        <v>1207</v>
      </c>
      <c r="P12" s="412" t="s">
        <v>1208</v>
      </c>
      <c r="Q12" s="412" t="s">
        <v>1223</v>
      </c>
      <c r="R12" s="412" t="s">
        <v>1224</v>
      </c>
      <c r="S12" s="412"/>
      <c r="T12" s="412" t="s">
        <v>328</v>
      </c>
      <c r="U12" s="412" t="s">
        <v>329</v>
      </c>
      <c r="V12" s="412" t="s">
        <v>330</v>
      </c>
      <c r="W12" s="412" t="s">
        <v>331</v>
      </c>
      <c r="X12" s="412" t="s">
        <v>332</v>
      </c>
      <c r="Y12" s="412" t="s">
        <v>1225</v>
      </c>
      <c r="Z12" s="412" t="s">
        <v>334</v>
      </c>
      <c r="AA12" s="412"/>
      <c r="AB12" s="412" t="s">
        <v>894</v>
      </c>
      <c r="AC12" s="412" t="s">
        <v>895</v>
      </c>
    </row>
    <row r="13" spans="1:29" ht="18.75" x14ac:dyDescent="0.4">
      <c r="C13" s="2378">
        <v>2010</v>
      </c>
      <c r="D13" s="566">
        <v>6.862269171835381</v>
      </c>
      <c r="E13" s="566">
        <v>1.2071622380401623</v>
      </c>
      <c r="F13" s="567">
        <v>3.2192522606552494</v>
      </c>
      <c r="G13" s="567">
        <v>8.1369845038764144</v>
      </c>
      <c r="H13" s="567">
        <v>10.783514513688607</v>
      </c>
      <c r="I13" s="567">
        <v>13.317914510461804</v>
      </c>
      <c r="J13" s="567">
        <v>12.236794931928355</v>
      </c>
      <c r="K13" s="567">
        <v>12.58646752394122</v>
      </c>
      <c r="L13" s="567">
        <v>9.9335920219722524</v>
      </c>
      <c r="M13" s="567">
        <v>8.8380228952399076</v>
      </c>
      <c r="N13" s="567">
        <v>7.5018336398455299</v>
      </c>
      <c r="O13" s="567">
        <v>8.7063667002583589</v>
      </c>
      <c r="P13" s="567">
        <v>7.7999714545701657</v>
      </c>
      <c r="Q13" s="567">
        <v>3.8211847421095659</v>
      </c>
      <c r="R13" s="567">
        <v>5.5594153349671798</v>
      </c>
      <c r="S13" s="566"/>
      <c r="T13" s="2603" t="s">
        <v>8178</v>
      </c>
      <c r="U13" s="2603"/>
      <c r="V13" s="2603"/>
      <c r="W13" s="2603"/>
      <c r="X13" s="2603"/>
      <c r="Y13" s="2603"/>
      <c r="Z13" s="2603"/>
      <c r="AA13" s="566"/>
      <c r="AB13" s="576">
        <v>11.774433463069233</v>
      </c>
      <c r="AC13" s="566">
        <v>1.9061039253516019</v>
      </c>
    </row>
    <row r="14" spans="1:29" ht="18.75" x14ac:dyDescent="0.4">
      <c r="C14" s="2382">
        <v>2011</v>
      </c>
      <c r="D14" s="566">
        <v>7.0521453331339181</v>
      </c>
      <c r="E14" s="566">
        <v>1.6988184501650923</v>
      </c>
      <c r="F14" s="567">
        <v>6.7167822137517224</v>
      </c>
      <c r="G14" s="567">
        <v>9.7740688975108583</v>
      </c>
      <c r="H14" s="567">
        <v>10.415036399318796</v>
      </c>
      <c r="I14" s="567">
        <v>10.469119890293623</v>
      </c>
      <c r="J14" s="567">
        <v>11.488780673023344</v>
      </c>
      <c r="K14" s="567">
        <v>10.256081649355229</v>
      </c>
      <c r="L14" s="567">
        <v>7.3519842091139056</v>
      </c>
      <c r="M14" s="567">
        <v>6.8511739775356144</v>
      </c>
      <c r="N14" s="567">
        <v>9.6605944213980965</v>
      </c>
      <c r="O14" s="567">
        <v>13.776465928916164</v>
      </c>
      <c r="P14" s="567">
        <v>9.3232018002670181</v>
      </c>
      <c r="Q14" s="567">
        <v>4.9476193897844052</v>
      </c>
      <c r="R14" s="567">
        <v>7.6207438518668775</v>
      </c>
      <c r="S14" s="566"/>
      <c r="T14" s="2572"/>
      <c r="U14" s="2572"/>
      <c r="V14" s="2572"/>
      <c r="W14" s="2572"/>
      <c r="X14" s="2572"/>
      <c r="Y14" s="2572"/>
      <c r="Z14" s="2572"/>
      <c r="AA14" s="566"/>
      <c r="AB14" s="576">
        <v>11.704433498217066</v>
      </c>
      <c r="AC14" s="566">
        <v>2.360626401257742</v>
      </c>
    </row>
    <row r="15" spans="1:29" ht="18.75" x14ac:dyDescent="0.4">
      <c r="C15" s="2378">
        <v>2012</v>
      </c>
      <c r="D15" s="566">
        <v>6.5743046305290562</v>
      </c>
      <c r="E15" s="566">
        <v>1.9869678519044756</v>
      </c>
      <c r="F15" s="567">
        <v>6.0419619157223892</v>
      </c>
      <c r="G15" s="567">
        <v>9.579272286330955</v>
      </c>
      <c r="H15" s="567">
        <v>8.257668505680325</v>
      </c>
      <c r="I15" s="567">
        <v>7.9271173154200216</v>
      </c>
      <c r="J15" s="567">
        <v>10.894776589887528</v>
      </c>
      <c r="K15" s="567">
        <v>8.9562110874362926</v>
      </c>
      <c r="L15" s="567">
        <v>12.052108097915708</v>
      </c>
      <c r="M15" s="567">
        <v>7.0262340582489555</v>
      </c>
      <c r="N15" s="567">
        <v>7.7513421815186012</v>
      </c>
      <c r="O15" s="567">
        <v>9.1567716438213651</v>
      </c>
      <c r="P15" s="567">
        <v>7.9573680025319016</v>
      </c>
      <c r="Q15" s="567">
        <v>8.4109377605708477</v>
      </c>
      <c r="R15" s="567">
        <v>5.8488860786475625</v>
      </c>
      <c r="S15" s="566"/>
      <c r="T15" s="2572"/>
      <c r="U15" s="2572"/>
      <c r="V15" s="2572"/>
      <c r="W15" s="2572"/>
      <c r="X15" s="2572"/>
      <c r="Y15" s="2572"/>
      <c r="Z15" s="2572"/>
      <c r="AA15" s="566"/>
      <c r="AB15" s="576">
        <v>11.299118244050931</v>
      </c>
      <c r="AC15" s="566">
        <v>1.8118918488097993</v>
      </c>
    </row>
    <row r="16" spans="1:29" ht="18.75" x14ac:dyDescent="0.4">
      <c r="C16" s="2378">
        <v>2013</v>
      </c>
      <c r="D16" s="566">
        <v>7.192730927373896</v>
      </c>
      <c r="E16" s="566">
        <v>1.7602797131362673</v>
      </c>
      <c r="F16" s="567">
        <v>4.7114865375264312</v>
      </c>
      <c r="G16" s="567">
        <v>8.1823805323575822</v>
      </c>
      <c r="H16" s="567">
        <v>10.636791060938773</v>
      </c>
      <c r="I16" s="567">
        <v>14.11074661650771</v>
      </c>
      <c r="J16" s="567">
        <v>7.0471610643525038</v>
      </c>
      <c r="K16" s="567">
        <v>8.9839442500424624</v>
      </c>
      <c r="L16" s="567">
        <v>10.583264761722061</v>
      </c>
      <c r="M16" s="567">
        <v>9.4275863862733598</v>
      </c>
      <c r="N16" s="567">
        <v>11.636755325112802</v>
      </c>
      <c r="O16" s="567">
        <v>8.6799943501184647</v>
      </c>
      <c r="P16" s="567">
        <v>10.158654633612706</v>
      </c>
      <c r="Q16" s="567">
        <v>8.1139190103981615</v>
      </c>
      <c r="R16" s="567">
        <v>9.8136673929420155</v>
      </c>
      <c r="S16" s="566"/>
      <c r="T16" s="2572"/>
      <c r="U16" s="2572"/>
      <c r="V16" s="2572"/>
      <c r="W16" s="2572"/>
      <c r="X16" s="2572"/>
      <c r="Y16" s="2572"/>
      <c r="Z16" s="2572"/>
      <c r="AA16" s="566"/>
      <c r="AB16" s="576">
        <v>12.429960067383567</v>
      </c>
      <c r="AC16" s="566">
        <v>1.9166563969548089</v>
      </c>
    </row>
    <row r="17" spans="1:29" ht="18.75" x14ac:dyDescent="0.4">
      <c r="A17" s="23"/>
      <c r="C17" s="2378">
        <v>2014</v>
      </c>
      <c r="D17" s="566">
        <v>5.951660018257817</v>
      </c>
      <c r="E17" s="566">
        <v>1.5325300129939334</v>
      </c>
      <c r="F17" s="567">
        <v>5.4639945585760801</v>
      </c>
      <c r="G17" s="567">
        <v>8.0109849809120472</v>
      </c>
      <c r="H17" s="567">
        <v>7.9267088039870881</v>
      </c>
      <c r="I17" s="567">
        <v>7.0275637521155128</v>
      </c>
      <c r="J17" s="567">
        <v>6.168249742310346</v>
      </c>
      <c r="K17" s="567">
        <v>9.9802078470659019</v>
      </c>
      <c r="L17" s="567">
        <v>5.8107004948234113</v>
      </c>
      <c r="M17" s="567">
        <v>10.669444333532457</v>
      </c>
      <c r="N17" s="567">
        <v>13.810928345667447</v>
      </c>
      <c r="O17" s="567">
        <v>7.0369680909706593</v>
      </c>
      <c r="P17" s="567">
        <v>3.2259241668452208</v>
      </c>
      <c r="Q17" s="567">
        <v>8.9008064383888517</v>
      </c>
      <c r="R17" s="567">
        <v>5.3902281512817716</v>
      </c>
      <c r="S17" s="566"/>
      <c r="T17" s="2572"/>
      <c r="U17" s="2572"/>
      <c r="V17" s="2572"/>
      <c r="W17" s="2572"/>
      <c r="X17" s="2572"/>
      <c r="Y17" s="2572"/>
      <c r="Z17" s="2572"/>
      <c r="AA17" s="566"/>
      <c r="AB17" s="576">
        <v>9.7329284104642539</v>
      </c>
      <c r="AC17" s="566">
        <v>2.1448012204403062</v>
      </c>
    </row>
    <row r="18" spans="1:29" ht="18.75" x14ac:dyDescent="0.4">
      <c r="C18" s="2378">
        <v>2015</v>
      </c>
      <c r="D18" s="566">
        <v>6.5237377177132938</v>
      </c>
      <c r="E18" s="566">
        <v>1.5598085234092447</v>
      </c>
      <c r="F18" s="567">
        <v>7.2375238975150946</v>
      </c>
      <c r="G18" s="567">
        <v>8.0337101986735888</v>
      </c>
      <c r="H18" s="567">
        <v>7.8971350981421713</v>
      </c>
      <c r="I18" s="567">
        <v>6.7684461183215978</v>
      </c>
      <c r="J18" s="567">
        <v>9.4858632147265212</v>
      </c>
      <c r="K18" s="567">
        <v>9.5605680508566095</v>
      </c>
      <c r="L18" s="567">
        <v>8.9195824285043326</v>
      </c>
      <c r="M18" s="567">
        <v>8.635127036147761</v>
      </c>
      <c r="N18" s="567">
        <v>12.484185201905966</v>
      </c>
      <c r="O18" s="567">
        <v>10.002624467971632</v>
      </c>
      <c r="P18" s="567">
        <v>10.728771048974625</v>
      </c>
      <c r="Q18" s="567">
        <v>2.1189127177038696</v>
      </c>
      <c r="R18" s="567">
        <v>5.8313186813984625</v>
      </c>
      <c r="S18" s="566"/>
      <c r="T18" s="2572"/>
      <c r="U18" s="2572"/>
      <c r="V18" s="2572"/>
      <c r="W18" s="2572"/>
      <c r="X18" s="2572"/>
      <c r="Y18" s="2572"/>
      <c r="Z18" s="2572"/>
      <c r="AA18" s="566"/>
      <c r="AB18" s="576">
        <v>10.861920390632484</v>
      </c>
      <c r="AC18" s="566">
        <v>2.1601705486143246</v>
      </c>
    </row>
    <row r="19" spans="1:29" ht="18.75" x14ac:dyDescent="0.4">
      <c r="C19" s="2382">
        <v>2016</v>
      </c>
      <c r="D19" s="566">
        <v>6.9428473040316403</v>
      </c>
      <c r="E19" s="566">
        <v>1.3216431643715567</v>
      </c>
      <c r="F19" s="567">
        <v>6.3051006478527043</v>
      </c>
      <c r="G19" s="567">
        <v>9.4797650401270204</v>
      </c>
      <c r="H19" s="567">
        <v>7.9436906588305689</v>
      </c>
      <c r="I19" s="567">
        <v>11.139763443117653</v>
      </c>
      <c r="J19" s="567">
        <v>10.205706716858614</v>
      </c>
      <c r="K19" s="567">
        <v>10.183763067656146</v>
      </c>
      <c r="L19" s="567">
        <v>10.689390643806206</v>
      </c>
      <c r="M19" s="567">
        <v>8.876641212918031</v>
      </c>
      <c r="N19" s="567">
        <v>7.0053548133131684</v>
      </c>
      <c r="O19" s="567">
        <v>8.9610985797854035</v>
      </c>
      <c r="P19" s="567">
        <v>10.193269593141833</v>
      </c>
      <c r="Q19" s="567">
        <v>7.0921821867497252</v>
      </c>
      <c r="R19" s="567">
        <v>5.0059517393509534</v>
      </c>
      <c r="S19" s="566"/>
      <c r="T19" s="2572"/>
      <c r="U19" s="2572"/>
      <c r="V19" s="2572"/>
      <c r="W19" s="2572"/>
      <c r="X19" s="2572"/>
      <c r="Y19" s="2572"/>
      <c r="Z19" s="2572"/>
      <c r="AA19" s="566"/>
      <c r="AB19" s="576">
        <v>11.725764655614928</v>
      </c>
      <c r="AC19" s="566">
        <v>2.1354171525861263</v>
      </c>
    </row>
    <row r="20" spans="1:29" ht="18.75" x14ac:dyDescent="0.4">
      <c r="C20" s="2382">
        <v>2017</v>
      </c>
      <c r="D20" s="566">
        <v>6.4254340221890409</v>
      </c>
      <c r="E20" s="566">
        <v>1.0538297886876655</v>
      </c>
      <c r="F20" s="567">
        <v>5.4597279140260602</v>
      </c>
      <c r="G20" s="567">
        <v>8.815863230982746</v>
      </c>
      <c r="H20" s="567">
        <v>9.5664553203038416</v>
      </c>
      <c r="I20" s="567">
        <v>8.7301924000594209</v>
      </c>
      <c r="J20" s="567">
        <v>9.587463882840078</v>
      </c>
      <c r="K20" s="567">
        <v>11.610193373392597</v>
      </c>
      <c r="L20" s="567">
        <v>7.2976031931809615</v>
      </c>
      <c r="M20" s="567">
        <v>6.9840270767158392</v>
      </c>
      <c r="N20" s="567">
        <v>8.7808845380961618</v>
      </c>
      <c r="O20" s="567">
        <v>7.5314650539003747</v>
      </c>
      <c r="P20" s="567">
        <v>4.8397448699477694</v>
      </c>
      <c r="Q20" s="567">
        <v>11.540182357266032</v>
      </c>
      <c r="R20" s="567">
        <v>4.2259191857057896</v>
      </c>
      <c r="S20" s="566"/>
      <c r="T20" s="2572"/>
      <c r="U20" s="2572"/>
      <c r="V20" s="2572"/>
      <c r="W20" s="2572"/>
      <c r="X20" s="2572"/>
      <c r="Y20" s="2572"/>
      <c r="Z20" s="2572"/>
      <c r="AA20" s="566"/>
      <c r="AB20" s="576">
        <v>10.354938468563478</v>
      </c>
      <c r="AC20" s="566">
        <v>2.4783967651074494</v>
      </c>
    </row>
    <row r="21" spans="1:29" ht="18.75" x14ac:dyDescent="0.4">
      <c r="C21" s="2382">
        <v>2018</v>
      </c>
      <c r="D21" s="566">
        <v>7.9697286669362111</v>
      </c>
      <c r="E21" s="566">
        <v>1.3126661656660261</v>
      </c>
      <c r="F21" s="567">
        <v>6.0299183385603392</v>
      </c>
      <c r="G21" s="567">
        <v>11.524472619267261</v>
      </c>
      <c r="H21" s="567">
        <v>8.3990879754364904</v>
      </c>
      <c r="I21" s="567">
        <v>11.564891085381575</v>
      </c>
      <c r="J21" s="567">
        <v>13.875226652900732</v>
      </c>
      <c r="K21" s="567">
        <v>13.843998693481769</v>
      </c>
      <c r="L21" s="567">
        <v>12.201790555168856</v>
      </c>
      <c r="M21" s="567">
        <v>9.3468882162790212</v>
      </c>
      <c r="N21" s="567">
        <v>8.8683151736683943</v>
      </c>
      <c r="O21" s="567">
        <v>9.6490784691529292</v>
      </c>
      <c r="P21" s="567">
        <v>5.8974370653519932</v>
      </c>
      <c r="Q21" s="567">
        <v>10.140254043909209</v>
      </c>
      <c r="R21" s="567">
        <v>6.9531575655999429</v>
      </c>
      <c r="S21" s="566"/>
      <c r="T21" s="2572"/>
      <c r="U21" s="2572"/>
      <c r="V21" s="2572"/>
      <c r="W21" s="2572"/>
      <c r="X21" s="2572"/>
      <c r="Y21" s="2572"/>
      <c r="Z21" s="2572"/>
      <c r="AA21" s="566"/>
      <c r="AB21" s="576">
        <v>12.784468434057779</v>
      </c>
      <c r="AC21" s="566">
        <v>3.1374015269300597</v>
      </c>
    </row>
    <row r="22" spans="1:29" ht="18.75" x14ac:dyDescent="0.4">
      <c r="C22" s="2382">
        <v>2019</v>
      </c>
      <c r="D22" s="566">
        <v>7.6479244683215635</v>
      </c>
      <c r="E22" s="566">
        <v>1.8403014891128759</v>
      </c>
      <c r="F22" s="567">
        <v>7.9121636448185768</v>
      </c>
      <c r="G22" s="567">
        <v>10.675789396180466</v>
      </c>
      <c r="H22" s="567">
        <v>8.9179553069045738</v>
      </c>
      <c r="I22" s="567">
        <v>7.9308091131308842</v>
      </c>
      <c r="J22" s="567">
        <v>10.698810589173029</v>
      </c>
      <c r="K22" s="567">
        <v>10.233611866161882</v>
      </c>
      <c r="L22" s="567">
        <v>12.85254482726123</v>
      </c>
      <c r="M22" s="567">
        <v>12.482581931012605</v>
      </c>
      <c r="N22" s="567">
        <v>7.9013708711619595</v>
      </c>
      <c r="O22" s="567">
        <v>14.319649883855108</v>
      </c>
      <c r="P22" s="567">
        <v>4.9601608720360701</v>
      </c>
      <c r="Q22" s="567">
        <v>7.0300052491678935</v>
      </c>
      <c r="R22" s="567">
        <v>6.125258793423102</v>
      </c>
      <c r="S22" s="566"/>
      <c r="T22" s="2572"/>
      <c r="U22" s="2572"/>
      <c r="V22" s="2572"/>
      <c r="W22" s="2572"/>
      <c r="X22" s="2572"/>
      <c r="Y22" s="2572"/>
      <c r="Z22" s="2572"/>
      <c r="AA22" s="566"/>
      <c r="AB22" s="576">
        <v>13.206951450235112</v>
      </c>
      <c r="AC22" s="566">
        <v>2.0740744368633166</v>
      </c>
    </row>
    <row r="23" spans="1:29" ht="18.75" x14ac:dyDescent="0.4">
      <c r="C23" s="2382">
        <v>2020</v>
      </c>
      <c r="D23" s="566">
        <v>7.6414773538944232</v>
      </c>
      <c r="E23" s="566">
        <v>1.8426710809217623</v>
      </c>
      <c r="F23" s="567">
        <v>7.5355185715153921</v>
      </c>
      <c r="G23" s="567">
        <v>12.052900708629227</v>
      </c>
      <c r="H23" s="567">
        <v>12.161423769045861</v>
      </c>
      <c r="I23" s="567">
        <v>9.4872291202876973</v>
      </c>
      <c r="J23" s="567">
        <v>9.5563846423851313</v>
      </c>
      <c r="K23" s="567">
        <v>8.6507652608885213</v>
      </c>
      <c r="L23" s="567">
        <v>11.039334460813475</v>
      </c>
      <c r="M23" s="567">
        <v>9.7575516724798828</v>
      </c>
      <c r="N23" s="567">
        <v>8.8408396222586827</v>
      </c>
      <c r="O23" s="567">
        <v>6.2597879985905944</v>
      </c>
      <c r="P23" s="567">
        <v>10.014944401831144</v>
      </c>
      <c r="Q23" s="567">
        <v>5.8560972391693671</v>
      </c>
      <c r="R23" s="567">
        <v>8.0212515448674502</v>
      </c>
      <c r="S23" s="566"/>
      <c r="T23" s="2572"/>
      <c r="U23" s="2572"/>
      <c r="V23" s="2572"/>
      <c r="W23" s="2572"/>
      <c r="X23" s="2572"/>
      <c r="Y23" s="2572"/>
      <c r="Z23" s="2572"/>
      <c r="AA23" s="566"/>
      <c r="AB23" s="576">
        <v>11.948919164299253</v>
      </c>
      <c r="AC23" s="566">
        <v>3.3281113924345198</v>
      </c>
    </row>
    <row r="24" spans="1:29" ht="18.75" x14ac:dyDescent="0.4">
      <c r="C24" s="2382">
        <v>2021</v>
      </c>
      <c r="D24" s="566">
        <v>7.6413047707110078</v>
      </c>
      <c r="E24" s="566">
        <v>2.6158122846206546</v>
      </c>
      <c r="F24" s="567">
        <v>5.8137461380223021</v>
      </c>
      <c r="G24" s="567">
        <v>10.424093993814974</v>
      </c>
      <c r="H24" s="567">
        <v>12.25805647231655</v>
      </c>
      <c r="I24" s="567">
        <v>10.2304722195057</v>
      </c>
      <c r="J24" s="567">
        <v>10.696439543921304</v>
      </c>
      <c r="K24" s="567">
        <v>11.989714614024685</v>
      </c>
      <c r="L24" s="567">
        <v>6.1779179249170326</v>
      </c>
      <c r="M24" s="567">
        <v>9.8184622193148154</v>
      </c>
      <c r="N24" s="567">
        <v>8.3724276537309912</v>
      </c>
      <c r="O24" s="567">
        <v>8.5683727369837275</v>
      </c>
      <c r="P24" s="567">
        <v>7.2792539292524863</v>
      </c>
      <c r="Q24" s="567">
        <v>7.9668202565074262</v>
      </c>
      <c r="R24" s="567">
        <v>8.7967823569288761</v>
      </c>
      <c r="S24" s="566"/>
      <c r="T24" s="2572"/>
      <c r="U24" s="2572"/>
      <c r="V24" s="2572"/>
      <c r="W24" s="2572"/>
      <c r="X24" s="2572"/>
      <c r="Y24" s="2572"/>
      <c r="Z24" s="2572"/>
      <c r="AA24" s="566"/>
      <c r="AB24" s="576">
        <v>12.800828758943224</v>
      </c>
      <c r="AC24" s="566">
        <v>2.4815178663272413</v>
      </c>
    </row>
    <row r="25" spans="1:29" ht="18.75" x14ac:dyDescent="0.4">
      <c r="C25" s="2382">
        <v>2022</v>
      </c>
      <c r="D25" s="566">
        <v>8.952171207493441</v>
      </c>
      <c r="E25" s="566">
        <v>2.360076687188279</v>
      </c>
      <c r="F25" s="567">
        <v>10.538358677895639</v>
      </c>
      <c r="G25" s="567">
        <v>13.39994254337679</v>
      </c>
      <c r="H25" s="567">
        <v>11.144300622290185</v>
      </c>
      <c r="I25" s="567">
        <v>13.239202682863423</v>
      </c>
      <c r="J25" s="567">
        <v>11.1364395625922</v>
      </c>
      <c r="K25" s="567">
        <v>9.9337059802344321</v>
      </c>
      <c r="L25" s="567">
        <v>11.404321182854158</v>
      </c>
      <c r="M25" s="567">
        <v>8.1304981670921084</v>
      </c>
      <c r="N25" s="567">
        <v>13.250942170141048</v>
      </c>
      <c r="O25" s="567">
        <v>12.036615143263145</v>
      </c>
      <c r="P25" s="567">
        <v>9.0624088956905329</v>
      </c>
      <c r="Q25" s="567">
        <v>9.083881756432751</v>
      </c>
      <c r="R25" s="567">
        <v>6.4951766579313013</v>
      </c>
      <c r="S25" s="566"/>
      <c r="T25" s="2572"/>
      <c r="U25" s="2572"/>
      <c r="V25" s="2572"/>
      <c r="W25" s="2572"/>
      <c r="X25" s="2572"/>
      <c r="Y25" s="2572"/>
      <c r="Z25" s="2572"/>
      <c r="AA25" s="566"/>
      <c r="AB25" s="576">
        <v>14.50348252220846</v>
      </c>
      <c r="AC25" s="566">
        <v>3.4066941966466615</v>
      </c>
    </row>
    <row r="26" spans="1:29" ht="18.75" x14ac:dyDescent="0.4">
      <c r="C26" s="2382">
        <v>2023</v>
      </c>
      <c r="D26" s="566">
        <v>8.0414156314630212</v>
      </c>
      <c r="E26" s="566">
        <v>2.6395318935091452</v>
      </c>
      <c r="F26" s="567">
        <v>7.8770115331856649</v>
      </c>
      <c r="G26" s="567">
        <v>12.814947549372235</v>
      </c>
      <c r="H26" s="567">
        <v>12.006734138265717</v>
      </c>
      <c r="I26" s="567">
        <v>9.5573047624492329</v>
      </c>
      <c r="J26" s="567">
        <v>10.685985463389263</v>
      </c>
      <c r="K26" s="567">
        <v>12.096576364225564</v>
      </c>
      <c r="L26" s="567">
        <v>9.4396727927893487</v>
      </c>
      <c r="M26" s="567">
        <v>8.5051079516788128</v>
      </c>
      <c r="N26" s="567">
        <v>10.284183532803144</v>
      </c>
      <c r="O26" s="567">
        <v>7.6089582937806313</v>
      </c>
      <c r="P26" s="567">
        <v>7.1556639641848365</v>
      </c>
      <c r="Q26" s="567">
        <v>5.7192903591698192</v>
      </c>
      <c r="R26" s="567">
        <v>5.2207350471224734</v>
      </c>
      <c r="S26" s="566"/>
      <c r="T26" s="2572"/>
      <c r="U26" s="2572"/>
      <c r="V26" s="2572"/>
      <c r="W26" s="2572"/>
      <c r="X26" s="2572"/>
      <c r="Y26" s="2572"/>
      <c r="Z26" s="2572"/>
      <c r="AA26" s="566"/>
      <c r="AB26" s="576">
        <v>13.212190802036007</v>
      </c>
      <c r="AC26" s="566">
        <v>2.8792660160607579</v>
      </c>
    </row>
    <row r="27" spans="1:29" ht="19.5" x14ac:dyDescent="0.4">
      <c r="C27" s="383" t="s">
        <v>8168</v>
      </c>
      <c r="D27" s="568">
        <v>7.1637954242084119</v>
      </c>
      <c r="E27" s="568">
        <v>1.0538623305837869</v>
      </c>
      <c r="F27" s="569">
        <v>5.5213772567395729</v>
      </c>
      <c r="G27" s="569">
        <v>8.4230187036863349</v>
      </c>
      <c r="H27" s="569">
        <v>14.723087361854596</v>
      </c>
      <c r="I27" s="569">
        <v>12.377862752898116</v>
      </c>
      <c r="J27" s="569">
        <v>9.3306747890542105</v>
      </c>
      <c r="K27" s="569">
        <v>8.1472127140650183</v>
      </c>
      <c r="L27" s="569">
        <v>7.5228574965449866</v>
      </c>
      <c r="M27" s="569">
        <v>8.8192448396918</v>
      </c>
      <c r="N27" s="569">
        <v>9.2233151756628438</v>
      </c>
      <c r="O27" s="569">
        <v>6.635936348092657</v>
      </c>
      <c r="P27" s="569">
        <v>6.3418870035916379</v>
      </c>
      <c r="Q27" s="569">
        <v>6.0627634543113365</v>
      </c>
      <c r="R27" s="569">
        <v>4.0434209983231906</v>
      </c>
      <c r="S27" s="568"/>
      <c r="T27" s="2573"/>
      <c r="U27" s="2573"/>
      <c r="V27" s="2573"/>
      <c r="W27" s="2573"/>
      <c r="X27" s="2573"/>
      <c r="Y27" s="2573"/>
      <c r="Z27" s="2573"/>
      <c r="AA27" s="568"/>
      <c r="AB27" s="577">
        <v>11.591651348905659</v>
      </c>
      <c r="AC27" s="568">
        <v>2.7461717918177979</v>
      </c>
    </row>
    <row r="28" spans="1:29" ht="18.75" x14ac:dyDescent="0.4">
      <c r="C28" s="5" t="s">
        <v>1226</v>
      </c>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18.75" x14ac:dyDescent="0.4">
      <c r="C29" s="2378" t="s">
        <v>8182</v>
      </c>
      <c r="D29" s="379"/>
      <c r="E29" s="380"/>
      <c r="F29" s="379"/>
      <c r="G29" s="379"/>
      <c r="H29" s="379"/>
      <c r="I29" s="379"/>
      <c r="J29" s="2405"/>
      <c r="K29" s="2405"/>
      <c r="L29" s="2405"/>
      <c r="M29" s="2405"/>
      <c r="N29" s="2405"/>
      <c r="O29" s="2405"/>
      <c r="P29" s="2405"/>
      <c r="Q29" s="379"/>
      <c r="R29" s="380"/>
      <c r="S29" s="380"/>
      <c r="T29" s="381"/>
      <c r="U29" s="5"/>
      <c r="V29" s="5"/>
      <c r="W29" s="5"/>
      <c r="X29" s="5"/>
      <c r="Y29" s="5"/>
      <c r="Z29" s="5"/>
      <c r="AA29" s="5"/>
      <c r="AB29" s="5"/>
      <c r="AC29" s="5"/>
    </row>
    <row r="30" spans="1:29" ht="18.75" x14ac:dyDescent="0.4">
      <c r="C30" s="5" t="s">
        <v>746</v>
      </c>
      <c r="D30" s="2399"/>
      <c r="E30" s="2399"/>
      <c r="F30" s="2399"/>
      <c r="G30" s="5"/>
      <c r="H30" s="5"/>
      <c r="I30" s="5"/>
      <c r="J30" s="5"/>
      <c r="K30" s="5"/>
      <c r="L30" s="5"/>
      <c r="M30" s="5"/>
      <c r="N30" s="5"/>
      <c r="O30" s="5"/>
      <c r="P30" s="5"/>
      <c r="Q30" s="5"/>
      <c r="R30" s="5"/>
      <c r="S30" s="5"/>
      <c r="T30" s="5"/>
      <c r="U30" s="5"/>
      <c r="V30" s="5"/>
      <c r="W30" s="5"/>
      <c r="X30" s="5"/>
      <c r="Y30" s="5"/>
      <c r="Z30" s="5"/>
      <c r="AA30" s="5"/>
      <c r="AB30" s="5"/>
      <c r="AC30" s="5"/>
    </row>
    <row r="31" spans="1:29" ht="18.75" x14ac:dyDescent="0.4">
      <c r="C31" s="5" t="s">
        <v>8170</v>
      </c>
      <c r="D31" s="2399"/>
      <c r="E31" s="2399"/>
      <c r="F31" s="2399"/>
      <c r="G31" s="5"/>
      <c r="H31" s="5"/>
      <c r="I31" s="5"/>
      <c r="J31" s="5"/>
      <c r="K31" s="5"/>
      <c r="L31" s="5"/>
      <c r="M31" s="5"/>
      <c r="N31" s="5"/>
      <c r="O31" s="5"/>
      <c r="P31" s="5"/>
      <c r="Q31" s="5"/>
      <c r="R31" s="5"/>
      <c r="S31" s="5"/>
      <c r="T31" s="5"/>
      <c r="U31" s="5"/>
      <c r="V31" s="5"/>
      <c r="W31" s="5"/>
      <c r="X31" s="5"/>
      <c r="Y31" s="5"/>
      <c r="Z31" s="5"/>
      <c r="AA31" s="5"/>
      <c r="AB31" s="5"/>
      <c r="AC31" s="5"/>
    </row>
    <row r="32" spans="1:29" ht="18.75" x14ac:dyDescent="0.4">
      <c r="C32" s="5"/>
      <c r="D32" s="5"/>
      <c r="E32" s="5"/>
      <c r="F32" s="5"/>
      <c r="G32" s="5"/>
      <c r="H32" s="5"/>
      <c r="I32" s="5"/>
      <c r="J32" s="5"/>
      <c r="K32" s="5"/>
      <c r="L32" s="5"/>
      <c r="M32" s="5"/>
      <c r="N32" s="5"/>
      <c r="O32" s="5"/>
      <c r="P32" s="5"/>
      <c r="Q32" s="5"/>
      <c r="R32" s="5"/>
      <c r="S32" s="5"/>
      <c r="T32" s="5"/>
      <c r="U32" s="5"/>
      <c r="V32" s="5"/>
      <c r="W32" s="5"/>
      <c r="X32" s="5"/>
      <c r="Y32" s="5"/>
      <c r="Z32" s="5"/>
      <c r="AA32" s="5"/>
      <c r="AB32" s="5"/>
      <c r="AC32" s="5"/>
    </row>
    <row r="34" spans="3:3" ht="19.5" x14ac:dyDescent="0.25">
      <c r="C34" s="43" t="s">
        <v>8184</v>
      </c>
    </row>
    <row r="47" spans="3:3" x14ac:dyDescent="0.25">
      <c r="C47" s="133"/>
    </row>
    <row r="55" spans="3:19" ht="18.75" x14ac:dyDescent="0.4">
      <c r="C55" s="5" t="s">
        <v>8181</v>
      </c>
    </row>
    <row r="58" spans="3:19" ht="18.75" x14ac:dyDescent="0.4">
      <c r="C58" s="154" t="s">
        <v>1227</v>
      </c>
      <c r="D58" s="5"/>
      <c r="E58" s="5"/>
      <c r="F58" s="5"/>
      <c r="G58" s="5"/>
      <c r="H58" s="5"/>
      <c r="I58" s="5"/>
      <c r="J58" s="5"/>
      <c r="K58" s="5"/>
      <c r="L58" s="5"/>
      <c r="M58" s="5"/>
      <c r="N58" s="5"/>
      <c r="O58" s="5"/>
      <c r="P58" s="5"/>
    </row>
    <row r="59" spans="3:19" ht="18.75" x14ac:dyDescent="0.4">
      <c r="C59" s="5"/>
      <c r="D59" s="5"/>
      <c r="E59" s="5"/>
      <c r="F59" s="5"/>
      <c r="G59" s="5"/>
      <c r="H59" s="5"/>
      <c r="I59" s="5"/>
      <c r="J59" s="5"/>
      <c r="K59" s="5"/>
      <c r="L59" s="5"/>
      <c r="M59" s="5"/>
      <c r="N59" s="5"/>
      <c r="O59" s="5"/>
      <c r="P59" s="5"/>
    </row>
    <row r="60" spans="3:19" ht="18.75" x14ac:dyDescent="0.25">
      <c r="C60" s="388" t="s">
        <v>749</v>
      </c>
      <c r="D60" s="389" t="s">
        <v>750</v>
      </c>
      <c r="E60" s="390">
        <v>2010</v>
      </c>
      <c r="F60" s="390">
        <v>2011</v>
      </c>
      <c r="G60" s="390">
        <v>2012</v>
      </c>
      <c r="H60" s="390">
        <v>2013</v>
      </c>
      <c r="I60" s="390">
        <v>2014</v>
      </c>
      <c r="J60" s="390">
        <v>2015</v>
      </c>
      <c r="K60" s="390">
        <v>2016</v>
      </c>
      <c r="L60" s="390">
        <v>2017</v>
      </c>
      <c r="M60" s="390">
        <v>2018</v>
      </c>
      <c r="N60" s="390">
        <v>2019</v>
      </c>
      <c r="O60" s="390">
        <v>2020</v>
      </c>
      <c r="P60" s="390">
        <v>2021</v>
      </c>
      <c r="Q60" s="390">
        <v>2022</v>
      </c>
      <c r="R60" s="2379">
        <v>2023</v>
      </c>
      <c r="S60" s="2379">
        <v>2024</v>
      </c>
    </row>
    <row r="61" spans="3:19" ht="18.75" x14ac:dyDescent="0.4">
      <c r="C61" s="2567" t="s">
        <v>328</v>
      </c>
      <c r="D61" s="391" t="s">
        <v>328</v>
      </c>
      <c r="E61" s="340">
        <v>10.317078203452782</v>
      </c>
      <c r="F61" s="340">
        <v>6.8290108798559706</v>
      </c>
      <c r="G61" s="340">
        <v>6.1509126416632069</v>
      </c>
      <c r="H61" s="340">
        <v>7.6184207318559682</v>
      </c>
      <c r="I61" s="340">
        <v>5.1356568656179862</v>
      </c>
      <c r="J61" s="340">
        <v>8.6831546799209534</v>
      </c>
      <c r="K61" s="340">
        <v>9.5014133352336145</v>
      </c>
      <c r="L61" s="340">
        <v>7.3620137758001771</v>
      </c>
      <c r="M61" s="340">
        <v>9.6438215250096437</v>
      </c>
      <c r="N61" s="340">
        <v>7.2495077584232028</v>
      </c>
      <c r="O61" s="340">
        <v>6.3327940863217398</v>
      </c>
      <c r="P61" s="340">
        <v>6.2915024679848326</v>
      </c>
      <c r="Q61" s="423">
        <v>5.6824962069337817</v>
      </c>
    </row>
    <row r="62" spans="3:19" ht="18.75" x14ac:dyDescent="0.4">
      <c r="C62" s="2567"/>
      <c r="D62" s="391" t="s">
        <v>752</v>
      </c>
      <c r="E62" s="340">
        <v>3.1736964042019737</v>
      </c>
      <c r="F62" s="340">
        <v>9.4135366657253137</v>
      </c>
      <c r="G62" s="340">
        <v>7.7553046283658027</v>
      </c>
      <c r="H62" s="340">
        <v>12.269750463949938</v>
      </c>
      <c r="I62" s="340">
        <v>6.067500948047023</v>
      </c>
      <c r="J62" s="340">
        <v>3.0006601452319512</v>
      </c>
      <c r="K62" s="340">
        <v>11.876131943825897</v>
      </c>
      <c r="L62" s="340">
        <v>13.22556943423953</v>
      </c>
      <c r="M62" s="340">
        <v>4.3650331742521242</v>
      </c>
      <c r="N62" s="340">
        <v>4.3231403291350832</v>
      </c>
      <c r="O62" s="340">
        <v>4.2824107117366603</v>
      </c>
      <c r="P62" s="340">
        <v>5.6623538404914919</v>
      </c>
      <c r="Q62" s="340">
        <v>9.8311845172888397</v>
      </c>
    </row>
    <row r="63" spans="3:19" ht="18.75" x14ac:dyDescent="0.4">
      <c r="C63" s="2567"/>
      <c r="D63" s="391" t="s">
        <v>753</v>
      </c>
      <c r="E63" s="340">
        <v>7.2670457642207005</v>
      </c>
      <c r="F63" s="340">
        <v>7.1810706976410188</v>
      </c>
      <c r="G63" s="340">
        <v>3.9916795657052635</v>
      </c>
      <c r="H63" s="340">
        <v>9.2047935057990209</v>
      </c>
      <c r="I63" s="340">
        <v>6.0666464445118518</v>
      </c>
      <c r="J63" s="340">
        <v>5.570791909496057</v>
      </c>
      <c r="K63" s="340">
        <v>5.9356490844261289</v>
      </c>
      <c r="L63" s="340">
        <v>5.4550337372855751</v>
      </c>
      <c r="M63" s="340">
        <v>10.387624599557071</v>
      </c>
      <c r="N63" s="340">
        <v>5.7617199557170666</v>
      </c>
      <c r="O63" s="340">
        <v>6.117255554468044</v>
      </c>
      <c r="P63" s="340">
        <v>5.2560930247602409</v>
      </c>
      <c r="Q63" s="340">
        <v>7.2182766765450115</v>
      </c>
    </row>
    <row r="64" spans="3:19" ht="18.75" x14ac:dyDescent="0.4">
      <c r="C64" s="2567"/>
      <c r="D64" s="391" t="s">
        <v>754</v>
      </c>
      <c r="E64" s="340">
        <v>11.746740279572419</v>
      </c>
      <c r="F64" s="340">
        <v>2.8998115122517039</v>
      </c>
      <c r="G64" s="340">
        <v>14.309017542855507</v>
      </c>
      <c r="H64" s="340">
        <v>11.29975423034549</v>
      </c>
      <c r="I64" s="392" t="s">
        <v>751</v>
      </c>
      <c r="J64" s="340">
        <v>11.027790030877812</v>
      </c>
      <c r="K64" s="340">
        <v>13.647033134996454</v>
      </c>
      <c r="L64" s="340">
        <v>16.221915808256956</v>
      </c>
      <c r="M64" s="340">
        <v>2.6777346364975232</v>
      </c>
      <c r="N64" s="340">
        <v>13.273866411808431</v>
      </c>
      <c r="O64" s="340">
        <v>7.8982702788089414</v>
      </c>
      <c r="P64" s="340">
        <v>13.055512037182099</v>
      </c>
      <c r="Q64" s="340">
        <v>7.7734304148420694</v>
      </c>
    </row>
    <row r="65" spans="3:17" ht="18.75" x14ac:dyDescent="0.4">
      <c r="C65" s="2567"/>
      <c r="D65" s="391" t="s">
        <v>755</v>
      </c>
      <c r="E65" s="340">
        <v>11.762630124095747</v>
      </c>
      <c r="F65" s="340">
        <v>5.8288645371881556</v>
      </c>
      <c r="G65" s="340">
        <v>5.7760064691272452</v>
      </c>
      <c r="H65" s="340">
        <v>17.169346992502721</v>
      </c>
      <c r="I65" s="392" t="s">
        <v>751</v>
      </c>
      <c r="J65" s="340">
        <v>5.6233481414834392</v>
      </c>
      <c r="K65" s="340">
        <v>5.5728934462773072</v>
      </c>
      <c r="L65" s="340">
        <v>5.524251463926638</v>
      </c>
      <c r="M65" s="340">
        <v>16.425755584756899</v>
      </c>
      <c r="N65" s="340">
        <v>10.870155986738409</v>
      </c>
      <c r="O65" s="340">
        <v>10.790396547073104</v>
      </c>
      <c r="P65" s="340">
        <v>5.3573341905068039</v>
      </c>
      <c r="Q65" s="392" t="s">
        <v>751</v>
      </c>
    </row>
    <row r="66" spans="3:17" ht="18.75" x14ac:dyDescent="0.4">
      <c r="C66" s="2567"/>
      <c r="D66" s="391" t="s">
        <v>756</v>
      </c>
      <c r="E66" s="340">
        <v>12.187690432663009</v>
      </c>
      <c r="F66" s="340">
        <v>10.329689248515107</v>
      </c>
      <c r="G66" s="340">
        <v>8.5104934384095579</v>
      </c>
      <c r="H66" s="340">
        <v>10.096760622633571</v>
      </c>
      <c r="I66" s="340">
        <v>1.6643919976032755</v>
      </c>
      <c r="J66" s="340">
        <v>9.878169245966415</v>
      </c>
      <c r="K66" s="340">
        <v>11.412175160585607</v>
      </c>
      <c r="L66" s="340">
        <v>8.0761092536059831</v>
      </c>
      <c r="M66" s="340">
        <v>9.6035341005490018</v>
      </c>
      <c r="N66" s="340">
        <v>12.695792931617284</v>
      </c>
      <c r="O66" s="340">
        <v>14.166758488249462</v>
      </c>
      <c r="P66" s="340">
        <v>15.619630751929025</v>
      </c>
      <c r="Q66" s="340">
        <v>9.3052109181141436</v>
      </c>
    </row>
    <row r="67" spans="3:17" ht="18.75" x14ac:dyDescent="0.4">
      <c r="C67" s="2567"/>
      <c r="D67" s="391" t="s">
        <v>757</v>
      </c>
      <c r="E67" s="340">
        <v>3.643783704999271</v>
      </c>
      <c r="F67" s="340">
        <v>10.810421246081223</v>
      </c>
      <c r="G67" s="340">
        <v>24.942987457240594</v>
      </c>
      <c r="H67" s="340">
        <v>14.092446448703495</v>
      </c>
      <c r="I67" s="340">
        <v>3.484320557491289</v>
      </c>
      <c r="J67" s="340">
        <v>3.4474437204812634</v>
      </c>
      <c r="K67" s="340">
        <v>10.242403550699898</v>
      </c>
      <c r="L67" s="340">
        <v>13.534088986635087</v>
      </c>
      <c r="M67" s="340">
        <v>13.413366419637169</v>
      </c>
      <c r="N67" s="340">
        <v>3.3259054777663222</v>
      </c>
      <c r="O67" s="340">
        <v>3.298370604921169</v>
      </c>
      <c r="P67" s="340">
        <v>3.2737510639690961</v>
      </c>
      <c r="Q67" s="340">
        <v>3.2510809844273219</v>
      </c>
    </row>
    <row r="68" spans="3:17" ht="18.75" x14ac:dyDescent="0.4">
      <c r="C68" s="2567"/>
      <c r="D68" s="391" t="s">
        <v>758</v>
      </c>
      <c r="E68" s="340">
        <v>3.1900979360066355</v>
      </c>
      <c r="F68" s="340">
        <v>3.1551713258029914</v>
      </c>
      <c r="G68" s="340">
        <v>7.0234035413561413</v>
      </c>
      <c r="H68" s="340">
        <v>3.8605865003011255</v>
      </c>
      <c r="I68" s="340">
        <v>4.585262964831033</v>
      </c>
      <c r="J68" s="340">
        <v>8.3200968156720361</v>
      </c>
      <c r="K68" s="340">
        <v>4.492463891821469</v>
      </c>
      <c r="L68" s="340">
        <v>5.9322976530347411</v>
      </c>
      <c r="M68" s="340">
        <v>8.0815798753967325</v>
      </c>
      <c r="N68" s="340">
        <v>5.0972853314691831</v>
      </c>
      <c r="O68" s="340">
        <v>3.6094567767550982</v>
      </c>
      <c r="P68" s="340">
        <v>5.727458869685992</v>
      </c>
      <c r="Q68" s="340">
        <v>8.5249069364326093</v>
      </c>
    </row>
    <row r="69" spans="3:17" ht="18.75" x14ac:dyDescent="0.4">
      <c r="C69" s="2567"/>
      <c r="D69" s="391" t="s">
        <v>759</v>
      </c>
      <c r="E69" s="340">
        <v>5.7298928510036866</v>
      </c>
      <c r="F69" s="340">
        <v>9.4004399405892194</v>
      </c>
      <c r="G69" s="340">
        <v>7.4032944660373863</v>
      </c>
      <c r="H69" s="340">
        <v>12.752545954710243</v>
      </c>
      <c r="I69" s="340">
        <v>7.1770764179211595</v>
      </c>
      <c r="J69" s="340">
        <v>1.7677214071062402</v>
      </c>
      <c r="K69" s="340">
        <v>3.4856565234061834</v>
      </c>
      <c r="L69" s="340">
        <v>10.316546020392373</v>
      </c>
      <c r="M69" s="340">
        <v>5.0894038611610624</v>
      </c>
      <c r="N69" s="340">
        <v>5.0250414565920165</v>
      </c>
      <c r="O69" s="340">
        <v>3.3083552511868723</v>
      </c>
      <c r="P69" s="340">
        <v>9.8100127530165793</v>
      </c>
      <c r="Q69" s="340">
        <v>4.8502093673710247</v>
      </c>
    </row>
    <row r="70" spans="3:17" ht="18.75" x14ac:dyDescent="0.4">
      <c r="C70" s="2567"/>
      <c r="D70" s="391" t="s">
        <v>760</v>
      </c>
      <c r="E70" s="340">
        <v>7.4104264700433511</v>
      </c>
      <c r="F70" s="340">
        <v>8.503194771749957</v>
      </c>
      <c r="G70" s="340">
        <v>8.365400702693659</v>
      </c>
      <c r="H70" s="340">
        <v>4.7032817148165131</v>
      </c>
      <c r="I70" s="340">
        <v>4.6297903862402627</v>
      </c>
      <c r="J70" s="340">
        <v>5.6990448400848015</v>
      </c>
      <c r="K70" s="340">
        <v>4.4866186598470064</v>
      </c>
      <c r="L70" s="340">
        <v>4.4177904421103786</v>
      </c>
      <c r="M70" s="340">
        <v>5.4396901552487567</v>
      </c>
      <c r="N70" s="340">
        <v>7.5069439231288939</v>
      </c>
      <c r="O70" s="340">
        <v>10.576638321275965</v>
      </c>
      <c r="P70" s="340">
        <v>5.21550465223015</v>
      </c>
      <c r="Q70" s="340">
        <v>4.1170052903517975</v>
      </c>
    </row>
    <row r="71" spans="3:17" ht="18.75" x14ac:dyDescent="0.4">
      <c r="C71" s="2567"/>
      <c r="D71" s="391" t="s">
        <v>761</v>
      </c>
      <c r="E71" s="340">
        <v>4.7026366115935669</v>
      </c>
      <c r="F71" s="340">
        <v>10.831218666831713</v>
      </c>
      <c r="G71" s="340">
        <v>10.692246593755728</v>
      </c>
      <c r="H71" s="340">
        <v>9.0485454463195047</v>
      </c>
      <c r="I71" s="340">
        <v>2.9788945322390861</v>
      </c>
      <c r="J71" s="340">
        <v>1.4719519554881728</v>
      </c>
      <c r="K71" s="340">
        <v>4.3652237177155335</v>
      </c>
      <c r="L71" s="340">
        <v>4.3165467625899288</v>
      </c>
      <c r="M71" s="340">
        <v>7.1177416829188438</v>
      </c>
      <c r="N71" s="340">
        <v>9.8630445809615068</v>
      </c>
      <c r="O71" s="340">
        <v>11.163361846420051</v>
      </c>
      <c r="P71" s="340">
        <v>2.7658309247555697</v>
      </c>
      <c r="Q71" s="340">
        <v>4.1134207206713098</v>
      </c>
    </row>
    <row r="72" spans="3:17" ht="18.75" x14ac:dyDescent="0.4">
      <c r="C72" s="2567"/>
      <c r="D72" s="391" t="s">
        <v>762</v>
      </c>
      <c r="E72" s="340">
        <v>9.9631363953372514</v>
      </c>
      <c r="F72" s="340">
        <v>14.78852410529429</v>
      </c>
      <c r="G72" s="340">
        <v>4.8766214766409828</v>
      </c>
      <c r="H72" s="340">
        <v>4.824159390226253</v>
      </c>
      <c r="I72" s="392" t="s">
        <v>751</v>
      </c>
      <c r="J72" s="340">
        <v>9.4477774103642123</v>
      </c>
      <c r="K72" s="340">
        <v>4.6871338176704951</v>
      </c>
      <c r="L72" s="340">
        <v>9.2941121799340127</v>
      </c>
      <c r="M72" s="392" t="s">
        <v>751</v>
      </c>
      <c r="N72" s="392" t="s">
        <v>751</v>
      </c>
      <c r="O72" s="340">
        <v>18.201674554058972</v>
      </c>
      <c r="P72" s="340">
        <v>9.0440444966989233</v>
      </c>
      <c r="Q72" s="340">
        <v>4.4929685042907845</v>
      </c>
    </row>
    <row r="73" spans="3:17" ht="18.75" x14ac:dyDescent="0.4">
      <c r="C73" s="2567"/>
      <c r="D73" s="391" t="s">
        <v>763</v>
      </c>
      <c r="E73" s="340">
        <v>5.1452901300472087</v>
      </c>
      <c r="F73" s="340">
        <v>3.8213639721804706</v>
      </c>
      <c r="G73" s="340">
        <v>7.5705002838937601</v>
      </c>
      <c r="H73" s="340">
        <v>2.5001875140635548</v>
      </c>
      <c r="I73" s="340">
        <v>4.9539898195509204</v>
      </c>
      <c r="J73" s="340">
        <v>1.2269035408436189</v>
      </c>
      <c r="K73" s="340">
        <v>4.8652330446628396</v>
      </c>
      <c r="L73" s="340">
        <v>4.8257307966075116</v>
      </c>
      <c r="M73" s="340">
        <v>2.3933751376190702</v>
      </c>
      <c r="N73" s="340">
        <v>9.4994953393100996</v>
      </c>
      <c r="O73" s="340">
        <v>3.5346930119119153</v>
      </c>
      <c r="P73" s="340">
        <v>5.8489109327843156</v>
      </c>
      <c r="Q73" s="340">
        <v>9.2953000639051879</v>
      </c>
    </row>
    <row r="74" spans="3:17" ht="18.75" x14ac:dyDescent="0.4">
      <c r="C74" s="2567"/>
      <c r="D74" s="391" t="s">
        <v>764</v>
      </c>
      <c r="E74" s="340">
        <v>5.1541963748818826</v>
      </c>
      <c r="F74" s="340">
        <v>6.8138457345325705</v>
      </c>
      <c r="G74" s="340">
        <v>3.3776366676236638</v>
      </c>
      <c r="H74" s="340">
        <v>10.049409597186164</v>
      </c>
      <c r="I74" s="340">
        <v>4.9819818323729175</v>
      </c>
      <c r="J74" s="340">
        <v>8.233298753478568</v>
      </c>
      <c r="K74" s="340">
        <v>9.8122587819716092</v>
      </c>
      <c r="L74" s="340">
        <v>3.2498131357446947</v>
      </c>
      <c r="M74" s="340">
        <v>9.6902354727219873</v>
      </c>
      <c r="N74" s="340">
        <v>11.237758869802537</v>
      </c>
      <c r="O74" s="340">
        <v>4.7870558011137883</v>
      </c>
      <c r="P74" s="340">
        <v>4.7635682301756175</v>
      </c>
      <c r="Q74" s="340">
        <v>4.7424081948813601</v>
      </c>
    </row>
    <row r="75" spans="3:17" ht="18.75" x14ac:dyDescent="0.4">
      <c r="C75" s="2567"/>
      <c r="D75" s="391" t="s">
        <v>765</v>
      </c>
      <c r="E75" s="340">
        <v>3.3535665179918848</v>
      </c>
      <c r="F75" s="340">
        <v>3.3323891564056849</v>
      </c>
      <c r="G75" s="340">
        <v>4.9692733265972073</v>
      </c>
      <c r="H75" s="340">
        <v>4.9418508878858765</v>
      </c>
      <c r="I75" s="340">
        <v>6.5539389172892912</v>
      </c>
      <c r="J75" s="340">
        <v>3.25807187306552</v>
      </c>
      <c r="K75" s="340">
        <v>3.2435412983895815</v>
      </c>
      <c r="L75" s="340">
        <v>8.0774139351545209</v>
      </c>
      <c r="M75" s="340">
        <v>8.0506223131048031</v>
      </c>
      <c r="N75" s="340">
        <v>8.0243941582410514</v>
      </c>
      <c r="O75" s="340">
        <v>3.1983112916380154</v>
      </c>
      <c r="P75" s="340">
        <v>12.756525760209206</v>
      </c>
      <c r="Q75" s="340">
        <v>15.912418051047039</v>
      </c>
    </row>
    <row r="76" spans="3:17" ht="18.75" x14ac:dyDescent="0.4">
      <c r="C76" s="2567"/>
      <c r="D76" s="391" t="s">
        <v>766</v>
      </c>
      <c r="E76" s="392" t="s">
        <v>751</v>
      </c>
      <c r="F76" s="392" t="s">
        <v>751</v>
      </c>
      <c r="G76" s="340">
        <v>16.23640201331385</v>
      </c>
      <c r="H76" s="340">
        <v>15.984654731457802</v>
      </c>
      <c r="I76" s="392" t="s">
        <v>751</v>
      </c>
      <c r="J76" s="392" t="s">
        <v>751</v>
      </c>
      <c r="K76" s="392" t="s">
        <v>751</v>
      </c>
      <c r="L76" s="392" t="s">
        <v>751</v>
      </c>
      <c r="M76" s="392" t="s">
        <v>751</v>
      </c>
      <c r="N76" s="392" t="s">
        <v>751</v>
      </c>
      <c r="O76" s="340">
        <v>14.553922282055012</v>
      </c>
      <c r="P76" s="340">
        <v>14.386419220256078</v>
      </c>
      <c r="Q76" s="340">
        <v>14.222727919214906</v>
      </c>
    </row>
    <row r="77" spans="3:17" ht="18.75" x14ac:dyDescent="0.4">
      <c r="C77" s="2567"/>
      <c r="D77" s="391" t="s">
        <v>767</v>
      </c>
      <c r="E77" s="340">
        <v>40.916530278232408</v>
      </c>
      <c r="F77" s="340">
        <v>13.529968881071573</v>
      </c>
      <c r="G77" s="392" t="s">
        <v>751</v>
      </c>
      <c r="H77" s="340">
        <v>13.266118333775536</v>
      </c>
      <c r="I77" s="392" t="s">
        <v>751</v>
      </c>
      <c r="J77" s="340">
        <v>13.042911177774878</v>
      </c>
      <c r="K77" s="340">
        <v>12.943308309603935</v>
      </c>
      <c r="L77" s="340">
        <v>12.840267077555213</v>
      </c>
      <c r="M77" s="392" t="s">
        <v>751</v>
      </c>
      <c r="N77" s="340">
        <v>25.300442757748261</v>
      </c>
      <c r="O77" s="392" t="s">
        <v>751</v>
      </c>
      <c r="P77" s="340">
        <v>25</v>
      </c>
      <c r="Q77" s="340">
        <v>24.872528292500931</v>
      </c>
    </row>
    <row r="78" spans="3:17" ht="18.75" x14ac:dyDescent="0.4">
      <c r="C78" s="2567"/>
      <c r="D78" s="391" t="s">
        <v>768</v>
      </c>
      <c r="E78" s="340">
        <v>6.8933189952298237</v>
      </c>
      <c r="F78" s="340">
        <v>5.4579194411090493</v>
      </c>
      <c r="G78" s="340">
        <v>2.7006954290729865</v>
      </c>
      <c r="H78" s="340">
        <v>2.6731177909354575</v>
      </c>
      <c r="I78" s="340">
        <v>7.9383980312772886</v>
      </c>
      <c r="J78" s="340">
        <v>7.8602963331717612</v>
      </c>
      <c r="K78" s="340">
        <v>12.982292153502621</v>
      </c>
      <c r="L78" s="340">
        <v>2.5743007555572719</v>
      </c>
      <c r="M78" s="340">
        <v>7.6598026324188382</v>
      </c>
      <c r="N78" s="340">
        <v>3.7993439799394637</v>
      </c>
      <c r="O78" s="340">
        <v>2.5132890156703569</v>
      </c>
      <c r="P78" s="340">
        <v>6.2389259065159344</v>
      </c>
      <c r="Q78" s="340">
        <v>4.9580425647954192</v>
      </c>
    </row>
    <row r="79" spans="3:17" ht="18.75" x14ac:dyDescent="0.4">
      <c r="C79" s="2567"/>
      <c r="D79" s="391" t="s">
        <v>769</v>
      </c>
      <c r="E79" s="340">
        <v>2.8860445316671237</v>
      </c>
      <c r="F79" s="340">
        <v>5.0264246323529411</v>
      </c>
      <c r="G79" s="340">
        <v>6.4295817914243667</v>
      </c>
      <c r="H79" s="340">
        <v>10.661056581780965</v>
      </c>
      <c r="I79" s="340">
        <v>7.0729861440201436</v>
      </c>
      <c r="J79" s="340">
        <v>9.1550585219510126</v>
      </c>
      <c r="K79" s="340">
        <v>11.244562199998594</v>
      </c>
      <c r="L79" s="340">
        <v>6.3135741844966677</v>
      </c>
      <c r="M79" s="340">
        <v>5.6026724747704657</v>
      </c>
      <c r="N79" s="340">
        <v>9.0910998132827956</v>
      </c>
      <c r="O79" s="340">
        <v>9.7822061669822595</v>
      </c>
      <c r="P79" s="340">
        <v>7.6803842985016271</v>
      </c>
      <c r="Q79" s="340">
        <v>5.5833949833196073</v>
      </c>
    </row>
    <row r="80" spans="3:17" ht="18.75" x14ac:dyDescent="0.4">
      <c r="C80" s="2567"/>
      <c r="D80" s="391" t="s">
        <v>770</v>
      </c>
      <c r="E80" s="340">
        <v>8.1076698556834774</v>
      </c>
      <c r="F80" s="340">
        <v>8.0198893255273074</v>
      </c>
      <c r="G80" s="340">
        <v>7.9295852826897146</v>
      </c>
      <c r="H80" s="392" t="s">
        <v>751</v>
      </c>
      <c r="I80" s="392" t="s">
        <v>751</v>
      </c>
      <c r="J80" s="392" t="s">
        <v>751</v>
      </c>
      <c r="K80" s="340">
        <v>15.160703456640389</v>
      </c>
      <c r="L80" s="340">
        <v>14.993627708224006</v>
      </c>
      <c r="M80" s="340">
        <v>7.4112502779218854</v>
      </c>
      <c r="N80" s="340">
        <v>36.670333700036672</v>
      </c>
      <c r="O80" s="392" t="s">
        <v>751</v>
      </c>
      <c r="P80" s="340">
        <v>36.038633415020904</v>
      </c>
      <c r="Q80" s="340">
        <v>7.147962830593281</v>
      </c>
    </row>
    <row r="81" spans="3:17" ht="18.75" x14ac:dyDescent="0.4">
      <c r="C81" s="2567" t="s">
        <v>329</v>
      </c>
      <c r="D81" s="391" t="s">
        <v>329</v>
      </c>
      <c r="E81" s="340">
        <v>7.3365687601565623</v>
      </c>
      <c r="F81" s="340">
        <v>7.2255901500755071</v>
      </c>
      <c r="G81" s="340">
        <v>6.4053748211832868</v>
      </c>
      <c r="H81" s="340">
        <v>8.4134067636779211</v>
      </c>
      <c r="I81" s="340">
        <v>5.8731875170581551</v>
      </c>
      <c r="J81" s="340">
        <v>5.790171014403902</v>
      </c>
      <c r="K81" s="340">
        <v>7.049842385666663</v>
      </c>
      <c r="L81" s="340">
        <v>4.6346259525811551</v>
      </c>
      <c r="M81" s="340">
        <v>5.8783955898969973</v>
      </c>
      <c r="N81" s="340">
        <v>5.4794873778396642</v>
      </c>
      <c r="O81" s="340">
        <v>5.0921520389295027</v>
      </c>
      <c r="P81" s="340">
        <v>6.2875879869343922</v>
      </c>
      <c r="Q81" s="340">
        <v>10.252522741959536</v>
      </c>
    </row>
    <row r="82" spans="3:17" ht="18.75" x14ac:dyDescent="0.4">
      <c r="C82" s="2567"/>
      <c r="D82" s="391" t="s">
        <v>771</v>
      </c>
      <c r="E82" s="340">
        <v>9.6668559759295292</v>
      </c>
      <c r="F82" s="340">
        <v>5.9567066560240178</v>
      </c>
      <c r="G82" s="340">
        <v>3.5241876747409724</v>
      </c>
      <c r="H82" s="340">
        <v>5.792937250903698</v>
      </c>
      <c r="I82" s="340">
        <v>4.5724214400841321</v>
      </c>
      <c r="J82" s="340">
        <v>9.0283263739984196</v>
      </c>
      <c r="K82" s="340">
        <v>7.8037034146776509</v>
      </c>
      <c r="L82" s="340">
        <v>6.6084389765730842</v>
      </c>
      <c r="M82" s="340">
        <v>11.975656755903454</v>
      </c>
      <c r="N82" s="340">
        <v>9.6905484850442534</v>
      </c>
      <c r="O82" s="340">
        <v>11.718084199761378</v>
      </c>
      <c r="P82" s="340">
        <v>10.543740708328501</v>
      </c>
      <c r="Q82" s="340">
        <v>8.3512537319665121</v>
      </c>
    </row>
    <row r="83" spans="3:17" ht="18.75" x14ac:dyDescent="0.4">
      <c r="C83" s="2567"/>
      <c r="D83" s="391" t="s">
        <v>772</v>
      </c>
      <c r="E83" s="340">
        <v>2.4640252316183719</v>
      </c>
      <c r="F83" s="340">
        <v>8.4859799488416634</v>
      </c>
      <c r="G83" s="340">
        <v>3.5802940614855836</v>
      </c>
      <c r="H83" s="340">
        <v>7.0516060032672438</v>
      </c>
      <c r="I83" s="340">
        <v>13.891300573016149</v>
      </c>
      <c r="J83" s="340">
        <v>4.5631887563029041</v>
      </c>
      <c r="K83" s="340">
        <v>2.2486311457900001</v>
      </c>
      <c r="L83" s="340">
        <v>8.8694745944987083</v>
      </c>
      <c r="M83" s="340">
        <v>8.7486193585074865</v>
      </c>
      <c r="N83" s="340">
        <v>5.1832270771782509</v>
      </c>
      <c r="O83" s="340">
        <v>3.8443302535976529</v>
      </c>
      <c r="P83" s="340">
        <v>3.8036311999188555</v>
      </c>
      <c r="Q83" s="340">
        <v>8.7860226930414704</v>
      </c>
    </row>
    <row r="84" spans="3:17" ht="18.75" x14ac:dyDescent="0.4">
      <c r="C84" s="2567"/>
      <c r="D84" s="391" t="s">
        <v>773</v>
      </c>
      <c r="E84" s="340">
        <v>15.61524047470331</v>
      </c>
      <c r="F84" s="392" t="s">
        <v>751</v>
      </c>
      <c r="G84" s="340">
        <v>30.529690123645249</v>
      </c>
      <c r="H84" s="392" t="s">
        <v>751</v>
      </c>
      <c r="I84" s="392" t="s">
        <v>751</v>
      </c>
      <c r="J84" s="392" t="s">
        <v>751</v>
      </c>
      <c r="K84" s="392" t="s">
        <v>751</v>
      </c>
      <c r="L84" s="392" t="s">
        <v>751</v>
      </c>
      <c r="M84" s="392" t="s">
        <v>751</v>
      </c>
      <c r="N84" s="340">
        <v>14.144271570014144</v>
      </c>
      <c r="O84" s="340">
        <v>28.007281893292259</v>
      </c>
      <c r="P84" s="392" t="s">
        <v>751</v>
      </c>
      <c r="Q84" s="392" t="s">
        <v>751</v>
      </c>
    </row>
    <row r="85" spans="3:17" ht="18.75" x14ac:dyDescent="0.4">
      <c r="C85" s="2567"/>
      <c r="D85" s="391" t="s">
        <v>774</v>
      </c>
      <c r="E85" s="340">
        <v>7.6604872069863639</v>
      </c>
      <c r="F85" s="340">
        <v>3.7850113550340652</v>
      </c>
      <c r="G85" s="340">
        <v>3.7369207772795221</v>
      </c>
      <c r="H85" s="340">
        <v>7.376807317792859</v>
      </c>
      <c r="I85" s="340">
        <v>7.2857090816363703</v>
      </c>
      <c r="J85" s="340">
        <v>14.389524426217713</v>
      </c>
      <c r="K85" s="340">
        <v>10.671599317017645</v>
      </c>
      <c r="L85" s="340">
        <v>7.0363073459048691</v>
      </c>
      <c r="M85" s="340">
        <v>13.91449542560963</v>
      </c>
      <c r="N85" s="340">
        <v>6.8868151923143142</v>
      </c>
      <c r="O85" s="340">
        <v>6.8166325835037496</v>
      </c>
      <c r="P85" s="340">
        <v>14.869888475836431</v>
      </c>
      <c r="Q85" s="340">
        <v>16.733601070950467</v>
      </c>
    </row>
    <row r="86" spans="3:17" ht="18.75" x14ac:dyDescent="0.4">
      <c r="C86" s="2567"/>
      <c r="D86" s="391" t="s">
        <v>775</v>
      </c>
      <c r="E86" s="340">
        <v>6.9383412738794581</v>
      </c>
      <c r="F86" s="340">
        <v>6.8497842317966979</v>
      </c>
      <c r="G86" s="392" t="s">
        <v>751</v>
      </c>
      <c r="H86" s="340">
        <v>15.553827352516388</v>
      </c>
      <c r="I86" s="392" t="s">
        <v>751</v>
      </c>
      <c r="J86" s="392" t="s">
        <v>751</v>
      </c>
      <c r="K86" s="340">
        <v>4.2813717515091838</v>
      </c>
      <c r="L86" s="340">
        <v>12.69384560052468</v>
      </c>
      <c r="M86" s="340">
        <v>8.368025773519383</v>
      </c>
      <c r="N86" s="340">
        <v>4.1399296211964396</v>
      </c>
      <c r="O86" s="340">
        <v>14.343380529885458</v>
      </c>
      <c r="P86" s="340">
        <v>8.115565654926149</v>
      </c>
      <c r="Q86" s="340">
        <v>8.03793907242183</v>
      </c>
    </row>
    <row r="87" spans="3:17" ht="18.75" x14ac:dyDescent="0.4">
      <c r="C87" s="2567"/>
      <c r="D87" s="391" t="s">
        <v>776</v>
      </c>
      <c r="E87" s="340">
        <v>5.5769338017957724</v>
      </c>
      <c r="F87" s="340">
        <v>2.748838615684873</v>
      </c>
      <c r="G87" s="340">
        <v>8.1234768480909825</v>
      </c>
      <c r="H87" s="340">
        <v>13.343652424541647</v>
      </c>
      <c r="I87" s="340">
        <v>2.6306097753459254</v>
      </c>
      <c r="J87" s="340">
        <v>7.7839184245349102</v>
      </c>
      <c r="K87" s="340">
        <v>2.5613441934327135</v>
      </c>
      <c r="L87" s="340">
        <v>7.5901328273244788</v>
      </c>
      <c r="M87" s="340">
        <v>7.4999999999999991</v>
      </c>
      <c r="N87" s="340">
        <v>14.824697946779335</v>
      </c>
      <c r="O87" s="340">
        <v>12.216575449569977</v>
      </c>
      <c r="P87" s="340">
        <v>2.4168600154679041</v>
      </c>
      <c r="Q87" s="340">
        <v>9.5682334648965437</v>
      </c>
    </row>
    <row r="88" spans="3:17" ht="18.75" x14ac:dyDescent="0.4">
      <c r="C88" s="2567"/>
      <c r="D88" s="391" t="s">
        <v>777</v>
      </c>
      <c r="E88" s="340">
        <v>6.8415831423391369</v>
      </c>
      <c r="F88" s="340">
        <v>3.3677971239012563</v>
      </c>
      <c r="G88" s="340">
        <v>6.6299807730557578</v>
      </c>
      <c r="H88" s="340">
        <v>3.2626427406199023</v>
      </c>
      <c r="I88" s="340">
        <v>6.4265287105170144</v>
      </c>
      <c r="J88" s="340">
        <v>9.4987809897729782</v>
      </c>
      <c r="K88" s="340">
        <v>6.2324711748208159</v>
      </c>
      <c r="L88" s="340">
        <v>6.1381702114599639</v>
      </c>
      <c r="M88" s="340">
        <v>12.095554883580284</v>
      </c>
      <c r="N88" s="340">
        <v>11.925702871112966</v>
      </c>
      <c r="O88" s="340">
        <v>5.8813150620478734</v>
      </c>
      <c r="P88" s="340">
        <v>11.604293588627792</v>
      </c>
      <c r="Q88" s="340">
        <v>8.5895894176258381</v>
      </c>
    </row>
    <row r="89" spans="3:17" ht="18.75" x14ac:dyDescent="0.4">
      <c r="C89" s="2567"/>
      <c r="D89" s="391" t="s">
        <v>778</v>
      </c>
      <c r="E89" s="392" t="s">
        <v>751</v>
      </c>
      <c r="F89" s="340">
        <v>4.822065772977143</v>
      </c>
      <c r="G89" s="340">
        <v>9.4849663283695342</v>
      </c>
      <c r="H89" s="340">
        <v>9.3327111525898268</v>
      </c>
      <c r="I89" s="392" t="s">
        <v>751</v>
      </c>
      <c r="J89" s="340">
        <v>4.5250916331055704</v>
      </c>
      <c r="K89" s="392" t="s">
        <v>751</v>
      </c>
      <c r="L89" s="340">
        <v>21.943298516633021</v>
      </c>
      <c r="M89" s="340">
        <v>8.6482746692034933</v>
      </c>
      <c r="N89" s="340">
        <v>8.5226062129799303</v>
      </c>
      <c r="O89" s="340">
        <v>8.4083074077188265</v>
      </c>
      <c r="P89" s="392" t="s">
        <v>751</v>
      </c>
      <c r="Q89" s="392">
        <v>20.451570680628272</v>
      </c>
    </row>
    <row r="90" spans="3:17" ht="18.75" x14ac:dyDescent="0.4">
      <c r="C90" s="2567"/>
      <c r="D90" s="391" t="s">
        <v>779</v>
      </c>
      <c r="E90" s="340">
        <v>4.1456423376684901</v>
      </c>
      <c r="F90" s="340">
        <v>5.2318585305453338</v>
      </c>
      <c r="G90" s="340">
        <v>7.9898186881859123</v>
      </c>
      <c r="H90" s="340">
        <v>3.3620979491202507</v>
      </c>
      <c r="I90" s="340">
        <v>3.3030916938254209</v>
      </c>
      <c r="J90" s="340">
        <v>6.4948068606809812</v>
      </c>
      <c r="K90" s="340">
        <v>4.7884311503407773</v>
      </c>
      <c r="L90" s="340">
        <v>5.2321505185061161</v>
      </c>
      <c r="M90" s="340">
        <v>4.6342304860277954</v>
      </c>
      <c r="N90" s="340">
        <v>9.6340090661095843</v>
      </c>
      <c r="O90" s="340">
        <v>4.9962278479747795</v>
      </c>
      <c r="P90" s="340">
        <v>8.8604915603817886</v>
      </c>
      <c r="Q90" s="340">
        <v>5.3368265288795094</v>
      </c>
    </row>
    <row r="91" spans="3:17" ht="18.75" x14ac:dyDescent="0.4">
      <c r="C91" s="2567"/>
      <c r="D91" s="391" t="s">
        <v>780</v>
      </c>
      <c r="E91" s="340">
        <v>7.8845698967121347</v>
      </c>
      <c r="F91" s="392" t="s">
        <v>751</v>
      </c>
      <c r="G91" s="340">
        <v>15.348016268897245</v>
      </c>
      <c r="H91" s="392" t="s">
        <v>751</v>
      </c>
      <c r="I91" s="392" t="s">
        <v>751</v>
      </c>
      <c r="J91" s="340">
        <v>7.3708262696248248</v>
      </c>
      <c r="K91" s="340">
        <v>7.2780203784570601</v>
      </c>
      <c r="L91" s="340">
        <v>14.402995823131212</v>
      </c>
      <c r="M91" s="340">
        <v>14.238929232521716</v>
      </c>
      <c r="N91" s="340">
        <v>7.040270346381301</v>
      </c>
      <c r="O91" s="340">
        <v>13.946028868279758</v>
      </c>
      <c r="P91" s="340">
        <v>13.803575125957622</v>
      </c>
      <c r="Q91" s="340">
        <v>6.8357372342607157</v>
      </c>
    </row>
    <row r="92" spans="3:17" ht="18.75" x14ac:dyDescent="0.4">
      <c r="C92" s="2567"/>
      <c r="D92" s="391" t="s">
        <v>781</v>
      </c>
      <c r="E92" s="340">
        <v>20.325203252032519</v>
      </c>
      <c r="F92" s="340">
        <v>10.032102728731942</v>
      </c>
      <c r="G92" s="340">
        <v>9.9000099000099002</v>
      </c>
      <c r="H92" s="340">
        <v>9.7723052868171596</v>
      </c>
      <c r="I92" s="340">
        <v>4.8243921265920493</v>
      </c>
      <c r="J92" s="340">
        <v>14.302059496567505</v>
      </c>
      <c r="K92" s="340">
        <v>9.418412997409936</v>
      </c>
      <c r="L92" s="340">
        <v>9.311420457190744</v>
      </c>
      <c r="M92" s="340">
        <v>9.2064076597311715</v>
      </c>
      <c r="N92" s="392" t="s">
        <v>751</v>
      </c>
      <c r="O92" s="340">
        <v>13.534241631327259</v>
      </c>
      <c r="P92" s="340">
        <v>22.329403358342265</v>
      </c>
      <c r="Q92" s="340">
        <v>17.702248185519558</v>
      </c>
    </row>
    <row r="93" spans="3:17" ht="18.75" x14ac:dyDescent="0.4">
      <c r="C93" s="2567"/>
      <c r="D93" s="391" t="s">
        <v>782</v>
      </c>
      <c r="E93" s="340">
        <v>4.2899122712940523</v>
      </c>
      <c r="F93" s="340">
        <v>6.3348607386447622</v>
      </c>
      <c r="G93" s="340">
        <v>10.388531061707875</v>
      </c>
      <c r="H93" s="340">
        <v>10.222858311183806</v>
      </c>
      <c r="I93" s="340">
        <v>6.0365816850111678</v>
      </c>
      <c r="J93" s="340">
        <v>3.9632213062777426</v>
      </c>
      <c r="K93" s="340">
        <v>11.719207781553967</v>
      </c>
      <c r="L93" s="340">
        <v>13.479684190256114</v>
      </c>
      <c r="M93" s="340">
        <v>5.697897475831418</v>
      </c>
      <c r="N93" s="340">
        <v>13.115737010736169</v>
      </c>
      <c r="O93" s="340">
        <v>12.949773378965869</v>
      </c>
      <c r="P93" s="340">
        <v>5.4778512215608224</v>
      </c>
      <c r="Q93" s="340">
        <v>14.423250279450473</v>
      </c>
    </row>
    <row r="94" spans="3:17" ht="18.75" x14ac:dyDescent="0.4">
      <c r="C94" s="2567"/>
      <c r="D94" s="391" t="s">
        <v>783</v>
      </c>
      <c r="E94" s="340">
        <v>11.270568788038169</v>
      </c>
      <c r="F94" s="340">
        <v>10.988608475880005</v>
      </c>
      <c r="G94" s="340">
        <v>3.5729598399313991</v>
      </c>
      <c r="H94" s="340">
        <v>6.9700982783857253</v>
      </c>
      <c r="I94" s="392" t="s">
        <v>751</v>
      </c>
      <c r="J94" s="340">
        <v>16.625656713440183</v>
      </c>
      <c r="K94" s="392" t="s">
        <v>751</v>
      </c>
      <c r="L94" s="340">
        <v>3.1699740062131494</v>
      </c>
      <c r="M94" s="340">
        <v>9.2965602726991019</v>
      </c>
      <c r="N94" s="392" t="s">
        <v>751</v>
      </c>
      <c r="O94" s="340">
        <v>5.9366558817418147</v>
      </c>
      <c r="P94" s="340">
        <v>20.324613106471936</v>
      </c>
      <c r="Q94" s="340">
        <v>8.525633738774582</v>
      </c>
    </row>
    <row r="95" spans="3:17" ht="18.75" x14ac:dyDescent="0.4">
      <c r="C95" s="2567"/>
      <c r="D95" s="391" t="s">
        <v>784</v>
      </c>
      <c r="E95" s="392" t="s">
        <v>751</v>
      </c>
      <c r="F95" s="392" t="s">
        <v>751</v>
      </c>
      <c r="G95" s="340">
        <v>23.213974812837328</v>
      </c>
      <c r="H95" s="392" t="s">
        <v>751</v>
      </c>
      <c r="I95" s="392" t="s">
        <v>751</v>
      </c>
      <c r="J95" s="392" t="s">
        <v>751</v>
      </c>
      <c r="K95" s="340">
        <v>5.4629882545752526</v>
      </c>
      <c r="L95" s="340">
        <v>10.786904697696995</v>
      </c>
      <c r="M95" s="392" t="s">
        <v>751</v>
      </c>
      <c r="N95" s="340">
        <v>5.2603892688058913</v>
      </c>
      <c r="O95" s="340">
        <v>5.1985859846121851</v>
      </c>
      <c r="P95" s="340">
        <v>5.1387461459403907</v>
      </c>
      <c r="Q95" s="340">
        <v>5.0771730300568638</v>
      </c>
    </row>
    <row r="96" spans="3:17" ht="18.75" x14ac:dyDescent="0.4">
      <c r="C96" s="2567"/>
      <c r="D96" s="391" t="s">
        <v>785</v>
      </c>
      <c r="E96" s="392" t="s">
        <v>786</v>
      </c>
      <c r="F96" s="392" t="s">
        <v>786</v>
      </c>
      <c r="G96" s="392" t="s">
        <v>786</v>
      </c>
      <c r="H96" s="392" t="s">
        <v>786</v>
      </c>
      <c r="I96" s="392" t="s">
        <v>786</v>
      </c>
      <c r="J96" s="392" t="s">
        <v>786</v>
      </c>
      <c r="K96" s="392" t="s">
        <v>786</v>
      </c>
      <c r="L96" s="392" t="s">
        <v>786</v>
      </c>
      <c r="M96" s="392" t="s">
        <v>786</v>
      </c>
      <c r="N96" s="392" t="s">
        <v>751</v>
      </c>
      <c r="O96" s="340">
        <v>12.651821862348179</v>
      </c>
      <c r="P96" s="340">
        <v>12.376237623762377</v>
      </c>
      <c r="Q96" s="340">
        <v>18.170805572380377</v>
      </c>
    </row>
    <row r="97" spans="3:17" ht="18.75" x14ac:dyDescent="0.4">
      <c r="C97" s="2567" t="s">
        <v>330</v>
      </c>
      <c r="D97" s="391" t="s">
        <v>330</v>
      </c>
      <c r="E97" s="340">
        <v>10.648634978103743</v>
      </c>
      <c r="F97" s="340">
        <v>7.9064925481307737</v>
      </c>
      <c r="G97" s="340">
        <v>3.2614509543005488</v>
      </c>
      <c r="H97" s="340">
        <v>3.875418222216481</v>
      </c>
      <c r="I97" s="340">
        <v>7.6763153686230607</v>
      </c>
      <c r="J97" s="340">
        <v>3.8024259477546676</v>
      </c>
      <c r="K97" s="340">
        <v>10.053914114438676</v>
      </c>
      <c r="L97" s="340">
        <v>3.1160996404021013</v>
      </c>
      <c r="M97" s="340">
        <v>10.511541053751074</v>
      </c>
      <c r="N97" s="340">
        <v>4.9096622152395915</v>
      </c>
      <c r="O97" s="340">
        <v>12.795437512566949</v>
      </c>
      <c r="P97" s="340">
        <v>9.08017797148824</v>
      </c>
      <c r="Q97" s="340">
        <v>9.6267237852277923</v>
      </c>
    </row>
    <row r="98" spans="3:17" ht="18.75" x14ac:dyDescent="0.4">
      <c r="C98" s="2567"/>
      <c r="D98" s="391" t="s">
        <v>787</v>
      </c>
      <c r="E98" s="340">
        <v>5.2236596959830059</v>
      </c>
      <c r="F98" s="340">
        <v>6.8929863863518879</v>
      </c>
      <c r="G98" s="340">
        <v>8.526457597926365</v>
      </c>
      <c r="H98" s="340">
        <v>8.4375369142239993</v>
      </c>
      <c r="I98" s="340">
        <v>3.3410734869113443</v>
      </c>
      <c r="J98" s="340">
        <v>4.9629433562731604</v>
      </c>
      <c r="K98" s="340">
        <v>11.479173499508034</v>
      </c>
      <c r="L98" s="340">
        <v>4.8778108384956829</v>
      </c>
      <c r="M98" s="340">
        <v>3.2254422887738476</v>
      </c>
      <c r="N98" s="340">
        <v>3.2010243277848911</v>
      </c>
      <c r="O98" s="340">
        <v>14.299105511510779</v>
      </c>
      <c r="P98" s="340">
        <v>3.155768745266347</v>
      </c>
      <c r="Q98" s="340">
        <v>9.4049783685497523</v>
      </c>
    </row>
    <row r="99" spans="3:17" ht="18.75" x14ac:dyDescent="0.4">
      <c r="C99" s="2567"/>
      <c r="D99" s="391" t="s">
        <v>788</v>
      </c>
      <c r="E99" s="340">
        <v>6.0090737012889459</v>
      </c>
      <c r="F99" s="340">
        <v>4.9409555808093284</v>
      </c>
      <c r="G99" s="340">
        <v>10.728357976046503</v>
      </c>
      <c r="H99" s="340">
        <v>11.55345881673326</v>
      </c>
      <c r="I99" s="340">
        <v>7.6049964826891259</v>
      </c>
      <c r="J99" s="340">
        <v>3.75622124143112</v>
      </c>
      <c r="K99" s="340">
        <v>4.6401559092385503</v>
      </c>
      <c r="L99" s="340">
        <v>4.5875768419121021</v>
      </c>
      <c r="M99" s="340">
        <v>5.4449425558560351</v>
      </c>
      <c r="N99" s="340">
        <v>6.2854115597697744</v>
      </c>
      <c r="O99" s="340">
        <v>8.8882568350695053</v>
      </c>
      <c r="P99" s="340">
        <v>6.1629483544927899</v>
      </c>
      <c r="Q99" s="340">
        <v>10.469833791388561</v>
      </c>
    </row>
    <row r="100" spans="3:17" ht="18.75" x14ac:dyDescent="0.4">
      <c r="C100" s="2567"/>
      <c r="D100" s="391" t="s">
        <v>789</v>
      </c>
      <c r="E100" s="340">
        <v>12.790995139421847</v>
      </c>
      <c r="F100" s="392" t="s">
        <v>751</v>
      </c>
      <c r="G100" s="340">
        <v>12.638230647709321</v>
      </c>
      <c r="H100" s="392" t="s">
        <v>751</v>
      </c>
      <c r="I100" s="340">
        <v>18.717244821562264</v>
      </c>
      <c r="J100" s="340">
        <v>12.405408758218583</v>
      </c>
      <c r="K100" s="340">
        <v>12.370113805047009</v>
      </c>
      <c r="L100" s="392" t="s">
        <v>751</v>
      </c>
      <c r="M100" s="392" t="s">
        <v>751</v>
      </c>
      <c r="N100" s="392" t="s">
        <v>751</v>
      </c>
      <c r="O100" s="340">
        <v>24.508302187365974</v>
      </c>
      <c r="P100" s="392" t="s">
        <v>751</v>
      </c>
      <c r="Q100" s="392">
        <v>18.336287512988203</v>
      </c>
    </row>
    <row r="101" spans="3:17" ht="18.75" x14ac:dyDescent="0.4">
      <c r="C101" s="2567"/>
      <c r="D101" s="391" t="s">
        <v>790</v>
      </c>
      <c r="E101" s="340">
        <v>6.8975031038763959</v>
      </c>
      <c r="F101" s="340">
        <v>4.1304677066266473</v>
      </c>
      <c r="G101" s="340">
        <v>5.490357559536065</v>
      </c>
      <c r="H101" s="340">
        <v>5.4746523595751668</v>
      </c>
      <c r="I101" s="340">
        <v>6.8235165674982268</v>
      </c>
      <c r="J101" s="340">
        <v>5.4456591289668221</v>
      </c>
      <c r="K101" s="340">
        <v>5.4404004134704316</v>
      </c>
      <c r="L101" s="340">
        <v>2.7183146449201492</v>
      </c>
      <c r="M101" s="340">
        <v>1.3584003477504891</v>
      </c>
      <c r="N101" s="340">
        <v>2.7153252959704575</v>
      </c>
      <c r="O101" s="340">
        <v>8.1456441168085369</v>
      </c>
      <c r="P101" s="340">
        <v>6.7929244898513703</v>
      </c>
      <c r="Q101" s="340">
        <v>5.4387730128083112</v>
      </c>
    </row>
    <row r="102" spans="3:17" ht="18.75" x14ac:dyDescent="0.4">
      <c r="C102" s="2567"/>
      <c r="D102" s="391" t="s">
        <v>791</v>
      </c>
      <c r="E102" s="340">
        <v>14.10238330277817</v>
      </c>
      <c r="F102" s="392" t="s">
        <v>751</v>
      </c>
      <c r="G102" s="340">
        <v>6.9256873744719156</v>
      </c>
      <c r="H102" s="340">
        <v>6.854479402289396</v>
      </c>
      <c r="I102" s="340">
        <v>6.7957866123003736</v>
      </c>
      <c r="J102" s="340">
        <v>6.7326466033797878</v>
      </c>
      <c r="K102" s="392" t="s">
        <v>751</v>
      </c>
      <c r="L102" s="392" t="s">
        <v>751</v>
      </c>
      <c r="M102" s="340">
        <v>13.141467901964649</v>
      </c>
      <c r="N102" s="340">
        <v>6.5265631118652925</v>
      </c>
      <c r="O102" s="340">
        <v>19.438864770297414</v>
      </c>
      <c r="P102" s="340">
        <v>6.4416387528987373</v>
      </c>
      <c r="Q102" s="340">
        <v>12.808197246237592</v>
      </c>
    </row>
    <row r="103" spans="3:17" ht="18.75" x14ac:dyDescent="0.4">
      <c r="C103" s="2567"/>
      <c r="D103" s="391" t="s">
        <v>792</v>
      </c>
      <c r="E103" s="340">
        <v>6.5672818020621273</v>
      </c>
      <c r="F103" s="340">
        <v>13.005028611062945</v>
      </c>
      <c r="G103" s="340">
        <v>17.165171866283313</v>
      </c>
      <c r="H103" s="340">
        <v>10.619995327202055</v>
      </c>
      <c r="I103" s="340">
        <v>8.4121976866456372</v>
      </c>
      <c r="J103" s="340">
        <v>4.1659723379436766</v>
      </c>
      <c r="K103" s="340">
        <v>8.2596844800528633</v>
      </c>
      <c r="L103" s="340">
        <v>6.1437640794593484</v>
      </c>
      <c r="M103" s="340">
        <v>6.0939690020110096</v>
      </c>
      <c r="N103" s="340">
        <v>12.095798725909201</v>
      </c>
      <c r="O103" s="340">
        <v>6.0033618826542865</v>
      </c>
      <c r="P103" s="340">
        <v>3.9767756303189374</v>
      </c>
      <c r="Q103" s="340">
        <v>17.788319003854134</v>
      </c>
    </row>
    <row r="104" spans="3:17" ht="18.75" x14ac:dyDescent="0.4">
      <c r="C104" s="2567"/>
      <c r="D104" s="391" t="s">
        <v>793</v>
      </c>
      <c r="E104" s="340">
        <v>2.3797624997025295</v>
      </c>
      <c r="F104" s="340">
        <v>11.771907519894523</v>
      </c>
      <c r="G104" s="340">
        <v>6.9868182029903574</v>
      </c>
      <c r="H104" s="340">
        <v>6.9100541287573423</v>
      </c>
      <c r="I104" s="340">
        <v>4.5576774075930899</v>
      </c>
      <c r="J104" s="340">
        <v>2.2555034283652109</v>
      </c>
      <c r="K104" s="340">
        <v>6.7037608098143062</v>
      </c>
      <c r="L104" s="340">
        <v>4.4292864419542015</v>
      </c>
      <c r="M104" s="340">
        <v>24.15034688680074</v>
      </c>
      <c r="N104" s="340">
        <v>19.592903015130073</v>
      </c>
      <c r="O104" s="340">
        <v>6.4789219073946098</v>
      </c>
      <c r="P104" s="340">
        <v>6.4325228354560657</v>
      </c>
      <c r="Q104" s="340">
        <v>12.77710343065227</v>
      </c>
    </row>
    <row r="105" spans="3:17" ht="18.75" x14ac:dyDescent="0.4">
      <c r="C105" s="2570" t="s">
        <v>331</v>
      </c>
      <c r="D105" s="391" t="s">
        <v>331</v>
      </c>
      <c r="E105" s="340">
        <v>0.78833889112251587</v>
      </c>
      <c r="F105" s="340">
        <v>10.113111259782491</v>
      </c>
      <c r="G105" s="340">
        <v>3.0711115888395808</v>
      </c>
      <c r="H105" s="340">
        <v>1.5159209598811518</v>
      </c>
      <c r="I105" s="340">
        <v>5.9873965303037107</v>
      </c>
      <c r="J105" s="340">
        <v>8.8697040475416138</v>
      </c>
      <c r="K105" s="340">
        <v>5.1114291555919031</v>
      </c>
      <c r="L105" s="340">
        <v>7.9386844878105114</v>
      </c>
      <c r="M105" s="340">
        <v>11.41788754808001</v>
      </c>
      <c r="N105" s="340">
        <v>9.881213695362181</v>
      </c>
      <c r="O105" s="340">
        <v>4.8879950840735154</v>
      </c>
      <c r="P105" s="340">
        <v>7.6047730320921429</v>
      </c>
      <c r="Q105" s="340">
        <v>6.8483769346664838</v>
      </c>
    </row>
    <row r="106" spans="3:17" ht="18.75" x14ac:dyDescent="0.4">
      <c r="C106" s="2570"/>
      <c r="D106" s="391" t="s">
        <v>794</v>
      </c>
      <c r="E106" s="340">
        <v>4.9474335188620904</v>
      </c>
      <c r="F106" s="340">
        <v>4.8678381930584633</v>
      </c>
      <c r="G106" s="392" t="s">
        <v>751</v>
      </c>
      <c r="H106" s="340">
        <v>9.4241824521722748</v>
      </c>
      <c r="I106" s="340">
        <v>2.3196474135931338</v>
      </c>
      <c r="J106" s="340">
        <v>9.1374269005847957</v>
      </c>
      <c r="K106" s="392" t="s">
        <v>751</v>
      </c>
      <c r="L106" s="392" t="s">
        <v>751</v>
      </c>
      <c r="M106" s="340">
        <v>10.928722869445478</v>
      </c>
      <c r="N106" s="340">
        <v>10.78050884001725</v>
      </c>
      <c r="O106" s="340">
        <v>10.637845198076679</v>
      </c>
      <c r="P106" s="340">
        <v>6.3010648799647138</v>
      </c>
      <c r="Q106" s="340">
        <v>8.3004772774434521</v>
      </c>
    </row>
    <row r="107" spans="3:17" ht="18.75" x14ac:dyDescent="0.4">
      <c r="C107" s="2570"/>
      <c r="D107" s="391" t="s">
        <v>795</v>
      </c>
      <c r="E107" s="340">
        <v>6.8122984695036104</v>
      </c>
      <c r="F107" s="340">
        <v>2.2447192978518036</v>
      </c>
      <c r="G107" s="340">
        <v>4.4360652101585893</v>
      </c>
      <c r="H107" s="340">
        <v>6.57620728205353</v>
      </c>
      <c r="I107" s="340">
        <v>2.1663308853794327</v>
      </c>
      <c r="J107" s="340">
        <v>6.422607578676943</v>
      </c>
      <c r="K107" s="340">
        <v>12.711864406779661</v>
      </c>
      <c r="L107" s="340">
        <v>10.488336969290149</v>
      </c>
      <c r="M107" s="340">
        <v>10.388531061707875</v>
      </c>
      <c r="N107" s="340">
        <v>10.292089500010292</v>
      </c>
      <c r="O107" s="340">
        <v>4.077887654195127</v>
      </c>
      <c r="P107" s="340">
        <v>10.10897474778108</v>
      </c>
      <c r="Q107" s="340">
        <v>10.033109260559849</v>
      </c>
    </row>
    <row r="108" spans="3:17" ht="18.75" x14ac:dyDescent="0.4">
      <c r="C108" s="2570"/>
      <c r="D108" s="391" t="s">
        <v>796</v>
      </c>
      <c r="E108" s="340">
        <v>2.7219772442702381</v>
      </c>
      <c r="F108" s="340">
        <v>2.6781649213958598</v>
      </c>
      <c r="G108" s="340">
        <v>2.6335887914461038</v>
      </c>
      <c r="H108" s="340">
        <v>7.7728261996061763</v>
      </c>
      <c r="I108" s="340">
        <v>2.5490046136983509</v>
      </c>
      <c r="J108" s="340">
        <v>15.059106994955197</v>
      </c>
      <c r="K108" s="340">
        <v>7.4161969741916351</v>
      </c>
      <c r="L108" s="340">
        <v>4.8724632738080738</v>
      </c>
      <c r="M108" s="340">
        <v>7.2051300525974495</v>
      </c>
      <c r="N108" s="340">
        <v>2.3692191053828657</v>
      </c>
      <c r="O108" s="340">
        <v>9.3506007760998635</v>
      </c>
      <c r="P108" s="340">
        <v>2.307497057941251</v>
      </c>
      <c r="Q108" s="340">
        <v>6.8371393408997676</v>
      </c>
    </row>
    <row r="109" spans="3:17" ht="18.75" x14ac:dyDescent="0.4">
      <c r="C109" s="2570"/>
      <c r="D109" s="391" t="s">
        <v>797</v>
      </c>
      <c r="E109" s="340">
        <v>10.37344398340249</v>
      </c>
      <c r="F109" s="340">
        <v>6.1319597743438798</v>
      </c>
      <c r="G109" s="340">
        <v>10.074551682450132</v>
      </c>
      <c r="H109" s="340">
        <v>5.9604227926567592</v>
      </c>
      <c r="I109" s="340">
        <v>7.8388335815630628</v>
      </c>
      <c r="J109" s="340">
        <v>7.7315602288541818</v>
      </c>
      <c r="K109" s="340">
        <v>5.7173349595974994</v>
      </c>
      <c r="L109" s="340">
        <v>3.7596105043517496</v>
      </c>
      <c r="M109" s="340">
        <v>9.2762657464611049</v>
      </c>
      <c r="N109" s="392" t="s">
        <v>751</v>
      </c>
      <c r="O109" s="340">
        <v>3.6186650744540341</v>
      </c>
      <c r="P109" s="340">
        <v>7.1526920944870618</v>
      </c>
      <c r="Q109" s="340">
        <v>5.3041018387553036</v>
      </c>
    </row>
    <row r="110" spans="3:17" ht="18.75" x14ac:dyDescent="0.4">
      <c r="C110" s="2570"/>
      <c r="D110" s="391" t="s">
        <v>798</v>
      </c>
      <c r="E110" s="340">
        <v>9.7026148547033433</v>
      </c>
      <c r="F110" s="340">
        <v>9.5817563359363778</v>
      </c>
      <c r="G110" s="340">
        <v>4.7270148900969033</v>
      </c>
      <c r="H110" s="340">
        <v>13.99710726449867</v>
      </c>
      <c r="I110" s="340">
        <v>4.6057479734708915</v>
      </c>
      <c r="J110" s="392" t="s">
        <v>751</v>
      </c>
      <c r="K110" s="340">
        <v>4.4949880882815654</v>
      </c>
      <c r="L110" s="340">
        <v>4.4444444444444446</v>
      </c>
      <c r="M110" s="340">
        <v>4.3948316779467351</v>
      </c>
      <c r="N110" s="340">
        <v>13.045747086449817</v>
      </c>
      <c r="O110" s="340">
        <v>4.3047783039173479</v>
      </c>
      <c r="P110" s="340">
        <v>8.5295121119072004</v>
      </c>
      <c r="Q110" s="340">
        <v>8.4548721200591839</v>
      </c>
    </row>
    <row r="111" spans="3:17" ht="18.75" x14ac:dyDescent="0.4">
      <c r="C111" s="2570"/>
      <c r="D111" s="391" t="s">
        <v>799</v>
      </c>
      <c r="E111" s="392" t="s">
        <v>751</v>
      </c>
      <c r="F111" s="340">
        <v>8.2671957671957674</v>
      </c>
      <c r="G111" s="392" t="s">
        <v>751</v>
      </c>
      <c r="H111" s="340">
        <v>4.040240798351582</v>
      </c>
      <c r="I111" s="340">
        <v>3.9961636828644505</v>
      </c>
      <c r="J111" s="340">
        <v>15.812776723592663</v>
      </c>
      <c r="K111" s="340">
        <v>11.744440964610085</v>
      </c>
      <c r="L111" s="340">
        <v>7.7570492184772908</v>
      </c>
      <c r="M111" s="392" t="s">
        <v>751</v>
      </c>
      <c r="N111" s="340">
        <v>7.6228227312573846</v>
      </c>
      <c r="O111" s="340">
        <v>3.7794323292641447</v>
      </c>
      <c r="P111" s="340">
        <v>15.002625459455405</v>
      </c>
      <c r="Q111" s="340">
        <v>7.4479573976836848</v>
      </c>
    </row>
    <row r="112" spans="3:17" ht="18.75" x14ac:dyDescent="0.4">
      <c r="C112" s="2570"/>
      <c r="D112" s="391" t="s">
        <v>800</v>
      </c>
      <c r="E112" s="340">
        <v>4.5842119739616765</v>
      </c>
      <c r="F112" s="392" t="s">
        <v>751</v>
      </c>
      <c r="G112" s="392" t="s">
        <v>751</v>
      </c>
      <c r="H112" s="392" t="s">
        <v>751</v>
      </c>
      <c r="I112" s="340">
        <v>8.6557604085518918</v>
      </c>
      <c r="J112" s="392" t="s">
        <v>751</v>
      </c>
      <c r="K112" s="392" t="s">
        <v>751</v>
      </c>
      <c r="L112" s="392" t="s">
        <v>751</v>
      </c>
      <c r="M112" s="340">
        <v>8.2253752827472759</v>
      </c>
      <c r="N112" s="340">
        <v>8.1290899483802797</v>
      </c>
      <c r="O112" s="340">
        <v>8.0366471108253634</v>
      </c>
      <c r="P112" s="340">
        <v>7.9532349783274352</v>
      </c>
      <c r="Q112" s="340">
        <v>3.9368528798078817</v>
      </c>
    </row>
    <row r="113" spans="3:17" ht="18.75" x14ac:dyDescent="0.4">
      <c r="C113" s="2570"/>
      <c r="D113" s="391" t="s">
        <v>801</v>
      </c>
      <c r="E113" s="340">
        <v>3.4789869190091847</v>
      </c>
      <c r="F113" s="340">
        <v>3.4451870736580994</v>
      </c>
      <c r="G113" s="340">
        <v>3.4121540928788341</v>
      </c>
      <c r="H113" s="340">
        <v>6.7590402162892866</v>
      </c>
      <c r="I113" s="340">
        <v>3.3479527269074962</v>
      </c>
      <c r="J113" s="340">
        <v>6.634819532908705</v>
      </c>
      <c r="K113" s="340">
        <v>9.878169245966415</v>
      </c>
      <c r="L113" s="392" t="s">
        <v>751</v>
      </c>
      <c r="M113" s="340">
        <v>12.987856354308722</v>
      </c>
      <c r="N113" s="340">
        <v>12.903225806451614</v>
      </c>
      <c r="O113" s="340">
        <v>6.4102564102564106</v>
      </c>
      <c r="P113" s="340">
        <v>9.5638867635807188</v>
      </c>
      <c r="Q113" s="392" t="s">
        <v>751</v>
      </c>
    </row>
    <row r="114" spans="3:17" ht="18.75" x14ac:dyDescent="0.4">
      <c r="C114" s="2570"/>
      <c r="D114" s="391" t="s">
        <v>802</v>
      </c>
      <c r="E114" s="340">
        <v>6.3893680914957507</v>
      </c>
      <c r="F114" s="340">
        <v>6.2027043791092913</v>
      </c>
      <c r="G114" s="340">
        <v>4.5171878999593451</v>
      </c>
      <c r="H114" s="340">
        <v>2.9257303354349831</v>
      </c>
      <c r="I114" s="340">
        <v>8.5349720479665425</v>
      </c>
      <c r="J114" s="340">
        <v>4.1540890082804847</v>
      </c>
      <c r="K114" s="340">
        <v>8.0651665456891681</v>
      </c>
      <c r="L114" s="340">
        <v>5.2239098353162428</v>
      </c>
      <c r="M114" s="340">
        <v>6.3500933463721916</v>
      </c>
      <c r="N114" s="340">
        <v>8.6531924099140873</v>
      </c>
      <c r="O114" s="340">
        <v>10.841414202252604</v>
      </c>
      <c r="P114" s="340">
        <v>5.8581621773617183</v>
      </c>
      <c r="Q114" s="340">
        <v>5.702099513040702</v>
      </c>
    </row>
    <row r="115" spans="3:17" ht="18.75" x14ac:dyDescent="0.4">
      <c r="C115" s="2570" t="s">
        <v>332</v>
      </c>
      <c r="D115" s="391" t="s">
        <v>803</v>
      </c>
      <c r="E115" s="340">
        <v>9.4489677002787449</v>
      </c>
      <c r="F115" s="340">
        <v>3.0865626495053782</v>
      </c>
      <c r="G115" s="340">
        <v>9.073724007561438</v>
      </c>
      <c r="H115" s="340">
        <v>7.4114699909580066</v>
      </c>
      <c r="I115" s="340">
        <v>4.3614160063967438</v>
      </c>
      <c r="J115" s="340">
        <v>5.7054829691333371</v>
      </c>
      <c r="K115" s="340">
        <v>5.5922156358349175</v>
      </c>
      <c r="L115" s="340">
        <v>4.1135899299318517</v>
      </c>
      <c r="M115" s="340">
        <v>9.4212651413189779</v>
      </c>
      <c r="N115" s="340">
        <v>14.542570068746695</v>
      </c>
      <c r="O115" s="340">
        <v>3.8976730891657683</v>
      </c>
      <c r="P115" s="340">
        <v>3.8308305240576157</v>
      </c>
      <c r="Q115" s="340">
        <v>12.561236025624922</v>
      </c>
    </row>
    <row r="116" spans="3:17" ht="18.75" x14ac:dyDescent="0.4">
      <c r="C116" s="2570"/>
      <c r="D116" s="391" t="s">
        <v>804</v>
      </c>
      <c r="E116" s="340">
        <v>11.810093693409968</v>
      </c>
      <c r="F116" s="340">
        <v>11.679741488388391</v>
      </c>
      <c r="G116" s="340">
        <v>11.541346875180334</v>
      </c>
      <c r="H116" s="340">
        <v>13.306466942934268</v>
      </c>
      <c r="I116" s="340">
        <v>1.8792753514244906</v>
      </c>
      <c r="J116" s="340">
        <v>5.5732040349997218</v>
      </c>
      <c r="K116" s="340">
        <v>11.030222810500772</v>
      </c>
      <c r="L116" s="340">
        <v>18.195713089995994</v>
      </c>
      <c r="M116" s="340">
        <v>10.808473843493298</v>
      </c>
      <c r="N116" s="340">
        <v>16.056232494246515</v>
      </c>
      <c r="O116" s="340">
        <v>14.136523475464296</v>
      </c>
      <c r="P116" s="340">
        <v>17.505470459518598</v>
      </c>
      <c r="Q116" s="340">
        <v>10.412328196584756</v>
      </c>
    </row>
    <row r="117" spans="3:17" ht="18.75" x14ac:dyDescent="0.4">
      <c r="C117" s="2570"/>
      <c r="D117" s="391" t="s">
        <v>805</v>
      </c>
      <c r="E117" s="340">
        <v>8.7736229798733092</v>
      </c>
      <c r="F117" s="340">
        <v>8.6048152546164829</v>
      </c>
      <c r="G117" s="340">
        <v>8.4321297873416867</v>
      </c>
      <c r="H117" s="340">
        <v>4.9590875278948676</v>
      </c>
      <c r="I117" s="340">
        <v>12.964703594464073</v>
      </c>
      <c r="J117" s="340">
        <v>11.130191439292755</v>
      </c>
      <c r="K117" s="340">
        <v>6.2384977697370472</v>
      </c>
      <c r="L117" s="340">
        <v>7.6516948504093651</v>
      </c>
      <c r="M117" s="340">
        <v>21.033337840477156</v>
      </c>
      <c r="N117" s="340">
        <v>7.3792024557985769</v>
      </c>
      <c r="O117" s="340">
        <v>7.2527886972540943</v>
      </c>
      <c r="P117" s="340">
        <v>8.5561497326203213</v>
      </c>
      <c r="Q117" s="340">
        <v>12.625554121542001</v>
      </c>
    </row>
    <row r="118" spans="3:17" ht="18.75" x14ac:dyDescent="0.4">
      <c r="C118" s="2570"/>
      <c r="D118" s="391" t="s">
        <v>806</v>
      </c>
      <c r="E118" s="392" t="s">
        <v>751</v>
      </c>
      <c r="F118" s="340">
        <v>9.6043027276219757</v>
      </c>
      <c r="G118" s="392" t="s">
        <v>751</v>
      </c>
      <c r="H118" s="392" t="s">
        <v>751</v>
      </c>
      <c r="I118" s="392" t="s">
        <v>751</v>
      </c>
      <c r="J118" s="340">
        <v>8.9682077036904175</v>
      </c>
      <c r="K118" s="340">
        <v>4.4095599259193934</v>
      </c>
      <c r="L118" s="392" t="s">
        <v>751</v>
      </c>
      <c r="M118" s="340">
        <v>4.2700371493231994</v>
      </c>
      <c r="N118" s="392" t="s">
        <v>751</v>
      </c>
      <c r="O118" s="392" t="s">
        <v>751</v>
      </c>
      <c r="P118" s="340">
        <v>12.247897444272066</v>
      </c>
      <c r="Q118" s="340">
        <v>8.0492614802591866</v>
      </c>
    </row>
    <row r="119" spans="3:17" ht="18.75" x14ac:dyDescent="0.4">
      <c r="C119" s="2570"/>
      <c r="D119" s="391" t="s">
        <v>807</v>
      </c>
      <c r="E119" s="340">
        <v>8.053691275167786</v>
      </c>
      <c r="F119" s="340">
        <v>10.507512871703268</v>
      </c>
      <c r="G119" s="340">
        <v>10.283833813245579</v>
      </c>
      <c r="H119" s="340">
        <v>5.0338526591326671</v>
      </c>
      <c r="I119" s="340">
        <v>9.862419251442379</v>
      </c>
      <c r="J119" s="340">
        <v>7.2481275670451799</v>
      </c>
      <c r="K119" s="340">
        <v>4.7253396337861782</v>
      </c>
      <c r="L119" s="340">
        <v>4.6241705394094934</v>
      </c>
      <c r="M119" s="340">
        <v>9.0585864075910951</v>
      </c>
      <c r="N119" s="340">
        <v>4.4398073123626434</v>
      </c>
      <c r="O119" s="340">
        <v>8.7071986765058025</v>
      </c>
      <c r="P119" s="340">
        <v>6.4027318322484259</v>
      </c>
      <c r="Q119" s="340">
        <v>8.3759108803082327</v>
      </c>
    </row>
    <row r="120" spans="3:17" ht="18.75" x14ac:dyDescent="0.4">
      <c r="C120" s="2570"/>
      <c r="D120" s="391" t="s">
        <v>808</v>
      </c>
      <c r="E120" s="340">
        <v>10.392129693778578</v>
      </c>
      <c r="F120" s="340">
        <v>10.262023671067935</v>
      </c>
      <c r="G120" s="340">
        <v>3.3751856352099363</v>
      </c>
      <c r="H120" s="340">
        <v>6.6633349991670832</v>
      </c>
      <c r="I120" s="340">
        <v>6.5757027782344242</v>
      </c>
      <c r="J120" s="340">
        <v>6.4949826259214749</v>
      </c>
      <c r="K120" s="340">
        <v>3.2071840923669024</v>
      </c>
      <c r="L120" s="340">
        <v>6.3349276234519012</v>
      </c>
      <c r="M120" s="340">
        <v>9.3890836254381576</v>
      </c>
      <c r="N120" s="392" t="s">
        <v>751</v>
      </c>
      <c r="O120" s="340">
        <v>3.0595074193054921</v>
      </c>
      <c r="P120" s="340">
        <v>6.0529023666848252</v>
      </c>
      <c r="Q120" s="340">
        <v>17.967837570748362</v>
      </c>
    </row>
    <row r="121" spans="3:17" ht="18.75" x14ac:dyDescent="0.4">
      <c r="C121" s="2570"/>
      <c r="D121" s="391" t="s">
        <v>809</v>
      </c>
      <c r="E121" s="340">
        <v>10.909289259804725</v>
      </c>
      <c r="F121" s="340">
        <v>10.8038029386344</v>
      </c>
      <c r="G121" s="340">
        <v>10.69747539580659</v>
      </c>
      <c r="H121" s="340">
        <v>21.169621593014025</v>
      </c>
      <c r="I121" s="340">
        <v>5.2408154708872701</v>
      </c>
      <c r="J121" s="392" t="s">
        <v>751</v>
      </c>
      <c r="K121" s="340">
        <v>10.293890575943179</v>
      </c>
      <c r="L121" s="340">
        <v>10.213982942648485</v>
      </c>
      <c r="M121" s="340">
        <v>5.0676531698170582</v>
      </c>
      <c r="N121" s="340">
        <v>15.09282084821653</v>
      </c>
      <c r="O121" s="392" t="s">
        <v>751</v>
      </c>
      <c r="P121" s="340">
        <v>9.9235883695544302</v>
      </c>
      <c r="Q121" s="340">
        <v>4.9304802287742824</v>
      </c>
    </row>
    <row r="122" spans="3:17" ht="18.75" x14ac:dyDescent="0.4">
      <c r="C122" s="2570"/>
      <c r="D122" s="391" t="s">
        <v>810</v>
      </c>
      <c r="E122" s="392" t="s">
        <v>751</v>
      </c>
      <c r="F122" s="340">
        <v>4.9106265959536435</v>
      </c>
      <c r="G122" s="340">
        <v>4.868786211597449</v>
      </c>
      <c r="H122" s="340">
        <v>9.6581031485416258</v>
      </c>
      <c r="I122" s="340">
        <v>9.5771680314131107</v>
      </c>
      <c r="J122" s="392" t="s">
        <v>751</v>
      </c>
      <c r="K122" s="340">
        <v>14.156953423623237</v>
      </c>
      <c r="L122" s="340">
        <v>9.3733889487744282</v>
      </c>
      <c r="M122" s="340">
        <v>9.3131548311990695</v>
      </c>
      <c r="N122" s="392" t="s">
        <v>751</v>
      </c>
      <c r="O122" s="340">
        <v>9.1958250954066862</v>
      </c>
      <c r="P122" s="340">
        <v>13.721813108905456</v>
      </c>
      <c r="Q122" s="340">
        <v>9.0975254730713253</v>
      </c>
    </row>
    <row r="123" spans="3:17" ht="18.75" x14ac:dyDescent="0.4">
      <c r="C123" s="2570"/>
      <c r="D123" s="391" t="s">
        <v>811</v>
      </c>
      <c r="E123" s="392" t="s">
        <v>751</v>
      </c>
      <c r="F123" s="340">
        <v>8.851124092759779</v>
      </c>
      <c r="G123" s="340">
        <v>17.599436818021822</v>
      </c>
      <c r="H123" s="392" t="s">
        <v>751</v>
      </c>
      <c r="I123" s="392" t="s">
        <v>751</v>
      </c>
      <c r="J123" s="392" t="s">
        <v>751</v>
      </c>
      <c r="K123" s="340">
        <v>17.185083347654238</v>
      </c>
      <c r="L123" s="392" t="s">
        <v>751</v>
      </c>
      <c r="M123" s="340">
        <v>8.5375224109963277</v>
      </c>
      <c r="N123" s="340">
        <v>8.5106382978723403</v>
      </c>
      <c r="O123" s="340">
        <v>33.935691863917874</v>
      </c>
      <c r="P123" s="392" t="s">
        <v>751</v>
      </c>
      <c r="Q123" s="392">
        <v>8.4473728670383519</v>
      </c>
    </row>
    <row r="124" spans="3:17" ht="18.75" x14ac:dyDescent="0.4">
      <c r="C124" s="2570"/>
      <c r="D124" s="391" t="s">
        <v>812</v>
      </c>
      <c r="E124" s="340">
        <v>31.572775246944207</v>
      </c>
      <c r="F124" s="340">
        <v>13.248542660307367</v>
      </c>
      <c r="G124" s="340">
        <v>17.304780445598094</v>
      </c>
      <c r="H124" s="340">
        <v>12.712941774726671</v>
      </c>
      <c r="I124" s="340">
        <v>8.3046132126396213</v>
      </c>
      <c r="J124" s="340">
        <v>4.0708324852432325</v>
      </c>
      <c r="K124" s="340">
        <v>11.959815021527668</v>
      </c>
      <c r="L124" s="340">
        <v>7.81646930081682</v>
      </c>
      <c r="M124" s="340">
        <v>15.327432271908648</v>
      </c>
      <c r="N124" s="340">
        <v>3.7595398323245233</v>
      </c>
      <c r="O124" s="340">
        <v>3.6913990402362495</v>
      </c>
      <c r="P124" s="340">
        <v>7.2513686958413404</v>
      </c>
      <c r="Q124" s="340">
        <v>7.124790709272915</v>
      </c>
    </row>
    <row r="125" spans="3:17" ht="18.75" x14ac:dyDescent="0.4">
      <c r="C125" s="2570"/>
      <c r="D125" s="391" t="s">
        <v>813</v>
      </c>
      <c r="E125" s="392" t="s">
        <v>751</v>
      </c>
      <c r="F125" s="392" t="s">
        <v>751</v>
      </c>
      <c r="G125" s="392" t="s">
        <v>751</v>
      </c>
      <c r="H125" s="392" t="s">
        <v>751</v>
      </c>
      <c r="I125" s="392" t="s">
        <v>751</v>
      </c>
      <c r="J125" s="340">
        <v>77.349490782519013</v>
      </c>
      <c r="K125" s="340">
        <v>25.614754098360656</v>
      </c>
      <c r="L125" s="392" t="s">
        <v>751</v>
      </c>
      <c r="M125" s="392" t="s">
        <v>751</v>
      </c>
      <c r="N125" s="340">
        <v>12.586532410320956</v>
      </c>
      <c r="O125" s="340">
        <v>12.503125781445362</v>
      </c>
      <c r="P125" s="340">
        <v>24.866343404202411</v>
      </c>
      <c r="Q125" s="340">
        <v>24.737167594310453</v>
      </c>
    </row>
    <row r="126" spans="3:17" ht="18.75" x14ac:dyDescent="0.4">
      <c r="C126" s="2567" t="s">
        <v>533</v>
      </c>
      <c r="D126" s="391" t="s">
        <v>533</v>
      </c>
      <c r="E126" s="340">
        <v>8.2929741922643139</v>
      </c>
      <c r="F126" s="340">
        <v>10.609213694046598</v>
      </c>
      <c r="G126" s="340">
        <v>4.8185030517185998</v>
      </c>
      <c r="H126" s="340">
        <v>4.7425206497253294</v>
      </c>
      <c r="I126" s="340">
        <v>7.0038365460190972</v>
      </c>
      <c r="J126" s="340">
        <v>3.8325336113197714</v>
      </c>
      <c r="K126" s="340">
        <v>7.5505889459377835</v>
      </c>
      <c r="L126" s="340">
        <v>5.2083333333333339</v>
      </c>
      <c r="M126" s="340">
        <v>6.6017252508655604</v>
      </c>
      <c r="N126" s="340">
        <v>7.2347383195149835</v>
      </c>
      <c r="O126" s="340">
        <v>6.4238911650083512</v>
      </c>
      <c r="P126" s="340">
        <v>6.3375818604323646</v>
      </c>
      <c r="Q126" s="340">
        <v>10.076872138888088</v>
      </c>
    </row>
    <row r="127" spans="3:17" ht="18.75" x14ac:dyDescent="0.4">
      <c r="C127" s="2567"/>
      <c r="D127" s="391" t="s">
        <v>814</v>
      </c>
      <c r="E127" s="340">
        <v>6.1370401055570909</v>
      </c>
      <c r="F127" s="340">
        <v>3.0187767916440258</v>
      </c>
      <c r="G127" s="340">
        <v>2.9670068834559697</v>
      </c>
      <c r="H127" s="340">
        <v>8.7486512495990212</v>
      </c>
      <c r="I127" s="340">
        <v>2.8684527565830993</v>
      </c>
      <c r="J127" s="340">
        <v>5.644615037254459</v>
      </c>
      <c r="K127" s="340">
        <v>2.778704012448594</v>
      </c>
      <c r="L127" s="340">
        <v>5.4724053957917205</v>
      </c>
      <c r="M127" s="392" t="s">
        <v>751</v>
      </c>
      <c r="N127" s="340">
        <v>10.62501660158844</v>
      </c>
      <c r="O127" s="340">
        <v>2.6189665557970825</v>
      </c>
      <c r="P127" s="340">
        <v>7.7491346799607372</v>
      </c>
      <c r="Q127" s="340">
        <v>10.192640913260625</v>
      </c>
    </row>
    <row r="128" spans="3:17" ht="18.75" x14ac:dyDescent="0.4">
      <c r="C128" s="2567"/>
      <c r="D128" s="391" t="s">
        <v>815</v>
      </c>
      <c r="E128" s="340">
        <v>4.2838477520508915</v>
      </c>
      <c r="F128" s="340">
        <v>6.3392781675259915</v>
      </c>
      <c r="G128" s="340">
        <v>4.1664062662750245</v>
      </c>
      <c r="H128" s="340">
        <v>8.2125405494189625</v>
      </c>
      <c r="I128" s="340">
        <v>6.073243314371318</v>
      </c>
      <c r="J128" s="340">
        <v>3.9954451924805721</v>
      </c>
      <c r="K128" s="340">
        <v>9.8543526675732664</v>
      </c>
      <c r="L128" s="340">
        <v>7.7765032952932716</v>
      </c>
      <c r="M128" s="340">
        <v>9.5921421171776071</v>
      </c>
      <c r="N128" s="340">
        <v>7.5780539557441653</v>
      </c>
      <c r="O128" s="340">
        <v>11.228385358185493</v>
      </c>
      <c r="P128" s="340">
        <v>7.39221230433738</v>
      </c>
      <c r="Q128" s="340">
        <v>7.3016684312365383</v>
      </c>
    </row>
    <row r="129" spans="3:17" ht="18.75" x14ac:dyDescent="0.4">
      <c r="C129" s="2567"/>
      <c r="D129" s="391" t="s">
        <v>816</v>
      </c>
      <c r="E129" s="392" t="s">
        <v>751</v>
      </c>
      <c r="F129" s="392" t="s">
        <v>751</v>
      </c>
      <c r="G129" s="392" t="s">
        <v>751</v>
      </c>
      <c r="H129" s="340">
        <v>7.5420469115317896</v>
      </c>
      <c r="I129" s="392" t="s">
        <v>751</v>
      </c>
      <c r="J129" s="392" t="s">
        <v>751</v>
      </c>
      <c r="K129" s="340">
        <v>7.2822604136323905</v>
      </c>
      <c r="L129" s="340">
        <v>7.2009793331893137</v>
      </c>
      <c r="M129" s="340">
        <v>21.385799828913601</v>
      </c>
      <c r="N129" s="340">
        <v>14.107356986668547</v>
      </c>
      <c r="O129" s="340">
        <v>6.981777560566921</v>
      </c>
      <c r="P129" s="340">
        <v>6.9175428887659098</v>
      </c>
      <c r="Q129" s="340">
        <v>6.8554192088846237</v>
      </c>
    </row>
    <row r="130" spans="3:17" ht="18.75" x14ac:dyDescent="0.4">
      <c r="C130" s="2567"/>
      <c r="D130" s="391" t="s">
        <v>817</v>
      </c>
      <c r="E130" s="340">
        <v>10.240655401945725</v>
      </c>
      <c r="F130" s="340">
        <v>13.567140385985143</v>
      </c>
      <c r="G130" s="392" t="s">
        <v>751</v>
      </c>
      <c r="H130" s="340">
        <v>3.3453766894152279</v>
      </c>
      <c r="I130" s="340">
        <v>13.293894778822825</v>
      </c>
      <c r="J130" s="340">
        <v>6.6024032747920236</v>
      </c>
      <c r="K130" s="340">
        <v>6.5634024678393281</v>
      </c>
      <c r="L130" s="340">
        <v>6.5259242340196435</v>
      </c>
      <c r="M130" s="340">
        <v>12.979427607242521</v>
      </c>
      <c r="N130" s="340">
        <v>3.2277847713114491</v>
      </c>
      <c r="O130" s="340">
        <v>6.4228138347409995</v>
      </c>
      <c r="P130" s="340">
        <v>9.5938599296450278</v>
      </c>
      <c r="Q130" s="340">
        <v>22.305069623681611</v>
      </c>
    </row>
    <row r="131" spans="3:17" ht="18.75" x14ac:dyDescent="0.4">
      <c r="C131" s="2567"/>
      <c r="D131" s="391" t="s">
        <v>818</v>
      </c>
      <c r="E131" s="340">
        <v>3.5739814152966405</v>
      </c>
      <c r="F131" s="340">
        <v>10.529640939243972</v>
      </c>
      <c r="G131" s="340">
        <v>13.781697905181918</v>
      </c>
      <c r="H131" s="340">
        <v>3.3819202543204034</v>
      </c>
      <c r="I131" s="340">
        <v>13.289919595986445</v>
      </c>
      <c r="J131" s="340">
        <v>9.796558142572577</v>
      </c>
      <c r="K131" s="340">
        <v>3.2120258246876308</v>
      </c>
      <c r="L131" s="340">
        <v>15.807277670639561</v>
      </c>
      <c r="M131" s="340">
        <v>9.3396843186700291</v>
      </c>
      <c r="N131" s="392" t="s">
        <v>751</v>
      </c>
      <c r="O131" s="340">
        <v>6.0479603253802656</v>
      </c>
      <c r="P131" s="340">
        <v>11.92321449862883</v>
      </c>
      <c r="Q131" s="340">
        <v>17.636684303350972</v>
      </c>
    </row>
    <row r="132" spans="3:17" ht="18.75" x14ac:dyDescent="0.4">
      <c r="C132" s="2567"/>
      <c r="D132" s="391" t="s">
        <v>819</v>
      </c>
      <c r="E132" s="340">
        <v>19.744798479650516</v>
      </c>
      <c r="F132" s="340">
        <v>14.628794343532855</v>
      </c>
      <c r="G132" s="340">
        <v>4.8180000481800009</v>
      </c>
      <c r="H132" s="340">
        <v>9.5210892126059221</v>
      </c>
      <c r="I132" s="340">
        <v>2.3520556966788972</v>
      </c>
      <c r="J132" s="340">
        <v>9.3014603292716966</v>
      </c>
      <c r="K132" s="340">
        <v>9.1888539201948038</v>
      </c>
      <c r="L132" s="340">
        <v>2.2698899103393484</v>
      </c>
      <c r="M132" s="340">
        <v>4.4871219599748722</v>
      </c>
      <c r="N132" s="340">
        <v>19.963621844638656</v>
      </c>
      <c r="O132" s="340">
        <v>17.554253615079105</v>
      </c>
      <c r="P132" s="340">
        <v>6.5150824157925591</v>
      </c>
      <c r="Q132" s="340">
        <v>17.81102502449016</v>
      </c>
    </row>
    <row r="133" spans="3:17" ht="18.75" x14ac:dyDescent="0.4">
      <c r="C133" s="2567"/>
      <c r="D133" s="391" t="s">
        <v>820</v>
      </c>
      <c r="E133" s="340">
        <v>2.3131549119844554</v>
      </c>
      <c r="F133" s="340">
        <v>2.3062198750028831</v>
      </c>
      <c r="G133" s="340">
        <v>9.1941341424171377</v>
      </c>
      <c r="H133" s="340">
        <v>4.5808520384791569</v>
      </c>
      <c r="I133" s="340">
        <v>11.412658921275478</v>
      </c>
      <c r="J133" s="340">
        <v>15.931177314003504</v>
      </c>
      <c r="K133" s="340">
        <v>6.8160130867451256</v>
      </c>
      <c r="L133" s="340">
        <v>15.875895854123195</v>
      </c>
      <c r="M133" s="340">
        <v>6.7910177471930453</v>
      </c>
      <c r="N133" s="340">
        <v>15.814920247616467</v>
      </c>
      <c r="O133" s="340">
        <v>18.055430170623815</v>
      </c>
      <c r="P133" s="340">
        <v>13.546158535208724</v>
      </c>
      <c r="Q133" s="340">
        <v>15.808491418247515</v>
      </c>
    </row>
    <row r="134" spans="3:17" ht="18.75" x14ac:dyDescent="0.4">
      <c r="C134" s="2567"/>
      <c r="D134" s="391" t="s">
        <v>821</v>
      </c>
      <c r="E134" s="340">
        <v>6.058035984733749</v>
      </c>
      <c r="F134" s="340">
        <v>17.788319003854134</v>
      </c>
      <c r="G134" s="392" t="s">
        <v>751</v>
      </c>
      <c r="H134" s="340">
        <v>5.6860180815374992</v>
      </c>
      <c r="I134" s="392" t="s">
        <v>751</v>
      </c>
      <c r="J134" s="340">
        <v>5.4629882545752526</v>
      </c>
      <c r="K134" s="392" t="s">
        <v>751</v>
      </c>
      <c r="L134" s="340">
        <v>15.724094554221921</v>
      </c>
      <c r="M134" s="340">
        <v>5.1395384694454442</v>
      </c>
      <c r="N134" s="392" t="s">
        <v>751</v>
      </c>
      <c r="O134" s="340">
        <v>14.852220406950838</v>
      </c>
      <c r="P134" s="340">
        <v>9.7115664756725266</v>
      </c>
      <c r="Q134" s="340">
        <v>9.5310712924132677</v>
      </c>
    </row>
    <row r="135" spans="3:17" ht="18.75" x14ac:dyDescent="0.4">
      <c r="C135" s="2567"/>
      <c r="D135" s="391" t="s">
        <v>822</v>
      </c>
      <c r="E135" s="340">
        <v>10.753150673147232</v>
      </c>
      <c r="F135" s="340">
        <v>12.740476493820868</v>
      </c>
      <c r="G135" s="340">
        <v>4.1933116678897164</v>
      </c>
      <c r="H135" s="340">
        <v>10.350466806052953</v>
      </c>
      <c r="I135" s="340">
        <v>2.0446134658242858</v>
      </c>
      <c r="J135" s="340">
        <v>4.0403224177289347</v>
      </c>
      <c r="K135" s="340">
        <v>9.9808367933567563</v>
      </c>
      <c r="L135" s="340">
        <v>5.9183270862102972</v>
      </c>
      <c r="M135" s="340">
        <v>11.697958706205767</v>
      </c>
      <c r="N135" s="340">
        <v>5.7842475657958161</v>
      </c>
      <c r="O135" s="340">
        <v>7.6308208855567639</v>
      </c>
      <c r="P135" s="340">
        <v>15.108022359873091</v>
      </c>
      <c r="Q135" s="340">
        <v>9.348590232592926</v>
      </c>
    </row>
    <row r="136" spans="3:17" ht="18.75" x14ac:dyDescent="0.4">
      <c r="C136" s="2567"/>
      <c r="D136" s="391" t="s">
        <v>823</v>
      </c>
      <c r="E136" s="340">
        <v>5.1140431625242924</v>
      </c>
      <c r="F136" s="340">
        <v>24.772096710265554</v>
      </c>
      <c r="G136" s="340">
        <v>14.40576230492197</v>
      </c>
      <c r="H136" s="340">
        <v>9.3140222605132017</v>
      </c>
      <c r="I136" s="340">
        <v>13.563613346595535</v>
      </c>
      <c r="J136" s="392" t="s">
        <v>751</v>
      </c>
      <c r="K136" s="340">
        <v>4.2689434364994669</v>
      </c>
      <c r="L136" s="340">
        <v>12.456919818959431</v>
      </c>
      <c r="M136" s="340">
        <v>8.0850547762461087</v>
      </c>
      <c r="N136" s="340">
        <v>27.579685591584258</v>
      </c>
      <c r="O136" s="340">
        <v>7.6840325802981395</v>
      </c>
      <c r="P136" s="340">
        <v>3.7423749111185955</v>
      </c>
      <c r="Q136" s="340">
        <v>18.245511604145381</v>
      </c>
    </row>
    <row r="137" spans="3:17" ht="18.75" x14ac:dyDescent="0.4">
      <c r="C137" s="424"/>
      <c r="D137" s="391" t="s">
        <v>824</v>
      </c>
      <c r="E137" s="391"/>
      <c r="F137" s="391"/>
      <c r="G137" s="391"/>
      <c r="H137" s="391"/>
      <c r="I137" s="391"/>
      <c r="J137" s="391"/>
      <c r="K137" s="391"/>
      <c r="L137" s="391"/>
      <c r="M137" s="391"/>
      <c r="N137" s="391"/>
      <c r="O137" s="391"/>
      <c r="P137" s="391"/>
      <c r="Q137" s="392" t="s">
        <v>751</v>
      </c>
    </row>
    <row r="138" spans="3:17" ht="18.75" x14ac:dyDescent="0.4">
      <c r="C138" s="424"/>
      <c r="D138" s="391" t="s">
        <v>825</v>
      </c>
      <c r="E138" s="391"/>
      <c r="F138" s="391"/>
      <c r="G138" s="391"/>
      <c r="H138" s="391"/>
      <c r="I138" s="391"/>
      <c r="J138" s="391"/>
      <c r="K138" s="391"/>
      <c r="L138" s="391"/>
      <c r="M138" s="391"/>
      <c r="N138" s="391"/>
      <c r="O138" s="391"/>
      <c r="P138" s="391"/>
      <c r="Q138" s="340">
        <v>23.371766905578063</v>
      </c>
    </row>
    <row r="139" spans="3:17" ht="18.75" x14ac:dyDescent="0.4">
      <c r="C139" s="2567" t="s">
        <v>334</v>
      </c>
      <c r="D139" s="391" t="s">
        <v>334</v>
      </c>
      <c r="E139" s="340">
        <v>3.1275085224607237</v>
      </c>
      <c r="F139" s="340">
        <v>6.2296239383682543</v>
      </c>
      <c r="G139" s="340">
        <v>7.2346186839195088</v>
      </c>
      <c r="H139" s="340">
        <v>2.0572956848223014</v>
      </c>
      <c r="I139" s="340">
        <v>5.1197509753125603</v>
      </c>
      <c r="J139" s="340">
        <v>5.0986590526691478</v>
      </c>
      <c r="K139" s="340">
        <v>4.0626047390284281</v>
      </c>
      <c r="L139" s="340">
        <v>4.0466170281644551</v>
      </c>
      <c r="M139" s="340">
        <v>5.0397129379510544</v>
      </c>
      <c r="N139" s="340">
        <v>5.0228539856346375</v>
      </c>
      <c r="O139" s="340">
        <v>4.0065707760727589</v>
      </c>
      <c r="P139" s="340">
        <v>6.9971311762177502</v>
      </c>
      <c r="Q139" s="340">
        <v>7.9811644518935321</v>
      </c>
    </row>
    <row r="140" spans="3:17" ht="18.75" x14ac:dyDescent="0.4">
      <c r="C140" s="2567"/>
      <c r="D140" s="391" t="s">
        <v>826</v>
      </c>
      <c r="E140" s="340">
        <v>3.0985173594435058</v>
      </c>
      <c r="F140" s="340">
        <v>5.3347965918270912</v>
      </c>
      <c r="G140" s="340">
        <v>7.4958585381576679</v>
      </c>
      <c r="H140" s="340">
        <v>5.8992264639299172</v>
      </c>
      <c r="I140" s="340">
        <v>7.2564201176991343</v>
      </c>
      <c r="J140" s="340">
        <v>8.5729594570459007</v>
      </c>
      <c r="K140" s="340">
        <v>2.8135133044010385</v>
      </c>
      <c r="L140" s="340">
        <v>4.8496941228635366</v>
      </c>
      <c r="M140" s="340">
        <v>4.778744146038421</v>
      </c>
      <c r="N140" s="340">
        <v>5.3838336933772117</v>
      </c>
      <c r="O140" s="340">
        <v>3.9823713694047682</v>
      </c>
      <c r="P140" s="340">
        <v>5.894334234948162</v>
      </c>
      <c r="Q140" s="340">
        <v>10.344337121946804</v>
      </c>
    </row>
    <row r="141" spans="3:17" ht="18.75" x14ac:dyDescent="0.4">
      <c r="C141" s="2567"/>
      <c r="D141" s="391" t="s">
        <v>827</v>
      </c>
      <c r="E141" s="340">
        <v>13.369877665619359</v>
      </c>
      <c r="F141" s="340">
        <v>4.9688617993904867</v>
      </c>
      <c r="G141" s="340">
        <v>4.9239253532916445</v>
      </c>
      <c r="H141" s="340">
        <v>4.8767800247090189</v>
      </c>
      <c r="I141" s="340">
        <v>11.274683503527365</v>
      </c>
      <c r="J141" s="340">
        <v>9.5805323582480391</v>
      </c>
      <c r="K141" s="340">
        <v>4.7527011184689965</v>
      </c>
      <c r="L141" s="340">
        <v>3.1449507815202691</v>
      </c>
      <c r="M141" s="340">
        <v>6.2455110389407613</v>
      </c>
      <c r="N141" s="340">
        <v>4.6510906807646393</v>
      </c>
      <c r="O141" s="340">
        <v>4.6208585555196153</v>
      </c>
      <c r="P141" s="340">
        <v>6.1249176964184544</v>
      </c>
      <c r="Q141" s="340">
        <v>12.181566244879935</v>
      </c>
    </row>
    <row r="142" spans="3:17" ht="18.75" x14ac:dyDescent="0.4">
      <c r="C142" s="2567"/>
      <c r="D142" s="391" t="s">
        <v>828</v>
      </c>
      <c r="E142" s="340">
        <v>5.697031846408021</v>
      </c>
      <c r="F142" s="340">
        <v>13.937670736466522</v>
      </c>
      <c r="G142" s="340">
        <v>13.645170973992306</v>
      </c>
      <c r="H142" s="340">
        <v>21.373230029388193</v>
      </c>
      <c r="I142" s="340">
        <v>31.400460540087924</v>
      </c>
      <c r="J142" s="340">
        <v>15.390929612148573</v>
      </c>
      <c r="K142" s="340">
        <v>7.5304985190019584</v>
      </c>
      <c r="L142" s="340">
        <v>12.290749981563875</v>
      </c>
      <c r="M142" s="340">
        <v>16.860157040319859</v>
      </c>
      <c r="N142" s="340">
        <v>14.167316001983425</v>
      </c>
      <c r="O142" s="340">
        <v>16.221351933816884</v>
      </c>
      <c r="P142" s="340">
        <v>18.189259242417354</v>
      </c>
      <c r="Q142" s="340">
        <v>8.9281728494263657</v>
      </c>
    </row>
    <row r="143" spans="3:17" ht="18.75" x14ac:dyDescent="0.4">
      <c r="C143" s="2567"/>
      <c r="D143" s="391" t="s">
        <v>829</v>
      </c>
      <c r="E143" s="340">
        <v>14.789982252021296</v>
      </c>
      <c r="F143" s="340">
        <v>2.430251774083795</v>
      </c>
      <c r="G143" s="340">
        <v>2.3957260247718071</v>
      </c>
      <c r="H143" s="340">
        <v>2.3611635814129204</v>
      </c>
      <c r="I143" s="340">
        <v>4.655710228595372</v>
      </c>
      <c r="J143" s="340">
        <v>4.5928443485050288</v>
      </c>
      <c r="K143" s="340">
        <v>2.266237592349182</v>
      </c>
      <c r="L143" s="340">
        <v>8.9455440008945537</v>
      </c>
      <c r="M143" s="340">
        <v>8.8337271703363438</v>
      </c>
      <c r="N143" s="340">
        <v>4.3630969261982155</v>
      </c>
      <c r="O143" s="340">
        <v>19.405334310787211</v>
      </c>
      <c r="P143" s="340">
        <v>4.2653017701002343</v>
      </c>
      <c r="Q143" s="340">
        <v>2.1101052942541831</v>
      </c>
    </row>
    <row r="144" spans="3:17" ht="18.75" x14ac:dyDescent="0.4">
      <c r="C144" s="2568"/>
      <c r="D144" s="395" t="s">
        <v>830</v>
      </c>
      <c r="E144" s="397">
        <v>4.3921293042867182</v>
      </c>
      <c r="F144" s="397">
        <v>10.757777873402469</v>
      </c>
      <c r="G144" s="397">
        <v>6.3249773354978815</v>
      </c>
      <c r="H144" s="397">
        <v>18.593120545398204</v>
      </c>
      <c r="I144" s="397">
        <v>6.0761954914629452</v>
      </c>
      <c r="J144" s="396" t="s">
        <v>751</v>
      </c>
      <c r="K144" s="397">
        <v>7.7977269625904047</v>
      </c>
      <c r="L144" s="397">
        <v>1.9131432944327531</v>
      </c>
      <c r="M144" s="397">
        <v>1.8782164456631982</v>
      </c>
      <c r="N144" s="397">
        <v>3.6903773410831255</v>
      </c>
      <c r="O144" s="397">
        <v>3.6279204759831667</v>
      </c>
      <c r="P144" s="397">
        <v>3.5662066260119114</v>
      </c>
      <c r="Q144" s="397">
        <v>5.2612195506918509</v>
      </c>
    </row>
    <row r="145" spans="3:16" ht="18.75" x14ac:dyDescent="0.4">
      <c r="C145" s="5" t="s">
        <v>831</v>
      </c>
      <c r="D145" s="5"/>
      <c r="E145" s="5"/>
      <c r="F145" s="5"/>
      <c r="G145" s="5"/>
      <c r="H145" s="5"/>
      <c r="I145" s="5"/>
      <c r="J145" s="5"/>
      <c r="K145" s="5"/>
      <c r="L145" s="5"/>
      <c r="M145" s="5"/>
      <c r="N145" s="5"/>
      <c r="O145" s="5"/>
      <c r="P145" s="5"/>
    </row>
  </sheetData>
  <mergeCells count="22">
    <mergeCell ref="A5:B5"/>
    <mergeCell ref="C5:R5"/>
    <mergeCell ref="C1:D1"/>
    <mergeCell ref="A3:B3"/>
    <mergeCell ref="C3:R3"/>
    <mergeCell ref="A4:B4"/>
    <mergeCell ref="C4:R4"/>
    <mergeCell ref="A6:B6"/>
    <mergeCell ref="C6:R6"/>
    <mergeCell ref="C11:C12"/>
    <mergeCell ref="D11:D12"/>
    <mergeCell ref="E11:R11"/>
    <mergeCell ref="C126:C136"/>
    <mergeCell ref="C139:C144"/>
    <mergeCell ref="AB11:AC11"/>
    <mergeCell ref="C61:C80"/>
    <mergeCell ref="C81:C96"/>
    <mergeCell ref="C97:C104"/>
    <mergeCell ref="C105:C114"/>
    <mergeCell ref="C115:C125"/>
    <mergeCell ref="T11:Z11"/>
    <mergeCell ref="T13:Z27"/>
  </mergeCells>
  <conditionalFormatting sqref="E61:P61">
    <cfRule type="cellIs" dxfId="664" priority="84" operator="equal">
      <formula>0</formula>
    </cfRule>
  </conditionalFormatting>
  <conditionalFormatting sqref="E62:P62">
    <cfRule type="cellIs" dxfId="663" priority="83" operator="equal">
      <formula>0</formula>
    </cfRule>
  </conditionalFormatting>
  <conditionalFormatting sqref="E63:P63">
    <cfRule type="cellIs" dxfId="662" priority="82" operator="equal">
      <formula>0</formula>
    </cfRule>
  </conditionalFormatting>
  <conditionalFormatting sqref="E64:P64">
    <cfRule type="cellIs" dxfId="661" priority="81" operator="equal">
      <formula>0</formula>
    </cfRule>
  </conditionalFormatting>
  <conditionalFormatting sqref="E65:P65">
    <cfRule type="cellIs" dxfId="660" priority="80" operator="equal">
      <formula>0</formula>
    </cfRule>
  </conditionalFormatting>
  <conditionalFormatting sqref="E66:P66">
    <cfRule type="cellIs" dxfId="659" priority="79" operator="equal">
      <formula>0</formula>
    </cfRule>
  </conditionalFormatting>
  <conditionalFormatting sqref="E67:P67">
    <cfRule type="cellIs" dxfId="658" priority="78" operator="equal">
      <formula>0</formula>
    </cfRule>
  </conditionalFormatting>
  <conditionalFormatting sqref="E68:P68">
    <cfRule type="cellIs" dxfId="657" priority="77" operator="equal">
      <formula>0</formula>
    </cfRule>
  </conditionalFormatting>
  <conditionalFormatting sqref="E69:P69">
    <cfRule type="cellIs" dxfId="656" priority="76" operator="equal">
      <formula>0</formula>
    </cfRule>
  </conditionalFormatting>
  <conditionalFormatting sqref="E70:P70">
    <cfRule type="cellIs" dxfId="655" priority="75" operator="equal">
      <formula>0</formula>
    </cfRule>
  </conditionalFormatting>
  <conditionalFormatting sqref="E71:P71">
    <cfRule type="cellIs" dxfId="654" priority="74" operator="equal">
      <formula>0</formula>
    </cfRule>
  </conditionalFormatting>
  <conditionalFormatting sqref="E72:P72">
    <cfRule type="cellIs" dxfId="653" priority="73" operator="equal">
      <formula>0</formula>
    </cfRule>
  </conditionalFormatting>
  <conditionalFormatting sqref="E73:P73">
    <cfRule type="cellIs" dxfId="652" priority="72" operator="equal">
      <formula>0</formula>
    </cfRule>
  </conditionalFormatting>
  <conditionalFormatting sqref="E74:P74">
    <cfRule type="cellIs" dxfId="651" priority="71" operator="equal">
      <formula>0</formula>
    </cfRule>
  </conditionalFormatting>
  <conditionalFormatting sqref="E75:P75">
    <cfRule type="cellIs" dxfId="650" priority="70" operator="equal">
      <formula>0</formula>
    </cfRule>
  </conditionalFormatting>
  <conditionalFormatting sqref="E76:P76">
    <cfRule type="cellIs" dxfId="649" priority="69" operator="equal">
      <formula>0</formula>
    </cfRule>
  </conditionalFormatting>
  <conditionalFormatting sqref="E77:P77">
    <cfRule type="cellIs" dxfId="648" priority="68" operator="equal">
      <formula>0</formula>
    </cfRule>
  </conditionalFormatting>
  <conditionalFormatting sqref="E78:P78">
    <cfRule type="cellIs" dxfId="647" priority="67" operator="equal">
      <formula>0</formula>
    </cfRule>
  </conditionalFormatting>
  <conditionalFormatting sqref="E79:P79">
    <cfRule type="cellIs" dxfId="646" priority="66" operator="equal">
      <formula>0</formula>
    </cfRule>
  </conditionalFormatting>
  <conditionalFormatting sqref="E80:P80">
    <cfRule type="cellIs" dxfId="645" priority="65" operator="equal">
      <formula>0</formula>
    </cfRule>
  </conditionalFormatting>
  <conditionalFormatting sqref="E81:P81">
    <cfRule type="cellIs" dxfId="644" priority="64" operator="equal">
      <formula>0</formula>
    </cfRule>
  </conditionalFormatting>
  <conditionalFormatting sqref="E82:P82">
    <cfRule type="cellIs" dxfId="643" priority="63" operator="equal">
      <formula>0</formula>
    </cfRule>
  </conditionalFormatting>
  <conditionalFormatting sqref="E83:P83">
    <cfRule type="cellIs" dxfId="642" priority="62" operator="equal">
      <formula>0</formula>
    </cfRule>
  </conditionalFormatting>
  <conditionalFormatting sqref="E84:P84">
    <cfRule type="cellIs" dxfId="641" priority="61" operator="equal">
      <formula>0</formula>
    </cfRule>
  </conditionalFormatting>
  <conditionalFormatting sqref="E85:P85">
    <cfRule type="cellIs" dxfId="640" priority="60" operator="equal">
      <formula>0</formula>
    </cfRule>
  </conditionalFormatting>
  <conditionalFormatting sqref="E86:P86">
    <cfRule type="cellIs" dxfId="639" priority="59" operator="equal">
      <formula>0</formula>
    </cfRule>
  </conditionalFormatting>
  <conditionalFormatting sqref="E87:P87">
    <cfRule type="cellIs" dxfId="638" priority="58" operator="equal">
      <formula>0</formula>
    </cfRule>
  </conditionalFormatting>
  <conditionalFormatting sqref="E88:P88">
    <cfRule type="cellIs" dxfId="637" priority="57" operator="equal">
      <formula>0</formula>
    </cfRule>
  </conditionalFormatting>
  <conditionalFormatting sqref="E89:P89">
    <cfRule type="cellIs" dxfId="636" priority="56" operator="equal">
      <formula>0</formula>
    </cfRule>
  </conditionalFormatting>
  <conditionalFormatting sqref="E90:P90">
    <cfRule type="cellIs" dxfId="635" priority="55" operator="equal">
      <formula>0</formula>
    </cfRule>
  </conditionalFormatting>
  <conditionalFormatting sqref="E91:P91">
    <cfRule type="cellIs" dxfId="634" priority="54" operator="equal">
      <formula>0</formula>
    </cfRule>
  </conditionalFormatting>
  <conditionalFormatting sqref="E92:P92">
    <cfRule type="cellIs" dxfId="633" priority="53" operator="equal">
      <formula>0</formula>
    </cfRule>
  </conditionalFormatting>
  <conditionalFormatting sqref="E93:P93">
    <cfRule type="cellIs" dxfId="632" priority="52" operator="equal">
      <formula>0</formula>
    </cfRule>
  </conditionalFormatting>
  <conditionalFormatting sqref="E94:P94">
    <cfRule type="cellIs" dxfId="631" priority="51" operator="equal">
      <formula>0</formula>
    </cfRule>
  </conditionalFormatting>
  <conditionalFormatting sqref="E95:P95">
    <cfRule type="cellIs" dxfId="630" priority="50" operator="equal">
      <formula>0</formula>
    </cfRule>
  </conditionalFormatting>
  <conditionalFormatting sqref="E96:P96">
    <cfRule type="cellIs" dxfId="629" priority="49" operator="equal">
      <formula>0</formula>
    </cfRule>
  </conditionalFormatting>
  <conditionalFormatting sqref="E97:P97">
    <cfRule type="cellIs" dxfId="628" priority="48" operator="equal">
      <formula>0</formula>
    </cfRule>
  </conditionalFormatting>
  <conditionalFormatting sqref="E98:P98">
    <cfRule type="cellIs" dxfId="627" priority="47" operator="equal">
      <formula>0</formula>
    </cfRule>
  </conditionalFormatting>
  <conditionalFormatting sqref="E99:P99">
    <cfRule type="cellIs" dxfId="626" priority="46" operator="equal">
      <formula>0</formula>
    </cfRule>
  </conditionalFormatting>
  <conditionalFormatting sqref="E100:P100">
    <cfRule type="cellIs" dxfId="625" priority="45" operator="equal">
      <formula>0</formula>
    </cfRule>
  </conditionalFormatting>
  <conditionalFormatting sqref="E101:P101">
    <cfRule type="cellIs" dxfId="624" priority="44" operator="equal">
      <formula>0</formula>
    </cfRule>
  </conditionalFormatting>
  <conditionalFormatting sqref="E102:P102">
    <cfRule type="cellIs" dxfId="623" priority="43" operator="equal">
      <formula>0</formula>
    </cfRule>
  </conditionalFormatting>
  <conditionalFormatting sqref="E103:P103">
    <cfRule type="cellIs" dxfId="622" priority="42" operator="equal">
      <formula>0</formula>
    </cfRule>
  </conditionalFormatting>
  <conditionalFormatting sqref="E104:P104">
    <cfRule type="cellIs" dxfId="621" priority="41" operator="equal">
      <formula>0</formula>
    </cfRule>
  </conditionalFormatting>
  <conditionalFormatting sqref="E105:P105">
    <cfRule type="cellIs" dxfId="620" priority="40" operator="equal">
      <formula>0</formula>
    </cfRule>
  </conditionalFormatting>
  <conditionalFormatting sqref="E106:P106">
    <cfRule type="cellIs" dxfId="619" priority="39" operator="equal">
      <formula>0</formula>
    </cfRule>
  </conditionalFormatting>
  <conditionalFormatting sqref="E107:P107">
    <cfRule type="cellIs" dxfId="618" priority="38" operator="equal">
      <formula>0</formula>
    </cfRule>
  </conditionalFormatting>
  <conditionalFormatting sqref="E108:P108">
    <cfRule type="cellIs" dxfId="617" priority="37" operator="equal">
      <formula>0</formula>
    </cfRule>
  </conditionalFormatting>
  <conditionalFormatting sqref="E109:P109">
    <cfRule type="cellIs" dxfId="616" priority="36" operator="equal">
      <formula>0</formula>
    </cfRule>
  </conditionalFormatting>
  <conditionalFormatting sqref="E110:P110">
    <cfRule type="cellIs" dxfId="615" priority="35" operator="equal">
      <formula>0</formula>
    </cfRule>
  </conditionalFormatting>
  <conditionalFormatting sqref="E111:P111">
    <cfRule type="cellIs" dxfId="614" priority="34" operator="equal">
      <formula>0</formula>
    </cfRule>
  </conditionalFormatting>
  <conditionalFormatting sqref="E112:P112">
    <cfRule type="cellIs" dxfId="613" priority="33" operator="equal">
      <formula>0</formula>
    </cfRule>
  </conditionalFormatting>
  <conditionalFormatting sqref="E113:P113">
    <cfRule type="cellIs" dxfId="612" priority="32" operator="equal">
      <formula>0</formula>
    </cfRule>
  </conditionalFormatting>
  <conditionalFormatting sqref="E114:P114">
    <cfRule type="cellIs" dxfId="611" priority="31" operator="equal">
      <formula>0</formula>
    </cfRule>
  </conditionalFormatting>
  <conditionalFormatting sqref="E115:P115">
    <cfRule type="cellIs" dxfId="610" priority="30" operator="equal">
      <formula>0</formula>
    </cfRule>
  </conditionalFormatting>
  <conditionalFormatting sqref="E116:P116">
    <cfRule type="cellIs" dxfId="609" priority="29" operator="equal">
      <formula>0</formula>
    </cfRule>
  </conditionalFormatting>
  <conditionalFormatting sqref="E117:P117">
    <cfRule type="cellIs" dxfId="608" priority="28" operator="equal">
      <formula>0</formula>
    </cfRule>
  </conditionalFormatting>
  <conditionalFormatting sqref="E118:P118">
    <cfRule type="cellIs" dxfId="607" priority="27" operator="equal">
      <formula>0</formula>
    </cfRule>
  </conditionalFormatting>
  <conditionalFormatting sqref="E119:P119">
    <cfRule type="cellIs" dxfId="606" priority="26" operator="equal">
      <formula>0</formula>
    </cfRule>
  </conditionalFormatting>
  <conditionalFormatting sqref="E120:P120">
    <cfRule type="cellIs" dxfId="605" priority="25" operator="equal">
      <formula>0</formula>
    </cfRule>
  </conditionalFormatting>
  <conditionalFormatting sqref="E121:P121">
    <cfRule type="cellIs" dxfId="604" priority="24" operator="equal">
      <formula>0</formula>
    </cfRule>
  </conditionalFormatting>
  <conditionalFormatting sqref="E122:P122">
    <cfRule type="cellIs" dxfId="603" priority="23" operator="equal">
      <formula>0</formula>
    </cfRule>
  </conditionalFormatting>
  <conditionalFormatting sqref="E123:P123">
    <cfRule type="cellIs" dxfId="602" priority="22" operator="equal">
      <formula>0</formula>
    </cfRule>
  </conditionalFormatting>
  <conditionalFormatting sqref="E124:P124">
    <cfRule type="cellIs" dxfId="601" priority="21" operator="equal">
      <formula>0</formula>
    </cfRule>
  </conditionalFormatting>
  <conditionalFormatting sqref="E125:P125">
    <cfRule type="cellIs" dxfId="600" priority="20" operator="equal">
      <formula>0</formula>
    </cfRule>
  </conditionalFormatting>
  <conditionalFormatting sqref="E126:P126">
    <cfRule type="cellIs" dxfId="599" priority="19" operator="equal">
      <formula>0</formula>
    </cfRule>
  </conditionalFormatting>
  <conditionalFormatting sqref="E127:P127">
    <cfRule type="cellIs" dxfId="598" priority="18" operator="equal">
      <formula>0</formula>
    </cfRule>
  </conditionalFormatting>
  <conditionalFormatting sqref="E128:P128">
    <cfRule type="cellIs" dxfId="597" priority="17" operator="equal">
      <formula>0</formula>
    </cfRule>
  </conditionalFormatting>
  <conditionalFormatting sqref="E129:P129">
    <cfRule type="cellIs" dxfId="596" priority="16" operator="equal">
      <formula>0</formula>
    </cfRule>
  </conditionalFormatting>
  <conditionalFormatting sqref="E130:P130">
    <cfRule type="cellIs" dxfId="595" priority="15" operator="equal">
      <formula>0</formula>
    </cfRule>
  </conditionalFormatting>
  <conditionalFormatting sqref="E131:P131">
    <cfRule type="cellIs" dxfId="594" priority="14" operator="equal">
      <formula>0</formula>
    </cfRule>
  </conditionalFormatting>
  <conditionalFormatting sqref="E132:P132">
    <cfRule type="cellIs" dxfId="593" priority="13" operator="equal">
      <formula>0</formula>
    </cfRule>
  </conditionalFormatting>
  <conditionalFormatting sqref="E133:P133">
    <cfRule type="cellIs" dxfId="592" priority="12" operator="equal">
      <formula>0</formula>
    </cfRule>
  </conditionalFormatting>
  <conditionalFormatting sqref="E134:P134">
    <cfRule type="cellIs" dxfId="591" priority="11" operator="equal">
      <formula>0</formula>
    </cfRule>
  </conditionalFormatting>
  <conditionalFormatting sqref="E135:P135">
    <cfRule type="cellIs" dxfId="590" priority="10" operator="equal">
      <formula>0</formula>
    </cfRule>
  </conditionalFormatting>
  <conditionalFormatting sqref="E136:P136">
    <cfRule type="cellIs" dxfId="589" priority="9" operator="equal">
      <formula>0</formula>
    </cfRule>
  </conditionalFormatting>
  <conditionalFormatting sqref="E139:P139">
    <cfRule type="cellIs" dxfId="588" priority="8" operator="equal">
      <formula>0</formula>
    </cfRule>
  </conditionalFormatting>
  <conditionalFormatting sqref="E140:P140">
    <cfRule type="cellIs" dxfId="587" priority="7" operator="equal">
      <formula>0</formula>
    </cfRule>
  </conditionalFormatting>
  <conditionalFormatting sqref="E141:P141">
    <cfRule type="cellIs" dxfId="586" priority="6" operator="equal">
      <formula>0</formula>
    </cfRule>
  </conditionalFormatting>
  <conditionalFormatting sqref="E142:P142">
    <cfRule type="cellIs" dxfId="585" priority="5" operator="equal">
      <formula>0</formula>
    </cfRule>
  </conditionalFormatting>
  <conditionalFormatting sqref="E143:P143">
    <cfRule type="cellIs" dxfId="584" priority="4" operator="equal">
      <formula>0</formula>
    </cfRule>
  </conditionalFormatting>
  <conditionalFormatting sqref="E144:P144">
    <cfRule type="cellIs" dxfId="583" priority="3" operator="equal">
      <formula>0</formula>
    </cfRule>
  </conditionalFormatting>
  <conditionalFormatting sqref="Q63:Q143">
    <cfRule type="cellIs" dxfId="582" priority="2" operator="equal">
      <formula>0</formula>
    </cfRule>
  </conditionalFormatting>
  <conditionalFormatting sqref="Q144">
    <cfRule type="cellIs" dxfId="581" priority="1" operator="equal">
      <formula>0</formula>
    </cfRule>
  </conditionalFormatting>
  <hyperlinks>
    <hyperlink ref="A1" location="'ODS 3.'!A1" display="REGRESAR" xr:uid="{93D46AF2-59A4-4299-8525-35416C66FFC5}"/>
    <hyperlink ref="C1" location="'Metadato 3.4.2'!A1" display="VER METADATO" xr:uid="{E506F8C6-51CD-42EC-8842-CADD0B2D64E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90A4-A0D1-4C23-9062-AB5B3F35119C}">
  <sheetPr>
    <tabColor theme="0" tint="-0.499984740745262"/>
  </sheetPr>
  <dimension ref="A1:F39"/>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8.75" x14ac:dyDescent="0.4"/>
  <cols>
    <col min="1" max="1" width="11.28515625" style="5" customWidth="1"/>
    <col min="2" max="2" width="26.42578125" style="5" customWidth="1"/>
    <col min="3" max="3" width="24" style="5" customWidth="1"/>
    <col min="4" max="4" width="94.42578125" style="122" customWidth="1"/>
    <col min="5" max="5" width="6.7109375" style="5" customWidth="1"/>
    <col min="6" max="6" width="7.28515625" style="5" customWidth="1"/>
    <col min="7" max="7" width="1.28515625" style="5" customWidth="1"/>
    <col min="8" max="13" width="7.7109375" style="5" customWidth="1"/>
    <col min="14" max="14" width="2" style="5" customWidth="1"/>
    <col min="15" max="15" width="8.28515625" style="5" customWidth="1"/>
    <col min="16" max="17" width="10" style="5" customWidth="1"/>
    <col min="18" max="18" width="1.42578125" style="5" customWidth="1"/>
    <col min="19" max="25" width="8.7109375" style="5" customWidth="1"/>
    <col min="26" max="16384" width="11.42578125" style="5"/>
  </cols>
  <sheetData>
    <row r="1" spans="1:6" x14ac:dyDescent="0.4">
      <c r="B1" s="90" t="s">
        <v>39</v>
      </c>
    </row>
    <row r="2" spans="1:6" ht="19.5" thickBot="1" x14ac:dyDescent="0.45"/>
    <row r="3" spans="1:6" ht="23.25" customHeight="1" thickBot="1" x14ac:dyDescent="0.45">
      <c r="B3" s="2431" t="s">
        <v>75</v>
      </c>
      <c r="C3" s="2431"/>
      <c r="D3" s="2431"/>
      <c r="F3" s="91" t="s">
        <v>76</v>
      </c>
    </row>
    <row r="4" spans="1:6" ht="18" customHeight="1" x14ac:dyDescent="0.4">
      <c r="A4" s="123"/>
      <c r="B4" s="2445" t="s">
        <v>77</v>
      </c>
      <c r="C4" s="2445"/>
      <c r="D4" s="124" t="s">
        <v>78</v>
      </c>
    </row>
    <row r="5" spans="1:6" ht="33.75" customHeight="1" x14ac:dyDescent="0.4">
      <c r="B5" s="2445" t="s">
        <v>79</v>
      </c>
      <c r="C5" s="2445"/>
      <c r="D5" s="124" t="s">
        <v>9</v>
      </c>
    </row>
    <row r="6" spans="1:6" ht="15" customHeight="1" x14ac:dyDescent="0.4">
      <c r="B6" s="2445" t="s">
        <v>80</v>
      </c>
      <c r="C6" s="2445"/>
      <c r="D6" s="50" t="s">
        <v>12</v>
      </c>
    </row>
    <row r="7" spans="1:6" ht="37.5" x14ac:dyDescent="0.4">
      <c r="B7" s="2446" t="s">
        <v>81</v>
      </c>
      <c r="C7" s="2446"/>
      <c r="D7" s="125" t="s">
        <v>13</v>
      </c>
    </row>
    <row r="8" spans="1:6" x14ac:dyDescent="0.4">
      <c r="B8" s="2446" t="s">
        <v>165</v>
      </c>
      <c r="C8" s="2446"/>
      <c r="D8" s="126" t="s">
        <v>166</v>
      </c>
    </row>
    <row r="10" spans="1:6" ht="23.25" customHeight="1" x14ac:dyDescent="0.4">
      <c r="B10" s="2431" t="s">
        <v>85</v>
      </c>
      <c r="C10" s="2431"/>
      <c r="D10" s="2431"/>
    </row>
    <row r="11" spans="1:6" ht="18" customHeight="1" x14ac:dyDescent="0.4">
      <c r="B11" s="2453" t="s">
        <v>86</v>
      </c>
      <c r="C11" s="2454"/>
      <c r="D11" s="124" t="s">
        <v>167</v>
      </c>
    </row>
    <row r="12" spans="1:6" ht="33" customHeight="1" x14ac:dyDescent="0.4">
      <c r="B12" s="2455" t="s">
        <v>88</v>
      </c>
      <c r="C12" s="2455"/>
      <c r="D12" s="53" t="s">
        <v>168</v>
      </c>
    </row>
    <row r="13" spans="1:6" ht="17.25" customHeight="1" x14ac:dyDescent="0.4">
      <c r="B13" s="2445" t="s">
        <v>90</v>
      </c>
      <c r="C13" s="2445"/>
      <c r="D13" s="50" t="s">
        <v>12</v>
      </c>
    </row>
    <row r="14" spans="1:6" x14ac:dyDescent="0.4">
      <c r="B14" s="2445" t="s">
        <v>91</v>
      </c>
      <c r="C14" s="2456"/>
      <c r="D14" s="50" t="s">
        <v>92</v>
      </c>
    </row>
    <row r="15" spans="1:6" ht="321.75" customHeight="1" x14ac:dyDescent="0.4">
      <c r="B15" s="2449" t="s">
        <v>93</v>
      </c>
      <c r="C15" s="2450"/>
      <c r="D15" s="2471" t="s">
        <v>169</v>
      </c>
    </row>
    <row r="16" spans="1:6" ht="321.75" customHeight="1" x14ac:dyDescent="0.4">
      <c r="B16" s="2467"/>
      <c r="C16" s="2468"/>
      <c r="D16" s="2472"/>
    </row>
    <row r="17" spans="2:4" ht="321.75" customHeight="1" x14ac:dyDescent="0.4">
      <c r="B17" s="2467"/>
      <c r="C17" s="2468"/>
      <c r="D17" s="2472"/>
    </row>
    <row r="18" spans="2:4" ht="204" customHeight="1" x14ac:dyDescent="0.4">
      <c r="B18" s="2469"/>
      <c r="C18" s="2470"/>
      <c r="D18" s="2473"/>
    </row>
    <row r="19" spans="2:4" ht="78" customHeight="1" x14ac:dyDescent="0.4">
      <c r="B19" s="2445" t="s">
        <v>95</v>
      </c>
      <c r="C19" s="2445"/>
      <c r="D19" s="50" t="s">
        <v>170</v>
      </c>
    </row>
    <row r="20" spans="2:4" x14ac:dyDescent="0.4">
      <c r="B20" s="2445" t="s">
        <v>97</v>
      </c>
      <c r="C20" s="2445"/>
      <c r="D20" s="127" t="s">
        <v>98</v>
      </c>
    </row>
    <row r="21" spans="2:4" ht="15" customHeight="1" x14ac:dyDescent="0.4">
      <c r="B21" s="2446" t="s">
        <v>99</v>
      </c>
      <c r="C21" s="2446"/>
      <c r="D21" s="124"/>
    </row>
    <row r="22" spans="2:4" ht="33" customHeight="1" x14ac:dyDescent="0.4">
      <c r="B22" s="2457" t="s">
        <v>100</v>
      </c>
      <c r="C22" s="2458"/>
      <c r="D22" s="59" t="s">
        <v>171</v>
      </c>
    </row>
    <row r="23" spans="2:4" x14ac:dyDescent="0.4">
      <c r="B23" s="2445" t="s">
        <v>102</v>
      </c>
      <c r="C23" s="2445"/>
      <c r="D23" s="124" t="s">
        <v>140</v>
      </c>
    </row>
    <row r="24" spans="2:4" x14ac:dyDescent="0.4">
      <c r="B24" s="2451" t="s">
        <v>104</v>
      </c>
      <c r="C24" s="95" t="s">
        <v>105</v>
      </c>
      <c r="D24" s="124" t="s">
        <v>141</v>
      </c>
    </row>
    <row r="25" spans="2:4" x14ac:dyDescent="0.4">
      <c r="B25" s="2452"/>
      <c r="C25" s="96" t="s">
        <v>107</v>
      </c>
      <c r="D25" s="50" t="s">
        <v>172</v>
      </c>
    </row>
    <row r="26" spans="2:4" ht="16.5" customHeight="1" x14ac:dyDescent="0.4">
      <c r="B26" s="2444" t="s">
        <v>109</v>
      </c>
      <c r="C26" s="2444"/>
      <c r="D26" s="124" t="s">
        <v>143</v>
      </c>
    </row>
    <row r="27" spans="2:4" x14ac:dyDescent="0.4">
      <c r="B27" s="2444" t="s">
        <v>111</v>
      </c>
      <c r="C27" s="2444"/>
      <c r="D27" s="59" t="s">
        <v>112</v>
      </c>
    </row>
    <row r="28" spans="2:4" x14ac:dyDescent="0.4">
      <c r="B28" s="2445" t="s">
        <v>113</v>
      </c>
      <c r="C28" s="2445"/>
      <c r="D28" s="59" t="s">
        <v>144</v>
      </c>
    </row>
    <row r="29" spans="2:4" ht="15" customHeight="1" x14ac:dyDescent="0.4">
      <c r="B29" s="2446" t="s">
        <v>115</v>
      </c>
      <c r="C29" s="2446"/>
      <c r="D29" s="59" t="s">
        <v>145</v>
      </c>
    </row>
    <row r="30" spans="2:4" x14ac:dyDescent="0.4">
      <c r="B30" s="2447" t="s">
        <v>117</v>
      </c>
      <c r="C30" s="2448"/>
      <c r="D30" s="124"/>
    </row>
    <row r="31" spans="2:4" x14ac:dyDescent="0.4">
      <c r="B31" s="97" t="s">
        <v>118</v>
      </c>
      <c r="C31" s="98"/>
      <c r="D31" s="59" t="s">
        <v>119</v>
      </c>
    </row>
    <row r="32" spans="2:4" x14ac:dyDescent="0.4">
      <c r="B32" s="2449" t="s">
        <v>120</v>
      </c>
      <c r="C32" s="2450"/>
      <c r="D32" s="128"/>
    </row>
    <row r="33" spans="2:4" x14ac:dyDescent="0.4">
      <c r="B33" s="63"/>
      <c r="C33" s="63"/>
      <c r="D33" s="129"/>
    </row>
    <row r="34" spans="2:4" ht="23.25" customHeight="1" x14ac:dyDescent="0.4">
      <c r="B34" s="2431" t="s">
        <v>121</v>
      </c>
      <c r="C34" s="2431"/>
      <c r="D34" s="2431"/>
    </row>
    <row r="35" spans="2:4" x14ac:dyDescent="0.4">
      <c r="B35" s="2442" t="s">
        <v>122</v>
      </c>
      <c r="C35" s="2443"/>
      <c r="D35" s="59" t="s">
        <v>123</v>
      </c>
    </row>
    <row r="36" spans="2:4" x14ac:dyDescent="0.4">
      <c r="B36" s="2442" t="s">
        <v>124</v>
      </c>
      <c r="C36" s="2443"/>
      <c r="D36" s="59" t="s">
        <v>125</v>
      </c>
    </row>
    <row r="37" spans="2:4" x14ac:dyDescent="0.4">
      <c r="B37" s="2442" t="s">
        <v>126</v>
      </c>
      <c r="C37" s="2443"/>
      <c r="D37" s="59" t="s">
        <v>112</v>
      </c>
    </row>
    <row r="38" spans="2:4" x14ac:dyDescent="0.4">
      <c r="B38" s="2442" t="s">
        <v>128</v>
      </c>
      <c r="C38" s="2443"/>
      <c r="D38" s="59" t="s">
        <v>148</v>
      </c>
    </row>
    <row r="39" spans="2:4" x14ac:dyDescent="0.4">
      <c r="B39" s="2442" t="s">
        <v>130</v>
      </c>
      <c r="C39" s="2443"/>
      <c r="D39" s="59" t="s">
        <v>131</v>
      </c>
    </row>
  </sheetData>
  <mergeCells count="31">
    <mergeCell ref="B8:C8"/>
    <mergeCell ref="B3:D3"/>
    <mergeCell ref="B4:C4"/>
    <mergeCell ref="B5:C5"/>
    <mergeCell ref="B6:C6"/>
    <mergeCell ref="B7:C7"/>
    <mergeCell ref="B24:B25"/>
    <mergeCell ref="B10:D10"/>
    <mergeCell ref="B11:C11"/>
    <mergeCell ref="B12:C12"/>
    <mergeCell ref="B13:C13"/>
    <mergeCell ref="B14:C14"/>
    <mergeCell ref="B15:C18"/>
    <mergeCell ref="D15:D18"/>
    <mergeCell ref="B19:C19"/>
    <mergeCell ref="B20:C20"/>
    <mergeCell ref="B21:C21"/>
    <mergeCell ref="B22:C22"/>
    <mergeCell ref="B23:C23"/>
    <mergeCell ref="B39:C39"/>
    <mergeCell ref="B26:C26"/>
    <mergeCell ref="B27:C27"/>
    <mergeCell ref="B28:C28"/>
    <mergeCell ref="B29:C29"/>
    <mergeCell ref="B30:C30"/>
    <mergeCell ref="B32:C32"/>
    <mergeCell ref="B34:D34"/>
    <mergeCell ref="B35:C35"/>
    <mergeCell ref="B36:C36"/>
    <mergeCell ref="B37:C37"/>
    <mergeCell ref="B38:C38"/>
  </mergeCells>
  <dataValidations count="7">
    <dataValidation allowBlank="1" showDropDown="1" showInputMessage="1" showErrorMessage="1" sqref="D13" xr:uid="{BC1323EA-41E7-4168-A69B-824A010B6154}"/>
    <dataValidation type="list" allowBlank="1" showInputMessage="1" showErrorMessage="1" sqref="D4" xr:uid="{D373A0C7-10DB-45DF-940A-A84D0DBAED05}">
      <formula1>ODS</formula1>
    </dataValidation>
    <dataValidation type="list" allowBlank="1" showInputMessage="1" showErrorMessage="1" sqref="D5" xr:uid="{E3E497DE-B3E9-4964-88E2-75DAAB4B9E5B}">
      <formula1>Metas_ODS</formula1>
    </dataValidation>
    <dataValidation type="list" allowBlank="1" showInputMessage="1" showErrorMessage="1" sqref="D6" xr:uid="{00227135-F495-472E-8C9D-7A4AB84EA6A5}">
      <formula1>Numero_indicador</formula1>
    </dataValidation>
    <dataValidation type="list" allowBlank="1" showInputMessage="1" showErrorMessage="1" sqref="D7" xr:uid="{654FC411-21BB-473F-A03B-47251F2D7A4E}">
      <formula1>Nombre_indicador_ODS</formula1>
    </dataValidation>
    <dataValidation type="list" allowBlank="1" showInputMessage="1" showErrorMessage="1" sqref="D14" xr:uid="{2A437D1C-0D15-44E2-B521-3E4FB8C27568}">
      <formula1>Tipo_indicador</formula1>
    </dataValidation>
    <dataValidation type="list" allowBlank="1" showInputMessage="1" showErrorMessage="1" sqref="D28" xr:uid="{52972508-F8E5-4449-928B-06A8A2F3C61F}">
      <formula1>Tipo_operación</formula1>
    </dataValidation>
  </dataValidations>
  <hyperlinks>
    <hyperlink ref="B1" location="'1.2.2'!A1" display="REGRESAR" xr:uid="{4CED11F5-5779-47D0-9EFD-34C25C4ED57A}"/>
    <hyperlink ref="D8" r:id="rId1" xr:uid="{180E0434-1FB8-4124-BF34-81ADB8507425}"/>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F212-26AB-4E6F-A52B-6687582D5978}">
  <sheetPr>
    <tabColor theme="0" tint="-0.499984740745262"/>
  </sheetPr>
  <dimension ref="A1:F36"/>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2578125" defaultRowHeight="18.75" x14ac:dyDescent="0.25"/>
  <cols>
    <col min="1" max="1" width="10.28515625" style="222" customWidth="1"/>
    <col min="2" max="2" width="26.42578125" style="222" customWidth="1"/>
    <col min="3" max="3" width="24" style="222" customWidth="1"/>
    <col min="4" max="4" width="68.4257812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445" t="s">
        <v>234</v>
      </c>
      <c r="C4" s="2445"/>
      <c r="D4" s="49" t="s">
        <v>832</v>
      </c>
    </row>
    <row r="5" spans="1:6" ht="56.25" x14ac:dyDescent="0.25">
      <c r="B5" s="2445" t="s">
        <v>79</v>
      </c>
      <c r="C5" s="2445"/>
      <c r="D5" s="49" t="s">
        <v>683</v>
      </c>
    </row>
    <row r="6" spans="1:6" x14ac:dyDescent="0.25">
      <c r="B6" s="2445" t="s">
        <v>80</v>
      </c>
      <c r="C6" s="2445"/>
      <c r="D6" s="50" t="s">
        <v>686</v>
      </c>
    </row>
    <row r="7" spans="1:6" ht="15" customHeight="1" x14ac:dyDescent="0.25">
      <c r="B7" s="2446" t="s">
        <v>81</v>
      </c>
      <c r="C7" s="2446"/>
      <c r="D7" s="93" t="s">
        <v>687</v>
      </c>
    </row>
    <row r="8" spans="1:6" ht="15" customHeight="1" x14ac:dyDescent="0.25">
      <c r="B8" s="2446" t="s">
        <v>82</v>
      </c>
      <c r="C8" s="2446"/>
      <c r="D8" s="94" t="s">
        <v>1228</v>
      </c>
    </row>
    <row r="9" spans="1:6" x14ac:dyDescent="0.4">
      <c r="B9" s="5"/>
      <c r="C9" s="5"/>
      <c r="D9" s="5"/>
    </row>
    <row r="10" spans="1:6" ht="23.25" customHeight="1" x14ac:dyDescent="0.25">
      <c r="B10" s="2604" t="s">
        <v>85</v>
      </c>
      <c r="C10" s="2604"/>
      <c r="D10" s="2604"/>
    </row>
    <row r="11" spans="1:6" x14ac:dyDescent="0.25">
      <c r="B11" s="2453" t="s">
        <v>86</v>
      </c>
      <c r="C11" s="2454"/>
      <c r="D11" s="49" t="s">
        <v>1229</v>
      </c>
    </row>
    <row r="12" spans="1:6" ht="16.5" customHeight="1" x14ac:dyDescent="0.25">
      <c r="B12" s="2455" t="s">
        <v>88</v>
      </c>
      <c r="C12" s="2455"/>
      <c r="D12" s="578" t="s">
        <v>1230</v>
      </c>
    </row>
    <row r="13" spans="1:6" x14ac:dyDescent="0.25">
      <c r="B13" s="2445" t="s">
        <v>90</v>
      </c>
      <c r="C13" s="2445"/>
      <c r="D13" s="54" t="s">
        <v>686</v>
      </c>
    </row>
    <row r="14" spans="1:6" x14ac:dyDescent="0.25">
      <c r="B14" s="2445" t="s">
        <v>91</v>
      </c>
      <c r="C14" s="2456"/>
      <c r="D14" s="54" t="s">
        <v>92</v>
      </c>
    </row>
    <row r="15" spans="1:6" ht="75" x14ac:dyDescent="0.25">
      <c r="B15" s="2445" t="s">
        <v>93</v>
      </c>
      <c r="C15" s="2445"/>
      <c r="D15" s="56" t="s">
        <v>1231</v>
      </c>
    </row>
    <row r="16" spans="1:6" ht="46.5" customHeight="1" x14ac:dyDescent="0.25">
      <c r="B16" s="2445" t="s">
        <v>95</v>
      </c>
      <c r="C16" s="2445"/>
      <c r="D16" s="49"/>
    </row>
    <row r="17" spans="2:4" x14ac:dyDescent="0.25">
      <c r="B17" s="2445" t="s">
        <v>97</v>
      </c>
      <c r="C17" s="2445"/>
      <c r="D17" s="56" t="s">
        <v>989</v>
      </c>
    </row>
    <row r="18" spans="2:4" x14ac:dyDescent="0.25">
      <c r="B18" s="2446" t="s">
        <v>99</v>
      </c>
      <c r="C18" s="2446"/>
      <c r="D18" s="49"/>
    </row>
    <row r="19" spans="2:4" ht="37.5" x14ac:dyDescent="0.25">
      <c r="B19" s="2457" t="s">
        <v>100</v>
      </c>
      <c r="C19" s="2458"/>
      <c r="D19" s="56" t="s">
        <v>1232</v>
      </c>
    </row>
    <row r="20" spans="2:4" x14ac:dyDescent="0.25">
      <c r="B20" s="2445" t="s">
        <v>102</v>
      </c>
      <c r="C20" s="2445"/>
      <c r="D20" s="56" t="s">
        <v>140</v>
      </c>
    </row>
    <row r="21" spans="2:4" x14ac:dyDescent="0.25">
      <c r="B21" s="2451" t="s">
        <v>104</v>
      </c>
      <c r="C21" s="95" t="s">
        <v>105</v>
      </c>
      <c r="D21" s="49" t="s">
        <v>839</v>
      </c>
    </row>
    <row r="22" spans="2:4" x14ac:dyDescent="0.25">
      <c r="B22" s="2452"/>
      <c r="C22" s="96" t="s">
        <v>107</v>
      </c>
      <c r="D22" s="55"/>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x14ac:dyDescent="0.25">
      <c r="B27" s="2447" t="s">
        <v>117</v>
      </c>
      <c r="C27" s="2448"/>
      <c r="D27" s="49"/>
    </row>
    <row r="28" spans="2:4" ht="37.5" x14ac:dyDescent="0.25">
      <c r="B28" s="97" t="s">
        <v>118</v>
      </c>
      <c r="C28" s="98"/>
      <c r="D28" s="56" t="s">
        <v>1233</v>
      </c>
    </row>
    <row r="29" spans="2:4" x14ac:dyDescent="0.25">
      <c r="B29" s="2449" t="s">
        <v>120</v>
      </c>
      <c r="C29" s="2450"/>
      <c r="D29" s="62"/>
    </row>
    <row r="30" spans="2:4" x14ac:dyDescent="0.25">
      <c r="B30" s="63"/>
      <c r="C30" s="63"/>
      <c r="D30" s="64"/>
    </row>
    <row r="31" spans="2:4" ht="23.25" customHeight="1" x14ac:dyDescent="0.25">
      <c r="B31" s="2604" t="s">
        <v>121</v>
      </c>
      <c r="C31" s="2604"/>
      <c r="D31" s="2604"/>
    </row>
    <row r="32" spans="2:4" x14ac:dyDescent="0.25">
      <c r="B32" s="2442" t="s">
        <v>122</v>
      </c>
      <c r="C32" s="2443"/>
      <c r="D32" s="59"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allowBlank="1" showDropDown="1" showInputMessage="1" showErrorMessage="1" sqref="D13" xr:uid="{21CD59FB-6336-4FA7-85A8-9524A42591C9}"/>
    <dataValidation type="list" allowBlank="1" showInputMessage="1" showErrorMessage="1" sqref="D4" xr:uid="{7FAB887A-B75B-48B2-ACF9-13D573256C86}">
      <formula1>ODS</formula1>
    </dataValidation>
    <dataValidation type="list" allowBlank="1" showInputMessage="1" showErrorMessage="1" sqref="D5" xr:uid="{1D3C8988-EEA7-4D85-B2A2-271084EA250E}">
      <formula1>Metas_ODS</formula1>
    </dataValidation>
    <dataValidation type="list" allowBlank="1" showInputMessage="1" showErrorMessage="1" sqref="D6" xr:uid="{21CE35B9-2C4B-4086-B4A4-931DEA54DA25}">
      <formula1>Numero_indicador</formula1>
    </dataValidation>
    <dataValidation type="list" allowBlank="1" showInputMessage="1" showErrorMessage="1" sqref="D7" xr:uid="{C516194E-5D0C-4386-936B-3D603911799A}">
      <formula1>Nombre_indicador_ODS</formula1>
    </dataValidation>
  </dataValidations>
  <hyperlinks>
    <hyperlink ref="B1" location="'3.4.2'!A1" display="REGRESAR" xr:uid="{6C16507E-E93C-4B62-A188-3CAD7E41BFF0}"/>
    <hyperlink ref="D8" r:id="rId1" xr:uid="{C990B810-9AE5-47F2-9EC6-467F33D33E4F}"/>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4A4E-AB52-4EB4-BE76-A14DFDE6FA0C}">
  <dimension ref="A1:T58"/>
  <sheetViews>
    <sheetView showGridLines="0" zoomScaleNormal="100" workbookViewId="0">
      <pane ySplit="1" topLeftCell="A2" activePane="bottomLeft" state="frozen"/>
      <selection pane="bottomLeft"/>
    </sheetView>
  </sheetViews>
  <sheetFormatPr baseColWidth="10" defaultColWidth="11.42578125" defaultRowHeight="12.75" x14ac:dyDescent="0.25"/>
  <cols>
    <col min="1" max="2" width="15.28515625" style="22" customWidth="1"/>
    <col min="3" max="3" width="9.42578125" style="22" customWidth="1"/>
    <col min="4" max="6" width="7.5703125" style="22" customWidth="1"/>
    <col min="7" max="7" width="3.28515625" style="22" customWidth="1"/>
    <col min="8" max="13" width="8.85546875" style="22" customWidth="1"/>
    <col min="14" max="16384" width="11.42578125" style="22"/>
  </cols>
  <sheetData>
    <row r="1" spans="1:20" s="16" customFormat="1" ht="19.5" x14ac:dyDescent="0.4">
      <c r="A1" s="15" t="s">
        <v>39</v>
      </c>
      <c r="C1" s="2421" t="s">
        <v>149</v>
      </c>
      <c r="D1" s="2421"/>
    </row>
    <row r="2" spans="1:20" s="16" customFormat="1" ht="19.5" x14ac:dyDescent="0.4"/>
    <row r="3" spans="1:20" s="16" customFormat="1" ht="15.75" customHeight="1" x14ac:dyDescent="0.4">
      <c r="A3" s="2574" t="s">
        <v>41</v>
      </c>
      <c r="B3" s="2574"/>
      <c r="C3" s="2635" t="s">
        <v>733</v>
      </c>
      <c r="D3" s="2637"/>
      <c r="E3" s="2637"/>
      <c r="F3" s="2637"/>
      <c r="G3" s="2637"/>
      <c r="H3" s="2637"/>
      <c r="I3" s="2637"/>
      <c r="J3" s="2637"/>
      <c r="K3" s="2637"/>
      <c r="L3" s="2637"/>
      <c r="M3" s="2637"/>
      <c r="N3" s="2637"/>
      <c r="O3" s="2637"/>
      <c r="P3" s="2637"/>
      <c r="Q3" s="2637"/>
      <c r="R3" s="2637"/>
      <c r="S3" s="2637"/>
      <c r="T3" s="2637"/>
    </row>
    <row r="4" spans="1:20" s="16" customFormat="1" ht="15.75" customHeight="1" x14ac:dyDescent="0.4">
      <c r="A4" s="2574" t="s">
        <v>42</v>
      </c>
      <c r="B4" s="2574"/>
      <c r="C4" s="2635" t="s">
        <v>688</v>
      </c>
      <c r="D4" s="2636"/>
      <c r="E4" s="2636"/>
      <c r="F4" s="2636"/>
      <c r="G4" s="2636"/>
      <c r="H4" s="2636"/>
      <c r="I4" s="2636"/>
      <c r="J4" s="2636"/>
      <c r="K4" s="2636"/>
      <c r="L4" s="2636"/>
      <c r="M4" s="2636"/>
      <c r="N4" s="2636"/>
      <c r="O4" s="2636"/>
      <c r="P4" s="2636"/>
      <c r="Q4" s="2636"/>
      <c r="R4" s="2636"/>
      <c r="S4" s="2636"/>
      <c r="T4" s="2636"/>
    </row>
    <row r="5" spans="1:20" s="16" customFormat="1" ht="18.600000000000001" customHeight="1" x14ac:dyDescent="0.4">
      <c r="A5" s="2574" t="s">
        <v>43</v>
      </c>
      <c r="B5" s="2574"/>
      <c r="C5" s="2635" t="s">
        <v>690</v>
      </c>
      <c r="D5" s="2636"/>
      <c r="E5" s="2636"/>
      <c r="F5" s="2636"/>
      <c r="G5" s="2636"/>
      <c r="H5" s="2636"/>
      <c r="I5" s="2636"/>
      <c r="J5" s="2636"/>
      <c r="K5" s="2636"/>
      <c r="L5" s="2636"/>
      <c r="M5" s="2636"/>
      <c r="N5" s="2636"/>
      <c r="O5" s="2636"/>
      <c r="P5" s="2636"/>
      <c r="Q5" s="2636"/>
      <c r="R5" s="2636"/>
      <c r="S5" s="2636"/>
      <c r="T5" s="2636"/>
    </row>
    <row r="6" spans="1:20" s="16" customFormat="1" ht="39" customHeight="1" x14ac:dyDescent="0.4">
      <c r="A6" s="2574" t="s">
        <v>132</v>
      </c>
      <c r="B6" s="2575"/>
      <c r="C6" s="2635" t="s">
        <v>1234</v>
      </c>
      <c r="D6" s="2636"/>
      <c r="E6" s="2636"/>
      <c r="F6" s="2636"/>
      <c r="G6" s="2636"/>
      <c r="H6" s="2636"/>
      <c r="I6" s="2636"/>
      <c r="J6" s="2636"/>
      <c r="K6" s="2636"/>
      <c r="L6" s="2636"/>
      <c r="M6" s="2636"/>
      <c r="N6" s="2636"/>
      <c r="O6" s="2636"/>
      <c r="P6" s="2636"/>
      <c r="Q6" s="2636"/>
      <c r="R6" s="2636"/>
      <c r="S6" s="2636"/>
      <c r="T6" s="2636"/>
    </row>
    <row r="7" spans="1:20" s="16" customFormat="1" ht="19.5" x14ac:dyDescent="0.4"/>
    <row r="8" spans="1:20" s="16" customFormat="1" ht="19.5" x14ac:dyDescent="0.4"/>
    <row r="9" spans="1:20" s="16" customFormat="1" ht="19.5" x14ac:dyDescent="0.4">
      <c r="A9" s="579"/>
      <c r="C9" s="163" t="s">
        <v>1235</v>
      </c>
      <c r="D9" s="163"/>
      <c r="E9" s="163"/>
      <c r="F9" s="163"/>
      <c r="G9" s="163"/>
      <c r="H9" s="163"/>
      <c r="I9" s="163"/>
      <c r="J9" s="163"/>
      <c r="K9" s="163"/>
      <c r="L9" s="163"/>
      <c r="M9" s="163"/>
    </row>
    <row r="10" spans="1:20" s="16" customFormat="1" ht="19.5" x14ac:dyDescent="0.4">
      <c r="A10" s="579"/>
      <c r="C10" s="532" t="s">
        <v>1236</v>
      </c>
      <c r="D10" s="531"/>
      <c r="E10" s="531"/>
      <c r="F10" s="531"/>
      <c r="G10" s="533"/>
      <c r="H10" s="531"/>
      <c r="I10" s="531"/>
      <c r="J10" s="531"/>
      <c r="K10" s="531"/>
      <c r="L10" s="531"/>
      <c r="M10" s="531"/>
    </row>
    <row r="11" spans="1:20" s="16" customFormat="1" ht="19.5" x14ac:dyDescent="0.4">
      <c r="A11" s="579"/>
      <c r="C11" s="532" t="s">
        <v>1237</v>
      </c>
      <c r="D11" s="531"/>
      <c r="E11" s="531"/>
      <c r="F11" s="531"/>
      <c r="G11" s="533"/>
      <c r="H11" s="531"/>
      <c r="I11" s="531"/>
      <c r="J11" s="531"/>
      <c r="K11" s="531"/>
      <c r="L11" s="531"/>
      <c r="M11" s="531"/>
    </row>
    <row r="12" spans="1:20" ht="16.5" x14ac:dyDescent="0.25">
      <c r="A12" s="75"/>
      <c r="C12" s="276"/>
      <c r="D12" s="276"/>
      <c r="E12" s="276"/>
      <c r="F12" s="276"/>
      <c r="G12" s="276"/>
      <c r="H12" s="276"/>
      <c r="I12" s="276"/>
      <c r="J12" s="276"/>
      <c r="K12" s="276"/>
      <c r="L12" s="276"/>
      <c r="M12" s="276"/>
    </row>
    <row r="13" spans="1:20" ht="18.75" x14ac:dyDescent="0.25">
      <c r="A13" s="23"/>
      <c r="C13" s="2578" t="s">
        <v>46</v>
      </c>
      <c r="D13" s="2581" t="s">
        <v>48</v>
      </c>
      <c r="E13" s="2581"/>
      <c r="F13" s="2581"/>
      <c r="G13" s="408"/>
      <c r="H13" s="2580" t="s">
        <v>1238</v>
      </c>
      <c r="I13" s="2580"/>
      <c r="J13" s="2580"/>
      <c r="K13" s="2580"/>
      <c r="L13" s="2580"/>
      <c r="M13" s="2580"/>
    </row>
    <row r="14" spans="1:20" ht="17.649999999999999" customHeight="1" x14ac:dyDescent="0.25">
      <c r="A14" s="23"/>
      <c r="C14" s="2579"/>
      <c r="D14" s="431" t="s">
        <v>47</v>
      </c>
      <c r="E14" s="431" t="s">
        <v>894</v>
      </c>
      <c r="F14" s="431" t="s">
        <v>895</v>
      </c>
      <c r="G14" s="431"/>
      <c r="H14" s="412" t="s">
        <v>1239</v>
      </c>
      <c r="I14" s="412" t="s">
        <v>1240</v>
      </c>
      <c r="J14" s="412" t="s">
        <v>1241</v>
      </c>
      <c r="K14" s="412" t="s">
        <v>1242</v>
      </c>
      <c r="L14" s="412" t="s">
        <v>1243</v>
      </c>
      <c r="M14" s="412" t="s">
        <v>1244</v>
      </c>
    </row>
    <row r="15" spans="1:20" s="175" customFormat="1" ht="14.45" customHeight="1" x14ac:dyDescent="0.25">
      <c r="A15" s="262"/>
      <c r="C15" s="580">
        <v>2011</v>
      </c>
      <c r="D15" s="581">
        <v>2.5992912513577999</v>
      </c>
      <c r="E15" s="581">
        <v>2.9206160256223299</v>
      </c>
      <c r="F15" s="581">
        <v>1.7956203938723301</v>
      </c>
      <c r="G15" s="581"/>
      <c r="H15" s="581">
        <v>4.0598572097845897</v>
      </c>
      <c r="I15" s="581">
        <v>2.24649597079957</v>
      </c>
      <c r="J15" s="581">
        <v>2.6900043619692298</v>
      </c>
      <c r="K15" s="581">
        <v>2.5830203679619599</v>
      </c>
      <c r="L15" s="581">
        <v>2.3578813825714198</v>
      </c>
      <c r="M15" s="581">
        <v>2.2223511867666397</v>
      </c>
    </row>
    <row r="16" spans="1:20" s="175" customFormat="1" ht="14.45" customHeight="1" x14ac:dyDescent="0.25">
      <c r="A16" s="35"/>
      <c r="C16" s="9">
        <v>2012</v>
      </c>
      <c r="D16" s="581">
        <v>2.7115429124474999</v>
      </c>
      <c r="E16" s="581">
        <v>3.0135225440365199</v>
      </c>
      <c r="F16" s="581">
        <v>1.91234260298793</v>
      </c>
      <c r="G16" s="581"/>
      <c r="H16" s="581">
        <v>4.7398493228031597</v>
      </c>
      <c r="I16" s="581">
        <v>2.29160111895757</v>
      </c>
      <c r="J16" s="581">
        <v>2.8116907816987902</v>
      </c>
      <c r="K16" s="581">
        <v>2.5381710469507102</v>
      </c>
      <c r="L16" s="581">
        <v>2.3941991195455699</v>
      </c>
      <c r="M16" s="581">
        <v>2.2571650464448001</v>
      </c>
    </row>
    <row r="17" spans="1:14" s="175" customFormat="1" ht="14.45" customHeight="1" x14ac:dyDescent="0.25">
      <c r="C17" s="9">
        <v>2013</v>
      </c>
      <c r="D17" s="581">
        <v>2.7120497157944401</v>
      </c>
      <c r="E17" s="581">
        <v>2.9185945184735202</v>
      </c>
      <c r="F17" s="581">
        <v>2.13710059489738</v>
      </c>
      <c r="G17" s="581"/>
      <c r="H17" s="581">
        <v>5.2309656451397997</v>
      </c>
      <c r="I17" s="581">
        <v>2.2926165237407301</v>
      </c>
      <c r="J17" s="581">
        <v>2.68863465328032</v>
      </c>
      <c r="K17" s="581">
        <v>2.55289304063679</v>
      </c>
      <c r="L17" s="581">
        <v>2.2807688634187699</v>
      </c>
      <c r="M17" s="581">
        <v>1.90221028136686</v>
      </c>
    </row>
    <row r="18" spans="1:14" s="175" customFormat="1" ht="14.45" customHeight="1" x14ac:dyDescent="0.25">
      <c r="C18" s="9">
        <v>2014</v>
      </c>
      <c r="D18" s="581">
        <v>2.6632944009606403</v>
      </c>
      <c r="E18" s="581">
        <v>2.8066862261966903</v>
      </c>
      <c r="F18" s="581">
        <v>2.2434064032188701</v>
      </c>
      <c r="G18" s="581"/>
      <c r="H18" s="581">
        <v>5.7959180949790801</v>
      </c>
      <c r="I18" s="581">
        <v>2.1210610177890401</v>
      </c>
      <c r="J18" s="581">
        <v>2.5113968019289801</v>
      </c>
      <c r="K18" s="581">
        <v>2.3427759986871002</v>
      </c>
      <c r="L18" s="581">
        <v>2.39288174224661</v>
      </c>
      <c r="M18" s="581">
        <v>2.0082505972028297</v>
      </c>
    </row>
    <row r="19" spans="1:14" s="175" customFormat="1" ht="14.45" customHeight="1" x14ac:dyDescent="0.25">
      <c r="A19" s="582"/>
      <c r="B19" s="582"/>
      <c r="C19" s="580">
        <v>2015</v>
      </c>
      <c r="D19" s="581">
        <v>2.6325606657141698</v>
      </c>
      <c r="E19" s="581">
        <v>2.75874861453438</v>
      </c>
      <c r="F19" s="581">
        <v>2.2448753329256799</v>
      </c>
      <c r="G19" s="581"/>
      <c r="H19" s="581">
        <v>5.5324056270817898</v>
      </c>
      <c r="I19" s="581">
        <v>2.01090126874678</v>
      </c>
      <c r="J19" s="581">
        <v>2.5205233944766503</v>
      </c>
      <c r="K19" s="581">
        <v>2.4458053787255398</v>
      </c>
      <c r="L19" s="581">
        <v>2.4347988809043102</v>
      </c>
      <c r="M19" s="581">
        <v>2.1798733123931999</v>
      </c>
    </row>
    <row r="20" spans="1:14" s="175" customFormat="1" ht="14.45" customHeight="1" x14ac:dyDescent="0.25">
      <c r="A20" s="582"/>
      <c r="B20" s="582"/>
      <c r="C20" s="9">
        <v>2016</v>
      </c>
      <c r="D20" s="581">
        <v>2.6770831012918901</v>
      </c>
      <c r="E20" s="581">
        <v>2.7914662512774298</v>
      </c>
      <c r="F20" s="581">
        <v>2.3272584824423901</v>
      </c>
      <c r="G20" s="581"/>
      <c r="H20" s="581">
        <v>5.0981749264770899</v>
      </c>
      <c r="I20" s="581">
        <v>2.2151690951711398</v>
      </c>
      <c r="J20" s="581">
        <v>2.6267457245794898</v>
      </c>
      <c r="K20" s="581">
        <v>2.5116908210981901</v>
      </c>
      <c r="L20" s="581">
        <v>2.4165901117301498</v>
      </c>
      <c r="M20" s="581">
        <v>2.1770191909522101</v>
      </c>
    </row>
    <row r="21" spans="1:14" s="175" customFormat="1" ht="14.45" customHeight="1" x14ac:dyDescent="0.25">
      <c r="A21" s="582"/>
      <c r="B21" s="582"/>
      <c r="C21" s="9">
        <v>2017</v>
      </c>
      <c r="D21" s="581">
        <v>2.19</v>
      </c>
      <c r="E21" s="581">
        <v>2.2599999999999998</v>
      </c>
      <c r="F21" s="581">
        <v>1.97</v>
      </c>
      <c r="G21" s="581"/>
      <c r="H21" s="581">
        <v>5.63</v>
      </c>
      <c r="I21" s="581">
        <v>2.4</v>
      </c>
      <c r="J21" s="581">
        <v>2.78</v>
      </c>
      <c r="K21" s="581">
        <v>2.44</v>
      </c>
      <c r="L21" s="581">
        <v>2.4</v>
      </c>
      <c r="M21" s="581">
        <v>1.98</v>
      </c>
    </row>
    <row r="22" spans="1:14" s="175" customFormat="1" ht="14.45" customHeight="1" x14ac:dyDescent="0.25">
      <c r="A22" s="582"/>
      <c r="B22" s="582"/>
      <c r="C22" s="9">
        <v>2018</v>
      </c>
      <c r="D22" s="581">
        <v>2.33</v>
      </c>
      <c r="E22" s="581">
        <v>2.42</v>
      </c>
      <c r="F22" s="581">
        <v>2.08</v>
      </c>
      <c r="G22" s="581"/>
      <c r="H22" s="581">
        <v>5.5</v>
      </c>
      <c r="I22" s="581">
        <v>2.7</v>
      </c>
      <c r="J22" s="581">
        <v>3.02</v>
      </c>
      <c r="K22" s="581">
        <v>2.66</v>
      </c>
      <c r="L22" s="581">
        <v>2.56</v>
      </c>
      <c r="M22" s="581">
        <v>2.11</v>
      </c>
    </row>
    <row r="23" spans="1:14" s="175" customFormat="1" ht="14.45" customHeight="1" x14ac:dyDescent="0.25">
      <c r="A23" s="582"/>
      <c r="B23" s="582"/>
      <c r="C23" s="9">
        <v>2019</v>
      </c>
      <c r="D23" s="581">
        <v>3.1317350685603191</v>
      </c>
      <c r="E23" s="581">
        <v>3.2639886248086474</v>
      </c>
      <c r="F23" s="581">
        <v>2.7329453914111435</v>
      </c>
      <c r="G23" s="581"/>
      <c r="H23" s="581">
        <v>6.1273875559368998</v>
      </c>
      <c r="I23" s="581">
        <v>2.7005401115029066</v>
      </c>
      <c r="J23" s="581">
        <v>3.305394692155327</v>
      </c>
      <c r="K23" s="581">
        <v>2.8174501478967726</v>
      </c>
      <c r="L23" s="581">
        <v>2.5025507572997423</v>
      </c>
      <c r="M23" s="581">
        <v>2.2915013037074723</v>
      </c>
    </row>
    <row r="24" spans="1:14" s="175" customFormat="1" ht="14.45" customHeight="1" x14ac:dyDescent="0.25">
      <c r="A24" s="582"/>
      <c r="B24" s="582"/>
      <c r="C24" s="9">
        <v>2020</v>
      </c>
      <c r="D24" s="581">
        <v>2.5999481524924128</v>
      </c>
      <c r="E24" s="581">
        <v>2.6418641485934362</v>
      </c>
      <c r="F24" s="581">
        <v>2.4749092798887795</v>
      </c>
      <c r="G24" s="581"/>
      <c r="H24" s="581">
        <v>3.5920797154982558</v>
      </c>
      <c r="I24" s="581">
        <v>2.4019531016888065</v>
      </c>
      <c r="J24" s="581">
        <v>2.9625339280326042</v>
      </c>
      <c r="K24" s="581">
        <v>2.5132326489359755</v>
      </c>
      <c r="L24" s="581">
        <v>2.176542723279379</v>
      </c>
      <c r="M24" s="581">
        <v>2.0261261630212588</v>
      </c>
    </row>
    <row r="25" spans="1:14" s="175" customFormat="1" ht="14.45" customHeight="1" x14ac:dyDescent="0.25">
      <c r="A25" s="582"/>
      <c r="B25" s="582"/>
      <c r="C25" s="9">
        <v>2021</v>
      </c>
      <c r="D25" s="581">
        <v>2.6605239643670489</v>
      </c>
      <c r="E25" s="581">
        <v>2.5719960483409179</v>
      </c>
      <c r="F25" s="581">
        <v>2.9310363195833631</v>
      </c>
      <c r="G25" s="581"/>
      <c r="H25" s="581">
        <v>3.3414515940745466</v>
      </c>
      <c r="I25" s="581">
        <v>2.3487493406990056</v>
      </c>
      <c r="J25" s="581">
        <v>3.100106655648883</v>
      </c>
      <c r="K25" s="581">
        <v>2.6485653682445682</v>
      </c>
      <c r="L25" s="581">
        <v>2.3043261445536065</v>
      </c>
      <c r="M25" s="581">
        <v>2.0644421982283454</v>
      </c>
    </row>
    <row r="26" spans="1:14" s="175" customFormat="1" ht="14.45" customHeight="1" x14ac:dyDescent="0.25">
      <c r="A26" s="582"/>
      <c r="B26" s="582"/>
      <c r="C26" s="9">
        <v>2022</v>
      </c>
      <c r="D26" s="583">
        <v>3.7548366923376402</v>
      </c>
      <c r="E26" s="583">
        <v>3.7694855395787599</v>
      </c>
      <c r="F26" s="583">
        <v>3.7126964160433902</v>
      </c>
      <c r="G26" s="583"/>
      <c r="H26" s="583">
        <v>6.53062104453514</v>
      </c>
      <c r="I26" s="583">
        <v>2.8589394690581802</v>
      </c>
      <c r="J26" s="583">
        <v>3.4325634158810199</v>
      </c>
      <c r="K26" s="583">
        <v>4.0324230794005604</v>
      </c>
      <c r="L26" s="583">
        <v>3.8064858063077298</v>
      </c>
      <c r="M26" s="583">
        <v>3.1541424981896302</v>
      </c>
    </row>
    <row r="27" spans="1:14" ht="14.45" customHeight="1" x14ac:dyDescent="0.6">
      <c r="A27" s="584"/>
      <c r="B27" s="584"/>
      <c r="C27" s="585">
        <v>2023</v>
      </c>
      <c r="D27" s="586">
        <v>4.2014531359779097</v>
      </c>
      <c r="E27" s="586">
        <v>4.2647144426740704</v>
      </c>
      <c r="F27" s="586">
        <v>4.0812512644801497</v>
      </c>
      <c r="G27" s="587"/>
      <c r="H27" s="587">
        <v>8.7400486624944502</v>
      </c>
      <c r="I27" s="587">
        <v>2.9788463691757201</v>
      </c>
      <c r="J27" s="587">
        <v>3.7093191507729601</v>
      </c>
      <c r="K27" s="587">
        <v>4.6601215139451</v>
      </c>
      <c r="L27" s="587">
        <v>4.2167689186403603</v>
      </c>
      <c r="M27" s="587">
        <v>3.4141086856397602</v>
      </c>
    </row>
    <row r="28" spans="1:14" ht="14.45" customHeight="1" x14ac:dyDescent="0.6">
      <c r="A28" s="584"/>
      <c r="B28" s="584"/>
      <c r="C28" s="9" t="s">
        <v>1245</v>
      </c>
      <c r="D28" s="588"/>
      <c r="E28" s="588"/>
      <c r="F28" s="588"/>
      <c r="G28" s="588"/>
      <c r="H28" s="588"/>
      <c r="I28" s="588"/>
      <c r="J28" s="588"/>
      <c r="K28" s="588"/>
      <c r="L28" s="588"/>
      <c r="M28" s="588"/>
    </row>
    <row r="29" spans="1:14" ht="12" customHeight="1" x14ac:dyDescent="0.6">
      <c r="A29" s="584"/>
      <c r="B29" s="584"/>
      <c r="C29" s="9"/>
      <c r="D29" s="589"/>
      <c r="E29" s="589"/>
      <c r="F29" s="589"/>
      <c r="G29" s="589"/>
      <c r="H29" s="589"/>
      <c r="I29" s="589"/>
      <c r="J29" s="589"/>
      <c r="K29" s="589"/>
      <c r="L29" s="589"/>
      <c r="M29" s="589"/>
    </row>
    <row r="30" spans="1:14" ht="11.25" customHeight="1" x14ac:dyDescent="0.6">
      <c r="A30" s="584"/>
      <c r="B30" s="584"/>
    </row>
    <row r="31" spans="1:14" ht="19.899999999999999" customHeight="1" x14ac:dyDescent="0.6">
      <c r="A31" s="584"/>
      <c r="B31" s="584"/>
      <c r="C31" s="43" t="s">
        <v>1246</v>
      </c>
      <c r="D31" s="43"/>
      <c r="E31" s="43"/>
      <c r="F31" s="43"/>
      <c r="G31" s="43"/>
      <c r="H31" s="43"/>
      <c r="I31" s="43"/>
      <c r="J31" s="43"/>
      <c r="K31" s="43"/>
      <c r="L31" s="43"/>
      <c r="M31" s="43"/>
      <c r="N31" s="43"/>
    </row>
    <row r="32" spans="1:14" ht="17.45" customHeight="1" x14ac:dyDescent="0.6">
      <c r="A32" s="584"/>
      <c r="B32" s="584"/>
      <c r="C32" s="43" t="s">
        <v>1247</v>
      </c>
      <c r="D32" s="43"/>
      <c r="E32" s="43"/>
      <c r="F32" s="43"/>
      <c r="G32" s="43"/>
      <c r="H32" s="43"/>
      <c r="I32" s="43"/>
      <c r="J32" s="43"/>
      <c r="K32" s="43"/>
      <c r="L32" s="43"/>
      <c r="M32" s="43"/>
      <c r="N32" s="43"/>
    </row>
    <row r="33" spans="3:16" ht="18.75" x14ac:dyDescent="0.25">
      <c r="C33" s="168"/>
    </row>
    <row r="45" spans="3:16" ht="11.25" customHeight="1" x14ac:dyDescent="0.25">
      <c r="C45" s="429"/>
      <c r="D45" s="429"/>
      <c r="E45" s="429"/>
      <c r="F45" s="429"/>
      <c r="G45" s="429"/>
      <c r="H45" s="429"/>
      <c r="I45" s="429"/>
      <c r="J45" s="429"/>
      <c r="K45" s="429"/>
      <c r="L45" s="429"/>
      <c r="M45" s="429"/>
      <c r="N45" s="429"/>
      <c r="O45" s="429"/>
      <c r="P45" s="429"/>
    </row>
    <row r="46" spans="3:16" ht="11.25" customHeight="1" x14ac:dyDescent="0.25">
      <c r="C46" s="429"/>
      <c r="D46" s="429"/>
      <c r="E46" s="429"/>
      <c r="F46" s="429"/>
      <c r="G46" s="429"/>
      <c r="H46" s="429"/>
      <c r="I46" s="429"/>
      <c r="J46" s="429"/>
      <c r="K46" s="429"/>
      <c r="L46" s="429"/>
      <c r="M46" s="429"/>
      <c r="N46" s="429"/>
      <c r="O46" s="429"/>
      <c r="P46" s="429"/>
    </row>
    <row r="47" spans="3:16" ht="11.25" customHeight="1" x14ac:dyDescent="0.25">
      <c r="C47" s="429"/>
      <c r="D47" s="429"/>
      <c r="E47" s="429"/>
      <c r="F47" s="429"/>
      <c r="G47" s="429"/>
      <c r="H47" s="429"/>
      <c r="I47" s="429"/>
      <c r="J47" s="429"/>
      <c r="K47" s="429"/>
      <c r="L47" s="429"/>
      <c r="M47" s="429"/>
      <c r="N47" s="429"/>
      <c r="O47" s="429"/>
      <c r="P47" s="429"/>
    </row>
    <row r="48" spans="3:16" ht="11.25" customHeight="1" x14ac:dyDescent="0.25">
      <c r="C48" s="429"/>
      <c r="D48" s="429"/>
      <c r="E48" s="429"/>
      <c r="F48" s="429"/>
      <c r="G48" s="429"/>
      <c r="H48" s="429"/>
      <c r="I48" s="429"/>
      <c r="J48" s="429"/>
      <c r="K48" s="429"/>
      <c r="L48" s="429"/>
      <c r="M48" s="429"/>
      <c r="N48" s="429"/>
      <c r="O48" s="429"/>
      <c r="P48" s="429"/>
    </row>
    <row r="49" spans="3:16" ht="11.25" customHeight="1" x14ac:dyDescent="0.25">
      <c r="C49" s="429"/>
      <c r="D49" s="429"/>
      <c r="E49" s="429"/>
      <c r="F49" s="429"/>
      <c r="G49" s="429"/>
      <c r="H49" s="429"/>
      <c r="I49" s="429"/>
      <c r="J49" s="429"/>
      <c r="K49" s="429"/>
      <c r="L49" s="429"/>
      <c r="M49" s="429"/>
      <c r="N49" s="429"/>
      <c r="O49" s="429"/>
      <c r="P49" s="429"/>
    </row>
    <row r="50" spans="3:16" ht="11.25" customHeight="1" x14ac:dyDescent="0.25">
      <c r="C50" s="429"/>
      <c r="D50" s="429"/>
      <c r="E50" s="429"/>
      <c r="F50" s="429"/>
      <c r="G50" s="429"/>
      <c r="H50" s="429"/>
      <c r="I50" s="429"/>
      <c r="J50" s="429"/>
      <c r="K50" s="429"/>
      <c r="L50" s="429"/>
      <c r="M50" s="429"/>
      <c r="N50" s="429"/>
      <c r="O50" s="429"/>
      <c r="P50" s="429"/>
    </row>
    <row r="51" spans="3:16" ht="11.25" customHeight="1" x14ac:dyDescent="0.25">
      <c r="C51" s="429"/>
      <c r="D51" s="429"/>
      <c r="E51" s="429"/>
      <c r="F51" s="429"/>
      <c r="G51" s="429"/>
      <c r="H51" s="429"/>
      <c r="I51" s="429"/>
      <c r="J51" s="429"/>
      <c r="K51" s="429"/>
      <c r="L51" s="429"/>
      <c r="M51" s="429"/>
      <c r="N51" s="429"/>
      <c r="O51" s="429"/>
      <c r="P51" s="429"/>
    </row>
    <row r="52" spans="3:16" ht="11.25" customHeight="1" x14ac:dyDescent="0.25">
      <c r="C52" s="429"/>
      <c r="D52" s="429"/>
      <c r="E52" s="429"/>
      <c r="F52" s="429"/>
      <c r="G52" s="429"/>
      <c r="H52" s="429"/>
      <c r="I52" s="429"/>
      <c r="J52" s="429"/>
      <c r="K52" s="429"/>
      <c r="L52" s="429"/>
      <c r="M52" s="429"/>
      <c r="N52" s="429"/>
      <c r="O52" s="429"/>
      <c r="P52" s="429"/>
    </row>
    <row r="53" spans="3:16" ht="19.5" x14ac:dyDescent="0.25">
      <c r="C53" s="590" t="s">
        <v>1248</v>
      </c>
      <c r="D53" s="429"/>
      <c r="E53" s="429"/>
      <c r="F53" s="429"/>
      <c r="G53" s="429"/>
      <c r="H53" s="429"/>
      <c r="I53" s="429"/>
      <c r="J53" s="429"/>
      <c r="K53" s="429"/>
      <c r="L53" s="429"/>
      <c r="M53" s="429"/>
      <c r="N53" s="429"/>
      <c r="O53" s="429"/>
      <c r="P53" s="429"/>
    </row>
    <row r="54" spans="3:16" ht="19.5" x14ac:dyDescent="0.4">
      <c r="C54" s="591" t="s">
        <v>1245</v>
      </c>
      <c r="D54" s="429"/>
      <c r="E54" s="429"/>
      <c r="F54" s="429"/>
      <c r="G54" s="429"/>
      <c r="H54" s="429"/>
      <c r="I54" s="429"/>
      <c r="J54" s="429"/>
      <c r="K54" s="429"/>
      <c r="L54" s="429"/>
      <c r="M54" s="429"/>
      <c r="N54" s="429"/>
      <c r="O54" s="429"/>
      <c r="P54" s="429"/>
    </row>
    <row r="55" spans="3:16" ht="11.25" customHeight="1" x14ac:dyDescent="0.25">
      <c r="C55" s="429"/>
      <c r="D55" s="429"/>
      <c r="E55" s="429"/>
      <c r="F55" s="429"/>
      <c r="G55" s="429"/>
      <c r="H55" s="429"/>
      <c r="I55" s="429"/>
      <c r="J55" s="429"/>
      <c r="K55" s="429"/>
      <c r="L55" s="429"/>
      <c r="M55" s="429"/>
      <c r="N55" s="429"/>
      <c r="O55" s="429"/>
      <c r="P55" s="429"/>
    </row>
    <row r="56" spans="3:16" ht="11.25" customHeight="1" x14ac:dyDescent="0.25">
      <c r="D56" s="429"/>
      <c r="E56" s="429"/>
      <c r="F56" s="429"/>
      <c r="G56" s="429"/>
      <c r="H56" s="429"/>
      <c r="I56" s="429"/>
      <c r="J56" s="429"/>
      <c r="K56" s="429"/>
      <c r="L56" s="429"/>
      <c r="M56" s="429"/>
      <c r="N56" s="429"/>
      <c r="O56" s="429"/>
      <c r="P56" s="429"/>
    </row>
    <row r="57" spans="3:16" ht="11.25" customHeight="1" x14ac:dyDescent="0.25">
      <c r="D57" s="429"/>
      <c r="E57" s="429"/>
      <c r="F57" s="429"/>
      <c r="G57" s="429"/>
      <c r="H57" s="429"/>
      <c r="I57" s="429"/>
      <c r="J57" s="429"/>
      <c r="K57" s="429"/>
      <c r="L57" s="429"/>
      <c r="M57" s="429"/>
      <c r="N57" s="429"/>
      <c r="O57" s="429"/>
      <c r="P57" s="429"/>
    </row>
    <row r="58" spans="3:16" ht="11.25" customHeight="1" x14ac:dyDescent="0.25">
      <c r="C58" s="429"/>
      <c r="D58" s="429"/>
      <c r="E58" s="429"/>
      <c r="F58" s="429"/>
      <c r="G58" s="429"/>
      <c r="H58" s="429"/>
      <c r="I58" s="429"/>
      <c r="J58" s="429"/>
      <c r="K58" s="429"/>
      <c r="L58" s="429"/>
      <c r="M58" s="429"/>
      <c r="N58" s="429"/>
      <c r="O58" s="429"/>
      <c r="P58" s="429"/>
    </row>
  </sheetData>
  <mergeCells count="12">
    <mergeCell ref="A5:B5"/>
    <mergeCell ref="C5:T5"/>
    <mergeCell ref="C1:D1"/>
    <mergeCell ref="A3:B3"/>
    <mergeCell ref="C3:T3"/>
    <mergeCell ref="A4:B4"/>
    <mergeCell ref="C4:T4"/>
    <mergeCell ref="A6:B6"/>
    <mergeCell ref="C6:T6"/>
    <mergeCell ref="C13:C14"/>
    <mergeCell ref="D13:F13"/>
    <mergeCell ref="H13:M13"/>
  </mergeCells>
  <hyperlinks>
    <hyperlink ref="A1" location="'ODS 3.'!A1" display="REGRESAR" xr:uid="{F3FF6C73-7FEA-4875-9429-D498828DBF1C}"/>
    <hyperlink ref="C1" location="'Metadato 3.5.1'!A1" display="VER METADATO" xr:uid="{DF5D24EF-D67A-498F-BDD7-9A527988583E}"/>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D6E5-AE52-469E-B671-6F100DBA4ADC}">
  <sheetPr>
    <tabColor theme="0" tint="-0.499984740745262"/>
  </sheetPr>
  <dimension ref="A1:N55"/>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9.42578125" style="222" customWidth="1"/>
    <col min="2" max="2" width="26.42578125" style="222" customWidth="1"/>
    <col min="3" max="3" width="24" style="222" customWidth="1"/>
    <col min="4" max="4" width="85.7109375" style="222" customWidth="1"/>
    <col min="5" max="5" width="3.28515625" style="222" customWidth="1"/>
    <col min="6" max="6" width="7.28515625" style="222" customWidth="1"/>
    <col min="7" max="11" width="6.5703125" style="222" customWidth="1"/>
    <col min="12"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445" t="s">
        <v>234</v>
      </c>
      <c r="C4" s="2445"/>
      <c r="D4" s="49" t="s">
        <v>832</v>
      </c>
    </row>
    <row r="5" spans="1:6" ht="37.5" x14ac:dyDescent="0.25">
      <c r="B5" s="2445" t="s">
        <v>79</v>
      </c>
      <c r="C5" s="2445"/>
      <c r="D5" s="49" t="s">
        <v>688</v>
      </c>
    </row>
    <row r="6" spans="1:6" x14ac:dyDescent="0.25">
      <c r="B6" s="2445" t="s">
        <v>80</v>
      </c>
      <c r="C6" s="2445"/>
      <c r="D6" s="50" t="s">
        <v>689</v>
      </c>
    </row>
    <row r="7" spans="1:6" ht="37.5" x14ac:dyDescent="0.25">
      <c r="B7" s="2446" t="s">
        <v>81</v>
      </c>
      <c r="C7" s="2446"/>
      <c r="D7" s="93" t="s">
        <v>690</v>
      </c>
    </row>
    <row r="8" spans="1:6" x14ac:dyDescent="0.25">
      <c r="B8" s="2446" t="s">
        <v>82</v>
      </c>
      <c r="C8" s="2446"/>
      <c r="D8" s="94" t="s">
        <v>353</v>
      </c>
    </row>
    <row r="9" spans="1:6" x14ac:dyDescent="0.4">
      <c r="B9" s="5"/>
      <c r="C9" s="5"/>
      <c r="D9" s="5"/>
    </row>
    <row r="10" spans="1:6" ht="23.25" customHeight="1" x14ac:dyDescent="0.25">
      <c r="B10" s="2604" t="s">
        <v>85</v>
      </c>
      <c r="C10" s="2604"/>
      <c r="D10" s="2604"/>
    </row>
    <row r="11" spans="1:6" ht="35.1" customHeight="1" x14ac:dyDescent="0.25">
      <c r="B11" s="2645" t="s">
        <v>86</v>
      </c>
      <c r="C11" s="2645"/>
      <c r="D11" s="592" t="s">
        <v>1249</v>
      </c>
    </row>
    <row r="12" spans="1:6" ht="31.5" customHeight="1" x14ac:dyDescent="0.25">
      <c r="B12" s="2647" t="s">
        <v>88</v>
      </c>
      <c r="C12" s="2647"/>
      <c r="D12" s="593" t="s">
        <v>1250</v>
      </c>
    </row>
    <row r="13" spans="1:6" x14ac:dyDescent="0.25">
      <c r="B13" s="2642" t="s">
        <v>90</v>
      </c>
      <c r="C13" s="2642"/>
      <c r="D13" s="54" t="s">
        <v>689</v>
      </c>
    </row>
    <row r="14" spans="1:6" x14ac:dyDescent="0.25">
      <c r="B14" s="2642" t="s">
        <v>91</v>
      </c>
      <c r="C14" s="2642"/>
      <c r="D14" s="54" t="s">
        <v>1251</v>
      </c>
    </row>
    <row r="15" spans="1:6" ht="198.75" customHeight="1" x14ac:dyDescent="0.25">
      <c r="B15" s="2642" t="s">
        <v>93</v>
      </c>
      <c r="C15" s="2642"/>
      <c r="D15" s="56" t="s">
        <v>1252</v>
      </c>
    </row>
    <row r="16" spans="1:6" ht="108" customHeight="1" x14ac:dyDescent="0.4">
      <c r="B16" s="2642" t="s">
        <v>95</v>
      </c>
      <c r="C16" s="2642"/>
      <c r="D16" s="594" t="s">
        <v>1253</v>
      </c>
    </row>
    <row r="17" spans="2:4" x14ac:dyDescent="0.25">
      <c r="B17" s="2642" t="s">
        <v>97</v>
      </c>
      <c r="C17" s="2642"/>
      <c r="D17" s="56" t="s">
        <v>98</v>
      </c>
    </row>
    <row r="18" spans="2:4" ht="56.25" x14ac:dyDescent="0.25">
      <c r="B18" s="2643" t="s">
        <v>99</v>
      </c>
      <c r="C18" s="2643"/>
      <c r="D18" s="592" t="s">
        <v>1254</v>
      </c>
    </row>
    <row r="19" spans="2:4" ht="75" x14ac:dyDescent="0.25">
      <c r="B19" s="2643" t="s">
        <v>100</v>
      </c>
      <c r="C19" s="2643"/>
      <c r="D19" s="56" t="s">
        <v>1255</v>
      </c>
    </row>
    <row r="20" spans="2:4" x14ac:dyDescent="0.25">
      <c r="B20" s="2642" t="s">
        <v>102</v>
      </c>
      <c r="C20" s="2642"/>
      <c r="D20" s="56" t="s">
        <v>140</v>
      </c>
    </row>
    <row r="21" spans="2:4" x14ac:dyDescent="0.25">
      <c r="B21" s="2644" t="s">
        <v>104</v>
      </c>
      <c r="C21" s="595" t="s">
        <v>105</v>
      </c>
      <c r="D21" s="592" t="s">
        <v>1256</v>
      </c>
    </row>
    <row r="22" spans="2:4" x14ac:dyDescent="0.25">
      <c r="B22" s="2644"/>
      <c r="C22" s="596" t="s">
        <v>107</v>
      </c>
      <c r="D22" s="56" t="s">
        <v>1257</v>
      </c>
    </row>
    <row r="23" spans="2:4" x14ac:dyDescent="0.25">
      <c r="B23" s="2645" t="s">
        <v>109</v>
      </c>
      <c r="C23" s="2645"/>
      <c r="D23" s="56" t="s">
        <v>143</v>
      </c>
    </row>
    <row r="24" spans="2:4" ht="93.75" x14ac:dyDescent="0.25">
      <c r="B24" s="2645" t="s">
        <v>111</v>
      </c>
      <c r="C24" s="2645"/>
      <c r="D24" s="59" t="s">
        <v>1258</v>
      </c>
    </row>
    <row r="25" spans="2:4" x14ac:dyDescent="0.25">
      <c r="B25" s="2642" t="s">
        <v>113</v>
      </c>
      <c r="C25" s="2642"/>
      <c r="D25" s="56" t="s">
        <v>1259</v>
      </c>
    </row>
    <row r="26" spans="2:4" ht="37.5" x14ac:dyDescent="0.25">
      <c r="B26" s="2643" t="s">
        <v>115</v>
      </c>
      <c r="C26" s="2643"/>
      <c r="D26" s="59" t="s">
        <v>1260</v>
      </c>
    </row>
    <row r="27" spans="2:4" ht="409.5" x14ac:dyDescent="0.25">
      <c r="B27" s="2646" t="s">
        <v>117</v>
      </c>
      <c r="C27" s="2646"/>
      <c r="D27" s="592" t="s">
        <v>1261</v>
      </c>
    </row>
    <row r="28" spans="2:4" ht="168.75" x14ac:dyDescent="0.25">
      <c r="B28" s="597" t="s">
        <v>118</v>
      </c>
      <c r="C28" s="598"/>
      <c r="D28" s="56" t="s">
        <v>1262</v>
      </c>
    </row>
    <row r="29" spans="2:4" ht="243.75" x14ac:dyDescent="0.25">
      <c r="B29" s="2641" t="s">
        <v>120</v>
      </c>
      <c r="C29" s="2641"/>
      <c r="D29" s="599" t="s">
        <v>1263</v>
      </c>
    </row>
    <row r="30" spans="2:4" x14ac:dyDescent="0.25">
      <c r="B30" s="63"/>
      <c r="C30" s="63"/>
      <c r="D30" s="64"/>
    </row>
    <row r="31" spans="2:4" ht="23.25" customHeight="1" x14ac:dyDescent="0.25">
      <c r="B31" s="2639" t="s">
        <v>121</v>
      </c>
      <c r="C31" s="2639"/>
      <c r="D31" s="2639"/>
    </row>
    <row r="32" spans="2:4" x14ac:dyDescent="0.25">
      <c r="B32" s="2640" t="s">
        <v>122</v>
      </c>
      <c r="C32" s="2640"/>
      <c r="D32" s="59" t="s">
        <v>1264</v>
      </c>
    </row>
    <row r="33" spans="1:14" x14ac:dyDescent="0.25">
      <c r="B33" s="2640" t="s">
        <v>124</v>
      </c>
      <c r="C33" s="2640"/>
      <c r="D33" s="59" t="s">
        <v>1265</v>
      </c>
    </row>
    <row r="34" spans="1:14" x14ac:dyDescent="0.25">
      <c r="B34" s="2640" t="s">
        <v>126</v>
      </c>
      <c r="C34" s="2640"/>
      <c r="D34" s="50" t="s">
        <v>1266</v>
      </c>
    </row>
    <row r="35" spans="1:14" x14ac:dyDescent="0.25">
      <c r="B35" s="2640" t="s">
        <v>128</v>
      </c>
      <c r="C35" s="2640"/>
      <c r="D35" s="59" t="s">
        <v>1267</v>
      </c>
    </row>
    <row r="36" spans="1:14" x14ac:dyDescent="0.25">
      <c r="B36" s="2640" t="s">
        <v>130</v>
      </c>
      <c r="C36" s="2640"/>
      <c r="D36" s="600" t="s">
        <v>1268</v>
      </c>
    </row>
    <row r="42" spans="1:14" x14ac:dyDescent="0.25">
      <c r="A42" s="2638"/>
      <c r="B42" s="2638"/>
      <c r="C42" s="2638"/>
      <c r="D42" s="2638"/>
      <c r="E42" s="2638"/>
      <c r="F42" s="2638"/>
      <c r="G42" s="2638"/>
      <c r="H42" s="2638"/>
      <c r="I42" s="2638"/>
      <c r="J42" s="2638"/>
      <c r="K42" s="2638"/>
      <c r="L42" s="2638"/>
      <c r="M42" s="2638"/>
      <c r="N42" s="2638"/>
    </row>
    <row r="43" spans="1:14" x14ac:dyDescent="0.25">
      <c r="A43" s="2638"/>
      <c r="B43" s="2638"/>
      <c r="C43" s="2638"/>
      <c r="D43" s="2638"/>
      <c r="E43" s="2638"/>
      <c r="F43" s="2638"/>
      <c r="G43" s="2638"/>
      <c r="H43" s="2638"/>
      <c r="I43" s="2638"/>
      <c r="J43" s="2638"/>
      <c r="K43" s="2638"/>
      <c r="L43" s="2638"/>
      <c r="M43" s="2638"/>
      <c r="N43" s="2638"/>
    </row>
    <row r="44" spans="1:14" x14ac:dyDescent="0.25">
      <c r="A44" s="2638"/>
      <c r="B44" s="2638"/>
      <c r="C44" s="2638"/>
      <c r="D44" s="2638"/>
      <c r="E44" s="2638"/>
      <c r="F44" s="2638"/>
      <c r="G44" s="2638"/>
      <c r="H44" s="2638"/>
      <c r="I44" s="2638"/>
      <c r="J44" s="2638"/>
      <c r="K44" s="2638"/>
      <c r="L44" s="2638"/>
      <c r="M44" s="2638"/>
      <c r="N44" s="2638"/>
    </row>
    <row r="45" spans="1:14" x14ac:dyDescent="0.25">
      <c r="A45" s="2638"/>
      <c r="B45" s="2638"/>
      <c r="C45" s="2638"/>
      <c r="D45" s="2638"/>
      <c r="E45" s="2638"/>
      <c r="F45" s="2638"/>
      <c r="G45" s="2638"/>
      <c r="H45" s="2638"/>
      <c r="I45" s="2638"/>
      <c r="J45" s="2638"/>
      <c r="K45" s="2638"/>
      <c r="L45" s="2638"/>
      <c r="M45" s="2638"/>
      <c r="N45" s="2638"/>
    </row>
    <row r="46" spans="1:14" x14ac:dyDescent="0.25">
      <c r="A46" s="2638"/>
      <c r="B46" s="2638"/>
      <c r="C46" s="2638"/>
      <c r="D46" s="2638"/>
      <c r="E46" s="2638"/>
      <c r="F46" s="2638"/>
      <c r="G46" s="2638"/>
      <c r="H46" s="2638"/>
      <c r="I46" s="2638"/>
      <c r="J46" s="2638"/>
      <c r="K46" s="2638"/>
      <c r="L46" s="2638"/>
      <c r="M46" s="2638"/>
      <c r="N46" s="2638"/>
    </row>
    <row r="47" spans="1:14" x14ac:dyDescent="0.25">
      <c r="A47" s="2638"/>
      <c r="B47" s="2638"/>
      <c r="C47" s="2638"/>
      <c r="D47" s="2638"/>
      <c r="E47" s="2638"/>
      <c r="F47" s="2638"/>
      <c r="G47" s="2638"/>
      <c r="H47" s="2638"/>
      <c r="I47" s="2638"/>
      <c r="J47" s="2638"/>
      <c r="K47" s="2638"/>
      <c r="L47" s="2638"/>
      <c r="M47" s="2638"/>
      <c r="N47" s="2638"/>
    </row>
    <row r="48" spans="1:14" x14ac:dyDescent="0.25">
      <c r="A48" s="2638"/>
      <c r="B48" s="2638"/>
      <c r="C48" s="2638"/>
      <c r="D48" s="2638"/>
      <c r="E48" s="2638"/>
      <c r="F48" s="2638"/>
      <c r="G48" s="2638"/>
      <c r="H48" s="2638"/>
      <c r="I48" s="2638"/>
      <c r="J48" s="2638"/>
      <c r="K48" s="2638"/>
      <c r="L48" s="2638"/>
      <c r="M48" s="2638"/>
      <c r="N48" s="2638"/>
    </row>
    <row r="49" spans="1:14" x14ac:dyDescent="0.25">
      <c r="A49" s="2638"/>
      <c r="B49" s="2638"/>
      <c r="C49" s="2638"/>
      <c r="D49" s="2638"/>
      <c r="E49" s="2638"/>
      <c r="F49" s="2638"/>
      <c r="G49" s="2638"/>
      <c r="H49" s="2638"/>
      <c r="I49" s="2638"/>
      <c r="J49" s="2638"/>
      <c r="K49" s="2638"/>
      <c r="L49" s="2638"/>
      <c r="M49" s="2638"/>
      <c r="N49" s="2638"/>
    </row>
    <row r="50" spans="1:14" x14ac:dyDescent="0.25">
      <c r="A50" s="2638"/>
      <c r="B50" s="2638"/>
      <c r="C50" s="2638"/>
      <c r="D50" s="2638"/>
      <c r="E50" s="2638"/>
      <c r="F50" s="2638"/>
      <c r="G50" s="2638"/>
      <c r="H50" s="2638"/>
      <c r="I50" s="2638"/>
      <c r="J50" s="2638"/>
      <c r="K50" s="2638"/>
      <c r="L50" s="2638"/>
      <c r="M50" s="2638"/>
      <c r="N50" s="2638"/>
    </row>
    <row r="51" spans="1:14" x14ac:dyDescent="0.25">
      <c r="A51" s="2638"/>
      <c r="B51" s="2638"/>
      <c r="C51" s="2638"/>
      <c r="D51" s="2638"/>
      <c r="E51" s="2638"/>
      <c r="F51" s="2638"/>
      <c r="G51" s="2638"/>
      <c r="H51" s="2638"/>
      <c r="I51" s="2638"/>
      <c r="J51" s="2638"/>
      <c r="K51" s="2638"/>
      <c r="L51" s="2638"/>
      <c r="M51" s="2638"/>
      <c r="N51" s="2638"/>
    </row>
    <row r="52" spans="1:14" x14ac:dyDescent="0.25">
      <c r="A52" s="2638"/>
      <c r="B52" s="2638"/>
      <c r="C52" s="2638"/>
      <c r="D52" s="2638"/>
      <c r="E52" s="2638"/>
      <c r="F52" s="2638"/>
      <c r="G52" s="2638"/>
      <c r="H52" s="2638"/>
      <c r="I52" s="2638"/>
      <c r="J52" s="2638"/>
      <c r="K52" s="2638"/>
      <c r="L52" s="2638"/>
      <c r="M52" s="2638"/>
      <c r="N52" s="2638"/>
    </row>
    <row r="53" spans="1:14" x14ac:dyDescent="0.25">
      <c r="A53" s="2638"/>
      <c r="B53" s="2638"/>
      <c r="C53" s="2638"/>
      <c r="D53" s="2638"/>
      <c r="E53" s="2638"/>
      <c r="F53" s="2638"/>
      <c r="G53" s="2638"/>
      <c r="H53" s="2638"/>
      <c r="I53" s="2638"/>
      <c r="J53" s="2638"/>
      <c r="K53" s="2638"/>
      <c r="L53" s="2638"/>
      <c r="M53" s="2638"/>
      <c r="N53" s="2638"/>
    </row>
    <row r="54" spans="1:14" x14ac:dyDescent="0.25">
      <c r="A54" s="2638"/>
      <c r="B54" s="2638"/>
      <c r="C54" s="2638"/>
      <c r="D54" s="2638"/>
      <c r="E54" s="2638"/>
      <c r="F54" s="2638"/>
      <c r="G54" s="2638"/>
      <c r="H54" s="2638"/>
      <c r="I54" s="2638"/>
      <c r="J54" s="2638"/>
      <c r="K54" s="2638"/>
      <c r="L54" s="2638"/>
      <c r="M54" s="2638"/>
      <c r="N54" s="2638"/>
    </row>
    <row r="55" spans="1:14" x14ac:dyDescent="0.25">
      <c r="A55" s="2638"/>
      <c r="B55" s="2638"/>
      <c r="C55" s="2638"/>
      <c r="D55" s="2638"/>
      <c r="E55" s="2638"/>
      <c r="F55" s="2638"/>
      <c r="G55" s="2638"/>
      <c r="H55" s="2638"/>
      <c r="I55" s="2638"/>
      <c r="J55" s="2638"/>
      <c r="K55" s="2638"/>
      <c r="L55" s="2638"/>
      <c r="M55" s="2638"/>
      <c r="N55" s="2638"/>
    </row>
  </sheetData>
  <mergeCells count="31">
    <mergeCell ref="B15:C15"/>
    <mergeCell ref="B3:D3"/>
    <mergeCell ref="B4:C4"/>
    <mergeCell ref="B5:C5"/>
    <mergeCell ref="B6:C6"/>
    <mergeCell ref="B7:C7"/>
    <mergeCell ref="B8:C8"/>
    <mergeCell ref="B10:D10"/>
    <mergeCell ref="B11:C11"/>
    <mergeCell ref="B12:C12"/>
    <mergeCell ref="B13:C13"/>
    <mergeCell ref="B14:C14"/>
    <mergeCell ref="B29:C29"/>
    <mergeCell ref="B16:C16"/>
    <mergeCell ref="B17:C17"/>
    <mergeCell ref="B18:C18"/>
    <mergeCell ref="B19:C19"/>
    <mergeCell ref="B20:C20"/>
    <mergeCell ref="B21:B22"/>
    <mergeCell ref="B23:C23"/>
    <mergeCell ref="B24:C24"/>
    <mergeCell ref="B25:C25"/>
    <mergeCell ref="B26:C26"/>
    <mergeCell ref="B27:C27"/>
    <mergeCell ref="A42:N55"/>
    <mergeCell ref="B31:D31"/>
    <mergeCell ref="B32:C32"/>
    <mergeCell ref="B33:C33"/>
    <mergeCell ref="B34:C34"/>
    <mergeCell ref="B35:C35"/>
    <mergeCell ref="B36:C36"/>
  </mergeCells>
  <dataValidations count="7">
    <dataValidation type="list" allowBlank="1" showInputMessage="1" showErrorMessage="1" sqref="D25" xr:uid="{2CD1277C-E595-4065-83BA-4F7112F9594B}">
      <formula1>Tipo_operación</formula1>
      <formula2>0</formula2>
    </dataValidation>
    <dataValidation type="list" allowBlank="1" showInputMessage="1" showErrorMessage="1" sqref="D14" xr:uid="{4FBD849C-B244-4A39-9C03-A3DBC3583F9F}">
      <formula1>Tipo_indicador</formula1>
      <formula2>0</formula2>
    </dataValidation>
    <dataValidation allowBlank="1" showDropDown="1" showInputMessage="1" showErrorMessage="1" sqref="D13" xr:uid="{4F896E29-F703-4B93-9345-B90878683095}">
      <formula1>0</formula1>
      <formula2>0</formula2>
    </dataValidation>
    <dataValidation type="list" allowBlank="1" showInputMessage="1" showErrorMessage="1" sqref="D7" xr:uid="{4C4E85E0-6AAD-489F-85F0-D9E0CBA30A8A}">
      <formula1>Nombre_indicador_ODS</formula1>
    </dataValidation>
    <dataValidation type="list" allowBlank="1" showInputMessage="1" showErrorMessage="1" sqref="D6" xr:uid="{74453401-024B-4B35-B0F0-10CD2462BF19}">
      <formula1>Numero_indicador</formula1>
    </dataValidation>
    <dataValidation type="list" allowBlank="1" showInputMessage="1" showErrorMessage="1" sqref="D5" xr:uid="{087481A8-276D-4F25-BD9A-9F4678A95272}">
      <formula1>Metas_ODS</formula1>
    </dataValidation>
    <dataValidation type="list" allowBlank="1" showInputMessage="1" showErrorMessage="1" sqref="D4" xr:uid="{1AAEFC2F-8164-488C-88DC-9CBEBB388EF1}">
      <formula1>ODS</formula1>
    </dataValidation>
  </dataValidations>
  <hyperlinks>
    <hyperlink ref="B1" location="'3.5.1'!A1" display="REGRESAR" xr:uid="{9D75CF57-4964-4642-A19E-C1B432CAAB60}"/>
    <hyperlink ref="D8" r:id="rId1" xr:uid="{47B19D35-E43B-48C7-B465-B737C307C4FE}"/>
    <hyperlink ref="D36" r:id="rId2" xr:uid="{3FD98186-4F4D-4C3C-A81E-42705E4D16A5}"/>
  </hyperlinks>
  <pageMargins left="0.7" right="0.7" top="0.75" bottom="0.75" header="0.3" footer="0.3"/>
  <pageSetup paperSize="9" orientation="portrait"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31C-AED0-4B27-9FB5-1CADD44702A8}">
  <dimension ref="A1:W52"/>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1" width="15.28515625" style="175" customWidth="1"/>
    <col min="2" max="2" width="15.28515625" style="22" customWidth="1"/>
    <col min="3" max="3" width="9.42578125" style="22" customWidth="1"/>
    <col min="4" max="6" width="8.42578125" style="22" customWidth="1"/>
    <col min="7" max="7" width="3.28515625" style="22" customWidth="1"/>
    <col min="8" max="13" width="7.28515625" style="22" customWidth="1"/>
    <col min="14" max="16384" width="11.42578125" style="22"/>
  </cols>
  <sheetData>
    <row r="1" spans="1:20" s="16" customFormat="1" ht="19.5" x14ac:dyDescent="0.4">
      <c r="A1" s="15" t="s">
        <v>39</v>
      </c>
      <c r="C1" s="2421" t="s">
        <v>149</v>
      </c>
      <c r="D1" s="2421"/>
    </row>
    <row r="2" spans="1:20" s="16" customFormat="1" ht="19.5" x14ac:dyDescent="0.4">
      <c r="A2" s="162"/>
    </row>
    <row r="3" spans="1:20" s="16" customFormat="1" ht="16.149999999999999"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row>
    <row r="4" spans="1:20" s="16" customFormat="1" ht="16.899999999999999" customHeight="1" x14ac:dyDescent="0.4">
      <c r="A4" s="2574" t="s">
        <v>42</v>
      </c>
      <c r="B4" s="2574"/>
      <c r="C4" s="2574" t="s">
        <v>688</v>
      </c>
      <c r="D4" s="2575"/>
      <c r="E4" s="2575"/>
      <c r="F4" s="2575"/>
      <c r="G4" s="2575"/>
      <c r="H4" s="2575"/>
      <c r="I4" s="2575"/>
      <c r="J4" s="2575"/>
      <c r="K4" s="2575"/>
      <c r="L4" s="2575"/>
      <c r="M4" s="2575"/>
      <c r="N4" s="2575"/>
      <c r="O4" s="2575"/>
      <c r="P4" s="2575"/>
      <c r="Q4" s="2575"/>
      <c r="R4" s="2575"/>
      <c r="S4" s="2575"/>
    </row>
    <row r="5" spans="1:20" s="16" customFormat="1" ht="16.149999999999999" customHeight="1" x14ac:dyDescent="0.4">
      <c r="A5" s="2574" t="s">
        <v>43</v>
      </c>
      <c r="B5" s="2574"/>
      <c r="C5" s="2574" t="s">
        <v>1269</v>
      </c>
      <c r="D5" s="2575"/>
      <c r="E5" s="2575"/>
      <c r="F5" s="2575"/>
      <c r="G5" s="2575"/>
      <c r="H5" s="2575"/>
      <c r="I5" s="2575"/>
      <c r="J5" s="2575"/>
      <c r="K5" s="2575"/>
      <c r="L5" s="2575"/>
      <c r="M5" s="2575"/>
      <c r="N5" s="2575"/>
      <c r="O5" s="2575"/>
      <c r="P5" s="2575"/>
      <c r="Q5" s="2575"/>
      <c r="R5" s="2575"/>
      <c r="S5" s="2575"/>
    </row>
    <row r="6" spans="1:20" s="16" customFormat="1" ht="21.6" customHeight="1" x14ac:dyDescent="0.4">
      <c r="A6" s="2574" t="s">
        <v>132</v>
      </c>
      <c r="B6" s="2575"/>
      <c r="C6" s="2574" t="s">
        <v>1270</v>
      </c>
      <c r="D6" s="2575"/>
      <c r="E6" s="2575"/>
      <c r="F6" s="2575"/>
      <c r="G6" s="2575"/>
      <c r="H6" s="2575"/>
      <c r="I6" s="2575"/>
      <c r="J6" s="2575"/>
      <c r="K6" s="2575"/>
      <c r="L6" s="2575"/>
      <c r="M6" s="2575"/>
      <c r="N6" s="2575"/>
      <c r="O6" s="2575"/>
      <c r="P6" s="2575"/>
      <c r="Q6" s="2575"/>
      <c r="R6" s="2575"/>
      <c r="S6" s="2575"/>
    </row>
    <row r="7" spans="1:20" s="16" customFormat="1" ht="19.5" x14ac:dyDescent="0.4">
      <c r="C7" s="601"/>
      <c r="D7" s="601"/>
      <c r="E7" s="162"/>
    </row>
    <row r="8" spans="1:20" s="16" customFormat="1" ht="19.5" x14ac:dyDescent="0.4"/>
    <row r="9" spans="1:20" s="16" customFormat="1" ht="18.600000000000001" customHeight="1" x14ac:dyDescent="0.4">
      <c r="C9" s="138" t="s">
        <v>1271</v>
      </c>
      <c r="D9" s="138"/>
      <c r="E9" s="138"/>
      <c r="F9" s="138"/>
      <c r="G9" s="138"/>
      <c r="H9" s="138"/>
      <c r="I9" s="138"/>
      <c r="J9" s="138"/>
      <c r="K9" s="138"/>
      <c r="L9" s="138"/>
      <c r="M9" s="138"/>
      <c r="R9" s="2648" t="s">
        <v>1272</v>
      </c>
      <c r="S9" s="2648"/>
      <c r="T9" s="2648"/>
    </row>
    <row r="10" spans="1:20" s="16" customFormat="1" ht="19.5" x14ac:dyDescent="0.4">
      <c r="C10" s="532" t="s">
        <v>1273</v>
      </c>
      <c r="D10" s="533"/>
      <c r="E10" s="533"/>
      <c r="F10" s="533"/>
      <c r="G10" s="533"/>
      <c r="H10" s="533"/>
      <c r="I10" s="533"/>
      <c r="J10" s="533"/>
      <c r="K10" s="533"/>
      <c r="L10" s="533"/>
      <c r="M10" s="533"/>
      <c r="R10" s="2648"/>
      <c r="S10" s="2648"/>
      <c r="T10" s="2648"/>
    </row>
    <row r="11" spans="1:20" ht="16.5" x14ac:dyDescent="0.25">
      <c r="A11" s="22"/>
      <c r="C11" s="602"/>
      <c r="D11" s="276"/>
      <c r="E11" s="276"/>
      <c r="F11" s="276"/>
      <c r="G11" s="276"/>
      <c r="H11" s="276"/>
      <c r="I11" s="276"/>
      <c r="J11" s="276"/>
      <c r="K11" s="276"/>
      <c r="L11" s="276"/>
      <c r="M11" s="276"/>
      <c r="R11" s="2648"/>
      <c r="S11" s="2648"/>
      <c r="T11" s="2648"/>
    </row>
    <row r="12" spans="1:20" ht="12.75" customHeight="1" x14ac:dyDescent="0.25">
      <c r="A12" s="262"/>
      <c r="C12" s="2578" t="s">
        <v>46</v>
      </c>
      <c r="D12" s="2581" t="s">
        <v>48</v>
      </c>
      <c r="E12" s="2581"/>
      <c r="F12" s="2581"/>
      <c r="G12" s="408"/>
      <c r="H12" s="2580" t="s">
        <v>737</v>
      </c>
      <c r="I12" s="2580"/>
      <c r="J12" s="2580"/>
      <c r="K12" s="2580"/>
      <c r="L12" s="2580"/>
      <c r="M12" s="2580"/>
      <c r="R12" s="2648"/>
      <c r="S12" s="2648"/>
      <c r="T12" s="2648"/>
    </row>
    <row r="13" spans="1:20" ht="18.75" x14ac:dyDescent="0.25">
      <c r="A13" s="35"/>
      <c r="C13" s="2579"/>
      <c r="D13" s="431" t="s">
        <v>47</v>
      </c>
      <c r="E13" s="431" t="s">
        <v>894</v>
      </c>
      <c r="F13" s="431" t="s">
        <v>895</v>
      </c>
      <c r="G13" s="431"/>
      <c r="H13" s="412" t="s">
        <v>1274</v>
      </c>
      <c r="I13" s="412" t="s">
        <v>1240</v>
      </c>
      <c r="J13" s="412" t="s">
        <v>1241</v>
      </c>
      <c r="K13" s="412" t="s">
        <v>1242</v>
      </c>
      <c r="L13" s="412" t="s">
        <v>1243</v>
      </c>
      <c r="M13" s="412" t="s">
        <v>1244</v>
      </c>
      <c r="R13" s="2648"/>
      <c r="S13" s="2648"/>
      <c r="T13" s="2648"/>
    </row>
    <row r="14" spans="1:20" ht="18.75" x14ac:dyDescent="0.4">
      <c r="A14" s="35"/>
      <c r="C14" s="164">
        <v>2011</v>
      </c>
      <c r="D14" s="603">
        <v>13.26</v>
      </c>
      <c r="E14" s="603">
        <v>19.29</v>
      </c>
      <c r="F14" s="603">
        <v>7.0841138392702296</v>
      </c>
      <c r="G14" s="603"/>
      <c r="H14" s="603">
        <v>7.63</v>
      </c>
      <c r="I14" s="603">
        <v>19.100000000000001</v>
      </c>
      <c r="J14" s="603">
        <v>14.02</v>
      </c>
      <c r="K14" s="603">
        <v>14.57</v>
      </c>
      <c r="L14" s="603">
        <v>10.42</v>
      </c>
      <c r="M14" s="603">
        <v>4.33</v>
      </c>
    </row>
    <row r="15" spans="1:20" ht="18.75" x14ac:dyDescent="0.4">
      <c r="A15" s="262"/>
      <c r="C15" s="164">
        <v>2012</v>
      </c>
      <c r="D15" s="603">
        <v>14.08</v>
      </c>
      <c r="E15" s="603">
        <v>20.51</v>
      </c>
      <c r="F15" s="603">
        <v>7.5</v>
      </c>
      <c r="G15" s="603"/>
      <c r="H15" s="603">
        <v>8.1300000000000008</v>
      </c>
      <c r="I15" s="603">
        <v>20.66</v>
      </c>
      <c r="J15" s="603">
        <v>15.47</v>
      </c>
      <c r="K15" s="603">
        <v>14.77</v>
      </c>
      <c r="L15" s="603">
        <v>10.76</v>
      </c>
      <c r="M15" s="603">
        <v>5.17</v>
      </c>
    </row>
    <row r="16" spans="1:20" ht="18.75" x14ac:dyDescent="0.4">
      <c r="A16" s="35"/>
      <c r="C16" s="164">
        <v>2013</v>
      </c>
      <c r="D16" s="603">
        <v>14.9</v>
      </c>
      <c r="E16" s="603">
        <v>21.72</v>
      </c>
      <c r="F16" s="603">
        <v>7.93</v>
      </c>
      <c r="G16" s="603"/>
      <c r="H16" s="603">
        <v>8.6300000000000008</v>
      </c>
      <c r="I16" s="603">
        <v>22.22</v>
      </c>
      <c r="J16" s="603">
        <v>16.93</v>
      </c>
      <c r="K16" s="603">
        <v>14.97</v>
      </c>
      <c r="L16" s="603">
        <v>11.1</v>
      </c>
      <c r="M16" s="603">
        <v>6.01</v>
      </c>
    </row>
    <row r="17" spans="1:15" ht="18.75" x14ac:dyDescent="0.4">
      <c r="A17" s="35"/>
      <c r="C17" s="164">
        <v>2014</v>
      </c>
      <c r="D17" s="603">
        <v>15.72</v>
      </c>
      <c r="E17" s="603">
        <v>22.94</v>
      </c>
      <c r="F17" s="603">
        <v>8.35</v>
      </c>
      <c r="G17" s="603"/>
      <c r="H17" s="603">
        <v>9.1300000000000008</v>
      </c>
      <c r="I17" s="603">
        <v>23.79</v>
      </c>
      <c r="J17" s="603">
        <v>18.38</v>
      </c>
      <c r="K17" s="603">
        <v>15.17</v>
      </c>
      <c r="L17" s="603">
        <v>11.44</v>
      </c>
      <c r="M17" s="603">
        <v>6.85</v>
      </c>
    </row>
    <row r="18" spans="1:15" ht="18.75" x14ac:dyDescent="0.4">
      <c r="A18" s="35"/>
      <c r="C18" s="164">
        <v>2015</v>
      </c>
      <c r="D18" s="603">
        <v>16.54</v>
      </c>
      <c r="E18" s="603">
        <v>24.15</v>
      </c>
      <c r="F18" s="603">
        <v>8.7799999999999994</v>
      </c>
      <c r="G18" s="603"/>
      <c r="H18" s="603">
        <v>9.6300000000000008</v>
      </c>
      <c r="I18" s="603">
        <v>25.35</v>
      </c>
      <c r="J18" s="603">
        <v>19.84</v>
      </c>
      <c r="K18" s="603">
        <v>15.37</v>
      </c>
      <c r="L18" s="603">
        <v>11.78</v>
      </c>
      <c r="M18" s="603">
        <v>7.69</v>
      </c>
    </row>
    <row r="19" spans="1:15" ht="18.75" x14ac:dyDescent="0.4">
      <c r="A19" s="35"/>
      <c r="C19" s="198">
        <v>2016</v>
      </c>
      <c r="D19" s="604">
        <v>18.255022715178601</v>
      </c>
      <c r="E19" s="604">
        <v>25.362757428116701</v>
      </c>
      <c r="F19" s="604">
        <v>11.008239367030599</v>
      </c>
      <c r="G19" s="604"/>
      <c r="H19" s="604">
        <v>11.2370717932085</v>
      </c>
      <c r="I19" s="604">
        <v>27.575181908327799</v>
      </c>
      <c r="J19" s="604">
        <v>22.137496618425399</v>
      </c>
      <c r="K19" s="604">
        <v>17.755240586571201</v>
      </c>
      <c r="L19" s="604">
        <v>13.435786392489</v>
      </c>
      <c r="M19" s="604">
        <v>8.7990224033344901</v>
      </c>
    </row>
    <row r="20" spans="1:15" ht="18.75" x14ac:dyDescent="0.4">
      <c r="A20" s="35"/>
      <c r="C20" s="198">
        <v>2017</v>
      </c>
      <c r="D20" s="604">
        <v>19.970045430357299</v>
      </c>
      <c r="E20" s="604">
        <v>26.575514856233401</v>
      </c>
      <c r="F20" s="604">
        <v>13.236478734061199</v>
      </c>
      <c r="G20" s="604"/>
      <c r="H20" s="604">
        <v>12.844143586416999</v>
      </c>
      <c r="I20" s="604">
        <v>29.800363816655501</v>
      </c>
      <c r="J20" s="604">
        <v>24.434993236850701</v>
      </c>
      <c r="K20" s="604">
        <v>20.140481173142401</v>
      </c>
      <c r="L20" s="604">
        <v>15.091572784977901</v>
      </c>
      <c r="M20" s="604">
        <v>9.9080448066689701</v>
      </c>
    </row>
    <row r="21" spans="1:15" ht="18.75" x14ac:dyDescent="0.4">
      <c r="A21" s="35"/>
      <c r="C21" s="198">
        <v>2018</v>
      </c>
      <c r="D21" s="604">
        <v>21.685068145535901</v>
      </c>
      <c r="E21" s="604">
        <v>27.7882722843501</v>
      </c>
      <c r="F21" s="604">
        <v>15.464718101091799</v>
      </c>
      <c r="G21" s="604"/>
      <c r="H21" s="604">
        <v>14.4512153796255</v>
      </c>
      <c r="I21" s="604">
        <v>32.025545724983303</v>
      </c>
      <c r="J21" s="604">
        <v>26.732489855276</v>
      </c>
      <c r="K21" s="604">
        <v>22.525721759713601</v>
      </c>
      <c r="L21" s="604">
        <v>16.747359177466901</v>
      </c>
      <c r="M21" s="604">
        <v>11.0170672100035</v>
      </c>
    </row>
    <row r="22" spans="1:15" ht="18.75" x14ac:dyDescent="0.4">
      <c r="A22" s="262"/>
      <c r="C22" s="198">
        <v>2019</v>
      </c>
      <c r="D22" s="604">
        <v>23.400090860714599</v>
      </c>
      <c r="E22" s="604">
        <v>29.001029712466799</v>
      </c>
      <c r="F22" s="604">
        <v>17.692957468122401</v>
      </c>
      <c r="G22" s="604"/>
      <c r="H22" s="604">
        <v>16.058287172834</v>
      </c>
      <c r="I22" s="604">
        <v>34.250727633311101</v>
      </c>
      <c r="J22" s="604">
        <v>29.029986473701399</v>
      </c>
      <c r="K22" s="604">
        <v>24.910962346284801</v>
      </c>
      <c r="L22" s="604">
        <v>18.4031455699558</v>
      </c>
      <c r="M22" s="604">
        <v>12.1260896133379</v>
      </c>
    </row>
    <row r="23" spans="1:15" ht="18.75" x14ac:dyDescent="0.4">
      <c r="C23" s="198">
        <v>2020</v>
      </c>
      <c r="D23" s="604">
        <v>25.115113575893201</v>
      </c>
      <c r="E23" s="604">
        <v>30.213787140583499</v>
      </c>
      <c r="F23" s="604">
        <v>19.921196835153001</v>
      </c>
      <c r="G23" s="604"/>
      <c r="H23" s="604">
        <v>17.665358966042501</v>
      </c>
      <c r="I23" s="604">
        <v>36.475909541638899</v>
      </c>
      <c r="J23" s="604">
        <v>31.327483092126698</v>
      </c>
      <c r="K23" s="604">
        <v>27.296202932856001</v>
      </c>
      <c r="L23" s="604">
        <v>20.058931962444799</v>
      </c>
      <c r="M23" s="604">
        <v>13.235112016672399</v>
      </c>
      <c r="O23" s="605"/>
    </row>
    <row r="24" spans="1:15" ht="18.75" x14ac:dyDescent="0.4">
      <c r="C24" s="198">
        <v>2021</v>
      </c>
      <c r="D24" s="604">
        <v>26.830136291071799</v>
      </c>
      <c r="E24" s="604">
        <v>31.426544568700201</v>
      </c>
      <c r="F24" s="604">
        <v>22.149436202183601</v>
      </c>
      <c r="G24" s="604"/>
      <c r="H24" s="604">
        <v>19.272430759251002</v>
      </c>
      <c r="I24" s="604">
        <v>38.701091449966597</v>
      </c>
      <c r="J24" s="604">
        <v>33.624979710552097</v>
      </c>
      <c r="K24" s="604">
        <v>29.681443519427201</v>
      </c>
      <c r="L24" s="604">
        <v>21.714718354933702</v>
      </c>
      <c r="M24" s="604">
        <v>14.344134420006901</v>
      </c>
    </row>
    <row r="25" spans="1:15" ht="18.75" x14ac:dyDescent="0.4">
      <c r="C25" s="198">
        <v>2022</v>
      </c>
      <c r="D25" s="604">
        <v>28.545159006250501</v>
      </c>
      <c r="E25" s="604">
        <v>32.639301996816897</v>
      </c>
      <c r="F25" s="604">
        <v>24.377675569214201</v>
      </c>
      <c r="G25" s="604"/>
      <c r="H25" s="604">
        <v>20.879502552459499</v>
      </c>
      <c r="I25" s="604">
        <v>40.926273358294402</v>
      </c>
      <c r="J25" s="604">
        <v>35.922476328977403</v>
      </c>
      <c r="K25" s="604">
        <v>32.066684105998398</v>
      </c>
      <c r="L25" s="604">
        <v>23.3705047474227</v>
      </c>
      <c r="M25" s="604">
        <v>15.4531568233414</v>
      </c>
    </row>
    <row r="26" spans="1:15" ht="16.149999999999999" customHeight="1" x14ac:dyDescent="0.4">
      <c r="C26" s="606">
        <v>2023</v>
      </c>
      <c r="D26" s="607">
        <v>30.260181721429099</v>
      </c>
      <c r="E26" s="607">
        <v>33.8520594249336</v>
      </c>
      <c r="F26" s="607">
        <v>26.605914936244801</v>
      </c>
      <c r="G26" s="607"/>
      <c r="H26" s="607">
        <v>22.486574345668</v>
      </c>
      <c r="I26" s="607">
        <v>43.1514552666222</v>
      </c>
      <c r="J26" s="607">
        <v>38.219972947402802</v>
      </c>
      <c r="K26" s="607">
        <v>34.451924692569598</v>
      </c>
      <c r="L26" s="607">
        <v>25.026291139911599</v>
      </c>
      <c r="M26" s="607">
        <v>16.562179226675902</v>
      </c>
    </row>
    <row r="27" spans="1:15" ht="40.15" customHeight="1" x14ac:dyDescent="0.25">
      <c r="C27" s="2629" t="s">
        <v>1275</v>
      </c>
      <c r="D27" s="2629"/>
      <c r="E27" s="2629"/>
      <c r="F27" s="2629"/>
      <c r="G27" s="2629"/>
      <c r="H27" s="2629"/>
      <c r="I27" s="2629"/>
      <c r="J27" s="2629"/>
      <c r="K27" s="2629"/>
      <c r="L27" s="2629"/>
      <c r="M27" s="2629"/>
    </row>
    <row r="28" spans="1:15" ht="16.5" x14ac:dyDescent="0.35">
      <c r="C28" s="608"/>
      <c r="D28" s="608"/>
      <c r="E28" s="608"/>
      <c r="F28" s="608"/>
      <c r="G28" s="608"/>
      <c r="H28" s="608"/>
      <c r="I28" s="608"/>
      <c r="J28" s="608"/>
      <c r="K28" s="608"/>
      <c r="L28" s="608"/>
      <c r="M28" s="608"/>
    </row>
    <row r="30" spans="1:15" ht="19.5" x14ac:dyDescent="0.25">
      <c r="C30" s="43" t="s">
        <v>1276</v>
      </c>
      <c r="D30" s="43"/>
      <c r="E30" s="43"/>
      <c r="F30" s="43"/>
      <c r="G30" s="43"/>
      <c r="H30" s="43"/>
      <c r="I30" s="43"/>
      <c r="J30" s="43"/>
      <c r="K30" s="43"/>
      <c r="L30" s="43"/>
      <c r="M30" s="43"/>
    </row>
    <row r="31" spans="1:15" ht="19.5" x14ac:dyDescent="0.25">
      <c r="C31" s="43" t="s">
        <v>1277</v>
      </c>
      <c r="D31" s="43"/>
      <c r="E31" s="43"/>
      <c r="F31" s="43"/>
      <c r="G31" s="43"/>
      <c r="H31" s="43"/>
      <c r="I31" s="43"/>
      <c r="J31" s="43"/>
      <c r="K31" s="43"/>
      <c r="L31" s="43"/>
      <c r="M31" s="43"/>
    </row>
    <row r="36" spans="14:23" ht="18.75" x14ac:dyDescent="0.4">
      <c r="N36" s="609"/>
      <c r="O36" s="609"/>
      <c r="P36" s="609"/>
      <c r="Q36" s="609"/>
      <c r="R36" s="609"/>
      <c r="S36" s="609"/>
      <c r="T36" s="609"/>
      <c r="U36" s="609"/>
      <c r="V36" s="609"/>
      <c r="W36" s="609"/>
    </row>
    <row r="52" spans="3:13" ht="32.25" customHeight="1" x14ac:dyDescent="0.25">
      <c r="C52" s="590" t="s">
        <v>1278</v>
      </c>
      <c r="D52" s="590"/>
      <c r="E52" s="590"/>
      <c r="F52" s="590"/>
      <c r="G52" s="590"/>
      <c r="H52" s="590"/>
      <c r="I52" s="590"/>
      <c r="J52" s="590"/>
      <c r="K52" s="590"/>
      <c r="L52" s="590"/>
      <c r="M52" s="590"/>
    </row>
  </sheetData>
  <mergeCells count="14">
    <mergeCell ref="A5:B5"/>
    <mergeCell ref="C5:S5"/>
    <mergeCell ref="C1:D1"/>
    <mergeCell ref="A3:B3"/>
    <mergeCell ref="C3:S3"/>
    <mergeCell ref="A4:B4"/>
    <mergeCell ref="C4:S4"/>
    <mergeCell ref="C27:M27"/>
    <mergeCell ref="A6:B6"/>
    <mergeCell ref="C6:S6"/>
    <mergeCell ref="R9:T13"/>
    <mergeCell ref="C12:C13"/>
    <mergeCell ref="D12:F12"/>
    <mergeCell ref="H12:M12"/>
  </mergeCells>
  <hyperlinks>
    <hyperlink ref="A1" location="'ODS 3.'!A1" display="REGRESAR" xr:uid="{9665DB0A-F3BC-42C9-A7C5-8FB56A869221}"/>
    <hyperlink ref="C1" location="'Metadato 3.5.2.a'!A1" display="VER METADATO" xr:uid="{A0A58CE5-2104-47F5-B89C-0862B52C61F6}"/>
    <hyperlink ref="R9:T13" location="'3.5.2.b '!A1" display="Ver: Consumo per cápita de alcohol de la población de más de 15 años, por rango de contenido volumétrico de alcohol." xr:uid="{8C87F4B2-F82B-4640-9698-A8AAFCA0DC63}"/>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9B65-D0B8-4845-9004-999DF8053807}">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9.42578125" style="222" customWidth="1"/>
    <col min="2" max="2" width="26.42578125" style="222" customWidth="1"/>
    <col min="3" max="3" width="24" style="222" customWidth="1"/>
    <col min="4" max="4" width="85.7109375" style="222" customWidth="1"/>
    <col min="5" max="5" width="3.28515625" style="222" customWidth="1"/>
    <col min="6" max="11" width="7.28515625" style="222" customWidth="1"/>
    <col min="12" max="16384" width="11.42578125" style="222"/>
  </cols>
  <sheetData>
    <row r="1" spans="1:6" x14ac:dyDescent="0.25">
      <c r="B1" s="223" t="s">
        <v>39</v>
      </c>
    </row>
    <row r="2" spans="1:6" ht="19.5" thickBot="1" x14ac:dyDescent="0.3"/>
    <row r="3" spans="1:6" ht="23.25" customHeight="1" thickBot="1" x14ac:dyDescent="0.3">
      <c r="B3" s="2604" t="s">
        <v>75</v>
      </c>
      <c r="C3" s="2604"/>
      <c r="D3" s="2604"/>
      <c r="F3" s="91" t="s">
        <v>265</v>
      </c>
    </row>
    <row r="4" spans="1:6" ht="18" customHeight="1" x14ac:dyDescent="0.25">
      <c r="A4" s="224"/>
      <c r="B4" s="2445" t="s">
        <v>234</v>
      </c>
      <c r="C4" s="2445"/>
      <c r="D4" s="49" t="s">
        <v>832</v>
      </c>
    </row>
    <row r="5" spans="1:6" ht="37.5" x14ac:dyDescent="0.25">
      <c r="B5" s="2445" t="s">
        <v>79</v>
      </c>
      <c r="C5" s="2445"/>
      <c r="D5" s="49" t="s">
        <v>688</v>
      </c>
    </row>
    <row r="6" spans="1:6" x14ac:dyDescent="0.25">
      <c r="B6" s="2445" t="s">
        <v>80</v>
      </c>
      <c r="C6" s="2445"/>
      <c r="D6" s="50" t="s">
        <v>1279</v>
      </c>
    </row>
    <row r="7" spans="1:6" ht="31.5" customHeight="1" x14ac:dyDescent="0.25">
      <c r="B7" s="2446" t="s">
        <v>81</v>
      </c>
      <c r="C7" s="2446"/>
      <c r="D7" s="93" t="s">
        <v>1280</v>
      </c>
    </row>
    <row r="8" spans="1:6" x14ac:dyDescent="0.25">
      <c r="B8" s="2446" t="s">
        <v>82</v>
      </c>
      <c r="C8" s="2446"/>
      <c r="D8" s="94" t="s">
        <v>1281</v>
      </c>
    </row>
    <row r="9" spans="1:6" x14ac:dyDescent="0.4">
      <c r="B9" s="5"/>
      <c r="C9" s="5"/>
      <c r="D9" s="5"/>
    </row>
    <row r="10" spans="1:6" ht="23.25" customHeight="1" x14ac:dyDescent="0.25">
      <c r="B10" s="2604" t="s">
        <v>85</v>
      </c>
      <c r="C10" s="2604"/>
      <c r="D10" s="2604"/>
    </row>
    <row r="11" spans="1:6" ht="20.25" customHeight="1" x14ac:dyDescent="0.25">
      <c r="B11" s="2645" t="s">
        <v>86</v>
      </c>
      <c r="C11" s="2645"/>
      <c r="D11" s="592" t="s">
        <v>167</v>
      </c>
    </row>
    <row r="12" spans="1:6" ht="33" customHeight="1" x14ac:dyDescent="0.25">
      <c r="B12" s="2647" t="s">
        <v>88</v>
      </c>
      <c r="C12" s="2647"/>
      <c r="D12" s="593" t="s">
        <v>1282</v>
      </c>
    </row>
    <row r="13" spans="1:6" x14ac:dyDescent="0.25">
      <c r="B13" s="2642" t="s">
        <v>90</v>
      </c>
      <c r="C13" s="2642"/>
      <c r="D13" s="54" t="s">
        <v>691</v>
      </c>
    </row>
    <row r="14" spans="1:6" x14ac:dyDescent="0.25">
      <c r="B14" s="2642" t="s">
        <v>91</v>
      </c>
      <c r="C14" s="2642"/>
      <c r="D14" s="54" t="s">
        <v>1283</v>
      </c>
    </row>
    <row r="15" spans="1:6" ht="124.5" customHeight="1" x14ac:dyDescent="0.25">
      <c r="B15" s="2642" t="s">
        <v>93</v>
      </c>
      <c r="C15" s="2642"/>
      <c r="D15" s="610" t="s">
        <v>1284</v>
      </c>
    </row>
    <row r="16" spans="1:6" ht="111.75" customHeight="1" x14ac:dyDescent="0.25">
      <c r="B16" s="2642" t="s">
        <v>95</v>
      </c>
      <c r="C16" s="2642"/>
      <c r="D16" s="611"/>
    </row>
    <row r="17" spans="2:4" x14ac:dyDescent="0.25">
      <c r="B17" s="2642" t="s">
        <v>97</v>
      </c>
      <c r="C17" s="2642"/>
      <c r="D17" s="56" t="s">
        <v>1285</v>
      </c>
    </row>
    <row r="18" spans="2:4" ht="75" x14ac:dyDescent="0.25">
      <c r="B18" s="2643" t="s">
        <v>99</v>
      </c>
      <c r="C18" s="2643"/>
      <c r="D18" s="592" t="s">
        <v>1286</v>
      </c>
    </row>
    <row r="19" spans="2:4" ht="56.25" x14ac:dyDescent="0.25">
      <c r="B19" s="2643" t="s">
        <v>100</v>
      </c>
      <c r="C19" s="2643"/>
      <c r="D19" s="56" t="s">
        <v>1287</v>
      </c>
    </row>
    <row r="20" spans="2:4" x14ac:dyDescent="0.25">
      <c r="B20" s="2642" t="s">
        <v>102</v>
      </c>
      <c r="C20" s="2642"/>
      <c r="D20" s="56" t="s">
        <v>140</v>
      </c>
    </row>
    <row r="21" spans="2:4" x14ac:dyDescent="0.25">
      <c r="B21" s="2644" t="s">
        <v>104</v>
      </c>
      <c r="C21" s="595" t="s">
        <v>105</v>
      </c>
      <c r="D21" s="592" t="s">
        <v>1256</v>
      </c>
    </row>
    <row r="22" spans="2:4" x14ac:dyDescent="0.25">
      <c r="B22" s="2644"/>
      <c r="C22" s="596" t="s">
        <v>107</v>
      </c>
      <c r="D22" s="56" t="s">
        <v>1288</v>
      </c>
    </row>
    <row r="23" spans="2:4" ht="30" customHeight="1" x14ac:dyDescent="0.25">
      <c r="B23" s="2645" t="s">
        <v>109</v>
      </c>
      <c r="C23" s="2645"/>
      <c r="D23" s="56" t="s">
        <v>574</v>
      </c>
    </row>
    <row r="24" spans="2:4" x14ac:dyDescent="0.25">
      <c r="B24" s="2645" t="s">
        <v>111</v>
      </c>
      <c r="C24" s="2645"/>
      <c r="D24" s="59" t="s">
        <v>1289</v>
      </c>
    </row>
    <row r="25" spans="2:4" x14ac:dyDescent="0.25">
      <c r="B25" s="2642" t="s">
        <v>113</v>
      </c>
      <c r="C25" s="2642"/>
      <c r="D25" s="56" t="s">
        <v>1290</v>
      </c>
    </row>
    <row r="26" spans="2:4" ht="15" customHeight="1" x14ac:dyDescent="0.25">
      <c r="B26" s="2643" t="s">
        <v>115</v>
      </c>
      <c r="C26" s="2643"/>
      <c r="D26" s="59" t="s">
        <v>1291</v>
      </c>
    </row>
    <row r="27" spans="2:4" ht="281.25" x14ac:dyDescent="0.25">
      <c r="B27" s="2646" t="s">
        <v>117</v>
      </c>
      <c r="C27" s="2646"/>
      <c r="D27" s="592" t="s">
        <v>1292</v>
      </c>
    </row>
    <row r="28" spans="2:4" ht="37.5" x14ac:dyDescent="0.25">
      <c r="B28" s="597" t="s">
        <v>118</v>
      </c>
      <c r="C28" s="598"/>
      <c r="D28" s="56" t="s">
        <v>1293</v>
      </c>
    </row>
    <row r="29" spans="2:4" x14ac:dyDescent="0.25">
      <c r="B29" s="2641" t="s">
        <v>120</v>
      </c>
      <c r="C29" s="2641"/>
      <c r="D29" s="612" t="s">
        <v>1294</v>
      </c>
    </row>
    <row r="30" spans="2:4" x14ac:dyDescent="0.25">
      <c r="B30" s="63"/>
      <c r="C30" s="63"/>
      <c r="D30" s="64"/>
    </row>
    <row r="31" spans="2:4" ht="23.25" customHeight="1" x14ac:dyDescent="0.25">
      <c r="B31" s="2639" t="s">
        <v>121</v>
      </c>
      <c r="C31" s="2639"/>
      <c r="D31" s="2639"/>
    </row>
    <row r="32" spans="2:4" x14ac:dyDescent="0.25">
      <c r="B32" s="2640" t="s">
        <v>122</v>
      </c>
      <c r="C32" s="2640"/>
      <c r="D32" s="59" t="s">
        <v>1264</v>
      </c>
    </row>
    <row r="33" spans="2:4" x14ac:dyDescent="0.25">
      <c r="B33" s="2640" t="s">
        <v>124</v>
      </c>
      <c r="C33" s="2640"/>
      <c r="D33" s="59" t="s">
        <v>1265</v>
      </c>
    </row>
    <row r="34" spans="2:4" x14ac:dyDescent="0.25">
      <c r="B34" s="2640" t="s">
        <v>126</v>
      </c>
      <c r="C34" s="2640"/>
      <c r="D34" s="59" t="s">
        <v>185</v>
      </c>
    </row>
    <row r="35" spans="2:4" x14ac:dyDescent="0.25">
      <c r="B35" s="2640" t="s">
        <v>128</v>
      </c>
      <c r="C35" s="2640"/>
      <c r="D35" s="59" t="s">
        <v>1295</v>
      </c>
    </row>
    <row r="36" spans="2:4" x14ac:dyDescent="0.25">
      <c r="B36" s="2640" t="s">
        <v>130</v>
      </c>
      <c r="C36" s="2640"/>
      <c r="D36" s="600" t="s">
        <v>1268</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23F2A71-9D61-4E60-803B-4CD31EF0C2EC}">
      <formula1>Tipo_operación</formula1>
      <formula2>0</formula2>
    </dataValidation>
    <dataValidation type="list" allowBlank="1" showInputMessage="1" showErrorMessage="1" sqref="D14" xr:uid="{5C2978B0-A287-4692-9B52-64B1C757F135}">
      <formula1>Tipo_indicador</formula1>
      <formula2>0</formula2>
    </dataValidation>
    <dataValidation allowBlank="1" showDropDown="1" showInputMessage="1" showErrorMessage="1" sqref="D13" xr:uid="{51EE3550-D446-47E0-A122-A105DC921662}">
      <formula1>0</formula1>
      <formula2>0</formula2>
    </dataValidation>
    <dataValidation type="list" allowBlank="1" showInputMessage="1" showErrorMessage="1" sqref="D7" xr:uid="{02D56FF6-0631-4084-A75D-3F8DDBA9EBD4}">
      <formula1>Nombre_indicador_ODS</formula1>
    </dataValidation>
    <dataValidation type="list" allowBlank="1" showInputMessage="1" showErrorMessage="1" sqref="D6" xr:uid="{5F404902-E1D3-4B76-ABFC-E12245B6940A}">
      <formula1>Numero_indicador</formula1>
    </dataValidation>
    <dataValidation type="list" allowBlank="1" showInputMessage="1" showErrorMessage="1" sqref="D5" xr:uid="{ACE03154-CAC3-4435-937F-512924EA4D44}">
      <formula1>Metas_ODS</formula1>
    </dataValidation>
    <dataValidation type="list" allowBlank="1" showInputMessage="1" showErrorMessage="1" sqref="D4" xr:uid="{4716A162-F7D1-46C5-AE0F-49CE1FC4B600}">
      <formula1>ODS</formula1>
    </dataValidation>
  </dataValidations>
  <hyperlinks>
    <hyperlink ref="B1" location="'3.5.2.a '!A1" display="REGRESAR" xr:uid="{4BB87503-129E-47A4-AA1A-3EA8A6101A56}"/>
    <hyperlink ref="D8" r:id="rId1" xr:uid="{E4ED0079-FE79-4DB9-BB9D-2DAE7D34EC20}"/>
    <hyperlink ref="D29" r:id="rId2" xr:uid="{F67D12F7-50EC-4020-946C-1E1F2A6FB97B}"/>
    <hyperlink ref="D36" r:id="rId3" xr:uid="{1C319C2D-1590-4845-84B5-13877B12FCD1}"/>
  </hyperlinks>
  <pageMargins left="0.7" right="0.7" top="0.75" bottom="0.75" header="0.3" footer="0.3"/>
  <pageSetup orientation="portrait" r:id="rId4"/>
  <drawing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09E6-BC6A-44B5-A7F5-895150DB401D}">
  <dimension ref="A1:R52"/>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1" width="15.5703125" style="175" customWidth="1"/>
    <col min="2" max="2" width="17" style="22" customWidth="1"/>
    <col min="3" max="3" width="9.28515625" style="22" customWidth="1"/>
    <col min="4" max="16384" width="11.42578125" style="22"/>
  </cols>
  <sheetData>
    <row r="1" spans="1:18" s="16" customFormat="1" ht="19.5" x14ac:dyDescent="0.4">
      <c r="A1" s="15" t="s">
        <v>39</v>
      </c>
      <c r="C1" s="2562" t="s">
        <v>40</v>
      </c>
      <c r="D1" s="2562"/>
    </row>
    <row r="2" spans="1:18" s="16" customFormat="1" ht="19.5" x14ac:dyDescent="0.4">
      <c r="A2" s="162"/>
    </row>
    <row r="3" spans="1:18" s="16" customFormat="1" ht="19.5" x14ac:dyDescent="0.4">
      <c r="A3" s="2574" t="s">
        <v>41</v>
      </c>
      <c r="B3" s="2574"/>
      <c r="C3" s="2574" t="s">
        <v>733</v>
      </c>
      <c r="D3" s="2575"/>
      <c r="E3" s="2575"/>
      <c r="F3" s="2575"/>
      <c r="G3" s="2575"/>
      <c r="H3" s="2575"/>
      <c r="I3" s="2575"/>
      <c r="J3" s="2575"/>
      <c r="K3" s="2575"/>
      <c r="L3" s="2575"/>
      <c r="M3" s="2575"/>
      <c r="N3" s="2575"/>
      <c r="O3" s="2575"/>
      <c r="P3" s="2575"/>
      <c r="Q3" s="2575"/>
      <c r="R3" s="2575"/>
    </row>
    <row r="4" spans="1:18" s="16" customFormat="1" ht="19.5" x14ac:dyDescent="0.4">
      <c r="A4" s="2574" t="s">
        <v>42</v>
      </c>
      <c r="B4" s="2574"/>
      <c r="C4" s="2574" t="s">
        <v>1296</v>
      </c>
      <c r="D4" s="2575"/>
      <c r="E4" s="2575"/>
      <c r="F4" s="2575"/>
      <c r="G4" s="2575"/>
      <c r="H4" s="2575"/>
      <c r="I4" s="2575"/>
      <c r="J4" s="2575"/>
      <c r="K4" s="2575"/>
      <c r="L4" s="2575"/>
      <c r="M4" s="2575"/>
      <c r="N4" s="2575"/>
      <c r="O4" s="2575"/>
      <c r="P4" s="2575"/>
      <c r="Q4" s="2575"/>
      <c r="R4" s="2575"/>
    </row>
    <row r="5" spans="1:18" s="16" customFormat="1" ht="19.5" x14ac:dyDescent="0.4">
      <c r="A5" s="2574" t="s">
        <v>43</v>
      </c>
      <c r="B5" s="2574"/>
      <c r="C5" s="2574" t="s">
        <v>1297</v>
      </c>
      <c r="D5" s="2575"/>
      <c r="E5" s="2575"/>
      <c r="F5" s="2575"/>
      <c r="G5" s="2575"/>
      <c r="H5" s="2575"/>
      <c r="I5" s="2575"/>
      <c r="J5" s="2575"/>
      <c r="K5" s="2575"/>
      <c r="L5" s="2575"/>
      <c r="M5" s="2575"/>
      <c r="N5" s="2575"/>
      <c r="O5" s="2575"/>
      <c r="P5" s="2575"/>
      <c r="Q5" s="2575"/>
      <c r="R5" s="2575"/>
    </row>
    <row r="6" spans="1:18" s="16" customFormat="1" ht="19.5" x14ac:dyDescent="0.4">
      <c r="A6" s="2574" t="s">
        <v>132</v>
      </c>
      <c r="B6" s="2575"/>
      <c r="C6" s="2574" t="s">
        <v>1298</v>
      </c>
      <c r="D6" s="2575"/>
      <c r="E6" s="2575"/>
      <c r="F6" s="2575"/>
      <c r="G6" s="2575"/>
      <c r="H6" s="2575"/>
      <c r="I6" s="2575"/>
      <c r="J6" s="2575"/>
      <c r="K6" s="2575"/>
      <c r="L6" s="2575"/>
      <c r="M6" s="2575"/>
      <c r="N6" s="2575"/>
      <c r="O6" s="2575"/>
      <c r="P6" s="2575"/>
      <c r="Q6" s="2575"/>
      <c r="R6" s="2575"/>
    </row>
    <row r="7" spans="1:18" s="16" customFormat="1" ht="19.5" x14ac:dyDescent="0.4">
      <c r="A7" s="162"/>
    </row>
    <row r="8" spans="1:18" s="16" customFormat="1" ht="19.5" x14ac:dyDescent="0.4">
      <c r="A8" s="162"/>
    </row>
    <row r="9" spans="1:18" s="16" customFormat="1" ht="19.5" x14ac:dyDescent="0.4">
      <c r="A9" s="162"/>
      <c r="C9" s="24" t="s">
        <v>1299</v>
      </c>
      <c r="D9" s="24"/>
      <c r="E9" s="24"/>
      <c r="F9" s="24"/>
      <c r="G9" s="24"/>
    </row>
    <row r="10" spans="1:18" s="16" customFormat="1" ht="19.5" x14ac:dyDescent="0.4">
      <c r="A10" s="162"/>
      <c r="C10" s="24" t="s">
        <v>1300</v>
      </c>
      <c r="D10" s="24"/>
      <c r="E10" s="24"/>
      <c r="F10" s="24"/>
      <c r="G10" s="24"/>
    </row>
    <row r="11" spans="1:18" ht="16.5" x14ac:dyDescent="0.25">
      <c r="C11" s="77"/>
      <c r="D11" s="77"/>
      <c r="E11" s="77"/>
      <c r="F11" s="77"/>
      <c r="G11" s="77"/>
    </row>
    <row r="12" spans="1:18" ht="19.5" customHeight="1" x14ac:dyDescent="0.25">
      <c r="C12" s="2613" t="s">
        <v>46</v>
      </c>
      <c r="D12" s="2581" t="s">
        <v>1301</v>
      </c>
      <c r="E12" s="2581"/>
      <c r="F12" s="2581"/>
      <c r="G12" s="2581"/>
    </row>
    <row r="13" spans="1:18" ht="75" x14ac:dyDescent="0.25">
      <c r="C13" s="2615"/>
      <c r="D13" s="412" t="s">
        <v>1302</v>
      </c>
      <c r="E13" s="412" t="s">
        <v>1303</v>
      </c>
      <c r="F13" s="412" t="s">
        <v>1304</v>
      </c>
      <c r="G13" s="412" t="s">
        <v>1305</v>
      </c>
    </row>
    <row r="14" spans="1:18" ht="18.75" x14ac:dyDescent="0.4">
      <c r="C14" s="4">
        <v>2011</v>
      </c>
      <c r="D14" s="613">
        <v>2.3915348312140599</v>
      </c>
      <c r="E14" s="613">
        <v>0.40043958794802897</v>
      </c>
      <c r="F14" s="613">
        <v>0.47963813386779602</v>
      </c>
      <c r="G14" s="231">
        <v>3.27</v>
      </c>
    </row>
    <row r="15" spans="1:18" ht="18.75" x14ac:dyDescent="0.4">
      <c r="C15" s="4">
        <v>2012</v>
      </c>
      <c r="D15" s="613">
        <v>2.3561065922914302</v>
      </c>
      <c r="E15" s="613">
        <v>0.40937518763604203</v>
      </c>
      <c r="F15" s="613">
        <v>0.488462803359695</v>
      </c>
      <c r="G15" s="231">
        <v>3.25</v>
      </c>
    </row>
    <row r="16" spans="1:18" ht="18.75" x14ac:dyDescent="0.4">
      <c r="C16" s="4">
        <v>2013</v>
      </c>
      <c r="D16" s="613">
        <v>2.3239069168643498</v>
      </c>
      <c r="E16" s="613">
        <v>0.40969273334806799</v>
      </c>
      <c r="F16" s="613">
        <v>0.343551147874468</v>
      </c>
      <c r="G16" s="231">
        <v>3.08</v>
      </c>
    </row>
    <row r="17" spans="3:9" ht="18.75" x14ac:dyDescent="0.4">
      <c r="C17" s="4">
        <v>2014</v>
      </c>
      <c r="D17" s="613">
        <v>2.3710626048326899</v>
      </c>
      <c r="E17" s="613">
        <v>0.41951096634438001</v>
      </c>
      <c r="F17" s="613">
        <v>0.38066566636454202</v>
      </c>
      <c r="G17" s="231">
        <v>3.17</v>
      </c>
    </row>
    <row r="18" spans="3:9" ht="18.75" x14ac:dyDescent="0.25">
      <c r="C18" s="6">
        <v>2015</v>
      </c>
      <c r="D18" s="614">
        <v>2.45025625890062</v>
      </c>
      <c r="E18" s="614">
        <v>0.42513941874042099</v>
      </c>
      <c r="F18" s="614">
        <v>0.35720079294687601</v>
      </c>
      <c r="G18" s="231">
        <v>3.23</v>
      </c>
      <c r="I18" s="22" t="s">
        <v>626</v>
      </c>
    </row>
    <row r="19" spans="3:9" ht="18.75" x14ac:dyDescent="0.25">
      <c r="C19" s="6">
        <v>2016</v>
      </c>
      <c r="D19" s="614">
        <v>2.7</v>
      </c>
      <c r="E19" s="614">
        <v>0.37</v>
      </c>
      <c r="F19" s="614">
        <v>0.33</v>
      </c>
      <c r="G19" s="231">
        <v>3.4</v>
      </c>
    </row>
    <row r="20" spans="3:9" ht="18.75" x14ac:dyDescent="0.25">
      <c r="C20" s="6">
        <v>2017</v>
      </c>
      <c r="D20" s="614">
        <v>2.5499999999999998</v>
      </c>
      <c r="E20" s="614">
        <v>0.39</v>
      </c>
      <c r="F20" s="614">
        <v>0.31</v>
      </c>
      <c r="G20" s="231">
        <v>3.25</v>
      </c>
    </row>
    <row r="21" spans="3:9" ht="18.75" x14ac:dyDescent="0.25">
      <c r="C21" s="6">
        <v>2018</v>
      </c>
      <c r="D21" s="614">
        <v>2.58</v>
      </c>
      <c r="E21" s="614">
        <v>0.41</v>
      </c>
      <c r="F21" s="614">
        <v>0.33</v>
      </c>
      <c r="G21" s="231">
        <v>3.32</v>
      </c>
    </row>
    <row r="22" spans="3:9" ht="18.75" x14ac:dyDescent="0.25">
      <c r="C22" s="6">
        <v>2019</v>
      </c>
      <c r="D22" s="614">
        <v>2.34</v>
      </c>
      <c r="E22" s="614">
        <v>0.4</v>
      </c>
      <c r="F22" s="614">
        <v>0.37</v>
      </c>
      <c r="G22" s="231">
        <v>3.1</v>
      </c>
    </row>
    <row r="23" spans="3:9" ht="18.75" x14ac:dyDescent="0.25">
      <c r="C23" s="6">
        <v>2020</v>
      </c>
      <c r="D23" s="614">
        <v>2.34</v>
      </c>
      <c r="E23" s="614">
        <v>0.48</v>
      </c>
      <c r="F23" s="614">
        <v>0.35</v>
      </c>
      <c r="G23" s="231">
        <v>3.17</v>
      </c>
    </row>
    <row r="24" spans="3:9" ht="18.75" x14ac:dyDescent="0.25">
      <c r="C24" s="6">
        <v>2021</v>
      </c>
      <c r="D24" s="614">
        <v>2.78850455242977</v>
      </c>
      <c r="E24" s="614">
        <v>0.38536046878247698</v>
      </c>
      <c r="F24" s="614">
        <v>0.38036758729654802</v>
      </c>
      <c r="G24" s="231">
        <v>3.5542326085087899</v>
      </c>
    </row>
    <row r="25" spans="3:9" ht="18.75" x14ac:dyDescent="0.25">
      <c r="C25" s="615">
        <v>2022</v>
      </c>
      <c r="D25" s="614">
        <v>3.0825</v>
      </c>
      <c r="E25" s="614">
        <v>0.42246926991499101</v>
      </c>
      <c r="F25" s="614">
        <v>0.42007344145086101</v>
      </c>
      <c r="G25" s="231">
        <v>3.92625</v>
      </c>
    </row>
    <row r="26" spans="3:9" ht="18.75" x14ac:dyDescent="0.25">
      <c r="C26" s="616">
        <v>2023</v>
      </c>
      <c r="D26" s="617">
        <v>2.76</v>
      </c>
      <c r="E26" s="617">
        <v>0.4</v>
      </c>
      <c r="F26" s="617">
        <v>0.38</v>
      </c>
      <c r="G26" s="234">
        <f>SUM(D26:F26)</f>
        <v>3.5399999999999996</v>
      </c>
    </row>
    <row r="27" spans="3:9" ht="18.75" x14ac:dyDescent="0.4">
      <c r="C27" s="5" t="s">
        <v>1306</v>
      </c>
      <c r="D27" s="4"/>
      <c r="E27" s="4"/>
      <c r="F27" s="4"/>
      <c r="G27" s="5"/>
    </row>
    <row r="30" spans="3:9" ht="19.5" x14ac:dyDescent="0.25">
      <c r="C30" s="105" t="s">
        <v>1307</v>
      </c>
    </row>
    <row r="31" spans="3:9" ht="19.5" x14ac:dyDescent="0.25">
      <c r="C31" s="105" t="s">
        <v>1308</v>
      </c>
    </row>
    <row r="52" spans="3:3" ht="18.75" x14ac:dyDescent="0.25">
      <c r="C52" s="590" t="s">
        <v>1306</v>
      </c>
    </row>
  </sheetData>
  <mergeCells count="11">
    <mergeCell ref="A6:B6"/>
    <mergeCell ref="C6:R6"/>
    <mergeCell ref="C12:C13"/>
    <mergeCell ref="D12:G12"/>
    <mergeCell ref="C1:D1"/>
    <mergeCell ref="A3:B3"/>
    <mergeCell ref="C3:R3"/>
    <mergeCell ref="A4:B4"/>
    <mergeCell ref="C4:R4"/>
    <mergeCell ref="A5:B5"/>
    <mergeCell ref="C5:R5"/>
  </mergeCells>
  <hyperlinks>
    <hyperlink ref="A1" location="'ODS 3.'!A1" display="REGRESAR" xr:uid="{D0D8EC3C-9A71-43E0-AA2E-AB4AC7739744}"/>
    <hyperlink ref="C1" location="'Metadato 3.5.2.b'!A1" display="VER METADATO " xr:uid="{5DC18892-CF74-410C-8315-FFFAFE4E0D52}"/>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90CF-8283-475F-8B55-8274FA0836FE}">
  <sheetPr>
    <tabColor theme="0" tint="-0.499984740745262"/>
  </sheetPr>
  <dimension ref="A1:L44"/>
  <sheetViews>
    <sheetView showGridLines="0" zoomScaleNormal="100" workbookViewId="0">
      <pane ySplit="1" topLeftCell="A2" activePane="bottomLeft" state="frozen"/>
      <selection pane="bottomLeft"/>
    </sheetView>
  </sheetViews>
  <sheetFormatPr baseColWidth="10" defaultColWidth="11.42578125" defaultRowHeight="18.75" x14ac:dyDescent="0.25"/>
  <cols>
    <col min="1" max="1" width="9.28515625"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12" x14ac:dyDescent="0.25">
      <c r="B1" s="223" t="s">
        <v>39</v>
      </c>
    </row>
    <row r="2" spans="1:12" ht="19.5" thickBot="1" x14ac:dyDescent="0.3"/>
    <row r="3" spans="1:12" ht="23.25" customHeight="1" thickBot="1" x14ac:dyDescent="0.3">
      <c r="B3" s="2604" t="s">
        <v>75</v>
      </c>
      <c r="C3" s="2604"/>
      <c r="D3" s="2604"/>
      <c r="E3" s="618"/>
      <c r="F3" s="91" t="s">
        <v>265</v>
      </c>
      <c r="G3" s="618"/>
      <c r="H3" s="618"/>
      <c r="I3" s="618"/>
      <c r="J3" s="618"/>
      <c r="K3" s="618"/>
      <c r="L3" s="618"/>
    </row>
    <row r="4" spans="1:12" ht="21" customHeight="1" x14ac:dyDescent="0.25">
      <c r="A4" s="618"/>
      <c r="B4" s="2445" t="s">
        <v>234</v>
      </c>
      <c r="C4" s="2445"/>
      <c r="D4" s="49" t="s">
        <v>832</v>
      </c>
      <c r="E4" s="618"/>
      <c r="F4" s="618"/>
      <c r="G4" s="618"/>
      <c r="H4" s="618"/>
      <c r="I4" s="618"/>
      <c r="J4" s="618"/>
      <c r="K4" s="618"/>
      <c r="L4" s="618"/>
    </row>
    <row r="5" spans="1:12" ht="37.5" x14ac:dyDescent="0.25">
      <c r="A5" s="618"/>
      <c r="B5" s="2445" t="s">
        <v>79</v>
      </c>
      <c r="C5" s="2445"/>
      <c r="D5" s="49" t="s">
        <v>688</v>
      </c>
      <c r="E5" s="618"/>
      <c r="F5" s="618"/>
      <c r="G5" s="618"/>
      <c r="H5" s="618"/>
      <c r="I5" s="618"/>
      <c r="J5" s="618"/>
      <c r="K5" s="618"/>
      <c r="L5" s="618"/>
    </row>
    <row r="6" spans="1:12" x14ac:dyDescent="0.25">
      <c r="A6" s="618"/>
      <c r="B6" s="2445" t="s">
        <v>80</v>
      </c>
      <c r="C6" s="2445"/>
      <c r="D6" s="50" t="s">
        <v>1309</v>
      </c>
      <c r="E6" s="618"/>
      <c r="F6" s="618"/>
      <c r="G6" s="618"/>
      <c r="H6" s="618"/>
      <c r="I6" s="618"/>
      <c r="J6" s="618"/>
      <c r="K6" s="618"/>
      <c r="L6" s="618"/>
    </row>
    <row r="7" spans="1:12" ht="33" customHeight="1" x14ac:dyDescent="0.25">
      <c r="A7" s="618"/>
      <c r="B7" s="2446" t="s">
        <v>81</v>
      </c>
      <c r="C7" s="2446"/>
      <c r="D7" s="93" t="s">
        <v>1310</v>
      </c>
      <c r="E7" s="618"/>
      <c r="F7" s="618"/>
      <c r="G7" s="618"/>
      <c r="H7" s="618"/>
      <c r="I7" s="618"/>
      <c r="J7" s="618"/>
      <c r="K7" s="618"/>
      <c r="L7" s="618"/>
    </row>
    <row r="8" spans="1:12" x14ac:dyDescent="0.25">
      <c r="A8" s="618"/>
      <c r="B8" s="2446" t="s">
        <v>82</v>
      </c>
      <c r="C8" s="2446"/>
      <c r="D8" s="94" t="s">
        <v>1281</v>
      </c>
      <c r="E8" s="618"/>
      <c r="F8" s="618"/>
      <c r="G8" s="618"/>
      <c r="H8" s="618"/>
      <c r="I8" s="618"/>
      <c r="J8" s="618"/>
      <c r="K8" s="618"/>
      <c r="L8" s="618"/>
    </row>
    <row r="9" spans="1:12" ht="11.25" customHeight="1" x14ac:dyDescent="0.4">
      <c r="A9" s="618"/>
      <c r="B9" s="5"/>
      <c r="C9" s="5"/>
      <c r="D9" s="5"/>
      <c r="E9" s="618"/>
      <c r="F9" s="618"/>
      <c r="G9" s="618"/>
      <c r="H9" s="618"/>
      <c r="I9" s="618"/>
      <c r="J9" s="618"/>
      <c r="K9" s="618"/>
      <c r="L9" s="618"/>
    </row>
    <row r="10" spans="1:12" ht="23.25" customHeight="1" x14ac:dyDescent="0.25">
      <c r="A10" s="618"/>
      <c r="B10" s="2604" t="s">
        <v>85</v>
      </c>
      <c r="C10" s="2604"/>
      <c r="D10" s="2604"/>
      <c r="E10" s="618"/>
      <c r="F10" s="618"/>
      <c r="G10" s="618"/>
      <c r="H10" s="618"/>
      <c r="I10" s="618"/>
      <c r="J10" s="618"/>
      <c r="K10" s="618"/>
      <c r="L10" s="618"/>
    </row>
    <row r="11" spans="1:12" ht="18" customHeight="1" x14ac:dyDescent="0.25">
      <c r="A11" s="618"/>
      <c r="B11" s="2645" t="s">
        <v>86</v>
      </c>
      <c r="C11" s="2645"/>
      <c r="D11" s="619" t="s">
        <v>167</v>
      </c>
      <c r="E11" s="618"/>
      <c r="F11" s="618"/>
      <c r="G11" s="618"/>
      <c r="H11" s="618"/>
      <c r="I11" s="618"/>
      <c r="J11" s="618"/>
      <c r="K11" s="618"/>
      <c r="L11" s="618"/>
    </row>
    <row r="12" spans="1:12" ht="30" customHeight="1" x14ac:dyDescent="0.25">
      <c r="A12" s="618"/>
      <c r="B12" s="2647" t="s">
        <v>88</v>
      </c>
      <c r="C12" s="2647"/>
      <c r="D12" s="593" t="s">
        <v>1311</v>
      </c>
      <c r="E12" s="618"/>
      <c r="F12" s="618"/>
      <c r="G12" s="618"/>
      <c r="H12" s="618"/>
      <c r="I12" s="618"/>
      <c r="J12" s="618"/>
      <c r="K12" s="618"/>
      <c r="L12" s="618"/>
    </row>
    <row r="13" spans="1:12" ht="15" customHeight="1" x14ac:dyDescent="0.25">
      <c r="A13" s="618"/>
      <c r="B13" s="2642" t="s">
        <v>90</v>
      </c>
      <c r="C13" s="2642"/>
      <c r="D13" s="54" t="s">
        <v>693</v>
      </c>
      <c r="E13" s="618"/>
      <c r="F13" s="618"/>
      <c r="G13" s="618"/>
      <c r="H13" s="618"/>
      <c r="I13" s="618"/>
      <c r="J13" s="618"/>
      <c r="K13" s="618"/>
      <c r="L13" s="618"/>
    </row>
    <row r="14" spans="1:12" ht="15" customHeight="1" x14ac:dyDescent="0.25">
      <c r="A14" s="618"/>
      <c r="B14" s="2642" t="s">
        <v>91</v>
      </c>
      <c r="C14" s="2642"/>
      <c r="D14" s="54" t="s">
        <v>1312</v>
      </c>
      <c r="E14" s="618"/>
      <c r="F14" s="618"/>
      <c r="G14" s="618"/>
      <c r="H14" s="618"/>
      <c r="I14" s="618"/>
      <c r="J14" s="618"/>
      <c r="K14" s="618"/>
      <c r="L14" s="618"/>
    </row>
    <row r="15" spans="1:12" ht="201" customHeight="1" x14ac:dyDescent="0.25">
      <c r="A15" s="618"/>
      <c r="B15" s="2642" t="s">
        <v>93</v>
      </c>
      <c r="C15" s="2642"/>
      <c r="D15" s="610" t="s">
        <v>1313</v>
      </c>
      <c r="E15" s="618"/>
      <c r="F15" s="618"/>
      <c r="G15" s="618"/>
      <c r="H15" s="618"/>
      <c r="I15" s="618"/>
      <c r="J15" s="618"/>
      <c r="K15" s="618"/>
      <c r="L15" s="618"/>
    </row>
    <row r="16" spans="1:12" ht="94.5" customHeight="1" x14ac:dyDescent="0.25">
      <c r="A16" s="618"/>
      <c r="B16" s="2642" t="s">
        <v>95</v>
      </c>
      <c r="C16" s="2642"/>
      <c r="D16" s="56" t="s">
        <v>1314</v>
      </c>
      <c r="E16" s="618"/>
      <c r="F16" s="618"/>
      <c r="G16" s="618"/>
      <c r="H16" s="618"/>
      <c r="I16" s="618"/>
      <c r="J16" s="618"/>
      <c r="K16" s="618"/>
      <c r="L16" s="618"/>
    </row>
    <row r="17" spans="1:12" ht="18.75" customHeight="1" x14ac:dyDescent="0.25">
      <c r="A17" s="618"/>
      <c r="B17" s="2642" t="s">
        <v>97</v>
      </c>
      <c r="C17" s="2642"/>
      <c r="D17" s="56" t="s">
        <v>1315</v>
      </c>
      <c r="E17" s="618"/>
      <c r="F17" s="618"/>
      <c r="G17" s="618"/>
      <c r="H17" s="618"/>
      <c r="I17" s="618"/>
      <c r="J17" s="618"/>
      <c r="K17" s="618"/>
      <c r="L17" s="618"/>
    </row>
    <row r="18" spans="1:12" ht="15" customHeight="1" x14ac:dyDescent="0.25">
      <c r="A18" s="618"/>
      <c r="B18" s="2642" t="s">
        <v>99</v>
      </c>
      <c r="C18" s="2642"/>
      <c r="D18" s="619" t="s">
        <v>1316</v>
      </c>
      <c r="E18" s="618"/>
      <c r="F18" s="618"/>
      <c r="G18" s="618"/>
      <c r="H18" s="618"/>
      <c r="I18" s="618"/>
      <c r="J18" s="618"/>
      <c r="K18" s="618"/>
      <c r="L18" s="618"/>
    </row>
    <row r="19" spans="1:12" ht="49.5" customHeight="1" x14ac:dyDescent="0.25">
      <c r="A19" s="618"/>
      <c r="B19" s="2642" t="s">
        <v>100</v>
      </c>
      <c r="C19" s="2642"/>
      <c r="D19" s="56" t="s">
        <v>1317</v>
      </c>
      <c r="E19" s="618"/>
      <c r="F19" s="618"/>
      <c r="G19" s="618"/>
      <c r="H19" s="618"/>
      <c r="I19" s="618"/>
      <c r="J19" s="618"/>
      <c r="K19" s="618"/>
      <c r="L19" s="618"/>
    </row>
    <row r="20" spans="1:12" ht="15" customHeight="1" x14ac:dyDescent="0.25">
      <c r="A20" s="618"/>
      <c r="B20" s="2642" t="s">
        <v>102</v>
      </c>
      <c r="C20" s="2642"/>
      <c r="D20" s="56" t="s">
        <v>140</v>
      </c>
      <c r="E20" s="618"/>
      <c r="F20" s="618"/>
      <c r="G20" s="618"/>
      <c r="H20" s="618"/>
      <c r="I20" s="618"/>
      <c r="J20" s="618"/>
      <c r="K20" s="618"/>
      <c r="L20" s="618"/>
    </row>
    <row r="21" spans="1:12" ht="15" customHeight="1" x14ac:dyDescent="0.25">
      <c r="A21" s="618"/>
      <c r="B21" s="2644" t="s">
        <v>104</v>
      </c>
      <c r="C21" s="595" t="s">
        <v>105</v>
      </c>
      <c r="D21" s="619" t="s">
        <v>140</v>
      </c>
      <c r="E21" s="618"/>
      <c r="F21" s="618"/>
      <c r="G21" s="618"/>
      <c r="H21" s="618"/>
      <c r="I21" s="618"/>
      <c r="J21" s="618"/>
      <c r="K21" s="618"/>
      <c r="L21" s="618"/>
    </row>
    <row r="22" spans="1:12" ht="15" customHeight="1" x14ac:dyDescent="0.25">
      <c r="A22" s="618"/>
      <c r="B22" s="2644"/>
      <c r="C22" s="596" t="s">
        <v>107</v>
      </c>
      <c r="D22" s="56" t="s">
        <v>1318</v>
      </c>
      <c r="E22" s="618"/>
      <c r="F22" s="618"/>
      <c r="G22" s="618"/>
      <c r="H22" s="618"/>
      <c r="I22" s="618"/>
      <c r="J22" s="618"/>
      <c r="K22" s="618"/>
      <c r="L22" s="618"/>
    </row>
    <row r="23" spans="1:12" ht="30" customHeight="1" x14ac:dyDescent="0.25">
      <c r="A23" s="618"/>
      <c r="B23" s="2645" t="s">
        <v>109</v>
      </c>
      <c r="C23" s="2645"/>
      <c r="D23" s="56" t="s">
        <v>143</v>
      </c>
      <c r="E23" s="618"/>
      <c r="F23" s="618"/>
      <c r="G23" s="618"/>
      <c r="H23" s="618"/>
      <c r="I23" s="618"/>
      <c r="J23" s="618"/>
      <c r="K23" s="618"/>
      <c r="L23" s="618"/>
    </row>
    <row r="24" spans="1:12" ht="15" customHeight="1" x14ac:dyDescent="0.25">
      <c r="A24" s="618"/>
      <c r="B24" s="2645" t="s">
        <v>111</v>
      </c>
      <c r="C24" s="2645"/>
      <c r="D24" s="59" t="s">
        <v>1319</v>
      </c>
      <c r="E24" s="618"/>
      <c r="F24" s="618"/>
      <c r="G24" s="618"/>
      <c r="H24" s="618"/>
      <c r="I24" s="618"/>
      <c r="J24" s="618"/>
      <c r="K24" s="618"/>
      <c r="L24" s="618"/>
    </row>
    <row r="25" spans="1:12" ht="15" customHeight="1" x14ac:dyDescent="0.25">
      <c r="A25" s="618"/>
      <c r="B25" s="2642" t="s">
        <v>113</v>
      </c>
      <c r="C25" s="2642"/>
      <c r="D25" s="56" t="s">
        <v>1320</v>
      </c>
      <c r="E25" s="618"/>
      <c r="F25" s="618"/>
      <c r="G25" s="618"/>
      <c r="H25" s="618"/>
      <c r="I25" s="618"/>
      <c r="J25" s="618"/>
      <c r="K25" s="618"/>
      <c r="L25" s="618"/>
    </row>
    <row r="26" spans="1:12" ht="15" customHeight="1" x14ac:dyDescent="0.25">
      <c r="A26" s="618"/>
      <c r="B26" s="2643" t="s">
        <v>115</v>
      </c>
      <c r="C26" s="2643"/>
      <c r="D26" s="56" t="s">
        <v>1321</v>
      </c>
      <c r="E26" s="618"/>
      <c r="F26" s="618"/>
      <c r="G26" s="618"/>
      <c r="H26" s="618"/>
      <c r="I26" s="618"/>
      <c r="J26" s="618"/>
      <c r="K26" s="618"/>
      <c r="L26" s="618"/>
    </row>
    <row r="27" spans="1:12" ht="15" customHeight="1" x14ac:dyDescent="0.25">
      <c r="A27" s="618"/>
      <c r="B27" s="2646" t="s">
        <v>117</v>
      </c>
      <c r="C27" s="2646"/>
      <c r="D27" s="619" t="s">
        <v>1322</v>
      </c>
      <c r="E27" s="618"/>
      <c r="F27" s="618"/>
      <c r="G27" s="618"/>
      <c r="H27" s="618"/>
      <c r="I27" s="618"/>
      <c r="J27" s="618"/>
      <c r="K27" s="618"/>
      <c r="L27" s="618"/>
    </row>
    <row r="28" spans="1:12" ht="15" customHeight="1" x14ac:dyDescent="0.25">
      <c r="A28" s="618"/>
      <c r="B28" s="597" t="s">
        <v>118</v>
      </c>
      <c r="C28" s="598"/>
      <c r="D28" s="56" t="s">
        <v>1323</v>
      </c>
      <c r="E28" s="618"/>
      <c r="F28" s="618"/>
      <c r="G28" s="618"/>
      <c r="H28" s="618"/>
      <c r="I28" s="618"/>
      <c r="J28" s="618"/>
      <c r="K28" s="618"/>
      <c r="L28" s="618"/>
    </row>
    <row r="29" spans="1:12" ht="15" customHeight="1" x14ac:dyDescent="0.4">
      <c r="A29" s="618"/>
      <c r="B29" s="2641" t="s">
        <v>120</v>
      </c>
      <c r="C29" s="2641"/>
      <c r="D29" s="263" t="s">
        <v>1324</v>
      </c>
      <c r="E29" s="618"/>
      <c r="F29" s="618"/>
      <c r="G29" s="618"/>
      <c r="H29" s="618"/>
      <c r="I29" s="618"/>
      <c r="J29" s="618"/>
      <c r="K29" s="618"/>
      <c r="L29" s="618"/>
    </row>
    <row r="30" spans="1:12" x14ac:dyDescent="0.25">
      <c r="B30" s="63"/>
      <c r="C30" s="63"/>
      <c r="D30" s="64"/>
    </row>
    <row r="31" spans="1:12" ht="23.25" customHeight="1" x14ac:dyDescent="0.25">
      <c r="B31" s="2639" t="s">
        <v>121</v>
      </c>
      <c r="C31" s="2639"/>
      <c r="D31" s="2639"/>
    </row>
    <row r="32" spans="1:12" ht="19.5" customHeight="1" x14ac:dyDescent="0.25">
      <c r="B32" s="2640" t="s">
        <v>122</v>
      </c>
      <c r="C32" s="2640"/>
      <c r="D32" s="59" t="s">
        <v>1264</v>
      </c>
    </row>
    <row r="33" spans="2:11" x14ac:dyDescent="0.25">
      <c r="B33" s="2640" t="s">
        <v>124</v>
      </c>
      <c r="C33" s="2640"/>
      <c r="D33" s="59" t="s">
        <v>1265</v>
      </c>
    </row>
    <row r="34" spans="2:11" x14ac:dyDescent="0.25">
      <c r="B34" s="2640" t="s">
        <v>126</v>
      </c>
      <c r="C34" s="2640"/>
      <c r="D34" s="59" t="s">
        <v>185</v>
      </c>
    </row>
    <row r="35" spans="2:11" x14ac:dyDescent="0.25">
      <c r="B35" s="2640" t="s">
        <v>128</v>
      </c>
      <c r="C35" s="2640"/>
      <c r="D35" s="59" t="s">
        <v>1295</v>
      </c>
    </row>
    <row r="36" spans="2:11" x14ac:dyDescent="0.25">
      <c r="B36" s="2640" t="s">
        <v>130</v>
      </c>
      <c r="C36" s="2640"/>
      <c r="D36" s="600" t="s">
        <v>1325</v>
      </c>
    </row>
    <row r="37" spans="2:11" ht="12.75" customHeight="1" x14ac:dyDescent="0.25">
      <c r="G37" s="620"/>
      <c r="H37" s="620"/>
      <c r="I37" s="620"/>
      <c r="J37" s="620"/>
      <c r="K37" s="620"/>
    </row>
    <row r="38" spans="2:11" ht="12.75" customHeight="1" x14ac:dyDescent="0.25">
      <c r="G38" s="620"/>
      <c r="H38" s="620"/>
      <c r="I38" s="620"/>
      <c r="J38" s="620"/>
      <c r="K38" s="620"/>
    </row>
    <row r="39" spans="2:11" x14ac:dyDescent="0.25">
      <c r="G39" s="620"/>
      <c r="H39" s="621"/>
      <c r="I39" s="621"/>
      <c r="J39" s="621"/>
      <c r="K39" s="621"/>
    </row>
    <row r="40" spans="2:11" x14ac:dyDescent="0.25">
      <c r="G40" s="622"/>
      <c r="H40" s="623"/>
      <c r="I40" s="623"/>
      <c r="J40" s="623"/>
      <c r="K40" s="224"/>
    </row>
    <row r="41" spans="2:11" x14ac:dyDescent="0.25">
      <c r="G41" s="399"/>
      <c r="H41" s="623"/>
      <c r="I41" s="623"/>
      <c r="J41" s="623"/>
      <c r="K41" s="224"/>
    </row>
    <row r="42" spans="2:11" x14ac:dyDescent="0.25">
      <c r="G42" s="399"/>
      <c r="H42" s="623"/>
      <c r="I42" s="623"/>
      <c r="J42" s="623"/>
      <c r="K42" s="224"/>
    </row>
    <row r="43" spans="2:11" x14ac:dyDescent="0.25">
      <c r="G43" s="399"/>
      <c r="H43" s="623"/>
      <c r="I43" s="623"/>
      <c r="J43" s="623"/>
      <c r="K43" s="224"/>
    </row>
    <row r="44" spans="2:11" x14ac:dyDescent="0.25">
      <c r="G44" s="622"/>
      <c r="H44" s="623"/>
      <c r="I44" s="623"/>
      <c r="J44" s="623"/>
      <c r="K44" s="224"/>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FE2CDA47-AD4B-4381-BD2A-71AF9A772B82}">
      <formula1>0</formula1>
      <formula2>0</formula2>
    </dataValidation>
    <dataValidation type="list" allowBlank="1" showInputMessage="1" showErrorMessage="1" sqref="D14" xr:uid="{4613ECA9-EF14-4239-9AAE-C627A6949777}">
      <formula1>Tipo_indicador</formula1>
      <formula2>0</formula2>
    </dataValidation>
    <dataValidation type="list" allowBlank="1" showInputMessage="1" showErrorMessage="1" sqref="D25:D26" xr:uid="{C3CA7D4A-5B46-4F46-8E5F-526F2E049E3D}">
      <formula1>Tipo_operación</formula1>
      <formula2>0</formula2>
    </dataValidation>
    <dataValidation type="list" allowBlank="1" showInputMessage="1" showErrorMessage="1" sqref="D4" xr:uid="{B58DEB4A-EE91-4F4A-A302-4942BAD9FA82}">
      <formula1>ODS</formula1>
    </dataValidation>
    <dataValidation type="list" allowBlank="1" showInputMessage="1" showErrorMessage="1" sqref="D5" xr:uid="{7A6D8706-AC8B-4FE3-AC17-A6E4D464C182}">
      <formula1>Metas_ODS</formula1>
    </dataValidation>
    <dataValidation type="list" allowBlank="1" showInputMessage="1" showErrorMessage="1" sqref="D6" xr:uid="{E086F0EC-3982-4CE2-8323-4A41AAC39B57}">
      <formula1>Numero_indicador</formula1>
    </dataValidation>
    <dataValidation type="list" allowBlank="1" showInputMessage="1" showErrorMessage="1" sqref="D7" xr:uid="{51E216A1-52AF-4782-9F59-FD27997BE285}">
      <formula1>Nombre_indicador_ODS</formula1>
    </dataValidation>
  </dataValidations>
  <hyperlinks>
    <hyperlink ref="B1" location="'3.5.2.b '!A1" display="REGRESAR" xr:uid="{76F69ADC-D809-4FB3-8E6C-47ED5B4EB8A5}"/>
    <hyperlink ref="D8" r:id="rId1" xr:uid="{68B85474-5C8B-4B77-A6CD-6FFE6A9F5E65}"/>
    <hyperlink ref="D36" r:id="rId2" xr:uid="{8D0EBD88-4B6E-4ACC-83D2-4780C1830CF7}"/>
  </hyperlinks>
  <pageMargins left="0.7" right="0.7" top="0.75" bottom="0.75" header="0.3" footer="0.3"/>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EE60-A502-4CE0-8831-6743634755F5}">
  <dimension ref="A1:AL139"/>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5.42578125" style="22" customWidth="1"/>
    <col min="3" max="3" width="9.42578125" style="22" customWidth="1"/>
    <col min="4" max="4" width="16.140625" style="22" customWidth="1"/>
    <col min="5" max="6" width="5.28515625" style="22" customWidth="1"/>
    <col min="7" max="7" width="7.42578125" style="22" customWidth="1"/>
    <col min="8" max="8" width="7.7109375" style="22" customWidth="1"/>
    <col min="9" max="9" width="7.28515625" style="22" customWidth="1"/>
    <col min="10" max="10" width="6.28515625" style="22" customWidth="1"/>
    <col min="11" max="11" width="5.5703125" style="22" customWidth="1"/>
    <col min="12" max="12" width="7" style="22" customWidth="1"/>
    <col min="13" max="13" width="6.28515625" style="22" customWidth="1"/>
    <col min="14" max="14" width="7.5703125" style="22" customWidth="1"/>
    <col min="15" max="15" width="7" style="22" customWidth="1"/>
    <col min="16" max="16" width="7.42578125" style="22" customWidth="1"/>
    <col min="17" max="17" width="7.7109375" style="22" customWidth="1"/>
    <col min="18" max="18" width="7" style="22" customWidth="1"/>
    <col min="19" max="19" width="7.7109375" style="22" customWidth="1"/>
    <col min="20" max="20" width="9.7109375" style="22" customWidth="1"/>
    <col min="21" max="21" width="1.28515625" style="22" customWidth="1"/>
    <col min="22" max="22" width="9" style="22" customWidth="1"/>
    <col min="23" max="23" width="7.7109375" style="22" customWidth="1"/>
    <col min="24" max="24" width="9.5703125" style="22" customWidth="1"/>
    <col min="25" max="25" width="9.28515625" style="22" customWidth="1"/>
    <col min="26" max="27" width="10.7109375" style="22" customWidth="1"/>
    <col min="28" max="28" width="9.28515625" style="22" customWidth="1"/>
    <col min="29" max="29" width="1.42578125" style="22" customWidth="1"/>
    <col min="30" max="31" width="9.7109375" style="22" customWidth="1"/>
    <col min="32" max="32" width="1.28515625" style="22" customWidth="1"/>
    <col min="33" max="33" width="10" style="22" customWidth="1"/>
    <col min="34" max="34" width="8.28515625" style="22" customWidth="1"/>
    <col min="35" max="35" width="10.5703125" style="22" customWidth="1"/>
    <col min="36" max="36" width="10.42578125" style="22" customWidth="1"/>
    <col min="37" max="37" width="20.28515625" style="22" customWidth="1"/>
    <col min="38" max="38" width="17.5703125" style="22" customWidth="1"/>
    <col min="39" max="16384" width="11.42578125" style="22"/>
  </cols>
  <sheetData>
    <row r="1" spans="1:38" s="16" customFormat="1" ht="19.5" x14ac:dyDescent="0.4">
      <c r="A1" s="15" t="s">
        <v>39</v>
      </c>
      <c r="C1" s="2421" t="s">
        <v>149</v>
      </c>
      <c r="D1" s="2421"/>
    </row>
    <row r="2" spans="1:38" s="16" customFormat="1" ht="19.5" x14ac:dyDescent="0.4"/>
    <row r="3" spans="1:38" s="16" customFormat="1" ht="18.600000000000001"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c r="T3" s="2574"/>
      <c r="U3" s="2574"/>
      <c r="V3" s="2574"/>
      <c r="W3" s="2574"/>
      <c r="X3" s="2574"/>
      <c r="Y3" s="2574"/>
    </row>
    <row r="4" spans="1:38" s="16" customFormat="1" ht="18.600000000000001" customHeight="1" x14ac:dyDescent="0.4">
      <c r="A4" s="2574" t="s">
        <v>42</v>
      </c>
      <c r="B4" s="2574"/>
      <c r="C4" s="2574" t="s">
        <v>695</v>
      </c>
      <c r="D4" s="2574"/>
      <c r="E4" s="2574"/>
      <c r="F4" s="2574"/>
      <c r="G4" s="2574"/>
      <c r="H4" s="2574"/>
      <c r="I4" s="2574"/>
      <c r="J4" s="2574"/>
      <c r="K4" s="2574"/>
      <c r="L4" s="2574"/>
      <c r="M4" s="2574"/>
      <c r="N4" s="2574"/>
      <c r="O4" s="2574"/>
      <c r="P4" s="2574"/>
      <c r="Q4" s="2574"/>
      <c r="R4" s="2574"/>
      <c r="S4" s="2574"/>
      <c r="T4" s="2574"/>
      <c r="U4" s="2574"/>
      <c r="V4" s="2574"/>
      <c r="W4" s="2574"/>
      <c r="X4" s="2574"/>
      <c r="Y4" s="2574"/>
    </row>
    <row r="5" spans="1:38" s="16" customFormat="1" ht="18.600000000000001" customHeight="1" x14ac:dyDescent="0.4">
      <c r="A5" s="2574" t="s">
        <v>43</v>
      </c>
      <c r="B5" s="2574"/>
      <c r="C5" s="2574" t="s">
        <v>697</v>
      </c>
      <c r="D5" s="2574"/>
      <c r="E5" s="2574"/>
      <c r="F5" s="2574"/>
      <c r="G5" s="2574"/>
      <c r="H5" s="2574"/>
      <c r="I5" s="2574"/>
      <c r="J5" s="2574"/>
      <c r="K5" s="2574"/>
      <c r="L5" s="2574"/>
      <c r="M5" s="2574"/>
      <c r="N5" s="2574"/>
      <c r="O5" s="2574"/>
      <c r="P5" s="2574"/>
      <c r="Q5" s="2574"/>
      <c r="R5" s="2574"/>
      <c r="S5" s="2574"/>
      <c r="T5" s="2574"/>
      <c r="U5" s="2574"/>
      <c r="V5" s="2574"/>
      <c r="W5" s="2574"/>
      <c r="X5" s="2574"/>
      <c r="Y5" s="2574"/>
    </row>
    <row r="6" spans="1:38" s="16" customFormat="1" ht="40.15" customHeight="1" x14ac:dyDescent="0.4">
      <c r="A6" s="2574" t="s">
        <v>132</v>
      </c>
      <c r="B6" s="2575"/>
      <c r="C6" s="2574" t="s">
        <v>1326</v>
      </c>
      <c r="D6" s="2574"/>
      <c r="E6" s="2574"/>
      <c r="F6" s="2574"/>
      <c r="G6" s="2574"/>
      <c r="H6" s="2574"/>
      <c r="I6" s="2574"/>
      <c r="J6" s="2574"/>
      <c r="K6" s="2574"/>
      <c r="L6" s="2574"/>
      <c r="M6" s="2574"/>
      <c r="N6" s="2574"/>
      <c r="O6" s="2574"/>
      <c r="P6" s="2574"/>
      <c r="Q6" s="2574"/>
      <c r="R6" s="2574"/>
      <c r="S6" s="2574"/>
      <c r="T6" s="2574"/>
      <c r="U6" s="2574"/>
      <c r="V6" s="2574"/>
      <c r="W6" s="2574"/>
      <c r="X6" s="2574"/>
      <c r="Y6" s="2574"/>
    </row>
    <row r="7" spans="1:38" s="16" customFormat="1" ht="19.5" x14ac:dyDescent="0.4">
      <c r="C7" s="131"/>
      <c r="D7" s="131"/>
      <c r="E7" s="43"/>
    </row>
    <row r="8" spans="1:38" s="16" customFormat="1" ht="19.5" x14ac:dyDescent="0.4"/>
    <row r="9" spans="1:38" s="16" customFormat="1" ht="17.45" customHeight="1" x14ac:dyDescent="0.4">
      <c r="C9" s="138" t="s">
        <v>1327</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38" ht="15" customHeight="1" x14ac:dyDescent="0.25">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row>
    <row r="11" spans="1:38" ht="15" customHeight="1" x14ac:dyDescent="0.25">
      <c r="C11" s="2576" t="s">
        <v>247</v>
      </c>
      <c r="D11" s="2578" t="s">
        <v>47</v>
      </c>
      <c r="E11" s="2581" t="s">
        <v>737</v>
      </c>
      <c r="F11" s="2581"/>
      <c r="G11" s="2581"/>
      <c r="H11" s="2581"/>
      <c r="I11" s="2581"/>
      <c r="J11" s="2581"/>
      <c r="K11" s="2581"/>
      <c r="L11" s="2581"/>
      <c r="M11" s="2581"/>
      <c r="N11" s="2581"/>
      <c r="O11" s="2581"/>
      <c r="P11" s="2581"/>
      <c r="Q11" s="2581"/>
      <c r="R11" s="2581"/>
      <c r="S11" s="2581"/>
      <c r="T11" s="2581"/>
      <c r="U11" s="408"/>
      <c r="V11" s="2581" t="s">
        <v>8179</v>
      </c>
      <c r="W11" s="2581"/>
      <c r="X11" s="2581"/>
      <c r="Y11" s="2581"/>
      <c r="Z11" s="2581"/>
      <c r="AA11" s="2581"/>
      <c r="AB11" s="2581"/>
      <c r="AC11" s="408"/>
      <c r="AD11" s="2581" t="s">
        <v>48</v>
      </c>
      <c r="AE11" s="2581"/>
      <c r="AF11" s="408"/>
      <c r="AG11" s="2581" t="s">
        <v>1328</v>
      </c>
      <c r="AH11" s="2581"/>
      <c r="AI11" s="2581"/>
      <c r="AJ11" s="2581"/>
      <c r="AK11" s="2581"/>
      <c r="AL11" s="2581"/>
    </row>
    <row r="12" spans="1:38" ht="36" customHeight="1" x14ac:dyDescent="0.25">
      <c r="C12" s="2577"/>
      <c r="D12" s="2579"/>
      <c r="E12" s="412" t="s">
        <v>1329</v>
      </c>
      <c r="F12" s="624" t="s">
        <v>1330</v>
      </c>
      <c r="G12" s="412" t="s">
        <v>1331</v>
      </c>
      <c r="H12" s="412" t="s">
        <v>858</v>
      </c>
      <c r="I12" s="412" t="s">
        <v>859</v>
      </c>
      <c r="J12" s="412" t="s">
        <v>860</v>
      </c>
      <c r="K12" s="412" t="s">
        <v>861</v>
      </c>
      <c r="L12" s="412" t="s">
        <v>862</v>
      </c>
      <c r="M12" s="412" t="s">
        <v>1203</v>
      </c>
      <c r="N12" s="412" t="s">
        <v>1204</v>
      </c>
      <c r="O12" s="412" t="s">
        <v>1205</v>
      </c>
      <c r="P12" s="412" t="s">
        <v>1206</v>
      </c>
      <c r="Q12" s="412" t="s">
        <v>1207</v>
      </c>
      <c r="R12" s="412" t="s">
        <v>1208</v>
      </c>
      <c r="S12" s="412" t="s">
        <v>1223</v>
      </c>
      <c r="T12" s="412" t="s">
        <v>1224</v>
      </c>
      <c r="U12" s="412"/>
      <c r="V12" s="412" t="s">
        <v>328</v>
      </c>
      <c r="W12" s="412" t="s">
        <v>329</v>
      </c>
      <c r="X12" s="412" t="s">
        <v>330</v>
      </c>
      <c r="Y12" s="412" t="s">
        <v>331</v>
      </c>
      <c r="Z12" s="412" t="s">
        <v>332</v>
      </c>
      <c r="AA12" s="412" t="s">
        <v>533</v>
      </c>
      <c r="AB12" s="412" t="s">
        <v>334</v>
      </c>
      <c r="AC12" s="412"/>
      <c r="AD12" s="412" t="s">
        <v>894</v>
      </c>
      <c r="AE12" s="412" t="s">
        <v>895</v>
      </c>
      <c r="AF12" s="412"/>
      <c r="AG12" s="412" t="s">
        <v>1332</v>
      </c>
      <c r="AH12" s="412" t="s">
        <v>1333</v>
      </c>
      <c r="AI12" s="412" t="s">
        <v>1334</v>
      </c>
      <c r="AJ12" s="412" t="s">
        <v>1335</v>
      </c>
      <c r="AK12" s="412" t="s">
        <v>1336</v>
      </c>
      <c r="AL12" s="412" t="s">
        <v>1337</v>
      </c>
    </row>
    <row r="13" spans="1:38" ht="18.75" x14ac:dyDescent="0.4">
      <c r="C13" s="2378">
        <v>2010</v>
      </c>
      <c r="D13" s="413">
        <v>13.37149555669531</v>
      </c>
      <c r="E13" s="413">
        <v>2.8942194745483967</v>
      </c>
      <c r="F13" s="413">
        <v>1.2996128219266263</v>
      </c>
      <c r="G13" s="413">
        <v>2.4143244760803246</v>
      </c>
      <c r="H13" s="413">
        <v>10.807489732199766</v>
      </c>
      <c r="I13" s="413">
        <v>19.890406565031235</v>
      </c>
      <c r="J13" s="413">
        <v>19.059234954426373</v>
      </c>
      <c r="K13" s="413">
        <v>17.461265691494365</v>
      </c>
      <c r="L13" s="413">
        <v>18.355192397892534</v>
      </c>
      <c r="M13" s="413">
        <v>14.627516311607364</v>
      </c>
      <c r="N13" s="413">
        <v>16.674243751167712</v>
      </c>
      <c r="O13" s="413">
        <v>15.992612858053166</v>
      </c>
      <c r="P13" s="413">
        <v>14.467822019702094</v>
      </c>
      <c r="Q13" s="413">
        <v>18.863794517226442</v>
      </c>
      <c r="R13" s="413">
        <v>17.549935772782874</v>
      </c>
      <c r="S13" s="413">
        <v>31.843206184246384</v>
      </c>
      <c r="T13" s="413">
        <v>23.826065721287915</v>
      </c>
      <c r="U13" s="413"/>
      <c r="V13" s="2603" t="s">
        <v>8178</v>
      </c>
      <c r="W13" s="2603"/>
      <c r="X13" s="2603"/>
      <c r="Y13" s="2603"/>
      <c r="Z13" s="2603"/>
      <c r="AA13" s="2603"/>
      <c r="AB13" s="2603"/>
      <c r="AC13" s="413"/>
      <c r="AD13" s="413">
        <v>22.845915674611945</v>
      </c>
      <c r="AE13" s="413">
        <v>3.8122078507032038</v>
      </c>
      <c r="AF13" s="413"/>
      <c r="AG13" s="413">
        <v>2.780211947431698</v>
      </c>
      <c r="AH13" s="413">
        <v>0.33097761278948784</v>
      </c>
      <c r="AI13" s="413">
        <v>1.390105973715849</v>
      </c>
      <c r="AJ13" s="413">
        <v>0.11032587092982928</v>
      </c>
      <c r="AK13" s="625">
        <v>0</v>
      </c>
      <c r="AL13" s="413">
        <v>8.7598741518284449</v>
      </c>
    </row>
    <row r="14" spans="1:38" ht="18.75" x14ac:dyDescent="0.4">
      <c r="C14" s="2382">
        <v>2011</v>
      </c>
      <c r="D14" s="413">
        <v>12.885401349429875</v>
      </c>
      <c r="E14" s="413">
        <v>4.7055330802449173</v>
      </c>
      <c r="F14" s="413">
        <v>1.5856627245780617</v>
      </c>
      <c r="G14" s="413">
        <v>2.6695718502594308</v>
      </c>
      <c r="H14" s="413">
        <v>10.190979910519854</v>
      </c>
      <c r="I14" s="413">
        <v>13.865539598794472</v>
      </c>
      <c r="J14" s="413">
        <v>17.196920566317079</v>
      </c>
      <c r="K14" s="413">
        <v>18.391697104569879</v>
      </c>
      <c r="L14" s="413">
        <v>15.205739126060308</v>
      </c>
      <c r="M14" s="413">
        <v>18.460946968839412</v>
      </c>
      <c r="N14" s="413">
        <v>18.90510225200719</v>
      </c>
      <c r="O14" s="413">
        <v>20.150511698634162</v>
      </c>
      <c r="P14" s="413">
        <v>17.287379490922909</v>
      </c>
      <c r="Q14" s="413">
        <v>17.220582411145205</v>
      </c>
      <c r="R14" s="413">
        <v>14.917122880427227</v>
      </c>
      <c r="S14" s="413">
        <v>11.13214362701491</v>
      </c>
      <c r="T14" s="413">
        <v>22.100157170413944</v>
      </c>
      <c r="U14" s="413"/>
      <c r="V14" s="2572"/>
      <c r="W14" s="2572"/>
      <c r="X14" s="2572"/>
      <c r="Y14" s="2572"/>
      <c r="Z14" s="2572"/>
      <c r="AA14" s="2572"/>
      <c r="AB14" s="2572"/>
      <c r="AC14" s="413"/>
      <c r="AD14" s="413">
        <v>20.504433498728417</v>
      </c>
      <c r="AE14" s="413">
        <v>5.2021211435124304</v>
      </c>
      <c r="AF14" s="413"/>
      <c r="AG14" s="413">
        <v>1.4800798847318102</v>
      </c>
      <c r="AH14" s="413">
        <v>4.3531761315641473E-2</v>
      </c>
      <c r="AI14" s="413">
        <v>0.32648820986731103</v>
      </c>
      <c r="AJ14" s="413">
        <v>2.1765880657820737E-2</v>
      </c>
      <c r="AK14" s="625">
        <v>0</v>
      </c>
      <c r="AL14" s="413">
        <v>11.013535612857293</v>
      </c>
    </row>
    <row r="15" spans="1:38" ht="18.75" x14ac:dyDescent="0.4">
      <c r="C15" s="2378">
        <v>2012</v>
      </c>
      <c r="D15" s="413">
        <v>14.35174997775624</v>
      </c>
      <c r="E15" s="413">
        <v>2.096529803591126</v>
      </c>
      <c r="F15" s="413">
        <v>2.6341770208493371</v>
      </c>
      <c r="G15" s="413">
        <v>2.4837098148805947</v>
      </c>
      <c r="H15" s="413">
        <v>13.71060588567773</v>
      </c>
      <c r="I15" s="413">
        <v>19.386622484241219</v>
      </c>
      <c r="J15" s="413">
        <v>18.402804098373295</v>
      </c>
      <c r="K15" s="413">
        <v>20.774514343859366</v>
      </c>
      <c r="L15" s="413">
        <v>18.818250473442092</v>
      </c>
      <c r="M15" s="413">
        <v>18.945831146499852</v>
      </c>
      <c r="N15" s="413">
        <v>16.872951337081989</v>
      </c>
      <c r="O15" s="413">
        <v>15.223507126206069</v>
      </c>
      <c r="P15" s="413">
        <v>19.378355453796502</v>
      </c>
      <c r="Q15" s="413">
        <v>17.659488170226915</v>
      </c>
      <c r="R15" s="413">
        <v>17.683040005626449</v>
      </c>
      <c r="S15" s="413">
        <v>21.628125670039324</v>
      </c>
      <c r="T15" s="413">
        <v>27.051098113744978</v>
      </c>
      <c r="U15" s="413"/>
      <c r="V15" s="2572"/>
      <c r="W15" s="2572"/>
      <c r="X15" s="2572"/>
      <c r="Y15" s="2572"/>
      <c r="Z15" s="2572"/>
      <c r="AA15" s="2572"/>
      <c r="AB15" s="2572"/>
      <c r="AC15" s="413"/>
      <c r="AD15" s="413">
        <v>23.15463246224073</v>
      </c>
      <c r="AE15" s="413">
        <v>5.478815828543917</v>
      </c>
      <c r="AF15" s="413"/>
      <c r="AG15" s="413">
        <v>1.7617417637365445</v>
      </c>
      <c r="AH15" s="413">
        <v>0.15039258958726598</v>
      </c>
      <c r="AI15" s="413">
        <v>0.4726624244171217</v>
      </c>
      <c r="AJ15" s="413">
        <v>8.5938622621294841E-2</v>
      </c>
      <c r="AK15" s="625">
        <v>0</v>
      </c>
      <c r="AL15" s="413">
        <v>11.881014577394012</v>
      </c>
    </row>
    <row r="16" spans="1:38" ht="18.75" x14ac:dyDescent="0.4">
      <c r="A16" s="23"/>
      <c r="C16" s="2378">
        <v>2013</v>
      </c>
      <c r="D16" s="413">
        <v>13.68528450783529</v>
      </c>
      <c r="E16" s="413">
        <v>1.8465805652855711</v>
      </c>
      <c r="F16" s="413">
        <v>0.78748811315675127</v>
      </c>
      <c r="G16" s="413">
        <v>2.0117482435843055</v>
      </c>
      <c r="H16" s="413">
        <v>9.8941217288055068</v>
      </c>
      <c r="I16" s="413">
        <v>18.410356197804557</v>
      </c>
      <c r="J16" s="413">
        <v>15.492717414845604</v>
      </c>
      <c r="K16" s="413">
        <v>18.903075656076368</v>
      </c>
      <c r="L16" s="413">
        <v>17.297577157956145</v>
      </c>
      <c r="M16" s="413">
        <v>17.276815865466276</v>
      </c>
      <c r="N16" s="413">
        <v>17.06978187374526</v>
      </c>
      <c r="O16" s="413">
        <v>16.215448584390181</v>
      </c>
      <c r="P16" s="413">
        <v>26.531802141257188</v>
      </c>
      <c r="Q16" s="413">
        <v>17.979988296673962</v>
      </c>
      <c r="R16" s="413">
        <v>22.85697292562859</v>
      </c>
      <c r="S16" s="413">
        <v>27.819150892793697</v>
      </c>
      <c r="T16" s="413">
        <v>22.431239755296033</v>
      </c>
      <c r="U16" s="413"/>
      <c r="V16" s="2572"/>
      <c r="W16" s="2572"/>
      <c r="X16" s="2572"/>
      <c r="Y16" s="2572"/>
      <c r="Z16" s="2572"/>
      <c r="AA16" s="2572"/>
      <c r="AB16" s="2572"/>
      <c r="AC16" s="413"/>
      <c r="AD16" s="413">
        <v>22.407751141881942</v>
      </c>
      <c r="AE16" s="413">
        <v>4.8981219033289563</v>
      </c>
      <c r="AF16" s="413"/>
      <c r="AG16" s="413">
        <v>1.5488771613519008</v>
      </c>
      <c r="AH16" s="413">
        <v>0.1485224675268946</v>
      </c>
      <c r="AI16" s="413">
        <v>0.7426123376344731</v>
      </c>
      <c r="AJ16" s="413">
        <v>0.10608747680492471</v>
      </c>
      <c r="AK16" s="625">
        <v>2.1217495360984946E-2</v>
      </c>
      <c r="AL16" s="413">
        <v>11.117967569156111</v>
      </c>
    </row>
    <row r="17" spans="3:38" ht="18.75" x14ac:dyDescent="0.4">
      <c r="C17" s="2378">
        <v>2014</v>
      </c>
      <c r="D17" s="413">
        <v>14.019931521881968</v>
      </c>
      <c r="E17" s="413">
        <v>2.1065431279370417</v>
      </c>
      <c r="F17" s="413">
        <v>3.1541469992176818</v>
      </c>
      <c r="G17" s="413">
        <v>2.5542166883232222</v>
      </c>
      <c r="H17" s="413">
        <v>9.7401642131138821</v>
      </c>
      <c r="I17" s="413">
        <v>23.117413802060479</v>
      </c>
      <c r="J17" s="413">
        <v>19.93001070716754</v>
      </c>
      <c r="K17" s="413">
        <v>17.178489171837924</v>
      </c>
      <c r="L17" s="413">
        <v>18.813161714046558</v>
      </c>
      <c r="M17" s="413">
        <v>17.551400006909002</v>
      </c>
      <c r="N17" s="413">
        <v>16.406683750089634</v>
      </c>
      <c r="O17" s="413">
        <v>17.291858057793981</v>
      </c>
      <c r="P17" s="413">
        <v>16.929525068882675</v>
      </c>
      <c r="Q17" s="413">
        <v>10.555452136455989</v>
      </c>
      <c r="R17" s="413">
        <v>16.129620834226102</v>
      </c>
      <c r="S17" s="413">
        <v>25.589818510367952</v>
      </c>
      <c r="T17" s="413">
        <v>24.929805199678196</v>
      </c>
      <c r="U17" s="413"/>
      <c r="V17" s="2572"/>
      <c r="W17" s="2572"/>
      <c r="X17" s="2572"/>
      <c r="Y17" s="2572"/>
      <c r="Z17" s="2572"/>
      <c r="AA17" s="2572"/>
      <c r="AB17" s="2572"/>
      <c r="AC17" s="413"/>
      <c r="AD17" s="413">
        <v>23.517762639877148</v>
      </c>
      <c r="AE17" s="413">
        <v>4.4578221444445578</v>
      </c>
      <c r="AF17" s="413"/>
      <c r="AG17" s="413">
        <v>1.6765239488050185</v>
      </c>
      <c r="AH17" s="413">
        <v>4.1913098720125469E-2</v>
      </c>
      <c r="AI17" s="413">
        <v>1.026870918643074</v>
      </c>
      <c r="AJ17" s="413">
        <v>0.12573929616037641</v>
      </c>
      <c r="AK17" s="625">
        <v>0</v>
      </c>
      <c r="AL17" s="413">
        <v>11.148884259553375</v>
      </c>
    </row>
    <row r="18" spans="3:38" ht="18.75" x14ac:dyDescent="0.4">
      <c r="C18" s="2382">
        <v>2015</v>
      </c>
      <c r="D18" s="413">
        <v>16.133306927297319</v>
      </c>
      <c r="E18" s="413">
        <v>1.314155282511321</v>
      </c>
      <c r="F18" s="413">
        <v>1.0526308013336285</v>
      </c>
      <c r="G18" s="413">
        <v>1.5598085234092447</v>
      </c>
      <c r="H18" s="413">
        <v>7.4787746940989317</v>
      </c>
      <c r="I18" s="413">
        <v>26.166941789965406</v>
      </c>
      <c r="J18" s="413">
        <v>22.337610706173571</v>
      </c>
      <c r="K18" s="413">
        <v>27.324467662853852</v>
      </c>
      <c r="L18" s="413">
        <v>21.936058684055084</v>
      </c>
      <c r="M18" s="413">
        <v>18.438238383794893</v>
      </c>
      <c r="N18" s="413">
        <v>18.182225719643448</v>
      </c>
      <c r="O18" s="413">
        <v>23.746599349406345</v>
      </c>
      <c r="P18" s="413">
        <v>19.372011520198914</v>
      </c>
      <c r="Q18" s="413">
        <v>16.115339420620966</v>
      </c>
      <c r="R18" s="413">
        <v>19.924860519524305</v>
      </c>
      <c r="S18" s="413">
        <v>24.367496253594499</v>
      </c>
      <c r="T18" s="413">
        <v>25.916971917326499</v>
      </c>
      <c r="U18" s="413"/>
      <c r="V18" s="2572"/>
      <c r="W18" s="2572"/>
      <c r="X18" s="2572"/>
      <c r="Y18" s="2572"/>
      <c r="Z18" s="2572"/>
      <c r="AA18" s="2572"/>
      <c r="AB18" s="2572"/>
      <c r="AC18" s="413"/>
      <c r="AD18" s="413">
        <v>27.91885241090327</v>
      </c>
      <c r="AE18" s="413">
        <v>4.2787993559091424</v>
      </c>
      <c r="AF18" s="413"/>
      <c r="AG18" s="413">
        <v>1.6361119990455562</v>
      </c>
      <c r="AH18" s="413">
        <v>0.20710278468931093</v>
      </c>
      <c r="AI18" s="413">
        <v>1.2011961511980032</v>
      </c>
      <c r="AJ18" s="413">
        <v>0.18639250622037981</v>
      </c>
      <c r="AK18" s="625">
        <v>2.0710278468931091E-2</v>
      </c>
      <c r="AL18" s="413">
        <v>12.881793207675138</v>
      </c>
    </row>
    <row r="19" spans="3:38" ht="18.75" x14ac:dyDescent="0.4">
      <c r="C19" s="2382">
        <v>2016</v>
      </c>
      <c r="D19" s="413">
        <v>18.309455722136537</v>
      </c>
      <c r="E19" s="413">
        <v>2.391242704314597</v>
      </c>
      <c r="F19" s="413">
        <v>2.091940798284571</v>
      </c>
      <c r="G19" s="413">
        <v>0.52865726574862271</v>
      </c>
      <c r="H19" s="413">
        <v>17.702782588201821</v>
      </c>
      <c r="I19" s="413">
        <v>31.676288060912235</v>
      </c>
      <c r="J19" s="413">
        <v>28.143361191285447</v>
      </c>
      <c r="K19" s="413">
        <v>20.826514263219959</v>
      </c>
      <c r="L19" s="413">
        <v>22.679348259685813</v>
      </c>
      <c r="M19" s="413">
        <v>25.119948900218496</v>
      </c>
      <c r="N19" s="413">
        <v>19.654686022482384</v>
      </c>
      <c r="O19" s="413">
        <v>20.948873262486554</v>
      </c>
      <c r="P19" s="413">
        <v>21.428144134840281</v>
      </c>
      <c r="Q19" s="413">
        <v>22.139184726528644</v>
      </c>
      <c r="R19" s="413">
        <v>18.930357815834835</v>
      </c>
      <c r="S19" s="413">
        <v>25.329222095534735</v>
      </c>
      <c r="T19" s="413">
        <v>25.029758696754765</v>
      </c>
      <c r="U19" s="413"/>
      <c r="V19" s="2572"/>
      <c r="W19" s="2572"/>
      <c r="X19" s="2572"/>
      <c r="Y19" s="2572"/>
      <c r="Z19" s="2572"/>
      <c r="AA19" s="2572"/>
      <c r="AB19" s="2572"/>
      <c r="AC19" s="413"/>
      <c r="AD19" s="413">
        <v>30.80566742276535</v>
      </c>
      <c r="AE19" s="413">
        <v>5.7492000261934173</v>
      </c>
      <c r="AF19" s="413"/>
      <c r="AG19" s="413">
        <v>2.1299590549241607</v>
      </c>
      <c r="AH19" s="413">
        <v>0.32768600844987095</v>
      </c>
      <c r="AI19" s="413">
        <v>5.4887406415353386</v>
      </c>
      <c r="AJ19" s="413">
        <v>0.18432337975305238</v>
      </c>
      <c r="AK19" s="625">
        <v>0</v>
      </c>
      <c r="AL19" s="413">
        <v>10.178746637474116</v>
      </c>
    </row>
    <row r="20" spans="3:38" ht="18.75" x14ac:dyDescent="0.4">
      <c r="C20" s="2382">
        <v>2017</v>
      </c>
      <c r="D20" s="413">
        <v>17.938514541442593</v>
      </c>
      <c r="E20" s="413">
        <v>1.347656581998729</v>
      </c>
      <c r="F20" s="413">
        <v>2.0971604425798276</v>
      </c>
      <c r="G20" s="413">
        <v>3.1614893660629968</v>
      </c>
      <c r="H20" s="413">
        <v>13.401150334427602</v>
      </c>
      <c r="I20" s="413">
        <v>29.463542903547598</v>
      </c>
      <c r="J20" s="413">
        <v>29.838229689519125</v>
      </c>
      <c r="K20" s="413">
        <v>23.359163448807642</v>
      </c>
      <c r="L20" s="413">
        <v>19.722782844699587</v>
      </c>
      <c r="M20" s="413">
        <v>19.571468829433236</v>
      </c>
      <c r="N20" s="413">
        <v>19.112770267854899</v>
      </c>
      <c r="O20" s="413">
        <v>24.793296122341225</v>
      </c>
      <c r="P20" s="413">
        <v>17.561769076192324</v>
      </c>
      <c r="Q20" s="413">
        <v>19.581809140140976</v>
      </c>
      <c r="R20" s="413">
        <v>25.581508598295358</v>
      </c>
      <c r="S20" s="413">
        <v>25.003728440743071</v>
      </c>
      <c r="T20" s="413">
        <v>27.770326077495184</v>
      </c>
      <c r="U20" s="413"/>
      <c r="V20" s="2572"/>
      <c r="W20" s="2572"/>
      <c r="X20" s="2572"/>
      <c r="Y20" s="2572"/>
      <c r="Z20" s="2572"/>
      <c r="AA20" s="2572"/>
      <c r="AB20" s="2572"/>
      <c r="AC20" s="413"/>
      <c r="AD20" s="413">
        <v>30.538978686583697</v>
      </c>
      <c r="AE20" s="413">
        <v>5.2818291715404664</v>
      </c>
      <c r="AF20" s="413"/>
      <c r="AG20" s="413">
        <v>3.0201566855084137</v>
      </c>
      <c r="AH20" s="413">
        <v>0.8918583500830215</v>
      </c>
      <c r="AI20" s="413">
        <v>6.4659730381019056</v>
      </c>
      <c r="AJ20" s="413">
        <v>1.2972485092116677</v>
      </c>
      <c r="AK20" s="625">
        <v>6.0808523869296915E-2</v>
      </c>
      <c r="AL20" s="413">
        <v>6.2024694346682852</v>
      </c>
    </row>
    <row r="21" spans="3:38" ht="18.75" x14ac:dyDescent="0.4">
      <c r="C21" s="2382">
        <v>2018</v>
      </c>
      <c r="D21" s="413">
        <v>16.722377782261621</v>
      </c>
      <c r="E21" s="413">
        <v>1.6482435251443548</v>
      </c>
      <c r="F21" s="413">
        <v>1.3193311087498723</v>
      </c>
      <c r="G21" s="413">
        <v>2.6253323313320522</v>
      </c>
      <c r="H21" s="413">
        <v>14.823549248960834</v>
      </c>
      <c r="I21" s="413">
        <v>26.341651701182311</v>
      </c>
      <c r="J21" s="413">
        <v>25.87827105945297</v>
      </c>
      <c r="K21" s="413">
        <v>19.197719201733413</v>
      </c>
      <c r="L21" s="413">
        <v>17.344033316125916</v>
      </c>
      <c r="M21" s="413">
        <v>22.214788601168419</v>
      </c>
      <c r="N21" s="413">
        <v>24.054958523047176</v>
      </c>
      <c r="O21" s="413">
        <v>15.578147027131703</v>
      </c>
      <c r="P21" s="413">
        <v>22.363577394468127</v>
      </c>
      <c r="Q21" s="413">
        <v>20.745518708678798</v>
      </c>
      <c r="R21" s="413">
        <v>20.968665121251529</v>
      </c>
      <c r="S21" s="413">
        <v>24.889714471413512</v>
      </c>
      <c r="T21" s="413">
        <v>20.859472696799827</v>
      </c>
      <c r="U21" s="413"/>
      <c r="V21" s="2572"/>
      <c r="W21" s="2572"/>
      <c r="X21" s="2572"/>
      <c r="Y21" s="2572"/>
      <c r="Z21" s="2572"/>
      <c r="AA21" s="2572"/>
      <c r="AB21" s="2572"/>
      <c r="AC21" s="413"/>
      <c r="AD21" s="413">
        <v>28.013615784972998</v>
      </c>
      <c r="AE21" s="413">
        <v>5.3898949308798452</v>
      </c>
      <c r="AF21" s="413"/>
      <c r="AG21" s="413">
        <v>3.0513822603886753</v>
      </c>
      <c r="AH21" s="413">
        <v>0.96359439801747648</v>
      </c>
      <c r="AI21" s="413">
        <v>6.4841873033259354</v>
      </c>
      <c r="AJ21" s="413">
        <v>1.8468892628668296</v>
      </c>
      <c r="AK21" s="625">
        <v>0.14052418304421532</v>
      </c>
      <c r="AL21" s="413">
        <v>4.2358003746184902</v>
      </c>
    </row>
    <row r="22" spans="3:38" ht="18.75" x14ac:dyDescent="0.4">
      <c r="C22" s="2382">
        <v>2019</v>
      </c>
      <c r="D22" s="413">
        <v>16.072591265457039</v>
      </c>
      <c r="E22" s="413">
        <v>1.9995814701535599</v>
      </c>
      <c r="F22" s="413">
        <v>1.0535410270409724</v>
      </c>
      <c r="G22" s="413">
        <v>1.3145010636520542</v>
      </c>
      <c r="H22" s="413">
        <v>13.527247521786599</v>
      </c>
      <c r="I22" s="413">
        <v>25.859134315192687</v>
      </c>
      <c r="J22" s="413">
        <v>24.009879672435396</v>
      </c>
      <c r="K22" s="413">
        <v>21.299887332408659</v>
      </c>
      <c r="L22" s="413">
        <v>22.180460977553842</v>
      </c>
      <c r="M22" s="413">
        <v>22.327880435262283</v>
      </c>
      <c r="N22" s="413">
        <v>18.410402049860682</v>
      </c>
      <c r="O22" s="413">
        <v>14.216273865875467</v>
      </c>
      <c r="P22" s="413">
        <v>16.931509009632769</v>
      </c>
      <c r="Q22" s="413">
        <v>17.553119212467553</v>
      </c>
      <c r="R22" s="413">
        <v>24.800804360180351</v>
      </c>
      <c r="S22" s="413">
        <v>23.726267715941638</v>
      </c>
      <c r="T22" s="413">
        <v>15.591567837804261</v>
      </c>
      <c r="U22" s="413"/>
      <c r="V22" s="2572"/>
      <c r="W22" s="2572"/>
      <c r="X22" s="2572"/>
      <c r="Y22" s="2572"/>
      <c r="Z22" s="2572"/>
      <c r="AA22" s="2572"/>
      <c r="AB22" s="2572"/>
      <c r="AC22" s="413"/>
      <c r="AD22" s="413">
        <v>27.209502385424141</v>
      </c>
      <c r="AE22" s="413">
        <v>4.9059837641189992</v>
      </c>
      <c r="AF22" s="413"/>
      <c r="AG22" s="413">
        <v>3.1268857852252228</v>
      </c>
      <c r="AH22" s="413">
        <v>1.0356564384185452</v>
      </c>
      <c r="AI22" s="413">
        <v>7.1500127190818796</v>
      </c>
      <c r="AJ22" s="413">
        <v>1.812398767232454</v>
      </c>
      <c r="AK22" s="625">
        <v>7.9665879878349624E-2</v>
      </c>
      <c r="AL22" s="413">
        <v>2.8679716756205864</v>
      </c>
    </row>
    <row r="23" spans="3:38" ht="18.75" x14ac:dyDescent="0.4">
      <c r="C23" s="2382">
        <v>2020</v>
      </c>
      <c r="D23" s="413">
        <v>11.600792045031429</v>
      </c>
      <c r="E23" s="413">
        <v>1.8080532914199998</v>
      </c>
      <c r="F23" s="413">
        <v>0.78872599956882061</v>
      </c>
      <c r="G23" s="413">
        <v>2.3691485326136941</v>
      </c>
      <c r="H23" s="413">
        <v>5.4567548276490765</v>
      </c>
      <c r="I23" s="413">
        <v>19.766757162151933</v>
      </c>
      <c r="J23" s="413">
        <v>15.603336156511668</v>
      </c>
      <c r="K23" s="413">
        <v>15.134389310935136</v>
      </c>
      <c r="L23" s="413">
        <v>14.083093157199141</v>
      </c>
      <c r="M23" s="413">
        <v>12.528694515769585</v>
      </c>
      <c r="N23" s="413">
        <v>14.834105681718109</v>
      </c>
      <c r="O23" s="413">
        <v>15.681779473628382</v>
      </c>
      <c r="P23" s="413">
        <v>15.839837656546807</v>
      </c>
      <c r="Q23" s="413">
        <v>12.519575997181189</v>
      </c>
      <c r="R23" s="413">
        <v>18.851660050505686</v>
      </c>
      <c r="S23" s="413">
        <v>9.20243851869472</v>
      </c>
      <c r="T23" s="413">
        <v>16.0425030897349</v>
      </c>
      <c r="U23" s="413"/>
      <c r="V23" s="2572"/>
      <c r="W23" s="2572"/>
      <c r="X23" s="2572"/>
      <c r="Y23" s="2572"/>
      <c r="Z23" s="2572"/>
      <c r="AA23" s="2572"/>
      <c r="AB23" s="2572"/>
      <c r="AC23" s="413"/>
      <c r="AD23" s="413">
        <v>19.624714918849104</v>
      </c>
      <c r="AE23" s="413">
        <v>3.5658336347512711</v>
      </c>
      <c r="AF23" s="413"/>
      <c r="AG23" s="413">
        <v>2.4547751085049443</v>
      </c>
      <c r="AH23" s="413">
        <v>1.4451498622650074</v>
      </c>
      <c r="AI23" s="413">
        <v>4.4542290275291325</v>
      </c>
      <c r="AJ23" s="413">
        <v>1.4253532888093223</v>
      </c>
      <c r="AK23" s="625">
        <v>1.9796573455685033E-2</v>
      </c>
      <c r="AL23" s="413">
        <v>1.8014881844673383</v>
      </c>
    </row>
    <row r="24" spans="3:38" ht="18.75" x14ac:dyDescent="0.4">
      <c r="C24" s="2382">
        <v>2021</v>
      </c>
      <c r="D24" s="413">
        <v>14.317599402852844</v>
      </c>
      <c r="E24" s="413">
        <v>2.8820694367699264</v>
      </c>
      <c r="F24" s="413">
        <v>0.79729909402278343</v>
      </c>
      <c r="G24" s="413">
        <v>1.5694873707723926</v>
      </c>
      <c r="H24" s="413">
        <v>11.363231087952682</v>
      </c>
      <c r="I24" s="413">
        <v>23.999658264829822</v>
      </c>
      <c r="J24" s="413">
        <v>23.359692522716443</v>
      </c>
      <c r="K24" s="413">
        <v>16.368755551209119</v>
      </c>
      <c r="L24" s="413">
        <v>18.718769201862283</v>
      </c>
      <c r="M24" s="413">
        <v>21.410204667901223</v>
      </c>
      <c r="N24" s="413">
        <v>15.10157714979719</v>
      </c>
      <c r="O24" s="413">
        <v>15.429012058923281</v>
      </c>
      <c r="P24" s="413">
        <v>14.196725151978637</v>
      </c>
      <c r="Q24" s="413">
        <v>17.99358274766583</v>
      </c>
      <c r="R24" s="413">
        <v>16.798278298274969</v>
      </c>
      <c r="S24" s="413">
        <v>11.153548359110397</v>
      </c>
      <c r="T24" s="413">
        <v>13.453902428244165</v>
      </c>
      <c r="U24" s="413"/>
      <c r="V24" s="2572"/>
      <c r="W24" s="2572"/>
      <c r="X24" s="2572"/>
      <c r="Y24" s="2572"/>
      <c r="Z24" s="2572"/>
      <c r="AA24" s="2572"/>
      <c r="AB24" s="2572"/>
      <c r="AC24" s="413"/>
      <c r="AD24" s="413">
        <v>24.656365547995257</v>
      </c>
      <c r="AE24" s="413">
        <v>3.9783064206198628</v>
      </c>
      <c r="AF24" s="413"/>
      <c r="AG24" s="413">
        <v>2.3632901352714457</v>
      </c>
      <c r="AH24" s="413">
        <v>1.0437864764115552</v>
      </c>
      <c r="AI24" s="413">
        <v>6.4202715341540948</v>
      </c>
      <c r="AJ24" s="413">
        <v>1.6149149257688213</v>
      </c>
      <c r="AK24" s="625">
        <v>7.8776337842381527E-2</v>
      </c>
      <c r="AL24" s="413">
        <v>2.7965599934045442</v>
      </c>
    </row>
    <row r="25" spans="3:38" ht="18.75" x14ac:dyDescent="0.4">
      <c r="C25" s="2382">
        <v>2022</v>
      </c>
      <c r="D25" s="413">
        <v>16.866125622870577</v>
      </c>
      <c r="E25" s="413">
        <v>0.67602502715574064</v>
      </c>
      <c r="F25" s="413">
        <v>1.6176727680801268</v>
      </c>
      <c r="G25" s="413">
        <v>1.3111537151045993</v>
      </c>
      <c r="H25" s="413">
        <v>7.9037690084217287</v>
      </c>
      <c r="I25" s="413">
        <v>25.559149666070546</v>
      </c>
      <c r="J25" s="413">
        <v>29.718134992773823</v>
      </c>
      <c r="K25" s="413">
        <v>24.880570559174362</v>
      </c>
      <c r="L25" s="413">
        <v>22.035933602576055</v>
      </c>
      <c r="M25" s="413">
        <v>19.59147568324013</v>
      </c>
      <c r="N25" s="413">
        <v>22.473221154447902</v>
      </c>
      <c r="O25" s="413">
        <v>15.553996493567512</v>
      </c>
      <c r="P25" s="413">
        <v>18.981079324796635</v>
      </c>
      <c r="Q25" s="413">
        <v>25.31839737031213</v>
      </c>
      <c r="R25" s="413">
        <v>19.190983543815246</v>
      </c>
      <c r="S25" s="413">
        <v>15.139802927387921</v>
      </c>
      <c r="T25" s="413">
        <v>15.988127157984744</v>
      </c>
      <c r="U25" s="413"/>
      <c r="V25" s="2572"/>
      <c r="W25" s="2572"/>
      <c r="X25" s="2572"/>
      <c r="Y25" s="2572"/>
      <c r="Z25" s="2572"/>
      <c r="AA25" s="2572"/>
      <c r="AB25" s="2572"/>
      <c r="AC25" s="413"/>
      <c r="AD25" s="413">
        <v>28.5757804288918</v>
      </c>
      <c r="AE25" s="413">
        <v>5.168777401808728</v>
      </c>
      <c r="AF25" s="413"/>
      <c r="AG25" s="413">
        <v>3.1930063606595862</v>
      </c>
      <c r="AH25" s="413">
        <v>0.9794498038833086</v>
      </c>
      <c r="AI25" s="413">
        <v>6.7777926428724964</v>
      </c>
      <c r="AJ25" s="413">
        <v>1.3712297254366324</v>
      </c>
      <c r="AK25" s="625">
        <v>0.19588996077666174</v>
      </c>
      <c r="AL25" s="413">
        <v>4.348757129241891</v>
      </c>
    </row>
    <row r="26" spans="3:38" ht="18.75" x14ac:dyDescent="0.4">
      <c r="C26" s="2382">
        <v>2023</v>
      </c>
      <c r="D26" s="413">
        <v>17.73784416528526</v>
      </c>
      <c r="E26" s="413">
        <v>1.4268978627938207</v>
      </c>
      <c r="F26" s="413">
        <v>2.7480582240451104</v>
      </c>
      <c r="G26" s="413">
        <v>1.5837191361054872</v>
      </c>
      <c r="H26" s="413">
        <v>12.865785504203252</v>
      </c>
      <c r="I26" s="413">
        <v>31.157911688669753</v>
      </c>
      <c r="J26" s="413">
        <v>27.544860670138998</v>
      </c>
      <c r="K26" s="413">
        <v>24.348371656715905</v>
      </c>
      <c r="L26" s="413">
        <v>20.907362863152908</v>
      </c>
      <c r="M26" s="413">
        <v>18.010458142291395</v>
      </c>
      <c r="N26" s="413">
        <v>21.157887294183027</v>
      </c>
      <c r="O26" s="413">
        <v>24.09780586308997</v>
      </c>
      <c r="P26" s="413">
        <v>18.085977936998635</v>
      </c>
      <c r="Q26" s="413">
        <v>16.819802544146658</v>
      </c>
      <c r="R26" s="413">
        <v>22.489229601723768</v>
      </c>
      <c r="S26" s="413">
        <v>14.298225897924549</v>
      </c>
      <c r="T26" s="413">
        <v>22.306777019523299</v>
      </c>
      <c r="U26" s="413"/>
      <c r="V26" s="2572"/>
      <c r="W26" s="2572"/>
      <c r="X26" s="2572"/>
      <c r="Y26" s="2572"/>
      <c r="Z26" s="2572"/>
      <c r="AA26" s="2572"/>
      <c r="AB26" s="2572"/>
      <c r="AC26" s="413"/>
      <c r="AD26" s="413">
        <v>30.321783020601806</v>
      </c>
      <c r="AE26" s="413">
        <v>5.1748970288659564</v>
      </c>
      <c r="AF26" s="413"/>
      <c r="AG26" s="413">
        <v>3.0763769243853689</v>
      </c>
      <c r="AH26" s="413">
        <v>1.0124784814432859</v>
      </c>
      <c r="AI26" s="413">
        <v>8.1582400716295549</v>
      </c>
      <c r="AJ26" s="413">
        <v>2.0249569628865718</v>
      </c>
      <c r="AK26" s="625">
        <v>3.8941480055510999E-2</v>
      </c>
      <c r="AL26" s="413">
        <v>3.4268502448849683</v>
      </c>
    </row>
    <row r="27" spans="3:38" ht="19.5" x14ac:dyDescent="0.4">
      <c r="C27" s="383" t="s">
        <v>8168</v>
      </c>
      <c r="D27" s="420">
        <v>15.760349933258505</v>
      </c>
      <c r="E27" s="420">
        <v>0</v>
      </c>
      <c r="F27" s="420">
        <v>0.85729144837312488</v>
      </c>
      <c r="G27" s="420">
        <v>1.5807934958756804</v>
      </c>
      <c r="H27" s="420">
        <v>15.775363590684496</v>
      </c>
      <c r="I27" s="420">
        <v>29.097700976370973</v>
      </c>
      <c r="J27" s="420">
        <v>26.834014062734987</v>
      </c>
      <c r="K27" s="420">
        <v>19.94211221300252</v>
      </c>
      <c r="L27" s="420">
        <v>21.619856218540242</v>
      </c>
      <c r="M27" s="420">
        <v>18.134118621628588</v>
      </c>
      <c r="N27" s="420">
        <v>15.67261978446872</v>
      </c>
      <c r="O27" s="420">
        <v>13.758021949919206</v>
      </c>
      <c r="P27" s="420">
        <v>15.963430111724152</v>
      </c>
      <c r="Q27" s="420">
        <v>15.223618680918447</v>
      </c>
      <c r="R27" s="420">
        <v>19.025661010774911</v>
      </c>
      <c r="S27" s="420">
        <v>11.451886524810302</v>
      </c>
      <c r="T27" s="420">
        <v>16.173683993292762</v>
      </c>
      <c r="U27" s="420"/>
      <c r="V27" s="2573"/>
      <c r="W27" s="2573"/>
      <c r="X27" s="2573"/>
      <c r="Y27" s="2573"/>
      <c r="Z27" s="2573"/>
      <c r="AA27" s="2573"/>
      <c r="AB27" s="2573"/>
      <c r="AC27" s="420"/>
      <c r="AD27" s="420">
        <v>27.486557880849869</v>
      </c>
      <c r="AE27" s="420">
        <v>4.061239973815054</v>
      </c>
      <c r="AF27" s="420"/>
      <c r="AG27" s="420">
        <v>2.4589243753364007</v>
      </c>
      <c r="AH27" s="420">
        <v>0.98744207198548373</v>
      </c>
      <c r="AI27" s="420">
        <v>7.957621403647722</v>
      </c>
      <c r="AJ27" s="420">
        <v>1.7038216144063247</v>
      </c>
      <c r="AK27" s="626">
        <v>9.6808046273086631E-2</v>
      </c>
      <c r="AL27" s="420">
        <v>2.5557324216094877</v>
      </c>
    </row>
    <row r="28" spans="3:38"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c r="AF28" s="5"/>
      <c r="AG28" s="5"/>
      <c r="AH28" s="5"/>
      <c r="AI28" s="5"/>
      <c r="AJ28" s="5"/>
      <c r="AK28" s="5"/>
      <c r="AL28" s="5"/>
    </row>
    <row r="29" spans="3:38" ht="18.75" x14ac:dyDescent="0.4">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row>
    <row r="30" spans="3:38" ht="18.75" x14ac:dyDescent="0.4">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row>
    <row r="31" spans="3:38" ht="18.75" x14ac:dyDescent="0.4">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row>
    <row r="32" spans="3:38" x14ac:dyDescent="0.25">
      <c r="D32" s="45"/>
      <c r="E32" s="45"/>
      <c r="F32" s="45"/>
    </row>
    <row r="33" spans="3:13" ht="19.5" x14ac:dyDescent="0.25">
      <c r="C33" s="43" t="s">
        <v>8186</v>
      </c>
      <c r="D33" s="43"/>
      <c r="E33" s="43"/>
      <c r="F33" s="43"/>
      <c r="G33" s="43"/>
      <c r="H33" s="43"/>
      <c r="I33" s="43"/>
      <c r="J33" s="43"/>
      <c r="K33" s="43"/>
      <c r="L33" s="43"/>
      <c r="M33" s="43"/>
    </row>
    <row r="34" spans="3:13" ht="19.5" customHeight="1" x14ac:dyDescent="0.25"/>
    <row r="35" spans="3:13" ht="19.5" customHeight="1" x14ac:dyDescent="0.25"/>
    <row r="36" spans="3:13" ht="19.5" customHeight="1" x14ac:dyDescent="0.25"/>
    <row r="37" spans="3:13" ht="19.5" customHeight="1" x14ac:dyDescent="0.25"/>
    <row r="38" spans="3:13" ht="19.5" customHeight="1" x14ac:dyDescent="0.25"/>
    <row r="39" spans="3:13" ht="19.5" customHeight="1" x14ac:dyDescent="0.25"/>
    <row r="40" spans="3:13" ht="19.5" customHeight="1" x14ac:dyDescent="0.25"/>
    <row r="41" spans="3:13" ht="19.5" customHeight="1" x14ac:dyDescent="0.25"/>
    <row r="42" spans="3:13" ht="19.5" customHeight="1" x14ac:dyDescent="0.25">
      <c r="C42" s="133"/>
    </row>
    <row r="43" spans="3:13" ht="19.5" customHeight="1" x14ac:dyDescent="0.25"/>
    <row r="44" spans="3:13" ht="19.5" customHeight="1" x14ac:dyDescent="0.25"/>
    <row r="45" spans="3:13" ht="19.5" customHeight="1" x14ac:dyDescent="0.25"/>
    <row r="48" spans="3:13" ht="18.75" x14ac:dyDescent="0.4">
      <c r="C48" s="5" t="s">
        <v>8175</v>
      </c>
    </row>
    <row r="52" spans="3:19" ht="18.75" x14ac:dyDescent="0.4">
      <c r="C52" s="154" t="s">
        <v>1338</v>
      </c>
      <c r="D52" s="5"/>
      <c r="E52" s="5"/>
      <c r="F52" s="5"/>
      <c r="G52" s="5"/>
      <c r="H52" s="5"/>
      <c r="I52" s="5"/>
      <c r="J52" s="5"/>
      <c r="K52" s="5"/>
      <c r="L52" s="5"/>
      <c r="M52" s="5"/>
      <c r="N52" s="5"/>
      <c r="O52" s="5"/>
      <c r="P52" s="5"/>
    </row>
    <row r="53" spans="3:19" ht="18.75" x14ac:dyDescent="0.4">
      <c r="C53" s="5"/>
      <c r="D53" s="5"/>
      <c r="E53" s="5"/>
      <c r="F53" s="5"/>
      <c r="G53" s="5"/>
      <c r="H53" s="5"/>
      <c r="I53" s="5"/>
      <c r="J53" s="5"/>
      <c r="K53" s="5"/>
      <c r="L53" s="5"/>
      <c r="M53" s="5"/>
      <c r="N53" s="5"/>
      <c r="O53" s="5"/>
      <c r="P53" s="5"/>
    </row>
    <row r="54" spans="3:19" ht="18.75" x14ac:dyDescent="0.25">
      <c r="C54" s="388" t="s">
        <v>749</v>
      </c>
      <c r="D54" s="389" t="s">
        <v>750</v>
      </c>
      <c r="E54" s="390">
        <v>2010</v>
      </c>
      <c r="F54" s="390">
        <v>2011</v>
      </c>
      <c r="G54" s="390">
        <v>2012</v>
      </c>
      <c r="H54" s="390">
        <v>2013</v>
      </c>
      <c r="I54" s="390">
        <v>2014</v>
      </c>
      <c r="J54" s="390">
        <v>2015</v>
      </c>
      <c r="K54" s="390">
        <v>2016</v>
      </c>
      <c r="L54" s="390">
        <v>2017</v>
      </c>
      <c r="M54" s="390">
        <v>2018</v>
      </c>
      <c r="N54" s="390">
        <v>2019</v>
      </c>
      <c r="O54" s="390">
        <v>2020</v>
      </c>
      <c r="P54" s="390">
        <v>2021</v>
      </c>
      <c r="Q54" s="390">
        <v>2022</v>
      </c>
      <c r="R54" s="2379">
        <v>2023</v>
      </c>
      <c r="S54" s="2379">
        <v>2024</v>
      </c>
    </row>
    <row r="55" spans="3:19" ht="18.75" x14ac:dyDescent="0.4">
      <c r="C55" s="2567" t="s">
        <v>328</v>
      </c>
      <c r="D55" s="391" t="s">
        <v>328</v>
      </c>
      <c r="E55" s="340">
        <v>10.629716936890745</v>
      </c>
      <c r="F55" s="340">
        <v>14.899660101503933</v>
      </c>
      <c r="G55" s="340">
        <v>12.916916547492734</v>
      </c>
      <c r="H55" s="340">
        <v>10.665789024598357</v>
      </c>
      <c r="I55" s="340">
        <v>11.781801044653026</v>
      </c>
      <c r="J55" s="340">
        <v>13.773279837115995</v>
      </c>
      <c r="K55" s="340">
        <v>14.252120002850424</v>
      </c>
      <c r="L55" s="340">
        <v>15.018508102632362</v>
      </c>
      <c r="M55" s="340">
        <v>13.735139747741009</v>
      </c>
      <c r="N55" s="340">
        <v>11.019251792803269</v>
      </c>
      <c r="O55" s="340">
        <v>6.3327940863217398</v>
      </c>
      <c r="P55" s="340">
        <v>7.721389392526838</v>
      </c>
      <c r="Q55" s="423">
        <v>12.21736684490763</v>
      </c>
    </row>
    <row r="56" spans="3:19" ht="18.75" x14ac:dyDescent="0.4">
      <c r="C56" s="2567"/>
      <c r="D56" s="391" t="s">
        <v>752</v>
      </c>
      <c r="E56" s="340">
        <v>6.3473928084039475</v>
      </c>
      <c r="F56" s="340">
        <v>7.8446138881044281</v>
      </c>
      <c r="G56" s="340">
        <v>17.061670182404765</v>
      </c>
      <c r="H56" s="340">
        <v>16.870906887931167</v>
      </c>
      <c r="I56" s="340">
        <v>15.168752370117556</v>
      </c>
      <c r="J56" s="340">
        <v>10.50231050831183</v>
      </c>
      <c r="K56" s="340">
        <v>7.4225824648911845</v>
      </c>
      <c r="L56" s="340">
        <v>13.22556943423953</v>
      </c>
      <c r="M56" s="340">
        <v>4.3650331742521242</v>
      </c>
      <c r="N56" s="340">
        <v>8.6462806582701663</v>
      </c>
      <c r="O56" s="340">
        <v>8.5648214234733206</v>
      </c>
      <c r="P56" s="340">
        <v>5.6623538404914919</v>
      </c>
      <c r="Q56" s="340">
        <v>5.6178197241650514</v>
      </c>
    </row>
    <row r="57" spans="3:19" ht="18.75" x14ac:dyDescent="0.4">
      <c r="C57" s="2567"/>
      <c r="D57" s="391" t="s">
        <v>753</v>
      </c>
      <c r="E57" s="340">
        <v>9.5379975655396692</v>
      </c>
      <c r="F57" s="340">
        <v>8.5275214534487098</v>
      </c>
      <c r="G57" s="340">
        <v>7.983359131410527</v>
      </c>
      <c r="H57" s="340">
        <v>10.519764006627451</v>
      </c>
      <c r="I57" s="340">
        <v>9.5333015556614811</v>
      </c>
      <c r="J57" s="340">
        <v>11.141583818992114</v>
      </c>
      <c r="K57" s="340">
        <v>12.295273103454123</v>
      </c>
      <c r="L57" s="340">
        <v>8.3923595958239616</v>
      </c>
      <c r="M57" s="340">
        <v>12.880654503450767</v>
      </c>
      <c r="N57" s="340">
        <v>12.758094187659218</v>
      </c>
      <c r="O57" s="340">
        <v>6.117255554468044</v>
      </c>
      <c r="P57" s="340">
        <v>8.4906118092280813</v>
      </c>
      <c r="Q57" s="340">
        <v>10.827415014817518</v>
      </c>
    </row>
    <row r="58" spans="3:19" ht="18.75" x14ac:dyDescent="0.4">
      <c r="C58" s="2567"/>
      <c r="D58" s="391" t="s">
        <v>754</v>
      </c>
      <c r="E58" s="340">
        <v>23.493480559144839</v>
      </c>
      <c r="F58" s="340">
        <v>5.7996230245034077</v>
      </c>
      <c r="G58" s="340">
        <v>5.7236070171422027</v>
      </c>
      <c r="H58" s="340">
        <v>11.29975423034549</v>
      </c>
      <c r="I58" s="340">
        <v>5.5802014452721744</v>
      </c>
      <c r="J58" s="340">
        <v>19.298632554036171</v>
      </c>
      <c r="K58" s="340">
        <v>21.835253015994322</v>
      </c>
      <c r="L58" s="340">
        <v>18.925568442966448</v>
      </c>
      <c r="M58" s="340">
        <v>8.0332039094925687</v>
      </c>
      <c r="N58" s="340">
        <v>10.619093129446746</v>
      </c>
      <c r="O58" s="340">
        <v>10.531027038411921</v>
      </c>
      <c r="P58" s="340">
        <v>10.444409629745678</v>
      </c>
      <c r="Q58" s="340">
        <v>10.364573886456093</v>
      </c>
    </row>
    <row r="59" spans="3:19" ht="18.75" x14ac:dyDescent="0.4">
      <c r="C59" s="2567"/>
      <c r="D59" s="391" t="s">
        <v>755</v>
      </c>
      <c r="E59" s="340">
        <v>17.643945186143622</v>
      </c>
      <c r="F59" s="340">
        <v>11.657729074376311</v>
      </c>
      <c r="G59" s="392" t="s">
        <v>751</v>
      </c>
      <c r="H59" s="340">
        <v>11.446231328335145</v>
      </c>
      <c r="I59" s="340">
        <v>11.341726210729274</v>
      </c>
      <c r="J59" s="340">
        <v>16.870044424450317</v>
      </c>
      <c r="K59" s="392" t="s">
        <v>751</v>
      </c>
      <c r="L59" s="340">
        <v>11.048502927853276</v>
      </c>
      <c r="M59" s="340">
        <v>5.4752518615856332</v>
      </c>
      <c r="N59" s="340">
        <v>10.870155986738409</v>
      </c>
      <c r="O59" s="340">
        <v>26.975991367682763</v>
      </c>
      <c r="P59" s="392" t="s">
        <v>751</v>
      </c>
      <c r="Q59" s="392">
        <v>5.3228296162239843</v>
      </c>
    </row>
    <row r="60" spans="3:19" ht="18.75" x14ac:dyDescent="0.4">
      <c r="C60" s="2567"/>
      <c r="D60" s="391" t="s">
        <v>756</v>
      </c>
      <c r="E60" s="340">
        <v>5.2232958997127188</v>
      </c>
      <c r="F60" s="340">
        <v>13.772918998020142</v>
      </c>
      <c r="G60" s="340">
        <v>8.5104934384095579</v>
      </c>
      <c r="H60" s="340">
        <v>10.096760622633571</v>
      </c>
      <c r="I60" s="340">
        <v>18.308311973636034</v>
      </c>
      <c r="J60" s="340">
        <v>9.878169245966415</v>
      </c>
      <c r="K60" s="340">
        <v>16.303107372265156</v>
      </c>
      <c r="L60" s="340">
        <v>14.536996656490768</v>
      </c>
      <c r="M60" s="340">
        <v>14.405301150823504</v>
      </c>
      <c r="N60" s="340">
        <v>15.869741164521606</v>
      </c>
      <c r="O60" s="340">
        <v>11.018589935305135</v>
      </c>
      <c r="P60" s="340">
        <v>12.495704601543219</v>
      </c>
      <c r="Q60" s="340">
        <v>7.7543424317617866</v>
      </c>
    </row>
    <row r="61" spans="3:19" ht="18.75" x14ac:dyDescent="0.4">
      <c r="C61" s="2567"/>
      <c r="D61" s="391" t="s">
        <v>757</v>
      </c>
      <c r="E61" s="340">
        <v>10.931351114997813</v>
      </c>
      <c r="F61" s="340">
        <v>10.810421246081223</v>
      </c>
      <c r="G61" s="340">
        <v>14.253135689851767</v>
      </c>
      <c r="H61" s="340">
        <v>10.56933483652762</v>
      </c>
      <c r="I61" s="340">
        <v>13.937282229965156</v>
      </c>
      <c r="J61" s="340">
        <v>24.132106043368843</v>
      </c>
      <c r="K61" s="340">
        <v>30.727210652099693</v>
      </c>
      <c r="L61" s="340">
        <v>23.684655726611403</v>
      </c>
      <c r="M61" s="340">
        <v>16.76670802454646</v>
      </c>
      <c r="N61" s="340">
        <v>13.303621911065289</v>
      </c>
      <c r="O61" s="340">
        <v>23.088594234448184</v>
      </c>
      <c r="P61" s="340">
        <v>9.821253191907287</v>
      </c>
      <c r="Q61" s="340">
        <v>13.004323937709287</v>
      </c>
    </row>
    <row r="62" spans="3:19" ht="18.75" x14ac:dyDescent="0.4">
      <c r="C62" s="2567"/>
      <c r="D62" s="391" t="s">
        <v>758</v>
      </c>
      <c r="E62" s="340">
        <v>9.5702938080199065</v>
      </c>
      <c r="F62" s="340">
        <v>12.620685303211966</v>
      </c>
      <c r="G62" s="340">
        <v>7.8037817126179343</v>
      </c>
      <c r="H62" s="340">
        <v>8.4932903006624763</v>
      </c>
      <c r="I62" s="340">
        <v>9.170525929662066</v>
      </c>
      <c r="J62" s="340">
        <v>9.8328416912487704</v>
      </c>
      <c r="K62" s="340">
        <v>7.4874398197024492</v>
      </c>
      <c r="L62" s="340">
        <v>5.9322976530347411</v>
      </c>
      <c r="M62" s="340">
        <v>15.428470671211944</v>
      </c>
      <c r="N62" s="340">
        <v>8.7382034253757421</v>
      </c>
      <c r="O62" s="340">
        <v>5.0532394874571382</v>
      </c>
      <c r="P62" s="340">
        <v>7.1593235871074903</v>
      </c>
      <c r="Q62" s="340">
        <v>7.104089113693842</v>
      </c>
    </row>
    <row r="63" spans="3:19" ht="18.75" x14ac:dyDescent="0.4">
      <c r="C63" s="2567"/>
      <c r="D63" s="391" t="s">
        <v>759</v>
      </c>
      <c r="E63" s="340">
        <v>17.18967855301106</v>
      </c>
      <c r="F63" s="340">
        <v>11.280527928707063</v>
      </c>
      <c r="G63" s="340">
        <v>5.5524708495280404</v>
      </c>
      <c r="H63" s="340">
        <v>10.930753675465924</v>
      </c>
      <c r="I63" s="340">
        <v>7.1770764179211595</v>
      </c>
      <c r="J63" s="340">
        <v>10.606328442637439</v>
      </c>
      <c r="K63" s="340">
        <v>17.42828261703092</v>
      </c>
      <c r="L63" s="340">
        <v>17.19424336732062</v>
      </c>
      <c r="M63" s="340">
        <v>8.4823397686017721</v>
      </c>
      <c r="N63" s="340">
        <v>8.3750690943200272</v>
      </c>
      <c r="O63" s="340">
        <v>6.6167105023737447</v>
      </c>
      <c r="P63" s="340">
        <v>3.2700042510055267</v>
      </c>
      <c r="Q63" s="340">
        <v>9.7004187347420494</v>
      </c>
    </row>
    <row r="64" spans="3:19" ht="18.75" x14ac:dyDescent="0.4">
      <c r="C64" s="2567"/>
      <c r="D64" s="391" t="s">
        <v>760</v>
      </c>
      <c r="E64" s="340">
        <v>11.115639705065027</v>
      </c>
      <c r="F64" s="340">
        <v>3.6442263307499814</v>
      </c>
      <c r="G64" s="340">
        <v>13.145629675661466</v>
      </c>
      <c r="H64" s="340">
        <v>7.0549225722247701</v>
      </c>
      <c r="I64" s="340">
        <v>5.7872379828003293</v>
      </c>
      <c r="J64" s="340">
        <v>5.6990448400848015</v>
      </c>
      <c r="K64" s="340">
        <v>13.459855979541018</v>
      </c>
      <c r="L64" s="340">
        <v>12.148923715803541</v>
      </c>
      <c r="M64" s="340">
        <v>10.879380310497513</v>
      </c>
      <c r="N64" s="340">
        <v>12.86904672536382</v>
      </c>
      <c r="O64" s="340">
        <v>5.2883191606379825</v>
      </c>
      <c r="P64" s="340">
        <v>9.3879083740142697</v>
      </c>
      <c r="Q64" s="340">
        <v>17.497272483995143</v>
      </c>
    </row>
    <row r="65" spans="3:17" ht="18.75" x14ac:dyDescent="0.4">
      <c r="C65" s="2567"/>
      <c r="D65" s="391" t="s">
        <v>761</v>
      </c>
      <c r="E65" s="340">
        <v>10.972818760384991</v>
      </c>
      <c r="F65" s="340">
        <v>7.7365847620226535</v>
      </c>
      <c r="G65" s="340">
        <v>7.6373189955398058</v>
      </c>
      <c r="H65" s="340">
        <v>4.5242727231597524</v>
      </c>
      <c r="I65" s="340">
        <v>7.4472363305977156</v>
      </c>
      <c r="J65" s="340">
        <v>8.8317117329290369</v>
      </c>
      <c r="K65" s="340">
        <v>7.2753728628592222</v>
      </c>
      <c r="L65" s="340">
        <v>8.6330935251798575</v>
      </c>
      <c r="M65" s="340">
        <v>8.5412900195026129</v>
      </c>
      <c r="N65" s="340">
        <v>14.090063687087866</v>
      </c>
      <c r="O65" s="340">
        <v>2.7908404616050126</v>
      </c>
      <c r="P65" s="340">
        <v>6.914577311888924</v>
      </c>
      <c r="Q65" s="340">
        <v>8.2268414413426196</v>
      </c>
    </row>
    <row r="66" spans="3:17" ht="18.75" x14ac:dyDescent="0.4">
      <c r="C66" s="2567"/>
      <c r="D66" s="391" t="s">
        <v>762</v>
      </c>
      <c r="E66" s="392" t="s">
        <v>751</v>
      </c>
      <c r="F66" s="340">
        <v>4.9295080350980971</v>
      </c>
      <c r="G66" s="392" t="s">
        <v>751</v>
      </c>
      <c r="H66" s="340">
        <v>19.296637560905012</v>
      </c>
      <c r="I66" s="340">
        <v>14.311611487453487</v>
      </c>
      <c r="J66" s="340">
        <v>4.7238887051821061</v>
      </c>
      <c r="K66" s="340">
        <v>14.061401453011483</v>
      </c>
      <c r="L66" s="340">
        <v>4.6470560899670064</v>
      </c>
      <c r="M66" s="340">
        <v>18.45273792498962</v>
      </c>
      <c r="N66" s="340">
        <v>4.5798030684680553</v>
      </c>
      <c r="O66" s="340">
        <v>4.5504186385147429</v>
      </c>
      <c r="P66" s="340">
        <v>18.088088993397847</v>
      </c>
      <c r="Q66" s="340">
        <v>4.4929685042907845</v>
      </c>
    </row>
    <row r="67" spans="3:17" ht="18.75" x14ac:dyDescent="0.4">
      <c r="C67" s="2567"/>
      <c r="D67" s="391" t="s">
        <v>763</v>
      </c>
      <c r="E67" s="340">
        <v>7.7179351950708117</v>
      </c>
      <c r="F67" s="340">
        <v>7.6427279443609413</v>
      </c>
      <c r="G67" s="340">
        <v>8.8322503312093872</v>
      </c>
      <c r="H67" s="340">
        <v>10.000750056254219</v>
      </c>
      <c r="I67" s="340">
        <v>4.9539898195509204</v>
      </c>
      <c r="J67" s="340">
        <v>14.722842490123426</v>
      </c>
      <c r="K67" s="340">
        <v>9.7304660893256791</v>
      </c>
      <c r="L67" s="340">
        <v>15.683625088974411</v>
      </c>
      <c r="M67" s="340">
        <v>5.9834378440476756</v>
      </c>
      <c r="N67" s="340">
        <v>10.68693225672386</v>
      </c>
      <c r="O67" s="340">
        <v>7.0693860238238306</v>
      </c>
      <c r="P67" s="340">
        <v>3.5093465596705893</v>
      </c>
      <c r="Q67" s="340">
        <v>6.9714750479288909</v>
      </c>
    </row>
    <row r="68" spans="3:17" ht="18.75" x14ac:dyDescent="0.4">
      <c r="C68" s="2567"/>
      <c r="D68" s="391" t="s">
        <v>764</v>
      </c>
      <c r="E68" s="340">
        <v>3.4361309165879224</v>
      </c>
      <c r="F68" s="340">
        <v>6.8138457345325705</v>
      </c>
      <c r="G68" s="340">
        <v>8.4440916690591603</v>
      </c>
      <c r="H68" s="340">
        <v>11.724311196717194</v>
      </c>
      <c r="I68" s="340">
        <v>8.3033030539548633</v>
      </c>
      <c r="J68" s="340">
        <v>11.526618254869996</v>
      </c>
      <c r="K68" s="340">
        <v>11.447635245633544</v>
      </c>
      <c r="L68" s="340">
        <v>4.8747197036170418</v>
      </c>
      <c r="M68" s="340">
        <v>6.4601569818146576</v>
      </c>
      <c r="N68" s="340">
        <v>4.8161823727725155</v>
      </c>
      <c r="O68" s="340">
        <v>6.3827410681517183</v>
      </c>
      <c r="P68" s="340">
        <v>4.7635682301756175</v>
      </c>
      <c r="Q68" s="340">
        <v>11.065619121389842</v>
      </c>
    </row>
    <row r="69" spans="3:17" ht="18.75" x14ac:dyDescent="0.4">
      <c r="C69" s="2567"/>
      <c r="D69" s="391" t="s">
        <v>765</v>
      </c>
      <c r="E69" s="340">
        <v>5.0303497769878263</v>
      </c>
      <c r="F69" s="340">
        <v>3.3323891564056849</v>
      </c>
      <c r="G69" s="340">
        <v>8.282122210995345</v>
      </c>
      <c r="H69" s="340">
        <v>8.2364181464764599</v>
      </c>
      <c r="I69" s="340">
        <v>8.1924236466116138</v>
      </c>
      <c r="J69" s="340">
        <v>9.7742156191965606</v>
      </c>
      <c r="K69" s="340">
        <v>4.8653119475843729</v>
      </c>
      <c r="L69" s="340">
        <v>11.30837950921633</v>
      </c>
      <c r="M69" s="340">
        <v>3.2202489252419211</v>
      </c>
      <c r="N69" s="340">
        <v>11.234151821537473</v>
      </c>
      <c r="O69" s="340">
        <v>3.1983112916380154</v>
      </c>
      <c r="P69" s="340">
        <v>4.7836971600784528</v>
      </c>
      <c r="Q69" s="340">
        <v>14.321176245942334</v>
      </c>
    </row>
    <row r="70" spans="3:17" ht="18.75" x14ac:dyDescent="0.4">
      <c r="C70" s="2567"/>
      <c r="D70" s="391" t="s">
        <v>766</v>
      </c>
      <c r="E70" s="392" t="s">
        <v>751</v>
      </c>
      <c r="F70" s="340">
        <v>16.485328058028355</v>
      </c>
      <c r="G70" s="392" t="s">
        <v>751</v>
      </c>
      <c r="H70" s="340">
        <v>15.984654731457802</v>
      </c>
      <c r="I70" s="340">
        <v>15.735641227380016</v>
      </c>
      <c r="J70" s="340">
        <v>15.518311607697083</v>
      </c>
      <c r="K70" s="340">
        <v>45.927740355174528</v>
      </c>
      <c r="L70" s="340">
        <v>30.216044719746183</v>
      </c>
      <c r="M70" s="340">
        <v>29.837386244964939</v>
      </c>
      <c r="N70" s="340">
        <v>14.727540500736376</v>
      </c>
      <c r="O70" s="392" t="s">
        <v>751</v>
      </c>
      <c r="P70" s="340">
        <v>28.772838440512157</v>
      </c>
      <c r="Q70" s="340">
        <v>14.222727919214906</v>
      </c>
    </row>
    <row r="71" spans="3:17" ht="18.75" x14ac:dyDescent="0.4">
      <c r="C71" s="2567"/>
      <c r="D71" s="391" t="s">
        <v>767</v>
      </c>
      <c r="E71" s="340">
        <v>13.638843426077468</v>
      </c>
      <c r="F71" s="340">
        <v>27.059937762143147</v>
      </c>
      <c r="G71" s="340">
        <v>13.410218586562962</v>
      </c>
      <c r="H71" s="392" t="s">
        <v>751</v>
      </c>
      <c r="I71" s="340">
        <v>13.147515119642389</v>
      </c>
      <c r="J71" s="392" t="s">
        <v>751</v>
      </c>
      <c r="K71" s="340">
        <v>12.943308309603935</v>
      </c>
      <c r="L71" s="392" t="s">
        <v>751</v>
      </c>
      <c r="M71" s="392" t="s">
        <v>751</v>
      </c>
      <c r="N71" s="340">
        <v>12.65022137887413</v>
      </c>
      <c r="O71" s="340">
        <v>25.163563160543532</v>
      </c>
      <c r="P71" s="340">
        <v>25</v>
      </c>
      <c r="Q71" s="340">
        <v>24.872528292500931</v>
      </c>
    </row>
    <row r="72" spans="3:17" ht="18.75" x14ac:dyDescent="0.4">
      <c r="C72" s="2567"/>
      <c r="D72" s="391" t="s">
        <v>768</v>
      </c>
      <c r="E72" s="340">
        <v>4.1359913971378939</v>
      </c>
      <c r="F72" s="340">
        <v>4.0934395808317872</v>
      </c>
      <c r="G72" s="340">
        <v>10.802781716291946</v>
      </c>
      <c r="H72" s="340">
        <v>8.0193533728063713</v>
      </c>
      <c r="I72" s="340">
        <v>9.2614643698235035</v>
      </c>
      <c r="J72" s="340">
        <v>7.8602963331717612</v>
      </c>
      <c r="K72" s="340">
        <v>12.982292153502621</v>
      </c>
      <c r="L72" s="340">
        <v>9.0100526444504503</v>
      </c>
      <c r="M72" s="340">
        <v>3.8299013162094191</v>
      </c>
      <c r="N72" s="340">
        <v>5.065791973252618</v>
      </c>
      <c r="O72" s="340">
        <v>3.7699335235055353</v>
      </c>
      <c r="P72" s="340">
        <v>8.7344962691223085</v>
      </c>
      <c r="Q72" s="340">
        <v>4.9580425647954192</v>
      </c>
    </row>
    <row r="73" spans="3:17" ht="18.75" x14ac:dyDescent="0.4">
      <c r="C73" s="2567"/>
      <c r="D73" s="391" t="s">
        <v>769</v>
      </c>
      <c r="E73" s="340">
        <v>19.480800588753084</v>
      </c>
      <c r="F73" s="340">
        <v>13.643152573529411</v>
      </c>
      <c r="G73" s="340">
        <v>11.430367629198875</v>
      </c>
      <c r="H73" s="340">
        <v>14.214742109041286</v>
      </c>
      <c r="I73" s="340">
        <v>14.145972288040287</v>
      </c>
      <c r="J73" s="340">
        <v>17.605881772982716</v>
      </c>
      <c r="K73" s="340">
        <v>11.244562199998594</v>
      </c>
      <c r="L73" s="340">
        <v>18.239214310768151</v>
      </c>
      <c r="M73" s="340">
        <v>16.107683364965087</v>
      </c>
      <c r="N73" s="340">
        <v>16.084253515808026</v>
      </c>
      <c r="O73" s="340">
        <v>11.179664190836867</v>
      </c>
      <c r="P73" s="340">
        <v>15.360768597003254</v>
      </c>
      <c r="Q73" s="340">
        <v>28.614899289512991</v>
      </c>
    </row>
    <row r="74" spans="3:17" ht="18.75" x14ac:dyDescent="0.4">
      <c r="C74" s="2567"/>
      <c r="D74" s="391" t="s">
        <v>770</v>
      </c>
      <c r="E74" s="392" t="s">
        <v>751</v>
      </c>
      <c r="F74" s="392" t="s">
        <v>751</v>
      </c>
      <c r="G74" s="340">
        <v>31.718341130758859</v>
      </c>
      <c r="H74" s="340">
        <v>15.676438313215238</v>
      </c>
      <c r="I74" s="340">
        <v>7.7459333849728882</v>
      </c>
      <c r="J74" s="340">
        <v>15.332720024532353</v>
      </c>
      <c r="K74" s="392" t="s">
        <v>751</v>
      </c>
      <c r="L74" s="340">
        <v>29.987255416448011</v>
      </c>
      <c r="M74" s="340">
        <v>14.822500555843771</v>
      </c>
      <c r="N74" s="340">
        <v>22.002200220022001</v>
      </c>
      <c r="O74" s="340">
        <v>7.2626915534897236</v>
      </c>
      <c r="P74" s="340">
        <v>7.2077266830041804</v>
      </c>
      <c r="Q74" s="392" t="s">
        <v>751</v>
      </c>
    </row>
    <row r="75" spans="3:17" ht="18.75" x14ac:dyDescent="0.4">
      <c r="C75" s="2567" t="s">
        <v>329</v>
      </c>
      <c r="D75" s="391" t="s">
        <v>329</v>
      </c>
      <c r="E75" s="340">
        <v>12.472166892266156</v>
      </c>
      <c r="F75" s="340">
        <v>8.3094286725868329</v>
      </c>
      <c r="G75" s="340">
        <v>12.810749642366574</v>
      </c>
      <c r="H75" s="340">
        <v>17.878489372815583</v>
      </c>
      <c r="I75" s="340">
        <v>12.09185665276679</v>
      </c>
      <c r="J75" s="340">
        <v>15.667521568387029</v>
      </c>
      <c r="K75" s="340">
        <v>19.470993255650786</v>
      </c>
      <c r="L75" s="340">
        <v>15.559101412236737</v>
      </c>
      <c r="M75" s="340">
        <v>16.98203170414688</v>
      </c>
      <c r="N75" s="340">
        <v>12.248265903406306</v>
      </c>
      <c r="O75" s="340">
        <v>9.5477850729928182</v>
      </c>
      <c r="P75" s="340">
        <v>11.632037775828625</v>
      </c>
      <c r="Q75" s="340">
        <v>17.398220410598</v>
      </c>
    </row>
    <row r="76" spans="3:17" ht="18.75" x14ac:dyDescent="0.4">
      <c r="C76" s="2567"/>
      <c r="D76" s="391" t="s">
        <v>771</v>
      </c>
      <c r="E76" s="340">
        <v>12.083569969911911</v>
      </c>
      <c r="F76" s="340">
        <v>21.444143961686461</v>
      </c>
      <c r="G76" s="340">
        <v>11.747292249136574</v>
      </c>
      <c r="H76" s="340">
        <v>13.903049402168877</v>
      </c>
      <c r="I76" s="340">
        <v>8.0017375201472323</v>
      </c>
      <c r="J76" s="340">
        <v>14.671030357747432</v>
      </c>
      <c r="K76" s="340">
        <v>12.262962508779166</v>
      </c>
      <c r="L76" s="340">
        <v>18.723910433623736</v>
      </c>
      <c r="M76" s="340">
        <v>16.330441030777436</v>
      </c>
      <c r="N76" s="340">
        <v>8.6138208755948931</v>
      </c>
      <c r="O76" s="340">
        <v>8.522243054371911</v>
      </c>
      <c r="P76" s="340">
        <v>8.4349925666627996</v>
      </c>
      <c r="Q76" s="340">
        <v>15.658600747437209</v>
      </c>
    </row>
    <row r="77" spans="3:17" ht="18.75" x14ac:dyDescent="0.4">
      <c r="C77" s="2567"/>
      <c r="D77" s="391" t="s">
        <v>772</v>
      </c>
      <c r="E77" s="340">
        <v>11.088113542282674</v>
      </c>
      <c r="F77" s="340">
        <v>20.608808447186899</v>
      </c>
      <c r="G77" s="340">
        <v>11.934313538285279</v>
      </c>
      <c r="H77" s="340">
        <v>7.0516060032672438</v>
      </c>
      <c r="I77" s="340">
        <v>16.206517335185506</v>
      </c>
      <c r="J77" s="340">
        <v>14.83036345798444</v>
      </c>
      <c r="K77" s="340">
        <v>12.367471301845002</v>
      </c>
      <c r="L77" s="340">
        <v>18.847633513309756</v>
      </c>
      <c r="M77" s="340">
        <v>10.935774198134357</v>
      </c>
      <c r="N77" s="340">
        <v>3.8874203078836884</v>
      </c>
      <c r="O77" s="340">
        <v>8.9701039250611885</v>
      </c>
      <c r="P77" s="340">
        <v>6.3393853331980932</v>
      </c>
      <c r="Q77" s="340">
        <v>11.296314891053319</v>
      </c>
    </row>
    <row r="78" spans="3:17" ht="18.75" x14ac:dyDescent="0.4">
      <c r="C78" s="2567"/>
      <c r="D78" s="391" t="s">
        <v>773</v>
      </c>
      <c r="E78" s="392" t="s">
        <v>751</v>
      </c>
      <c r="F78" s="340">
        <v>15.45595054095827</v>
      </c>
      <c r="G78" s="340">
        <v>15.264845061822625</v>
      </c>
      <c r="H78" s="392" t="s">
        <v>751</v>
      </c>
      <c r="I78" s="340">
        <v>14.923145799134458</v>
      </c>
      <c r="J78" s="340">
        <v>14.738393515106853</v>
      </c>
      <c r="K78" s="340">
        <v>14.590020426028595</v>
      </c>
      <c r="L78" s="340">
        <v>100.99552734093204</v>
      </c>
      <c r="M78" s="340">
        <v>14.291839359725596</v>
      </c>
      <c r="N78" s="340">
        <v>42.432814710042429</v>
      </c>
      <c r="O78" s="340">
        <v>14.003640946646129</v>
      </c>
      <c r="P78" s="340">
        <v>13.873473917869035</v>
      </c>
      <c r="Q78" s="340">
        <v>68.719076415612975</v>
      </c>
    </row>
    <row r="79" spans="3:17" ht="18.75" x14ac:dyDescent="0.4">
      <c r="C79" s="2567"/>
      <c r="D79" s="391" t="s">
        <v>774</v>
      </c>
      <c r="E79" s="340">
        <v>26.811705224452272</v>
      </c>
      <c r="F79" s="340">
        <v>3.7850113550340652</v>
      </c>
      <c r="G79" s="340">
        <v>22.421524663677129</v>
      </c>
      <c r="H79" s="340">
        <v>7.376807317792859</v>
      </c>
      <c r="I79" s="340">
        <v>7.2857090816363703</v>
      </c>
      <c r="J79" s="392" t="s">
        <v>751</v>
      </c>
      <c r="K79" s="340">
        <v>17.785998861696072</v>
      </c>
      <c r="L79" s="340">
        <v>10.554461018857305</v>
      </c>
      <c r="M79" s="340">
        <v>13.91449542560963</v>
      </c>
      <c r="N79" s="340">
        <v>17.217037980785786</v>
      </c>
      <c r="O79" s="340">
        <v>10.224948875255624</v>
      </c>
      <c r="P79" s="340">
        <v>44.609665427509292</v>
      </c>
      <c r="Q79" s="340">
        <v>30.120481927710845</v>
      </c>
    </row>
    <row r="80" spans="3:17" ht="18.75" x14ac:dyDescent="0.4">
      <c r="C80" s="2567"/>
      <c r="D80" s="391" t="s">
        <v>775</v>
      </c>
      <c r="E80" s="340">
        <v>11.563902123132429</v>
      </c>
      <c r="F80" s="340">
        <v>9.133045642395599</v>
      </c>
      <c r="G80" s="340">
        <v>11.260754020089184</v>
      </c>
      <c r="H80" s="340">
        <v>13.331852016442618</v>
      </c>
      <c r="I80" s="340">
        <v>2.1933672574135814</v>
      </c>
      <c r="J80" s="340">
        <v>23.824994585228502</v>
      </c>
      <c r="K80" s="340">
        <v>27.828916384809691</v>
      </c>
      <c r="L80" s="340">
        <v>16.925127467366238</v>
      </c>
      <c r="M80" s="340">
        <v>16.736051547038766</v>
      </c>
      <c r="N80" s="340">
        <v>14.48975367418754</v>
      </c>
      <c r="O80" s="340">
        <v>14.343380529885458</v>
      </c>
      <c r="P80" s="340">
        <v>12.173348482389223</v>
      </c>
      <c r="Q80" s="340">
        <v>6.0284543043163739</v>
      </c>
    </row>
    <row r="81" spans="3:17" ht="18.75" x14ac:dyDescent="0.4">
      <c r="C81" s="2567"/>
      <c r="D81" s="391" t="s">
        <v>776</v>
      </c>
      <c r="E81" s="340">
        <v>16.730801405387318</v>
      </c>
      <c r="F81" s="340">
        <v>19.241870309794113</v>
      </c>
      <c r="G81" s="340">
        <v>16.246953696181965</v>
      </c>
      <c r="H81" s="340">
        <v>5.3374609698166582</v>
      </c>
      <c r="I81" s="392" t="s">
        <v>751</v>
      </c>
      <c r="J81" s="340">
        <v>7.7839184245349102</v>
      </c>
      <c r="K81" s="340">
        <v>10.245376773730854</v>
      </c>
      <c r="L81" s="340">
        <v>2.5300442757748263</v>
      </c>
      <c r="M81" s="340">
        <v>17.5</v>
      </c>
      <c r="N81" s="340">
        <v>9.8831319645195563</v>
      </c>
      <c r="O81" s="340">
        <v>12.216575449569977</v>
      </c>
      <c r="P81" s="392" t="s">
        <v>751</v>
      </c>
      <c r="Q81" s="392">
        <v>11.96029183112068</v>
      </c>
    </row>
    <row r="82" spans="3:17" ht="18.75" x14ac:dyDescent="0.4">
      <c r="C82" s="2567"/>
      <c r="D82" s="391" t="s">
        <v>777</v>
      </c>
      <c r="E82" s="340">
        <v>10.262374713508706</v>
      </c>
      <c r="F82" s="340">
        <v>6.7355942478025126</v>
      </c>
      <c r="G82" s="340">
        <v>6.6299807730557578</v>
      </c>
      <c r="H82" s="392" t="s">
        <v>751</v>
      </c>
      <c r="I82" s="340">
        <v>9.6397930657755211</v>
      </c>
      <c r="J82" s="340">
        <v>9.4987809897729782</v>
      </c>
      <c r="K82" s="340">
        <v>9.3487067622312239</v>
      </c>
      <c r="L82" s="340">
        <v>6.1381702114599639</v>
      </c>
      <c r="M82" s="340">
        <v>9.0716661626852133</v>
      </c>
      <c r="N82" s="340">
        <v>5.962851435556483</v>
      </c>
      <c r="O82" s="340">
        <v>8.8219725930718109</v>
      </c>
      <c r="P82" s="340">
        <v>17.406440382941689</v>
      </c>
      <c r="Q82" s="340">
        <v>17.179178835251676</v>
      </c>
    </row>
    <row r="83" spans="3:17" ht="18.75" x14ac:dyDescent="0.4">
      <c r="C83" s="2567"/>
      <c r="D83" s="391" t="s">
        <v>778</v>
      </c>
      <c r="E83" s="340">
        <v>53.892508941257162</v>
      </c>
      <c r="F83" s="340">
        <v>14.46619731893143</v>
      </c>
      <c r="G83" s="340">
        <v>18.969932656739068</v>
      </c>
      <c r="H83" s="340">
        <v>18.665422305179654</v>
      </c>
      <c r="I83" s="340">
        <v>27.558331802314896</v>
      </c>
      <c r="J83" s="340">
        <v>31.675641431738992</v>
      </c>
      <c r="K83" s="340">
        <v>22.27965421976651</v>
      </c>
      <c r="L83" s="340">
        <v>30.72061792328623</v>
      </c>
      <c r="M83" s="340">
        <v>21.620686673008734</v>
      </c>
      <c r="N83" s="340">
        <v>34.090424851919721</v>
      </c>
      <c r="O83" s="340">
        <v>4.2041537038594132</v>
      </c>
      <c r="P83" s="340">
        <v>12.445034431261925</v>
      </c>
      <c r="Q83" s="340">
        <v>237.23821989528795</v>
      </c>
    </row>
    <row r="84" spans="3:17" ht="18.75" x14ac:dyDescent="0.4">
      <c r="C84" s="2567"/>
      <c r="D84" s="391" t="s">
        <v>779</v>
      </c>
      <c r="E84" s="340">
        <v>14.213630872006254</v>
      </c>
      <c r="F84" s="340">
        <v>14.532940362625929</v>
      </c>
      <c r="G84" s="340">
        <v>17.691741380983089</v>
      </c>
      <c r="H84" s="340">
        <v>17.370839403787965</v>
      </c>
      <c r="I84" s="340">
        <v>24.773187703690652</v>
      </c>
      <c r="J84" s="340">
        <v>18.401952771929444</v>
      </c>
      <c r="K84" s="340">
        <v>29.262634807638079</v>
      </c>
      <c r="L84" s="340">
        <v>23.02146228142691</v>
      </c>
      <c r="M84" s="340">
        <v>21.111494436348842</v>
      </c>
      <c r="N84" s="340">
        <v>25.859708545873097</v>
      </c>
      <c r="O84" s="340">
        <v>15.987929113519291</v>
      </c>
      <c r="P84" s="340">
        <v>28.550472805674652</v>
      </c>
      <c r="Q84" s="340">
        <v>1.455498144239866</v>
      </c>
    </row>
    <row r="85" spans="3:17" ht="18.75" x14ac:dyDescent="0.4">
      <c r="C85" s="2567"/>
      <c r="D85" s="391" t="s">
        <v>780</v>
      </c>
      <c r="E85" s="392" t="s">
        <v>751</v>
      </c>
      <c r="F85" s="340">
        <v>15.569048731122528</v>
      </c>
      <c r="G85" s="340">
        <v>7.6740081344486226</v>
      </c>
      <c r="H85" s="340">
        <v>15.13431706394249</v>
      </c>
      <c r="I85" s="340">
        <v>7.4649148999701405</v>
      </c>
      <c r="J85" s="340">
        <v>14.74165253924965</v>
      </c>
      <c r="K85" s="340">
        <v>21.834061135371179</v>
      </c>
      <c r="L85" s="340">
        <v>14.402995823131212</v>
      </c>
      <c r="M85" s="340">
        <v>7.1194646162608581</v>
      </c>
      <c r="N85" s="340">
        <v>7.040270346381301</v>
      </c>
      <c r="O85" s="392" t="s">
        <v>751</v>
      </c>
      <c r="P85" s="340">
        <v>20.705362688936436</v>
      </c>
      <c r="Q85" s="340">
        <v>6.8357372342607157</v>
      </c>
    </row>
    <row r="86" spans="3:17" ht="18.75" x14ac:dyDescent="0.4">
      <c r="C86" s="2567"/>
      <c r="D86" s="391" t="s">
        <v>781</v>
      </c>
      <c r="E86" s="392" t="s">
        <v>751</v>
      </c>
      <c r="F86" s="340">
        <v>10.032102728731942</v>
      </c>
      <c r="G86" s="340">
        <v>4.9500049500049501</v>
      </c>
      <c r="H86" s="340">
        <v>4.8861526434085798</v>
      </c>
      <c r="I86" s="392" t="s">
        <v>751</v>
      </c>
      <c r="J86" s="340">
        <v>9.5347063310450046</v>
      </c>
      <c r="K86" s="340">
        <v>9.418412997409936</v>
      </c>
      <c r="L86" s="340">
        <v>18.622840914381488</v>
      </c>
      <c r="M86" s="340">
        <v>9.2064076597311715</v>
      </c>
      <c r="N86" s="392" t="s">
        <v>751</v>
      </c>
      <c r="O86" s="340">
        <v>4.5114138771090859</v>
      </c>
      <c r="P86" s="340">
        <v>22.329403358342265</v>
      </c>
      <c r="Q86" s="340">
        <v>61.957868649318463</v>
      </c>
    </row>
    <row r="87" spans="3:17" ht="18.75" x14ac:dyDescent="0.4">
      <c r="C87" s="2567"/>
      <c r="D87" s="391" t="s">
        <v>782</v>
      </c>
      <c r="E87" s="340">
        <v>32.17434203470539</v>
      </c>
      <c r="F87" s="340">
        <v>31.674303693223813</v>
      </c>
      <c r="G87" s="340">
        <v>20.77706212341575</v>
      </c>
      <c r="H87" s="340">
        <v>12.267429973420569</v>
      </c>
      <c r="I87" s="340">
        <v>30.182908425055839</v>
      </c>
      <c r="J87" s="340">
        <v>17.834495878249843</v>
      </c>
      <c r="K87" s="340">
        <v>42.970428532364544</v>
      </c>
      <c r="L87" s="340">
        <v>30.810706720585401</v>
      </c>
      <c r="M87" s="340">
        <v>22.791589903325672</v>
      </c>
      <c r="N87" s="340">
        <v>24.357797305652884</v>
      </c>
      <c r="O87" s="340">
        <v>25.899546757931738</v>
      </c>
      <c r="P87" s="340">
        <v>29.215206514991053</v>
      </c>
      <c r="Q87" s="340">
        <v>18.029062849313092</v>
      </c>
    </row>
    <row r="88" spans="3:17" ht="18.75" x14ac:dyDescent="0.4">
      <c r="C88" s="2567"/>
      <c r="D88" s="391" t="s">
        <v>783</v>
      </c>
      <c r="E88" s="340">
        <v>30.054850101435118</v>
      </c>
      <c r="F88" s="340">
        <v>18.314347459800008</v>
      </c>
      <c r="G88" s="340">
        <v>28.583678719451193</v>
      </c>
      <c r="H88" s="340">
        <v>24.395343974350038</v>
      </c>
      <c r="I88" s="340">
        <v>30.622660768969038</v>
      </c>
      <c r="J88" s="340">
        <v>6.650262685376072</v>
      </c>
      <c r="K88" s="340">
        <v>32.451728054518902</v>
      </c>
      <c r="L88" s="340">
        <v>47.549610093197238</v>
      </c>
      <c r="M88" s="340">
        <v>43.38394793926247</v>
      </c>
      <c r="N88" s="340">
        <v>33.340405540569215</v>
      </c>
      <c r="O88" s="340">
        <v>11.873311763483629</v>
      </c>
      <c r="P88" s="340">
        <v>40.649226212943873</v>
      </c>
      <c r="Q88" s="340">
        <v>11.367511651699443</v>
      </c>
    </row>
    <row r="89" spans="3:17" ht="18.75" x14ac:dyDescent="0.4">
      <c r="C89" s="2567"/>
      <c r="D89" s="391" t="s">
        <v>784</v>
      </c>
      <c r="E89" s="340">
        <v>11.986096128490951</v>
      </c>
      <c r="F89" s="340">
        <v>11.799410029498526</v>
      </c>
      <c r="G89" s="340">
        <v>17.410481109627998</v>
      </c>
      <c r="H89" s="340">
        <v>5.7120009139201464</v>
      </c>
      <c r="I89" s="340">
        <v>33.745781777277841</v>
      </c>
      <c r="J89" s="340">
        <v>44.299241375491448</v>
      </c>
      <c r="K89" s="340">
        <v>32.777929527451519</v>
      </c>
      <c r="L89" s="340">
        <v>43.14761879078798</v>
      </c>
      <c r="M89" s="340">
        <v>47.933532168726032</v>
      </c>
      <c r="N89" s="340">
        <v>21.041557075223565</v>
      </c>
      <c r="O89" s="340">
        <v>20.794343938448741</v>
      </c>
      <c r="P89" s="392" t="s">
        <v>751</v>
      </c>
      <c r="Q89" s="392">
        <v>10.154346060113728</v>
      </c>
    </row>
    <row r="90" spans="3:17" ht="18.75" x14ac:dyDescent="0.4">
      <c r="C90" s="2567"/>
      <c r="D90" s="391" t="s">
        <v>785</v>
      </c>
      <c r="E90" s="392" t="s">
        <v>786</v>
      </c>
      <c r="F90" s="392" t="s">
        <v>786</v>
      </c>
      <c r="G90" s="392" t="s">
        <v>786</v>
      </c>
      <c r="H90" s="392" t="s">
        <v>786</v>
      </c>
      <c r="I90" s="392" t="s">
        <v>786</v>
      </c>
      <c r="J90" s="392" t="s">
        <v>786</v>
      </c>
      <c r="K90" s="392" t="s">
        <v>786</v>
      </c>
      <c r="L90" s="392" t="s">
        <v>786</v>
      </c>
      <c r="M90" s="392" t="s">
        <v>786</v>
      </c>
      <c r="N90" s="340">
        <v>58.124515629036424</v>
      </c>
      <c r="O90" s="340">
        <v>18.977732793522268</v>
      </c>
      <c r="P90" s="340">
        <v>6.1881188118811883</v>
      </c>
      <c r="Q90" s="392" t="s">
        <v>751</v>
      </c>
    </row>
    <row r="91" spans="3:17" ht="18.75" x14ac:dyDescent="0.4">
      <c r="C91" s="2567" t="s">
        <v>330</v>
      </c>
      <c r="D91" s="391" t="s">
        <v>330</v>
      </c>
      <c r="E91" s="340">
        <v>9.9830952919722602</v>
      </c>
      <c r="F91" s="340">
        <v>9.8831156851634674</v>
      </c>
      <c r="G91" s="340">
        <v>9.1320626720415383</v>
      </c>
      <c r="H91" s="340">
        <v>7.1049334073968806</v>
      </c>
      <c r="I91" s="340">
        <v>6.3969294738525511</v>
      </c>
      <c r="J91" s="340">
        <v>8.8723272114275566</v>
      </c>
      <c r="K91" s="340">
        <v>11.310653378743512</v>
      </c>
      <c r="L91" s="340">
        <v>10.594738777367146</v>
      </c>
      <c r="M91" s="340">
        <v>6.1832594433829851</v>
      </c>
      <c r="N91" s="340">
        <v>9.8193244304791829</v>
      </c>
      <c r="O91" s="340">
        <v>11.576824416132</v>
      </c>
      <c r="P91" s="340">
        <v>7.8694875752898081</v>
      </c>
      <c r="Q91" s="340">
        <v>6.0167023657673706</v>
      </c>
    </row>
    <row r="92" spans="3:17" ht="18.75" x14ac:dyDescent="0.4">
      <c r="C92" s="2567"/>
      <c r="D92" s="391" t="s">
        <v>787</v>
      </c>
      <c r="E92" s="340">
        <v>1.7412198986610019</v>
      </c>
      <c r="F92" s="340">
        <v>6.8929863863518879</v>
      </c>
      <c r="G92" s="340">
        <v>5.1158745587558192</v>
      </c>
      <c r="H92" s="340">
        <v>5.0625221485344003</v>
      </c>
      <c r="I92" s="340">
        <v>10.023220460734032</v>
      </c>
      <c r="J92" s="340">
        <v>6.6172578083642142</v>
      </c>
      <c r="K92" s="340">
        <v>9.8392915710068873</v>
      </c>
      <c r="L92" s="340">
        <v>9.7556216769913657</v>
      </c>
      <c r="M92" s="340">
        <v>17.739932588256163</v>
      </c>
      <c r="N92" s="340">
        <v>9.6030729833546733</v>
      </c>
      <c r="O92" s="340">
        <v>6.3551580051159018</v>
      </c>
      <c r="P92" s="340">
        <v>4.7336531178995198</v>
      </c>
      <c r="Q92" s="340">
        <v>6.2699855790331682</v>
      </c>
    </row>
    <row r="93" spans="3:17" ht="18.75" x14ac:dyDescent="0.4">
      <c r="C93" s="2567"/>
      <c r="D93" s="391" t="s">
        <v>788</v>
      </c>
      <c r="E93" s="340">
        <v>8.0120982683852624</v>
      </c>
      <c r="F93" s="340">
        <v>9.8819111616186568</v>
      </c>
      <c r="G93" s="340">
        <v>18.530800140443962</v>
      </c>
      <c r="H93" s="340">
        <v>6.7395176430944019</v>
      </c>
      <c r="I93" s="340">
        <v>13.308743844705971</v>
      </c>
      <c r="J93" s="340">
        <v>9.3905531035778012</v>
      </c>
      <c r="K93" s="340">
        <v>5.5681870910862603</v>
      </c>
      <c r="L93" s="340">
        <v>4.5875768419121021</v>
      </c>
      <c r="M93" s="340">
        <v>10.88988511171207</v>
      </c>
      <c r="N93" s="340">
        <v>6.2854115597697744</v>
      </c>
      <c r="O93" s="340">
        <v>8.8882568350695053</v>
      </c>
      <c r="P93" s="340">
        <v>7.9237907414907296</v>
      </c>
      <c r="Q93" s="340">
        <v>5.2349168956942806</v>
      </c>
    </row>
    <row r="94" spans="3:17" ht="18.75" x14ac:dyDescent="0.4">
      <c r="C94" s="2567"/>
      <c r="D94" s="391" t="s">
        <v>789</v>
      </c>
      <c r="E94" s="340">
        <v>6.3954975697109235</v>
      </c>
      <c r="F94" s="392" t="s">
        <v>751</v>
      </c>
      <c r="G94" s="340">
        <v>25.276461295418642</v>
      </c>
      <c r="H94" s="340">
        <v>6.2782521346057267</v>
      </c>
      <c r="I94" s="340">
        <v>18.717244821562264</v>
      </c>
      <c r="J94" s="340">
        <v>18.608113137327877</v>
      </c>
      <c r="K94" s="340">
        <v>6.1850569025235043</v>
      </c>
      <c r="L94" s="340">
        <v>12.333497779970401</v>
      </c>
      <c r="M94" s="340">
        <v>18.45585973546601</v>
      </c>
      <c r="N94" s="340">
        <v>18.40942562592047</v>
      </c>
      <c r="O94" s="392" t="s">
        <v>751</v>
      </c>
      <c r="P94" s="340">
        <v>18.36210062431142</v>
      </c>
      <c r="Q94" s="340">
        <v>6.1120958376627348</v>
      </c>
    </row>
    <row r="95" spans="3:17" ht="18.75" x14ac:dyDescent="0.4">
      <c r="C95" s="2567"/>
      <c r="D95" s="391" t="s">
        <v>790</v>
      </c>
      <c r="E95" s="340">
        <v>5.5180024831011174</v>
      </c>
      <c r="F95" s="340">
        <v>4.1304677066266473</v>
      </c>
      <c r="G95" s="340">
        <v>6.8629469494200812</v>
      </c>
      <c r="H95" s="340">
        <v>8.2119785393627502</v>
      </c>
      <c r="I95" s="340">
        <v>8.1882198809978703</v>
      </c>
      <c r="J95" s="340">
        <v>9.5299034756919383</v>
      </c>
      <c r="K95" s="340">
        <v>8.1606006202056474</v>
      </c>
      <c r="L95" s="340">
        <v>12.232415902140673</v>
      </c>
      <c r="M95" s="340">
        <v>5.4336013910019565</v>
      </c>
      <c r="N95" s="340">
        <v>10.86130118388183</v>
      </c>
      <c r="O95" s="340">
        <v>9.5032514696099586</v>
      </c>
      <c r="P95" s="340">
        <v>9.5100942857919186</v>
      </c>
      <c r="Q95" s="340">
        <v>6.7984662660103874</v>
      </c>
    </row>
    <row r="96" spans="3:17" ht="18.75" x14ac:dyDescent="0.4">
      <c r="C96" s="2567"/>
      <c r="D96" s="391" t="s">
        <v>791</v>
      </c>
      <c r="E96" s="340">
        <v>21.153574954167254</v>
      </c>
      <c r="F96" s="340">
        <v>6.9920290868410016</v>
      </c>
      <c r="G96" s="340">
        <v>20.77706212341575</v>
      </c>
      <c r="H96" s="340">
        <v>20.563438206868188</v>
      </c>
      <c r="I96" s="392" t="s">
        <v>751</v>
      </c>
      <c r="J96" s="392" t="s">
        <v>751</v>
      </c>
      <c r="K96" s="340">
        <v>13.354700854700855</v>
      </c>
      <c r="L96" s="392" t="s">
        <v>751</v>
      </c>
      <c r="M96" s="340">
        <v>13.141467901964649</v>
      </c>
      <c r="N96" s="340">
        <v>13.053126223730585</v>
      </c>
      <c r="O96" s="392" t="s">
        <v>751</v>
      </c>
      <c r="P96" s="340">
        <v>19.324916258696213</v>
      </c>
      <c r="Q96" s="340">
        <v>12.808197246237592</v>
      </c>
    </row>
    <row r="97" spans="3:17" ht="18.75" x14ac:dyDescent="0.4">
      <c r="C97" s="2567"/>
      <c r="D97" s="391" t="s">
        <v>792</v>
      </c>
      <c r="E97" s="340">
        <v>4.3781878680414179</v>
      </c>
      <c r="F97" s="340">
        <v>4.3350095370209818</v>
      </c>
      <c r="G97" s="340">
        <v>6.4369394498562418</v>
      </c>
      <c r="H97" s="340">
        <v>4.2479981308808226</v>
      </c>
      <c r="I97" s="340">
        <v>4.2060988433228186</v>
      </c>
      <c r="J97" s="340">
        <v>6.248958506915514</v>
      </c>
      <c r="K97" s="340">
        <v>4.1298422400264316</v>
      </c>
      <c r="L97" s="340">
        <v>8.1916854392791318</v>
      </c>
      <c r="M97" s="340">
        <v>8.1252920026813467</v>
      </c>
      <c r="N97" s="340">
        <v>8.0638658172728004</v>
      </c>
      <c r="O97" s="340">
        <v>8.0044825102057153</v>
      </c>
      <c r="P97" s="340">
        <v>1.9883878151594687</v>
      </c>
      <c r="Q97" s="340">
        <v>5.929439667951379</v>
      </c>
    </row>
    <row r="98" spans="3:17" ht="18.75" x14ac:dyDescent="0.4">
      <c r="C98" s="2567"/>
      <c r="D98" s="391" t="s">
        <v>793</v>
      </c>
      <c r="E98" s="340">
        <v>7.1392874991075885</v>
      </c>
      <c r="F98" s="340">
        <v>11.771907519894523</v>
      </c>
      <c r="G98" s="340">
        <v>9.3157576039871444</v>
      </c>
      <c r="H98" s="340">
        <v>16.12345963376713</v>
      </c>
      <c r="I98" s="340">
        <v>2.278838703796545</v>
      </c>
      <c r="J98" s="340">
        <v>18.044027426921687</v>
      </c>
      <c r="K98" s="340">
        <v>20.111282429442916</v>
      </c>
      <c r="L98" s="340">
        <v>6.6439296629313027</v>
      </c>
      <c r="M98" s="340">
        <v>13.172916483709493</v>
      </c>
      <c r="N98" s="340">
        <v>8.7079568956133677</v>
      </c>
      <c r="O98" s="340">
        <v>12.95784381478922</v>
      </c>
      <c r="P98" s="340">
        <v>10.720871392426776</v>
      </c>
      <c r="Q98" s="340">
        <v>8.5180689537681804</v>
      </c>
    </row>
    <row r="99" spans="3:17" ht="18.75" x14ac:dyDescent="0.4">
      <c r="C99" s="2570" t="s">
        <v>331</v>
      </c>
      <c r="D99" s="391" t="s">
        <v>331</v>
      </c>
      <c r="E99" s="340">
        <v>8.6717278023476734</v>
      </c>
      <c r="F99" s="340">
        <v>5.445521447575187</v>
      </c>
      <c r="G99" s="340">
        <v>9.981112663728636</v>
      </c>
      <c r="H99" s="340">
        <v>8.3375652793463342</v>
      </c>
      <c r="I99" s="340">
        <v>10.477943928031493</v>
      </c>
      <c r="J99" s="340">
        <v>11.826272063388819</v>
      </c>
      <c r="K99" s="340">
        <v>17.524899962029384</v>
      </c>
      <c r="L99" s="340">
        <v>11.547177436815289</v>
      </c>
      <c r="M99" s="340">
        <v>12.131505519835011</v>
      </c>
      <c r="N99" s="340">
        <v>7.0580097824015589</v>
      </c>
      <c r="O99" s="340">
        <v>7.6811351321155241</v>
      </c>
      <c r="P99" s="340">
        <v>5.5307440233397394</v>
      </c>
      <c r="Q99" s="340">
        <v>10.957403095466375</v>
      </c>
    </row>
    <row r="100" spans="3:17" ht="18.75" x14ac:dyDescent="0.4">
      <c r="C100" s="2570"/>
      <c r="D100" s="391" t="s">
        <v>794</v>
      </c>
      <c r="E100" s="340">
        <v>7.4211502782931351</v>
      </c>
      <c r="F100" s="340">
        <v>14.603514579175389</v>
      </c>
      <c r="G100" s="340">
        <v>7.1837360216469914</v>
      </c>
      <c r="H100" s="340">
        <v>2.3560456130430687</v>
      </c>
      <c r="I100" s="340">
        <v>6.9589422407794022</v>
      </c>
      <c r="J100" s="340">
        <v>15.990497076023392</v>
      </c>
      <c r="K100" s="340">
        <v>15.748385790456478</v>
      </c>
      <c r="L100" s="340">
        <v>17.735999645280007</v>
      </c>
      <c r="M100" s="340">
        <v>8.742978295556382</v>
      </c>
      <c r="N100" s="340">
        <v>15.092712376024148</v>
      </c>
      <c r="O100" s="340">
        <v>8.5102761584613429</v>
      </c>
      <c r="P100" s="340">
        <v>8.4014198399529523</v>
      </c>
      <c r="Q100" s="340">
        <v>8.3004772774434521</v>
      </c>
    </row>
    <row r="101" spans="3:17" ht="18.75" x14ac:dyDescent="0.4">
      <c r="C101" s="2570"/>
      <c r="D101" s="391" t="s">
        <v>795</v>
      </c>
      <c r="E101" s="340">
        <v>6.8122984695036104</v>
      </c>
      <c r="F101" s="340">
        <v>11.223596489259018</v>
      </c>
      <c r="G101" s="340">
        <v>11.090163025396473</v>
      </c>
      <c r="H101" s="340">
        <v>10.960345470089218</v>
      </c>
      <c r="I101" s="340">
        <v>8.665323541517731</v>
      </c>
      <c r="J101" s="392" t="s">
        <v>751</v>
      </c>
      <c r="K101" s="340">
        <v>8.4745762711864412</v>
      </c>
      <c r="L101" s="340">
        <v>14.683671757006209</v>
      </c>
      <c r="M101" s="340">
        <v>10.388531061707875</v>
      </c>
      <c r="N101" s="340">
        <v>12.350507400012351</v>
      </c>
      <c r="O101" s="340">
        <v>6.1168314812926905</v>
      </c>
      <c r="P101" s="340">
        <v>8.0871797982248648</v>
      </c>
      <c r="Q101" s="340">
        <v>4.0132437042239388</v>
      </c>
    </row>
    <row r="102" spans="3:17" ht="18.75" x14ac:dyDescent="0.4">
      <c r="C102" s="2570"/>
      <c r="D102" s="391" t="s">
        <v>796</v>
      </c>
      <c r="E102" s="340">
        <v>10.887908977080953</v>
      </c>
      <c r="F102" s="340">
        <v>8.0344947641875795</v>
      </c>
      <c r="G102" s="340">
        <v>7.9007663743383105</v>
      </c>
      <c r="H102" s="340">
        <v>15.545652399212353</v>
      </c>
      <c r="I102" s="340">
        <v>5.0980092273967017</v>
      </c>
      <c r="J102" s="340">
        <v>12.549255829129333</v>
      </c>
      <c r="K102" s="340">
        <v>12.360328290319391</v>
      </c>
      <c r="L102" s="392" t="s">
        <v>751</v>
      </c>
      <c r="M102" s="340">
        <v>12.008550087662416</v>
      </c>
      <c r="N102" s="340">
        <v>18.953752843062926</v>
      </c>
      <c r="O102" s="340">
        <v>7.0129505820748976</v>
      </c>
      <c r="P102" s="340">
        <v>6.9224911738237536</v>
      </c>
      <c r="Q102" s="340">
        <v>9.1161857878663568</v>
      </c>
    </row>
    <row r="103" spans="3:17" ht="18.75" x14ac:dyDescent="0.4">
      <c r="C103" s="2570"/>
      <c r="D103" s="391" t="s">
        <v>797</v>
      </c>
      <c r="E103" s="340">
        <v>4.1493775933609953</v>
      </c>
      <c r="F103" s="340">
        <v>2.0439865914479602</v>
      </c>
      <c r="G103" s="340">
        <v>10.074551682450132</v>
      </c>
      <c r="H103" s="340">
        <v>1.9868075975522532</v>
      </c>
      <c r="I103" s="340">
        <v>1.9597083953907657</v>
      </c>
      <c r="J103" s="340">
        <v>5.7986701716406372</v>
      </c>
      <c r="K103" s="340">
        <v>11.434669919194999</v>
      </c>
      <c r="L103" s="340">
        <v>13.158636765231124</v>
      </c>
      <c r="M103" s="340">
        <v>5.5657594478766628</v>
      </c>
      <c r="N103" s="340">
        <v>3.6638760144356719</v>
      </c>
      <c r="O103" s="340">
        <v>3.6186650744540341</v>
      </c>
      <c r="P103" s="340">
        <v>3.5763460472435309</v>
      </c>
      <c r="Q103" s="340">
        <v>8.8401697312588396</v>
      </c>
    </row>
    <row r="104" spans="3:17" ht="18.75" x14ac:dyDescent="0.4">
      <c r="C104" s="2570"/>
      <c r="D104" s="391" t="s">
        <v>798</v>
      </c>
      <c r="E104" s="340">
        <v>24.256537136758354</v>
      </c>
      <c r="F104" s="392" t="s">
        <v>751</v>
      </c>
      <c r="G104" s="340">
        <v>9.4540297801938067</v>
      </c>
      <c r="H104" s="340">
        <v>27.99421452899734</v>
      </c>
      <c r="I104" s="340">
        <v>18.422991893883566</v>
      </c>
      <c r="J104" s="340">
        <v>4.5485558335228564</v>
      </c>
      <c r="K104" s="340">
        <v>17.979952353126261</v>
      </c>
      <c r="L104" s="340">
        <v>8.8888888888888893</v>
      </c>
      <c r="M104" s="340">
        <v>8.7896633558934703</v>
      </c>
      <c r="N104" s="340">
        <v>21.742911810749696</v>
      </c>
      <c r="O104" s="340">
        <v>12.914334911752045</v>
      </c>
      <c r="P104" s="340">
        <v>17.059024223814401</v>
      </c>
      <c r="Q104" s="340">
        <v>4.2274360600295919</v>
      </c>
    </row>
    <row r="105" spans="3:17" ht="18.75" x14ac:dyDescent="0.4">
      <c r="C105" s="2570"/>
      <c r="D105" s="391" t="s">
        <v>799</v>
      </c>
      <c r="E105" s="340">
        <v>20.902136198319468</v>
      </c>
      <c r="F105" s="340">
        <v>20.667989417989418</v>
      </c>
      <c r="G105" s="340">
        <v>12.257906349595489</v>
      </c>
      <c r="H105" s="340">
        <v>16.160963193406328</v>
      </c>
      <c r="I105" s="340">
        <v>7.9923273657289009</v>
      </c>
      <c r="J105" s="340">
        <v>3.9531941808981657</v>
      </c>
      <c r="K105" s="340">
        <v>7.8296273097400571</v>
      </c>
      <c r="L105" s="340">
        <v>3.8785246092386454</v>
      </c>
      <c r="M105" s="340">
        <v>19.218942189421895</v>
      </c>
      <c r="N105" s="340">
        <v>7.6228227312573846</v>
      </c>
      <c r="O105" s="340">
        <v>15.117729317056579</v>
      </c>
      <c r="P105" s="340">
        <v>7.5013127297277027</v>
      </c>
      <c r="Q105" s="340">
        <v>7.4479573976836848</v>
      </c>
    </row>
    <row r="106" spans="3:17" ht="18.75" x14ac:dyDescent="0.4">
      <c r="C106" s="2570"/>
      <c r="D106" s="391" t="s">
        <v>800</v>
      </c>
      <c r="E106" s="340">
        <v>9.1684239479233529</v>
      </c>
      <c r="F106" s="340">
        <v>13.556871074156085</v>
      </c>
      <c r="G106" s="340">
        <v>17.81340458695168</v>
      </c>
      <c r="H106" s="340">
        <v>17.558491725560774</v>
      </c>
      <c r="I106" s="340">
        <v>25.967281225655675</v>
      </c>
      <c r="J106" s="340">
        <v>21.343806027490825</v>
      </c>
      <c r="K106" s="340">
        <v>4.2142526023009825</v>
      </c>
      <c r="L106" s="340">
        <v>20.809056101215251</v>
      </c>
      <c r="M106" s="340">
        <v>16.450750565494552</v>
      </c>
      <c r="N106" s="340">
        <v>12.193634922570419</v>
      </c>
      <c r="O106" s="340">
        <v>8.0366471108253634</v>
      </c>
      <c r="P106" s="340">
        <v>3.9766174891637176</v>
      </c>
      <c r="Q106" s="340">
        <v>3.9368528798078817</v>
      </c>
    </row>
    <row r="107" spans="3:17" ht="18.75" x14ac:dyDescent="0.4">
      <c r="C107" s="2570"/>
      <c r="D107" s="391" t="s">
        <v>801</v>
      </c>
      <c r="E107" s="392" t="s">
        <v>751</v>
      </c>
      <c r="F107" s="340">
        <v>3.4451870736580994</v>
      </c>
      <c r="G107" s="392" t="s">
        <v>751</v>
      </c>
      <c r="H107" s="340">
        <v>6.7590402162892866</v>
      </c>
      <c r="I107" s="340">
        <v>10.043858180722488</v>
      </c>
      <c r="J107" s="340">
        <v>6.634819532908705</v>
      </c>
      <c r="K107" s="340">
        <v>9.878169245966415</v>
      </c>
      <c r="L107" s="340">
        <v>13.077878768063821</v>
      </c>
      <c r="M107" s="340">
        <v>6.4939281771543609</v>
      </c>
      <c r="N107" s="340">
        <v>16.129032258064516</v>
      </c>
      <c r="O107" s="340">
        <v>12.820512820512821</v>
      </c>
      <c r="P107" s="340">
        <v>15.939811272634531</v>
      </c>
      <c r="Q107" s="340">
        <v>38.072273866556678</v>
      </c>
    </row>
    <row r="108" spans="3:17" ht="18.75" x14ac:dyDescent="0.4">
      <c r="C108" s="2570"/>
      <c r="D108" s="391" t="s">
        <v>802</v>
      </c>
      <c r="E108" s="340">
        <v>20.765446297361191</v>
      </c>
      <c r="F108" s="340">
        <v>21.709465326882523</v>
      </c>
      <c r="G108" s="340">
        <v>19.574480899823829</v>
      </c>
      <c r="H108" s="340">
        <v>16.091516844892407</v>
      </c>
      <c r="I108" s="340">
        <v>18.492439437260842</v>
      </c>
      <c r="J108" s="340">
        <v>30.463319394056885</v>
      </c>
      <c r="K108" s="340">
        <v>30.916471758475144</v>
      </c>
      <c r="L108" s="340">
        <v>26.119549176581213</v>
      </c>
      <c r="M108" s="340">
        <v>24.130354716214327</v>
      </c>
      <c r="N108" s="340">
        <v>22.251066196921936</v>
      </c>
      <c r="O108" s="340">
        <v>19.273625248449076</v>
      </c>
      <c r="P108" s="340">
        <v>14.059589225668123</v>
      </c>
      <c r="Q108" s="340">
        <v>14.825458733905823</v>
      </c>
    </row>
    <row r="109" spans="3:17" ht="18.75" x14ac:dyDescent="0.4">
      <c r="C109" s="2570" t="s">
        <v>332</v>
      </c>
      <c r="D109" s="391" t="s">
        <v>803</v>
      </c>
      <c r="E109" s="340">
        <v>20.472763350603945</v>
      </c>
      <c r="F109" s="340">
        <v>12.346250598021513</v>
      </c>
      <c r="G109" s="340">
        <v>9.073724007561438</v>
      </c>
      <c r="H109" s="340">
        <v>22.234409972874023</v>
      </c>
      <c r="I109" s="340">
        <v>26.168496038380457</v>
      </c>
      <c r="J109" s="340">
        <v>14.263707422833342</v>
      </c>
      <c r="K109" s="340">
        <v>15.378592998546022</v>
      </c>
      <c r="L109" s="340">
        <v>27.42393286621234</v>
      </c>
      <c r="M109" s="340">
        <v>16.150740242261104</v>
      </c>
      <c r="N109" s="340">
        <v>21.152829190904285</v>
      </c>
      <c r="O109" s="340">
        <v>10.393794904442048</v>
      </c>
      <c r="P109" s="340">
        <v>20.431096128307285</v>
      </c>
      <c r="Q109" s="340">
        <v>25.122472051249844</v>
      </c>
    </row>
    <row r="110" spans="3:17" ht="18.75" x14ac:dyDescent="0.4">
      <c r="C110" s="2570"/>
      <c r="D110" s="391" t="s">
        <v>804</v>
      </c>
      <c r="E110" s="340">
        <v>21.651838437918276</v>
      </c>
      <c r="F110" s="340">
        <v>23.359482976776782</v>
      </c>
      <c r="G110" s="340">
        <v>17.3120203127705</v>
      </c>
      <c r="H110" s="340">
        <v>24.712010036877924</v>
      </c>
      <c r="I110" s="340">
        <v>22.55130421709389</v>
      </c>
      <c r="J110" s="340">
        <v>33.439224209998329</v>
      </c>
      <c r="K110" s="340">
        <v>29.413927494668727</v>
      </c>
      <c r="L110" s="340">
        <v>43.669711415990392</v>
      </c>
      <c r="M110" s="340">
        <v>23.41835999423548</v>
      </c>
      <c r="N110" s="340">
        <v>23.192335825022745</v>
      </c>
      <c r="O110" s="340">
        <v>22.971850647629481</v>
      </c>
      <c r="P110" s="340">
        <v>19.25601750547046</v>
      </c>
      <c r="Q110" s="340">
        <v>38.178536720810769</v>
      </c>
    </row>
    <row r="111" spans="3:17" ht="18.75" x14ac:dyDescent="0.4">
      <c r="C111" s="2570"/>
      <c r="D111" s="391" t="s">
        <v>805</v>
      </c>
      <c r="E111" s="340">
        <v>10.52834757584797</v>
      </c>
      <c r="F111" s="340">
        <v>18.930593560156264</v>
      </c>
      <c r="G111" s="340">
        <v>15.177833617215038</v>
      </c>
      <c r="H111" s="340">
        <v>13.224233407719646</v>
      </c>
      <c r="I111" s="340">
        <v>27.549995138236152</v>
      </c>
      <c r="J111" s="340">
        <v>44.52076575717102</v>
      </c>
      <c r="K111" s="340">
        <v>32.752113291119493</v>
      </c>
      <c r="L111" s="340">
        <v>24.485423521309972</v>
      </c>
      <c r="M111" s="340">
        <v>30.047625486395937</v>
      </c>
      <c r="N111" s="340">
        <v>25.089288349715165</v>
      </c>
      <c r="O111" s="340">
        <v>11.604461915606551</v>
      </c>
      <c r="P111" s="340">
        <v>21.390374331550802</v>
      </c>
      <c r="Q111" s="340">
        <v>15.431232815217999</v>
      </c>
    </row>
    <row r="112" spans="3:17" ht="18.75" x14ac:dyDescent="0.4">
      <c r="C112" s="2570"/>
      <c r="D112" s="391" t="s">
        <v>806</v>
      </c>
      <c r="E112" s="340">
        <v>19.547475932170258</v>
      </c>
      <c r="F112" s="340">
        <v>19.208605455243951</v>
      </c>
      <c r="G112" s="340">
        <v>23.599376976447822</v>
      </c>
      <c r="H112" s="340">
        <v>32.45699448231094</v>
      </c>
      <c r="I112" s="340">
        <v>13.676148796498905</v>
      </c>
      <c r="J112" s="340">
        <v>17.936415407380835</v>
      </c>
      <c r="K112" s="340">
        <v>44.095599259193932</v>
      </c>
      <c r="L112" s="340">
        <v>17.355838070030806</v>
      </c>
      <c r="M112" s="340">
        <v>8.5400742986463989</v>
      </c>
      <c r="N112" s="340">
        <v>16.825103053756205</v>
      </c>
      <c r="O112" s="340">
        <v>20.721094073767095</v>
      </c>
      <c r="P112" s="340">
        <v>16.330529925696087</v>
      </c>
      <c r="Q112" s="340">
        <v>88.541876282851049</v>
      </c>
    </row>
    <row r="113" spans="3:17" ht="18.75" x14ac:dyDescent="0.4">
      <c r="C113" s="2570"/>
      <c r="D113" s="391" t="s">
        <v>807</v>
      </c>
      <c r="E113" s="340">
        <v>37.583892617449663</v>
      </c>
      <c r="F113" s="340">
        <v>23.641903961332353</v>
      </c>
      <c r="G113" s="340">
        <v>38.564376799670917</v>
      </c>
      <c r="H113" s="340">
        <v>17.618484306964337</v>
      </c>
      <c r="I113" s="340">
        <v>34.518467380048321</v>
      </c>
      <c r="J113" s="340">
        <v>43.488765402271078</v>
      </c>
      <c r="K113" s="340">
        <v>44.890726520968698</v>
      </c>
      <c r="L113" s="340">
        <v>30.057108506161704</v>
      </c>
      <c r="M113" s="340">
        <v>29.440405824671057</v>
      </c>
      <c r="N113" s="340">
        <v>26.638843874175862</v>
      </c>
      <c r="O113" s="340">
        <v>15.23759768388515</v>
      </c>
      <c r="P113" s="340">
        <v>23.476683384910896</v>
      </c>
      <c r="Q113" s="340">
        <v>12.563866320462351</v>
      </c>
    </row>
    <row r="114" spans="3:17" ht="18.75" x14ac:dyDescent="0.4">
      <c r="C114" s="2570"/>
      <c r="D114" s="391" t="s">
        <v>808</v>
      </c>
      <c r="E114" s="340">
        <v>20.784259387557157</v>
      </c>
      <c r="F114" s="340">
        <v>17.103372785113223</v>
      </c>
      <c r="G114" s="340">
        <v>23.626299446469556</v>
      </c>
      <c r="H114" s="340">
        <v>23.321672497084791</v>
      </c>
      <c r="I114" s="340">
        <v>19.727108334703271</v>
      </c>
      <c r="J114" s="340">
        <v>19.484947877764426</v>
      </c>
      <c r="K114" s="340">
        <v>51.314945477870438</v>
      </c>
      <c r="L114" s="340">
        <v>28.50717430553356</v>
      </c>
      <c r="M114" s="340">
        <v>25.037556334501751</v>
      </c>
      <c r="N114" s="340">
        <v>15.467904098994586</v>
      </c>
      <c r="O114" s="340">
        <v>3.0595074193054921</v>
      </c>
      <c r="P114" s="340">
        <v>9.0793535500272373</v>
      </c>
      <c r="Q114" s="340">
        <v>32.941035546371999</v>
      </c>
    </row>
    <row r="115" spans="3:17" ht="18.75" x14ac:dyDescent="0.4">
      <c r="C115" s="2570"/>
      <c r="D115" s="391" t="s">
        <v>809</v>
      </c>
      <c r="E115" s="340">
        <v>21.818578519609449</v>
      </c>
      <c r="F115" s="340">
        <v>27.009507346586002</v>
      </c>
      <c r="G115" s="340">
        <v>37.441163885323064</v>
      </c>
      <c r="H115" s="340">
        <v>10.584810796507012</v>
      </c>
      <c r="I115" s="340">
        <v>26.20407735443635</v>
      </c>
      <c r="J115" s="340">
        <v>31.142946122703211</v>
      </c>
      <c r="K115" s="340">
        <v>15.440835863914767</v>
      </c>
      <c r="L115" s="340">
        <v>66.390889127215161</v>
      </c>
      <c r="M115" s="340">
        <v>25.338265849085289</v>
      </c>
      <c r="N115" s="340">
        <v>45.278462544649592</v>
      </c>
      <c r="O115" s="340">
        <v>34.972022382094323</v>
      </c>
      <c r="P115" s="340">
        <v>39.694353478217721</v>
      </c>
      <c r="Q115" s="340">
        <v>24.652401143871415</v>
      </c>
    </row>
    <row r="116" spans="3:17" ht="18.75" x14ac:dyDescent="0.4">
      <c r="C116" s="2570"/>
      <c r="D116" s="391" t="s">
        <v>810</v>
      </c>
      <c r="E116" s="340">
        <v>4.9478007025877</v>
      </c>
      <c r="F116" s="340">
        <v>9.821253191907287</v>
      </c>
      <c r="G116" s="340">
        <v>14.606358634792347</v>
      </c>
      <c r="H116" s="340">
        <v>9.6581031485416258</v>
      </c>
      <c r="I116" s="340">
        <v>9.5771680314131107</v>
      </c>
      <c r="J116" s="340">
        <v>9.5025419299662666</v>
      </c>
      <c r="K116" s="340">
        <v>18.875937898164313</v>
      </c>
      <c r="L116" s="340">
        <v>28.120166846323286</v>
      </c>
      <c r="M116" s="340">
        <v>18.626309662398139</v>
      </c>
      <c r="N116" s="340">
        <v>13.876682547758916</v>
      </c>
      <c r="O116" s="392" t="s">
        <v>751</v>
      </c>
      <c r="P116" s="340">
        <v>9.1478754059369702</v>
      </c>
      <c r="Q116" s="340">
        <v>22.743813682678311</v>
      </c>
    </row>
    <row r="117" spans="3:17" ht="18.75" x14ac:dyDescent="0.4">
      <c r="C117" s="2570"/>
      <c r="D117" s="391" t="s">
        <v>811</v>
      </c>
      <c r="E117" s="340">
        <v>17.796760989499909</v>
      </c>
      <c r="F117" s="340">
        <v>17.702248185519558</v>
      </c>
      <c r="G117" s="340">
        <v>17.599436818021822</v>
      </c>
      <c r="H117" s="340">
        <v>43.656683838295642</v>
      </c>
      <c r="I117" s="340">
        <v>43.38394793926247</v>
      </c>
      <c r="J117" s="340">
        <v>17.250301880282905</v>
      </c>
      <c r="K117" s="340">
        <v>51.555250042962705</v>
      </c>
      <c r="L117" s="392" t="s">
        <v>751</v>
      </c>
      <c r="M117" s="340">
        <v>51.225134465977966</v>
      </c>
      <c r="N117" s="340">
        <v>17.021276595744681</v>
      </c>
      <c r="O117" s="340">
        <v>8.4839229659794686</v>
      </c>
      <c r="P117" s="340">
        <v>59.246720270842154</v>
      </c>
      <c r="Q117" s="340">
        <v>25.342118601115054</v>
      </c>
    </row>
    <row r="118" spans="3:17" ht="18.75" x14ac:dyDescent="0.4">
      <c r="C118" s="2570"/>
      <c r="D118" s="391" t="s">
        <v>812</v>
      </c>
      <c r="E118" s="340">
        <v>9.020792927698345</v>
      </c>
      <c r="F118" s="340">
        <v>4.4161808867691219</v>
      </c>
      <c r="G118" s="340">
        <v>12.978585334198572</v>
      </c>
      <c r="H118" s="340">
        <v>38.138825324180019</v>
      </c>
      <c r="I118" s="340">
        <v>4.1523066063198106</v>
      </c>
      <c r="J118" s="340">
        <v>24.424994911459393</v>
      </c>
      <c r="K118" s="340">
        <v>23.919630043055335</v>
      </c>
      <c r="L118" s="340">
        <v>23.449407902450464</v>
      </c>
      <c r="M118" s="340">
        <v>22.991148407862973</v>
      </c>
      <c r="N118" s="340">
        <v>41.354938155569762</v>
      </c>
      <c r="O118" s="340">
        <v>7.3827980804724991</v>
      </c>
      <c r="P118" s="340">
        <v>10.877053043762011</v>
      </c>
      <c r="Q118" s="340">
        <v>7.124790709272915</v>
      </c>
    </row>
    <row r="119" spans="3:17" ht="18.75" x14ac:dyDescent="0.4">
      <c r="C119" s="2570"/>
      <c r="D119" s="391" t="s">
        <v>813</v>
      </c>
      <c r="E119" s="340">
        <v>13.449899125756557</v>
      </c>
      <c r="F119" s="392" t="s">
        <v>751</v>
      </c>
      <c r="G119" s="340">
        <v>13.234515616728428</v>
      </c>
      <c r="H119" s="392" t="s">
        <v>751</v>
      </c>
      <c r="I119" s="340">
        <v>26.024723487312947</v>
      </c>
      <c r="J119" s="340">
        <v>12.891581797086502</v>
      </c>
      <c r="K119" s="340">
        <v>25.614754098360656</v>
      </c>
      <c r="L119" s="340">
        <v>12.73074474856779</v>
      </c>
      <c r="M119" s="340">
        <v>50.620096178182742</v>
      </c>
      <c r="N119" s="392" t="s">
        <v>751</v>
      </c>
      <c r="O119" s="340">
        <v>50.01250312578145</v>
      </c>
      <c r="P119" s="340">
        <v>74.599030212607246</v>
      </c>
      <c r="Q119" s="392" t="s">
        <v>751</v>
      </c>
    </row>
    <row r="120" spans="3:17" ht="18.75" x14ac:dyDescent="0.4">
      <c r="C120" s="2567" t="s">
        <v>533</v>
      </c>
      <c r="D120" s="391" t="s">
        <v>533</v>
      </c>
      <c r="E120" s="340">
        <v>19.073840642207919</v>
      </c>
      <c r="F120" s="340">
        <v>22.850614110254213</v>
      </c>
      <c r="G120" s="340">
        <v>16.864760681015095</v>
      </c>
      <c r="H120" s="340">
        <v>20.550922815476426</v>
      </c>
      <c r="I120" s="340">
        <v>25.680734002070025</v>
      </c>
      <c r="J120" s="340">
        <v>24.528215112446535</v>
      </c>
      <c r="K120" s="340">
        <v>27.182120205376016</v>
      </c>
      <c r="L120" s="340">
        <v>21.577380952380953</v>
      </c>
      <c r="M120" s="340">
        <v>14.67050055747902</v>
      </c>
      <c r="N120" s="340">
        <v>25.321584118302443</v>
      </c>
      <c r="O120" s="340">
        <v>22.126736235028766</v>
      </c>
      <c r="P120" s="340">
        <v>28.167030490810507</v>
      </c>
      <c r="Q120" s="340">
        <v>26.631733509918522</v>
      </c>
    </row>
    <row r="121" spans="3:17" ht="18.75" x14ac:dyDescent="0.4">
      <c r="C121" s="2567"/>
      <c r="D121" s="391" t="s">
        <v>814</v>
      </c>
      <c r="E121" s="340">
        <v>9.2055601583356346</v>
      </c>
      <c r="F121" s="340">
        <v>15.093883958220131</v>
      </c>
      <c r="G121" s="340">
        <v>35.604082601471632</v>
      </c>
      <c r="H121" s="340">
        <v>20.413519582397715</v>
      </c>
      <c r="I121" s="340">
        <v>5.7369055131661986</v>
      </c>
      <c r="J121" s="340">
        <v>11.289230074508918</v>
      </c>
      <c r="K121" s="340">
        <v>25.008336112037348</v>
      </c>
      <c r="L121" s="340">
        <v>30.098229676854462</v>
      </c>
      <c r="M121" s="340">
        <v>8.0842922202161205</v>
      </c>
      <c r="N121" s="340">
        <v>21.25003320317688</v>
      </c>
      <c r="O121" s="340">
        <v>10.47586622318833</v>
      </c>
      <c r="P121" s="340">
        <v>18.081314253241722</v>
      </c>
      <c r="Q121" s="340">
        <v>25.481602283151563</v>
      </c>
    </row>
    <row r="122" spans="3:17" ht="18.75" x14ac:dyDescent="0.4">
      <c r="C122" s="2567"/>
      <c r="D122" s="391" t="s">
        <v>815</v>
      </c>
      <c r="E122" s="340">
        <v>14.993467132178123</v>
      </c>
      <c r="F122" s="340">
        <v>12.678556335051983</v>
      </c>
      <c r="G122" s="340">
        <v>12.499218798825074</v>
      </c>
      <c r="H122" s="340">
        <v>8.2125405494189625</v>
      </c>
      <c r="I122" s="340">
        <v>22.268558819361498</v>
      </c>
      <c r="J122" s="340">
        <v>9.9886129812014293</v>
      </c>
      <c r="K122" s="340">
        <v>15.766964268117226</v>
      </c>
      <c r="L122" s="340">
        <v>11.664754942939906</v>
      </c>
      <c r="M122" s="340">
        <v>17.265855810919696</v>
      </c>
      <c r="N122" s="340">
        <v>11.367080933616247</v>
      </c>
      <c r="O122" s="340">
        <v>16.842578037278237</v>
      </c>
      <c r="P122" s="340">
        <v>20.328583836927795</v>
      </c>
      <c r="Q122" s="340">
        <v>21.905005293709614</v>
      </c>
    </row>
    <row r="123" spans="3:17" ht="18.75" x14ac:dyDescent="0.4">
      <c r="C123" s="2567"/>
      <c r="D123" s="391" t="s">
        <v>816</v>
      </c>
      <c r="E123" s="392" t="s">
        <v>751</v>
      </c>
      <c r="F123" s="340">
        <v>23.18930200200974</v>
      </c>
      <c r="G123" s="340">
        <v>7.6335877862595423</v>
      </c>
      <c r="H123" s="392" t="s">
        <v>751</v>
      </c>
      <c r="I123" s="340">
        <v>7.4510096118023998</v>
      </c>
      <c r="J123" s="340">
        <v>14.726456078344746</v>
      </c>
      <c r="K123" s="340">
        <v>36.411302068161959</v>
      </c>
      <c r="L123" s="340">
        <v>14.401958666378627</v>
      </c>
      <c r="M123" s="340">
        <v>14.257199885942402</v>
      </c>
      <c r="N123" s="340">
        <v>21.16103548000282</v>
      </c>
      <c r="O123" s="340">
        <v>6.981777560566921</v>
      </c>
      <c r="P123" s="340">
        <v>13.83508577753182</v>
      </c>
      <c r="Q123" s="340">
        <v>20.566257626653869</v>
      </c>
    </row>
    <row r="124" spans="3:17" ht="18.75" x14ac:dyDescent="0.4">
      <c r="C124" s="2567"/>
      <c r="D124" s="391" t="s">
        <v>817</v>
      </c>
      <c r="E124" s="340">
        <v>40.9626216077829</v>
      </c>
      <c r="F124" s="340">
        <v>20.350710578977715</v>
      </c>
      <c r="G124" s="340">
        <v>33.691587210673497</v>
      </c>
      <c r="H124" s="340">
        <v>26.763013515321823</v>
      </c>
      <c r="I124" s="340">
        <v>33.234736947057065</v>
      </c>
      <c r="J124" s="340">
        <v>39.614419648752147</v>
      </c>
      <c r="K124" s="340">
        <v>59.070622210553957</v>
      </c>
      <c r="L124" s="340">
        <v>61.996280223186609</v>
      </c>
      <c r="M124" s="340">
        <v>81.121422545265744</v>
      </c>
      <c r="N124" s="340">
        <v>48.416771569671738</v>
      </c>
      <c r="O124" s="340">
        <v>32.114069173704998</v>
      </c>
      <c r="P124" s="340">
        <v>28.78157978893508</v>
      </c>
      <c r="Q124" s="340">
        <v>44.610139247363222</v>
      </c>
    </row>
    <row r="125" spans="3:17" ht="18.75" x14ac:dyDescent="0.4">
      <c r="C125" s="2567"/>
      <c r="D125" s="391" t="s">
        <v>818</v>
      </c>
      <c r="E125" s="340">
        <v>35.739814152966403</v>
      </c>
      <c r="F125" s="340">
        <v>14.039521252325295</v>
      </c>
      <c r="G125" s="340">
        <v>37.899669239250272</v>
      </c>
      <c r="H125" s="340">
        <v>13.527681017281614</v>
      </c>
      <c r="I125" s="340">
        <v>39.869758787959334</v>
      </c>
      <c r="J125" s="340">
        <v>39.186232570290308</v>
      </c>
      <c r="K125" s="340">
        <v>32.120258246876304</v>
      </c>
      <c r="L125" s="340">
        <v>31.614555341279122</v>
      </c>
      <c r="M125" s="340">
        <v>34.245509168456771</v>
      </c>
      <c r="N125" s="340">
        <v>33.741296279255238</v>
      </c>
      <c r="O125" s="340">
        <v>30.239801626901325</v>
      </c>
      <c r="P125" s="340">
        <v>32.788839871229278</v>
      </c>
      <c r="Q125" s="340">
        <v>41.152263374485592</v>
      </c>
    </row>
    <row r="126" spans="3:17" ht="18.75" x14ac:dyDescent="0.4">
      <c r="C126" s="2567"/>
      <c r="D126" s="391" t="s">
        <v>819</v>
      </c>
      <c r="E126" s="340">
        <v>27.149097909519462</v>
      </c>
      <c r="F126" s="340">
        <v>26.819456296476901</v>
      </c>
      <c r="G126" s="340">
        <v>26.499000264990006</v>
      </c>
      <c r="H126" s="340">
        <v>16.661906122060362</v>
      </c>
      <c r="I126" s="340">
        <v>44.689058236899051</v>
      </c>
      <c r="J126" s="340">
        <v>25.579015905497165</v>
      </c>
      <c r="K126" s="340">
        <v>32.160988720681814</v>
      </c>
      <c r="L126" s="340">
        <v>29.50856883441153</v>
      </c>
      <c r="M126" s="340">
        <v>38.140536659786413</v>
      </c>
      <c r="N126" s="340">
        <v>37.709063484317468</v>
      </c>
      <c r="O126" s="340">
        <v>15.359971913194215</v>
      </c>
      <c r="P126" s="340">
        <v>32.575412078962799</v>
      </c>
      <c r="Q126" s="340">
        <v>32.653545878231959</v>
      </c>
    </row>
    <row r="127" spans="3:17" ht="18.75" x14ac:dyDescent="0.4">
      <c r="C127" s="2567"/>
      <c r="D127" s="391" t="s">
        <v>820</v>
      </c>
      <c r="E127" s="340">
        <v>9.2526196479378218</v>
      </c>
      <c r="F127" s="340">
        <v>6.9186596250086483</v>
      </c>
      <c r="G127" s="340">
        <v>11.492667678021421</v>
      </c>
      <c r="H127" s="340">
        <v>18.323408153916628</v>
      </c>
      <c r="I127" s="340">
        <v>25.10784962680605</v>
      </c>
      <c r="J127" s="340">
        <v>4.5517649468581443</v>
      </c>
      <c r="K127" s="340">
        <v>9.0880174489935008</v>
      </c>
      <c r="L127" s="340">
        <v>15.875895854123195</v>
      </c>
      <c r="M127" s="340">
        <v>15.845708076783774</v>
      </c>
      <c r="N127" s="340">
        <v>13.555645926528397</v>
      </c>
      <c r="O127" s="340">
        <v>9.0277150853119075</v>
      </c>
      <c r="P127" s="340">
        <v>15.803851624410177</v>
      </c>
      <c r="Q127" s="340">
        <v>20.325203252032519</v>
      </c>
    </row>
    <row r="128" spans="3:17" ht="18.75" x14ac:dyDescent="0.4">
      <c r="C128" s="2567"/>
      <c r="D128" s="391" t="s">
        <v>821</v>
      </c>
      <c r="E128" s="340">
        <v>36.348215908402494</v>
      </c>
      <c r="F128" s="340">
        <v>41.506077675659654</v>
      </c>
      <c r="G128" s="340">
        <v>23.22340919647004</v>
      </c>
      <c r="H128" s="340">
        <v>34.116108489224992</v>
      </c>
      <c r="I128" s="340">
        <v>22.285364087135772</v>
      </c>
      <c r="J128" s="340">
        <v>54.629882545752523</v>
      </c>
      <c r="K128" s="340">
        <v>37.449176118125401</v>
      </c>
      <c r="L128" s="340">
        <v>41.930918811258451</v>
      </c>
      <c r="M128" s="340">
        <v>35.976769286118106</v>
      </c>
      <c r="N128" s="340">
        <v>45.39035707080896</v>
      </c>
      <c r="O128" s="340">
        <v>29.704440813901677</v>
      </c>
      <c r="P128" s="340">
        <v>33.990482664853836</v>
      </c>
      <c r="Q128" s="340">
        <v>52.420892108272966</v>
      </c>
    </row>
    <row r="129" spans="3:17" ht="18.75" x14ac:dyDescent="0.4">
      <c r="C129" s="2567"/>
      <c r="D129" s="391" t="s">
        <v>822</v>
      </c>
      <c r="E129" s="340">
        <v>23.656931480923912</v>
      </c>
      <c r="F129" s="340">
        <v>38.221429481462607</v>
      </c>
      <c r="G129" s="340">
        <v>46.126428346786881</v>
      </c>
      <c r="H129" s="340">
        <v>37.261680501790636</v>
      </c>
      <c r="I129" s="340">
        <v>20.446134658242862</v>
      </c>
      <c r="J129" s="340">
        <v>32.322579341831478</v>
      </c>
      <c r="K129" s="340">
        <v>29.942510380070264</v>
      </c>
      <c r="L129" s="340">
        <v>33.537186821858356</v>
      </c>
      <c r="M129" s="340">
        <v>29.244896765514415</v>
      </c>
      <c r="N129" s="340">
        <v>40.489732960570713</v>
      </c>
      <c r="O129" s="340">
        <v>11.446231328335145</v>
      </c>
      <c r="P129" s="340">
        <v>26.43903912977791</v>
      </c>
      <c r="Q129" s="340">
        <v>11.218308279111509</v>
      </c>
    </row>
    <row r="130" spans="3:17" ht="18.75" x14ac:dyDescent="0.4">
      <c r="C130" s="2567"/>
      <c r="D130" s="391" t="s">
        <v>823</v>
      </c>
      <c r="E130" s="340">
        <v>40.912345300194339</v>
      </c>
      <c r="F130" s="340">
        <v>29.726516052318665</v>
      </c>
      <c r="G130" s="340">
        <v>19.20768307322929</v>
      </c>
      <c r="H130" s="340">
        <v>55.884133563079217</v>
      </c>
      <c r="I130" s="340">
        <v>13.563613346595535</v>
      </c>
      <c r="J130" s="340">
        <v>39.530899986823037</v>
      </c>
      <c r="K130" s="340">
        <v>38.420490928495198</v>
      </c>
      <c r="L130" s="340">
        <v>37.370759456878297</v>
      </c>
      <c r="M130" s="340">
        <v>40.425273881230545</v>
      </c>
      <c r="N130" s="340">
        <v>39.399550845120366</v>
      </c>
      <c r="O130" s="340">
        <v>19.210081450745353</v>
      </c>
      <c r="P130" s="340">
        <v>37.423749111185963</v>
      </c>
      <c r="Q130" s="340">
        <v>58.385637133265213</v>
      </c>
    </row>
    <row r="131" spans="3:17" ht="18.75" x14ac:dyDescent="0.4">
      <c r="C131" s="2567"/>
      <c r="D131" s="391" t="s">
        <v>824</v>
      </c>
      <c r="E131" s="391"/>
      <c r="F131" s="391"/>
      <c r="G131" s="391"/>
      <c r="H131" s="391"/>
      <c r="I131" s="391"/>
      <c r="J131" s="391"/>
      <c r="K131" s="391"/>
      <c r="L131" s="391"/>
      <c r="M131" s="391"/>
      <c r="N131" s="391"/>
      <c r="O131" s="391"/>
      <c r="P131" s="391"/>
      <c r="Q131" s="340">
        <v>20.230629172567266</v>
      </c>
    </row>
    <row r="132" spans="3:17" ht="18.75" x14ac:dyDescent="0.4">
      <c r="C132" s="2567"/>
      <c r="D132" s="391" t="s">
        <v>825</v>
      </c>
      <c r="E132" s="391"/>
      <c r="F132" s="391"/>
      <c r="G132" s="391"/>
      <c r="H132" s="391"/>
      <c r="I132" s="391"/>
      <c r="J132" s="391"/>
      <c r="K132" s="391"/>
      <c r="L132" s="391"/>
      <c r="M132" s="391"/>
      <c r="N132" s="391"/>
      <c r="O132" s="391"/>
      <c r="P132" s="391"/>
      <c r="Q132" s="340">
        <v>46.743533811156126</v>
      </c>
    </row>
    <row r="133" spans="3:17" ht="18.75" x14ac:dyDescent="0.4">
      <c r="C133" s="2567" t="s">
        <v>334</v>
      </c>
      <c r="D133" s="391" t="s">
        <v>334</v>
      </c>
      <c r="E133" s="340">
        <v>22.935062498045308</v>
      </c>
      <c r="F133" s="340">
        <v>14.535789189525927</v>
      </c>
      <c r="G133" s="340">
        <v>23.770889961449818</v>
      </c>
      <c r="H133" s="340">
        <v>25.716196060278765</v>
      </c>
      <c r="I133" s="340">
        <v>13.311352535812658</v>
      </c>
      <c r="J133" s="340">
        <v>21.414368021210421</v>
      </c>
      <c r="K133" s="340">
        <v>24.375628434170569</v>
      </c>
      <c r="L133" s="340">
        <v>28.326319197151182</v>
      </c>
      <c r="M133" s="340">
        <v>33.262105390476961</v>
      </c>
      <c r="N133" s="340">
        <v>26.118840725300117</v>
      </c>
      <c r="O133" s="340">
        <v>12.019712328218278</v>
      </c>
      <c r="P133" s="340">
        <v>22.990573864715468</v>
      </c>
      <c r="Q133" s="340">
        <v>28.93172113811405</v>
      </c>
    </row>
    <row r="134" spans="3:17" ht="18.75" x14ac:dyDescent="0.4">
      <c r="C134" s="2567"/>
      <c r="D134" s="391" t="s">
        <v>826</v>
      </c>
      <c r="E134" s="340">
        <v>17.041845476939283</v>
      </c>
      <c r="F134" s="340">
        <v>19.814958769643486</v>
      </c>
      <c r="G134" s="340">
        <v>27.734676591183373</v>
      </c>
      <c r="H134" s="340">
        <v>22.122099239737192</v>
      </c>
      <c r="I134" s="340">
        <v>16.689766270708009</v>
      </c>
      <c r="J134" s="340">
        <v>20.717985354527595</v>
      </c>
      <c r="K134" s="340">
        <v>24.618241413509086</v>
      </c>
      <c r="L134" s="340">
        <v>24.941284060441042</v>
      </c>
      <c r="M134" s="340">
        <v>26.624431670785487</v>
      </c>
      <c r="N134" s="340">
        <v>21.535334773508847</v>
      </c>
      <c r="O134" s="340">
        <v>24.557956777996068</v>
      </c>
      <c r="P134" s="340">
        <v>21.612558861476597</v>
      </c>
      <c r="Q134" s="340">
        <v>18.749111033528582</v>
      </c>
    </row>
    <row r="135" spans="3:17" ht="18.75" x14ac:dyDescent="0.4">
      <c r="C135" s="2567"/>
      <c r="D135" s="391" t="s">
        <v>827</v>
      </c>
      <c r="E135" s="340">
        <v>18.383581790226618</v>
      </c>
      <c r="F135" s="340">
        <v>16.562872664634952</v>
      </c>
      <c r="G135" s="340">
        <v>16.413084510972148</v>
      </c>
      <c r="H135" s="340">
        <v>22.758306781975421</v>
      </c>
      <c r="I135" s="340">
        <v>25.770705150919689</v>
      </c>
      <c r="J135" s="340">
        <v>22.354575502578758</v>
      </c>
      <c r="K135" s="340">
        <v>28.516206710813979</v>
      </c>
      <c r="L135" s="340">
        <v>28.304557033682421</v>
      </c>
      <c r="M135" s="340">
        <v>28.104799675233423</v>
      </c>
      <c r="N135" s="340">
        <v>26.356180524332959</v>
      </c>
      <c r="O135" s="340">
        <v>35.426582258983721</v>
      </c>
      <c r="P135" s="340">
        <v>22.968441361569205</v>
      </c>
      <c r="Q135" s="340">
        <v>15.22695780609992</v>
      </c>
    </row>
    <row r="136" spans="3:17" ht="18.75" x14ac:dyDescent="0.4">
      <c r="C136" s="2567"/>
      <c r="D136" s="391" t="s">
        <v>828</v>
      </c>
      <c r="E136" s="340">
        <v>11.394063692816042</v>
      </c>
      <c r="F136" s="340">
        <v>19.51273903105313</v>
      </c>
      <c r="G136" s="340">
        <v>21.832273558387687</v>
      </c>
      <c r="H136" s="340">
        <v>24.044883783061714</v>
      </c>
      <c r="I136" s="340">
        <v>26.167050450073269</v>
      </c>
      <c r="J136" s="340">
        <v>33.347014159655245</v>
      </c>
      <c r="K136" s="340">
        <v>27.611827903007178</v>
      </c>
      <c r="L136" s="340">
        <v>17.207049974189424</v>
      </c>
      <c r="M136" s="340">
        <v>33.720314080639717</v>
      </c>
      <c r="N136" s="340">
        <v>28.334632003966849</v>
      </c>
      <c r="O136" s="340">
        <v>18.538687924362154</v>
      </c>
      <c r="P136" s="340">
        <v>38.652175890136874</v>
      </c>
      <c r="Q136" s="340">
        <v>35.712691397705463</v>
      </c>
    </row>
    <row r="137" spans="3:17" ht="18.75" x14ac:dyDescent="0.4">
      <c r="C137" s="2567"/>
      <c r="D137" s="391" t="s">
        <v>829</v>
      </c>
      <c r="E137" s="340">
        <v>14.789982252021296</v>
      </c>
      <c r="F137" s="340">
        <v>12.151258870418975</v>
      </c>
      <c r="G137" s="340">
        <v>35.935890371577102</v>
      </c>
      <c r="H137" s="340">
        <v>14.166981488477521</v>
      </c>
      <c r="I137" s="392" t="s">
        <v>751</v>
      </c>
      <c r="J137" s="340">
        <v>36.74275478804023</v>
      </c>
      <c r="K137" s="340">
        <v>29.461088700539367</v>
      </c>
      <c r="L137" s="340">
        <v>55.909650005590969</v>
      </c>
      <c r="M137" s="340">
        <v>24.292749718424947</v>
      </c>
      <c r="N137" s="340">
        <v>26.178581557189297</v>
      </c>
      <c r="O137" s="340">
        <v>17.249186054033075</v>
      </c>
      <c r="P137" s="340">
        <v>29.857112390701641</v>
      </c>
      <c r="Q137" s="340">
        <v>31.651579413812751</v>
      </c>
    </row>
    <row r="138" spans="3:17" ht="18.75" x14ac:dyDescent="0.4">
      <c r="C138" s="2568"/>
      <c r="D138" s="395" t="s">
        <v>830</v>
      </c>
      <c r="E138" s="397">
        <v>21.960646521433588</v>
      </c>
      <c r="F138" s="397">
        <v>19.364000172124445</v>
      </c>
      <c r="G138" s="397">
        <v>16.86660622799435</v>
      </c>
      <c r="H138" s="397">
        <v>8.2636091312880886</v>
      </c>
      <c r="I138" s="397">
        <v>18.228586474388838</v>
      </c>
      <c r="J138" s="397">
        <v>25.831578110718116</v>
      </c>
      <c r="K138" s="397">
        <v>23.393180887771216</v>
      </c>
      <c r="L138" s="397">
        <v>28.697149416491293</v>
      </c>
      <c r="M138" s="397">
        <v>26.295030239284777</v>
      </c>
      <c r="N138" s="397">
        <v>18.451886705415628</v>
      </c>
      <c r="O138" s="397">
        <v>12.697721665941083</v>
      </c>
      <c r="P138" s="397">
        <v>17.831033130059556</v>
      </c>
      <c r="Q138" s="397">
        <v>22.79861805299802</v>
      </c>
    </row>
    <row r="139" spans="3:17" ht="18.75" x14ac:dyDescent="0.4">
      <c r="C139" s="5" t="s">
        <v>831</v>
      </c>
      <c r="D139" s="5"/>
      <c r="E139" s="5"/>
      <c r="F139" s="5"/>
      <c r="G139" s="5"/>
      <c r="H139" s="5"/>
      <c r="I139" s="5"/>
      <c r="J139" s="5"/>
      <c r="K139" s="5"/>
      <c r="L139" s="5"/>
      <c r="M139" s="5"/>
      <c r="N139" s="5"/>
      <c r="O139" s="5"/>
      <c r="P139" s="5"/>
    </row>
  </sheetData>
  <mergeCells count="23">
    <mergeCell ref="A5:B5"/>
    <mergeCell ref="C5:Y5"/>
    <mergeCell ref="C1:D1"/>
    <mergeCell ref="A3:B3"/>
    <mergeCell ref="C3:Y3"/>
    <mergeCell ref="A4:B4"/>
    <mergeCell ref="C4:Y4"/>
    <mergeCell ref="A6:B6"/>
    <mergeCell ref="C6:Y6"/>
    <mergeCell ref="C11:C12"/>
    <mergeCell ref="D11:D12"/>
    <mergeCell ref="E11:T11"/>
    <mergeCell ref="V11:AB11"/>
    <mergeCell ref="C109:C119"/>
    <mergeCell ref="C120:C132"/>
    <mergeCell ref="C133:C138"/>
    <mergeCell ref="AD11:AE11"/>
    <mergeCell ref="AG11:AL11"/>
    <mergeCell ref="C55:C74"/>
    <mergeCell ref="C75:C90"/>
    <mergeCell ref="C91:C98"/>
    <mergeCell ref="C99:C108"/>
    <mergeCell ref="V13:AB27"/>
  </mergeCells>
  <conditionalFormatting sqref="E55:P55 E56">
    <cfRule type="cellIs" dxfId="580" priority="84" operator="equal">
      <formula>0</formula>
    </cfRule>
  </conditionalFormatting>
  <conditionalFormatting sqref="F56:P56">
    <cfRule type="cellIs" dxfId="579" priority="83" operator="equal">
      <formula>0</formula>
    </cfRule>
  </conditionalFormatting>
  <conditionalFormatting sqref="E57:P57">
    <cfRule type="cellIs" dxfId="578" priority="82" operator="equal">
      <formula>0</formula>
    </cfRule>
  </conditionalFormatting>
  <conditionalFormatting sqref="E58:P58">
    <cfRule type="cellIs" dxfId="577" priority="81" operator="equal">
      <formula>0</formula>
    </cfRule>
  </conditionalFormatting>
  <conditionalFormatting sqref="E59:P59">
    <cfRule type="cellIs" dxfId="576" priority="80" operator="equal">
      <formula>0</formula>
    </cfRule>
  </conditionalFormatting>
  <conditionalFormatting sqref="E60:P60">
    <cfRule type="cellIs" dxfId="575" priority="79" operator="equal">
      <formula>0</formula>
    </cfRule>
  </conditionalFormatting>
  <conditionalFormatting sqref="E61:P61">
    <cfRule type="cellIs" dxfId="574" priority="78" operator="equal">
      <formula>0</formula>
    </cfRule>
  </conditionalFormatting>
  <conditionalFormatting sqref="E62:P62">
    <cfRule type="cellIs" dxfId="573" priority="77" operator="equal">
      <formula>0</formula>
    </cfRule>
  </conditionalFormatting>
  <conditionalFormatting sqref="E63:P63">
    <cfRule type="cellIs" dxfId="572" priority="76" operator="equal">
      <formula>0</formula>
    </cfRule>
  </conditionalFormatting>
  <conditionalFormatting sqref="E64:P64">
    <cfRule type="cellIs" dxfId="571" priority="75" operator="equal">
      <formula>0</formula>
    </cfRule>
  </conditionalFormatting>
  <conditionalFormatting sqref="E65:P65">
    <cfRule type="cellIs" dxfId="570" priority="74" operator="equal">
      <formula>0</formula>
    </cfRule>
  </conditionalFormatting>
  <conditionalFormatting sqref="E66:P66">
    <cfRule type="cellIs" dxfId="569" priority="73" operator="equal">
      <formula>0</formula>
    </cfRule>
  </conditionalFormatting>
  <conditionalFormatting sqref="E67:P67">
    <cfRule type="cellIs" dxfId="568" priority="72" operator="equal">
      <formula>0</formula>
    </cfRule>
  </conditionalFormatting>
  <conditionalFormatting sqref="E68:P68">
    <cfRule type="cellIs" dxfId="567" priority="71" operator="equal">
      <formula>0</formula>
    </cfRule>
  </conditionalFormatting>
  <conditionalFormatting sqref="E69:P69">
    <cfRule type="cellIs" dxfId="566" priority="70" operator="equal">
      <formula>0</formula>
    </cfRule>
  </conditionalFormatting>
  <conditionalFormatting sqref="E70:P70">
    <cfRule type="cellIs" dxfId="565" priority="69" operator="equal">
      <formula>0</formula>
    </cfRule>
  </conditionalFormatting>
  <conditionalFormatting sqref="E71:P71">
    <cfRule type="cellIs" dxfId="564" priority="68" operator="equal">
      <formula>0</formula>
    </cfRule>
  </conditionalFormatting>
  <conditionalFormatting sqref="E72:P72">
    <cfRule type="cellIs" dxfId="563" priority="67" operator="equal">
      <formula>0</formula>
    </cfRule>
  </conditionalFormatting>
  <conditionalFormatting sqref="E73:P73">
    <cfRule type="cellIs" dxfId="562" priority="66" operator="equal">
      <formula>0</formula>
    </cfRule>
  </conditionalFormatting>
  <conditionalFormatting sqref="E74:P74">
    <cfRule type="cellIs" dxfId="561" priority="65" operator="equal">
      <formula>0</formula>
    </cfRule>
  </conditionalFormatting>
  <conditionalFormatting sqref="E75:P75">
    <cfRule type="cellIs" dxfId="560" priority="64" operator="equal">
      <formula>0</formula>
    </cfRule>
  </conditionalFormatting>
  <conditionalFormatting sqref="E76:P76">
    <cfRule type="cellIs" dxfId="559" priority="63" operator="equal">
      <formula>0</formula>
    </cfRule>
  </conditionalFormatting>
  <conditionalFormatting sqref="E77:P77">
    <cfRule type="cellIs" dxfId="558" priority="62" operator="equal">
      <formula>0</formula>
    </cfRule>
  </conditionalFormatting>
  <conditionalFormatting sqref="E78:P78">
    <cfRule type="cellIs" dxfId="557" priority="61" operator="equal">
      <formula>0</formula>
    </cfRule>
  </conditionalFormatting>
  <conditionalFormatting sqref="E79:P79">
    <cfRule type="cellIs" dxfId="556" priority="60" operator="equal">
      <formula>0</formula>
    </cfRule>
  </conditionalFormatting>
  <conditionalFormatting sqref="E80:P80">
    <cfRule type="cellIs" dxfId="555" priority="59" operator="equal">
      <formula>0</formula>
    </cfRule>
  </conditionalFormatting>
  <conditionalFormatting sqref="E81:P81">
    <cfRule type="cellIs" dxfId="554" priority="58" operator="equal">
      <formula>0</formula>
    </cfRule>
  </conditionalFormatting>
  <conditionalFormatting sqref="E82:P82">
    <cfRule type="cellIs" dxfId="553" priority="57" operator="equal">
      <formula>0</formula>
    </cfRule>
  </conditionalFormatting>
  <conditionalFormatting sqref="E83:P83">
    <cfRule type="cellIs" dxfId="552" priority="56" operator="equal">
      <formula>0</formula>
    </cfRule>
  </conditionalFormatting>
  <conditionalFormatting sqref="E84:P84">
    <cfRule type="cellIs" dxfId="551" priority="55" operator="equal">
      <formula>0</formula>
    </cfRule>
  </conditionalFormatting>
  <conditionalFormatting sqref="E85:P85">
    <cfRule type="cellIs" dxfId="550" priority="54" operator="equal">
      <formula>0</formula>
    </cfRule>
  </conditionalFormatting>
  <conditionalFormatting sqref="E86:P86">
    <cfRule type="cellIs" dxfId="549" priority="53" operator="equal">
      <formula>0</formula>
    </cfRule>
  </conditionalFormatting>
  <conditionalFormatting sqref="E87:P87">
    <cfRule type="cellIs" dxfId="548" priority="52" operator="equal">
      <formula>0</formula>
    </cfRule>
  </conditionalFormatting>
  <conditionalFormatting sqref="E88:P88">
    <cfRule type="cellIs" dxfId="547" priority="51" operator="equal">
      <formula>0</formula>
    </cfRule>
  </conditionalFormatting>
  <conditionalFormatting sqref="E89:P89">
    <cfRule type="cellIs" dxfId="546" priority="50" operator="equal">
      <formula>0</formula>
    </cfRule>
  </conditionalFormatting>
  <conditionalFormatting sqref="E90:P90">
    <cfRule type="cellIs" dxfId="545" priority="49" operator="equal">
      <formula>0</formula>
    </cfRule>
  </conditionalFormatting>
  <conditionalFormatting sqref="E91:P91">
    <cfRule type="cellIs" dxfId="544" priority="48" operator="equal">
      <formula>0</formula>
    </cfRule>
  </conditionalFormatting>
  <conditionalFormatting sqref="E92:P92">
    <cfRule type="cellIs" dxfId="543" priority="47" operator="equal">
      <formula>0</formula>
    </cfRule>
  </conditionalFormatting>
  <conditionalFormatting sqref="E93:P93">
    <cfRule type="cellIs" dxfId="542" priority="46" operator="equal">
      <formula>0</formula>
    </cfRule>
  </conditionalFormatting>
  <conditionalFormatting sqref="E94:P94">
    <cfRule type="cellIs" dxfId="541" priority="45" operator="equal">
      <formula>0</formula>
    </cfRule>
  </conditionalFormatting>
  <conditionalFormatting sqref="E95:P95">
    <cfRule type="cellIs" dxfId="540" priority="44" operator="equal">
      <formula>0</formula>
    </cfRule>
  </conditionalFormatting>
  <conditionalFormatting sqref="E96:P96">
    <cfRule type="cellIs" dxfId="539" priority="43" operator="equal">
      <formula>0</formula>
    </cfRule>
  </conditionalFormatting>
  <conditionalFormatting sqref="E97:P97">
    <cfRule type="cellIs" dxfId="538" priority="42" operator="equal">
      <formula>0</formula>
    </cfRule>
  </conditionalFormatting>
  <conditionalFormatting sqref="E98:P98">
    <cfRule type="cellIs" dxfId="537" priority="41" operator="equal">
      <formula>0</formula>
    </cfRule>
  </conditionalFormatting>
  <conditionalFormatting sqref="E99:P99">
    <cfRule type="cellIs" dxfId="536" priority="40" operator="equal">
      <formula>0</formula>
    </cfRule>
  </conditionalFormatting>
  <conditionalFormatting sqref="E100:P100">
    <cfRule type="cellIs" dxfId="535" priority="39" operator="equal">
      <formula>0</formula>
    </cfRule>
  </conditionalFormatting>
  <conditionalFormatting sqref="E101:P101">
    <cfRule type="cellIs" dxfId="534" priority="38" operator="equal">
      <formula>0</formula>
    </cfRule>
  </conditionalFormatting>
  <conditionalFormatting sqref="E102:P102">
    <cfRule type="cellIs" dxfId="533" priority="37" operator="equal">
      <formula>0</formula>
    </cfRule>
  </conditionalFormatting>
  <conditionalFormatting sqref="E103:P103">
    <cfRule type="cellIs" dxfId="532" priority="36" operator="equal">
      <formula>0</formula>
    </cfRule>
  </conditionalFormatting>
  <conditionalFormatting sqref="E104:P104">
    <cfRule type="cellIs" dxfId="531" priority="35" operator="equal">
      <formula>0</formula>
    </cfRule>
  </conditionalFormatting>
  <conditionalFormatting sqref="E105:P105">
    <cfRule type="cellIs" dxfId="530" priority="34" operator="equal">
      <formula>0</formula>
    </cfRule>
  </conditionalFormatting>
  <conditionalFormatting sqref="E106:P106">
    <cfRule type="cellIs" dxfId="529" priority="33" operator="equal">
      <formula>0</formula>
    </cfRule>
  </conditionalFormatting>
  <conditionalFormatting sqref="E107:P107">
    <cfRule type="cellIs" dxfId="528" priority="32" operator="equal">
      <formula>0</formula>
    </cfRule>
  </conditionalFormatting>
  <conditionalFormatting sqref="E108:P108">
    <cfRule type="cellIs" dxfId="527" priority="31" operator="equal">
      <formula>0</formula>
    </cfRule>
  </conditionalFormatting>
  <conditionalFormatting sqref="E109:P109">
    <cfRule type="cellIs" dxfId="526" priority="30" operator="equal">
      <formula>0</formula>
    </cfRule>
  </conditionalFormatting>
  <conditionalFormatting sqref="E110:P110">
    <cfRule type="cellIs" dxfId="525" priority="29" operator="equal">
      <formula>0</formula>
    </cfRule>
  </conditionalFormatting>
  <conditionalFormatting sqref="E111:P111">
    <cfRule type="cellIs" dxfId="524" priority="28" operator="equal">
      <formula>0</formula>
    </cfRule>
  </conditionalFormatting>
  <conditionalFormatting sqref="E112:P112">
    <cfRule type="cellIs" dxfId="523" priority="27" operator="equal">
      <formula>0</formula>
    </cfRule>
  </conditionalFormatting>
  <conditionalFormatting sqref="E113:P113">
    <cfRule type="cellIs" dxfId="522" priority="26" operator="equal">
      <formula>0</formula>
    </cfRule>
  </conditionalFormatting>
  <conditionalFormatting sqref="E114:P114">
    <cfRule type="cellIs" dxfId="521" priority="25" operator="equal">
      <formula>0</formula>
    </cfRule>
  </conditionalFormatting>
  <conditionalFormatting sqref="E115:P115">
    <cfRule type="cellIs" dxfId="520" priority="24" operator="equal">
      <formula>0</formula>
    </cfRule>
  </conditionalFormatting>
  <conditionalFormatting sqref="E116:P116">
    <cfRule type="cellIs" dxfId="519" priority="23" operator="equal">
      <formula>0</formula>
    </cfRule>
  </conditionalFormatting>
  <conditionalFormatting sqref="E117:P117">
    <cfRule type="cellIs" dxfId="518" priority="22" operator="equal">
      <formula>0</formula>
    </cfRule>
  </conditionalFormatting>
  <conditionalFormatting sqref="E118:P118">
    <cfRule type="cellIs" dxfId="517" priority="21" operator="equal">
      <formula>0</formula>
    </cfRule>
  </conditionalFormatting>
  <conditionalFormatting sqref="E119:P119">
    <cfRule type="cellIs" dxfId="516" priority="20" operator="equal">
      <formula>0</formula>
    </cfRule>
  </conditionalFormatting>
  <conditionalFormatting sqref="E120:P120">
    <cfRule type="cellIs" dxfId="515" priority="19" operator="equal">
      <formula>0</formula>
    </cfRule>
  </conditionalFormatting>
  <conditionalFormatting sqref="E121:P121">
    <cfRule type="cellIs" dxfId="514" priority="18" operator="equal">
      <formula>0</formula>
    </cfRule>
  </conditionalFormatting>
  <conditionalFormatting sqref="E122:P122">
    <cfRule type="cellIs" dxfId="513" priority="17" operator="equal">
      <formula>0</formula>
    </cfRule>
  </conditionalFormatting>
  <conditionalFormatting sqref="E123:P123">
    <cfRule type="cellIs" dxfId="512" priority="16" operator="equal">
      <formula>0</formula>
    </cfRule>
  </conditionalFormatting>
  <conditionalFormatting sqref="E124:P124">
    <cfRule type="cellIs" dxfId="511" priority="15" operator="equal">
      <formula>0</formula>
    </cfRule>
  </conditionalFormatting>
  <conditionalFormatting sqref="E125:P125">
    <cfRule type="cellIs" dxfId="510" priority="14" operator="equal">
      <formula>0</formula>
    </cfRule>
  </conditionalFormatting>
  <conditionalFormatting sqref="E126:P126">
    <cfRule type="cellIs" dxfId="509" priority="13" operator="equal">
      <formula>0</formula>
    </cfRule>
  </conditionalFormatting>
  <conditionalFormatting sqref="E127:P127">
    <cfRule type="cellIs" dxfId="508" priority="12" operator="equal">
      <formula>0</formula>
    </cfRule>
  </conditionalFormatting>
  <conditionalFormatting sqref="E128:P128">
    <cfRule type="cellIs" dxfId="507" priority="11" operator="equal">
      <formula>0</formula>
    </cfRule>
  </conditionalFormatting>
  <conditionalFormatting sqref="E129:P129">
    <cfRule type="cellIs" dxfId="506" priority="10" operator="equal">
      <formula>0</formula>
    </cfRule>
  </conditionalFormatting>
  <conditionalFormatting sqref="E130:P130">
    <cfRule type="cellIs" dxfId="505" priority="9" operator="equal">
      <formula>0</formula>
    </cfRule>
  </conditionalFormatting>
  <conditionalFormatting sqref="E133:P133">
    <cfRule type="cellIs" dxfId="504" priority="8" operator="equal">
      <formula>0</formula>
    </cfRule>
  </conditionalFormatting>
  <conditionalFormatting sqref="E134:P134">
    <cfRule type="cellIs" dxfId="503" priority="7" operator="equal">
      <formula>0</formula>
    </cfRule>
  </conditionalFormatting>
  <conditionalFormatting sqref="E135:P135">
    <cfRule type="cellIs" dxfId="502" priority="6" operator="equal">
      <formula>0</formula>
    </cfRule>
  </conditionalFormatting>
  <conditionalFormatting sqref="E136:P136">
    <cfRule type="cellIs" dxfId="501" priority="5" operator="equal">
      <formula>0</formula>
    </cfRule>
  </conditionalFormatting>
  <conditionalFormatting sqref="E137:P137">
    <cfRule type="cellIs" dxfId="500" priority="4" operator="equal">
      <formula>0</formula>
    </cfRule>
  </conditionalFormatting>
  <conditionalFormatting sqref="E138:P138">
    <cfRule type="cellIs" dxfId="499" priority="3" operator="equal">
      <formula>0</formula>
    </cfRule>
  </conditionalFormatting>
  <conditionalFormatting sqref="Q57:Q137">
    <cfRule type="cellIs" dxfId="498" priority="2" operator="equal">
      <formula>0</formula>
    </cfRule>
  </conditionalFormatting>
  <conditionalFormatting sqref="Q138">
    <cfRule type="cellIs" dxfId="497" priority="1" operator="equal">
      <formula>0</formula>
    </cfRule>
  </conditionalFormatting>
  <hyperlinks>
    <hyperlink ref="A1" location="'ODS 3.'!A1" display="REGRESAR" xr:uid="{4F5A26DA-7510-4AFD-82C3-731340B36895}"/>
    <hyperlink ref="C1" location="'Metadato 3.6.1'!A1" display="VER METADATO" xr:uid="{36351E94-093F-4801-BC54-35619FF48258}"/>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8ABF-86CC-440F-BBED-A2B8896B6D02}">
  <sheetPr>
    <tabColor theme="0" tint="-0.499984740745262"/>
  </sheetPr>
  <dimension ref="A1:F41"/>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7" width="40.7109375" style="222" bestFit="1" customWidth="1"/>
    <col min="8"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x14ac:dyDescent="0.25">
      <c r="A4" s="224"/>
      <c r="B4" s="2606" t="s">
        <v>234</v>
      </c>
      <c r="C4" s="2606"/>
      <c r="D4" s="359" t="s">
        <v>832</v>
      </c>
    </row>
    <row r="5" spans="1:6" ht="37.5" x14ac:dyDescent="0.25">
      <c r="B5" s="2445" t="s">
        <v>79</v>
      </c>
      <c r="C5" s="2445"/>
      <c r="D5" s="49" t="s">
        <v>695</v>
      </c>
    </row>
    <row r="6" spans="1:6" x14ac:dyDescent="0.25">
      <c r="B6" s="2445" t="s">
        <v>80</v>
      </c>
      <c r="C6" s="2445"/>
      <c r="D6" s="50" t="s">
        <v>696</v>
      </c>
    </row>
    <row r="7" spans="1:6" ht="15" customHeight="1" x14ac:dyDescent="0.25">
      <c r="B7" s="2446" t="s">
        <v>81</v>
      </c>
      <c r="C7" s="2446"/>
      <c r="D7" s="93" t="s">
        <v>697</v>
      </c>
    </row>
    <row r="8" spans="1:6" ht="15" customHeight="1" x14ac:dyDescent="0.25">
      <c r="B8" s="2446" t="s">
        <v>82</v>
      </c>
      <c r="C8" s="2446"/>
      <c r="D8" s="94" t="s">
        <v>1339</v>
      </c>
    </row>
    <row r="9" spans="1:6" x14ac:dyDescent="0.4">
      <c r="B9" s="5"/>
      <c r="C9" s="5"/>
      <c r="D9" s="5"/>
    </row>
    <row r="10" spans="1:6" ht="23.25" customHeight="1" x14ac:dyDescent="0.25">
      <c r="B10" s="2604" t="s">
        <v>85</v>
      </c>
      <c r="C10" s="2604"/>
      <c r="D10" s="2604"/>
    </row>
    <row r="11" spans="1:6" ht="49.5" customHeight="1" x14ac:dyDescent="0.25">
      <c r="B11" s="2633" t="s">
        <v>86</v>
      </c>
      <c r="C11" s="2634"/>
      <c r="D11" s="627" t="s">
        <v>1340</v>
      </c>
    </row>
    <row r="12" spans="1:6" ht="18.75" customHeight="1" x14ac:dyDescent="0.25">
      <c r="B12" s="2455" t="s">
        <v>88</v>
      </c>
      <c r="C12" s="2455"/>
      <c r="D12" s="169" t="s">
        <v>1341</v>
      </c>
    </row>
    <row r="13" spans="1:6" x14ac:dyDescent="0.25">
      <c r="B13" s="2445" t="s">
        <v>90</v>
      </c>
      <c r="C13" s="2445"/>
      <c r="D13" s="54" t="s">
        <v>696</v>
      </c>
    </row>
    <row r="14" spans="1:6" x14ac:dyDescent="0.25">
      <c r="B14" s="2445" t="s">
        <v>91</v>
      </c>
      <c r="C14" s="2456"/>
      <c r="D14" s="54" t="s">
        <v>92</v>
      </c>
    </row>
    <row r="15" spans="1:6" ht="300" x14ac:dyDescent="0.25">
      <c r="B15" s="2445" t="s">
        <v>93</v>
      </c>
      <c r="C15" s="2445"/>
      <c r="D15" s="56" t="s">
        <v>1342</v>
      </c>
    </row>
    <row r="16" spans="1:6" ht="48" customHeight="1" x14ac:dyDescent="0.25">
      <c r="B16" s="2445" t="s">
        <v>95</v>
      </c>
      <c r="C16" s="2445"/>
      <c r="D16" s="401"/>
    </row>
    <row r="17" spans="2:4" x14ac:dyDescent="0.25">
      <c r="B17" s="2445" t="s">
        <v>97</v>
      </c>
      <c r="C17" s="2445"/>
      <c r="D17" s="56" t="s">
        <v>989</v>
      </c>
    </row>
    <row r="18" spans="2:4" x14ac:dyDescent="0.25">
      <c r="B18" s="2446" t="s">
        <v>99</v>
      </c>
      <c r="C18" s="2446"/>
      <c r="D18" s="49"/>
    </row>
    <row r="19" spans="2:4" ht="37.5" x14ac:dyDescent="0.25">
      <c r="B19" s="2457" t="s">
        <v>100</v>
      </c>
      <c r="C19" s="2458"/>
      <c r="D19" s="56" t="s">
        <v>1343</v>
      </c>
    </row>
    <row r="20" spans="2:4" x14ac:dyDescent="0.25">
      <c r="B20" s="2445" t="s">
        <v>102</v>
      </c>
      <c r="C20" s="2445"/>
      <c r="D20" s="56" t="s">
        <v>140</v>
      </c>
    </row>
    <row r="21" spans="2:4" x14ac:dyDescent="0.25">
      <c r="B21" s="2451" t="s">
        <v>104</v>
      </c>
      <c r="C21" s="95" t="s">
        <v>105</v>
      </c>
      <c r="D21" s="49" t="s">
        <v>839</v>
      </c>
    </row>
    <row r="22" spans="2:4" x14ac:dyDescent="0.25">
      <c r="B22" s="2452"/>
      <c r="C22" s="96" t="s">
        <v>107</v>
      </c>
      <c r="D22" s="55" t="s">
        <v>1344</v>
      </c>
    </row>
    <row r="23" spans="2:4" x14ac:dyDescent="0.25">
      <c r="B23" s="2444" t="s">
        <v>109</v>
      </c>
      <c r="C23" s="2444"/>
      <c r="D23" s="56" t="s">
        <v>1345</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x14ac:dyDescent="0.25">
      <c r="B27" s="2447" t="s">
        <v>117</v>
      </c>
      <c r="C27" s="2448"/>
      <c r="D27" s="49"/>
    </row>
    <row r="28" spans="2:4" ht="37.5" x14ac:dyDescent="0.25">
      <c r="B28" s="97" t="s">
        <v>118</v>
      </c>
      <c r="C28" s="98"/>
      <c r="D28" s="56" t="s">
        <v>1346</v>
      </c>
    </row>
    <row r="29" spans="2:4" x14ac:dyDescent="0.25">
      <c r="B29" s="2487" t="s">
        <v>120</v>
      </c>
      <c r="C29" s="2456"/>
      <c r="D29" s="49"/>
    </row>
    <row r="30" spans="2:4" x14ac:dyDescent="0.25">
      <c r="B30" s="628"/>
      <c r="C30" s="628"/>
      <c r="D30" s="629"/>
    </row>
    <row r="31" spans="2:4" ht="23.25" customHeight="1" x14ac:dyDescent="0.25">
      <c r="B31" s="2604" t="s">
        <v>121</v>
      </c>
      <c r="C31" s="2604"/>
      <c r="D31" s="2604"/>
    </row>
    <row r="32" spans="2:4" x14ac:dyDescent="0.25">
      <c r="B32" s="2631" t="s">
        <v>1347</v>
      </c>
      <c r="C32" s="2632"/>
      <c r="D32" s="574"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65" t="s">
        <v>849</v>
      </c>
    </row>
    <row r="37" spans="2:4" x14ac:dyDescent="0.4">
      <c r="B37" s="2442" t="s">
        <v>1348</v>
      </c>
      <c r="C37" s="2443"/>
      <c r="D37" s="630" t="s">
        <v>1349</v>
      </c>
    </row>
    <row r="38" spans="2:4" x14ac:dyDescent="0.4">
      <c r="B38" s="2442" t="s">
        <v>124</v>
      </c>
      <c r="C38" s="2443"/>
      <c r="D38" s="205" t="s">
        <v>1350</v>
      </c>
    </row>
    <row r="39" spans="2:4" x14ac:dyDescent="0.4">
      <c r="B39" s="2442" t="s">
        <v>126</v>
      </c>
      <c r="C39" s="2443"/>
      <c r="D39" s="205" t="s">
        <v>522</v>
      </c>
    </row>
    <row r="40" spans="2:4" x14ac:dyDescent="0.4">
      <c r="B40" s="2442" t="s">
        <v>128</v>
      </c>
      <c r="C40" s="2443"/>
      <c r="D40" s="205" t="s">
        <v>1351</v>
      </c>
    </row>
    <row r="41" spans="2:4" x14ac:dyDescent="0.4">
      <c r="B41" s="2442" t="s">
        <v>130</v>
      </c>
      <c r="C41" s="2443"/>
      <c r="D41" s="208" t="s">
        <v>1352</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5">
    <dataValidation allowBlank="1" showDropDown="1" showInputMessage="1" showErrorMessage="1" sqref="D13" xr:uid="{04FE683F-16F8-40BD-BD4A-6101CFFC8C9B}"/>
    <dataValidation type="list" allowBlank="1" showInputMessage="1" showErrorMessage="1" sqref="D4" xr:uid="{490C99DF-BB97-464C-B419-8FC48289B981}">
      <formula1>ODS</formula1>
    </dataValidation>
    <dataValidation type="list" allowBlank="1" showInputMessage="1" showErrorMessage="1" sqref="D5" xr:uid="{020C12DB-2AE8-4EED-9083-11EEF1D67FA5}">
      <formula1>Metas_ODS</formula1>
    </dataValidation>
    <dataValidation type="list" allowBlank="1" showInputMessage="1" showErrorMessage="1" sqref="D6" xr:uid="{3B25088C-A313-4476-B339-808203E70767}">
      <formula1>Numero_indicador</formula1>
    </dataValidation>
    <dataValidation type="list" allowBlank="1" showInputMessage="1" showErrorMessage="1" sqref="D7" xr:uid="{AABA3578-0C1D-4245-81DF-B0379FBCE9A4}">
      <formula1>Nombre_indicador_ODS</formula1>
    </dataValidation>
  </dataValidations>
  <hyperlinks>
    <hyperlink ref="B1" location="'3.6.1'!A1" display="REGRESAR" xr:uid="{6CDE482F-1AE6-446C-BBAF-1DE432573C43}"/>
    <hyperlink ref="D8" r:id="rId1" xr:uid="{020F3669-D374-4C94-9314-B8EEDAE5CB27}"/>
    <hyperlink ref="D41" r:id="rId2" xr:uid="{9B62EF20-B958-48C7-B8C6-C207287FAF06}"/>
    <hyperlink ref="D36" r:id="rId3" xr:uid="{12082C87-5355-4E55-8932-74E394782E63}"/>
  </hyperlinks>
  <pageMargins left="0.7" right="0.7" top="0.75" bottom="0.75" header="0.3" footer="0.3"/>
  <pageSetup orientation="portrait" r:id="rId4"/>
  <drawing r:id="rId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87-B0A8-4D28-BB94-0D0F3E9918AB}">
  <dimension ref="A1:P37"/>
  <sheetViews>
    <sheetView showGridLines="0" zoomScaleNormal="100" workbookViewId="0">
      <pane ySplit="1" topLeftCell="A2" activePane="bottomLeft" state="frozen"/>
      <selection activeCell="B1" sqref="B1"/>
      <selection pane="bottomLeft"/>
    </sheetView>
  </sheetViews>
  <sheetFormatPr baseColWidth="10" defaultColWidth="11.42578125" defaultRowHeight="12.75" x14ac:dyDescent="0.25"/>
  <cols>
    <col min="1" max="2" width="15" style="22" customWidth="1"/>
    <col min="3" max="3" width="9" style="22" customWidth="1"/>
    <col min="4" max="4" width="13.28515625" style="22" customWidth="1"/>
    <col min="5" max="16384" width="11.42578125" style="22"/>
  </cols>
  <sheetData>
    <row r="1" spans="1:16" s="16" customFormat="1" ht="19.5" x14ac:dyDescent="0.4">
      <c r="A1" s="15" t="s">
        <v>39</v>
      </c>
      <c r="C1" s="2421" t="s">
        <v>149</v>
      </c>
      <c r="D1" s="2421"/>
    </row>
    <row r="2" spans="1:16" s="16" customFormat="1" ht="19.5" x14ac:dyDescent="0.4"/>
    <row r="3" spans="1:16" s="16" customFormat="1" ht="19.5" x14ac:dyDescent="0.4">
      <c r="A3" s="2574" t="s">
        <v>41</v>
      </c>
      <c r="B3" s="2574"/>
      <c r="C3" s="2574" t="s">
        <v>733</v>
      </c>
      <c r="D3" s="2575"/>
      <c r="E3" s="2575"/>
      <c r="F3" s="2575"/>
      <c r="G3" s="2575"/>
      <c r="H3" s="2575"/>
      <c r="I3" s="2575"/>
      <c r="J3" s="2575"/>
      <c r="K3" s="2575"/>
      <c r="L3" s="2575"/>
      <c r="M3" s="2575"/>
      <c r="N3" s="2575"/>
      <c r="O3" s="2575"/>
      <c r="P3" s="2575"/>
    </row>
    <row r="4" spans="1:16" s="16" customFormat="1" ht="17.45" customHeight="1" x14ac:dyDescent="0.4">
      <c r="A4" s="2574" t="s">
        <v>42</v>
      </c>
      <c r="B4" s="2574"/>
      <c r="C4" s="2574" t="s">
        <v>698</v>
      </c>
      <c r="D4" s="2575"/>
      <c r="E4" s="2575"/>
      <c r="F4" s="2575"/>
      <c r="G4" s="2575"/>
      <c r="H4" s="2575"/>
      <c r="I4" s="2575"/>
      <c r="J4" s="2575"/>
      <c r="K4" s="2575"/>
      <c r="L4" s="2575"/>
      <c r="M4" s="2575"/>
      <c r="N4" s="2575"/>
      <c r="O4" s="2575"/>
      <c r="P4" s="2575"/>
    </row>
    <row r="5" spans="1:16" s="16" customFormat="1" ht="19.5" x14ac:dyDescent="0.4">
      <c r="A5" s="2574" t="s">
        <v>43</v>
      </c>
      <c r="B5" s="2574"/>
      <c r="C5" s="2574" t="s">
        <v>700</v>
      </c>
      <c r="D5" s="2575"/>
      <c r="E5" s="2575"/>
      <c r="F5" s="2575"/>
      <c r="G5" s="2575"/>
      <c r="H5" s="2575"/>
      <c r="I5" s="2575"/>
      <c r="J5" s="2575"/>
      <c r="K5" s="2575"/>
      <c r="L5" s="2575"/>
      <c r="M5" s="2575"/>
      <c r="N5" s="2575"/>
      <c r="O5" s="2575"/>
      <c r="P5" s="2575"/>
    </row>
    <row r="6" spans="1:16" s="16" customFormat="1" ht="19.5" x14ac:dyDescent="0.4">
      <c r="A6" s="2574" t="s">
        <v>132</v>
      </c>
      <c r="B6" s="2575"/>
      <c r="C6" s="2574" t="s">
        <v>1353</v>
      </c>
      <c r="D6" s="2575"/>
      <c r="E6" s="2575"/>
      <c r="F6" s="2575"/>
      <c r="G6" s="2575"/>
      <c r="H6" s="2575"/>
      <c r="I6" s="2575"/>
      <c r="J6" s="2575"/>
      <c r="K6" s="2575"/>
      <c r="L6" s="2575"/>
      <c r="M6" s="2575"/>
      <c r="N6" s="2575"/>
      <c r="O6" s="2575"/>
      <c r="P6" s="2575"/>
    </row>
    <row r="7" spans="1:16" s="16" customFormat="1" ht="19.5" x14ac:dyDescent="0.4">
      <c r="C7" s="631"/>
    </row>
    <row r="8" spans="1:16" s="16" customFormat="1" ht="19.5" x14ac:dyDescent="0.4">
      <c r="C8" s="631"/>
      <c r="K8" s="2648" t="s">
        <v>1354</v>
      </c>
      <c r="L8" s="2648"/>
    </row>
    <row r="9" spans="1:16" s="16" customFormat="1" ht="15.6" customHeight="1" x14ac:dyDescent="0.4">
      <c r="C9" s="24" t="s">
        <v>1355</v>
      </c>
      <c r="D9" s="24"/>
      <c r="E9" s="24"/>
      <c r="F9" s="24"/>
      <c r="G9" s="24"/>
      <c r="H9" s="24"/>
      <c r="I9" s="24"/>
      <c r="K9" s="2648"/>
      <c r="L9" s="2648"/>
    </row>
    <row r="10" spans="1:16" s="16" customFormat="1" ht="19.5" x14ac:dyDescent="0.4">
      <c r="C10" s="24" t="s">
        <v>1356</v>
      </c>
      <c r="D10" s="24"/>
      <c r="E10" s="24"/>
      <c r="F10" s="24"/>
      <c r="G10" s="24"/>
      <c r="H10" s="24"/>
      <c r="I10" s="24"/>
      <c r="K10" s="2648"/>
      <c r="L10" s="2648"/>
    </row>
    <row r="11" spans="1:16" ht="16.5" x14ac:dyDescent="0.25">
      <c r="C11" s="77"/>
      <c r="D11" s="77"/>
      <c r="E11" s="77"/>
      <c r="F11" s="77"/>
      <c r="G11" s="77"/>
      <c r="H11" s="77"/>
      <c r="I11" s="77"/>
    </row>
    <row r="12" spans="1:16" ht="32.450000000000003" customHeight="1" x14ac:dyDescent="0.4">
      <c r="C12" s="409" t="s">
        <v>46</v>
      </c>
      <c r="D12" s="409" t="s">
        <v>47</v>
      </c>
      <c r="E12" s="409" t="s">
        <v>1357</v>
      </c>
      <c r="F12" s="409" t="s">
        <v>1358</v>
      </c>
      <c r="G12" s="409" t="s">
        <v>1359</v>
      </c>
      <c r="H12" s="409" t="s">
        <v>1360</v>
      </c>
      <c r="I12" s="632" t="s">
        <v>1361</v>
      </c>
      <c r="J12" s="5"/>
    </row>
    <row r="13" spans="1:16" ht="18.75" x14ac:dyDescent="0.4">
      <c r="C13" s="541">
        <v>1986</v>
      </c>
      <c r="D13" s="633">
        <v>28</v>
      </c>
      <c r="E13" s="633">
        <v>19.2</v>
      </c>
      <c r="F13" s="633">
        <v>7.4</v>
      </c>
      <c r="G13" s="633">
        <v>1.2</v>
      </c>
      <c r="H13" s="633" t="s">
        <v>751</v>
      </c>
      <c r="I13" s="633" t="s">
        <v>751</v>
      </c>
      <c r="J13" s="5"/>
    </row>
    <row r="14" spans="1:16" ht="18.75" x14ac:dyDescent="0.4">
      <c r="C14" s="541">
        <v>1992</v>
      </c>
      <c r="D14" s="633">
        <v>28</v>
      </c>
      <c r="E14" s="633">
        <v>18</v>
      </c>
      <c r="F14" s="633">
        <v>8.6999999999999993</v>
      </c>
      <c r="G14" s="633">
        <v>1</v>
      </c>
      <c r="H14" s="633" t="s">
        <v>751</v>
      </c>
      <c r="I14" s="633" t="s">
        <v>751</v>
      </c>
      <c r="J14" s="5"/>
    </row>
    <row r="15" spans="1:16" ht="18.75" x14ac:dyDescent="0.4">
      <c r="C15" s="541">
        <v>1999</v>
      </c>
      <c r="D15" s="633">
        <v>38</v>
      </c>
      <c r="E15" s="633">
        <v>25.6</v>
      </c>
      <c r="F15" s="633">
        <v>6.9</v>
      </c>
      <c r="G15" s="633">
        <v>5.9</v>
      </c>
      <c r="H15" s="633"/>
      <c r="I15" s="633"/>
      <c r="J15" s="5"/>
    </row>
    <row r="16" spans="1:16" ht="18.75" x14ac:dyDescent="0.4">
      <c r="C16" s="541">
        <v>2009</v>
      </c>
      <c r="D16" s="633">
        <v>33</v>
      </c>
      <c r="E16" s="633">
        <v>24.7</v>
      </c>
      <c r="F16" s="633">
        <v>2.8</v>
      </c>
      <c r="G16" s="633">
        <v>8.1</v>
      </c>
      <c r="H16" s="633">
        <v>0.1</v>
      </c>
      <c r="I16" s="633" t="s">
        <v>751</v>
      </c>
      <c r="J16" s="5"/>
    </row>
    <row r="17" spans="3:10" ht="18.75" x14ac:dyDescent="0.4">
      <c r="C17" s="541">
        <v>2010</v>
      </c>
      <c r="D17" s="633">
        <v>34</v>
      </c>
      <c r="E17" s="633">
        <v>21.3</v>
      </c>
      <c r="F17" s="633">
        <v>3.4</v>
      </c>
      <c r="G17" s="633">
        <v>9.5</v>
      </c>
      <c r="H17" s="633">
        <v>0.3</v>
      </c>
      <c r="I17" s="633" t="s">
        <v>751</v>
      </c>
      <c r="J17" s="5"/>
    </row>
    <row r="18" spans="3:10" ht="18.75" x14ac:dyDescent="0.4">
      <c r="C18" s="634">
        <v>2015</v>
      </c>
      <c r="D18" s="635">
        <v>35.299999999999997</v>
      </c>
      <c r="E18" s="635">
        <v>22.7</v>
      </c>
      <c r="F18" s="635">
        <v>3.2</v>
      </c>
      <c r="G18" s="635">
        <v>9.1999999999999993</v>
      </c>
      <c r="H18" s="635" t="s">
        <v>751</v>
      </c>
      <c r="I18" s="635">
        <v>0.3</v>
      </c>
      <c r="J18" s="5"/>
    </row>
    <row r="19" spans="3:10" ht="18.75" x14ac:dyDescent="0.4">
      <c r="C19" s="164" t="s">
        <v>1362</v>
      </c>
      <c r="D19" s="5"/>
      <c r="E19" s="5"/>
      <c r="F19" s="5"/>
      <c r="G19" s="5"/>
      <c r="H19" s="5"/>
      <c r="I19" s="5"/>
      <c r="J19" s="5"/>
    </row>
    <row r="20" spans="3:10" x14ac:dyDescent="0.25">
      <c r="C20" s="636"/>
    </row>
    <row r="21" spans="3:10" x14ac:dyDescent="0.25">
      <c r="C21" s="637"/>
    </row>
    <row r="22" spans="3:10" ht="31.5" customHeight="1" x14ac:dyDescent="0.25">
      <c r="C22" s="2649" t="s">
        <v>1363</v>
      </c>
      <c r="D22" s="2649"/>
      <c r="E22" s="2649"/>
      <c r="F22" s="2649"/>
      <c r="G22" s="2649"/>
      <c r="H22" s="2649"/>
      <c r="I22" s="2649"/>
      <c r="J22" s="2649"/>
    </row>
    <row r="23" spans="3:10" x14ac:dyDescent="0.25">
      <c r="C23" s="636"/>
    </row>
    <row r="24" spans="3:10" x14ac:dyDescent="0.25">
      <c r="C24" s="637"/>
    </row>
    <row r="25" spans="3:10" x14ac:dyDescent="0.25">
      <c r="C25" s="636"/>
    </row>
    <row r="26" spans="3:10" x14ac:dyDescent="0.25">
      <c r="C26" s="636"/>
    </row>
    <row r="27" spans="3:10" x14ac:dyDescent="0.25">
      <c r="C27" s="636"/>
    </row>
    <row r="28" spans="3:10" x14ac:dyDescent="0.25">
      <c r="C28" s="637"/>
    </row>
    <row r="29" spans="3:10" x14ac:dyDescent="0.25">
      <c r="C29" s="636"/>
    </row>
    <row r="35" spans="3:3" ht="18.75" x14ac:dyDescent="0.4">
      <c r="C35" s="5" t="s">
        <v>1364</v>
      </c>
    </row>
    <row r="37" spans="3:3" ht="18.75" x14ac:dyDescent="0.4">
      <c r="C37" s="164" t="s">
        <v>1362</v>
      </c>
    </row>
  </sheetData>
  <mergeCells count="11">
    <mergeCell ref="A6:B6"/>
    <mergeCell ref="C6:P6"/>
    <mergeCell ref="K8:L10"/>
    <mergeCell ref="C22:J22"/>
    <mergeCell ref="C1:D1"/>
    <mergeCell ref="A3:B3"/>
    <mergeCell ref="C3:P3"/>
    <mergeCell ref="A4:B4"/>
    <mergeCell ref="C4:P4"/>
    <mergeCell ref="A5:B5"/>
    <mergeCell ref="C5:P5"/>
  </mergeCells>
  <hyperlinks>
    <hyperlink ref="A1" location="'ODS 3.'!A1" display="REGRESAR" xr:uid="{B362EE30-7EC1-4175-9483-3EE33F79A268}"/>
    <hyperlink ref="C1" location="'Metadato 3.7.1'!A1" display="VER METADATO" xr:uid="{96ACFDA5-9355-42EB-B64B-AE840D017E94}"/>
    <hyperlink ref="K8:L10" location="'3.7.1 EMNA'!A1" display="VER: INDICADOR ENCUESTA MUJER, NIÑEZ Y ADOLESCENCIA " xr:uid="{E88A2042-DFF7-4CED-88E1-0258D3EE319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D3BB5-F325-4E78-85A5-951DEE20AEBB}">
  <dimension ref="A1:U56"/>
  <sheetViews>
    <sheetView showGridLines="0" zoomScale="90" zoomScaleNormal="90" workbookViewId="0">
      <pane ySplit="1" topLeftCell="A2" activePane="bottomLeft" state="frozen"/>
      <selection pane="bottomLeft"/>
    </sheetView>
  </sheetViews>
  <sheetFormatPr baseColWidth="10" defaultColWidth="11.42578125" defaultRowHeight="12.75" x14ac:dyDescent="0.25"/>
  <cols>
    <col min="1" max="1" width="15" style="137" customWidth="1"/>
    <col min="2" max="2" width="15" style="22" customWidth="1"/>
    <col min="3" max="3" width="11.42578125" style="22"/>
    <col min="4" max="4" width="12.5703125" style="22" customWidth="1"/>
    <col min="5" max="7" width="11.42578125" style="22"/>
    <col min="8" max="8" width="12.28515625" style="22" customWidth="1"/>
    <col min="9" max="9" width="14.28515625" style="22" customWidth="1"/>
    <col min="10" max="10" width="13.7109375" style="22" customWidth="1"/>
    <col min="11" max="16384" width="11.42578125" style="22"/>
  </cols>
  <sheetData>
    <row r="1" spans="1:21" ht="19.5" x14ac:dyDescent="0.4">
      <c r="A1" s="68" t="s">
        <v>39</v>
      </c>
      <c r="B1" s="16"/>
      <c r="C1" s="2421" t="s">
        <v>40</v>
      </c>
      <c r="D1" s="2421"/>
      <c r="E1" s="130"/>
      <c r="F1" s="16"/>
      <c r="G1" s="16"/>
      <c r="H1" s="16"/>
      <c r="I1" s="16"/>
      <c r="J1" s="16"/>
      <c r="K1" s="16"/>
      <c r="L1" s="16"/>
      <c r="M1" s="16"/>
      <c r="N1" s="16"/>
      <c r="O1" s="16"/>
      <c r="P1" s="16"/>
      <c r="Q1" s="16"/>
    </row>
    <row r="2" spans="1:21" ht="19.5" x14ac:dyDescent="0.4">
      <c r="A2" s="131"/>
      <c r="B2" s="16"/>
      <c r="C2" s="16"/>
      <c r="D2" s="16"/>
      <c r="E2" s="16"/>
      <c r="F2" s="16"/>
      <c r="G2" s="16"/>
      <c r="H2" s="16"/>
      <c r="I2" s="16"/>
      <c r="J2" s="16"/>
      <c r="K2" s="16"/>
      <c r="L2" s="16"/>
      <c r="M2" s="16"/>
      <c r="N2" s="16"/>
      <c r="O2" s="16"/>
      <c r="P2" s="16"/>
      <c r="Q2" s="16"/>
    </row>
    <row r="3" spans="1:21" s="133" customFormat="1" ht="16.149999999999999" customHeight="1" x14ac:dyDescent="0.25">
      <c r="A3" s="2413" t="s">
        <v>41</v>
      </c>
      <c r="B3" s="2413"/>
      <c r="C3" s="2414" t="s">
        <v>2</v>
      </c>
      <c r="D3" s="2415"/>
      <c r="E3" s="2415"/>
      <c r="F3" s="2415"/>
      <c r="G3" s="2415"/>
      <c r="H3" s="2415"/>
      <c r="I3" s="2415"/>
      <c r="J3" s="2415"/>
      <c r="K3" s="2415"/>
      <c r="L3" s="2415"/>
      <c r="M3" s="2415"/>
      <c r="N3" s="2415"/>
      <c r="O3" s="2415"/>
      <c r="P3" s="2415"/>
      <c r="Q3" s="2415"/>
      <c r="R3" s="132"/>
      <c r="S3" s="69"/>
      <c r="T3" s="70"/>
    </row>
    <row r="4" spans="1:21" s="133" customFormat="1" ht="17.45" customHeight="1" x14ac:dyDescent="0.25">
      <c r="A4" s="2413" t="s">
        <v>42</v>
      </c>
      <c r="B4" s="2413"/>
      <c r="C4" s="2414" t="s">
        <v>14</v>
      </c>
      <c r="D4" s="2415"/>
      <c r="E4" s="2415"/>
      <c r="F4" s="2415"/>
      <c r="G4" s="2415"/>
      <c r="H4" s="2415"/>
      <c r="I4" s="2415"/>
      <c r="J4" s="2415"/>
      <c r="K4" s="2415"/>
      <c r="L4" s="2415"/>
      <c r="M4" s="2415"/>
      <c r="N4" s="2415"/>
      <c r="O4" s="2415"/>
      <c r="P4" s="2415"/>
      <c r="Q4" s="2415"/>
      <c r="R4" s="134"/>
      <c r="S4" s="135"/>
      <c r="T4" s="70"/>
    </row>
    <row r="5" spans="1:21" s="133" customFormat="1" ht="32.450000000000003" customHeight="1" x14ac:dyDescent="0.25">
      <c r="A5" s="2413" t="s">
        <v>43</v>
      </c>
      <c r="B5" s="2413"/>
      <c r="C5" s="2414" t="s">
        <v>173</v>
      </c>
      <c r="D5" s="2415"/>
      <c r="E5" s="2415"/>
      <c r="F5" s="2415"/>
      <c r="G5" s="2415"/>
      <c r="H5" s="2415"/>
      <c r="I5" s="2415"/>
      <c r="J5" s="2415"/>
      <c r="K5" s="2415"/>
      <c r="L5" s="2415"/>
      <c r="M5" s="2415"/>
      <c r="N5" s="2415"/>
      <c r="O5" s="2415"/>
      <c r="P5" s="2415"/>
      <c r="Q5" s="2415"/>
      <c r="R5" s="134"/>
      <c r="S5" s="135"/>
      <c r="T5" s="70"/>
    </row>
    <row r="6" spans="1:21" s="133" customFormat="1" ht="17.45" customHeight="1" x14ac:dyDescent="0.25">
      <c r="A6" s="2413" t="s">
        <v>132</v>
      </c>
      <c r="B6" s="2413"/>
      <c r="C6" s="2414" t="s">
        <v>174</v>
      </c>
      <c r="D6" s="2415"/>
      <c r="E6" s="2415"/>
      <c r="F6" s="2415"/>
      <c r="G6" s="2415"/>
      <c r="H6" s="2415"/>
      <c r="I6" s="2415"/>
      <c r="J6" s="2415"/>
      <c r="K6" s="2415"/>
      <c r="L6" s="2415"/>
      <c r="M6" s="2415"/>
      <c r="N6" s="2415"/>
      <c r="O6" s="2415"/>
      <c r="P6" s="2415"/>
      <c r="Q6" s="2415"/>
      <c r="R6" s="134"/>
      <c r="S6" s="135"/>
      <c r="T6" s="70"/>
    </row>
    <row r="7" spans="1:21" x14ac:dyDescent="0.25">
      <c r="A7" s="136"/>
      <c r="B7" s="45"/>
      <c r="C7" s="45"/>
      <c r="D7" s="45"/>
      <c r="E7" s="45"/>
      <c r="F7" s="45"/>
      <c r="G7" s="45"/>
      <c r="H7" s="45"/>
      <c r="I7" s="45"/>
      <c r="J7" s="45"/>
      <c r="K7" s="45"/>
      <c r="L7" s="45"/>
      <c r="M7" s="45"/>
      <c r="N7" s="45"/>
      <c r="O7" s="45"/>
      <c r="P7" s="45"/>
      <c r="Q7" s="45"/>
      <c r="R7" s="45"/>
      <c r="S7" s="45"/>
    </row>
    <row r="8" spans="1:21" ht="13.9" customHeight="1" x14ac:dyDescent="0.25"/>
    <row r="9" spans="1:21" ht="12.75" customHeight="1" x14ac:dyDescent="0.25">
      <c r="C9" s="138" t="s">
        <v>175</v>
      </c>
      <c r="D9" s="139"/>
      <c r="E9" s="139"/>
      <c r="F9" s="139"/>
      <c r="G9" s="139"/>
      <c r="H9" s="139"/>
      <c r="I9" s="139"/>
      <c r="J9" s="139"/>
      <c r="K9" s="139"/>
      <c r="L9" s="139"/>
      <c r="M9" s="139"/>
      <c r="N9" s="139"/>
      <c r="O9" s="139"/>
      <c r="P9" s="139"/>
      <c r="Q9" s="139"/>
      <c r="R9" s="139"/>
      <c r="S9" s="139"/>
      <c r="T9" s="139"/>
      <c r="U9" s="139"/>
    </row>
    <row r="10" spans="1:21" ht="12.75" customHeight="1" x14ac:dyDescent="0.25">
      <c r="C10" s="139"/>
      <c r="D10" s="139"/>
      <c r="E10" s="139"/>
      <c r="F10" s="139"/>
      <c r="G10" s="139"/>
      <c r="H10" s="139"/>
      <c r="I10" s="139"/>
      <c r="J10" s="139"/>
      <c r="K10" s="139"/>
      <c r="L10" s="139"/>
      <c r="M10" s="139"/>
      <c r="N10" s="139"/>
      <c r="O10" s="139"/>
      <c r="P10" s="139"/>
      <c r="Q10" s="139"/>
      <c r="R10" s="139"/>
      <c r="S10" s="139"/>
      <c r="T10" s="139"/>
      <c r="U10" s="139"/>
    </row>
    <row r="11" spans="1:21" ht="15" customHeight="1" x14ac:dyDescent="0.25">
      <c r="C11" s="140"/>
      <c r="D11" s="2416" t="s">
        <v>176</v>
      </c>
      <c r="E11" s="2416" t="s">
        <v>177</v>
      </c>
      <c r="F11" s="2416" t="s">
        <v>178</v>
      </c>
      <c r="G11" s="2418" t="s">
        <v>179</v>
      </c>
      <c r="H11" s="2418"/>
      <c r="I11" s="2418"/>
      <c r="J11" s="2418"/>
      <c r="K11" s="2418"/>
      <c r="L11" s="2418"/>
      <c r="M11" s="2418"/>
      <c r="N11" s="2418"/>
      <c r="O11" s="2418"/>
      <c r="P11" s="2418"/>
      <c r="Q11" s="2418"/>
      <c r="R11" s="2418"/>
      <c r="S11" s="2418"/>
      <c r="T11" s="2418"/>
      <c r="U11" s="2418"/>
    </row>
    <row r="12" spans="1:21" ht="78" customHeight="1" x14ac:dyDescent="0.25">
      <c r="C12" s="27" t="s">
        <v>46</v>
      </c>
      <c r="D12" s="2417"/>
      <c r="E12" s="2417"/>
      <c r="F12" s="2417"/>
      <c r="G12" s="27" t="s">
        <v>180</v>
      </c>
      <c r="H12" s="27" t="s">
        <v>181</v>
      </c>
      <c r="I12" s="27" t="s">
        <v>182</v>
      </c>
      <c r="J12" s="27" t="s">
        <v>183</v>
      </c>
      <c r="K12" s="27" t="s">
        <v>184</v>
      </c>
      <c r="L12" s="27" t="s">
        <v>185</v>
      </c>
      <c r="M12" s="27" t="s">
        <v>186</v>
      </c>
      <c r="N12" s="27" t="s">
        <v>187</v>
      </c>
      <c r="O12" s="27" t="s">
        <v>188</v>
      </c>
      <c r="P12" s="27" t="s">
        <v>189</v>
      </c>
      <c r="Q12" s="27" t="s">
        <v>190</v>
      </c>
      <c r="R12" s="27" t="s">
        <v>191</v>
      </c>
      <c r="S12" s="27" t="s">
        <v>192</v>
      </c>
      <c r="T12" s="27" t="s">
        <v>193</v>
      </c>
      <c r="U12" s="27" t="s">
        <v>194</v>
      </c>
    </row>
    <row r="13" spans="1:21" ht="18.75" x14ac:dyDescent="0.4">
      <c r="C13" s="141">
        <v>2016</v>
      </c>
      <c r="D13" s="142">
        <f t="shared" ref="D13:D19" si="0">+F13/E13*100</f>
        <v>14.417082058390571</v>
      </c>
      <c r="E13" s="143">
        <v>4889762</v>
      </c>
      <c r="F13" s="143">
        <v>704961</v>
      </c>
      <c r="G13" s="143">
        <v>10896</v>
      </c>
      <c r="H13" s="144">
        <v>388996</v>
      </c>
      <c r="I13" s="144">
        <v>16516</v>
      </c>
      <c r="J13" s="144">
        <v>3480</v>
      </c>
      <c r="K13" s="144">
        <v>168005</v>
      </c>
      <c r="L13" s="144">
        <v>208</v>
      </c>
      <c r="M13" s="144">
        <v>278344</v>
      </c>
      <c r="N13" s="144">
        <v>105842</v>
      </c>
      <c r="O13" s="144">
        <v>19414</v>
      </c>
      <c r="P13" s="144">
        <v>488</v>
      </c>
      <c r="Q13" s="5"/>
      <c r="R13" s="5"/>
      <c r="S13" s="5"/>
      <c r="T13" s="5"/>
      <c r="U13" s="5"/>
    </row>
    <row r="14" spans="1:21" ht="18.75" x14ac:dyDescent="0.4">
      <c r="C14" s="141">
        <v>2017</v>
      </c>
      <c r="D14" s="142">
        <f t="shared" si="0"/>
        <v>18.700466977985322</v>
      </c>
      <c r="E14" s="143">
        <v>4946700</v>
      </c>
      <c r="F14" s="143">
        <v>925056</v>
      </c>
      <c r="G14" s="143">
        <v>10322</v>
      </c>
      <c r="H14" s="144">
        <v>452624</v>
      </c>
      <c r="I14" s="144">
        <v>16855</v>
      </c>
      <c r="J14" s="144">
        <v>3651</v>
      </c>
      <c r="K14" s="144">
        <v>196155</v>
      </c>
      <c r="L14" s="144"/>
      <c r="M14" s="144">
        <v>303587</v>
      </c>
      <c r="N14" s="144">
        <v>121530</v>
      </c>
      <c r="O14" s="144">
        <v>14193</v>
      </c>
      <c r="P14" s="144">
        <v>457</v>
      </c>
      <c r="Q14" s="5"/>
      <c r="R14" s="5"/>
      <c r="S14" s="5"/>
      <c r="T14" s="5"/>
      <c r="U14" s="5"/>
    </row>
    <row r="15" spans="1:21" ht="18.75" x14ac:dyDescent="0.25">
      <c r="C15" s="145">
        <v>2018</v>
      </c>
      <c r="D15" s="146">
        <f t="shared" si="0"/>
        <v>20.092469084035223</v>
      </c>
      <c r="E15" s="147">
        <v>5003402</v>
      </c>
      <c r="F15" s="147">
        <v>1005307</v>
      </c>
      <c r="G15" s="147">
        <v>12719</v>
      </c>
      <c r="H15" s="147">
        <v>287562</v>
      </c>
      <c r="I15" s="147">
        <v>13736</v>
      </c>
      <c r="J15" s="147">
        <v>3695</v>
      </c>
      <c r="K15" s="147">
        <v>81259</v>
      </c>
      <c r="L15" s="147">
        <v>1617</v>
      </c>
      <c r="M15" s="147">
        <v>232691</v>
      </c>
      <c r="N15" s="147">
        <v>121346</v>
      </c>
      <c r="O15" s="147">
        <v>17307</v>
      </c>
      <c r="P15" s="147">
        <v>440</v>
      </c>
      <c r="Q15" s="147">
        <v>40695</v>
      </c>
      <c r="R15" s="147"/>
      <c r="S15" s="147"/>
      <c r="T15" s="147">
        <v>779447</v>
      </c>
      <c r="U15" s="147">
        <v>50132</v>
      </c>
    </row>
    <row r="16" spans="1:21" ht="18.75" x14ac:dyDescent="0.4">
      <c r="C16" s="145">
        <v>2019</v>
      </c>
      <c r="D16" s="146">
        <f t="shared" si="0"/>
        <v>23.006630202960661</v>
      </c>
      <c r="E16" s="147">
        <v>5058007.1472190199</v>
      </c>
      <c r="F16" s="147">
        <v>1163677</v>
      </c>
      <c r="G16" s="147">
        <v>9492</v>
      </c>
      <c r="H16" s="147">
        <v>307217</v>
      </c>
      <c r="I16" s="147">
        <v>14907.666666666666</v>
      </c>
      <c r="J16" s="147">
        <v>3755</v>
      </c>
      <c r="K16" s="147">
        <v>79624</v>
      </c>
      <c r="L16" s="147">
        <v>3203</v>
      </c>
      <c r="M16" s="147">
        <v>328292</v>
      </c>
      <c r="N16" s="147">
        <v>128222</v>
      </c>
      <c r="O16" s="147">
        <v>14200</v>
      </c>
      <c r="P16" s="147">
        <v>435</v>
      </c>
      <c r="Q16" s="147">
        <v>11940</v>
      </c>
      <c r="R16" s="5"/>
      <c r="S16" s="5"/>
      <c r="T16" s="147">
        <v>805584</v>
      </c>
      <c r="U16" s="147">
        <v>84955.194444444394</v>
      </c>
    </row>
    <row r="17" spans="3:21" ht="18.75" x14ac:dyDescent="0.4">
      <c r="C17" s="145">
        <v>2020</v>
      </c>
      <c r="D17" s="146">
        <f t="shared" si="0"/>
        <v>17.390679127052977</v>
      </c>
      <c r="E17" s="147">
        <v>5111238</v>
      </c>
      <c r="F17" s="147">
        <v>888879</v>
      </c>
      <c r="G17" s="147">
        <v>11940</v>
      </c>
      <c r="H17" s="147">
        <v>321157</v>
      </c>
      <c r="I17" s="147">
        <v>14626.91666666667</v>
      </c>
      <c r="J17" s="147">
        <v>4149</v>
      </c>
      <c r="K17" s="147">
        <v>2306.6666666666652</v>
      </c>
      <c r="L17" s="147">
        <v>945</v>
      </c>
      <c r="M17" s="147">
        <v>319258</v>
      </c>
      <c r="N17" s="147">
        <v>147088</v>
      </c>
      <c r="O17" s="147">
        <v>14457</v>
      </c>
      <c r="P17" s="147">
        <v>453</v>
      </c>
      <c r="Q17" s="147">
        <v>32984</v>
      </c>
      <c r="R17" s="147">
        <v>682152</v>
      </c>
      <c r="S17" s="5"/>
      <c r="T17" s="147">
        <v>697621.66666666674</v>
      </c>
      <c r="U17" s="147">
        <v>92216.833333333299</v>
      </c>
    </row>
    <row r="18" spans="3:21" ht="18.75" x14ac:dyDescent="0.4">
      <c r="C18" s="145">
        <v>2021</v>
      </c>
      <c r="D18" s="146">
        <f t="shared" si="0"/>
        <v>11.015348636829746</v>
      </c>
      <c r="E18" s="147">
        <v>5213362</v>
      </c>
      <c r="F18" s="147">
        <v>574270</v>
      </c>
      <c r="G18" s="147">
        <v>12330</v>
      </c>
      <c r="H18" s="147">
        <v>333916</v>
      </c>
      <c r="I18" s="147">
        <v>14713</v>
      </c>
      <c r="J18" s="147">
        <v>4708</v>
      </c>
      <c r="K18" s="147">
        <v>731</v>
      </c>
      <c r="L18" s="147">
        <v>585</v>
      </c>
      <c r="M18" s="147">
        <v>307927</v>
      </c>
      <c r="N18" s="147">
        <v>161650</v>
      </c>
      <c r="O18" s="147">
        <v>17522</v>
      </c>
      <c r="P18" s="147">
        <v>463</v>
      </c>
      <c r="Q18" s="147">
        <v>16795</v>
      </c>
      <c r="R18" s="147">
        <v>345718</v>
      </c>
      <c r="S18" s="5"/>
      <c r="T18" s="147">
        <v>771901.33333333337</v>
      </c>
      <c r="U18" s="147">
        <v>95984.666666666672</v>
      </c>
    </row>
    <row r="19" spans="3:21" ht="18.75" x14ac:dyDescent="0.4">
      <c r="C19" s="145">
        <v>2022</v>
      </c>
      <c r="D19" s="146">
        <f t="shared" si="0"/>
        <v>16.722245384151332</v>
      </c>
      <c r="E19" s="147">
        <v>5044197</v>
      </c>
      <c r="F19" s="147">
        <v>843503</v>
      </c>
      <c r="G19" s="147">
        <v>8951</v>
      </c>
      <c r="H19" s="147">
        <v>140482</v>
      </c>
      <c r="I19" s="147">
        <v>14644</v>
      </c>
      <c r="J19" s="147">
        <v>5208</v>
      </c>
      <c r="K19" s="147">
        <v>3230</v>
      </c>
      <c r="L19" s="147">
        <v>969</v>
      </c>
      <c r="M19" s="147">
        <v>351015</v>
      </c>
      <c r="N19" s="147">
        <v>155945</v>
      </c>
      <c r="O19" s="147">
        <v>14742</v>
      </c>
      <c r="P19" s="147">
        <v>459</v>
      </c>
      <c r="Q19" s="147">
        <v>6976</v>
      </c>
      <c r="R19" s="147">
        <v>569535</v>
      </c>
      <c r="S19" s="5"/>
      <c r="T19" s="147">
        <v>803681</v>
      </c>
      <c r="U19" s="147">
        <v>80000</v>
      </c>
    </row>
    <row r="20" spans="3:21" ht="18.75" x14ac:dyDescent="0.4">
      <c r="C20" s="148">
        <v>2023</v>
      </c>
      <c r="D20" s="149"/>
      <c r="E20" s="150">
        <v>5229000</v>
      </c>
      <c r="F20" s="151"/>
      <c r="G20" s="150">
        <v>9739</v>
      </c>
      <c r="H20" s="150">
        <v>147238</v>
      </c>
      <c r="I20" s="150">
        <v>14278.458333333334</v>
      </c>
      <c r="J20" s="150">
        <v>5703</v>
      </c>
      <c r="K20" s="150">
        <v>3257</v>
      </c>
      <c r="L20" s="150">
        <v>590</v>
      </c>
      <c r="M20" s="150">
        <v>270174</v>
      </c>
      <c r="N20" s="150">
        <v>150229</v>
      </c>
      <c r="O20" s="150">
        <v>16251</v>
      </c>
      <c r="P20" s="150">
        <v>452</v>
      </c>
      <c r="Q20" s="152">
        <v>0</v>
      </c>
      <c r="R20" s="150">
        <v>431675</v>
      </c>
      <c r="S20" s="153"/>
      <c r="T20" s="150">
        <v>691798</v>
      </c>
      <c r="U20" s="150">
        <v>80325.638888888905</v>
      </c>
    </row>
    <row r="21" spans="3:21" ht="18.75" x14ac:dyDescent="0.4">
      <c r="C21" s="145"/>
      <c r="D21" s="146"/>
      <c r="E21" s="147"/>
      <c r="F21" s="147"/>
      <c r="G21" s="147"/>
      <c r="H21" s="147"/>
      <c r="I21" s="147"/>
      <c r="J21" s="147"/>
      <c r="K21" s="147"/>
      <c r="L21" s="147"/>
      <c r="M21" s="147"/>
      <c r="N21" s="147"/>
      <c r="O21" s="147"/>
      <c r="P21" s="147"/>
      <c r="Q21" s="147"/>
      <c r="R21" s="147"/>
      <c r="S21" s="5"/>
      <c r="T21" s="147"/>
      <c r="U21" s="147"/>
    </row>
    <row r="22" spans="3:21" ht="18.75" x14ac:dyDescent="0.4">
      <c r="C22" s="154" t="s">
        <v>195</v>
      </c>
      <c r="D22" s="5"/>
      <c r="E22" s="5"/>
      <c r="F22" s="5"/>
      <c r="G22" s="5"/>
      <c r="H22" s="5"/>
      <c r="I22" s="5"/>
      <c r="J22" s="5"/>
      <c r="K22" s="5"/>
      <c r="L22" s="5"/>
      <c r="M22" s="5"/>
      <c r="N22" s="5"/>
      <c r="O22" s="5"/>
      <c r="P22" s="5"/>
      <c r="Q22" s="5"/>
      <c r="R22" s="5"/>
      <c r="S22" s="5"/>
      <c r="T22" s="5"/>
      <c r="U22" s="5"/>
    </row>
    <row r="23" spans="3:21" ht="12.75" customHeight="1" x14ac:dyDescent="0.4">
      <c r="C23" s="5" t="s">
        <v>196</v>
      </c>
      <c r="D23" s="5"/>
      <c r="E23" s="5"/>
      <c r="F23" s="5"/>
      <c r="G23" s="5"/>
      <c r="H23" s="5"/>
      <c r="I23" s="5"/>
      <c r="J23" s="5"/>
      <c r="K23" s="5"/>
      <c r="L23" s="5"/>
      <c r="M23" s="5"/>
      <c r="N23" s="5"/>
      <c r="O23" s="5"/>
      <c r="P23" s="5"/>
      <c r="Q23" s="5"/>
      <c r="R23" s="5"/>
      <c r="S23" s="5"/>
      <c r="T23" s="5"/>
      <c r="U23" s="5"/>
    </row>
    <row r="24" spans="3:21" ht="18.75" x14ac:dyDescent="0.4">
      <c r="C24" s="5" t="s">
        <v>197</v>
      </c>
      <c r="D24" s="5"/>
      <c r="E24" s="5"/>
      <c r="F24" s="5"/>
      <c r="G24" s="5"/>
      <c r="H24" s="5"/>
      <c r="I24" s="5"/>
      <c r="J24" s="5"/>
      <c r="K24" s="5"/>
      <c r="L24" s="5"/>
      <c r="M24" s="5"/>
      <c r="N24" s="5"/>
      <c r="O24" s="5"/>
      <c r="P24" s="5"/>
      <c r="Q24" s="5"/>
      <c r="R24" s="5"/>
      <c r="S24" s="5"/>
      <c r="T24" s="5"/>
      <c r="U24" s="5"/>
    </row>
    <row r="25" spans="3:21" ht="18.75" x14ac:dyDescent="0.4">
      <c r="C25" s="5" t="s">
        <v>198</v>
      </c>
      <c r="D25" s="5"/>
      <c r="E25" s="5"/>
      <c r="F25" s="5"/>
      <c r="G25" s="5"/>
      <c r="H25" s="5"/>
      <c r="I25" s="5"/>
      <c r="J25" s="5"/>
      <c r="K25" s="5"/>
      <c r="L25" s="5"/>
      <c r="M25" s="5"/>
      <c r="N25" s="5"/>
      <c r="O25" s="5"/>
      <c r="P25" s="5"/>
      <c r="Q25" s="5"/>
      <c r="R25" s="5"/>
      <c r="S25" s="5"/>
      <c r="T25" s="5"/>
      <c r="U25" s="5"/>
    </row>
    <row r="26" spans="3:21" ht="18.75" x14ac:dyDescent="0.4">
      <c r="C26" s="5" t="s">
        <v>199</v>
      </c>
      <c r="D26" s="5"/>
      <c r="E26" s="5"/>
      <c r="F26" s="5"/>
      <c r="G26" s="5"/>
      <c r="H26" s="5"/>
      <c r="I26" s="5"/>
      <c r="J26" s="5"/>
      <c r="K26" s="5"/>
      <c r="L26" s="5"/>
      <c r="M26" s="5"/>
      <c r="N26" s="5"/>
      <c r="O26" s="5"/>
      <c r="P26" s="5"/>
      <c r="Q26" s="5"/>
      <c r="R26" s="5"/>
      <c r="S26" s="5"/>
      <c r="T26" s="5"/>
      <c r="U26" s="5"/>
    </row>
    <row r="27" spans="3:21" ht="18.75" x14ac:dyDescent="0.4">
      <c r="C27" s="154" t="s">
        <v>200</v>
      </c>
      <c r="D27" s="5"/>
      <c r="E27" s="5"/>
      <c r="F27" s="5"/>
      <c r="G27" s="5"/>
      <c r="H27" s="5"/>
      <c r="I27" s="5"/>
      <c r="J27" s="5"/>
      <c r="K27" s="5"/>
      <c r="L27" s="5"/>
      <c r="M27" s="5"/>
      <c r="N27" s="5"/>
      <c r="O27" s="5"/>
      <c r="P27" s="5"/>
      <c r="Q27" s="5"/>
      <c r="R27" s="5"/>
      <c r="S27" s="5"/>
      <c r="T27" s="5"/>
      <c r="U27" s="5"/>
    </row>
    <row r="28" spans="3:21" ht="18.75" x14ac:dyDescent="0.4">
      <c r="C28" s="154" t="s">
        <v>201</v>
      </c>
      <c r="D28" s="5"/>
      <c r="E28" s="5"/>
      <c r="F28" s="5"/>
      <c r="G28" s="5"/>
      <c r="H28" s="5"/>
      <c r="I28" s="5"/>
      <c r="J28" s="5"/>
      <c r="K28" s="5"/>
      <c r="L28" s="5"/>
      <c r="M28" s="5"/>
      <c r="N28" s="5"/>
      <c r="O28" s="5"/>
      <c r="P28" s="5"/>
      <c r="Q28" s="5"/>
      <c r="R28" s="5"/>
      <c r="S28" s="5"/>
      <c r="T28" s="5"/>
      <c r="U28" s="5"/>
    </row>
    <row r="29" spans="3:21" ht="18.75" x14ac:dyDescent="0.4">
      <c r="C29" s="155" t="s">
        <v>202</v>
      </c>
      <c r="D29" s="5"/>
      <c r="E29" s="5"/>
      <c r="F29" s="5"/>
      <c r="G29" s="5"/>
      <c r="H29" s="5"/>
      <c r="I29" s="5"/>
      <c r="J29" s="5"/>
      <c r="K29" s="5"/>
      <c r="L29" s="5"/>
      <c r="M29" s="5"/>
      <c r="N29" s="5"/>
      <c r="O29" s="5"/>
      <c r="P29" s="5"/>
      <c r="Q29" s="5"/>
      <c r="R29" s="5"/>
      <c r="S29" s="5"/>
      <c r="T29" s="5"/>
      <c r="U29" s="5"/>
    </row>
    <row r="30" spans="3:21" ht="18.75" x14ac:dyDescent="0.4">
      <c r="C30" s="5" t="s">
        <v>203</v>
      </c>
      <c r="D30" s="5"/>
      <c r="E30" s="5"/>
      <c r="F30" s="5"/>
      <c r="G30" s="5"/>
      <c r="H30" s="5"/>
      <c r="I30" s="5"/>
      <c r="J30" s="5"/>
      <c r="K30" s="5"/>
      <c r="L30" s="5"/>
      <c r="M30" s="5"/>
      <c r="N30" s="5"/>
      <c r="O30" s="5"/>
      <c r="P30" s="5"/>
      <c r="Q30" s="5"/>
      <c r="R30" s="5"/>
      <c r="S30" s="5"/>
      <c r="T30" s="5"/>
      <c r="U30" s="5"/>
    </row>
    <row r="31" spans="3:21" ht="18.75" x14ac:dyDescent="0.4">
      <c r="C31" s="5" t="s">
        <v>204</v>
      </c>
      <c r="D31" s="5"/>
      <c r="E31" s="5"/>
      <c r="F31" s="5"/>
      <c r="G31" s="5"/>
      <c r="H31" s="5"/>
      <c r="I31" s="5"/>
      <c r="J31" s="5"/>
      <c r="K31" s="5"/>
      <c r="L31" s="5"/>
      <c r="M31" s="5"/>
      <c r="N31" s="5"/>
      <c r="O31" s="5"/>
      <c r="P31" s="5"/>
      <c r="Q31" s="5"/>
      <c r="R31" s="5"/>
      <c r="S31" s="5"/>
      <c r="T31" s="5"/>
      <c r="U31" s="5"/>
    </row>
    <row r="32" spans="3:21" ht="18.75" x14ac:dyDescent="0.4">
      <c r="C32" s="5" t="s">
        <v>205</v>
      </c>
      <c r="D32" s="5"/>
      <c r="E32" s="5"/>
      <c r="F32" s="5"/>
      <c r="G32" s="5"/>
      <c r="H32" s="5"/>
      <c r="I32" s="5"/>
      <c r="J32" s="5"/>
      <c r="K32" s="5"/>
      <c r="L32" s="5"/>
      <c r="M32" s="5"/>
      <c r="N32" s="5"/>
      <c r="O32" s="5"/>
      <c r="P32" s="5"/>
      <c r="Q32" s="5"/>
      <c r="R32" s="5"/>
      <c r="S32" s="5"/>
      <c r="T32" s="5"/>
      <c r="U32" s="5"/>
    </row>
    <row r="33" spans="3:21" ht="18.75" x14ac:dyDescent="0.4">
      <c r="C33" s="5" t="s">
        <v>206</v>
      </c>
      <c r="D33" s="5"/>
      <c r="E33" s="5"/>
      <c r="F33" s="5"/>
      <c r="G33" s="5"/>
      <c r="H33" s="5"/>
      <c r="I33" s="5"/>
      <c r="J33" s="5"/>
      <c r="K33" s="5"/>
      <c r="L33" s="5"/>
      <c r="M33" s="5"/>
      <c r="N33" s="5"/>
      <c r="O33" s="5"/>
      <c r="P33" s="5"/>
      <c r="Q33" s="5"/>
      <c r="R33" s="5"/>
      <c r="S33" s="5"/>
      <c r="T33" s="5"/>
      <c r="U33" s="5"/>
    </row>
    <row r="34" spans="3:21" ht="18.75" x14ac:dyDescent="0.4">
      <c r="C34" s="5" t="s">
        <v>207</v>
      </c>
      <c r="D34" s="5"/>
      <c r="E34" s="5"/>
      <c r="F34" s="5"/>
      <c r="G34" s="5"/>
      <c r="H34" s="5"/>
      <c r="I34" s="5"/>
      <c r="J34" s="5"/>
      <c r="K34" s="5"/>
      <c r="L34" s="5"/>
      <c r="M34" s="5"/>
      <c r="N34" s="5"/>
      <c r="O34" s="5"/>
      <c r="P34" s="5"/>
      <c r="Q34" s="5"/>
      <c r="R34" s="5"/>
      <c r="S34" s="5"/>
      <c r="T34" s="5"/>
      <c r="U34" s="5"/>
    </row>
    <row r="35" spans="3:21" ht="18.75" x14ac:dyDescent="0.4">
      <c r="C35" s="5"/>
      <c r="D35" s="5"/>
      <c r="E35" s="5"/>
      <c r="F35" s="5"/>
      <c r="G35" s="156"/>
      <c r="H35" s="5"/>
      <c r="I35" s="5"/>
      <c r="J35" s="5"/>
      <c r="K35" s="5"/>
      <c r="L35" s="5"/>
      <c r="M35" s="5"/>
      <c r="N35" s="5"/>
      <c r="O35" s="5"/>
      <c r="P35" s="5"/>
      <c r="Q35" s="5"/>
      <c r="R35" s="5"/>
      <c r="S35" s="5"/>
      <c r="T35" s="5"/>
      <c r="U35" s="5"/>
    </row>
    <row r="36" spans="3:21" x14ac:dyDescent="0.25">
      <c r="G36" s="157"/>
    </row>
    <row r="37" spans="3:21" ht="19.5" x14ac:dyDescent="0.25">
      <c r="C37" s="105" t="s">
        <v>208</v>
      </c>
    </row>
    <row r="56" spans="3:3" ht="18.75" x14ac:dyDescent="0.4">
      <c r="C56" s="5" t="s">
        <v>209</v>
      </c>
    </row>
  </sheetData>
  <mergeCells count="13">
    <mergeCell ref="A5:B5"/>
    <mergeCell ref="C5:Q5"/>
    <mergeCell ref="C1:D1"/>
    <mergeCell ref="A3:B3"/>
    <mergeCell ref="C3:Q3"/>
    <mergeCell ref="A4:B4"/>
    <mergeCell ref="C4:Q4"/>
    <mergeCell ref="A6:B6"/>
    <mergeCell ref="C6:Q6"/>
    <mergeCell ref="D11:D12"/>
    <mergeCell ref="E11:E12"/>
    <mergeCell ref="F11:F12"/>
    <mergeCell ref="G11:U11"/>
  </mergeCells>
  <hyperlinks>
    <hyperlink ref="A1" location="'ODS 1.'!A1" display="REGRESAR" xr:uid="{0D1673FC-66A1-49F0-B29C-F947E34A3F1E}"/>
    <hyperlink ref="C1" location="'Metadato 1.3.1'!A1" display="VER METADATO " xr:uid="{A21520B4-C7C9-4B49-868F-F3AEE0C6A427}"/>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D5D7-E89C-479F-B894-2E2A7B7D2AA4}">
  <sheetPr>
    <tabColor theme="0" tint="-0.499984740745262"/>
  </sheetPr>
  <dimension ref="A1:F40"/>
  <sheetViews>
    <sheetView showGridLines="0" zoomScaleNormal="100" zoomScaleSheetLayoutView="70" workbookViewId="0">
      <pane ySplit="1" topLeftCell="A2" activePane="bottomLeft" state="frozen"/>
      <selection pane="bottomLeft"/>
    </sheetView>
  </sheetViews>
  <sheetFormatPr baseColWidth="10" defaultColWidth="11.42578125" defaultRowHeight="18.75" x14ac:dyDescent="0.25"/>
  <cols>
    <col min="1" max="1" width="9"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ht="21" customHeight="1" x14ac:dyDescent="0.25">
      <c r="A4" s="224"/>
      <c r="B4" s="2445" t="s">
        <v>234</v>
      </c>
      <c r="C4" s="2445"/>
      <c r="D4" s="49" t="s">
        <v>832</v>
      </c>
    </row>
    <row r="5" spans="1:6" ht="34.9" customHeight="1" x14ac:dyDescent="0.25">
      <c r="B5" s="2445" t="s">
        <v>79</v>
      </c>
      <c r="C5" s="2445"/>
      <c r="D5" s="49" t="s">
        <v>698</v>
      </c>
    </row>
    <row r="6" spans="1:6" x14ac:dyDescent="0.25">
      <c r="B6" s="2445" t="s">
        <v>80</v>
      </c>
      <c r="C6" s="2445"/>
      <c r="D6" s="50" t="s">
        <v>699</v>
      </c>
    </row>
    <row r="7" spans="1:6" ht="30.75" customHeight="1" x14ac:dyDescent="0.25">
      <c r="B7" s="2446" t="s">
        <v>81</v>
      </c>
      <c r="C7" s="2446"/>
      <c r="D7" s="93" t="s">
        <v>700</v>
      </c>
    </row>
    <row r="8" spans="1:6" x14ac:dyDescent="0.25">
      <c r="B8" s="2446" t="s">
        <v>82</v>
      </c>
      <c r="C8" s="2446"/>
      <c r="D8" s="202" t="s">
        <v>1365</v>
      </c>
    </row>
    <row r="9" spans="1:6" x14ac:dyDescent="0.4">
      <c r="B9" s="5"/>
      <c r="C9" s="5"/>
      <c r="D9" s="5"/>
    </row>
    <row r="10" spans="1:6" ht="23.25" customHeight="1" x14ac:dyDescent="0.25">
      <c r="B10" s="2604" t="s">
        <v>85</v>
      </c>
      <c r="C10" s="2604"/>
      <c r="D10" s="2604"/>
    </row>
    <row r="11" spans="1:6" ht="17.25" customHeight="1" x14ac:dyDescent="0.25">
      <c r="B11" s="2453" t="s">
        <v>86</v>
      </c>
      <c r="C11" s="2454"/>
      <c r="D11" s="49" t="s">
        <v>167</v>
      </c>
    </row>
    <row r="12" spans="1:6" ht="37.5" x14ac:dyDescent="0.25">
      <c r="B12" s="2455" t="s">
        <v>88</v>
      </c>
      <c r="C12" s="2455"/>
      <c r="D12" s="169" t="s">
        <v>1366</v>
      </c>
    </row>
    <row r="13" spans="1:6" x14ac:dyDescent="0.25">
      <c r="B13" s="2445" t="s">
        <v>90</v>
      </c>
      <c r="C13" s="2445"/>
      <c r="D13" s="54" t="s">
        <v>699</v>
      </c>
    </row>
    <row r="14" spans="1:6" x14ac:dyDescent="0.25">
      <c r="B14" s="2445" t="s">
        <v>91</v>
      </c>
      <c r="C14" s="2456"/>
      <c r="D14" s="54" t="s">
        <v>214</v>
      </c>
    </row>
    <row r="15" spans="1:6" ht="281.45" customHeight="1" x14ac:dyDescent="0.25">
      <c r="B15" s="2445" t="s">
        <v>93</v>
      </c>
      <c r="C15" s="2445"/>
      <c r="D15" s="56" t="s">
        <v>1367</v>
      </c>
    </row>
    <row r="16" spans="1:6" ht="162.75" customHeight="1" x14ac:dyDescent="0.4">
      <c r="B16" s="2445" t="s">
        <v>95</v>
      </c>
      <c r="C16" s="2445"/>
      <c r="D16" s="203" t="s">
        <v>1368</v>
      </c>
    </row>
    <row r="17" spans="1:4" x14ac:dyDescent="0.25">
      <c r="B17" s="2445" t="s">
        <v>97</v>
      </c>
      <c r="C17" s="2445"/>
      <c r="D17" s="56" t="s">
        <v>238</v>
      </c>
    </row>
    <row r="18" spans="1:4" x14ac:dyDescent="0.25">
      <c r="B18" s="2446" t="s">
        <v>99</v>
      </c>
      <c r="C18" s="2446"/>
      <c r="D18" s="49"/>
    </row>
    <row r="19" spans="1:4" ht="39" customHeight="1" x14ac:dyDescent="0.25">
      <c r="B19" s="2457" t="s">
        <v>100</v>
      </c>
      <c r="C19" s="2458"/>
      <c r="D19" s="56" t="s">
        <v>1369</v>
      </c>
    </row>
    <row r="20" spans="1:4" x14ac:dyDescent="0.25">
      <c r="B20" s="2445" t="s">
        <v>102</v>
      </c>
      <c r="C20" s="2445"/>
      <c r="D20" s="56" t="s">
        <v>238</v>
      </c>
    </row>
    <row r="21" spans="1:4" x14ac:dyDescent="0.25">
      <c r="B21" s="2451" t="s">
        <v>104</v>
      </c>
      <c r="C21" s="95" t="s">
        <v>105</v>
      </c>
      <c r="D21" s="56" t="s">
        <v>140</v>
      </c>
    </row>
    <row r="22" spans="1:4" x14ac:dyDescent="0.25">
      <c r="B22" s="2452"/>
      <c r="C22" s="96" t="s">
        <v>107</v>
      </c>
      <c r="D22" s="56" t="s">
        <v>1370</v>
      </c>
    </row>
    <row r="23" spans="1:4" x14ac:dyDescent="0.25">
      <c r="B23" s="2444" t="s">
        <v>109</v>
      </c>
      <c r="C23" s="2444"/>
      <c r="D23" s="56" t="s">
        <v>515</v>
      </c>
    </row>
    <row r="24" spans="1:4" x14ac:dyDescent="0.25">
      <c r="B24" s="2444" t="s">
        <v>111</v>
      </c>
      <c r="C24" s="2444"/>
      <c r="D24" s="59" t="s">
        <v>522</v>
      </c>
    </row>
    <row r="25" spans="1:4" x14ac:dyDescent="0.25">
      <c r="B25" s="2445" t="s">
        <v>113</v>
      </c>
      <c r="C25" s="2445"/>
      <c r="D25" s="56" t="s">
        <v>144</v>
      </c>
    </row>
    <row r="26" spans="1:4" ht="15" customHeight="1" x14ac:dyDescent="0.25">
      <c r="B26" s="2446" t="s">
        <v>115</v>
      </c>
      <c r="C26" s="2446"/>
      <c r="D26" s="59" t="s">
        <v>1371</v>
      </c>
    </row>
    <row r="27" spans="1:4" x14ac:dyDescent="0.25">
      <c r="B27" s="2447" t="s">
        <v>117</v>
      </c>
      <c r="C27" s="2448"/>
      <c r="D27" s="49"/>
    </row>
    <row r="28" spans="1:4" ht="37.5" x14ac:dyDescent="0.25">
      <c r="B28" s="97" t="s">
        <v>118</v>
      </c>
      <c r="C28" s="98"/>
      <c r="D28" s="56" t="s">
        <v>1372</v>
      </c>
    </row>
    <row r="29" spans="1:4" x14ac:dyDescent="0.25">
      <c r="B29" s="2449" t="s">
        <v>120</v>
      </c>
      <c r="C29" s="2450"/>
      <c r="D29" s="62"/>
    </row>
    <row r="30" spans="1:4" x14ac:dyDescent="0.25">
      <c r="B30" s="63"/>
      <c r="C30" s="63"/>
      <c r="D30" s="64"/>
    </row>
    <row r="31" spans="1:4" ht="23.25" customHeight="1" x14ac:dyDescent="0.25">
      <c r="A31" s="122"/>
      <c r="B31" s="2604" t="s">
        <v>121</v>
      </c>
      <c r="C31" s="2604"/>
      <c r="D31" s="2604"/>
    </row>
    <row r="32" spans="1:4" x14ac:dyDescent="0.4">
      <c r="A32" s="122"/>
      <c r="B32" s="2442" t="s">
        <v>122</v>
      </c>
      <c r="C32" s="2443"/>
      <c r="D32" s="205" t="s">
        <v>1373</v>
      </c>
    </row>
    <row r="33" spans="1:4" x14ac:dyDescent="0.4">
      <c r="A33" s="122"/>
      <c r="B33" s="2442" t="s">
        <v>124</v>
      </c>
      <c r="C33" s="2443"/>
      <c r="D33" s="205" t="s">
        <v>1374</v>
      </c>
    </row>
    <row r="34" spans="1:4" x14ac:dyDescent="0.4">
      <c r="A34" s="122"/>
      <c r="B34" s="2442" t="s">
        <v>126</v>
      </c>
      <c r="C34" s="2443"/>
      <c r="D34" s="205" t="s">
        <v>522</v>
      </c>
    </row>
    <row r="35" spans="1:4" x14ac:dyDescent="0.4">
      <c r="A35" s="638"/>
      <c r="B35" s="2442" t="s">
        <v>128</v>
      </c>
      <c r="C35" s="2443"/>
      <c r="D35" s="205" t="s">
        <v>1375</v>
      </c>
    </row>
    <row r="36" spans="1:4" x14ac:dyDescent="0.25">
      <c r="A36" s="122"/>
      <c r="B36" s="2442" t="s">
        <v>130</v>
      </c>
      <c r="C36" s="2443"/>
      <c r="D36" s="639" t="s">
        <v>1376</v>
      </c>
    </row>
    <row r="37" spans="1:4" x14ac:dyDescent="0.25">
      <c r="A37" s="122"/>
    </row>
    <row r="38" spans="1:4" x14ac:dyDescent="0.25">
      <c r="A38" s="122"/>
    </row>
    <row r="39" spans="1:4" x14ac:dyDescent="0.25">
      <c r="A39" s="638"/>
    </row>
    <row r="40" spans="1:4" x14ac:dyDescent="0.25">
      <c r="A40" s="1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19BE58F-B608-429C-95E9-0D5C3D7E1163}"/>
    <dataValidation type="list" allowBlank="1" showInputMessage="1" showErrorMessage="1" sqref="D4" xr:uid="{E37207D1-AD7B-4486-8B43-FDDA2A0DFF7D}">
      <formula1>ODS</formula1>
    </dataValidation>
    <dataValidation type="list" allowBlank="1" showInputMessage="1" showErrorMessage="1" sqref="D5" xr:uid="{67B03926-69C5-4D55-8F3A-06FEBBBAF745}">
      <formula1>Metas_ODS</formula1>
    </dataValidation>
    <dataValidation type="list" allowBlank="1" showInputMessage="1" showErrorMessage="1" sqref="D6" xr:uid="{A751D73B-9D1D-4165-9088-6572048B50D3}">
      <formula1>Numero_indicador</formula1>
    </dataValidation>
    <dataValidation type="list" allowBlank="1" showInputMessage="1" showErrorMessage="1" sqref="D7" xr:uid="{59271304-8746-4CA8-97A3-2651961A2F7A}">
      <formula1>Nombre_indicador_ODS</formula1>
    </dataValidation>
    <dataValidation type="list" allowBlank="1" showInputMessage="1" showErrorMessage="1" sqref="D14" xr:uid="{20DEA430-4491-4738-B641-097AA45A2BB4}">
      <formula1>Tipo_indicador</formula1>
    </dataValidation>
    <dataValidation type="list" allowBlank="1" showInputMessage="1" showErrorMessage="1" sqref="D25" xr:uid="{6370DE7C-8333-4898-98F1-3B3955818CE7}">
      <formula1>Tipo_operación</formula1>
    </dataValidation>
  </dataValidations>
  <hyperlinks>
    <hyperlink ref="B1" location="'3.7.1'!A1" display="REGRESAR" xr:uid="{1B921E6C-25C1-48C3-B17A-141384B22081}"/>
    <hyperlink ref="D8" r:id="rId1" xr:uid="{9BF5E43B-4F2A-405D-8995-4934D360AAF3}"/>
    <hyperlink ref="D36" r:id="rId2" xr:uid="{77BB50A1-6031-4073-AB8D-DACFAF734B1E}"/>
  </hyperlinks>
  <pageMargins left="0.7" right="0.7" top="0.75" bottom="0.75" header="0.3" footer="0.3"/>
  <pageSetup orientation="portrait" r:id="rId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102F8-7F2D-4FF6-8787-940B5CEF8D51}">
  <dimension ref="A1:Q57"/>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2.75" x14ac:dyDescent="0.25"/>
  <cols>
    <col min="1" max="2" width="15" style="22" customWidth="1"/>
    <col min="3" max="3" width="42.42578125" style="22" customWidth="1"/>
    <col min="4" max="4" width="13.28515625" style="22" customWidth="1"/>
    <col min="5" max="16384" width="11.42578125" style="22"/>
  </cols>
  <sheetData>
    <row r="1" spans="1:17" s="16" customFormat="1" ht="19.5" x14ac:dyDescent="0.4">
      <c r="A1" s="15" t="s">
        <v>39</v>
      </c>
      <c r="C1" s="158" t="s">
        <v>149</v>
      </c>
    </row>
    <row r="2" spans="1:17" s="16" customFormat="1" ht="19.5" x14ac:dyDescent="0.4"/>
    <row r="3" spans="1:17" s="16" customFormat="1" ht="19.5" x14ac:dyDescent="0.4">
      <c r="A3" s="2574" t="s">
        <v>41</v>
      </c>
      <c r="B3" s="2574"/>
      <c r="C3" s="2574" t="s">
        <v>733</v>
      </c>
      <c r="D3" s="2575"/>
      <c r="E3" s="2575"/>
      <c r="F3" s="2575"/>
      <c r="G3" s="2575"/>
      <c r="H3" s="2575"/>
      <c r="I3" s="2575"/>
      <c r="J3" s="2575"/>
      <c r="K3" s="2575"/>
      <c r="L3" s="2575"/>
      <c r="M3" s="2575"/>
      <c r="N3" s="2575"/>
      <c r="O3" s="2575"/>
      <c r="P3" s="2575"/>
      <c r="Q3" s="529"/>
    </row>
    <row r="4" spans="1:17" s="16" customFormat="1" ht="17.45" customHeight="1" x14ac:dyDescent="0.4">
      <c r="A4" s="2574" t="s">
        <v>42</v>
      </c>
      <c r="B4" s="2574"/>
      <c r="C4" s="2574" t="s">
        <v>698</v>
      </c>
      <c r="D4" s="2575"/>
      <c r="E4" s="2575"/>
      <c r="F4" s="2575"/>
      <c r="G4" s="2575"/>
      <c r="H4" s="2575"/>
      <c r="I4" s="2575"/>
      <c r="J4" s="2575"/>
      <c r="K4" s="2575"/>
      <c r="L4" s="2575"/>
      <c r="M4" s="2575"/>
      <c r="N4" s="2575"/>
      <c r="O4" s="2575"/>
      <c r="P4" s="2575"/>
      <c r="Q4" s="529"/>
    </row>
    <row r="5" spans="1:17" s="16" customFormat="1" ht="19.5" x14ac:dyDescent="0.4">
      <c r="A5" s="2574" t="s">
        <v>43</v>
      </c>
      <c r="B5" s="2574"/>
      <c r="C5" s="2574" t="s">
        <v>700</v>
      </c>
      <c r="D5" s="2575"/>
      <c r="E5" s="2575"/>
      <c r="F5" s="2575"/>
      <c r="G5" s="2575"/>
      <c r="H5" s="2575"/>
      <c r="I5" s="2575"/>
      <c r="J5" s="2575"/>
      <c r="K5" s="2575"/>
      <c r="L5" s="2575"/>
      <c r="M5" s="2575"/>
      <c r="N5" s="2575"/>
      <c r="O5" s="2575"/>
      <c r="P5" s="2575"/>
      <c r="Q5" s="529"/>
    </row>
    <row r="6" spans="1:17" s="16" customFormat="1" ht="19.5" x14ac:dyDescent="0.4">
      <c r="A6" s="2574" t="s">
        <v>132</v>
      </c>
      <c r="B6" s="2575"/>
      <c r="C6" s="2574" t="s">
        <v>1377</v>
      </c>
      <c r="D6" s="2575"/>
      <c r="E6" s="2575"/>
      <c r="F6" s="2575"/>
      <c r="G6" s="2575"/>
      <c r="H6" s="2575"/>
      <c r="I6" s="2575"/>
      <c r="J6" s="2575"/>
      <c r="K6" s="2575"/>
      <c r="L6" s="2575"/>
      <c r="M6" s="2575"/>
      <c r="N6" s="2575"/>
      <c r="O6" s="2575"/>
      <c r="P6" s="2575"/>
      <c r="Q6" s="529"/>
    </row>
    <row r="7" spans="1:17" s="16" customFormat="1" ht="19.5" x14ac:dyDescent="0.4">
      <c r="C7" s="631"/>
    </row>
    <row r="8" spans="1:17" s="16" customFormat="1" ht="19.5" x14ac:dyDescent="0.4">
      <c r="C8" s="631"/>
    </row>
    <row r="9" spans="1:17" s="16" customFormat="1" ht="15.6" customHeight="1" x14ac:dyDescent="0.4">
      <c r="C9" s="236" t="s">
        <v>1377</v>
      </c>
    </row>
    <row r="10" spans="1:17" s="16" customFormat="1" ht="15.6" customHeight="1" x14ac:dyDescent="0.4">
      <c r="C10" s="236"/>
    </row>
    <row r="11" spans="1:17" s="16" customFormat="1" ht="19.5" x14ac:dyDescent="0.4">
      <c r="C11" s="640"/>
      <c r="D11" s="2650" t="s">
        <v>1378</v>
      </c>
      <c r="E11" s="2651"/>
      <c r="F11" s="2651"/>
      <c r="G11" s="2651"/>
      <c r="H11" s="2651"/>
      <c r="I11" s="2651"/>
      <c r="J11" s="2651"/>
      <c r="K11" s="2651"/>
      <c r="L11" s="2651"/>
      <c r="M11" s="2651"/>
    </row>
    <row r="12" spans="1:17" ht="56.25" x14ac:dyDescent="0.4">
      <c r="C12" s="641"/>
      <c r="D12" s="642" t="s">
        <v>1379</v>
      </c>
      <c r="E12" s="642" t="s">
        <v>1380</v>
      </c>
      <c r="F12" s="642" t="s">
        <v>1381</v>
      </c>
      <c r="G12" s="642" t="s">
        <v>1382</v>
      </c>
      <c r="H12" s="642" t="s">
        <v>1383</v>
      </c>
      <c r="I12" s="642" t="s">
        <v>1384</v>
      </c>
      <c r="J12" s="642" t="s">
        <v>1385</v>
      </c>
      <c r="K12" s="642" t="s">
        <v>1386</v>
      </c>
      <c r="L12" s="642" t="s">
        <v>1387</v>
      </c>
      <c r="M12" s="642" t="s">
        <v>1388</v>
      </c>
    </row>
    <row r="13" spans="1:17" ht="18.75" x14ac:dyDescent="0.4">
      <c r="C13" s="5"/>
      <c r="D13" s="5"/>
      <c r="E13" s="5"/>
      <c r="F13" s="5"/>
      <c r="G13" s="5"/>
      <c r="H13" s="5"/>
      <c r="I13" s="5"/>
      <c r="J13" s="5"/>
      <c r="K13" s="5"/>
      <c r="L13" s="5"/>
      <c r="M13" s="5"/>
    </row>
    <row r="14" spans="1:17" ht="18.75" x14ac:dyDescent="0.25">
      <c r="C14" s="339" t="s">
        <v>47</v>
      </c>
      <c r="D14" s="643">
        <v>21.859810438841638</v>
      </c>
      <c r="E14" s="643">
        <v>5.227180188670614</v>
      </c>
      <c r="F14" s="643">
        <v>3.3867370740144445</v>
      </c>
      <c r="G14" s="643">
        <v>9.7071450586861143</v>
      </c>
      <c r="H14" s="643">
        <v>0.50631291785678301</v>
      </c>
      <c r="I14" s="643">
        <v>21.351203240704852</v>
      </c>
      <c r="J14" s="643">
        <v>6.7967890557436519</v>
      </c>
      <c r="K14" s="643">
        <v>8.9335836615312234E-2</v>
      </c>
      <c r="L14" s="643">
        <v>9.0990503252184243E-3</v>
      </c>
      <c r="M14" s="643">
        <v>0</v>
      </c>
    </row>
    <row r="15" spans="1:17" ht="18.75" x14ac:dyDescent="0.25">
      <c r="C15" s="301"/>
      <c r="D15" s="644"/>
      <c r="E15" s="644"/>
      <c r="F15" s="644"/>
      <c r="G15" s="644"/>
      <c r="H15" s="645"/>
      <c r="I15" s="644"/>
      <c r="J15" s="644"/>
      <c r="K15" s="645"/>
      <c r="L15" s="645"/>
      <c r="M15" s="644"/>
    </row>
    <row r="16" spans="1:17" ht="18.75" x14ac:dyDescent="0.25">
      <c r="C16" s="575" t="s">
        <v>49</v>
      </c>
      <c r="D16" s="644"/>
      <c r="E16" s="644"/>
      <c r="F16" s="644"/>
      <c r="G16" s="644"/>
      <c r="H16" s="645"/>
      <c r="I16" s="644"/>
      <c r="J16" s="644"/>
      <c r="K16" s="645"/>
      <c r="L16" s="645"/>
      <c r="M16" s="644"/>
    </row>
    <row r="17" spans="3:13" ht="18.75" x14ac:dyDescent="0.25">
      <c r="C17" s="646" t="s">
        <v>55</v>
      </c>
      <c r="D17" s="644">
        <v>20.487955797159827</v>
      </c>
      <c r="E17" s="644">
        <v>5.7809804830551723</v>
      </c>
      <c r="F17" s="644">
        <v>4.0774137826398036</v>
      </c>
      <c r="G17" s="644">
        <v>9.1851888366799983</v>
      </c>
      <c r="H17" s="644">
        <v>0.62709595906248161</v>
      </c>
      <c r="I17" s="644">
        <v>20.421515253793139</v>
      </c>
      <c r="J17" s="644">
        <v>7.0311853807812934</v>
      </c>
      <c r="K17" s="644">
        <v>9.4421078673136774E-2</v>
      </c>
      <c r="L17" s="644">
        <v>1.2897937896512822E-2</v>
      </c>
      <c r="M17" s="644">
        <v>0</v>
      </c>
    </row>
    <row r="18" spans="3:13" ht="18.75" x14ac:dyDescent="0.25">
      <c r="C18" s="646" t="s">
        <v>56</v>
      </c>
      <c r="D18" s="644">
        <v>25.145660359188899</v>
      </c>
      <c r="E18" s="644">
        <v>3.900724310691305</v>
      </c>
      <c r="F18" s="644">
        <v>1.732436436710481</v>
      </c>
      <c r="G18" s="644">
        <v>10.957328393271061</v>
      </c>
      <c r="H18" s="644">
        <v>0.21701481420452834</v>
      </c>
      <c r="I18" s="644">
        <v>23.577980848860804</v>
      </c>
      <c r="J18" s="644">
        <v>6.2353657660206583</v>
      </c>
      <c r="K18" s="644">
        <v>7.7155725324390412E-2</v>
      </c>
      <c r="L18" s="644">
        <v>0</v>
      </c>
      <c r="M18" s="644">
        <v>0</v>
      </c>
    </row>
    <row r="19" spans="3:13" ht="18.75" x14ac:dyDescent="0.25">
      <c r="C19" s="575" t="s">
        <v>327</v>
      </c>
      <c r="D19" s="644"/>
      <c r="E19" s="644"/>
      <c r="F19" s="644"/>
      <c r="G19" s="644"/>
      <c r="H19" s="644"/>
      <c r="I19" s="644"/>
      <c r="J19" s="644"/>
      <c r="K19" s="644"/>
      <c r="L19" s="644"/>
      <c r="M19" s="644"/>
    </row>
    <row r="20" spans="3:13" ht="18.75" x14ac:dyDescent="0.25">
      <c r="C20" s="646" t="s">
        <v>329</v>
      </c>
      <c r="D20" s="644">
        <v>27.372306903689715</v>
      </c>
      <c r="E20" s="644">
        <v>8.1913969145986787</v>
      </c>
      <c r="F20" s="644">
        <v>1.9528761290196137</v>
      </c>
      <c r="G20" s="644">
        <v>8.2675295259044965</v>
      </c>
      <c r="H20" s="644">
        <v>0.22549627273792022</v>
      </c>
      <c r="I20" s="644">
        <v>19.947304405475926</v>
      </c>
      <c r="J20" s="644">
        <v>7.3021078916386815</v>
      </c>
      <c r="K20" s="644">
        <v>0</v>
      </c>
      <c r="L20" s="644">
        <v>0</v>
      </c>
      <c r="M20" s="644">
        <v>0</v>
      </c>
    </row>
    <row r="21" spans="3:13" ht="18.75" x14ac:dyDescent="0.25">
      <c r="C21" s="646" t="s">
        <v>330</v>
      </c>
      <c r="D21" s="644">
        <v>24.068712486556212</v>
      </c>
      <c r="E21" s="644">
        <v>4.5881698106155868</v>
      </c>
      <c r="F21" s="644">
        <v>0.95371556213515352</v>
      </c>
      <c r="G21" s="644">
        <v>10.374447748133093</v>
      </c>
      <c r="H21" s="644">
        <v>0</v>
      </c>
      <c r="I21" s="644">
        <v>18.193071230022934</v>
      </c>
      <c r="J21" s="644">
        <v>7.2142216531812489</v>
      </c>
      <c r="K21" s="644">
        <v>0.62354308425437144</v>
      </c>
      <c r="L21" s="644">
        <v>7.1107549178408336E-2</v>
      </c>
      <c r="M21" s="644">
        <v>0</v>
      </c>
    </row>
    <row r="22" spans="3:13" ht="18.75" x14ac:dyDescent="0.25">
      <c r="C22" s="646" t="s">
        <v>331</v>
      </c>
      <c r="D22" s="644">
        <v>22.085953865757958</v>
      </c>
      <c r="E22" s="644">
        <v>12.447169492536801</v>
      </c>
      <c r="F22" s="644">
        <v>4.9593272416522431</v>
      </c>
      <c r="G22" s="644">
        <v>7.4336872392534987</v>
      </c>
      <c r="H22" s="644">
        <v>0</v>
      </c>
      <c r="I22" s="644">
        <v>24.138068263306948</v>
      </c>
      <c r="J22" s="644">
        <v>4.5681964485041995</v>
      </c>
      <c r="K22" s="644">
        <v>0</v>
      </c>
      <c r="L22" s="644">
        <v>0</v>
      </c>
      <c r="M22" s="644">
        <v>0</v>
      </c>
    </row>
    <row r="23" spans="3:13" ht="18.75" x14ac:dyDescent="0.25">
      <c r="C23" s="646" t="s">
        <v>332</v>
      </c>
      <c r="D23" s="644">
        <v>19.666836154834215</v>
      </c>
      <c r="E23" s="644">
        <v>0.95410478863776127</v>
      </c>
      <c r="F23" s="644">
        <v>0.42970658474546475</v>
      </c>
      <c r="G23" s="644">
        <v>11.29536359937519</v>
      </c>
      <c r="H23" s="644">
        <v>0</v>
      </c>
      <c r="I23" s="644">
        <v>30.198061592987052</v>
      </c>
      <c r="J23" s="644">
        <v>7.9016561442123034</v>
      </c>
      <c r="K23" s="644">
        <v>5.8714534868445419E-2</v>
      </c>
      <c r="L23" s="644">
        <v>0</v>
      </c>
      <c r="M23" s="644">
        <v>0</v>
      </c>
    </row>
    <row r="24" spans="3:13" ht="18.75" x14ac:dyDescent="0.25">
      <c r="C24" s="646" t="s">
        <v>334</v>
      </c>
      <c r="D24" s="644">
        <v>20.576410091197612</v>
      </c>
      <c r="E24" s="644">
        <v>1.5080834128555234</v>
      </c>
      <c r="F24" s="644">
        <v>1.9355855412669363</v>
      </c>
      <c r="G24" s="644">
        <v>16.143296386210825</v>
      </c>
      <c r="H24" s="644">
        <v>2.8758931478626693</v>
      </c>
      <c r="I24" s="644">
        <v>25.366915708641351</v>
      </c>
      <c r="J24" s="644">
        <v>2.8785386525001444</v>
      </c>
      <c r="K24" s="644">
        <v>0</v>
      </c>
      <c r="L24" s="644">
        <v>1.570533417718932E-2</v>
      </c>
      <c r="M24" s="644">
        <v>0</v>
      </c>
    </row>
    <row r="25" spans="3:13" ht="18.75" x14ac:dyDescent="0.25">
      <c r="C25" s="226" t="s">
        <v>1389</v>
      </c>
      <c r="D25" s="644"/>
      <c r="E25" s="644"/>
      <c r="F25" s="644"/>
      <c r="G25" s="644"/>
      <c r="H25" s="644"/>
      <c r="I25" s="644"/>
      <c r="J25" s="644"/>
      <c r="K25" s="644"/>
      <c r="L25" s="644"/>
      <c r="M25" s="644"/>
    </row>
    <row r="26" spans="3:13" ht="18.75" x14ac:dyDescent="0.25">
      <c r="C26" s="155" t="s">
        <v>1390</v>
      </c>
      <c r="D26" s="644">
        <v>0</v>
      </c>
      <c r="E26" s="644">
        <v>0</v>
      </c>
      <c r="F26" s="644">
        <v>0.1433254429090095</v>
      </c>
      <c r="G26" s="644">
        <v>26.143283172372239</v>
      </c>
      <c r="H26" s="644">
        <v>6.9979241760524138</v>
      </c>
      <c r="I26" s="644">
        <v>12.048118954224837</v>
      </c>
      <c r="J26" s="644">
        <v>16.750337455606832</v>
      </c>
      <c r="K26" s="644">
        <v>0</v>
      </c>
      <c r="L26" s="644">
        <v>0</v>
      </c>
      <c r="M26" s="644">
        <v>0</v>
      </c>
    </row>
    <row r="27" spans="3:13" ht="18.75" x14ac:dyDescent="0.25">
      <c r="C27" s="155" t="s">
        <v>1391</v>
      </c>
      <c r="D27" s="647">
        <v>0</v>
      </c>
      <c r="E27" s="647">
        <v>0</v>
      </c>
      <c r="F27" s="647">
        <v>0.39716925446881685</v>
      </c>
      <c r="G27" s="647">
        <v>15.634858876713878</v>
      </c>
      <c r="H27" s="647">
        <v>2.3415970470739262</v>
      </c>
      <c r="I27" s="647">
        <v>13.703491946529045</v>
      </c>
      <c r="J27" s="647">
        <v>30.858707168183042</v>
      </c>
      <c r="K27" s="647">
        <v>0</v>
      </c>
      <c r="L27" s="647">
        <v>0</v>
      </c>
      <c r="M27" s="647">
        <v>0</v>
      </c>
    </row>
    <row r="28" spans="3:13" ht="18.75" x14ac:dyDescent="0.25">
      <c r="C28" s="155" t="s">
        <v>1392</v>
      </c>
      <c r="D28" s="644">
        <v>0</v>
      </c>
      <c r="E28" s="644">
        <v>0</v>
      </c>
      <c r="F28" s="644">
        <v>0</v>
      </c>
      <c r="G28" s="644">
        <v>32.076555908848533</v>
      </c>
      <c r="H28" s="644">
        <v>9.6269823515866282</v>
      </c>
      <c r="I28" s="644">
        <v>11.11346127695578</v>
      </c>
      <c r="J28" s="644">
        <v>8.7844614101999774</v>
      </c>
      <c r="K28" s="644">
        <v>0</v>
      </c>
      <c r="L28" s="644">
        <v>0</v>
      </c>
      <c r="M28" s="644">
        <v>0</v>
      </c>
    </row>
    <row r="29" spans="3:13" ht="18.75" x14ac:dyDescent="0.25">
      <c r="C29" s="155" t="s">
        <v>1393</v>
      </c>
      <c r="D29" s="644">
        <v>3.4841373995520168</v>
      </c>
      <c r="E29" s="644">
        <v>1.8620087448311624</v>
      </c>
      <c r="F29" s="644">
        <v>2.2297058860116472</v>
      </c>
      <c r="G29" s="644">
        <v>22.478068768085784</v>
      </c>
      <c r="H29" s="644">
        <v>1.1712809998199274</v>
      </c>
      <c r="I29" s="644">
        <v>27.045588137192851</v>
      </c>
      <c r="J29" s="644">
        <v>5.4216652433415922</v>
      </c>
      <c r="K29" s="644">
        <v>0</v>
      </c>
      <c r="L29" s="644">
        <v>0</v>
      </c>
      <c r="M29" s="644">
        <v>0</v>
      </c>
    </row>
    <row r="30" spans="3:13" ht="18.75" x14ac:dyDescent="0.25">
      <c r="C30" s="155" t="s">
        <v>1394</v>
      </c>
      <c r="D30" s="644">
        <v>8.1510839107579827</v>
      </c>
      <c r="E30" s="644">
        <v>2.3677362813469021</v>
      </c>
      <c r="F30" s="644">
        <v>1.8825194702771755</v>
      </c>
      <c r="G30" s="644">
        <v>15.31879283006821</v>
      </c>
      <c r="H30" s="644">
        <v>0.31025295596699998</v>
      </c>
      <c r="I30" s="644">
        <v>29.795017922873861</v>
      </c>
      <c r="J30" s="644">
        <v>9.0736507702949343</v>
      </c>
      <c r="K30" s="644">
        <v>3.5365622581485116E-2</v>
      </c>
      <c r="L30" s="644">
        <v>9.1966401387242654E-3</v>
      </c>
      <c r="M30" s="644">
        <v>0</v>
      </c>
    </row>
    <row r="31" spans="3:13" ht="18.75" x14ac:dyDescent="0.25">
      <c r="C31" s="155" t="s">
        <v>1395</v>
      </c>
      <c r="D31" s="644">
        <v>19.210657056034698</v>
      </c>
      <c r="E31" s="644">
        <v>4.6982318496113074</v>
      </c>
      <c r="F31" s="644">
        <v>3.4098566037369147</v>
      </c>
      <c r="G31" s="644">
        <v>9.6578397380722514</v>
      </c>
      <c r="H31" s="644">
        <v>0.10197346712948964</v>
      </c>
      <c r="I31" s="644">
        <v>28.48385888146866</v>
      </c>
      <c r="J31" s="644">
        <v>7.3715067738283917</v>
      </c>
      <c r="K31" s="644">
        <v>0.32577294003137564</v>
      </c>
      <c r="L31" s="644">
        <v>0</v>
      </c>
      <c r="M31" s="644">
        <v>0</v>
      </c>
    </row>
    <row r="32" spans="3:13" ht="18.75" x14ac:dyDescent="0.25">
      <c r="C32" s="155" t="s">
        <v>1396</v>
      </c>
      <c r="D32" s="644">
        <v>29.158639898587431</v>
      </c>
      <c r="E32" s="644">
        <v>4.8869255457928915</v>
      </c>
      <c r="F32" s="644">
        <v>5.5255637234855195</v>
      </c>
      <c r="G32" s="644">
        <v>6.2229282234746508</v>
      </c>
      <c r="H32" s="644">
        <v>0.23600318851402766</v>
      </c>
      <c r="I32" s="644">
        <v>20.379081400907008</v>
      </c>
      <c r="J32" s="644">
        <v>4.5414562698238976</v>
      </c>
      <c r="K32" s="644">
        <v>6.2220286035592431E-2</v>
      </c>
      <c r="L32" s="644">
        <v>3.830261523854242E-2</v>
      </c>
      <c r="M32" s="644">
        <v>0</v>
      </c>
    </row>
    <row r="33" spans="3:13" ht="18.75" x14ac:dyDescent="0.25">
      <c r="C33" s="155" t="s">
        <v>1397</v>
      </c>
      <c r="D33" s="644">
        <v>32.343349249566621</v>
      </c>
      <c r="E33" s="644">
        <v>7.4099487812784721</v>
      </c>
      <c r="F33" s="644">
        <v>2.264520823637902</v>
      </c>
      <c r="G33" s="644">
        <v>4.3515093134429312</v>
      </c>
      <c r="H33" s="644">
        <v>0.62569000035386302</v>
      </c>
      <c r="I33" s="644">
        <v>14.221831262422334</v>
      </c>
      <c r="J33" s="644">
        <v>6.5303110959979191</v>
      </c>
      <c r="K33" s="644">
        <v>2.9286598149458117E-2</v>
      </c>
      <c r="L33" s="644">
        <v>0</v>
      </c>
      <c r="M33" s="644">
        <v>0</v>
      </c>
    </row>
    <row r="34" spans="3:13" ht="18.75" x14ac:dyDescent="0.25">
      <c r="C34" s="155" t="s">
        <v>1398</v>
      </c>
      <c r="D34" s="644">
        <v>35.17027051656742</v>
      </c>
      <c r="E34" s="644">
        <v>10.195674757249773</v>
      </c>
      <c r="F34" s="644">
        <v>4.6146134888867829</v>
      </c>
      <c r="G34" s="644">
        <v>2.9168969579654376</v>
      </c>
      <c r="H34" s="644">
        <v>0</v>
      </c>
      <c r="I34" s="644">
        <v>9.25309319455042</v>
      </c>
      <c r="J34" s="644">
        <v>6.0598580951043015</v>
      </c>
      <c r="K34" s="644">
        <v>0</v>
      </c>
      <c r="L34" s="644">
        <v>0</v>
      </c>
      <c r="M34" s="644">
        <v>0</v>
      </c>
    </row>
    <row r="35" spans="3:13" ht="18.75" x14ac:dyDescent="0.25">
      <c r="C35" s="339" t="s">
        <v>155</v>
      </c>
      <c r="D35" s="644"/>
      <c r="E35" s="644"/>
      <c r="F35" s="644"/>
      <c r="G35" s="644"/>
      <c r="H35" s="644"/>
      <c r="I35" s="644"/>
      <c r="J35" s="644"/>
      <c r="K35" s="644"/>
      <c r="L35" s="644"/>
      <c r="M35" s="644"/>
    </row>
    <row r="36" spans="3:13" ht="37.5" x14ac:dyDescent="0.25">
      <c r="C36" s="646" t="s">
        <v>543</v>
      </c>
      <c r="D36" s="644">
        <v>41.751844991196563</v>
      </c>
      <c r="E36" s="644">
        <v>0</v>
      </c>
      <c r="F36" s="644">
        <v>0</v>
      </c>
      <c r="G36" s="644">
        <v>15.938546635557321</v>
      </c>
      <c r="H36" s="644">
        <v>0</v>
      </c>
      <c r="I36" s="644">
        <v>7.831301516048379</v>
      </c>
      <c r="J36" s="644">
        <v>1.2047971949486602</v>
      </c>
      <c r="K36" s="644">
        <v>0</v>
      </c>
      <c r="L36" s="644">
        <v>0</v>
      </c>
      <c r="M36" s="644">
        <v>0</v>
      </c>
    </row>
    <row r="37" spans="3:13" ht="18.75" x14ac:dyDescent="0.25">
      <c r="C37" s="341" t="s">
        <v>544</v>
      </c>
      <c r="D37" s="644">
        <v>30.288053417302958</v>
      </c>
      <c r="E37" s="644">
        <v>3.8329161614743854</v>
      </c>
      <c r="F37" s="644">
        <v>1.4996524881482736</v>
      </c>
      <c r="G37" s="644">
        <v>10.851232083796587</v>
      </c>
      <c r="H37" s="644">
        <v>0.24586914852828104</v>
      </c>
      <c r="I37" s="644">
        <v>18.064393877063399</v>
      </c>
      <c r="J37" s="644">
        <v>4.5845191918816672</v>
      </c>
      <c r="K37" s="644">
        <v>2.0605115333539717E-2</v>
      </c>
      <c r="L37" s="644">
        <v>0</v>
      </c>
      <c r="M37" s="644">
        <v>0</v>
      </c>
    </row>
    <row r="38" spans="3:13" ht="18.75" x14ac:dyDescent="0.25">
      <c r="C38" s="341" t="s">
        <v>545</v>
      </c>
      <c r="D38" s="644">
        <v>20.536424280163558</v>
      </c>
      <c r="E38" s="644">
        <v>3.1779311275008202</v>
      </c>
      <c r="F38" s="644">
        <v>2.8107486636970385</v>
      </c>
      <c r="G38" s="644">
        <v>11.651036714507951</v>
      </c>
      <c r="H38" s="644">
        <v>0.87428309395856785</v>
      </c>
      <c r="I38" s="644">
        <v>20.04995904483636</v>
      </c>
      <c r="J38" s="644">
        <v>6.2661761677691832</v>
      </c>
      <c r="K38" s="644">
        <v>3.1122704704971717E-2</v>
      </c>
      <c r="L38" s="644">
        <v>2.2949637875068544E-2</v>
      </c>
      <c r="M38" s="644">
        <v>0</v>
      </c>
    </row>
    <row r="39" spans="3:13" ht="18.75" x14ac:dyDescent="0.25">
      <c r="C39" s="341" t="s">
        <v>546</v>
      </c>
      <c r="D39" s="644">
        <v>15.112494738289461</v>
      </c>
      <c r="E39" s="644">
        <v>9.3215837687107417</v>
      </c>
      <c r="F39" s="644">
        <v>5.9682096228644159</v>
      </c>
      <c r="G39" s="644">
        <v>5.9321850805343495</v>
      </c>
      <c r="H39" s="644">
        <v>0.29238558133977965</v>
      </c>
      <c r="I39" s="644">
        <v>26.542140164935557</v>
      </c>
      <c r="J39" s="644">
        <v>9.7050650351274435</v>
      </c>
      <c r="K39" s="644">
        <v>0.22953817335892901</v>
      </c>
      <c r="L39" s="644">
        <v>0</v>
      </c>
      <c r="M39" s="644">
        <v>0</v>
      </c>
    </row>
    <row r="40" spans="3:13" ht="18.75" x14ac:dyDescent="0.25">
      <c r="C40" s="341" t="s">
        <v>547</v>
      </c>
      <c r="D40" s="644" t="s">
        <v>751</v>
      </c>
      <c r="E40" s="644" t="s">
        <v>751</v>
      </c>
      <c r="F40" s="644" t="s">
        <v>751</v>
      </c>
      <c r="G40" s="644" t="s">
        <v>751</v>
      </c>
      <c r="H40" s="644" t="s">
        <v>751</v>
      </c>
      <c r="I40" s="644" t="s">
        <v>751</v>
      </c>
      <c r="J40" s="644" t="s">
        <v>751</v>
      </c>
      <c r="K40" s="644" t="s">
        <v>751</v>
      </c>
      <c r="L40" s="644" t="s">
        <v>751</v>
      </c>
      <c r="M40" s="644" t="s">
        <v>751</v>
      </c>
    </row>
    <row r="41" spans="3:13" ht="18.75" x14ac:dyDescent="0.25">
      <c r="C41" s="226" t="s">
        <v>1399</v>
      </c>
      <c r="D41" s="644"/>
      <c r="E41" s="644"/>
      <c r="F41" s="644"/>
      <c r="G41" s="644"/>
      <c r="H41" s="644"/>
      <c r="I41" s="644"/>
      <c r="J41" s="644"/>
      <c r="K41" s="644"/>
      <c r="L41" s="644"/>
      <c r="M41" s="644"/>
    </row>
    <row r="42" spans="3:13" ht="18.75" x14ac:dyDescent="0.25">
      <c r="C42" s="648" t="s">
        <v>1400</v>
      </c>
      <c r="D42" s="644">
        <v>2.3434512797899183</v>
      </c>
      <c r="E42" s="644">
        <v>0.61918007473370484</v>
      </c>
      <c r="F42" s="644">
        <v>4.1980096320562073</v>
      </c>
      <c r="G42" s="644">
        <v>4.8627085703099127</v>
      </c>
      <c r="H42" s="644">
        <v>0.42309819573429541</v>
      </c>
      <c r="I42" s="644">
        <v>32.960897087522376</v>
      </c>
      <c r="J42" s="644">
        <v>8.972045818451809</v>
      </c>
      <c r="K42" s="644">
        <v>0</v>
      </c>
      <c r="L42" s="644">
        <v>0</v>
      </c>
      <c r="M42" s="644">
        <v>0</v>
      </c>
    </row>
    <row r="43" spans="3:13" ht="18.75" x14ac:dyDescent="0.25">
      <c r="C43" s="648" t="s">
        <v>1401</v>
      </c>
      <c r="D43" s="644">
        <v>4.1199631676096375</v>
      </c>
      <c r="E43" s="644">
        <v>2.9788963408404632</v>
      </c>
      <c r="F43" s="644">
        <v>4.7555645854229924</v>
      </c>
      <c r="G43" s="644">
        <v>13.441528405320641</v>
      </c>
      <c r="H43" s="644">
        <v>1.1044627913604732</v>
      </c>
      <c r="I43" s="644">
        <v>31.83704374339499</v>
      </c>
      <c r="J43" s="644">
        <v>8.3883799786805664</v>
      </c>
      <c r="K43" s="644">
        <v>0</v>
      </c>
      <c r="L43" s="644">
        <v>0</v>
      </c>
      <c r="M43" s="644">
        <v>0</v>
      </c>
    </row>
    <row r="44" spans="3:13" ht="18.75" x14ac:dyDescent="0.25">
      <c r="C44" s="648" t="s">
        <v>1402</v>
      </c>
      <c r="D44" s="644">
        <v>31.452971910444617</v>
      </c>
      <c r="E44" s="644">
        <v>7.2969885194387931</v>
      </c>
      <c r="F44" s="644">
        <v>3.1883676189147279</v>
      </c>
      <c r="G44" s="644">
        <v>8.8048403377963425</v>
      </c>
      <c r="H44" s="644">
        <v>0.4367004718640366</v>
      </c>
      <c r="I44" s="644">
        <v>15.261368977992046</v>
      </c>
      <c r="J44" s="644">
        <v>6.5334029868414358</v>
      </c>
      <c r="K44" s="644">
        <v>3.0301097956723227E-2</v>
      </c>
      <c r="L44" s="644">
        <v>2.6547650442331476E-2</v>
      </c>
      <c r="M44" s="644">
        <v>0</v>
      </c>
    </row>
    <row r="45" spans="3:13" ht="18.75" x14ac:dyDescent="0.25">
      <c r="C45" s="648" t="s">
        <v>1403</v>
      </c>
      <c r="D45" s="644">
        <v>36.319169922115876</v>
      </c>
      <c r="E45" s="644">
        <v>9.5034234905494674</v>
      </c>
      <c r="F45" s="644">
        <v>1.83746954082793</v>
      </c>
      <c r="G45" s="644">
        <v>8.0504408327834902</v>
      </c>
      <c r="H45" s="644">
        <v>7.7589234610795546E-2</v>
      </c>
      <c r="I45" s="644">
        <v>13.413336423305125</v>
      </c>
      <c r="J45" s="644">
        <v>3.241346682212872</v>
      </c>
      <c r="K45" s="644">
        <v>0.41884048016814612</v>
      </c>
      <c r="L45" s="644">
        <v>0</v>
      </c>
      <c r="M45" s="644">
        <v>0</v>
      </c>
    </row>
    <row r="46" spans="3:13" ht="18.75" x14ac:dyDescent="0.25">
      <c r="C46" s="648" t="s">
        <v>1404</v>
      </c>
      <c r="D46" s="644">
        <v>41.724149687325017</v>
      </c>
      <c r="E46" s="644">
        <v>3.8989294109249824</v>
      </c>
      <c r="F46" s="644">
        <v>1.7242981672248046</v>
      </c>
      <c r="G46" s="644">
        <v>13.488386924419576</v>
      </c>
      <c r="H46" s="644">
        <v>0</v>
      </c>
      <c r="I46" s="644">
        <v>9.9922347519908943</v>
      </c>
      <c r="J46" s="644">
        <v>5.9818903936850525</v>
      </c>
      <c r="K46" s="644">
        <v>0.13188412166093827</v>
      </c>
      <c r="L46" s="644">
        <v>0</v>
      </c>
      <c r="M46" s="644">
        <v>0</v>
      </c>
    </row>
    <row r="47" spans="3:13" ht="18.75" x14ac:dyDescent="0.25">
      <c r="C47" s="649" t="s">
        <v>1405</v>
      </c>
      <c r="D47" s="644"/>
      <c r="E47" s="644"/>
      <c r="F47" s="644"/>
      <c r="G47" s="644"/>
      <c r="H47" s="644"/>
      <c r="I47" s="644"/>
      <c r="J47" s="644"/>
      <c r="K47" s="644"/>
      <c r="L47" s="644"/>
      <c r="M47" s="644"/>
    </row>
    <row r="48" spans="3:13" ht="18.75" x14ac:dyDescent="0.25">
      <c r="C48" s="341" t="s">
        <v>1406</v>
      </c>
      <c r="D48" s="644">
        <v>31.762061270280061</v>
      </c>
      <c r="E48" s="644">
        <v>2.7318157795964968</v>
      </c>
      <c r="F48" s="644">
        <v>1.5521086698375186</v>
      </c>
      <c r="G48" s="644">
        <v>9.2015360520386302</v>
      </c>
      <c r="H48" s="644">
        <v>0</v>
      </c>
      <c r="I48" s="644">
        <v>13.674738784599102</v>
      </c>
      <c r="J48" s="644">
        <v>6.4686793918381111</v>
      </c>
      <c r="K48" s="644">
        <v>0</v>
      </c>
      <c r="L48" s="644">
        <v>0</v>
      </c>
      <c r="M48" s="644">
        <v>0</v>
      </c>
    </row>
    <row r="49" spans="3:13" ht="18.75" x14ac:dyDescent="0.25">
      <c r="C49" s="341" t="s">
        <v>1407</v>
      </c>
      <c r="D49" s="644">
        <v>20.94657932615879</v>
      </c>
      <c r="E49" s="644">
        <v>5.5658055539685094</v>
      </c>
      <c r="F49" s="644">
        <v>3.6270740089317903</v>
      </c>
      <c r="G49" s="644">
        <v>9.7051513811414178</v>
      </c>
      <c r="H49" s="644">
        <v>0.54575601987661515</v>
      </c>
      <c r="I49" s="644">
        <v>22.307697075811522</v>
      </c>
      <c r="J49" s="644">
        <v>6.5912101290172149</v>
      </c>
      <c r="K49" s="644">
        <v>0.10047053741525332</v>
      </c>
      <c r="L49" s="644">
        <v>1.0233143951846515E-2</v>
      </c>
      <c r="M49" s="644">
        <v>0</v>
      </c>
    </row>
    <row r="50" spans="3:13" ht="18.75" x14ac:dyDescent="0.25">
      <c r="C50" s="575" t="s">
        <v>558</v>
      </c>
      <c r="D50" s="644"/>
      <c r="E50" s="644"/>
      <c r="F50" s="644"/>
      <c r="G50" s="644"/>
      <c r="H50" s="644"/>
      <c r="I50" s="644"/>
      <c r="J50" s="644"/>
      <c r="K50" s="644"/>
      <c r="L50" s="644"/>
      <c r="M50" s="644"/>
    </row>
    <row r="51" spans="3:13" ht="18.75" x14ac:dyDescent="0.25">
      <c r="C51" s="341" t="s">
        <v>559</v>
      </c>
      <c r="D51" s="644">
        <v>22.28930461852897</v>
      </c>
      <c r="E51" s="644">
        <v>1.3125218764557154</v>
      </c>
      <c r="F51" s="644">
        <v>1.5412352882996927</v>
      </c>
      <c r="G51" s="644">
        <v>19.047650440310854</v>
      </c>
      <c r="H51" s="644">
        <v>0.71952206199262891</v>
      </c>
      <c r="I51" s="644">
        <v>18.187054466388783</v>
      </c>
      <c r="J51" s="644">
        <v>5.5223107082174776</v>
      </c>
      <c r="K51" s="644">
        <v>9.6170464913504367E-2</v>
      </c>
      <c r="L51" s="644">
        <v>0</v>
      </c>
      <c r="M51" s="644">
        <v>0</v>
      </c>
    </row>
    <row r="52" spans="3:13" ht="18.75" x14ac:dyDescent="0.25">
      <c r="C52" s="341" t="s">
        <v>560</v>
      </c>
      <c r="D52" s="644">
        <v>23.36036109250923</v>
      </c>
      <c r="E52" s="644">
        <v>3.2816131169496408</v>
      </c>
      <c r="F52" s="644">
        <v>1.3475794813113557</v>
      </c>
      <c r="G52" s="644">
        <v>12.937923602425366</v>
      </c>
      <c r="H52" s="644">
        <v>0.91397237194647074</v>
      </c>
      <c r="I52" s="644">
        <v>22.085123611643166</v>
      </c>
      <c r="J52" s="644">
        <v>5.5406819788934687</v>
      </c>
      <c r="K52" s="644">
        <v>0</v>
      </c>
      <c r="L52" s="644">
        <v>0</v>
      </c>
      <c r="M52" s="644">
        <v>0</v>
      </c>
    </row>
    <row r="53" spans="3:13" ht="18.75" x14ac:dyDescent="0.25">
      <c r="C53" s="341" t="s">
        <v>561</v>
      </c>
      <c r="D53" s="644">
        <v>20.686832247189798</v>
      </c>
      <c r="E53" s="644">
        <v>2.7933467470367446</v>
      </c>
      <c r="F53" s="644">
        <v>3.4443100500714365</v>
      </c>
      <c r="G53" s="644">
        <v>7.0035999802714173</v>
      </c>
      <c r="H53" s="644">
        <v>0.18770124072224928</v>
      </c>
      <c r="I53" s="644">
        <v>24.535113051475594</v>
      </c>
      <c r="J53" s="644">
        <v>6.8060057943041681</v>
      </c>
      <c r="K53" s="644">
        <v>0</v>
      </c>
      <c r="L53" s="644">
        <v>7.3747101797359089E-3</v>
      </c>
      <c r="M53" s="644">
        <v>0</v>
      </c>
    </row>
    <row r="54" spans="3:13" ht="18.75" x14ac:dyDescent="0.25">
      <c r="C54" s="341" t="s">
        <v>562</v>
      </c>
      <c r="D54" s="644">
        <v>22.723608676142078</v>
      </c>
      <c r="E54" s="644">
        <v>6.9114399089465524</v>
      </c>
      <c r="F54" s="644">
        <v>2.1898154026324148</v>
      </c>
      <c r="G54" s="644">
        <v>5.5346425504873187</v>
      </c>
      <c r="H54" s="644">
        <v>0.40887171758274765</v>
      </c>
      <c r="I54" s="644">
        <v>21.341785762664468</v>
      </c>
      <c r="J54" s="644">
        <v>8.4178722448075884</v>
      </c>
      <c r="K54" s="644">
        <v>2.0352200223747865E-2</v>
      </c>
      <c r="L54" s="644">
        <v>3.3563437172524517E-2</v>
      </c>
      <c r="M54" s="644">
        <v>0</v>
      </c>
    </row>
    <row r="55" spans="3:13" ht="18.75" x14ac:dyDescent="0.25">
      <c r="C55" s="650" t="s">
        <v>563</v>
      </c>
      <c r="D55" s="651">
        <v>20.136041176219297</v>
      </c>
      <c r="E55" s="651">
        <v>11.712632272999402</v>
      </c>
      <c r="F55" s="651">
        <v>8.6693979458482033</v>
      </c>
      <c r="G55" s="651">
        <v>5.0227177198506485</v>
      </c>
      <c r="H55" s="651">
        <v>0.339219947313883</v>
      </c>
      <c r="I55" s="651">
        <v>20.337317564134359</v>
      </c>
      <c r="J55" s="651">
        <v>7.3941086370162976</v>
      </c>
      <c r="K55" s="651">
        <v>0.35219923299968053</v>
      </c>
      <c r="L55" s="651">
        <v>0</v>
      </c>
      <c r="M55" s="651">
        <v>0</v>
      </c>
    </row>
    <row r="56" spans="3:13" ht="18.75" x14ac:dyDescent="0.4">
      <c r="C56" s="5" t="s">
        <v>1408</v>
      </c>
      <c r="D56" s="5"/>
      <c r="E56" s="5"/>
      <c r="F56" s="5"/>
      <c r="G56" s="5"/>
      <c r="H56" s="5"/>
      <c r="I56" s="5"/>
      <c r="J56" s="5"/>
      <c r="K56" s="5"/>
      <c r="L56" s="5"/>
      <c r="M56" s="5"/>
    </row>
    <row r="57" spans="3:13" ht="18.75" x14ac:dyDescent="0.4">
      <c r="C57" s="341" t="s">
        <v>1409</v>
      </c>
      <c r="D57" s="5"/>
      <c r="E57" s="5"/>
      <c r="F57" s="5"/>
      <c r="G57" s="5"/>
      <c r="H57" s="5"/>
      <c r="I57" s="5"/>
      <c r="J57" s="5"/>
      <c r="K57" s="5"/>
      <c r="L57" s="5"/>
      <c r="M57" s="5"/>
    </row>
  </sheetData>
  <mergeCells count="9">
    <mergeCell ref="A6:B6"/>
    <mergeCell ref="C6:P6"/>
    <mergeCell ref="D11:M11"/>
    <mergeCell ref="A3:B3"/>
    <mergeCell ref="C3:P3"/>
    <mergeCell ref="A4:B4"/>
    <mergeCell ref="C4:P4"/>
    <mergeCell ref="A5:B5"/>
    <mergeCell ref="C5:P5"/>
  </mergeCells>
  <hyperlinks>
    <hyperlink ref="A1" location="'ODS 3.'!A1" display="REGRESAR" xr:uid="{F185F43F-5CF4-4309-BC7A-09499073BB71}"/>
    <hyperlink ref="C1" location="'Metadato 3.7.1 EMNA'!A1" display="VER METADATO" xr:uid="{A3A2D61A-F979-45A1-BD04-7DB56E06E219}"/>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8BC3-57EC-4B7B-AAC2-F1144D72278F}">
  <sheetPr>
    <tabColor theme="0" tint="-0.499984740745262"/>
  </sheetPr>
  <dimension ref="A1:F40"/>
  <sheetViews>
    <sheetView showGridLines="0" zoomScaleNormal="100" zoomScaleSheetLayoutView="7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9" style="222" customWidth="1"/>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ht="21" customHeight="1" x14ac:dyDescent="0.25">
      <c r="A4" s="224"/>
      <c r="B4" s="2606" t="s">
        <v>234</v>
      </c>
      <c r="C4" s="2606"/>
      <c r="D4" s="359" t="s">
        <v>832</v>
      </c>
    </row>
    <row r="5" spans="1:6" ht="34.9" customHeight="1" x14ac:dyDescent="0.25">
      <c r="B5" s="2445" t="s">
        <v>79</v>
      </c>
      <c r="C5" s="2445"/>
      <c r="D5" s="49" t="s">
        <v>698</v>
      </c>
    </row>
    <row r="6" spans="1:6" x14ac:dyDescent="0.25">
      <c r="B6" s="2445" t="s">
        <v>80</v>
      </c>
      <c r="C6" s="2445"/>
      <c r="D6" s="50" t="s">
        <v>699</v>
      </c>
    </row>
    <row r="7" spans="1:6" ht="30.75" customHeight="1" x14ac:dyDescent="0.25">
      <c r="B7" s="2446" t="s">
        <v>81</v>
      </c>
      <c r="C7" s="2446"/>
      <c r="D7" s="93" t="s">
        <v>700</v>
      </c>
    </row>
    <row r="8" spans="1:6" x14ac:dyDescent="0.25">
      <c r="B8" s="2446" t="s">
        <v>82</v>
      </c>
      <c r="C8" s="2446"/>
      <c r="D8" s="202" t="s">
        <v>1365</v>
      </c>
    </row>
    <row r="9" spans="1:6" x14ac:dyDescent="0.4">
      <c r="B9" s="5"/>
      <c r="C9" s="5"/>
      <c r="D9" s="5"/>
    </row>
    <row r="10" spans="1:6" ht="23.25" customHeight="1" x14ac:dyDescent="0.25">
      <c r="B10" s="2604" t="s">
        <v>85</v>
      </c>
      <c r="C10" s="2604"/>
      <c r="D10" s="2604"/>
    </row>
    <row r="11" spans="1:6" ht="17.25" customHeight="1" x14ac:dyDescent="0.25">
      <c r="B11" s="2633" t="s">
        <v>86</v>
      </c>
      <c r="C11" s="2634"/>
      <c r="D11" s="359" t="s">
        <v>167</v>
      </c>
    </row>
    <row r="12" spans="1:6" ht="37.5" x14ac:dyDescent="0.25">
      <c r="B12" s="2455" t="s">
        <v>88</v>
      </c>
      <c r="C12" s="2455"/>
      <c r="D12" s="169" t="s">
        <v>1366</v>
      </c>
    </row>
    <row r="13" spans="1:6" x14ac:dyDescent="0.25">
      <c r="B13" s="2445" t="s">
        <v>90</v>
      </c>
      <c r="C13" s="2445"/>
      <c r="D13" s="54" t="s">
        <v>699</v>
      </c>
    </row>
    <row r="14" spans="1:6" x14ac:dyDescent="0.25">
      <c r="B14" s="2445" t="s">
        <v>91</v>
      </c>
      <c r="C14" s="2456"/>
      <c r="D14" s="54" t="s">
        <v>214</v>
      </c>
    </row>
    <row r="15" spans="1:6" ht="281.45" customHeight="1" x14ac:dyDescent="0.25">
      <c r="B15" s="2445" t="s">
        <v>93</v>
      </c>
      <c r="C15" s="2445"/>
      <c r="D15" s="56" t="s">
        <v>1367</v>
      </c>
    </row>
    <row r="16" spans="1:6" ht="162.75" customHeight="1" x14ac:dyDescent="0.4">
      <c r="B16" s="2445" t="s">
        <v>95</v>
      </c>
      <c r="C16" s="2445"/>
      <c r="D16" s="203" t="s">
        <v>1368</v>
      </c>
    </row>
    <row r="17" spans="1:4" x14ac:dyDescent="0.25">
      <c r="B17" s="2445" t="s">
        <v>97</v>
      </c>
      <c r="C17" s="2445"/>
      <c r="D17" s="56" t="s">
        <v>238</v>
      </c>
    </row>
    <row r="18" spans="1:4" x14ac:dyDescent="0.25">
      <c r="B18" s="2446" t="s">
        <v>99</v>
      </c>
      <c r="C18" s="2446"/>
      <c r="D18" s="49"/>
    </row>
    <row r="19" spans="1:4" ht="39" customHeight="1" x14ac:dyDescent="0.25">
      <c r="B19" s="2457" t="s">
        <v>100</v>
      </c>
      <c r="C19" s="2458"/>
      <c r="D19" s="56" t="s">
        <v>1369</v>
      </c>
    </row>
    <row r="20" spans="1:4" x14ac:dyDescent="0.25">
      <c r="B20" s="2445" t="s">
        <v>102</v>
      </c>
      <c r="C20" s="2445"/>
      <c r="D20" s="56" t="s">
        <v>238</v>
      </c>
    </row>
    <row r="21" spans="1:4" x14ac:dyDescent="0.25">
      <c r="B21" s="2451" t="s">
        <v>104</v>
      </c>
      <c r="C21" s="95" t="s">
        <v>105</v>
      </c>
      <c r="D21" s="56" t="s">
        <v>140</v>
      </c>
    </row>
    <row r="22" spans="1:4" x14ac:dyDescent="0.25">
      <c r="B22" s="2452"/>
      <c r="C22" s="96" t="s">
        <v>107</v>
      </c>
      <c r="D22" s="56" t="s">
        <v>1370</v>
      </c>
    </row>
    <row r="23" spans="1:4" x14ac:dyDescent="0.25">
      <c r="B23" s="2444" t="s">
        <v>109</v>
      </c>
      <c r="C23" s="2444"/>
      <c r="D23" s="56" t="s">
        <v>515</v>
      </c>
    </row>
    <row r="24" spans="1:4" x14ac:dyDescent="0.25">
      <c r="B24" s="2444" t="s">
        <v>111</v>
      </c>
      <c r="C24" s="2444"/>
      <c r="D24" s="59" t="s">
        <v>522</v>
      </c>
    </row>
    <row r="25" spans="1:4" x14ac:dyDescent="0.25">
      <c r="B25" s="2445" t="s">
        <v>113</v>
      </c>
      <c r="C25" s="2445"/>
      <c r="D25" s="56" t="s">
        <v>144</v>
      </c>
    </row>
    <row r="26" spans="1:4" ht="15" customHeight="1" x14ac:dyDescent="0.25">
      <c r="B26" s="2446" t="s">
        <v>115</v>
      </c>
      <c r="C26" s="2446"/>
      <c r="D26" s="59" t="s">
        <v>1371</v>
      </c>
    </row>
    <row r="27" spans="1:4" x14ac:dyDescent="0.25">
      <c r="B27" s="2447" t="s">
        <v>117</v>
      </c>
      <c r="C27" s="2448"/>
      <c r="D27" s="49"/>
    </row>
    <row r="28" spans="1:4" ht="37.5" x14ac:dyDescent="0.25">
      <c r="B28" s="97" t="s">
        <v>118</v>
      </c>
      <c r="C28" s="98"/>
      <c r="D28" s="56" t="s">
        <v>1372</v>
      </c>
    </row>
    <row r="29" spans="1:4" x14ac:dyDescent="0.25">
      <c r="B29" s="2449" t="s">
        <v>120</v>
      </c>
      <c r="C29" s="2450"/>
      <c r="D29" s="62"/>
    </row>
    <row r="30" spans="1:4" x14ac:dyDescent="0.25">
      <c r="B30" s="628"/>
      <c r="C30" s="628"/>
      <c r="D30" s="629"/>
    </row>
    <row r="31" spans="1:4" ht="23.25" customHeight="1" x14ac:dyDescent="0.25">
      <c r="A31" s="122"/>
      <c r="B31" s="2604" t="s">
        <v>121</v>
      </c>
      <c r="C31" s="2604"/>
      <c r="D31" s="2604"/>
    </row>
    <row r="32" spans="1:4" x14ac:dyDescent="0.4">
      <c r="A32" s="122"/>
      <c r="B32" s="2631" t="s">
        <v>122</v>
      </c>
      <c r="C32" s="2632"/>
      <c r="D32" s="652" t="s">
        <v>1410</v>
      </c>
    </row>
    <row r="33" spans="1:4" x14ac:dyDescent="0.4">
      <c r="A33" s="122"/>
      <c r="B33" s="2442" t="s">
        <v>124</v>
      </c>
      <c r="C33" s="2443"/>
      <c r="D33" s="205" t="s">
        <v>1411</v>
      </c>
    </row>
    <row r="34" spans="1:4" x14ac:dyDescent="0.4">
      <c r="A34" s="122"/>
      <c r="B34" s="2442" t="s">
        <v>126</v>
      </c>
      <c r="C34" s="2443"/>
      <c r="D34" s="205" t="s">
        <v>522</v>
      </c>
    </row>
    <row r="35" spans="1:4" x14ac:dyDescent="0.4">
      <c r="A35" s="638"/>
      <c r="B35" s="2442" t="s">
        <v>128</v>
      </c>
      <c r="C35" s="2443"/>
      <c r="D35" s="205" t="s">
        <v>1412</v>
      </c>
    </row>
    <row r="36" spans="1:4" x14ac:dyDescent="0.4">
      <c r="A36" s="122"/>
      <c r="B36" s="2442" t="s">
        <v>130</v>
      </c>
      <c r="C36" s="2443"/>
      <c r="D36" s="208" t="s">
        <v>1413</v>
      </c>
    </row>
    <row r="37" spans="1:4" x14ac:dyDescent="0.25">
      <c r="A37" s="122"/>
    </row>
    <row r="38" spans="1:4" x14ac:dyDescent="0.25">
      <c r="A38" s="122"/>
    </row>
    <row r="39" spans="1:4" x14ac:dyDescent="0.25">
      <c r="A39" s="638"/>
    </row>
    <row r="40" spans="1:4" x14ac:dyDescent="0.25">
      <c r="A40" s="122"/>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1642EDD4-8DFB-426C-BE7B-20944B840F40}">
      <formula1>Tipo_operación</formula1>
    </dataValidation>
    <dataValidation type="list" allowBlank="1" showInputMessage="1" showErrorMessage="1" sqref="D14" xr:uid="{83557D32-90E8-4506-B53A-8A22AF30E05C}">
      <formula1>Tipo_indicador</formula1>
    </dataValidation>
    <dataValidation type="list" allowBlank="1" showInputMessage="1" showErrorMessage="1" sqref="D7" xr:uid="{17BC2ED9-2ED5-4FC4-AEFA-017CBF9A8C4D}">
      <formula1>Nombre_indicador_ODS</formula1>
    </dataValidation>
    <dataValidation type="list" allowBlank="1" showInputMessage="1" showErrorMessage="1" sqref="D6" xr:uid="{96E7A4F7-B8A0-4490-B7C3-9018E9FC66F9}">
      <formula1>Numero_indicador</formula1>
    </dataValidation>
    <dataValidation type="list" allowBlank="1" showInputMessage="1" showErrorMessage="1" sqref="D5" xr:uid="{E25E4C02-836F-4675-83AD-8F5EEDA96F4F}">
      <formula1>Metas_ODS</formula1>
    </dataValidation>
    <dataValidation type="list" allowBlank="1" showInputMessage="1" showErrorMessage="1" sqref="D4" xr:uid="{79E4EB73-D9F4-47BD-A1AB-B6FD4E82AA2B}">
      <formula1>ODS</formula1>
    </dataValidation>
    <dataValidation allowBlank="1" showDropDown="1" showInputMessage="1" showErrorMessage="1" sqref="D13" xr:uid="{8558F90F-07EB-41E7-8941-51AB4924198A}"/>
  </dataValidations>
  <hyperlinks>
    <hyperlink ref="B1" location="'3.7.1 EMNA'!A1" display="REGRESAR" xr:uid="{03BD03AB-3C49-497D-9023-0451151A8952}"/>
    <hyperlink ref="D36" r:id="rId1" xr:uid="{3DB8B481-6970-4730-AF4A-C684BDCBE083}"/>
    <hyperlink ref="D8" r:id="rId2" xr:uid="{7778FFCE-A25A-4B78-A1D0-41F45BC0CAEF}"/>
  </hyperlinks>
  <pageMargins left="0.7" right="0.7" top="0.75" bottom="0.75" header="0.3" footer="0.3"/>
  <pageSetup orientation="portrait"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7E14-644F-47B9-A442-D511CF996D2B}">
  <dimension ref="A1:AE140"/>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1" width="15.28515625" style="22" customWidth="1"/>
    <col min="2" max="2" width="19.85546875" style="22" customWidth="1"/>
    <col min="3" max="3" width="9" style="22" customWidth="1"/>
    <col min="4" max="4" width="8" style="22" customWidth="1"/>
    <col min="5" max="5" width="7.7109375" style="22" customWidth="1"/>
    <col min="6" max="6" width="8.42578125" style="22" customWidth="1"/>
    <col min="7" max="7" width="1" style="22" customWidth="1"/>
    <col min="8" max="8" width="6.28515625" style="22" customWidth="1"/>
    <col min="9" max="9" width="5.28515625" style="22" customWidth="1"/>
    <col min="10" max="10" width="7" style="22" customWidth="1"/>
    <col min="11" max="11" width="5.42578125" style="22" customWidth="1"/>
    <col min="12" max="12" width="6.28515625" style="22" customWidth="1"/>
    <col min="13" max="13" width="7" style="22" customWidth="1"/>
    <col min="14" max="14" width="6.28515625" style="22" customWidth="1"/>
    <col min="15" max="15" width="5.7109375" style="22" customWidth="1"/>
    <col min="16" max="16" width="7.7109375" style="22" customWidth="1"/>
    <col min="17" max="17" width="8" style="22" customWidth="1"/>
    <col min="18" max="18" width="5.28515625" style="22" customWidth="1"/>
    <col min="19" max="19" width="11.42578125" style="22"/>
    <col min="20" max="20" width="8.7109375" style="22" customWidth="1"/>
    <col min="21" max="21" width="1.5703125" style="22" customWidth="1"/>
    <col min="22" max="22" width="13" style="22" customWidth="1"/>
    <col min="23" max="23" width="13.5703125" style="22" customWidth="1"/>
    <col min="24" max="24" width="1.28515625" style="22" customWidth="1"/>
    <col min="25" max="25" width="8.7109375" style="22" customWidth="1"/>
    <col min="26" max="27" width="8.28515625" style="22" customWidth="1"/>
    <col min="28" max="29" width="10.7109375" style="22" customWidth="1"/>
    <col min="30" max="30" width="9.7109375" style="22" customWidth="1"/>
    <col min="31" max="31" width="8.28515625" style="22" customWidth="1"/>
    <col min="32" max="16384" width="11.42578125" style="22"/>
  </cols>
  <sheetData>
    <row r="1" spans="1:31" s="16" customFormat="1" ht="19.5" x14ac:dyDescent="0.4">
      <c r="A1" s="15" t="s">
        <v>39</v>
      </c>
      <c r="C1" s="2421" t="s">
        <v>149</v>
      </c>
      <c r="D1" s="2421"/>
    </row>
    <row r="2" spans="1:31" s="16" customFormat="1" ht="19.5" x14ac:dyDescent="0.4"/>
    <row r="3" spans="1:31" s="16" customFormat="1" ht="18.600000000000001"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c r="T3" s="2574"/>
      <c r="U3" s="2574"/>
      <c r="V3" s="2574"/>
      <c r="W3" s="2574"/>
      <c r="X3" s="2574"/>
      <c r="Y3" s="2574"/>
      <c r="Z3" s="2574"/>
    </row>
    <row r="4" spans="1:31" s="16" customFormat="1" ht="36.6" customHeight="1" x14ac:dyDescent="0.4">
      <c r="A4" s="2574" t="s">
        <v>42</v>
      </c>
      <c r="B4" s="2574"/>
      <c r="C4" s="2574" t="s">
        <v>698</v>
      </c>
      <c r="D4" s="2574"/>
      <c r="E4" s="2574"/>
      <c r="F4" s="2574"/>
      <c r="G4" s="2574"/>
      <c r="H4" s="2574"/>
      <c r="I4" s="2574"/>
      <c r="J4" s="2574"/>
      <c r="K4" s="2574"/>
      <c r="L4" s="2574"/>
      <c r="M4" s="2574"/>
      <c r="N4" s="2574"/>
      <c r="O4" s="2574"/>
      <c r="P4" s="2574"/>
      <c r="Q4" s="2574"/>
      <c r="R4" s="2574"/>
      <c r="S4" s="2574"/>
      <c r="T4" s="2574"/>
      <c r="U4" s="2574"/>
      <c r="V4" s="2574"/>
      <c r="W4" s="2574"/>
      <c r="X4" s="2574"/>
      <c r="Y4" s="2574"/>
      <c r="Z4" s="2574"/>
    </row>
    <row r="5" spans="1:31" s="16" customFormat="1" ht="19.5" x14ac:dyDescent="0.4">
      <c r="A5" s="2574" t="s">
        <v>43</v>
      </c>
      <c r="B5" s="2574"/>
      <c r="C5" s="2574" t="s">
        <v>702</v>
      </c>
      <c r="D5" s="2574"/>
      <c r="E5" s="2574"/>
      <c r="F5" s="2574"/>
      <c r="G5" s="2574"/>
      <c r="H5" s="2574"/>
      <c r="I5" s="2574"/>
      <c r="J5" s="2574"/>
      <c r="K5" s="2574"/>
      <c r="L5" s="2574"/>
      <c r="M5" s="2574"/>
      <c r="N5" s="2574"/>
      <c r="O5" s="2574"/>
      <c r="P5" s="2574"/>
      <c r="Q5" s="2574"/>
      <c r="R5" s="2574"/>
      <c r="S5" s="2574"/>
      <c r="T5" s="2574"/>
      <c r="U5" s="2574"/>
      <c r="V5" s="2574"/>
      <c r="W5" s="2574"/>
      <c r="X5" s="2574"/>
      <c r="Y5" s="2574"/>
      <c r="Z5" s="2574"/>
    </row>
    <row r="6" spans="1:31" s="16" customFormat="1" ht="38.450000000000003" customHeight="1" x14ac:dyDescent="0.4">
      <c r="A6" s="2574" t="s">
        <v>132</v>
      </c>
      <c r="B6" s="2575"/>
      <c r="C6" s="2574" t="s">
        <v>1414</v>
      </c>
      <c r="D6" s="2574"/>
      <c r="E6" s="2574"/>
      <c r="F6" s="2574"/>
      <c r="G6" s="2574"/>
      <c r="H6" s="2574"/>
      <c r="I6" s="2574"/>
      <c r="J6" s="2574"/>
      <c r="K6" s="2574"/>
      <c r="L6" s="2574"/>
      <c r="M6" s="2574"/>
      <c r="N6" s="2574"/>
      <c r="O6" s="2574"/>
      <c r="P6" s="2574"/>
      <c r="Q6" s="2574"/>
      <c r="R6" s="2574"/>
      <c r="S6" s="2574"/>
      <c r="T6" s="2574"/>
      <c r="U6" s="2574"/>
      <c r="V6" s="2574"/>
      <c r="W6" s="2574"/>
      <c r="X6" s="2574"/>
      <c r="Y6" s="2574"/>
      <c r="Z6" s="2574"/>
    </row>
    <row r="7" spans="1:31" s="16" customFormat="1" ht="19.5" x14ac:dyDescent="0.4"/>
    <row r="8" spans="1:31" s="16" customFormat="1" ht="19.5" x14ac:dyDescent="0.4"/>
    <row r="9" spans="1:31" s="16" customFormat="1" ht="19.5" x14ac:dyDescent="0.4">
      <c r="C9" s="138" t="s">
        <v>1415</v>
      </c>
      <c r="D9" s="653"/>
      <c r="E9" s="653"/>
      <c r="F9" s="653"/>
      <c r="G9" s="653"/>
      <c r="H9" s="653"/>
      <c r="I9" s="653"/>
      <c r="J9" s="653"/>
      <c r="K9" s="653"/>
      <c r="L9" s="653"/>
      <c r="M9" s="653"/>
      <c r="N9" s="653"/>
      <c r="O9" s="653"/>
      <c r="P9" s="653"/>
      <c r="Q9" s="653"/>
      <c r="R9" s="653"/>
      <c r="S9" s="653"/>
      <c r="T9" s="653"/>
      <c r="U9" s="653"/>
      <c r="V9" s="654"/>
      <c r="W9" s="653"/>
      <c r="X9" s="653"/>
      <c r="Y9" s="653"/>
      <c r="Z9" s="653"/>
      <c r="AA9" s="653"/>
      <c r="AB9" s="653"/>
      <c r="AC9" s="653"/>
      <c r="AD9" s="653"/>
      <c r="AE9" s="653"/>
    </row>
    <row r="10" spans="1:31" ht="18.75" x14ac:dyDescent="0.25">
      <c r="C10" s="655"/>
      <c r="D10" s="656"/>
      <c r="E10" s="656"/>
      <c r="F10" s="656"/>
      <c r="G10" s="656"/>
      <c r="H10" s="656"/>
      <c r="I10" s="656"/>
      <c r="J10" s="656"/>
      <c r="K10" s="656"/>
      <c r="L10" s="656"/>
      <c r="M10" s="656"/>
      <c r="N10" s="656"/>
      <c r="O10" s="656"/>
      <c r="P10" s="656"/>
      <c r="Q10" s="656"/>
      <c r="R10" s="656"/>
      <c r="S10" s="656"/>
      <c r="T10" s="656"/>
      <c r="U10" s="656"/>
      <c r="V10" s="657"/>
      <c r="W10" s="656"/>
      <c r="X10" s="656"/>
      <c r="Y10" s="656"/>
      <c r="Z10" s="656"/>
      <c r="AA10" s="656"/>
      <c r="AB10" s="656"/>
      <c r="AC10" s="656"/>
      <c r="AD10" s="656"/>
      <c r="AE10" s="656"/>
    </row>
    <row r="11" spans="1:31" ht="18.75" x14ac:dyDescent="0.25">
      <c r="C11" s="2652" t="s">
        <v>247</v>
      </c>
      <c r="D11" s="2653" t="s">
        <v>47</v>
      </c>
      <c r="E11" s="2579" t="s">
        <v>737</v>
      </c>
      <c r="F11" s="2579"/>
      <c r="G11" s="377"/>
      <c r="H11" s="2579" t="s">
        <v>1416</v>
      </c>
      <c r="I11" s="2579"/>
      <c r="J11" s="2579"/>
      <c r="K11" s="2579"/>
      <c r="L11" s="2579"/>
      <c r="M11" s="2579"/>
      <c r="N11" s="2579"/>
      <c r="O11" s="2579"/>
      <c r="P11" s="2579"/>
      <c r="Q11" s="2579"/>
      <c r="R11" s="377"/>
      <c r="S11" s="2579" t="s">
        <v>1417</v>
      </c>
      <c r="T11" s="2579"/>
      <c r="U11" s="377"/>
      <c r="V11" s="2579" t="s">
        <v>51</v>
      </c>
      <c r="W11" s="2579"/>
      <c r="X11" s="377"/>
      <c r="Y11" s="2579" t="s">
        <v>8179</v>
      </c>
      <c r="Z11" s="2579"/>
      <c r="AA11" s="2579"/>
      <c r="AB11" s="2579"/>
      <c r="AC11" s="2579"/>
      <c r="AD11" s="2579"/>
      <c r="AE11" s="2579"/>
    </row>
    <row r="12" spans="1:31" ht="52.15" customHeight="1" x14ac:dyDescent="0.25">
      <c r="C12" s="2577"/>
      <c r="D12" s="2579"/>
      <c r="E12" s="412" t="s">
        <v>1331</v>
      </c>
      <c r="F12" s="412" t="s">
        <v>858</v>
      </c>
      <c r="G12" s="412"/>
      <c r="H12" s="412">
        <v>10</v>
      </c>
      <c r="I12" s="412">
        <v>11</v>
      </c>
      <c r="J12" s="412">
        <v>12</v>
      </c>
      <c r="K12" s="412">
        <v>13</v>
      </c>
      <c r="L12" s="412">
        <v>14</v>
      </c>
      <c r="M12" s="412">
        <v>15</v>
      </c>
      <c r="N12" s="412">
        <v>16</v>
      </c>
      <c r="O12" s="412">
        <v>17</v>
      </c>
      <c r="P12" s="412">
        <v>18</v>
      </c>
      <c r="Q12" s="412">
        <v>19</v>
      </c>
      <c r="R12" s="412"/>
      <c r="S12" s="412" t="s">
        <v>1418</v>
      </c>
      <c r="T12" s="412" t="s">
        <v>1419</v>
      </c>
      <c r="U12" s="412"/>
      <c r="V12" s="412" t="s">
        <v>1420</v>
      </c>
      <c r="W12" s="412" t="s">
        <v>65</v>
      </c>
      <c r="X12" s="412"/>
      <c r="Y12" s="412" t="s">
        <v>328</v>
      </c>
      <c r="Z12" s="412" t="s">
        <v>329</v>
      </c>
      <c r="AA12" s="412" t="s">
        <v>330</v>
      </c>
      <c r="AB12" s="412" t="s">
        <v>331</v>
      </c>
      <c r="AC12" s="412" t="s">
        <v>332</v>
      </c>
      <c r="AD12" s="412" t="s">
        <v>533</v>
      </c>
      <c r="AE12" s="412" t="s">
        <v>334</v>
      </c>
    </row>
    <row r="13" spans="1:31" ht="18.75" x14ac:dyDescent="0.4">
      <c r="C13" s="2378">
        <v>2010</v>
      </c>
      <c r="D13" s="413">
        <v>33.159548992217125</v>
      </c>
      <c r="E13" s="413">
        <v>2.1092422776457611</v>
      </c>
      <c r="F13" s="413">
        <v>60.410696548408723</v>
      </c>
      <c r="G13" s="413"/>
      <c r="H13" s="413">
        <v>2.49600015895672E-2</v>
      </c>
      <c r="I13" s="413">
        <v>5.0063780694735993E-2</v>
      </c>
      <c r="J13" s="413">
        <v>0.29884775827811738</v>
      </c>
      <c r="K13" s="413">
        <v>1.9144879876669358</v>
      </c>
      <c r="L13" s="379">
        <v>8.1293912318658634</v>
      </c>
      <c r="M13" s="413">
        <v>23.093904960307654</v>
      </c>
      <c r="N13" s="413">
        <v>45.042737365657345</v>
      </c>
      <c r="O13" s="413">
        <v>62.395818259075362</v>
      </c>
      <c r="P13" s="413">
        <v>79.184213640990393</v>
      </c>
      <c r="Q13" s="413">
        <v>92.911416737338996</v>
      </c>
      <c r="R13" s="413"/>
      <c r="S13" s="413">
        <v>116.07214128916384</v>
      </c>
      <c r="T13" s="413">
        <v>60.843643983236873</v>
      </c>
      <c r="U13" s="413"/>
      <c r="V13" s="413">
        <v>1.157453602075434</v>
      </c>
      <c r="W13" s="413">
        <v>31.672819796447815</v>
      </c>
      <c r="X13" s="413"/>
      <c r="Y13" s="2603" t="s">
        <v>8178</v>
      </c>
      <c r="Z13" s="2603"/>
      <c r="AA13" s="2603"/>
      <c r="AB13" s="2603"/>
      <c r="AC13" s="2603"/>
      <c r="AD13" s="2603"/>
      <c r="AE13" s="2603"/>
    </row>
    <row r="14" spans="1:31" ht="18.75" x14ac:dyDescent="0.4">
      <c r="C14" s="2382">
        <v>2011</v>
      </c>
      <c r="D14" s="413">
        <v>34.758095352341826</v>
      </c>
      <c r="E14" s="413">
        <v>2.3644768363533468</v>
      </c>
      <c r="F14" s="413">
        <v>63.443421366969524</v>
      </c>
      <c r="G14" s="413"/>
      <c r="H14" s="413">
        <v>0</v>
      </c>
      <c r="I14" s="413">
        <v>0</v>
      </c>
      <c r="J14" s="413">
        <v>0.22527941082878056</v>
      </c>
      <c r="K14" s="413">
        <v>2.216407455285363</v>
      </c>
      <c r="L14" s="379">
        <v>9.0930571544105749</v>
      </c>
      <c r="M14" s="413">
        <v>25.701311144404055</v>
      </c>
      <c r="N14" s="413">
        <v>47.003074766710192</v>
      </c>
      <c r="O14" s="413">
        <v>66.107744198427795</v>
      </c>
      <c r="P14" s="413">
        <v>82.206310270277967</v>
      </c>
      <c r="Q14" s="413">
        <v>94.963572512134292</v>
      </c>
      <c r="R14" s="413"/>
      <c r="S14" s="413">
        <v>121.80078323174314</v>
      </c>
      <c r="T14" s="413">
        <v>61.78383903513047</v>
      </c>
      <c r="U14" s="413"/>
      <c r="V14" s="413">
        <v>1.2220814371077906</v>
      </c>
      <c r="W14" s="413">
        <v>33.166140596845587</v>
      </c>
      <c r="X14" s="413"/>
      <c r="Y14" s="2572"/>
      <c r="Z14" s="2572"/>
      <c r="AA14" s="2572"/>
      <c r="AB14" s="2572"/>
      <c r="AC14" s="2572"/>
      <c r="AD14" s="2572"/>
      <c r="AE14" s="2572"/>
    </row>
    <row r="15" spans="1:31" ht="18.75" x14ac:dyDescent="0.4">
      <c r="C15" s="2378">
        <v>2012</v>
      </c>
      <c r="D15" s="413">
        <v>35.890361058176673</v>
      </c>
      <c r="E15" s="413">
        <v>2.6539761296994202</v>
      </c>
      <c r="F15" s="413">
        <v>64.984194691935045</v>
      </c>
      <c r="G15" s="413"/>
      <c r="H15" s="413">
        <v>0</v>
      </c>
      <c r="I15" s="413">
        <v>4.9752915614032771E-2</v>
      </c>
      <c r="J15" s="413">
        <v>0.399372027247822</v>
      </c>
      <c r="K15" s="413">
        <v>2.1274765701898075</v>
      </c>
      <c r="L15" s="379">
        <v>10.483650408677995</v>
      </c>
      <c r="M15" s="413">
        <v>27.059182660968222</v>
      </c>
      <c r="N15" s="413">
        <v>48.870800622792629</v>
      </c>
      <c r="O15" s="413">
        <v>69.941335747064954</v>
      </c>
      <c r="P15" s="413">
        <v>82.130307438014526</v>
      </c>
      <c r="Q15" s="413">
        <v>95.570980943490937</v>
      </c>
      <c r="R15" s="413"/>
      <c r="S15" s="413">
        <v>125.26701793627787</v>
      </c>
      <c r="T15" s="413">
        <v>59.634029977153112</v>
      </c>
      <c r="U15" s="413"/>
      <c r="V15" s="413">
        <v>1.1675147312538328</v>
      </c>
      <c r="W15" s="413">
        <v>34.243736609993626</v>
      </c>
      <c r="X15" s="413"/>
      <c r="Y15" s="2572"/>
      <c r="Z15" s="2572"/>
      <c r="AA15" s="2572"/>
      <c r="AB15" s="2572"/>
      <c r="AC15" s="2572"/>
      <c r="AD15" s="2572"/>
      <c r="AE15" s="2572"/>
    </row>
    <row r="16" spans="1:31" ht="18.75" x14ac:dyDescent="0.4">
      <c r="C16" s="2378">
        <v>2013</v>
      </c>
      <c r="D16" s="413">
        <v>33.143040709760996</v>
      </c>
      <c r="E16" s="413">
        <v>2.4363949569266348</v>
      </c>
      <c r="F16" s="413">
        <v>59.923075426615654</v>
      </c>
      <c r="G16" s="413"/>
      <c r="H16" s="413">
        <v>0</v>
      </c>
      <c r="I16" s="413">
        <v>2.6980683752269783E-2</v>
      </c>
      <c r="J16" s="413">
        <v>0.27364071244624649</v>
      </c>
      <c r="K16" s="413">
        <v>2.2462547356547486</v>
      </c>
      <c r="L16" s="379">
        <v>9.3346537889966523</v>
      </c>
      <c r="M16" s="413">
        <v>25.170126728700382</v>
      </c>
      <c r="N16" s="413">
        <v>44.699480427117983</v>
      </c>
      <c r="O16" s="413">
        <v>61.648441877105228</v>
      </c>
      <c r="P16" s="413">
        <v>73.97764240484527</v>
      </c>
      <c r="Q16" s="413">
        <v>92.162097082687197</v>
      </c>
      <c r="R16" s="413"/>
      <c r="S16" s="413">
        <v>122.06501580742659</v>
      </c>
      <c r="T16" s="413">
        <v>58.382701592915922</v>
      </c>
      <c r="U16" s="413"/>
      <c r="V16" s="413">
        <v>1.0614571611784853</v>
      </c>
      <c r="W16" s="413">
        <v>31.690251149401043</v>
      </c>
      <c r="X16" s="413"/>
      <c r="Y16" s="2572"/>
      <c r="Z16" s="2572"/>
      <c r="AA16" s="2572"/>
      <c r="AB16" s="2572"/>
      <c r="AC16" s="2572"/>
      <c r="AD16" s="2572"/>
      <c r="AE16" s="2572"/>
    </row>
    <row r="17" spans="1:31" ht="18.75" x14ac:dyDescent="0.4">
      <c r="A17" s="23"/>
      <c r="C17" s="2378">
        <v>2014</v>
      </c>
      <c r="D17" s="413">
        <v>32.311571670538477</v>
      </c>
      <c r="E17" s="413">
        <v>2.6508105672168725</v>
      </c>
      <c r="F17" s="413">
        <v>58.215937776002399</v>
      </c>
      <c r="G17" s="413"/>
      <c r="H17" s="413">
        <v>0</v>
      </c>
      <c r="I17" s="413">
        <v>2.6544807486941421E-2</v>
      </c>
      <c r="J17" s="413">
        <v>0.37771788831822528</v>
      </c>
      <c r="K17" s="413">
        <v>2.3132548651876506</v>
      </c>
      <c r="L17" s="379">
        <v>10.031444737495629</v>
      </c>
      <c r="M17" s="413">
        <v>24.444020070370943</v>
      </c>
      <c r="N17" s="413">
        <v>44.049513980828266</v>
      </c>
      <c r="O17" s="413">
        <v>58.849388360048614</v>
      </c>
      <c r="P17" s="413">
        <v>72.793817004722314</v>
      </c>
      <c r="Q17" s="413">
        <v>88.016077920124317</v>
      </c>
      <c r="R17" s="413"/>
      <c r="S17" s="413">
        <v>125.47845156277832</v>
      </c>
      <c r="T17" s="413">
        <v>59.671573574341068</v>
      </c>
      <c r="U17" s="413"/>
      <c r="V17" s="413">
        <v>0.89231413504719548</v>
      </c>
      <c r="W17" s="413">
        <v>31.10204759730976</v>
      </c>
      <c r="X17" s="413"/>
      <c r="Y17" s="2572"/>
      <c r="Z17" s="2572"/>
      <c r="AA17" s="2572"/>
      <c r="AB17" s="2572"/>
      <c r="AC17" s="2572"/>
      <c r="AD17" s="2572"/>
      <c r="AE17" s="2572"/>
    </row>
    <row r="18" spans="1:31" ht="18.75" x14ac:dyDescent="0.4">
      <c r="C18" s="2378">
        <v>2015</v>
      </c>
      <c r="D18" s="413">
        <v>30.371262060254111</v>
      </c>
      <c r="E18" s="413">
        <v>2.289368050346456</v>
      </c>
      <c r="F18" s="413">
        <v>55.128941881208064</v>
      </c>
      <c r="G18" s="413"/>
      <c r="H18" s="413">
        <v>0</v>
      </c>
      <c r="I18" s="413">
        <v>2.6753279050565199E-2</v>
      </c>
      <c r="J18" s="413">
        <v>0.3450802535207636</v>
      </c>
      <c r="K18" s="413">
        <v>1.6185902709074347</v>
      </c>
      <c r="L18" s="379">
        <v>8.9276082573961713</v>
      </c>
      <c r="M18" s="413">
        <v>23.547498864359355</v>
      </c>
      <c r="N18" s="413">
        <v>41.863219803042256</v>
      </c>
      <c r="O18" s="413">
        <v>56.411531442483017</v>
      </c>
      <c r="P18" s="413">
        <v>67.860332949510521</v>
      </c>
      <c r="Q18" s="413">
        <v>84.640118437548026</v>
      </c>
      <c r="R18" s="413"/>
      <c r="S18" s="413">
        <v>126.32158559041923</v>
      </c>
      <c r="T18" s="413">
        <v>61.134040905403211</v>
      </c>
      <c r="U18" s="413"/>
      <c r="V18" s="413">
        <v>0.86916726246688014</v>
      </c>
      <c r="W18" s="413">
        <v>29.165390362777536</v>
      </c>
      <c r="X18" s="413"/>
      <c r="Y18" s="2572"/>
      <c r="Z18" s="2572"/>
      <c r="AA18" s="2572"/>
      <c r="AB18" s="2572"/>
      <c r="AC18" s="2572"/>
      <c r="AD18" s="2572"/>
      <c r="AE18" s="2572"/>
    </row>
    <row r="19" spans="1:31" ht="18.75" x14ac:dyDescent="0.4">
      <c r="C19" s="2382">
        <v>2016</v>
      </c>
      <c r="D19" s="413">
        <v>28.921387364492293</v>
      </c>
      <c r="E19" s="413">
        <v>1.8775413998753436</v>
      </c>
      <c r="F19" s="413">
        <v>52.320544722349617</v>
      </c>
      <c r="G19" s="413"/>
      <c r="H19" s="413">
        <v>0</v>
      </c>
      <c r="I19" s="413">
        <v>2.7172742687511339E-2</v>
      </c>
      <c r="J19" s="413">
        <v>0.24079082346471614</v>
      </c>
      <c r="K19" s="413">
        <v>1.4067967954212353</v>
      </c>
      <c r="L19" s="379">
        <v>7.7134397956927554</v>
      </c>
      <c r="M19" s="413">
        <v>20.73150183904059</v>
      </c>
      <c r="N19" s="413">
        <v>38.842427128214929</v>
      </c>
      <c r="O19" s="413">
        <v>53.010938168179813</v>
      </c>
      <c r="P19" s="413">
        <v>67.881396397724686</v>
      </c>
      <c r="Q19" s="413">
        <v>79.951042209841603</v>
      </c>
      <c r="R19" s="413"/>
      <c r="S19" s="413">
        <v>126.33384240245785</v>
      </c>
      <c r="T19" s="413">
        <v>58.680577872048097</v>
      </c>
      <c r="U19" s="413"/>
      <c r="V19" s="413">
        <v>0.75851577936665349</v>
      </c>
      <c r="W19" s="413">
        <v>27.71621943629998</v>
      </c>
      <c r="X19" s="413"/>
      <c r="Y19" s="2572"/>
      <c r="Z19" s="2572"/>
      <c r="AA19" s="2572"/>
      <c r="AB19" s="2572"/>
      <c r="AC19" s="2572"/>
      <c r="AD19" s="2572"/>
      <c r="AE19" s="2572"/>
    </row>
    <row r="20" spans="1:31" ht="18.75" x14ac:dyDescent="0.4">
      <c r="C20" s="2382">
        <v>2017</v>
      </c>
      <c r="D20" s="413">
        <v>27.110208440808815</v>
      </c>
      <c r="E20" s="413">
        <v>1.6091804063348656</v>
      </c>
      <c r="F20" s="413">
        <v>49.828571300161322</v>
      </c>
      <c r="G20" s="413"/>
      <c r="H20" s="413">
        <v>0</v>
      </c>
      <c r="I20" s="413">
        <v>0</v>
      </c>
      <c r="J20" s="413">
        <v>0.27170715094149106</v>
      </c>
      <c r="K20" s="413">
        <v>1.3376160921161651</v>
      </c>
      <c r="L20" s="379">
        <v>6.3693707928830658</v>
      </c>
      <c r="M20" s="413">
        <v>19.411491246740866</v>
      </c>
      <c r="N20" s="413">
        <v>35.926379726262383</v>
      </c>
      <c r="O20" s="413">
        <v>51.350703724149213</v>
      </c>
      <c r="P20" s="413">
        <v>62.565175511642785</v>
      </c>
      <c r="Q20" s="413">
        <v>77.563715543879425</v>
      </c>
      <c r="R20" s="413"/>
      <c r="S20" s="413">
        <v>126.04978845309986</v>
      </c>
      <c r="T20" s="413">
        <v>57.650906083630368</v>
      </c>
      <c r="U20" s="413"/>
      <c r="V20" s="413">
        <v>0.75550851686350518</v>
      </c>
      <c r="W20" s="413">
        <v>25.892851961339705</v>
      </c>
      <c r="X20" s="413"/>
      <c r="Y20" s="2572"/>
      <c r="Z20" s="2572"/>
      <c r="AA20" s="2572"/>
      <c r="AB20" s="2572"/>
      <c r="AC20" s="2572"/>
      <c r="AD20" s="2572"/>
      <c r="AE20" s="2572"/>
    </row>
    <row r="21" spans="1:31" ht="18.75" x14ac:dyDescent="0.4">
      <c r="C21" s="2378">
        <v>2018</v>
      </c>
      <c r="D21" s="413">
        <v>25.585639280005513</v>
      </c>
      <c r="E21" s="413">
        <v>1.3869836056984297</v>
      </c>
      <c r="F21" s="413">
        <v>47.462404089541117</v>
      </c>
      <c r="G21" s="413"/>
      <c r="H21" s="413">
        <v>0</v>
      </c>
      <c r="I21" s="413">
        <v>2.6586109315276652E-2</v>
      </c>
      <c r="J21" s="413">
        <v>0.16236897667330064</v>
      </c>
      <c r="K21" s="413">
        <v>1.1138376322128687</v>
      </c>
      <c r="L21" s="379">
        <v>5.6432540855656379</v>
      </c>
      <c r="M21" s="413">
        <v>16.713037820321453</v>
      </c>
      <c r="N21" s="413">
        <v>32.039216392056929</v>
      </c>
      <c r="O21" s="413">
        <v>48.122513194865739</v>
      </c>
      <c r="P21" s="413">
        <v>63.141669641194277</v>
      </c>
      <c r="Q21" s="413">
        <v>74.293632712493334</v>
      </c>
      <c r="R21" s="413"/>
      <c r="S21" s="413">
        <v>127.35897029788029</v>
      </c>
      <c r="T21" s="413">
        <v>56.428564918521964</v>
      </c>
      <c r="U21" s="413"/>
      <c r="V21" s="413">
        <v>0.65514702322608298</v>
      </c>
      <c r="W21" s="413">
        <v>24.541163083140979</v>
      </c>
      <c r="X21" s="413"/>
      <c r="Y21" s="2572"/>
      <c r="Z21" s="2572"/>
      <c r="AA21" s="2572"/>
      <c r="AB21" s="2572"/>
      <c r="AC21" s="2572"/>
      <c r="AD21" s="2572"/>
      <c r="AE21" s="2572"/>
    </row>
    <row r="22" spans="1:31" ht="18.75" x14ac:dyDescent="0.4">
      <c r="C22" s="2378">
        <v>2019</v>
      </c>
      <c r="D22" s="413">
        <v>21.653876641947761</v>
      </c>
      <c r="E22" s="413">
        <v>1.4228342446956095</v>
      </c>
      <c r="F22" s="413">
        <v>40.351102552267541</v>
      </c>
      <c r="G22" s="413"/>
      <c r="H22" s="413">
        <v>0</v>
      </c>
      <c r="I22" s="413">
        <v>2.6337720256923616E-2</v>
      </c>
      <c r="J22" s="413">
        <v>0.31905335672749829</v>
      </c>
      <c r="K22" s="413">
        <v>1.4071849491091271</v>
      </c>
      <c r="L22" s="379">
        <v>5.4328102044127329</v>
      </c>
      <c r="M22" s="413">
        <v>14.841355575613836</v>
      </c>
      <c r="N22" s="413">
        <v>25.353042274682398</v>
      </c>
      <c r="O22" s="413">
        <v>37.490193689028551</v>
      </c>
      <c r="P22" s="413">
        <v>49.836639051788779</v>
      </c>
      <c r="Q22" s="413">
        <v>71.296810624758834</v>
      </c>
      <c r="R22" s="413"/>
      <c r="S22" s="413">
        <v>120.70534917572746</v>
      </c>
      <c r="T22" s="413">
        <v>52.380245561811456</v>
      </c>
      <c r="U22" s="413"/>
      <c r="V22" s="413">
        <v>0.59783119195527956</v>
      </c>
      <c r="W22" s="413">
        <v>20.727507587746789</v>
      </c>
      <c r="X22" s="413"/>
      <c r="Y22" s="2572"/>
      <c r="Z22" s="2572"/>
      <c r="AA22" s="2572"/>
      <c r="AB22" s="2572"/>
      <c r="AC22" s="2572"/>
      <c r="AD22" s="2572"/>
      <c r="AE22" s="2572"/>
    </row>
    <row r="23" spans="1:31" ht="18.75" x14ac:dyDescent="0.4">
      <c r="C23" s="2378">
        <v>2020</v>
      </c>
      <c r="D23" s="413">
        <v>16.491054034033251</v>
      </c>
      <c r="E23" s="413">
        <v>1.2009941162102331</v>
      </c>
      <c r="F23" s="413">
        <v>31.482953869150869</v>
      </c>
      <c r="G23" s="413"/>
      <c r="H23" s="413">
        <v>0</v>
      </c>
      <c r="I23" s="413">
        <v>0.10839969118389027</v>
      </c>
      <c r="J23" s="413">
        <v>0.21071573080556871</v>
      </c>
      <c r="K23" s="413">
        <v>1.2497511342669774</v>
      </c>
      <c r="L23" s="379">
        <v>4.4382946026458834</v>
      </c>
      <c r="M23" s="413">
        <v>9.968984687197354</v>
      </c>
      <c r="N23" s="413">
        <v>19.974156934506823</v>
      </c>
      <c r="O23" s="413">
        <v>30.332091019927898</v>
      </c>
      <c r="P23" s="413">
        <v>40.440396098391822</v>
      </c>
      <c r="Q23" s="413">
        <v>54.636261275302743</v>
      </c>
      <c r="R23" s="413"/>
      <c r="S23" s="413">
        <v>109.5768549129611</v>
      </c>
      <c r="T23" s="413">
        <v>45.484380075436242</v>
      </c>
      <c r="U23" s="413"/>
      <c r="V23" s="413">
        <v>0.59725078474105864</v>
      </c>
      <c r="W23" s="413">
        <v>15.680499397598954</v>
      </c>
      <c r="X23" s="413"/>
      <c r="Y23" s="2572"/>
      <c r="Z23" s="2572"/>
      <c r="AA23" s="2572"/>
      <c r="AB23" s="2572"/>
      <c r="AC23" s="2572"/>
      <c r="AD23" s="2572"/>
      <c r="AE23" s="2572"/>
    </row>
    <row r="24" spans="1:31" ht="18.75" x14ac:dyDescent="0.4">
      <c r="C24" s="2378">
        <v>2021</v>
      </c>
      <c r="D24" s="413">
        <v>13.861744878016644</v>
      </c>
      <c r="E24" s="413">
        <v>1.0542486543490655</v>
      </c>
      <c r="F24" s="413">
        <v>26.083621685669229</v>
      </c>
      <c r="G24" s="413"/>
      <c r="H24" s="413">
        <v>0</v>
      </c>
      <c r="I24" s="413">
        <v>2.7584418960723667E-2</v>
      </c>
      <c r="J24" s="413">
        <v>0.32521971046400644</v>
      </c>
      <c r="K24" s="413">
        <v>0.97459871253142705</v>
      </c>
      <c r="L24" s="379">
        <v>3.9089216643486377</v>
      </c>
      <c r="M24" s="413">
        <v>10.391954676162705</v>
      </c>
      <c r="N24" s="413">
        <v>15.889485664789683</v>
      </c>
      <c r="O24" s="413">
        <v>23.927257153910087</v>
      </c>
      <c r="P24" s="413">
        <v>33.000109880292484</v>
      </c>
      <c r="Q24" s="413">
        <v>46.938749539649976</v>
      </c>
      <c r="R24" s="413"/>
      <c r="S24" s="413">
        <v>105.16809767452075</v>
      </c>
      <c r="T24" s="413">
        <v>43.847032214146118</v>
      </c>
      <c r="U24" s="413"/>
      <c r="V24" s="413">
        <v>0.42545949625595642</v>
      </c>
      <c r="W24" s="413">
        <v>13.137091284393597</v>
      </c>
      <c r="X24" s="413"/>
      <c r="Y24" s="2572"/>
      <c r="Z24" s="2572"/>
      <c r="AA24" s="2572"/>
      <c r="AB24" s="2572"/>
      <c r="AC24" s="2572"/>
      <c r="AD24" s="2572"/>
      <c r="AE24" s="2572"/>
    </row>
    <row r="25" spans="1:31" ht="18.75" x14ac:dyDescent="0.4">
      <c r="C25" s="2378">
        <v>2022</v>
      </c>
      <c r="D25" s="413">
        <v>13.239445790855939</v>
      </c>
      <c r="E25" s="413">
        <v>1.131236550630756</v>
      </c>
      <c r="F25" s="413">
        <v>25.347086387013658</v>
      </c>
      <c r="G25" s="413"/>
      <c r="H25" s="413">
        <v>0</v>
      </c>
      <c r="I25" s="413">
        <v>7.8655818760710025E-2</v>
      </c>
      <c r="J25" s="413">
        <v>0.24828757216290964</v>
      </c>
      <c r="K25" s="413">
        <v>1.3552188721152205</v>
      </c>
      <c r="L25" s="379">
        <v>3.9249870987299857</v>
      </c>
      <c r="M25" s="413">
        <v>8.9074167436042231</v>
      </c>
      <c r="N25" s="413">
        <v>15.830965032560959</v>
      </c>
      <c r="O25" s="413">
        <v>23.655968451266538</v>
      </c>
      <c r="P25" s="413">
        <v>32.291800259990922</v>
      </c>
      <c r="Q25" s="413">
        <v>45.813493773400083</v>
      </c>
      <c r="R25" s="413"/>
      <c r="S25" s="413">
        <v>101.3639204566565</v>
      </c>
      <c r="T25" s="413">
        <v>41.873533650326102</v>
      </c>
      <c r="U25" s="413"/>
      <c r="V25" s="413">
        <v>0.49859018366049895</v>
      </c>
      <c r="W25" s="413">
        <v>12.526408216373719</v>
      </c>
      <c r="X25" s="413"/>
      <c r="Y25" s="2572"/>
      <c r="Z25" s="2572"/>
      <c r="AA25" s="2572"/>
      <c r="AB25" s="2572"/>
      <c r="AC25" s="2572"/>
      <c r="AD25" s="2572"/>
      <c r="AE25" s="2572"/>
    </row>
    <row r="26" spans="1:31" ht="18.75" x14ac:dyDescent="0.4">
      <c r="C26" s="2378">
        <v>2023</v>
      </c>
      <c r="D26" s="413">
        <v>12.252692346209274</v>
      </c>
      <c r="E26" s="413">
        <v>1.0677056745676643</v>
      </c>
      <c r="F26" s="413">
        <v>23.356486888152915</v>
      </c>
      <c r="G26" s="413"/>
      <c r="H26" s="413">
        <v>0</v>
      </c>
      <c r="I26" s="413">
        <v>5.3656788141832897E-2</v>
      </c>
      <c r="J26" s="413">
        <v>0.18353931215763994</v>
      </c>
      <c r="K26" s="413">
        <v>1.1311099660081319</v>
      </c>
      <c r="L26" s="379">
        <v>4.011333970218903</v>
      </c>
      <c r="M26" s="413">
        <v>8.6921649953739379</v>
      </c>
      <c r="N26" s="413">
        <v>14.781131333900245</v>
      </c>
      <c r="O26" s="413">
        <v>21.183523883555882</v>
      </c>
      <c r="P26" s="413">
        <v>30.00079130390743</v>
      </c>
      <c r="Q26" s="413">
        <v>42.45875624193652</v>
      </c>
      <c r="R26" s="413"/>
      <c r="S26" s="413">
        <v>96.498347241434615</v>
      </c>
      <c r="T26" s="413">
        <v>38.37260633046553</v>
      </c>
      <c r="U26" s="413"/>
      <c r="V26" s="413">
        <v>0.46474803242582857</v>
      </c>
      <c r="W26" s="413">
        <v>11.559599904788096</v>
      </c>
      <c r="X26" s="413"/>
      <c r="Y26" s="2572"/>
      <c r="Z26" s="2572"/>
      <c r="AA26" s="2572"/>
      <c r="AB26" s="2572"/>
      <c r="AC26" s="2572"/>
      <c r="AD26" s="2572"/>
      <c r="AE26" s="2572"/>
    </row>
    <row r="27" spans="1:31" ht="19.5" x14ac:dyDescent="0.4">
      <c r="C27" s="166" t="s">
        <v>8168</v>
      </c>
      <c r="D27" s="420">
        <v>10.900137218065707</v>
      </c>
      <c r="E27" s="420">
        <v>0.78583784466780804</v>
      </c>
      <c r="F27" s="420">
        <v>20.985802191942479</v>
      </c>
      <c r="G27" s="420"/>
      <c r="H27" s="420">
        <v>0</v>
      </c>
      <c r="I27" s="420">
        <v>2.7110317569486338E-2</v>
      </c>
      <c r="J27" s="420">
        <v>8.0489038192715884E-2</v>
      </c>
      <c r="K27" s="420">
        <v>0.81283946705373455</v>
      </c>
      <c r="L27" s="384">
        <v>3.06219091852196</v>
      </c>
      <c r="M27" s="420">
        <v>6.8837169886532994</v>
      </c>
      <c r="N27" s="420">
        <v>12.456832006917791</v>
      </c>
      <c r="O27" s="420">
        <v>17.887248480878991</v>
      </c>
      <c r="P27" s="420">
        <v>27.883862652217243</v>
      </c>
      <c r="Q27" s="420">
        <v>40.138645809798597</v>
      </c>
      <c r="R27" s="420"/>
      <c r="S27" s="420">
        <v>88.676486140166205</v>
      </c>
      <c r="T27" s="420">
        <v>34.474102621633847</v>
      </c>
      <c r="U27" s="420"/>
      <c r="V27" s="420">
        <v>0.47298425798312732</v>
      </c>
      <c r="W27" s="420">
        <v>10.239034221112018</v>
      </c>
      <c r="X27" s="420"/>
      <c r="Y27" s="2573"/>
      <c r="Z27" s="2573"/>
      <c r="AA27" s="2573"/>
      <c r="AB27" s="2573"/>
      <c r="AC27" s="2573"/>
      <c r="AD27" s="2573"/>
      <c r="AE27" s="2573"/>
    </row>
    <row r="28" spans="1:31" ht="18.75" x14ac:dyDescent="0.4">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8.75" x14ac:dyDescent="0.4">
      <c r="C29" s="5" t="s">
        <v>746</v>
      </c>
      <c r="D29" s="2399"/>
      <c r="E29" s="2399"/>
      <c r="F29" s="2399"/>
      <c r="G29" s="5"/>
      <c r="H29" s="5"/>
      <c r="I29" s="5"/>
      <c r="J29" s="5"/>
      <c r="K29" s="5"/>
      <c r="L29" s="5"/>
      <c r="M29" s="5"/>
      <c r="N29" s="5"/>
      <c r="O29" s="5"/>
      <c r="P29" s="5"/>
      <c r="Q29" s="5"/>
      <c r="R29" s="5"/>
      <c r="S29" s="5"/>
      <c r="T29" s="5"/>
      <c r="U29" s="5"/>
      <c r="V29" s="2383"/>
      <c r="W29" s="5"/>
      <c r="X29" s="5"/>
      <c r="Y29" s="5"/>
      <c r="Z29" s="5"/>
      <c r="AA29" s="5"/>
      <c r="AB29" s="5"/>
      <c r="AC29" s="5"/>
      <c r="AD29" s="5"/>
      <c r="AE29" s="5"/>
    </row>
    <row r="30" spans="1:31" ht="18.75" x14ac:dyDescent="0.4">
      <c r="C30" s="5" t="s">
        <v>8170</v>
      </c>
      <c r="D30" s="2399"/>
      <c r="E30" s="2399"/>
      <c r="F30" s="2399"/>
      <c r="G30" s="5"/>
      <c r="H30" s="5"/>
      <c r="I30" s="5"/>
      <c r="J30" s="5"/>
      <c r="K30" s="5"/>
      <c r="L30" s="5"/>
      <c r="M30" s="5"/>
      <c r="N30" s="5"/>
      <c r="O30" s="5"/>
      <c r="P30" s="5"/>
      <c r="Q30" s="5"/>
      <c r="R30" s="5"/>
      <c r="S30" s="5"/>
      <c r="T30" s="5"/>
      <c r="U30" s="5"/>
      <c r="V30" s="2383"/>
      <c r="W30" s="5"/>
      <c r="X30" s="5"/>
      <c r="Y30" s="5"/>
      <c r="Z30" s="5"/>
      <c r="AA30" s="5"/>
      <c r="AB30" s="5"/>
      <c r="AC30" s="5"/>
      <c r="AD30" s="5"/>
      <c r="AE30" s="5"/>
    </row>
    <row r="33" spans="3:12" ht="19.5" x14ac:dyDescent="0.25">
      <c r="C33" s="658" t="s">
        <v>8187</v>
      </c>
      <c r="D33" s="659"/>
      <c r="E33" s="659"/>
      <c r="F33" s="659"/>
      <c r="G33" s="659"/>
      <c r="H33" s="659"/>
      <c r="I33" s="659"/>
      <c r="J33" s="659"/>
      <c r="K33" s="659"/>
      <c r="L33" s="659"/>
    </row>
    <row r="38" spans="3:12" ht="27.75" customHeight="1" x14ac:dyDescent="0.25"/>
    <row r="42" spans="3:12" ht="33.75" customHeight="1" x14ac:dyDescent="0.25"/>
    <row r="50" spans="3:19" ht="18.75" x14ac:dyDescent="0.4">
      <c r="C50" s="5" t="s">
        <v>8175</v>
      </c>
    </row>
    <row r="53" spans="3:19" ht="18.75" x14ac:dyDescent="0.4">
      <c r="C53" s="154" t="s">
        <v>1421</v>
      </c>
      <c r="D53" s="5"/>
      <c r="E53" s="5"/>
      <c r="F53" s="5"/>
      <c r="G53" s="5"/>
      <c r="H53" s="5"/>
      <c r="I53" s="5"/>
      <c r="J53" s="5"/>
      <c r="K53" s="5"/>
      <c r="L53" s="5"/>
      <c r="M53" s="5"/>
      <c r="N53" s="5"/>
      <c r="O53" s="5"/>
      <c r="P53" s="5"/>
    </row>
    <row r="54" spans="3:19" ht="18.75" x14ac:dyDescent="0.4">
      <c r="C54" s="5"/>
      <c r="D54" s="5"/>
      <c r="E54" s="5"/>
      <c r="F54" s="5"/>
      <c r="G54" s="5"/>
      <c r="H54" s="5"/>
      <c r="I54" s="5"/>
      <c r="J54" s="5"/>
      <c r="K54" s="5"/>
      <c r="L54" s="5"/>
      <c r="M54" s="5"/>
      <c r="N54" s="5"/>
      <c r="O54" s="5"/>
      <c r="P54" s="5"/>
    </row>
    <row r="55" spans="3:19" ht="18.75" x14ac:dyDescent="0.25">
      <c r="C55" s="388" t="s">
        <v>749</v>
      </c>
      <c r="D55" s="389" t="s">
        <v>750</v>
      </c>
      <c r="E55" s="390">
        <v>2010</v>
      </c>
      <c r="F55" s="390">
        <v>2011</v>
      </c>
      <c r="G55" s="390">
        <v>2012</v>
      </c>
      <c r="H55" s="390">
        <v>2013</v>
      </c>
      <c r="I55" s="390">
        <v>2014</v>
      </c>
      <c r="J55" s="390">
        <v>2015</v>
      </c>
      <c r="K55" s="390">
        <v>2016</v>
      </c>
      <c r="L55" s="390">
        <v>2017</v>
      </c>
      <c r="M55" s="390">
        <v>2018</v>
      </c>
      <c r="N55" s="390">
        <v>2019</v>
      </c>
      <c r="O55" s="390">
        <v>2020</v>
      </c>
      <c r="P55" s="390">
        <v>2021</v>
      </c>
      <c r="Q55" s="390">
        <v>2022</v>
      </c>
      <c r="R55" s="2379">
        <v>2023</v>
      </c>
      <c r="S55" s="2379">
        <v>2024</v>
      </c>
    </row>
    <row r="56" spans="3:19" ht="18.75" x14ac:dyDescent="0.4">
      <c r="C56" s="2567" t="s">
        <v>328</v>
      </c>
      <c r="D56" s="391" t="s">
        <v>328</v>
      </c>
      <c r="E56" s="340">
        <v>36.881511706215584</v>
      </c>
      <c r="F56" s="340">
        <v>37.938958996895543</v>
      </c>
      <c r="G56" s="340">
        <v>40.660789321908211</v>
      </c>
      <c r="H56" s="340">
        <v>38.93407896966616</v>
      </c>
      <c r="I56" s="340">
        <v>35.425057381663848</v>
      </c>
      <c r="J56" s="340">
        <v>31.6028091385901</v>
      </c>
      <c r="K56" s="340">
        <v>32.206559919711694</v>
      </c>
      <c r="L56" s="340">
        <v>31.726719700514735</v>
      </c>
      <c r="M56" s="340">
        <v>30.904654834234321</v>
      </c>
      <c r="N56" s="340">
        <v>27.301092043681749</v>
      </c>
      <c r="O56" s="340">
        <v>19.638217069758145</v>
      </c>
      <c r="P56" s="340">
        <v>15.240328253223915</v>
      </c>
      <c r="Q56" s="423">
        <v>21.940667490729293</v>
      </c>
    </row>
    <row r="57" spans="3:19" ht="18.75" x14ac:dyDescent="0.4">
      <c r="C57" s="2567"/>
      <c r="D57" s="391" t="s">
        <v>752</v>
      </c>
      <c r="E57" s="340">
        <v>26.156506701253782</v>
      </c>
      <c r="F57" s="340">
        <v>23.671185711211535</v>
      </c>
      <c r="G57" s="340">
        <v>21.350010782833728</v>
      </c>
      <c r="H57" s="340">
        <v>21.517061508367746</v>
      </c>
      <c r="I57" s="340">
        <v>20.243796255986066</v>
      </c>
      <c r="J57" s="340">
        <v>18.169877408056042</v>
      </c>
      <c r="K57" s="340">
        <v>18.306131451257166</v>
      </c>
      <c r="L57" s="340">
        <v>13.510520487264673</v>
      </c>
      <c r="M57" s="340">
        <v>17.489484170909897</v>
      </c>
      <c r="N57" s="340">
        <v>11.702362552439833</v>
      </c>
      <c r="O57" s="340">
        <v>10.835913312693499</v>
      </c>
      <c r="P57" s="340">
        <v>6.4935064935064943</v>
      </c>
      <c r="Q57" s="340">
        <v>10.101010101010102</v>
      </c>
    </row>
    <row r="58" spans="3:19" ht="18.75" x14ac:dyDescent="0.4">
      <c r="C58" s="2567"/>
      <c r="D58" s="391" t="s">
        <v>753</v>
      </c>
      <c r="E58" s="340">
        <v>32.283757234641321</v>
      </c>
      <c r="F58" s="340">
        <v>33.297872340425535</v>
      </c>
      <c r="G58" s="340">
        <v>35.482312523484886</v>
      </c>
      <c r="H58" s="340">
        <v>30.390501606666305</v>
      </c>
      <c r="I58" s="340">
        <v>29.492530755711773</v>
      </c>
      <c r="J58" s="340">
        <v>27.299010341376626</v>
      </c>
      <c r="K58" s="340">
        <v>25.323610875586457</v>
      </c>
      <c r="L58" s="340">
        <v>22.645187181104166</v>
      </c>
      <c r="M58" s="340">
        <v>22.810166155271233</v>
      </c>
      <c r="N58" s="340">
        <v>19.236374234916934</v>
      </c>
      <c r="O58" s="340">
        <v>14.397828524222577</v>
      </c>
      <c r="P58" s="340">
        <v>10.740429617184688</v>
      </c>
      <c r="Q58" s="340">
        <v>13.281815986476696</v>
      </c>
    </row>
    <row r="59" spans="3:19" ht="18.75" x14ac:dyDescent="0.4">
      <c r="C59" s="2567"/>
      <c r="D59" s="391" t="s">
        <v>754</v>
      </c>
      <c r="E59" s="340">
        <v>21.995537137392411</v>
      </c>
      <c r="F59" s="340">
        <v>22.712310730743908</v>
      </c>
      <c r="G59" s="340">
        <v>28.767123287671232</v>
      </c>
      <c r="H59" s="340">
        <v>17.953321364452425</v>
      </c>
      <c r="I59" s="340">
        <v>23.212280044926995</v>
      </c>
      <c r="J59" s="340">
        <v>22.003929273084481</v>
      </c>
      <c r="K59" s="340">
        <v>17.915309446254074</v>
      </c>
      <c r="L59" s="340">
        <v>11.784511784511785</v>
      </c>
      <c r="M59" s="340">
        <v>10.860121633362294</v>
      </c>
      <c r="N59" s="340">
        <v>14.304872597228432</v>
      </c>
      <c r="O59" s="340">
        <v>8.8044485634847085</v>
      </c>
      <c r="P59" s="340">
        <v>8.3565459610027855</v>
      </c>
      <c r="Q59" s="340">
        <v>16.995865870463941</v>
      </c>
    </row>
    <row r="60" spans="3:19" ht="18.75" x14ac:dyDescent="0.4">
      <c r="C60" s="2567"/>
      <c r="D60" s="391" t="s">
        <v>755</v>
      </c>
      <c r="E60" s="340">
        <v>41.902604756511892</v>
      </c>
      <c r="F60" s="340">
        <v>44.405997693194927</v>
      </c>
      <c r="G60" s="340">
        <v>30.231179608772969</v>
      </c>
      <c r="H60" s="340">
        <v>23.270055113288425</v>
      </c>
      <c r="I60" s="340">
        <v>28.949024543738201</v>
      </c>
      <c r="J60" s="340">
        <v>31.859557867360209</v>
      </c>
      <c r="K60" s="340">
        <v>23.458445040214475</v>
      </c>
      <c r="L60" s="340">
        <v>30.344827586206897</v>
      </c>
      <c r="M60" s="340">
        <v>19.830028328611899</v>
      </c>
      <c r="N60" s="340">
        <v>19.565217391304348</v>
      </c>
      <c r="O60" s="340">
        <v>21.625652498135718</v>
      </c>
      <c r="P60" s="340">
        <v>10.6544901065449</v>
      </c>
      <c r="Q60" s="340">
        <v>26.902382782475019</v>
      </c>
    </row>
    <row r="61" spans="3:19" ht="18.75" x14ac:dyDescent="0.4">
      <c r="C61" s="2567"/>
      <c r="D61" s="391" t="s">
        <v>756</v>
      </c>
      <c r="E61" s="340">
        <v>29.369773607995104</v>
      </c>
      <c r="F61" s="340">
        <v>33.659730722154222</v>
      </c>
      <c r="G61" s="340">
        <v>38.643371017471736</v>
      </c>
      <c r="H61" s="340">
        <v>32.264779350541211</v>
      </c>
      <c r="I61" s="340">
        <v>27.230833682446583</v>
      </c>
      <c r="J61" s="340">
        <v>27.519051651143101</v>
      </c>
      <c r="K61" s="340">
        <v>26.655202063628547</v>
      </c>
      <c r="L61" s="340">
        <v>24.16195037004789</v>
      </c>
      <c r="M61" s="340">
        <v>23.260917270133859</v>
      </c>
      <c r="N61" s="340">
        <v>18.522601984564499</v>
      </c>
      <c r="O61" s="340">
        <v>13.59786000891663</v>
      </c>
      <c r="P61" s="340">
        <v>15.227272727272727</v>
      </c>
      <c r="Q61" s="340">
        <v>19.279320633463392</v>
      </c>
    </row>
    <row r="62" spans="3:19" ht="18.75" x14ac:dyDescent="0.4">
      <c r="C62" s="2567"/>
      <c r="D62" s="391" t="s">
        <v>757</v>
      </c>
      <c r="E62" s="340">
        <v>23.123909249563702</v>
      </c>
      <c r="F62" s="340">
        <v>26.583961010190517</v>
      </c>
      <c r="G62" s="340">
        <v>20.871143375680582</v>
      </c>
      <c r="H62" s="340">
        <v>25.676937441643322</v>
      </c>
      <c r="I62" s="340">
        <v>19.626615605552896</v>
      </c>
      <c r="J62" s="340">
        <v>20.659124446630596</v>
      </c>
      <c r="K62" s="340">
        <v>20.202020202020204</v>
      </c>
      <c r="L62" s="340">
        <v>17.107309486780714</v>
      </c>
      <c r="M62" s="340">
        <v>17.469560614081523</v>
      </c>
      <c r="N62" s="340">
        <v>18.908698001080499</v>
      </c>
      <c r="O62" s="340">
        <v>14.941892639734366</v>
      </c>
      <c r="P62" s="340">
        <v>12.256267409470752</v>
      </c>
      <c r="Q62" s="340">
        <v>13.318534961154272</v>
      </c>
    </row>
    <row r="63" spans="3:19" ht="18.75" x14ac:dyDescent="0.4">
      <c r="C63" s="2567"/>
      <c r="D63" s="391" t="s">
        <v>758</v>
      </c>
      <c r="E63" s="340">
        <v>25.719307984087337</v>
      </c>
      <c r="F63" s="340">
        <v>27.386981804539484</v>
      </c>
      <c r="G63" s="340">
        <v>25.009582215408201</v>
      </c>
      <c r="H63" s="340">
        <v>23.722807362929423</v>
      </c>
      <c r="I63" s="340">
        <v>23.835864427235244</v>
      </c>
      <c r="J63" s="340">
        <v>25.482306819354175</v>
      </c>
      <c r="K63" s="340">
        <v>20.164695945945947</v>
      </c>
      <c r="L63" s="340">
        <v>20.703040759111495</v>
      </c>
      <c r="M63" s="340">
        <v>19.203335893778121</v>
      </c>
      <c r="N63" s="340">
        <v>15.146452834391358</v>
      </c>
      <c r="O63" s="340">
        <v>11.136363636363637</v>
      </c>
      <c r="P63" s="340">
        <v>8.5539244018032594</v>
      </c>
      <c r="Q63" s="340">
        <v>13.617318435754189</v>
      </c>
    </row>
    <row r="64" spans="3:19" ht="18.75" x14ac:dyDescent="0.4">
      <c r="C64" s="2567"/>
      <c r="D64" s="391" t="s">
        <v>759</v>
      </c>
      <c r="E64" s="340">
        <v>26.145482785399949</v>
      </c>
      <c r="F64" s="340">
        <v>21.461420541645378</v>
      </c>
      <c r="G64" s="340">
        <v>20.81218274111675</v>
      </c>
      <c r="H64" s="340">
        <v>22.058823529411764</v>
      </c>
      <c r="I64" s="340">
        <v>24.654088050314467</v>
      </c>
      <c r="J64" s="340">
        <v>21.564694082246739</v>
      </c>
      <c r="K64" s="340">
        <v>15.936254980079681</v>
      </c>
      <c r="L64" s="340">
        <v>16.033547113961518</v>
      </c>
      <c r="M64" s="340">
        <v>14.827418570734078</v>
      </c>
      <c r="N64" s="340">
        <v>9.5602294455066925</v>
      </c>
      <c r="O64" s="340">
        <v>11.095372993389992</v>
      </c>
      <c r="P64" s="340">
        <v>6.8752963489805596</v>
      </c>
      <c r="Q64" s="340">
        <v>10.370021211407025</v>
      </c>
    </row>
    <row r="65" spans="3:17" ht="18.75" x14ac:dyDescent="0.4">
      <c r="C65" s="2567"/>
      <c r="D65" s="391" t="s">
        <v>760</v>
      </c>
      <c r="E65" s="340">
        <v>38.54639844256976</v>
      </c>
      <c r="F65" s="340">
        <v>30.946523371746732</v>
      </c>
      <c r="G65" s="340">
        <v>36.309213951067157</v>
      </c>
      <c r="H65" s="340">
        <v>34.577964764659477</v>
      </c>
      <c r="I65" s="340">
        <v>32.100396301188901</v>
      </c>
      <c r="J65" s="340">
        <v>28.092131540407401</v>
      </c>
      <c r="K65" s="340">
        <v>25.037017095167588</v>
      </c>
      <c r="L65" s="340">
        <v>24.711473183978274</v>
      </c>
      <c r="M65" s="340">
        <v>24.413529732678668</v>
      </c>
      <c r="N65" s="340">
        <v>23.087431693989071</v>
      </c>
      <c r="O65" s="340">
        <v>12.506871907641562</v>
      </c>
      <c r="P65" s="340">
        <v>11.450914676721128</v>
      </c>
      <c r="Q65" s="340">
        <v>13.486934532171958</v>
      </c>
    </row>
    <row r="66" spans="3:17" ht="18.75" x14ac:dyDescent="0.4">
      <c r="C66" s="2567"/>
      <c r="D66" s="391" t="s">
        <v>761</v>
      </c>
      <c r="E66" s="340">
        <v>25.241124563923663</v>
      </c>
      <c r="F66" s="340">
        <v>24.821973550356052</v>
      </c>
      <c r="G66" s="340">
        <v>26.010973379394432</v>
      </c>
      <c r="H66" s="340">
        <v>23.260559069577639</v>
      </c>
      <c r="I66" s="340">
        <v>20.57445508250153</v>
      </c>
      <c r="J66" s="340">
        <v>19.379844961240309</v>
      </c>
      <c r="K66" s="340">
        <v>20.59308072487644</v>
      </c>
      <c r="L66" s="340">
        <v>17.834923268353378</v>
      </c>
      <c r="M66" s="340">
        <v>16.413879077498439</v>
      </c>
      <c r="N66" s="340">
        <v>11.63515478911282</v>
      </c>
      <c r="O66" s="340">
        <v>8.3455038597955351</v>
      </c>
      <c r="P66" s="340">
        <v>7.3746312684365778</v>
      </c>
      <c r="Q66" s="340">
        <v>9.0621707060063219</v>
      </c>
    </row>
    <row r="67" spans="3:17" ht="18.75" x14ac:dyDescent="0.4">
      <c r="C67" s="2567"/>
      <c r="D67" s="391" t="s">
        <v>762</v>
      </c>
      <c r="E67" s="340">
        <v>25.113008538422903</v>
      </c>
      <c r="F67" s="340">
        <v>30.601659751037342</v>
      </c>
      <c r="G67" s="340">
        <v>22.678185745140389</v>
      </c>
      <c r="H67" s="340">
        <v>26.613816534541336</v>
      </c>
      <c r="I67" s="340">
        <v>32.52513305736251</v>
      </c>
      <c r="J67" s="340">
        <v>21.104903786468032</v>
      </c>
      <c r="K67" s="340">
        <v>23.855577047066408</v>
      </c>
      <c r="L67" s="340">
        <v>26.684456304202801</v>
      </c>
      <c r="M67" s="340">
        <v>21.453287197231834</v>
      </c>
      <c r="N67" s="340">
        <v>19.957234497505347</v>
      </c>
      <c r="O67" s="340">
        <v>12.601927353595256</v>
      </c>
      <c r="P67" s="340">
        <v>10.518407212622089</v>
      </c>
      <c r="Q67" s="340">
        <v>15.037593984962406</v>
      </c>
    </row>
    <row r="68" spans="3:17" ht="18.75" x14ac:dyDescent="0.4">
      <c r="C68" s="2567"/>
      <c r="D68" s="391" t="s">
        <v>763</v>
      </c>
      <c r="E68" s="340">
        <v>26.227106227106226</v>
      </c>
      <c r="F68" s="340">
        <v>26.249443867714668</v>
      </c>
      <c r="G68" s="340">
        <v>27.845036319612589</v>
      </c>
      <c r="H68" s="340">
        <v>27.639751552795033</v>
      </c>
      <c r="I68" s="340">
        <v>25.035652036127399</v>
      </c>
      <c r="J68" s="340">
        <v>20.779220779220779</v>
      </c>
      <c r="K68" s="340">
        <v>23.411371237458191</v>
      </c>
      <c r="L68" s="340">
        <v>20.973010142685233</v>
      </c>
      <c r="M68" s="340">
        <v>23.956314955081908</v>
      </c>
      <c r="N68" s="340">
        <v>15.129682997118156</v>
      </c>
      <c r="O68" s="340">
        <v>14.814814814814815</v>
      </c>
      <c r="P68" s="340">
        <v>10.438413361169102</v>
      </c>
      <c r="Q68" s="340">
        <v>14.434180138568129</v>
      </c>
    </row>
    <row r="69" spans="3:17" ht="18.75" x14ac:dyDescent="0.4">
      <c r="C69" s="2567"/>
      <c r="D69" s="391" t="s">
        <v>764</v>
      </c>
      <c r="E69" s="340">
        <v>23.843248347497639</v>
      </c>
      <c r="F69" s="340">
        <v>23.781212841854934</v>
      </c>
      <c r="G69" s="340">
        <v>19.555770159343314</v>
      </c>
      <c r="H69" s="340">
        <v>15.517241379310345</v>
      </c>
      <c r="I69" s="340">
        <v>13.996500874781304</v>
      </c>
      <c r="J69" s="340">
        <v>17.820773930753564</v>
      </c>
      <c r="K69" s="340">
        <v>14.153371075656201</v>
      </c>
      <c r="L69" s="340">
        <v>14.01141670991178</v>
      </c>
      <c r="M69" s="340">
        <v>13.538141109086176</v>
      </c>
      <c r="N69" s="340">
        <v>9.6429502215272347</v>
      </c>
      <c r="O69" s="340">
        <v>7.0736180246266702</v>
      </c>
      <c r="P69" s="340">
        <v>4.4914134742404226</v>
      </c>
      <c r="Q69" s="340">
        <v>9.7522403795466541</v>
      </c>
    </row>
    <row r="70" spans="3:17" ht="18.75" x14ac:dyDescent="0.4">
      <c r="C70" s="2567"/>
      <c r="D70" s="391" t="s">
        <v>765</v>
      </c>
      <c r="E70" s="340">
        <v>16.420702556641032</v>
      </c>
      <c r="F70" s="340">
        <v>15.135365593690045</v>
      </c>
      <c r="G70" s="340">
        <v>11.022927689594356</v>
      </c>
      <c r="H70" s="340">
        <v>11.691884456671252</v>
      </c>
      <c r="I70" s="340">
        <v>9.4966761633428298</v>
      </c>
      <c r="J70" s="340">
        <v>9.6367679762787262</v>
      </c>
      <c r="K70" s="340">
        <v>10.791366906474821</v>
      </c>
      <c r="L70" s="340">
        <v>10.133333333333333</v>
      </c>
      <c r="M70" s="340">
        <v>8.8446655610834704</v>
      </c>
      <c r="N70" s="340">
        <v>6.2875107173478133</v>
      </c>
      <c r="O70" s="340">
        <v>5.6530794406426654</v>
      </c>
      <c r="P70" s="340">
        <v>5.1499545592244775</v>
      </c>
      <c r="Q70" s="340">
        <v>6.1068702290076331</v>
      </c>
    </row>
    <row r="71" spans="3:17" ht="18.75" x14ac:dyDescent="0.4">
      <c r="C71" s="2567"/>
      <c r="D71" s="391" t="s">
        <v>766</v>
      </c>
      <c r="E71" s="340">
        <v>27.491408934707902</v>
      </c>
      <c r="F71" s="340">
        <v>32.142857142857139</v>
      </c>
      <c r="G71" s="340">
        <v>24.299065420560748</v>
      </c>
      <c r="H71" s="340">
        <v>17.68172888015717</v>
      </c>
      <c r="I71" s="340">
        <v>30.991735537190085</v>
      </c>
      <c r="J71" s="340">
        <v>21.786492374727668</v>
      </c>
      <c r="K71" s="340">
        <v>24.830699774266364</v>
      </c>
      <c r="L71" s="340">
        <v>39.443155452436194</v>
      </c>
      <c r="M71" s="340">
        <v>38.186157517899765</v>
      </c>
      <c r="N71" s="340">
        <v>12.345679012345679</v>
      </c>
      <c r="O71" s="340">
        <v>25.380710659898476</v>
      </c>
      <c r="P71" s="340">
        <v>10.230179028132993</v>
      </c>
      <c r="Q71" s="340">
        <v>17.811704834605596</v>
      </c>
    </row>
    <row r="72" spans="3:17" ht="18.75" x14ac:dyDescent="0.4">
      <c r="C72" s="2567"/>
      <c r="D72" s="391" t="s">
        <v>767</v>
      </c>
      <c r="E72" s="340">
        <v>27.739251040221916</v>
      </c>
      <c r="F72" s="340">
        <v>31.029619181946405</v>
      </c>
      <c r="G72" s="340">
        <v>33.093525179856115</v>
      </c>
      <c r="H72" s="340">
        <v>41.3589364844904</v>
      </c>
      <c r="I72" s="340">
        <v>49.773755656108591</v>
      </c>
      <c r="J72" s="340">
        <v>37.151702786377705</v>
      </c>
      <c r="K72" s="340">
        <v>30.110935023771791</v>
      </c>
      <c r="L72" s="340">
        <v>25.889967637540455</v>
      </c>
      <c r="M72" s="340">
        <v>26.315789473684209</v>
      </c>
      <c r="N72" s="340">
        <v>13.311148086522463</v>
      </c>
      <c r="O72" s="340">
        <v>42.444821731748725</v>
      </c>
      <c r="P72" s="340">
        <v>24.432809773123907</v>
      </c>
      <c r="Q72" s="340">
        <v>24.822695035460995</v>
      </c>
    </row>
    <row r="73" spans="3:17" ht="18.75" x14ac:dyDescent="0.4">
      <c r="C73" s="2567"/>
      <c r="D73" s="391" t="s">
        <v>768</v>
      </c>
      <c r="E73" s="340">
        <v>23.105053191489365</v>
      </c>
      <c r="F73" s="340">
        <v>23.255813953488371</v>
      </c>
      <c r="G73" s="340">
        <v>27.266644362663097</v>
      </c>
      <c r="H73" s="340">
        <v>20.31144211238998</v>
      </c>
      <c r="I73" s="340">
        <v>22.138964577656676</v>
      </c>
      <c r="J73" s="340">
        <v>20.288858321870698</v>
      </c>
      <c r="K73" s="340">
        <v>18.583450210378682</v>
      </c>
      <c r="L73" s="340">
        <v>18.198037466547724</v>
      </c>
      <c r="M73" s="340">
        <v>16.811279826464208</v>
      </c>
      <c r="N73" s="340">
        <v>14.429223744292237</v>
      </c>
      <c r="O73" s="340">
        <v>10.38961038961039</v>
      </c>
      <c r="P73" s="340">
        <v>8.2924990576705611</v>
      </c>
      <c r="Q73" s="340">
        <v>10.986929342678538</v>
      </c>
    </row>
    <row r="74" spans="3:17" ht="18.75" x14ac:dyDescent="0.4">
      <c r="C74" s="2567"/>
      <c r="D74" s="391" t="s">
        <v>769</v>
      </c>
      <c r="E74" s="340">
        <v>29.583146571044377</v>
      </c>
      <c r="F74" s="340">
        <v>29.573590096286107</v>
      </c>
      <c r="G74" s="340">
        <v>29.084890044927878</v>
      </c>
      <c r="H74" s="340">
        <v>26.333006215243703</v>
      </c>
      <c r="I74" s="340">
        <v>27.027027027027028</v>
      </c>
      <c r="J74" s="340">
        <v>22.958289519803714</v>
      </c>
      <c r="K74" s="340">
        <v>25.617732558139537</v>
      </c>
      <c r="L74" s="340">
        <v>22.770041400075272</v>
      </c>
      <c r="M74" s="340">
        <v>21.766592167913711</v>
      </c>
      <c r="N74" s="340">
        <v>21.133814102564102</v>
      </c>
      <c r="O74" s="340">
        <v>13.604735694256933</v>
      </c>
      <c r="P74" s="340">
        <v>11.244298292139598</v>
      </c>
      <c r="Q74" s="340">
        <v>18.230563002680963</v>
      </c>
    </row>
    <row r="75" spans="3:17" ht="18.75" x14ac:dyDescent="0.4">
      <c r="C75" s="2567"/>
      <c r="D75" s="391" t="s">
        <v>770</v>
      </c>
      <c r="E75" s="340">
        <v>48.959608323133416</v>
      </c>
      <c r="F75" s="340">
        <v>40.865384615384613</v>
      </c>
      <c r="G75" s="340">
        <v>56.152927120669055</v>
      </c>
      <c r="H75" s="340">
        <v>46.208530805687204</v>
      </c>
      <c r="I75" s="340">
        <v>42.203985932004692</v>
      </c>
      <c r="J75" s="340">
        <v>32.596041909196735</v>
      </c>
      <c r="K75" s="340">
        <v>43.526785714285715</v>
      </c>
      <c r="L75" s="340">
        <v>33.155080213903744</v>
      </c>
      <c r="M75" s="340">
        <v>24.415055951169887</v>
      </c>
      <c r="N75" s="340">
        <v>28.155339805825243</v>
      </c>
      <c r="O75" s="340">
        <v>14.869888475836431</v>
      </c>
      <c r="P75" s="340">
        <v>15.843429636533086</v>
      </c>
      <c r="Q75" s="340">
        <v>12.037037037037036</v>
      </c>
    </row>
    <row r="76" spans="3:17" ht="18.75" x14ac:dyDescent="0.4">
      <c r="C76" s="2567" t="s">
        <v>329</v>
      </c>
      <c r="D76" s="391" t="s">
        <v>329</v>
      </c>
      <c r="E76" s="340">
        <v>33.892009842611081</v>
      </c>
      <c r="F76" s="340">
        <v>31.886338393187703</v>
      </c>
      <c r="G76" s="340">
        <v>33.553304210428479</v>
      </c>
      <c r="H76" s="340">
        <v>31.475748194014447</v>
      </c>
      <c r="I76" s="340">
        <v>28.704531551456402</v>
      </c>
      <c r="J76" s="340">
        <v>29.290487700838902</v>
      </c>
      <c r="K76" s="340">
        <v>28.011204481792717</v>
      </c>
      <c r="L76" s="340">
        <v>26.414378527054584</v>
      </c>
      <c r="M76" s="340">
        <v>24.60871204978314</v>
      </c>
      <c r="N76" s="340">
        <v>22.529681219033375</v>
      </c>
      <c r="O76" s="340">
        <v>17.693346370535924</v>
      </c>
      <c r="P76" s="340">
        <v>14.189728891603629</v>
      </c>
      <c r="Q76" s="340">
        <v>20.753122358906943</v>
      </c>
    </row>
    <row r="77" spans="3:17" ht="18.75" x14ac:dyDescent="0.4">
      <c r="C77" s="2567"/>
      <c r="D77" s="391" t="s">
        <v>771</v>
      </c>
      <c r="E77" s="340">
        <v>26.756311745334795</v>
      </c>
      <c r="F77" s="340">
        <v>30.61646669424907</v>
      </c>
      <c r="G77" s="340">
        <v>29.731993299832496</v>
      </c>
      <c r="H77" s="340">
        <v>26.42420798408865</v>
      </c>
      <c r="I77" s="340">
        <v>26.463397094779232</v>
      </c>
      <c r="J77" s="340">
        <v>28.204004091772614</v>
      </c>
      <c r="K77" s="340">
        <v>25.011165698972757</v>
      </c>
      <c r="L77" s="340">
        <v>25.703054127608105</v>
      </c>
      <c r="M77" s="340">
        <v>24.330527926549347</v>
      </c>
      <c r="N77" s="340">
        <v>19.310984087749112</v>
      </c>
      <c r="O77" s="340">
        <v>19.580200501253131</v>
      </c>
      <c r="P77" s="340">
        <v>14.887551472917327</v>
      </c>
      <c r="Q77" s="340">
        <v>19.800411848566451</v>
      </c>
    </row>
    <row r="78" spans="3:17" ht="18.75" x14ac:dyDescent="0.4">
      <c r="C78" s="2567"/>
      <c r="D78" s="391" t="s">
        <v>772</v>
      </c>
      <c r="E78" s="340">
        <v>27.746636771300448</v>
      </c>
      <c r="F78" s="340">
        <v>35.759184243609447</v>
      </c>
      <c r="G78" s="340">
        <v>32.398316970546986</v>
      </c>
      <c r="H78" s="340">
        <v>33.999150021249463</v>
      </c>
      <c r="I78" s="340">
        <v>30.135039090262971</v>
      </c>
      <c r="J78" s="340">
        <v>27.065731061148501</v>
      </c>
      <c r="K78" s="340">
        <v>25.87961616749055</v>
      </c>
      <c r="L78" s="340">
        <v>26.370064820271065</v>
      </c>
      <c r="M78" s="340">
        <v>24.955436720142604</v>
      </c>
      <c r="N78" s="340">
        <v>16.987974804351978</v>
      </c>
      <c r="O78" s="340">
        <v>16.766236269030642</v>
      </c>
      <c r="P78" s="340">
        <v>8.4033613445378155</v>
      </c>
      <c r="Q78" s="340">
        <v>16.428711128495991</v>
      </c>
    </row>
    <row r="79" spans="3:17" ht="18.75" x14ac:dyDescent="0.4">
      <c r="C79" s="2567"/>
      <c r="D79" s="391" t="s">
        <v>773</v>
      </c>
      <c r="E79" s="340">
        <v>25.157232704402517</v>
      </c>
      <c r="F79" s="340">
        <v>14.492753623188406</v>
      </c>
      <c r="G79" s="340">
        <v>6.1983471074380168</v>
      </c>
      <c r="H79" s="340">
        <v>2.0746887966804981</v>
      </c>
      <c r="I79" s="340">
        <v>20.66115702479339</v>
      </c>
      <c r="J79" s="340">
        <v>6.1983471074380168</v>
      </c>
      <c r="K79" s="340">
        <v>16.877637130801688</v>
      </c>
      <c r="L79" s="340">
        <v>19.230769230769234</v>
      </c>
      <c r="M79" s="340">
        <v>17.316017316017316</v>
      </c>
      <c r="N79" s="340">
        <v>13.100436681222707</v>
      </c>
      <c r="O79" s="340">
        <v>11.111111111111111</v>
      </c>
      <c r="P79" s="340">
        <v>9.0293453724604955</v>
      </c>
      <c r="Q79" s="340">
        <v>13.605442176870747</v>
      </c>
    </row>
    <row r="80" spans="3:17" ht="18.75" x14ac:dyDescent="0.4">
      <c r="C80" s="2567"/>
      <c r="D80" s="391" t="s">
        <v>774</v>
      </c>
      <c r="E80" s="340">
        <v>23.52941176470588</v>
      </c>
      <c r="F80" s="340">
        <v>18.244575936883628</v>
      </c>
      <c r="G80" s="340">
        <v>22.443890274314214</v>
      </c>
      <c r="H80" s="340">
        <v>19.308943089430894</v>
      </c>
      <c r="I80" s="340">
        <v>19.547325102880659</v>
      </c>
      <c r="J80" s="340">
        <v>15.67398119122257</v>
      </c>
      <c r="K80" s="340">
        <v>19.077901430842605</v>
      </c>
      <c r="L80" s="340">
        <v>14.47721179624665</v>
      </c>
      <c r="M80" s="340">
        <v>19.417475728155338</v>
      </c>
      <c r="N80" s="340">
        <v>13.015184381778742</v>
      </c>
      <c r="O80" s="340">
        <v>15.864332603938731</v>
      </c>
      <c r="P80" s="340">
        <v>10.989010989010989</v>
      </c>
      <c r="Q80" s="340">
        <v>9.857612267250822</v>
      </c>
    </row>
    <row r="81" spans="3:17" ht="18.75" x14ac:dyDescent="0.4">
      <c r="C81" s="2567"/>
      <c r="D81" s="391" t="s">
        <v>775</v>
      </c>
      <c r="E81" s="340">
        <v>30.054644808743166</v>
      </c>
      <c r="F81" s="340">
        <v>31.093279839518559</v>
      </c>
      <c r="G81" s="340">
        <v>27.806122448979593</v>
      </c>
      <c r="H81" s="340">
        <v>27.632950990615225</v>
      </c>
      <c r="I81" s="340">
        <v>27.82193958664547</v>
      </c>
      <c r="J81" s="340">
        <v>28.934559221200651</v>
      </c>
      <c r="K81" s="340">
        <v>26.578073089700997</v>
      </c>
      <c r="L81" s="340">
        <v>24.624964619303707</v>
      </c>
      <c r="M81" s="340">
        <v>24.502738541366387</v>
      </c>
      <c r="N81" s="340">
        <v>16.983894582723277</v>
      </c>
      <c r="O81" s="340">
        <v>19.426180514046621</v>
      </c>
      <c r="P81" s="340">
        <v>15.781487101669194</v>
      </c>
      <c r="Q81" s="340">
        <v>18.879415347137638</v>
      </c>
    </row>
    <row r="82" spans="3:17" ht="18.75" x14ac:dyDescent="0.4">
      <c r="C82" s="2567"/>
      <c r="D82" s="391" t="s">
        <v>776</v>
      </c>
      <c r="E82" s="340">
        <v>24.092297251442144</v>
      </c>
      <c r="F82" s="340">
        <v>23.192360163710777</v>
      </c>
      <c r="G82" s="340">
        <v>23.809523809523807</v>
      </c>
      <c r="H82" s="340">
        <v>25.623025623025622</v>
      </c>
      <c r="I82" s="340">
        <v>22.703086200780419</v>
      </c>
      <c r="J82" s="340">
        <v>15.489913544668587</v>
      </c>
      <c r="K82" s="340">
        <v>20.408163265306122</v>
      </c>
      <c r="L82" s="340">
        <v>18.389113644722322</v>
      </c>
      <c r="M82" s="340">
        <v>15.151515151515152</v>
      </c>
      <c r="N82" s="340">
        <v>17.771195853387635</v>
      </c>
      <c r="O82" s="340">
        <v>11.177347242921014</v>
      </c>
      <c r="P82" s="340">
        <v>11.606140022463498</v>
      </c>
      <c r="Q82" s="340">
        <v>15.275707898658718</v>
      </c>
    </row>
    <row r="83" spans="3:17" ht="18.75" x14ac:dyDescent="0.4">
      <c r="C83" s="2567"/>
      <c r="D83" s="391" t="s">
        <v>777</v>
      </c>
      <c r="E83" s="340">
        <v>29.34083601286174</v>
      </c>
      <c r="F83" s="340">
        <v>35.157810627247301</v>
      </c>
      <c r="G83" s="340">
        <v>37.244693632358825</v>
      </c>
      <c r="H83" s="340">
        <v>32.661290322580648</v>
      </c>
      <c r="I83" s="340">
        <v>28.640580879386849</v>
      </c>
      <c r="J83" s="340">
        <v>33.644102148358328</v>
      </c>
      <c r="K83" s="340">
        <v>26.87296416938111</v>
      </c>
      <c r="L83" s="340">
        <v>24.081632653061224</v>
      </c>
      <c r="M83" s="340">
        <v>21.164021164021165</v>
      </c>
      <c r="N83" s="340">
        <v>22.276225192385581</v>
      </c>
      <c r="O83" s="340">
        <v>13.360323886639677</v>
      </c>
      <c r="P83" s="340">
        <v>11.011419249592169</v>
      </c>
      <c r="Q83" s="340">
        <v>16.28001628001628</v>
      </c>
    </row>
    <row r="84" spans="3:17" ht="18.75" x14ac:dyDescent="0.4">
      <c r="C84" s="2567"/>
      <c r="D84" s="391" t="s">
        <v>778</v>
      </c>
      <c r="E84" s="340">
        <v>39.804041641151258</v>
      </c>
      <c r="F84" s="340">
        <v>43.530834340991539</v>
      </c>
      <c r="G84" s="340">
        <v>32.53012048192771</v>
      </c>
      <c r="H84" s="340">
        <v>39.180229053646777</v>
      </c>
      <c r="I84" s="340">
        <v>28.177458033573139</v>
      </c>
      <c r="J84" s="340">
        <v>25.748502994011975</v>
      </c>
      <c r="K84" s="340">
        <v>30.612244897959183</v>
      </c>
      <c r="L84" s="340">
        <v>31.793641271745653</v>
      </c>
      <c r="M84" s="340">
        <v>27.429934406678594</v>
      </c>
      <c r="N84" s="340">
        <v>24.852071005917161</v>
      </c>
      <c r="O84" s="340">
        <v>18.87905604719764</v>
      </c>
      <c r="P84" s="340">
        <v>13.772455089820358</v>
      </c>
      <c r="Q84" s="340">
        <v>21.021021021021024</v>
      </c>
    </row>
    <row r="85" spans="3:17" ht="18.75" x14ac:dyDescent="0.4">
      <c r="C85" s="2567"/>
      <c r="D85" s="391" t="s">
        <v>779</v>
      </c>
      <c r="E85" s="340">
        <v>39.918606738883234</v>
      </c>
      <c r="F85" s="340">
        <v>41.398618060519418</v>
      </c>
      <c r="G85" s="340">
        <v>42.995342171264781</v>
      </c>
      <c r="H85" s="340">
        <v>40.738957756649413</v>
      </c>
      <c r="I85" s="340">
        <v>39.852887977812614</v>
      </c>
      <c r="J85" s="340">
        <v>38.002303169889082</v>
      </c>
      <c r="K85" s="340">
        <v>39.280268374504423</v>
      </c>
      <c r="L85" s="340">
        <v>34.843845682792406</v>
      </c>
      <c r="M85" s="340">
        <v>36.175552427006181</v>
      </c>
      <c r="N85" s="340">
        <v>29.957291031116533</v>
      </c>
      <c r="O85" s="340">
        <v>19.550342130987293</v>
      </c>
      <c r="P85" s="340">
        <v>18.547045412533119</v>
      </c>
      <c r="Q85" s="340">
        <v>26.275306135007078</v>
      </c>
    </row>
    <row r="86" spans="3:17" ht="18.75" x14ac:dyDescent="0.4">
      <c r="C86" s="2567"/>
      <c r="D86" s="391" t="s">
        <v>780</v>
      </c>
      <c r="E86" s="340">
        <v>25.451559934318556</v>
      </c>
      <c r="F86" s="340">
        <v>21.505376344086024</v>
      </c>
      <c r="G86" s="340">
        <v>27.754415475189237</v>
      </c>
      <c r="H86" s="340">
        <v>26.655202063628547</v>
      </c>
      <c r="I86" s="340">
        <v>16.579406631762655</v>
      </c>
      <c r="J86" s="340">
        <v>39.180765805877115</v>
      </c>
      <c r="K86" s="340">
        <v>33.544877606527656</v>
      </c>
      <c r="L86" s="340">
        <v>45.119705340699817</v>
      </c>
      <c r="M86" s="340">
        <v>31.746031746031743</v>
      </c>
      <c r="N86" s="340">
        <v>18.885741265344663</v>
      </c>
      <c r="O86" s="340">
        <v>14.354066985645934</v>
      </c>
      <c r="P86" s="340">
        <v>17.492711370262391</v>
      </c>
      <c r="Q86" s="340">
        <v>23.300970873786408</v>
      </c>
    </row>
    <row r="87" spans="3:17" ht="18.75" x14ac:dyDescent="0.4">
      <c r="C87" s="2567"/>
      <c r="D87" s="391" t="s">
        <v>781</v>
      </c>
      <c r="E87" s="340">
        <v>30.206677265500797</v>
      </c>
      <c r="F87" s="340">
        <v>22.234273318872017</v>
      </c>
      <c r="G87" s="340">
        <v>26.875699888017916</v>
      </c>
      <c r="H87" s="340">
        <v>20.348837209302328</v>
      </c>
      <c r="I87" s="340">
        <v>37.906137184115522</v>
      </c>
      <c r="J87" s="340">
        <v>28.107432854465959</v>
      </c>
      <c r="K87" s="340">
        <v>26.905829596412559</v>
      </c>
      <c r="L87" s="340">
        <v>26.315789473684209</v>
      </c>
      <c r="M87" s="340">
        <v>32.301480484522209</v>
      </c>
      <c r="N87" s="340">
        <v>19.204389574759947</v>
      </c>
      <c r="O87" s="340">
        <v>18.271257905832748</v>
      </c>
      <c r="P87" s="340">
        <v>9.252669039145907</v>
      </c>
      <c r="Q87" s="340">
        <v>13.590844062947067</v>
      </c>
    </row>
    <row r="88" spans="3:17" ht="18.75" x14ac:dyDescent="0.4">
      <c r="C88" s="2567"/>
      <c r="D88" s="391" t="s">
        <v>782</v>
      </c>
      <c r="E88" s="340">
        <v>34.37993334502719</v>
      </c>
      <c r="F88" s="340">
        <v>37.47154613902994</v>
      </c>
      <c r="G88" s="340">
        <v>44.006336912515401</v>
      </c>
      <c r="H88" s="340">
        <v>40.184921763869134</v>
      </c>
      <c r="I88" s="340">
        <v>42.328987319164135</v>
      </c>
      <c r="J88" s="340">
        <v>37.796976241900651</v>
      </c>
      <c r="K88" s="340">
        <v>41.636230825420014</v>
      </c>
      <c r="L88" s="340">
        <v>37.543924542260037</v>
      </c>
      <c r="M88" s="340">
        <v>36.594473487677377</v>
      </c>
      <c r="N88" s="340">
        <v>31.555221637866268</v>
      </c>
      <c r="O88" s="340">
        <v>25.256361564755032</v>
      </c>
      <c r="P88" s="340">
        <v>15.463917525773196</v>
      </c>
      <c r="Q88" s="340">
        <v>23.193916349809886</v>
      </c>
    </row>
    <row r="89" spans="3:17" ht="18.75" x14ac:dyDescent="0.4">
      <c r="C89" s="2567"/>
      <c r="D89" s="391" t="s">
        <v>783</v>
      </c>
      <c r="E89" s="340">
        <v>42.499207104345075</v>
      </c>
      <c r="F89" s="340">
        <v>48.803232825613925</v>
      </c>
      <c r="G89" s="340">
        <v>63.248388087196808</v>
      </c>
      <c r="H89" s="340">
        <v>55.437100213219615</v>
      </c>
      <c r="I89" s="340">
        <v>55.037593984962406</v>
      </c>
      <c r="J89" s="340">
        <v>39.022937146261548</v>
      </c>
      <c r="K89" s="340">
        <v>50.802139037433157</v>
      </c>
      <c r="L89" s="340">
        <v>41.974578776234111</v>
      </c>
      <c r="M89" s="340">
        <v>50.11723329425557</v>
      </c>
      <c r="N89" s="340">
        <v>36.221385105766444</v>
      </c>
      <c r="O89" s="340">
        <v>31.654676258992804</v>
      </c>
      <c r="P89" s="340">
        <v>27.857553130384836</v>
      </c>
      <c r="Q89" s="340">
        <v>33.182076006806582</v>
      </c>
    </row>
    <row r="90" spans="3:17" ht="18.75" x14ac:dyDescent="0.4">
      <c r="C90" s="2567"/>
      <c r="D90" s="391" t="s">
        <v>784</v>
      </c>
      <c r="E90" s="340">
        <v>29.956427015250544</v>
      </c>
      <c r="F90" s="340">
        <v>39.473684210526315</v>
      </c>
      <c r="G90" s="340">
        <v>40.578098943857704</v>
      </c>
      <c r="H90" s="340">
        <v>47.646057855927396</v>
      </c>
      <c r="I90" s="340">
        <v>37.974683544303801</v>
      </c>
      <c r="J90" s="340">
        <v>36.278525453481571</v>
      </c>
      <c r="K90" s="340">
        <v>41.863207547169807</v>
      </c>
      <c r="L90" s="340">
        <v>27.909738717339668</v>
      </c>
      <c r="M90" s="340">
        <v>31.56640857653365</v>
      </c>
      <c r="N90" s="340">
        <v>26.801667659321026</v>
      </c>
      <c r="O90" s="340">
        <v>29.904306220095695</v>
      </c>
      <c r="P90" s="340">
        <v>11.275964391691394</v>
      </c>
      <c r="Q90" s="340">
        <v>18.044237485448196</v>
      </c>
    </row>
    <row r="91" spans="3:17" ht="18.75" x14ac:dyDescent="0.4">
      <c r="C91" s="2567"/>
      <c r="D91" s="391" t="s">
        <v>785</v>
      </c>
      <c r="E91" s="392" t="s">
        <v>786</v>
      </c>
      <c r="F91" s="392" t="s">
        <v>786</v>
      </c>
      <c r="G91" s="392" t="s">
        <v>786</v>
      </c>
      <c r="H91" s="392" t="s">
        <v>786</v>
      </c>
      <c r="I91" s="392" t="s">
        <v>786</v>
      </c>
      <c r="J91" s="392" t="s">
        <v>786</v>
      </c>
      <c r="K91" s="392" t="s">
        <v>786</v>
      </c>
      <c r="L91" s="392" t="s">
        <v>786</v>
      </c>
      <c r="M91" s="392" t="s">
        <v>786</v>
      </c>
      <c r="N91" s="340">
        <v>34.364261168384886</v>
      </c>
      <c r="O91" s="340">
        <v>23.693379790940767</v>
      </c>
      <c r="P91" s="340">
        <v>19.718309859154932</v>
      </c>
      <c r="Q91" s="340">
        <v>34.531360112755465</v>
      </c>
    </row>
    <row r="92" spans="3:17" ht="18.75" x14ac:dyDescent="0.4">
      <c r="C92" s="2567" t="s">
        <v>330</v>
      </c>
      <c r="D92" s="391" t="s">
        <v>330</v>
      </c>
      <c r="E92" s="340">
        <v>24.341085271317827</v>
      </c>
      <c r="F92" s="340">
        <v>25.336252736940882</v>
      </c>
      <c r="G92" s="340">
        <v>27.108673185467843</v>
      </c>
      <c r="H92" s="340">
        <v>24.132607459169577</v>
      </c>
      <c r="I92" s="340">
        <v>23.119478160350095</v>
      </c>
      <c r="J92" s="340">
        <v>23.923848033021649</v>
      </c>
      <c r="K92" s="340">
        <v>20.124373812402833</v>
      </c>
      <c r="L92" s="340">
        <v>18.824569155987628</v>
      </c>
      <c r="M92" s="340">
        <v>17.844268204758471</v>
      </c>
      <c r="N92" s="340">
        <v>13.198900091659029</v>
      </c>
      <c r="O92" s="340">
        <v>14.245548266166823</v>
      </c>
      <c r="P92" s="340">
        <v>9.3360007621225112</v>
      </c>
      <c r="Q92" s="340">
        <v>12.841399137517969</v>
      </c>
    </row>
    <row r="93" spans="3:17" ht="18.75" x14ac:dyDescent="0.4">
      <c r="C93" s="2567"/>
      <c r="D93" s="391" t="s">
        <v>787</v>
      </c>
      <c r="E93" s="340">
        <v>27.022024801036462</v>
      </c>
      <c r="F93" s="340">
        <v>35.333707234997192</v>
      </c>
      <c r="G93" s="340">
        <v>35.558090891804525</v>
      </c>
      <c r="H93" s="340">
        <v>39.097451857615248</v>
      </c>
      <c r="I93" s="340">
        <v>29.88323768058579</v>
      </c>
      <c r="J93" s="340">
        <v>25.262732417138238</v>
      </c>
      <c r="K93" s="340">
        <v>27.708850289495452</v>
      </c>
      <c r="L93" s="340">
        <v>20.890483224308927</v>
      </c>
      <c r="M93" s="340">
        <v>22.532188841201716</v>
      </c>
      <c r="N93" s="340">
        <v>17.631693513278186</v>
      </c>
      <c r="O93" s="340">
        <v>16.862658087419572</v>
      </c>
      <c r="P93" s="340">
        <v>14.88833746898263</v>
      </c>
      <c r="Q93" s="340">
        <v>17.930095324557424</v>
      </c>
    </row>
    <row r="94" spans="3:17" ht="18.75" x14ac:dyDescent="0.4">
      <c r="C94" s="2567"/>
      <c r="D94" s="391" t="s">
        <v>788</v>
      </c>
      <c r="E94" s="340">
        <v>26.047166490672296</v>
      </c>
      <c r="F94" s="340">
        <v>26.105362182502354</v>
      </c>
      <c r="G94" s="340">
        <v>27.441197434069849</v>
      </c>
      <c r="H94" s="340">
        <v>22.672455378678244</v>
      </c>
      <c r="I94" s="340">
        <v>25.566106647187727</v>
      </c>
      <c r="J94" s="340">
        <v>24.423337856173678</v>
      </c>
      <c r="K94" s="340">
        <v>19.026160971335585</v>
      </c>
      <c r="L94" s="340">
        <v>18.765056421960189</v>
      </c>
      <c r="M94" s="340">
        <v>20.319488817891372</v>
      </c>
      <c r="N94" s="340">
        <v>19.66580976863753</v>
      </c>
      <c r="O94" s="340">
        <v>14.154005973250229</v>
      </c>
      <c r="P94" s="340">
        <v>10.376986733219493</v>
      </c>
      <c r="Q94" s="340">
        <v>11.438338154088877</v>
      </c>
    </row>
    <row r="95" spans="3:17" ht="18.75" x14ac:dyDescent="0.4">
      <c r="C95" s="2567"/>
      <c r="D95" s="391" t="s">
        <v>789</v>
      </c>
      <c r="E95" s="340">
        <v>30.207677784770297</v>
      </c>
      <c r="F95" s="340">
        <v>33.613445378151262</v>
      </c>
      <c r="G95" s="340">
        <v>26.069518716577541</v>
      </c>
      <c r="H95" s="340">
        <v>31.337047353760443</v>
      </c>
      <c r="I95" s="340">
        <v>35.379061371841161</v>
      </c>
      <c r="J95" s="340">
        <v>34.586466165413533</v>
      </c>
      <c r="K95" s="340">
        <v>27.237354085603112</v>
      </c>
      <c r="L95" s="340">
        <v>25.723472668810288</v>
      </c>
      <c r="M95" s="340">
        <v>26.533996683250415</v>
      </c>
      <c r="N95" s="340">
        <v>32.36797274275979</v>
      </c>
      <c r="O95" s="340">
        <v>21.164021164021165</v>
      </c>
      <c r="P95" s="340">
        <v>18.066847335140018</v>
      </c>
      <c r="Q95" s="340">
        <v>27.497708524289642</v>
      </c>
    </row>
    <row r="96" spans="3:17" ht="18.75" x14ac:dyDescent="0.4">
      <c r="C96" s="2567"/>
      <c r="D96" s="391" t="s">
        <v>790</v>
      </c>
      <c r="E96" s="340">
        <v>35.249285487456341</v>
      </c>
      <c r="F96" s="340">
        <v>39.380245319561006</v>
      </c>
      <c r="G96" s="340">
        <v>40.641004460598047</v>
      </c>
      <c r="H96" s="340">
        <v>38.768916850875705</v>
      </c>
      <c r="I96" s="340">
        <v>37.778551532033426</v>
      </c>
      <c r="J96" s="340">
        <v>38.854073410922112</v>
      </c>
      <c r="K96" s="340">
        <v>32.954961552544852</v>
      </c>
      <c r="L96" s="340">
        <v>34.772854739203588</v>
      </c>
      <c r="M96" s="340">
        <v>29.808239984811088</v>
      </c>
      <c r="N96" s="340">
        <v>31.556667308062345</v>
      </c>
      <c r="O96" s="340">
        <v>26.661438933542446</v>
      </c>
      <c r="P96" s="340">
        <v>24.720893141945773</v>
      </c>
      <c r="Q96" s="340">
        <v>26.728295819935692</v>
      </c>
    </row>
    <row r="97" spans="3:17" ht="18.75" x14ac:dyDescent="0.4">
      <c r="C97" s="2567"/>
      <c r="D97" s="391" t="s">
        <v>791</v>
      </c>
      <c r="E97" s="340">
        <v>21.834061135371179</v>
      </c>
      <c r="F97" s="340">
        <v>24.590163934426229</v>
      </c>
      <c r="G97" s="340">
        <v>23.023791250959324</v>
      </c>
      <c r="H97" s="340">
        <v>19.123505976095615</v>
      </c>
      <c r="I97" s="340">
        <v>27.182866556836903</v>
      </c>
      <c r="J97" s="340">
        <v>23.057216054654141</v>
      </c>
      <c r="K97" s="340">
        <v>28.871391076115486</v>
      </c>
      <c r="L97" s="340">
        <v>15.232974910394265</v>
      </c>
      <c r="M97" s="340">
        <v>17.367458866544791</v>
      </c>
      <c r="N97" s="340">
        <v>22.388059701492537</v>
      </c>
      <c r="O97" s="340">
        <v>15.252621544327932</v>
      </c>
      <c r="P97" s="340">
        <v>12.487992315081652</v>
      </c>
      <c r="Q97" s="340">
        <v>23.969319271332694</v>
      </c>
    </row>
    <row r="98" spans="3:17" ht="18.75" x14ac:dyDescent="0.4">
      <c r="C98" s="2567"/>
      <c r="D98" s="391" t="s">
        <v>792</v>
      </c>
      <c r="E98" s="340">
        <v>28.494227462539918</v>
      </c>
      <c r="F98" s="340">
        <v>27.916251246261215</v>
      </c>
      <c r="G98" s="340">
        <v>30.063694267515924</v>
      </c>
      <c r="H98" s="340">
        <v>33.010217448257791</v>
      </c>
      <c r="I98" s="340">
        <v>31.860776439089694</v>
      </c>
      <c r="J98" s="340">
        <v>27.770140225460544</v>
      </c>
      <c r="K98" s="340">
        <v>29.042166992460206</v>
      </c>
      <c r="L98" s="340">
        <v>23.216308040770102</v>
      </c>
      <c r="M98" s="340">
        <v>20.839280616614332</v>
      </c>
      <c r="N98" s="340">
        <v>21.270480022995113</v>
      </c>
      <c r="O98" s="340">
        <v>16.269610691458453</v>
      </c>
      <c r="P98" s="340">
        <v>9.3896713615023479</v>
      </c>
      <c r="Q98" s="340">
        <v>17.008797653958943</v>
      </c>
    </row>
    <row r="99" spans="3:17" ht="18.75" x14ac:dyDescent="0.4">
      <c r="C99" s="2567"/>
      <c r="D99" s="391" t="s">
        <v>793</v>
      </c>
      <c r="E99" s="340">
        <v>25.559947299077734</v>
      </c>
      <c r="F99" s="340">
        <v>31.4498933901919</v>
      </c>
      <c r="G99" s="340">
        <v>26.90217391304348</v>
      </c>
      <c r="H99" s="340">
        <v>30.353661932609299</v>
      </c>
      <c r="I99" s="340">
        <v>21.282633371169126</v>
      </c>
      <c r="J99" s="340">
        <v>25.849549811211155</v>
      </c>
      <c r="K99" s="340">
        <v>21.52122641509434</v>
      </c>
      <c r="L99" s="340">
        <v>22.076372315035801</v>
      </c>
      <c r="M99" s="340">
        <v>20.144317498496694</v>
      </c>
      <c r="N99" s="340">
        <v>17.527954064672105</v>
      </c>
      <c r="O99" s="340">
        <v>14.342386328959414</v>
      </c>
      <c r="P99" s="340">
        <v>12.003693444136657</v>
      </c>
      <c r="Q99" s="340">
        <v>11.970534069981584</v>
      </c>
    </row>
    <row r="100" spans="3:17" ht="18.75" x14ac:dyDescent="0.4">
      <c r="C100" s="2570" t="s">
        <v>331</v>
      </c>
      <c r="D100" s="391" t="s">
        <v>331</v>
      </c>
      <c r="E100" s="340">
        <v>29.213727193744571</v>
      </c>
      <c r="F100" s="340">
        <v>31.061908856405847</v>
      </c>
      <c r="G100" s="340">
        <v>29.147021003000429</v>
      </c>
      <c r="H100" s="340">
        <v>24.919441460794843</v>
      </c>
      <c r="I100" s="340">
        <v>27.064612751390669</v>
      </c>
      <c r="J100" s="340">
        <v>22.141405497914217</v>
      </c>
      <c r="K100" s="340">
        <v>21.530842932500807</v>
      </c>
      <c r="L100" s="340">
        <v>20.095073465859983</v>
      </c>
      <c r="M100" s="340">
        <v>20.079887725358954</v>
      </c>
      <c r="N100" s="340">
        <v>17.745751774575179</v>
      </c>
      <c r="O100" s="340">
        <v>12.058570198105082</v>
      </c>
      <c r="P100" s="340">
        <v>10.00652599521427</v>
      </c>
      <c r="Q100" s="340">
        <v>14.253073659014253</v>
      </c>
    </row>
    <row r="101" spans="3:17" ht="18.75" x14ac:dyDescent="0.4">
      <c r="C101" s="2570"/>
      <c r="D101" s="391" t="s">
        <v>794</v>
      </c>
      <c r="E101" s="340">
        <v>24.691358024691358</v>
      </c>
      <c r="F101" s="340">
        <v>24.191014765944079</v>
      </c>
      <c r="G101" s="340">
        <v>27.306967984934087</v>
      </c>
      <c r="H101" s="340">
        <v>19.539867633154742</v>
      </c>
      <c r="I101" s="340">
        <v>18.26771653543307</v>
      </c>
      <c r="J101" s="340">
        <v>18.945374171139882</v>
      </c>
      <c r="K101" s="340">
        <v>16.134134767478646</v>
      </c>
      <c r="L101" s="340">
        <v>19.924098671726757</v>
      </c>
      <c r="M101" s="340">
        <v>16.367642429965379</v>
      </c>
      <c r="N101" s="340">
        <v>14.35705368289638</v>
      </c>
      <c r="O101" s="340">
        <v>10.886469673405911</v>
      </c>
      <c r="P101" s="340">
        <v>7.1852546079350201</v>
      </c>
      <c r="Q101" s="340">
        <v>9.0090090090090094</v>
      </c>
    </row>
    <row r="102" spans="3:17" ht="18.75" x14ac:dyDescent="0.4">
      <c r="C102" s="2570"/>
      <c r="D102" s="391" t="s">
        <v>795</v>
      </c>
      <c r="E102" s="340">
        <v>19.2489744398864</v>
      </c>
      <c r="F102" s="340">
        <v>20.24035420619861</v>
      </c>
      <c r="G102" s="340">
        <v>22.64030612244898</v>
      </c>
      <c r="H102" s="340">
        <v>15.8422243776269</v>
      </c>
      <c r="I102" s="340">
        <v>18.252933507170795</v>
      </c>
      <c r="J102" s="340">
        <v>12.520593080724877</v>
      </c>
      <c r="K102" s="340">
        <v>14.588859416445624</v>
      </c>
      <c r="L102" s="340">
        <v>14.299966744263386</v>
      </c>
      <c r="M102" s="340">
        <v>13.280212483399735</v>
      </c>
      <c r="N102" s="340">
        <v>10.258107213765717</v>
      </c>
      <c r="O102" s="340">
        <v>8.2726671078755789</v>
      </c>
      <c r="P102" s="340">
        <v>5.3103219382675073</v>
      </c>
      <c r="Q102" s="340">
        <v>9.5520421607378125</v>
      </c>
    </row>
    <row r="103" spans="3:17" ht="18.75" x14ac:dyDescent="0.4">
      <c r="C103" s="2570"/>
      <c r="D103" s="391" t="s">
        <v>796</v>
      </c>
      <c r="E103" s="340">
        <v>24.350115169463638</v>
      </c>
      <c r="F103" s="340">
        <v>23.007128969539856</v>
      </c>
      <c r="G103" s="340">
        <v>26.705276705276706</v>
      </c>
      <c r="H103" s="340">
        <v>22.13666987487969</v>
      </c>
      <c r="I103" s="340">
        <v>21.621621621621621</v>
      </c>
      <c r="J103" s="340">
        <v>21.518987341772153</v>
      </c>
      <c r="K103" s="340">
        <v>22.364217252396166</v>
      </c>
      <c r="L103" s="340">
        <v>16.08234158893535</v>
      </c>
      <c r="M103" s="340">
        <v>18.041237113402062</v>
      </c>
      <c r="N103" s="340">
        <v>15.453960077269802</v>
      </c>
      <c r="O103" s="340">
        <v>10.665804783451842</v>
      </c>
      <c r="P103" s="340">
        <v>7.2083879423328971</v>
      </c>
      <c r="Q103" s="340">
        <v>13.82488479262673</v>
      </c>
    </row>
    <row r="104" spans="3:17" ht="18.75" x14ac:dyDescent="0.4">
      <c r="C104" s="2570"/>
      <c r="D104" s="391" t="s">
        <v>797</v>
      </c>
      <c r="E104" s="340">
        <v>26.769626769626768</v>
      </c>
      <c r="F104" s="340">
        <v>26.004119464469618</v>
      </c>
      <c r="G104" s="340">
        <v>26.725480020757654</v>
      </c>
      <c r="H104" s="340">
        <v>25.512887953708574</v>
      </c>
      <c r="I104" s="340">
        <v>27.556968733439319</v>
      </c>
      <c r="J104" s="340">
        <v>21.173948003216296</v>
      </c>
      <c r="K104" s="340">
        <v>21.827000808407437</v>
      </c>
      <c r="L104" s="340">
        <v>18.638573743922205</v>
      </c>
      <c r="M104" s="340">
        <v>17.520215633423181</v>
      </c>
      <c r="N104" s="340">
        <v>15.82618025751073</v>
      </c>
      <c r="O104" s="340">
        <v>8.3132207026012335</v>
      </c>
      <c r="P104" s="340">
        <v>7.8272604588394064</v>
      </c>
      <c r="Q104" s="340">
        <v>11.559139784946236</v>
      </c>
    </row>
    <row r="105" spans="3:17" ht="18.75" x14ac:dyDescent="0.4">
      <c r="C105" s="2570"/>
      <c r="D105" s="391" t="s">
        <v>798</v>
      </c>
      <c r="E105" s="340">
        <v>19.975031210986266</v>
      </c>
      <c r="F105" s="340">
        <v>21.370207416719044</v>
      </c>
      <c r="G105" s="340">
        <v>29.318036966220522</v>
      </c>
      <c r="H105" s="340">
        <v>23.376623376623378</v>
      </c>
      <c r="I105" s="340">
        <v>20.394736842105264</v>
      </c>
      <c r="J105" s="340">
        <v>20.066889632107024</v>
      </c>
      <c r="K105" s="340">
        <v>22.282241728561782</v>
      </c>
      <c r="L105" s="340">
        <v>14.965986394557822</v>
      </c>
      <c r="M105" s="340">
        <v>18.379850238257315</v>
      </c>
      <c r="N105" s="340">
        <v>12.244897959183673</v>
      </c>
      <c r="O105" s="340">
        <v>6.8306010928961749</v>
      </c>
      <c r="P105" s="340">
        <v>8.2023239917976767</v>
      </c>
      <c r="Q105" s="340">
        <v>9.4850948509485082</v>
      </c>
    </row>
    <row r="106" spans="3:17" ht="18.75" x14ac:dyDescent="0.4">
      <c r="C106" s="2570"/>
      <c r="D106" s="391" t="s">
        <v>799</v>
      </c>
      <c r="E106" s="340">
        <v>19.586507072905331</v>
      </c>
      <c r="F106" s="340">
        <v>18.671059857221309</v>
      </c>
      <c r="G106" s="340">
        <v>16.741071428571427</v>
      </c>
      <c r="H106" s="340">
        <v>15.981735159817351</v>
      </c>
      <c r="I106" s="340">
        <v>16.222479721900346</v>
      </c>
      <c r="J106" s="340">
        <v>15.966883500887048</v>
      </c>
      <c r="K106" s="340">
        <v>12.620192307692308</v>
      </c>
      <c r="L106" s="340">
        <v>15.843997562461912</v>
      </c>
      <c r="M106" s="340">
        <v>14.742014742014742</v>
      </c>
      <c r="N106" s="340">
        <v>14.833127317676144</v>
      </c>
      <c r="O106" s="340">
        <v>7.5</v>
      </c>
      <c r="P106" s="340">
        <v>6.2853551225644253</v>
      </c>
      <c r="Q106" s="340">
        <v>7.5140889167188476</v>
      </c>
    </row>
    <row r="107" spans="3:17" ht="18.75" x14ac:dyDescent="0.4">
      <c r="C107" s="2570"/>
      <c r="D107" s="391" t="s">
        <v>800</v>
      </c>
      <c r="E107" s="340">
        <v>32.089063523248193</v>
      </c>
      <c r="F107" s="340">
        <v>31.511254019292604</v>
      </c>
      <c r="G107" s="340">
        <v>23.551877784850412</v>
      </c>
      <c r="H107" s="340">
        <v>18.331226295828067</v>
      </c>
      <c r="I107" s="340">
        <v>18.147684605757195</v>
      </c>
      <c r="J107" s="340">
        <v>22.967101179391683</v>
      </c>
      <c r="K107" s="340">
        <v>12.322858903265557</v>
      </c>
      <c r="L107" s="340">
        <v>13.998782714546561</v>
      </c>
      <c r="M107" s="340">
        <v>12.582384661473936</v>
      </c>
      <c r="N107" s="340">
        <v>6.4667842445620218</v>
      </c>
      <c r="O107" s="340">
        <v>4.0579710144927539</v>
      </c>
      <c r="P107" s="340">
        <v>5.78368999421631</v>
      </c>
      <c r="Q107" s="340">
        <v>7.4285714285714288</v>
      </c>
    </row>
    <row r="108" spans="3:17" ht="18.75" x14ac:dyDescent="0.4">
      <c r="C108" s="2570"/>
      <c r="D108" s="391" t="s">
        <v>801</v>
      </c>
      <c r="E108" s="340">
        <v>22.421524663677129</v>
      </c>
      <c r="F108" s="340">
        <v>20.874751491053676</v>
      </c>
      <c r="G108" s="340">
        <v>20.459081836327346</v>
      </c>
      <c r="H108" s="340">
        <v>16.145307769929364</v>
      </c>
      <c r="I108" s="340">
        <v>17.206477732793523</v>
      </c>
      <c r="J108" s="340">
        <v>17.848036715961243</v>
      </c>
      <c r="K108" s="340">
        <v>14.894709809964048</v>
      </c>
      <c r="L108" s="340">
        <v>13.917525773195877</v>
      </c>
      <c r="M108" s="340">
        <v>12.873326467559219</v>
      </c>
      <c r="N108" s="340">
        <v>16.410256410256409</v>
      </c>
      <c r="O108" s="340">
        <v>10.780287474332649</v>
      </c>
      <c r="P108" s="340">
        <v>6.2532569046378317</v>
      </c>
      <c r="Q108" s="340">
        <v>6.2893081761006293</v>
      </c>
    </row>
    <row r="109" spans="3:17" ht="18.75" x14ac:dyDescent="0.4">
      <c r="C109" s="2570"/>
      <c r="D109" s="391" t="s">
        <v>802</v>
      </c>
      <c r="E109" s="340">
        <v>44.183949504057715</v>
      </c>
      <c r="F109" s="340">
        <v>42.016806722689076</v>
      </c>
      <c r="G109" s="340">
        <v>43.514997887621462</v>
      </c>
      <c r="H109" s="340">
        <v>34.558722291064299</v>
      </c>
      <c r="I109" s="340">
        <v>40.974825923942149</v>
      </c>
      <c r="J109" s="340">
        <v>29.819513471095998</v>
      </c>
      <c r="K109" s="340">
        <v>30.322580645161292</v>
      </c>
      <c r="L109" s="340">
        <v>26.67005334010668</v>
      </c>
      <c r="M109" s="340">
        <v>25.513378967019293</v>
      </c>
      <c r="N109" s="340">
        <v>22.879396373372277</v>
      </c>
      <c r="O109" s="340">
        <v>16.620829845749135</v>
      </c>
      <c r="P109" s="340">
        <v>14.52058082323293</v>
      </c>
      <c r="Q109" s="340">
        <v>20.989862850327967</v>
      </c>
    </row>
    <row r="110" spans="3:17" ht="18.75" x14ac:dyDescent="0.4">
      <c r="C110" s="2570" t="s">
        <v>332</v>
      </c>
      <c r="D110" s="391" t="s">
        <v>803</v>
      </c>
      <c r="E110" s="340">
        <v>49.311499813918871</v>
      </c>
      <c r="F110" s="340">
        <v>52.875695732838587</v>
      </c>
      <c r="G110" s="340">
        <v>51.798024967393332</v>
      </c>
      <c r="H110" s="340">
        <v>48.908954100827692</v>
      </c>
      <c r="I110" s="340">
        <v>44.931093071549931</v>
      </c>
      <c r="J110" s="340">
        <v>42.395437262357412</v>
      </c>
      <c r="K110" s="340">
        <v>46.029051122429728</v>
      </c>
      <c r="L110" s="340">
        <v>37.528005974607922</v>
      </c>
      <c r="M110" s="340">
        <v>38.044477118176808</v>
      </c>
      <c r="N110" s="340">
        <v>31.074977416440831</v>
      </c>
      <c r="O110" s="340">
        <v>24.051309460181724</v>
      </c>
      <c r="P110" s="340">
        <v>18.448862618663799</v>
      </c>
      <c r="Q110" s="340">
        <v>24.607703281027103</v>
      </c>
    </row>
    <row r="111" spans="3:17" ht="18.75" x14ac:dyDescent="0.4">
      <c r="C111" s="2570"/>
      <c r="D111" s="391" t="s">
        <v>804</v>
      </c>
      <c r="E111" s="340">
        <v>37.000973709834469</v>
      </c>
      <c r="F111" s="340">
        <v>42.73084479371316</v>
      </c>
      <c r="G111" s="340">
        <v>44.444444444444443</v>
      </c>
      <c r="H111" s="340">
        <v>35.696073431922485</v>
      </c>
      <c r="I111" s="340">
        <v>31.622602384655259</v>
      </c>
      <c r="J111" s="340">
        <v>38.30911492734478</v>
      </c>
      <c r="K111" s="340">
        <v>36.582109479305743</v>
      </c>
      <c r="L111" s="340">
        <v>35.781544256120526</v>
      </c>
      <c r="M111" s="340">
        <v>29.173419773095624</v>
      </c>
      <c r="N111" s="340">
        <v>26.493646931603138</v>
      </c>
      <c r="O111" s="340">
        <v>23.65415986949429</v>
      </c>
      <c r="P111" s="340">
        <v>17.543859649122805</v>
      </c>
      <c r="Q111" s="340">
        <v>25.164113785557987</v>
      </c>
    </row>
    <row r="112" spans="3:17" ht="18.75" x14ac:dyDescent="0.4">
      <c r="C112" s="2570"/>
      <c r="D112" s="391" t="s">
        <v>805</v>
      </c>
      <c r="E112" s="340">
        <v>32.876064333017979</v>
      </c>
      <c r="F112" s="340">
        <v>33.890436397400187</v>
      </c>
      <c r="G112" s="340">
        <v>41.542345650677071</v>
      </c>
      <c r="H112" s="340">
        <v>45.827633378932966</v>
      </c>
      <c r="I112" s="340">
        <v>36.445444319460073</v>
      </c>
      <c r="J112" s="340">
        <v>33.482142857142854</v>
      </c>
      <c r="K112" s="340">
        <v>33.890845070422536</v>
      </c>
      <c r="L112" s="340">
        <v>31.547104580812444</v>
      </c>
      <c r="M112" s="340">
        <v>29.349662162162161</v>
      </c>
      <c r="N112" s="340">
        <v>24.304840370751801</v>
      </c>
      <c r="O112" s="340">
        <v>19.774011299435031</v>
      </c>
      <c r="P112" s="340">
        <v>14.025245441795231</v>
      </c>
      <c r="Q112" s="340">
        <v>25.009846396218983</v>
      </c>
    </row>
    <row r="113" spans="3:17" ht="18.75" x14ac:dyDescent="0.4">
      <c r="C113" s="2570"/>
      <c r="D113" s="391" t="s">
        <v>806</v>
      </c>
      <c r="E113" s="340">
        <v>33.070866141732282</v>
      </c>
      <c r="F113" s="340">
        <v>38.120104438642301</v>
      </c>
      <c r="G113" s="340">
        <v>35.060177917320772</v>
      </c>
      <c r="H113" s="340">
        <v>32.172995780590718</v>
      </c>
      <c r="I113" s="340">
        <v>43.294614572333685</v>
      </c>
      <c r="J113" s="340">
        <v>35.562632696390658</v>
      </c>
      <c r="K113" s="340">
        <v>29.676735559088499</v>
      </c>
      <c r="L113" s="340">
        <v>23.771790808240887</v>
      </c>
      <c r="M113" s="340">
        <v>29.858564693556836</v>
      </c>
      <c r="N113" s="340">
        <v>22.279792746113991</v>
      </c>
      <c r="O113" s="340">
        <v>20.59732234809475</v>
      </c>
      <c r="P113" s="340">
        <v>15.9547092125579</v>
      </c>
      <c r="Q113" s="340">
        <v>17.338092809790925</v>
      </c>
    </row>
    <row r="114" spans="3:17" ht="18.75" x14ac:dyDescent="0.4">
      <c r="C114" s="2570"/>
      <c r="D114" s="391" t="s">
        <v>807</v>
      </c>
      <c r="E114" s="340">
        <v>47.449967721110397</v>
      </c>
      <c r="F114" s="340">
        <v>50.80385852090032</v>
      </c>
      <c r="G114" s="340">
        <v>45.836023240800515</v>
      </c>
      <c r="H114" s="340">
        <v>50.488599348534201</v>
      </c>
      <c r="I114" s="340">
        <v>42.810457516339866</v>
      </c>
      <c r="J114" s="340">
        <v>50.328947368421048</v>
      </c>
      <c r="K114" s="340">
        <v>39.044853178444662</v>
      </c>
      <c r="L114" s="340">
        <v>33.796588755527473</v>
      </c>
      <c r="M114" s="340">
        <v>31.019656019656018</v>
      </c>
      <c r="N114" s="340">
        <v>32.248432367871004</v>
      </c>
      <c r="O114" s="340">
        <v>22.727272727272727</v>
      </c>
      <c r="P114" s="340">
        <v>13.560300057703405</v>
      </c>
      <c r="Q114" s="340">
        <v>22.373265363919568</v>
      </c>
    </row>
    <row r="115" spans="3:17" ht="18.75" x14ac:dyDescent="0.4">
      <c r="C115" s="2570"/>
      <c r="D115" s="391" t="s">
        <v>808</v>
      </c>
      <c r="E115" s="340">
        <v>40.468583599574018</v>
      </c>
      <c r="F115" s="340">
        <v>44.138418079096049</v>
      </c>
      <c r="G115" s="340">
        <v>44.554455445544555</v>
      </c>
      <c r="H115" s="340">
        <v>39.857651245551601</v>
      </c>
      <c r="I115" s="340">
        <v>31.316725978647689</v>
      </c>
      <c r="J115" s="340">
        <v>39.671193709792711</v>
      </c>
      <c r="K115" s="340">
        <v>34.967555875991344</v>
      </c>
      <c r="L115" s="340">
        <v>30.819434372733863</v>
      </c>
      <c r="M115" s="340">
        <v>23.247366509262623</v>
      </c>
      <c r="N115" s="340">
        <v>21.044992743105951</v>
      </c>
      <c r="O115" s="340">
        <v>17.115804806991989</v>
      </c>
      <c r="P115" s="340">
        <v>13.22556943423953</v>
      </c>
      <c r="Q115" s="340">
        <v>15.012815818381545</v>
      </c>
    </row>
    <row r="116" spans="3:17" ht="18.75" x14ac:dyDescent="0.4">
      <c r="C116" s="2570"/>
      <c r="D116" s="391" t="s">
        <v>809</v>
      </c>
      <c r="E116" s="340">
        <v>33.459255261737724</v>
      </c>
      <c r="F116" s="340">
        <v>34.577387486278816</v>
      </c>
      <c r="G116" s="340">
        <v>34.909909909909906</v>
      </c>
      <c r="H116" s="340">
        <v>31.884057971014492</v>
      </c>
      <c r="I116" s="340">
        <v>32.679738562091508</v>
      </c>
      <c r="J116" s="340">
        <v>31.211750305997555</v>
      </c>
      <c r="K116" s="340">
        <v>31.894934333958723</v>
      </c>
      <c r="L116" s="340">
        <v>23.596938775510203</v>
      </c>
      <c r="M116" s="340">
        <v>30.499675535366645</v>
      </c>
      <c r="N116" s="340">
        <v>24.358130348913758</v>
      </c>
      <c r="O116" s="340">
        <v>26.827632461435279</v>
      </c>
      <c r="P116" s="340">
        <v>14.814814814814815</v>
      </c>
      <c r="Q116" s="340">
        <v>22.712090848363395</v>
      </c>
    </row>
    <row r="117" spans="3:17" ht="18.75" x14ac:dyDescent="0.4">
      <c r="C117" s="2570"/>
      <c r="D117" s="391" t="s">
        <v>810</v>
      </c>
      <c r="E117" s="340">
        <v>21.829521829521831</v>
      </c>
      <c r="F117" s="340">
        <v>24.071166928309786</v>
      </c>
      <c r="G117" s="340">
        <v>30.190677966101696</v>
      </c>
      <c r="H117" s="340">
        <v>32.866379310344826</v>
      </c>
      <c r="I117" s="340">
        <v>23.446019629225734</v>
      </c>
      <c r="J117" s="340">
        <v>21.075984470327231</v>
      </c>
      <c r="K117" s="340">
        <v>19.340159271899886</v>
      </c>
      <c r="L117" s="340">
        <v>25.043680838672103</v>
      </c>
      <c r="M117" s="340">
        <v>20.214030915576696</v>
      </c>
      <c r="N117" s="340">
        <v>16.333938294010888</v>
      </c>
      <c r="O117" s="340">
        <v>8.6633663366336648</v>
      </c>
      <c r="P117" s="340">
        <v>13.836477987421384</v>
      </c>
      <c r="Q117" s="340">
        <v>15.842839036755388</v>
      </c>
    </row>
    <row r="118" spans="3:17" ht="18.75" x14ac:dyDescent="0.4">
      <c r="C118" s="2570"/>
      <c r="D118" s="391" t="s">
        <v>811</v>
      </c>
      <c r="E118" s="340">
        <v>31.645569620253166</v>
      </c>
      <c r="F118" s="340">
        <v>19.571295433364398</v>
      </c>
      <c r="G118" s="340">
        <v>31.037827352085355</v>
      </c>
      <c r="H118" s="340">
        <v>28.368794326241133</v>
      </c>
      <c r="I118" s="340">
        <v>24.261603375527425</v>
      </c>
      <c r="J118" s="340">
        <v>27.654867256637168</v>
      </c>
      <c r="K118" s="340">
        <v>27.459954233409608</v>
      </c>
      <c r="L118" s="340">
        <v>37.825059101654844</v>
      </c>
      <c r="M118" s="340">
        <v>25.609756097560975</v>
      </c>
      <c r="N118" s="340">
        <v>20.100502512562816</v>
      </c>
      <c r="O118" s="340">
        <v>6.4935064935064943</v>
      </c>
      <c r="P118" s="340">
        <v>9.0673575129533663</v>
      </c>
      <c r="Q118" s="340">
        <v>15.384615384615385</v>
      </c>
    </row>
    <row r="119" spans="3:17" ht="18.75" x14ac:dyDescent="0.4">
      <c r="C119" s="2570"/>
      <c r="D119" s="391" t="s">
        <v>812</v>
      </c>
      <c r="E119" s="340">
        <v>43.806104129263908</v>
      </c>
      <c r="F119" s="340">
        <v>36.408624955814773</v>
      </c>
      <c r="G119" s="340">
        <v>38.569424964936886</v>
      </c>
      <c r="H119" s="340">
        <v>32.867132867132867</v>
      </c>
      <c r="I119" s="340">
        <v>42.619542619542621</v>
      </c>
      <c r="J119" s="340">
        <v>36.551724137931032</v>
      </c>
      <c r="K119" s="340">
        <v>35.738831615120276</v>
      </c>
      <c r="L119" s="340">
        <v>38.987688098495212</v>
      </c>
      <c r="M119" s="340">
        <v>24.027072758037228</v>
      </c>
      <c r="N119" s="340">
        <v>22.058823529411764</v>
      </c>
      <c r="O119" s="340">
        <v>20.225464190981434</v>
      </c>
      <c r="P119" s="340">
        <v>18.635607321131445</v>
      </c>
      <c r="Q119" s="340">
        <v>19.517036056897119</v>
      </c>
    </row>
    <row r="120" spans="3:17" ht="18.75" x14ac:dyDescent="0.4">
      <c r="C120" s="2570"/>
      <c r="D120" s="391" t="s">
        <v>813</v>
      </c>
      <c r="E120" s="340">
        <v>20.107238605898122</v>
      </c>
      <c r="F120" s="340">
        <v>16.574585635359114</v>
      </c>
      <c r="G120" s="340">
        <v>37.089871611982886</v>
      </c>
      <c r="H120" s="340">
        <v>25.33532041728763</v>
      </c>
      <c r="I120" s="340">
        <v>38.639876352395675</v>
      </c>
      <c r="J120" s="340">
        <v>30.595813204508858</v>
      </c>
      <c r="K120" s="340">
        <v>35.058430717863104</v>
      </c>
      <c r="L120" s="340">
        <v>25.906735751295336</v>
      </c>
      <c r="M120" s="340">
        <v>26.785714285714285</v>
      </c>
      <c r="N120" s="340">
        <v>14.732965009208103</v>
      </c>
      <c r="O120" s="340">
        <v>17.208413001912046</v>
      </c>
      <c r="P120" s="340">
        <v>7.7220077220077226</v>
      </c>
      <c r="Q120" s="340">
        <v>11.560693641618496</v>
      </c>
    </row>
    <row r="121" spans="3:17" ht="18.75" x14ac:dyDescent="0.4">
      <c r="C121" s="2567" t="s">
        <v>533</v>
      </c>
      <c r="D121" s="391" t="s">
        <v>533</v>
      </c>
      <c r="E121" s="340">
        <v>34.936070592472539</v>
      </c>
      <c r="F121" s="340">
        <v>43.317390127244835</v>
      </c>
      <c r="G121" s="340">
        <v>40.805173513070407</v>
      </c>
      <c r="H121" s="340">
        <v>38.457982804844228</v>
      </c>
      <c r="I121" s="340">
        <v>40.111940298507463</v>
      </c>
      <c r="J121" s="340">
        <v>36.270898271465008</v>
      </c>
      <c r="K121" s="340">
        <v>34.985143295312952</v>
      </c>
      <c r="L121" s="340">
        <v>33.575934012615235</v>
      </c>
      <c r="M121" s="340">
        <v>35.525543159130947</v>
      </c>
      <c r="N121" s="340">
        <v>31.090121999212908</v>
      </c>
      <c r="O121" s="340">
        <v>24.741653418124006</v>
      </c>
      <c r="P121" s="340">
        <v>20.369063224765554</v>
      </c>
      <c r="Q121" s="340">
        <v>26.072329688814129</v>
      </c>
    </row>
    <row r="122" spans="3:17" ht="18.75" x14ac:dyDescent="0.4">
      <c r="C122" s="2567"/>
      <c r="D122" s="391" t="s">
        <v>814</v>
      </c>
      <c r="E122" s="340">
        <v>29.43548387096774</v>
      </c>
      <c r="F122" s="340">
        <v>37.534571315685504</v>
      </c>
      <c r="G122" s="340">
        <v>33.515198752922835</v>
      </c>
      <c r="H122" s="340">
        <v>28.22892498066512</v>
      </c>
      <c r="I122" s="340">
        <v>27.068242470453679</v>
      </c>
      <c r="J122" s="340">
        <v>24.915062287655722</v>
      </c>
      <c r="K122" s="340">
        <v>23.4375</v>
      </c>
      <c r="L122" s="340">
        <v>23.026315789473681</v>
      </c>
      <c r="M122" s="340">
        <v>17.14898177920686</v>
      </c>
      <c r="N122" s="340">
        <v>15.690376569037657</v>
      </c>
      <c r="O122" s="340">
        <v>11.961722488038278</v>
      </c>
      <c r="P122" s="340">
        <v>12.649572649572651</v>
      </c>
      <c r="Q122" s="340">
        <v>16.943409013893593</v>
      </c>
    </row>
    <row r="123" spans="3:17" ht="18.75" x14ac:dyDescent="0.4">
      <c r="C123" s="2567"/>
      <c r="D123" s="391" t="s">
        <v>815</v>
      </c>
      <c r="E123" s="340">
        <v>38.326300984528835</v>
      </c>
      <c r="F123" s="340">
        <v>39.487539487539493</v>
      </c>
      <c r="G123" s="340">
        <v>42.335508908096671</v>
      </c>
      <c r="H123" s="340">
        <v>34.212401995723454</v>
      </c>
      <c r="I123" s="340">
        <v>35.60565396314189</v>
      </c>
      <c r="J123" s="340">
        <v>33.717994951316264</v>
      </c>
      <c r="K123" s="340">
        <v>32.027818448023424</v>
      </c>
      <c r="L123" s="340">
        <v>29.831387808041505</v>
      </c>
      <c r="M123" s="340">
        <v>28.421839940164549</v>
      </c>
      <c r="N123" s="340">
        <v>20.66892145809846</v>
      </c>
      <c r="O123" s="340">
        <v>13.685611100551226</v>
      </c>
      <c r="P123" s="340">
        <v>17.131857555341675</v>
      </c>
      <c r="Q123" s="340">
        <v>20.274184205445067</v>
      </c>
    </row>
    <row r="124" spans="3:17" ht="18.75" x14ac:dyDescent="0.4">
      <c r="C124" s="2567"/>
      <c r="D124" s="391" t="s">
        <v>816</v>
      </c>
      <c r="E124" s="340">
        <v>27.312775330396477</v>
      </c>
      <c r="F124" s="340">
        <v>31.41831238779174</v>
      </c>
      <c r="G124" s="340">
        <v>32.287822878228781</v>
      </c>
      <c r="H124" s="340">
        <v>25.763358778625957</v>
      </c>
      <c r="I124" s="340">
        <v>26.470588235294116</v>
      </c>
      <c r="J124" s="340">
        <v>18.218623481781375</v>
      </c>
      <c r="K124" s="340">
        <v>26.804123711340203</v>
      </c>
      <c r="L124" s="340">
        <v>27.28226652675761</v>
      </c>
      <c r="M124" s="340">
        <v>30.883919062832799</v>
      </c>
      <c r="N124" s="340">
        <v>16.129032258064516</v>
      </c>
      <c r="O124" s="340">
        <v>9.8146128680479823</v>
      </c>
      <c r="P124" s="340">
        <v>15.538290788013319</v>
      </c>
      <c r="Q124" s="340">
        <v>26.875699888017916</v>
      </c>
    </row>
    <row r="125" spans="3:17" ht="18.75" x14ac:dyDescent="0.4">
      <c r="C125" s="2567"/>
      <c r="D125" s="391" t="s">
        <v>817</v>
      </c>
      <c r="E125" s="340">
        <v>44.613194114855247</v>
      </c>
      <c r="F125" s="340">
        <v>57.411764705882348</v>
      </c>
      <c r="G125" s="340">
        <v>57.465850211964202</v>
      </c>
      <c r="H125" s="340">
        <v>47.844623401231644</v>
      </c>
      <c r="I125" s="340">
        <v>49.692380501656409</v>
      </c>
      <c r="J125" s="340">
        <v>51.257712387280499</v>
      </c>
      <c r="K125" s="340">
        <v>36.423841059602651</v>
      </c>
      <c r="L125" s="340">
        <v>42.293233082706763</v>
      </c>
      <c r="M125" s="340">
        <v>35.68118628359592</v>
      </c>
      <c r="N125" s="340">
        <v>26.003649635036496</v>
      </c>
      <c r="O125" s="340">
        <v>23.024830699774267</v>
      </c>
      <c r="P125" s="340">
        <v>18.281535648994517</v>
      </c>
      <c r="Q125" s="340">
        <v>30.719853278312701</v>
      </c>
    </row>
    <row r="126" spans="3:17" ht="18.75" x14ac:dyDescent="0.4">
      <c r="C126" s="2567"/>
      <c r="D126" s="391" t="s">
        <v>818</v>
      </c>
      <c r="E126" s="340">
        <v>46.102263202011741</v>
      </c>
      <c r="F126" s="340">
        <v>53.186998733642888</v>
      </c>
      <c r="G126" s="340">
        <v>47.98628963153385</v>
      </c>
      <c r="H126" s="340">
        <v>51.13636363636364</v>
      </c>
      <c r="I126" s="340">
        <v>46.98581560283688</v>
      </c>
      <c r="J126" s="340">
        <v>35.198555956678703</v>
      </c>
      <c r="K126" s="340">
        <v>37.752808988764045</v>
      </c>
      <c r="L126" s="340">
        <v>39.732142857142854</v>
      </c>
      <c r="M126" s="340">
        <v>36.660777385159008</v>
      </c>
      <c r="N126" s="340">
        <v>25.685676969960817</v>
      </c>
      <c r="O126" s="340">
        <v>20.26735661923243</v>
      </c>
      <c r="P126" s="340">
        <v>16.824849007765316</v>
      </c>
      <c r="Q126" s="340">
        <v>24.796921761436511</v>
      </c>
    </row>
    <row r="127" spans="3:17" ht="18.75" x14ac:dyDescent="0.4">
      <c r="C127" s="2567"/>
      <c r="D127" s="391" t="s">
        <v>819</v>
      </c>
      <c r="E127" s="340">
        <v>38.547624968913205</v>
      </c>
      <c r="F127" s="340">
        <v>44.295966344964121</v>
      </c>
      <c r="G127" s="340">
        <v>49.913086665011171</v>
      </c>
      <c r="H127" s="340">
        <v>39.549436795994993</v>
      </c>
      <c r="I127" s="340">
        <v>32.36327145007526</v>
      </c>
      <c r="J127" s="340">
        <v>43.917213528520946</v>
      </c>
      <c r="K127" s="340">
        <v>36.312849162011176</v>
      </c>
      <c r="L127" s="340">
        <v>35.159235668789812</v>
      </c>
      <c r="M127" s="340">
        <v>28.775146422205246</v>
      </c>
      <c r="N127" s="340">
        <v>19.523326572008116</v>
      </c>
      <c r="O127" s="340">
        <v>14.970819588936818</v>
      </c>
      <c r="P127" s="340">
        <v>14.403292181069959</v>
      </c>
      <c r="Q127" s="340">
        <v>21.602787456445995</v>
      </c>
    </row>
    <row r="128" spans="3:17" ht="18.75" x14ac:dyDescent="0.4">
      <c r="C128" s="2567"/>
      <c r="D128" s="391" t="s">
        <v>820</v>
      </c>
      <c r="E128" s="340">
        <v>27.565654684298753</v>
      </c>
      <c r="F128" s="340">
        <v>33.781261664800297</v>
      </c>
      <c r="G128" s="340">
        <v>41.65881244109331</v>
      </c>
      <c r="H128" s="340">
        <v>33.875598086124398</v>
      </c>
      <c r="I128" s="340">
        <v>39.590575511780607</v>
      </c>
      <c r="J128" s="340">
        <v>33.841940532081381</v>
      </c>
      <c r="K128" s="340">
        <v>31.771566458877945</v>
      </c>
      <c r="L128" s="340">
        <v>31.35313531353135</v>
      </c>
      <c r="M128" s="340">
        <v>28.698037560666808</v>
      </c>
      <c r="N128" s="340">
        <v>30.133448127421438</v>
      </c>
      <c r="O128" s="340">
        <v>20.97130242825607</v>
      </c>
      <c r="P128" s="340">
        <v>18.476791347453808</v>
      </c>
      <c r="Q128" s="340">
        <v>21.620391442876652</v>
      </c>
    </row>
    <row r="129" spans="3:17" ht="18.75" x14ac:dyDescent="0.4">
      <c r="C129" s="2567"/>
      <c r="D129" s="391" t="s">
        <v>821</v>
      </c>
      <c r="E129" s="340">
        <v>40.273037542662117</v>
      </c>
      <c r="F129" s="340">
        <v>45.671438309475121</v>
      </c>
      <c r="G129" s="340">
        <v>44.642857142857146</v>
      </c>
      <c r="H129" s="340">
        <v>46.527777777777779</v>
      </c>
      <c r="I129" s="340">
        <v>37.011173184357546</v>
      </c>
      <c r="J129" s="340">
        <v>45.133991537376588</v>
      </c>
      <c r="K129" s="340">
        <v>30.747728860936409</v>
      </c>
      <c r="L129" s="340">
        <v>38.00967519004837</v>
      </c>
      <c r="M129" s="340">
        <v>38.095238095238102</v>
      </c>
      <c r="N129" s="340">
        <v>30.060120240480959</v>
      </c>
      <c r="O129" s="340">
        <v>26.350461133069828</v>
      </c>
      <c r="P129" s="340">
        <v>21.220159151193634</v>
      </c>
      <c r="Q129" s="340">
        <v>25.115664243225382</v>
      </c>
    </row>
    <row r="130" spans="3:17" ht="18.75" x14ac:dyDescent="0.4">
      <c r="C130" s="2567"/>
      <c r="D130" s="391" t="s">
        <v>822</v>
      </c>
      <c r="E130" s="340">
        <v>43.693499784761087</v>
      </c>
      <c r="F130" s="340">
        <v>44.174135723431498</v>
      </c>
      <c r="G130" s="340">
        <v>40.698913275090561</v>
      </c>
      <c r="H130" s="340">
        <v>42.352941176470587</v>
      </c>
      <c r="I130" s="340">
        <v>41.844577284372335</v>
      </c>
      <c r="J130" s="340">
        <v>36.142001710863987</v>
      </c>
      <c r="K130" s="340">
        <v>33.052495139338951</v>
      </c>
      <c r="L130" s="340">
        <v>31.991294885745376</v>
      </c>
      <c r="M130" s="340">
        <v>25.523560209424083</v>
      </c>
      <c r="N130" s="340">
        <v>21.383373336242634</v>
      </c>
      <c r="O130" s="340">
        <v>17.763157894736842</v>
      </c>
      <c r="P130" s="340">
        <v>12.016021361815755</v>
      </c>
      <c r="Q130" s="340">
        <v>24.362986142154671</v>
      </c>
    </row>
    <row r="131" spans="3:17" ht="18.75" x14ac:dyDescent="0.4">
      <c r="C131" s="2567"/>
      <c r="D131" s="391" t="s">
        <v>823</v>
      </c>
      <c r="E131" s="340">
        <v>46.747967479674791</v>
      </c>
      <c r="F131" s="340">
        <v>53.617571059431526</v>
      </c>
      <c r="G131" s="340">
        <v>46.019900497512438</v>
      </c>
      <c r="H131" s="340">
        <v>48.192771084337352</v>
      </c>
      <c r="I131" s="340">
        <v>44.160371876815802</v>
      </c>
      <c r="J131" s="340">
        <v>40.54054054054054</v>
      </c>
      <c r="K131" s="340">
        <v>41.554236373448461</v>
      </c>
      <c r="L131" s="340">
        <v>37.1708828084667</v>
      </c>
      <c r="M131" s="340">
        <v>28.529267092966059</v>
      </c>
      <c r="N131" s="340">
        <v>26.241799437675724</v>
      </c>
      <c r="O131" s="340">
        <v>22.461814914645103</v>
      </c>
      <c r="P131" s="340">
        <v>14.228546020453535</v>
      </c>
      <c r="Q131" s="340">
        <v>23.123909249563702</v>
      </c>
    </row>
    <row r="132" spans="3:17" ht="18.75" x14ac:dyDescent="0.4">
      <c r="C132" s="2567"/>
      <c r="D132" s="391" t="s">
        <v>824</v>
      </c>
      <c r="E132" s="391"/>
      <c r="F132" s="391"/>
      <c r="G132" s="391"/>
      <c r="H132" s="391"/>
      <c r="I132" s="391"/>
      <c r="J132" s="391"/>
      <c r="K132" s="391"/>
      <c r="L132" s="391"/>
      <c r="M132" s="391"/>
      <c r="N132" s="391"/>
      <c r="O132" s="391"/>
      <c r="P132" s="391"/>
      <c r="Q132" s="340">
        <v>16.393442622950822</v>
      </c>
    </row>
    <row r="133" spans="3:17" ht="18.75" x14ac:dyDescent="0.4">
      <c r="C133" s="2567"/>
      <c r="D133" s="391" t="s">
        <v>825</v>
      </c>
      <c r="E133" s="391"/>
      <c r="F133" s="391"/>
      <c r="G133" s="391"/>
      <c r="H133" s="391"/>
      <c r="I133" s="391"/>
      <c r="J133" s="391"/>
      <c r="K133" s="391"/>
      <c r="L133" s="391"/>
      <c r="M133" s="391"/>
      <c r="N133" s="391"/>
      <c r="O133" s="391"/>
      <c r="P133" s="391"/>
      <c r="Q133" s="340">
        <v>16.898608349900599</v>
      </c>
    </row>
    <row r="134" spans="3:17" ht="18.75" x14ac:dyDescent="0.4">
      <c r="C134" s="2567" t="s">
        <v>334</v>
      </c>
      <c r="D134" s="391" t="s">
        <v>334</v>
      </c>
      <c r="E134" s="340">
        <v>49.084858569051576</v>
      </c>
      <c r="F134" s="340">
        <v>50.35446205170976</v>
      </c>
      <c r="G134" s="340">
        <v>58.643925036849865</v>
      </c>
      <c r="H134" s="340">
        <v>53.120991876870455</v>
      </c>
      <c r="I134" s="340">
        <v>53.290183387270766</v>
      </c>
      <c r="J134" s="340">
        <v>50.27322404371585</v>
      </c>
      <c r="K134" s="340">
        <v>42.820598376153931</v>
      </c>
      <c r="L134" s="340">
        <v>42.903917805125886</v>
      </c>
      <c r="M134" s="340">
        <v>37.442922374429223</v>
      </c>
      <c r="N134" s="340">
        <v>35.447117044539077</v>
      </c>
      <c r="O134" s="340">
        <v>23.08768656716418</v>
      </c>
      <c r="P134" s="340">
        <v>24.448419797257007</v>
      </c>
      <c r="Q134" s="340">
        <v>28.012557353296305</v>
      </c>
    </row>
    <row r="135" spans="3:17" ht="18.75" x14ac:dyDescent="0.4">
      <c r="C135" s="2567"/>
      <c r="D135" s="391" t="s">
        <v>826</v>
      </c>
      <c r="E135" s="340">
        <v>43.681227075691901</v>
      </c>
      <c r="F135" s="340">
        <v>44.996697490092465</v>
      </c>
      <c r="G135" s="340">
        <v>42.654808959156782</v>
      </c>
      <c r="H135" s="340">
        <v>41.869683706334136</v>
      </c>
      <c r="I135" s="340">
        <v>44.272547728768927</v>
      </c>
      <c r="J135" s="340">
        <v>41.65294698715838</v>
      </c>
      <c r="K135" s="340">
        <v>35.224078055233996</v>
      </c>
      <c r="L135" s="340">
        <v>34.040086135497766</v>
      </c>
      <c r="M135" s="340">
        <v>28.658738024446645</v>
      </c>
      <c r="N135" s="340">
        <v>22.174770039421812</v>
      </c>
      <c r="O135" s="340">
        <v>14.932720708893994</v>
      </c>
      <c r="P135" s="340">
        <v>13.498964803312628</v>
      </c>
      <c r="Q135" s="340">
        <v>19.862616899776544</v>
      </c>
    </row>
    <row r="136" spans="3:17" ht="18.75" x14ac:dyDescent="0.4">
      <c r="C136" s="2567"/>
      <c r="D136" s="391" t="s">
        <v>827</v>
      </c>
      <c r="E136" s="340">
        <v>37.24308453098439</v>
      </c>
      <c r="F136" s="340">
        <v>45.334575376494328</v>
      </c>
      <c r="G136" s="340">
        <v>44.332652098726619</v>
      </c>
      <c r="H136" s="340">
        <v>40.626999360204728</v>
      </c>
      <c r="I136" s="340">
        <v>41.275493687277432</v>
      </c>
      <c r="J136" s="340">
        <v>37.152720697024492</v>
      </c>
      <c r="K136" s="340">
        <v>35.894843276036397</v>
      </c>
      <c r="L136" s="340">
        <v>31.918564527260177</v>
      </c>
      <c r="M136" s="340">
        <v>29.748283752860413</v>
      </c>
      <c r="N136" s="340">
        <v>20.777359842378647</v>
      </c>
      <c r="O136" s="340">
        <v>17.402454662026013</v>
      </c>
      <c r="P136" s="340">
        <v>19.582245430809401</v>
      </c>
      <c r="Q136" s="340">
        <v>21.2406015037594</v>
      </c>
    </row>
    <row r="137" spans="3:17" ht="18.75" x14ac:dyDescent="0.4">
      <c r="C137" s="2567"/>
      <c r="D137" s="391" t="s">
        <v>828</v>
      </c>
      <c r="E137" s="340">
        <v>53.571428571428569</v>
      </c>
      <c r="F137" s="340">
        <v>51.457975986277873</v>
      </c>
      <c r="G137" s="340">
        <v>61.357074109720884</v>
      </c>
      <c r="H137" s="340">
        <v>63.242986210175935</v>
      </c>
      <c r="I137" s="340">
        <v>49.964977819285551</v>
      </c>
      <c r="J137" s="340">
        <v>54.788213627992633</v>
      </c>
      <c r="K137" s="340">
        <v>56.066176470588239</v>
      </c>
      <c r="L137" s="340">
        <v>49.839963420210331</v>
      </c>
      <c r="M137" s="340">
        <v>38.966923425464429</v>
      </c>
      <c r="N137" s="340">
        <v>31.326918773774892</v>
      </c>
      <c r="O137" s="340">
        <v>28</v>
      </c>
      <c r="P137" s="340">
        <v>29.093369418132614</v>
      </c>
      <c r="Q137" s="340">
        <v>32.64565858082068</v>
      </c>
    </row>
    <row r="138" spans="3:17" ht="18.75" x14ac:dyDescent="0.4">
      <c r="C138" s="2567"/>
      <c r="D138" s="391" t="s">
        <v>829</v>
      </c>
      <c r="E138" s="340">
        <v>43.958423559982677</v>
      </c>
      <c r="F138" s="340">
        <v>53.139061495607457</v>
      </c>
      <c r="G138" s="340">
        <v>52.530429212043558</v>
      </c>
      <c r="H138" s="340">
        <v>41.729081960196872</v>
      </c>
      <c r="I138" s="340">
        <v>48.806479113384484</v>
      </c>
      <c r="J138" s="340">
        <v>40.894568690095845</v>
      </c>
      <c r="K138" s="340">
        <v>39.354838709677416</v>
      </c>
      <c r="L138" s="340">
        <v>36.804503139207618</v>
      </c>
      <c r="M138" s="340">
        <v>31.72533681008257</v>
      </c>
      <c r="N138" s="340">
        <v>26.298630732449467</v>
      </c>
      <c r="O138" s="340">
        <v>22.717343818261249</v>
      </c>
      <c r="P138" s="340">
        <v>23.029229406554471</v>
      </c>
      <c r="Q138" s="340">
        <v>27.543314082629944</v>
      </c>
    </row>
    <row r="139" spans="3:17" ht="18.75" x14ac:dyDescent="0.4">
      <c r="C139" s="2568"/>
      <c r="D139" s="395" t="s">
        <v>830</v>
      </c>
      <c r="E139" s="397">
        <v>44.135930377123913</v>
      </c>
      <c r="F139" s="397">
        <v>41.581319131503477</v>
      </c>
      <c r="G139" s="397">
        <v>46.122448979591837</v>
      </c>
      <c r="H139" s="397">
        <v>40.678659035159441</v>
      </c>
      <c r="I139" s="397">
        <v>36.004882017900734</v>
      </c>
      <c r="J139" s="397">
        <v>36.796096767635696</v>
      </c>
      <c r="K139" s="397">
        <v>31.103882903029071</v>
      </c>
      <c r="L139" s="397">
        <v>28.797404177651593</v>
      </c>
      <c r="M139" s="397">
        <v>23.771152296535053</v>
      </c>
      <c r="N139" s="397">
        <v>15.363128491620111</v>
      </c>
      <c r="O139" s="397">
        <v>16.081000595592617</v>
      </c>
      <c r="P139" s="397">
        <v>16.520700636942674</v>
      </c>
      <c r="Q139" s="397">
        <v>17.588932806324109</v>
      </c>
    </row>
    <row r="140" spans="3:17" ht="18.75" x14ac:dyDescent="0.4">
      <c r="C140" s="5" t="s">
        <v>831</v>
      </c>
      <c r="D140" s="5"/>
      <c r="E140" s="5"/>
      <c r="F140" s="5"/>
      <c r="G140" s="5"/>
      <c r="H140" s="5"/>
      <c r="I140" s="5"/>
      <c r="J140" s="5"/>
      <c r="K140" s="5"/>
      <c r="L140" s="5"/>
      <c r="M140" s="5"/>
      <c r="N140" s="5"/>
      <c r="O140" s="5"/>
      <c r="P140" s="5"/>
    </row>
  </sheetData>
  <mergeCells count="24">
    <mergeCell ref="A6:B6"/>
    <mergeCell ref="C6:Z6"/>
    <mergeCell ref="C11:C12"/>
    <mergeCell ref="D11:D12"/>
    <mergeCell ref="E11:F11"/>
    <mergeCell ref="H11:Q11"/>
    <mergeCell ref="S11:T11"/>
    <mergeCell ref="V11:W11"/>
    <mergeCell ref="Y11:AE11"/>
    <mergeCell ref="A5:B5"/>
    <mergeCell ref="C5:Z5"/>
    <mergeCell ref="C1:D1"/>
    <mergeCell ref="A3:B3"/>
    <mergeCell ref="C3:Z3"/>
    <mergeCell ref="A4:B4"/>
    <mergeCell ref="C4:Z4"/>
    <mergeCell ref="Y13:AE27"/>
    <mergeCell ref="C134:C139"/>
    <mergeCell ref="C56:C75"/>
    <mergeCell ref="C76:C91"/>
    <mergeCell ref="C92:C99"/>
    <mergeCell ref="C100:C109"/>
    <mergeCell ref="C110:C120"/>
    <mergeCell ref="C121:C133"/>
  </mergeCells>
  <conditionalFormatting sqref="E56:P56">
    <cfRule type="cellIs" dxfId="496" priority="84" operator="equal">
      <formula>0</formula>
    </cfRule>
  </conditionalFormatting>
  <conditionalFormatting sqref="E57:P57">
    <cfRule type="cellIs" dxfId="495" priority="83" operator="equal">
      <formula>0</formula>
    </cfRule>
  </conditionalFormatting>
  <conditionalFormatting sqref="E58:P58">
    <cfRule type="cellIs" dxfId="494" priority="82" operator="equal">
      <formula>0</formula>
    </cfRule>
  </conditionalFormatting>
  <conditionalFormatting sqref="E59:P59">
    <cfRule type="cellIs" dxfId="493" priority="81" operator="equal">
      <formula>0</formula>
    </cfRule>
  </conditionalFormatting>
  <conditionalFormatting sqref="E60:P60">
    <cfRule type="cellIs" dxfId="492" priority="80" operator="equal">
      <formula>0</formula>
    </cfRule>
  </conditionalFormatting>
  <conditionalFormatting sqref="E61:P61">
    <cfRule type="cellIs" dxfId="491" priority="79" operator="equal">
      <formula>0</formula>
    </cfRule>
  </conditionalFormatting>
  <conditionalFormatting sqref="E62:P62">
    <cfRule type="cellIs" dxfId="490" priority="78" operator="equal">
      <formula>0</formula>
    </cfRule>
  </conditionalFormatting>
  <conditionalFormatting sqref="E63:P63">
    <cfRule type="cellIs" dxfId="489" priority="77" operator="equal">
      <formula>0</formula>
    </cfRule>
  </conditionalFormatting>
  <conditionalFormatting sqref="E64:P64">
    <cfRule type="cellIs" dxfId="488" priority="76" operator="equal">
      <formula>0</formula>
    </cfRule>
  </conditionalFormatting>
  <conditionalFormatting sqref="E65:P65">
    <cfRule type="cellIs" dxfId="487" priority="75" operator="equal">
      <formula>0</formula>
    </cfRule>
  </conditionalFormatting>
  <conditionalFormatting sqref="E66:P66">
    <cfRule type="cellIs" dxfId="486" priority="74" operator="equal">
      <formula>0</formula>
    </cfRule>
  </conditionalFormatting>
  <conditionalFormatting sqref="E67:P67">
    <cfRule type="cellIs" dxfId="485" priority="73" operator="equal">
      <formula>0</formula>
    </cfRule>
  </conditionalFormatting>
  <conditionalFormatting sqref="E68:P68">
    <cfRule type="cellIs" dxfId="484" priority="72" operator="equal">
      <formula>0</formula>
    </cfRule>
  </conditionalFormatting>
  <conditionalFormatting sqref="E69:P69">
    <cfRule type="cellIs" dxfId="483" priority="71" operator="equal">
      <formula>0</formula>
    </cfRule>
  </conditionalFormatting>
  <conditionalFormatting sqref="E70:P70">
    <cfRule type="cellIs" dxfId="482" priority="70" operator="equal">
      <formula>0</formula>
    </cfRule>
  </conditionalFormatting>
  <conditionalFormatting sqref="E71:P71">
    <cfRule type="cellIs" dxfId="481" priority="69" operator="equal">
      <formula>0</formula>
    </cfRule>
  </conditionalFormatting>
  <conditionalFormatting sqref="E72:P72">
    <cfRule type="cellIs" dxfId="480" priority="68" operator="equal">
      <formula>0</formula>
    </cfRule>
  </conditionalFormatting>
  <conditionalFormatting sqref="E73:P73">
    <cfRule type="cellIs" dxfId="479" priority="67" operator="equal">
      <formula>0</formula>
    </cfRule>
  </conditionalFormatting>
  <conditionalFormatting sqref="E74:P74">
    <cfRule type="cellIs" dxfId="478" priority="66" operator="equal">
      <formula>0</formula>
    </cfRule>
  </conditionalFormatting>
  <conditionalFormatting sqref="E75:P75">
    <cfRule type="cellIs" dxfId="477" priority="65" operator="equal">
      <formula>0</formula>
    </cfRule>
  </conditionalFormatting>
  <conditionalFormatting sqref="E76:P76">
    <cfRule type="cellIs" dxfId="476" priority="64" operator="equal">
      <formula>0</formula>
    </cfRule>
  </conditionalFormatting>
  <conditionalFormatting sqref="E77:P77">
    <cfRule type="cellIs" dxfId="475" priority="63" operator="equal">
      <formula>0</formula>
    </cfRule>
  </conditionalFormatting>
  <conditionalFormatting sqref="E78:P78">
    <cfRule type="cellIs" dxfId="474" priority="62" operator="equal">
      <formula>0</formula>
    </cfRule>
  </conditionalFormatting>
  <conditionalFormatting sqref="E79:P79">
    <cfRule type="cellIs" dxfId="473" priority="61" operator="equal">
      <formula>0</formula>
    </cfRule>
  </conditionalFormatting>
  <conditionalFormatting sqref="E80:P80">
    <cfRule type="cellIs" dxfId="472" priority="60" operator="equal">
      <formula>0</formula>
    </cfRule>
  </conditionalFormatting>
  <conditionalFormatting sqref="E81:P81">
    <cfRule type="cellIs" dxfId="471" priority="59" operator="equal">
      <formula>0</formula>
    </cfRule>
  </conditionalFormatting>
  <conditionalFormatting sqref="E82:P82">
    <cfRule type="cellIs" dxfId="470" priority="58" operator="equal">
      <formula>0</formula>
    </cfRule>
  </conditionalFormatting>
  <conditionalFormatting sqref="E83:P83">
    <cfRule type="cellIs" dxfId="469" priority="57" operator="equal">
      <formula>0</formula>
    </cfRule>
  </conditionalFormatting>
  <conditionalFormatting sqref="E84:P84">
    <cfRule type="cellIs" dxfId="468" priority="56" operator="equal">
      <formula>0</formula>
    </cfRule>
  </conditionalFormatting>
  <conditionalFormatting sqref="E85:P85">
    <cfRule type="cellIs" dxfId="467" priority="55" operator="equal">
      <formula>0</formula>
    </cfRule>
  </conditionalFormatting>
  <conditionalFormatting sqref="E86:P86">
    <cfRule type="cellIs" dxfId="466" priority="54" operator="equal">
      <formula>0</formula>
    </cfRule>
  </conditionalFormatting>
  <conditionalFormatting sqref="E87:P87">
    <cfRule type="cellIs" dxfId="465" priority="53" operator="equal">
      <formula>0</formula>
    </cfRule>
  </conditionalFormatting>
  <conditionalFormatting sqref="E88:P88">
    <cfRule type="cellIs" dxfId="464" priority="52" operator="equal">
      <formula>0</formula>
    </cfRule>
  </conditionalFormatting>
  <conditionalFormatting sqref="E89:P89">
    <cfRule type="cellIs" dxfId="463" priority="51" operator="equal">
      <formula>0</formula>
    </cfRule>
  </conditionalFormatting>
  <conditionalFormatting sqref="E90:P90">
    <cfRule type="cellIs" dxfId="462" priority="50" operator="equal">
      <formula>0</formula>
    </cfRule>
  </conditionalFormatting>
  <conditionalFormatting sqref="E91:P91">
    <cfRule type="cellIs" dxfId="461" priority="49" operator="equal">
      <formula>0</formula>
    </cfRule>
  </conditionalFormatting>
  <conditionalFormatting sqref="E92:P92">
    <cfRule type="cellIs" dxfId="460" priority="48" operator="equal">
      <formula>0</formula>
    </cfRule>
  </conditionalFormatting>
  <conditionalFormatting sqref="E93:P93">
    <cfRule type="cellIs" dxfId="459" priority="47" operator="equal">
      <formula>0</formula>
    </cfRule>
  </conditionalFormatting>
  <conditionalFormatting sqref="E94:P94">
    <cfRule type="cellIs" dxfId="458" priority="46" operator="equal">
      <formula>0</formula>
    </cfRule>
  </conditionalFormatting>
  <conditionalFormatting sqref="E95:P95">
    <cfRule type="cellIs" dxfId="457" priority="45" operator="equal">
      <formula>0</formula>
    </cfRule>
  </conditionalFormatting>
  <conditionalFormatting sqref="E96:P96">
    <cfRule type="cellIs" dxfId="456" priority="44" operator="equal">
      <formula>0</formula>
    </cfRule>
  </conditionalFormatting>
  <conditionalFormatting sqref="E97:P97">
    <cfRule type="cellIs" dxfId="455" priority="43" operator="equal">
      <formula>0</formula>
    </cfRule>
  </conditionalFormatting>
  <conditionalFormatting sqref="E98:P98">
    <cfRule type="cellIs" dxfId="454" priority="42" operator="equal">
      <formula>0</formula>
    </cfRule>
  </conditionalFormatting>
  <conditionalFormatting sqref="E99:P99">
    <cfRule type="cellIs" dxfId="453" priority="41" operator="equal">
      <formula>0</formula>
    </cfRule>
  </conditionalFormatting>
  <conditionalFormatting sqref="E100:P100">
    <cfRule type="cellIs" dxfId="452" priority="40" operator="equal">
      <formula>0</formula>
    </cfRule>
  </conditionalFormatting>
  <conditionalFormatting sqref="E101:P101">
    <cfRule type="cellIs" dxfId="451" priority="39" operator="equal">
      <formula>0</formula>
    </cfRule>
  </conditionalFormatting>
  <conditionalFormatting sqref="E102:P102">
    <cfRule type="cellIs" dxfId="450" priority="38" operator="equal">
      <formula>0</formula>
    </cfRule>
  </conditionalFormatting>
  <conditionalFormatting sqref="E103:P103">
    <cfRule type="cellIs" dxfId="449" priority="37" operator="equal">
      <formula>0</formula>
    </cfRule>
  </conditionalFormatting>
  <conditionalFormatting sqref="E104:P104">
    <cfRule type="cellIs" dxfId="448" priority="36" operator="equal">
      <formula>0</formula>
    </cfRule>
  </conditionalFormatting>
  <conditionalFormatting sqref="E105:P105">
    <cfRule type="cellIs" dxfId="447" priority="35" operator="equal">
      <formula>0</formula>
    </cfRule>
  </conditionalFormatting>
  <conditionalFormatting sqref="E106:P106">
    <cfRule type="cellIs" dxfId="446" priority="34" operator="equal">
      <formula>0</formula>
    </cfRule>
  </conditionalFormatting>
  <conditionalFormatting sqref="E107:P107">
    <cfRule type="cellIs" dxfId="445" priority="33" operator="equal">
      <formula>0</formula>
    </cfRule>
  </conditionalFormatting>
  <conditionalFormatting sqref="E108:P108">
    <cfRule type="cellIs" dxfId="444" priority="32" operator="equal">
      <formula>0</formula>
    </cfRule>
  </conditionalFormatting>
  <conditionalFormatting sqref="E109:P109">
    <cfRule type="cellIs" dxfId="443" priority="31" operator="equal">
      <formula>0</formula>
    </cfRule>
  </conditionalFormatting>
  <conditionalFormatting sqref="E110:P110">
    <cfRule type="cellIs" dxfId="442" priority="30" operator="equal">
      <formula>0</formula>
    </cfRule>
  </conditionalFormatting>
  <conditionalFormatting sqref="E111:P111">
    <cfRule type="cellIs" dxfId="441" priority="29" operator="equal">
      <formula>0</formula>
    </cfRule>
  </conditionalFormatting>
  <conditionalFormatting sqref="E112:P112">
    <cfRule type="cellIs" dxfId="440" priority="28" operator="equal">
      <formula>0</formula>
    </cfRule>
  </conditionalFormatting>
  <conditionalFormatting sqref="E113:P113">
    <cfRule type="cellIs" dxfId="439" priority="27" operator="equal">
      <formula>0</formula>
    </cfRule>
  </conditionalFormatting>
  <conditionalFormatting sqref="E114:P114">
    <cfRule type="cellIs" dxfId="438" priority="26" operator="equal">
      <formula>0</formula>
    </cfRule>
  </conditionalFormatting>
  <conditionalFormatting sqref="E115:P115">
    <cfRule type="cellIs" dxfId="437" priority="25" operator="equal">
      <formula>0</formula>
    </cfRule>
  </conditionalFormatting>
  <conditionalFormatting sqref="E116:P116">
    <cfRule type="cellIs" dxfId="436" priority="24" operator="equal">
      <formula>0</formula>
    </cfRule>
  </conditionalFormatting>
  <conditionalFormatting sqref="E117:P117">
    <cfRule type="cellIs" dxfId="435" priority="23" operator="equal">
      <formula>0</formula>
    </cfRule>
  </conditionalFormatting>
  <conditionalFormatting sqref="E118:P118">
    <cfRule type="cellIs" dxfId="434" priority="22" operator="equal">
      <formula>0</formula>
    </cfRule>
  </conditionalFormatting>
  <conditionalFormatting sqref="E119:P119">
    <cfRule type="cellIs" dxfId="433" priority="21" operator="equal">
      <formula>0</formula>
    </cfRule>
  </conditionalFormatting>
  <conditionalFormatting sqref="E120:P120">
    <cfRule type="cellIs" dxfId="432" priority="20" operator="equal">
      <formula>0</formula>
    </cfRule>
  </conditionalFormatting>
  <conditionalFormatting sqref="E121:P121">
    <cfRule type="cellIs" dxfId="431" priority="19" operator="equal">
      <formula>0</formula>
    </cfRule>
  </conditionalFormatting>
  <conditionalFormatting sqref="E122:P122">
    <cfRule type="cellIs" dxfId="430" priority="18" operator="equal">
      <formula>0</formula>
    </cfRule>
  </conditionalFormatting>
  <conditionalFormatting sqref="E123:P123">
    <cfRule type="cellIs" dxfId="429" priority="17" operator="equal">
      <formula>0</formula>
    </cfRule>
  </conditionalFormatting>
  <conditionalFormatting sqref="E124:P124">
    <cfRule type="cellIs" dxfId="428" priority="16" operator="equal">
      <formula>0</formula>
    </cfRule>
  </conditionalFormatting>
  <conditionalFormatting sqref="E125:P125">
    <cfRule type="cellIs" dxfId="427" priority="15" operator="equal">
      <formula>0</formula>
    </cfRule>
  </conditionalFormatting>
  <conditionalFormatting sqref="E126:P126">
    <cfRule type="cellIs" dxfId="426" priority="14" operator="equal">
      <formula>0</formula>
    </cfRule>
  </conditionalFormatting>
  <conditionalFormatting sqref="E127:P127">
    <cfRule type="cellIs" dxfId="425" priority="13" operator="equal">
      <formula>0</formula>
    </cfRule>
  </conditionalFormatting>
  <conditionalFormatting sqref="E128:P128">
    <cfRule type="cellIs" dxfId="424" priority="12" operator="equal">
      <formula>0</formula>
    </cfRule>
  </conditionalFormatting>
  <conditionalFormatting sqref="E129:P129">
    <cfRule type="cellIs" dxfId="423" priority="11" operator="equal">
      <formula>0</formula>
    </cfRule>
  </conditionalFormatting>
  <conditionalFormatting sqref="E130:P130">
    <cfRule type="cellIs" dxfId="422" priority="10" operator="equal">
      <formula>0</formula>
    </cfRule>
  </conditionalFormatting>
  <conditionalFormatting sqref="E131:P131">
    <cfRule type="cellIs" dxfId="421" priority="9" operator="equal">
      <formula>0</formula>
    </cfRule>
  </conditionalFormatting>
  <conditionalFormatting sqref="E134:P134">
    <cfRule type="cellIs" dxfId="420" priority="8" operator="equal">
      <formula>0</formula>
    </cfRule>
  </conditionalFormatting>
  <conditionalFormatting sqref="E135:P135">
    <cfRule type="cellIs" dxfId="419" priority="7" operator="equal">
      <formula>0</formula>
    </cfRule>
  </conditionalFormatting>
  <conditionalFormatting sqref="E136:P136">
    <cfRule type="cellIs" dxfId="418" priority="6" operator="equal">
      <formula>0</formula>
    </cfRule>
  </conditionalFormatting>
  <conditionalFormatting sqref="E137:P137">
    <cfRule type="cellIs" dxfId="417" priority="5" operator="equal">
      <formula>0</formula>
    </cfRule>
  </conditionalFormatting>
  <conditionalFormatting sqref="E138:P138">
    <cfRule type="cellIs" dxfId="416" priority="4" operator="equal">
      <formula>0</formula>
    </cfRule>
  </conditionalFormatting>
  <conditionalFormatting sqref="E139:P139">
    <cfRule type="cellIs" dxfId="415" priority="3" operator="equal">
      <formula>0</formula>
    </cfRule>
  </conditionalFormatting>
  <conditionalFormatting sqref="Q58:Q138">
    <cfRule type="cellIs" dxfId="414" priority="2" operator="equal">
      <formula>0</formula>
    </cfRule>
  </conditionalFormatting>
  <conditionalFormatting sqref="Q139">
    <cfRule type="cellIs" dxfId="413" priority="1" operator="equal">
      <formula>0</formula>
    </cfRule>
  </conditionalFormatting>
  <hyperlinks>
    <hyperlink ref="A1" location="'ODS 3.'!A1" display="REGRESAR" xr:uid="{CB7EB4CD-A112-4A24-B9D7-4A029074BDC1}"/>
    <hyperlink ref="C1" location="'Metadato 3.7.2'!A1" display="VER METADATO" xr:uid="{374C6FFE-5F60-42D3-B7F9-826DB6C739CC}"/>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607-8555-4266-B724-47A6ED0D222C}">
  <sheetPr>
    <tabColor theme="0" tint="-0.499984740745262"/>
  </sheetPr>
  <dimension ref="A1:F36"/>
  <sheetViews>
    <sheetView showGridLines="0" zoomScaleNormal="100" workbookViewId="0">
      <pane ySplit="1" topLeftCell="A14" activePane="bottomLeft" state="frozen"/>
      <selection activeCell="R16" sqref="R16"/>
      <selection pane="bottomLeft" activeCell="R16" sqref="R16"/>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11.42578125" style="222"/>
    <col min="6" max="6" width="7.28515625" style="222" customWidth="1"/>
    <col min="7"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ht="21" customHeight="1" x14ac:dyDescent="0.25">
      <c r="A4" s="224"/>
      <c r="B4" s="2606" t="s">
        <v>234</v>
      </c>
      <c r="C4" s="2606"/>
      <c r="D4" s="359" t="s">
        <v>832</v>
      </c>
    </row>
    <row r="5" spans="1:6" ht="34.9" customHeight="1" x14ac:dyDescent="0.25">
      <c r="B5" s="2445" t="s">
        <v>79</v>
      </c>
      <c r="C5" s="2445"/>
      <c r="D5" s="49" t="s">
        <v>698</v>
      </c>
    </row>
    <row r="6" spans="1:6" x14ac:dyDescent="0.25">
      <c r="B6" s="2445" t="s">
        <v>80</v>
      </c>
      <c r="C6" s="2445"/>
      <c r="D6" s="50" t="s">
        <v>701</v>
      </c>
    </row>
    <row r="7" spans="1:6" ht="31.5" customHeight="1" x14ac:dyDescent="0.25">
      <c r="B7" s="2446" t="s">
        <v>81</v>
      </c>
      <c r="C7" s="2446"/>
      <c r="D7" s="93" t="s">
        <v>702</v>
      </c>
    </row>
    <row r="8" spans="1:6" x14ac:dyDescent="0.25">
      <c r="B8" s="2446" t="s">
        <v>82</v>
      </c>
      <c r="C8" s="2446"/>
      <c r="D8" s="94" t="s">
        <v>1422</v>
      </c>
    </row>
    <row r="9" spans="1:6" x14ac:dyDescent="0.4">
      <c r="B9" s="5"/>
      <c r="C9" s="5"/>
      <c r="D9" s="5"/>
    </row>
    <row r="10" spans="1:6" ht="23.25" customHeight="1" x14ac:dyDescent="0.25">
      <c r="B10" s="2604" t="s">
        <v>85</v>
      </c>
      <c r="C10" s="2604"/>
      <c r="D10" s="2604"/>
    </row>
    <row r="11" spans="1:6" ht="18.75" customHeight="1" x14ac:dyDescent="0.25">
      <c r="B11" s="2633" t="s">
        <v>86</v>
      </c>
      <c r="C11" s="2634"/>
      <c r="D11" s="359" t="s">
        <v>167</v>
      </c>
    </row>
    <row r="12" spans="1:6" ht="37.5" customHeight="1" x14ac:dyDescent="0.25">
      <c r="B12" s="2455" t="s">
        <v>88</v>
      </c>
      <c r="C12" s="2455"/>
      <c r="D12" s="184" t="s">
        <v>1423</v>
      </c>
    </row>
    <row r="13" spans="1:6" x14ac:dyDescent="0.25">
      <c r="B13" s="2445" t="s">
        <v>90</v>
      </c>
      <c r="C13" s="2445"/>
      <c r="D13" s="54" t="s">
        <v>701</v>
      </c>
    </row>
    <row r="14" spans="1:6" x14ac:dyDescent="0.25">
      <c r="A14" s="271"/>
      <c r="B14" s="2445" t="s">
        <v>91</v>
      </c>
      <c r="C14" s="2456"/>
      <c r="D14" s="54" t="s">
        <v>92</v>
      </c>
    </row>
    <row r="15" spans="1:6" ht="162" customHeight="1" x14ac:dyDescent="0.25">
      <c r="B15" s="2445" t="s">
        <v>93</v>
      </c>
      <c r="C15" s="2445"/>
      <c r="D15" s="56" t="s">
        <v>1424</v>
      </c>
    </row>
    <row r="16" spans="1:6" ht="49.5" customHeight="1" x14ac:dyDescent="0.25">
      <c r="B16" s="2445" t="s">
        <v>95</v>
      </c>
      <c r="C16" s="2445"/>
      <c r="D16" s="401"/>
    </row>
    <row r="17" spans="2:4" x14ac:dyDescent="0.25">
      <c r="B17" s="2445" t="s">
        <v>97</v>
      </c>
      <c r="C17" s="2445"/>
      <c r="D17" s="56" t="s">
        <v>1425</v>
      </c>
    </row>
    <row r="18" spans="2:4" x14ac:dyDescent="0.25">
      <c r="B18" s="2446" t="s">
        <v>99</v>
      </c>
      <c r="C18" s="2446"/>
      <c r="D18" s="49"/>
    </row>
    <row r="19" spans="2:4" ht="37.5" x14ac:dyDescent="0.25">
      <c r="B19" s="2457" t="s">
        <v>100</v>
      </c>
      <c r="C19" s="2458"/>
      <c r="D19" s="56" t="s">
        <v>1426</v>
      </c>
    </row>
    <row r="20" spans="2:4" x14ac:dyDescent="0.25">
      <c r="B20" s="2445" t="s">
        <v>102</v>
      </c>
      <c r="C20" s="2445"/>
      <c r="D20" s="56" t="s">
        <v>140</v>
      </c>
    </row>
    <row r="21" spans="2:4" x14ac:dyDescent="0.25">
      <c r="B21" s="2451" t="s">
        <v>104</v>
      </c>
      <c r="C21" s="95" t="s">
        <v>105</v>
      </c>
      <c r="D21" s="49" t="s">
        <v>839</v>
      </c>
    </row>
    <row r="22" spans="2:4" x14ac:dyDescent="0.25">
      <c r="B22" s="2452"/>
      <c r="C22" s="96" t="s">
        <v>107</v>
      </c>
      <c r="D22" s="55" t="s">
        <v>1427</v>
      </c>
    </row>
    <row r="23" spans="2:4" x14ac:dyDescent="0.25">
      <c r="B23" s="2444" t="s">
        <v>109</v>
      </c>
      <c r="C23" s="2444"/>
      <c r="D23" s="56" t="s">
        <v>841</v>
      </c>
    </row>
    <row r="24" spans="2:4" x14ac:dyDescent="0.25">
      <c r="B24" s="2444" t="s">
        <v>111</v>
      </c>
      <c r="C24" s="2444"/>
      <c r="D24" s="59" t="s">
        <v>919</v>
      </c>
    </row>
    <row r="25" spans="2:4" x14ac:dyDescent="0.25">
      <c r="B25" s="2445" t="s">
        <v>113</v>
      </c>
      <c r="C25" s="2445"/>
      <c r="D25" s="56" t="s">
        <v>220</v>
      </c>
    </row>
    <row r="26" spans="2:4" ht="15" customHeight="1" x14ac:dyDescent="0.25">
      <c r="B26" s="2446" t="s">
        <v>115</v>
      </c>
      <c r="C26" s="2446"/>
      <c r="D26" s="59" t="s">
        <v>920</v>
      </c>
    </row>
    <row r="27" spans="2:4" ht="37.5" x14ac:dyDescent="0.25">
      <c r="B27" s="2447" t="s">
        <v>117</v>
      </c>
      <c r="C27" s="2448"/>
      <c r="D27" s="49" t="s">
        <v>1428</v>
      </c>
    </row>
    <row r="28" spans="2:4" ht="37.5" x14ac:dyDescent="0.25">
      <c r="B28" s="97" t="s">
        <v>118</v>
      </c>
      <c r="C28" s="98"/>
      <c r="D28" s="56" t="s">
        <v>1429</v>
      </c>
    </row>
    <row r="29" spans="2:4" x14ac:dyDescent="0.25">
      <c r="B29" s="2487" t="s">
        <v>120</v>
      </c>
      <c r="C29" s="2456"/>
      <c r="D29" s="49"/>
    </row>
    <row r="30" spans="2:4" x14ac:dyDescent="0.25">
      <c r="B30" s="628"/>
      <c r="C30" s="628"/>
      <c r="D30" s="629"/>
    </row>
    <row r="31" spans="2:4" ht="23.25" customHeight="1" x14ac:dyDescent="0.25">
      <c r="B31" s="2604" t="s">
        <v>121</v>
      </c>
      <c r="C31" s="2604"/>
      <c r="D31" s="2604"/>
    </row>
    <row r="32" spans="2:4" x14ac:dyDescent="0.25">
      <c r="B32" s="2631" t="s">
        <v>122</v>
      </c>
      <c r="C32" s="2632"/>
      <c r="D32" s="574" t="s">
        <v>846</v>
      </c>
    </row>
    <row r="33" spans="2:4" x14ac:dyDescent="0.25">
      <c r="B33" s="2442" t="s">
        <v>124</v>
      </c>
      <c r="C33" s="2443"/>
      <c r="D33" s="59" t="s">
        <v>847</v>
      </c>
    </row>
    <row r="34" spans="2:4" x14ac:dyDescent="0.25">
      <c r="B34" s="2442" t="s">
        <v>126</v>
      </c>
      <c r="C34" s="2443"/>
      <c r="D34" s="59" t="s">
        <v>127</v>
      </c>
    </row>
    <row r="35" spans="2:4" x14ac:dyDescent="0.25">
      <c r="B35" s="2442" t="s">
        <v>128</v>
      </c>
      <c r="C35" s="2443"/>
      <c r="D35" s="59" t="s">
        <v>922</v>
      </c>
    </row>
    <row r="36" spans="2:4" x14ac:dyDescent="0.25">
      <c r="B36" s="2442" t="s">
        <v>130</v>
      </c>
      <c r="C36" s="2443"/>
      <c r="D36" s="59" t="s">
        <v>849</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50716326-505E-4236-9C1B-C44B4E7C2731}">
      <formula1>Nombre_indicador_ODS</formula1>
    </dataValidation>
    <dataValidation type="list" allowBlank="1" showInputMessage="1" showErrorMessage="1" sqref="D6" xr:uid="{D59F4DCB-8EB6-4E4E-BBB2-F2890143236D}">
      <formula1>Numero_indicador</formula1>
    </dataValidation>
    <dataValidation type="list" allowBlank="1" showInputMessage="1" showErrorMessage="1" sqref="D5" xr:uid="{208EC371-19BB-4A66-A854-75F6D315702D}">
      <formula1>Metas_ODS</formula1>
    </dataValidation>
    <dataValidation type="list" allowBlank="1" showInputMessage="1" showErrorMessage="1" sqref="D4" xr:uid="{45B743D7-1C21-4E07-AFA1-DDF41B34AD6E}">
      <formula1>ODS</formula1>
    </dataValidation>
    <dataValidation allowBlank="1" showDropDown="1" showInputMessage="1" showErrorMessage="1" sqref="D13" xr:uid="{28AB7CD9-363C-4E09-85AC-9C197A54B7B0}"/>
  </dataValidations>
  <hyperlinks>
    <hyperlink ref="B1" location="'3.7.2'!A1" display="REGRESAR" xr:uid="{D1B0BE7A-BDEB-49A6-A94E-35B699AD1227}"/>
    <hyperlink ref="D8" r:id="rId1" xr:uid="{0165AC34-F715-4EAE-99F1-C80B0D587ED8}"/>
  </hyperlinks>
  <pageMargins left="0.7" right="0.7" top="0.75" bottom="0.75" header="0.3" footer="0.3"/>
  <pageSetup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51DD-BD61-4B4E-98FF-276A7976B69E}">
  <dimension ref="A1:T51"/>
  <sheetViews>
    <sheetView showGridLines="0" zoomScaleNormal="100" workbookViewId="0">
      <pane ySplit="1" topLeftCell="A18" activePane="bottomLeft" state="frozen"/>
      <selection activeCell="R16" sqref="R16"/>
      <selection pane="bottomLeft"/>
    </sheetView>
  </sheetViews>
  <sheetFormatPr baseColWidth="10" defaultColWidth="11.42578125" defaultRowHeight="12.75" x14ac:dyDescent="0.25"/>
  <cols>
    <col min="1" max="2" width="15.42578125" style="22" customWidth="1"/>
    <col min="3" max="3" width="11.42578125" style="22"/>
    <col min="4" max="4" width="8.7109375" style="22" customWidth="1"/>
    <col min="5" max="5" width="9.42578125" style="22" customWidth="1"/>
    <col min="6" max="6" width="9.28515625" style="22" customWidth="1"/>
    <col min="7" max="7" width="2" style="22" customWidth="1"/>
    <col min="8" max="8" width="9.42578125" style="22" customWidth="1"/>
    <col min="9" max="9" width="8.7109375" style="22" customWidth="1"/>
    <col min="10" max="10" width="1.7109375" style="22" customWidth="1"/>
    <col min="11" max="11" width="9.28515625" style="22" customWidth="1"/>
    <col min="12" max="12" width="9.7109375" style="22" customWidth="1"/>
    <col min="13" max="13" width="9.42578125" style="22" customWidth="1"/>
    <col min="14" max="14" width="8.42578125" style="22" customWidth="1"/>
    <col min="15" max="15" width="9.5703125" style="22" customWidth="1"/>
    <col min="16" max="16" width="9.42578125" style="22" customWidth="1"/>
    <col min="17" max="16384" width="11.42578125" style="22"/>
  </cols>
  <sheetData>
    <row r="1" spans="1:20" s="16" customFormat="1" ht="19.5" x14ac:dyDescent="0.4">
      <c r="A1" s="15" t="s">
        <v>39</v>
      </c>
      <c r="C1" s="2421" t="s">
        <v>149</v>
      </c>
      <c r="D1" s="2421"/>
    </row>
    <row r="2" spans="1:20" s="16" customFormat="1" ht="19.5" x14ac:dyDescent="0.4"/>
    <row r="3" spans="1:20" s="16" customFormat="1" ht="19.5" x14ac:dyDescent="0.4">
      <c r="A3" s="2574" t="s">
        <v>41</v>
      </c>
      <c r="B3" s="2574"/>
      <c r="C3" s="2635" t="s">
        <v>733</v>
      </c>
      <c r="D3" s="2637"/>
      <c r="E3" s="2637"/>
      <c r="F3" s="2637"/>
      <c r="G3" s="2637"/>
      <c r="H3" s="2637"/>
      <c r="I3" s="2637"/>
      <c r="J3" s="2637"/>
      <c r="K3" s="2637"/>
      <c r="L3" s="2637"/>
      <c r="M3" s="2637"/>
      <c r="N3" s="2637"/>
      <c r="O3" s="2637"/>
      <c r="P3" s="2637"/>
      <c r="Q3" s="2637"/>
      <c r="R3" s="2637"/>
      <c r="S3" s="2637"/>
      <c r="T3" s="2637"/>
    </row>
    <row r="4" spans="1:20" s="16" customFormat="1" ht="18" customHeight="1" x14ac:dyDescent="0.4">
      <c r="A4" s="2574" t="s">
        <v>42</v>
      </c>
      <c r="B4" s="2574"/>
      <c r="C4" s="2635" t="s">
        <v>1430</v>
      </c>
      <c r="D4" s="2636"/>
      <c r="E4" s="2636"/>
      <c r="F4" s="2636"/>
      <c r="G4" s="2636"/>
      <c r="H4" s="2636"/>
      <c r="I4" s="2636"/>
      <c r="J4" s="2636"/>
      <c r="K4" s="2636"/>
      <c r="L4" s="2636"/>
      <c r="M4" s="2636"/>
      <c r="N4" s="2636"/>
      <c r="O4" s="2636"/>
      <c r="P4" s="2636"/>
      <c r="Q4" s="2636"/>
      <c r="R4" s="2636"/>
      <c r="S4" s="2636"/>
      <c r="T4" s="2636"/>
    </row>
    <row r="5" spans="1:20" s="16" customFormat="1" ht="19.5" x14ac:dyDescent="0.4">
      <c r="A5" s="2574" t="s">
        <v>43</v>
      </c>
      <c r="B5" s="2574"/>
      <c r="C5" s="2635" t="s">
        <v>705</v>
      </c>
      <c r="D5" s="2636"/>
      <c r="E5" s="2636"/>
      <c r="F5" s="2636"/>
      <c r="G5" s="2636"/>
      <c r="H5" s="2636"/>
      <c r="I5" s="2636"/>
      <c r="J5" s="2636"/>
      <c r="K5" s="2636"/>
      <c r="L5" s="2636"/>
      <c r="M5" s="2636"/>
      <c r="N5" s="2636"/>
      <c r="O5" s="2636"/>
      <c r="P5" s="2636"/>
      <c r="Q5" s="2636"/>
      <c r="R5" s="2636"/>
      <c r="S5" s="2636"/>
      <c r="T5" s="2636"/>
    </row>
    <row r="6" spans="1:20" s="16" customFormat="1" ht="15.75" customHeight="1" x14ac:dyDescent="0.4">
      <c r="A6" s="2574" t="s">
        <v>132</v>
      </c>
      <c r="B6" s="2575"/>
      <c r="C6" s="2635" t="s">
        <v>1431</v>
      </c>
      <c r="D6" s="2636"/>
      <c r="E6" s="2636"/>
      <c r="F6" s="2636"/>
      <c r="G6" s="2636"/>
      <c r="H6" s="2636"/>
      <c r="I6" s="2636"/>
      <c r="J6" s="2636"/>
      <c r="K6" s="2636"/>
      <c r="L6" s="2636"/>
      <c r="M6" s="2636"/>
      <c r="N6" s="2636"/>
      <c r="O6" s="2636"/>
      <c r="P6" s="2636"/>
      <c r="Q6" s="2636"/>
      <c r="R6" s="2636"/>
      <c r="S6" s="2636"/>
      <c r="T6" s="2636"/>
    </row>
    <row r="7" spans="1:20" s="16" customFormat="1" ht="19.5" x14ac:dyDescent="0.4"/>
    <row r="8" spans="1:20" s="16" customFormat="1" ht="19.5" x14ac:dyDescent="0.4"/>
    <row r="9" spans="1:20" s="16" customFormat="1" ht="18" customHeight="1" x14ac:dyDescent="0.4">
      <c r="C9" s="138" t="s">
        <v>1431</v>
      </c>
      <c r="D9" s="138"/>
      <c r="E9" s="138"/>
      <c r="F9" s="138"/>
      <c r="G9" s="138"/>
      <c r="H9" s="138"/>
      <c r="I9" s="138"/>
      <c r="J9" s="138"/>
      <c r="K9" s="138"/>
      <c r="L9" s="138"/>
      <c r="M9" s="138"/>
      <c r="N9" s="138"/>
      <c r="O9" s="138"/>
      <c r="P9" s="138"/>
    </row>
    <row r="10" spans="1:20" ht="19.5" customHeight="1" x14ac:dyDescent="0.4">
      <c r="C10" s="2611" t="s">
        <v>46</v>
      </c>
      <c r="D10" s="2580" t="s">
        <v>48</v>
      </c>
      <c r="E10" s="2580"/>
      <c r="F10" s="2580"/>
      <c r="G10" s="376"/>
      <c r="H10" s="2580" t="s">
        <v>49</v>
      </c>
      <c r="I10" s="2580"/>
      <c r="J10" s="376"/>
      <c r="K10" s="2580" t="s">
        <v>1432</v>
      </c>
      <c r="L10" s="2580"/>
      <c r="M10" s="2580"/>
      <c r="N10" s="2580"/>
      <c r="O10" s="2580"/>
      <c r="P10" s="2580"/>
    </row>
    <row r="11" spans="1:20" ht="37.5" x14ac:dyDescent="0.4">
      <c r="C11" s="2612"/>
      <c r="D11" s="431" t="s">
        <v>47</v>
      </c>
      <c r="E11" s="431" t="s">
        <v>894</v>
      </c>
      <c r="F11" s="431" t="s">
        <v>895</v>
      </c>
      <c r="G11" s="660"/>
      <c r="H11" s="431" t="s">
        <v>1433</v>
      </c>
      <c r="I11" s="431" t="s">
        <v>56</v>
      </c>
      <c r="J11" s="660"/>
      <c r="K11" s="431" t="s">
        <v>57</v>
      </c>
      <c r="L11" s="431" t="s">
        <v>58</v>
      </c>
      <c r="M11" s="412" t="s">
        <v>1434</v>
      </c>
      <c r="N11" s="431" t="s">
        <v>60</v>
      </c>
      <c r="O11" s="412" t="s">
        <v>1435</v>
      </c>
      <c r="P11" s="412" t="s">
        <v>62</v>
      </c>
    </row>
    <row r="12" spans="1:20" ht="18.75" x14ac:dyDescent="0.25">
      <c r="C12" s="661">
        <v>2010</v>
      </c>
      <c r="D12" s="662">
        <v>85.75006054019704</v>
      </c>
      <c r="E12" s="662">
        <v>83.627204030226693</v>
      </c>
      <c r="F12" s="662">
        <v>87.758884732314058</v>
      </c>
      <c r="G12" s="662"/>
      <c r="H12" s="662">
        <v>86.886002503444047</v>
      </c>
      <c r="I12" s="662">
        <v>82.708525281206164</v>
      </c>
      <c r="J12" s="662"/>
      <c r="K12" s="662">
        <v>87.402667833363111</v>
      </c>
      <c r="L12" s="662">
        <v>79.905811261851198</v>
      </c>
      <c r="M12" s="662">
        <v>83.654452217354418</v>
      </c>
      <c r="N12" s="662">
        <v>85.352965126519948</v>
      </c>
      <c r="O12" s="662">
        <v>85.641993584998772</v>
      </c>
      <c r="P12" s="662">
        <v>79.997816512338133</v>
      </c>
    </row>
    <row r="13" spans="1:20" ht="18.75" x14ac:dyDescent="0.25">
      <c r="C13" s="661">
        <v>2011</v>
      </c>
      <c r="D13" s="662">
        <v>85.48754819432159</v>
      </c>
      <c r="E13" s="662">
        <v>83.649175941374466</v>
      </c>
      <c r="F13" s="662">
        <v>87.236009552493471</v>
      </c>
      <c r="G13" s="662"/>
      <c r="H13" s="662">
        <v>86.319562364783152</v>
      </c>
      <c r="I13" s="662">
        <v>83.260654628714164</v>
      </c>
      <c r="J13" s="662"/>
      <c r="K13" s="662">
        <v>86.716740534261191</v>
      </c>
      <c r="L13" s="662">
        <v>80.167051195934704</v>
      </c>
      <c r="M13" s="662">
        <v>86.271387559808616</v>
      </c>
      <c r="N13" s="662">
        <v>85.837439133316039</v>
      </c>
      <c r="O13" s="662">
        <v>84.358663691480658</v>
      </c>
      <c r="P13" s="662">
        <v>81.063807042911236</v>
      </c>
    </row>
    <row r="14" spans="1:20" ht="18.75" x14ac:dyDescent="0.25">
      <c r="C14" s="661">
        <v>2012</v>
      </c>
      <c r="D14" s="662">
        <v>85.544785974097678</v>
      </c>
      <c r="E14" s="662">
        <v>83.361677154027419</v>
      </c>
      <c r="F14" s="662">
        <v>87.619216535720298</v>
      </c>
      <c r="G14" s="662"/>
      <c r="H14" s="662">
        <v>86.564901733420967</v>
      </c>
      <c r="I14" s="662">
        <v>82.81780482546371</v>
      </c>
      <c r="J14" s="662"/>
      <c r="K14" s="662">
        <v>86.968131757014717</v>
      </c>
      <c r="L14" s="662">
        <v>78.931857080195286</v>
      </c>
      <c r="M14" s="662">
        <v>85.365477672042019</v>
      </c>
      <c r="N14" s="662">
        <v>86.677460622051655</v>
      </c>
      <c r="O14" s="662">
        <v>84.847276918643743</v>
      </c>
      <c r="P14" s="662">
        <v>80.32621239143279</v>
      </c>
    </row>
    <row r="15" spans="1:20" ht="18.75" x14ac:dyDescent="0.25">
      <c r="C15" s="661">
        <v>2013</v>
      </c>
      <c r="D15" s="662">
        <v>85.807194673328823</v>
      </c>
      <c r="E15" s="662">
        <v>83.812812183204883</v>
      </c>
      <c r="F15" s="662">
        <v>87.671715508455293</v>
      </c>
      <c r="G15" s="662"/>
      <c r="H15" s="662">
        <v>87.081727228911163</v>
      </c>
      <c r="I15" s="662">
        <v>82.406079546073855</v>
      </c>
      <c r="J15" s="662"/>
      <c r="K15" s="662">
        <v>87.474708673837071</v>
      </c>
      <c r="L15" s="662">
        <v>80.045626775237309</v>
      </c>
      <c r="M15" s="662">
        <v>84.918989508477324</v>
      </c>
      <c r="N15" s="662">
        <v>87.390175605663828</v>
      </c>
      <c r="O15" s="662">
        <v>84.475991985105736</v>
      </c>
      <c r="P15" s="662">
        <v>78.716407326308726</v>
      </c>
    </row>
    <row r="16" spans="1:20" ht="18.75" x14ac:dyDescent="0.25">
      <c r="C16" s="661">
        <v>2014</v>
      </c>
      <c r="D16" s="662">
        <v>85.378569342037821</v>
      </c>
      <c r="E16" s="662">
        <v>82.884600664476977</v>
      </c>
      <c r="F16" s="662">
        <v>87.748972068043784</v>
      </c>
      <c r="G16" s="662"/>
      <c r="H16" s="662">
        <v>86.196301690989856</v>
      </c>
      <c r="I16" s="662">
        <v>83.199825538894373</v>
      </c>
      <c r="J16" s="662"/>
      <c r="K16" s="662">
        <v>86.777263911280215</v>
      </c>
      <c r="L16" s="662">
        <v>80.891891666272471</v>
      </c>
      <c r="M16" s="662">
        <v>85.021580279000887</v>
      </c>
      <c r="N16" s="662">
        <v>87.472476922688557</v>
      </c>
      <c r="O16" s="662">
        <v>82.208799601992837</v>
      </c>
      <c r="P16" s="662">
        <v>80.498049645860235</v>
      </c>
    </row>
    <row r="17" spans="1:16" ht="18.75" x14ac:dyDescent="0.25">
      <c r="A17" s="23"/>
      <c r="C17" s="661">
        <v>2015</v>
      </c>
      <c r="D17" s="662">
        <v>84.712186309930672</v>
      </c>
      <c r="E17" s="662">
        <v>83.007101879268475</v>
      </c>
      <c r="F17" s="662">
        <v>86.325748561824724</v>
      </c>
      <c r="G17" s="662"/>
      <c r="H17" s="662">
        <v>85.2819055975162</v>
      </c>
      <c r="I17" s="662">
        <v>83.197319746356925</v>
      </c>
      <c r="J17" s="662"/>
      <c r="K17" s="662">
        <v>85.896846355346867</v>
      </c>
      <c r="L17" s="662">
        <v>82.69386862710266</v>
      </c>
      <c r="M17" s="662">
        <v>83.940326426868111</v>
      </c>
      <c r="N17" s="662">
        <v>86.570050462971992</v>
      </c>
      <c r="O17" s="662">
        <v>83.087837043626962</v>
      </c>
      <c r="P17" s="662">
        <v>78.033895841282941</v>
      </c>
    </row>
    <row r="18" spans="1:16" ht="18.75" x14ac:dyDescent="0.25">
      <c r="A18" s="23"/>
      <c r="C18" s="661">
        <v>2016</v>
      </c>
      <c r="D18" s="662">
        <v>84.712186309930672</v>
      </c>
      <c r="E18" s="662">
        <v>83.007101879268475</v>
      </c>
      <c r="F18" s="662">
        <v>86.325748561824724</v>
      </c>
      <c r="G18" s="662"/>
      <c r="H18" s="662">
        <v>85.2819055975162</v>
      </c>
      <c r="I18" s="662">
        <v>83.197319746356925</v>
      </c>
      <c r="J18" s="662"/>
      <c r="K18" s="662">
        <v>85.896846355346867</v>
      </c>
      <c r="L18" s="662">
        <v>82.69386862710266</v>
      </c>
      <c r="M18" s="662">
        <v>83.940326426868111</v>
      </c>
      <c r="N18" s="662">
        <v>86.570050462971992</v>
      </c>
      <c r="O18" s="662">
        <v>83.087837043626962</v>
      </c>
      <c r="P18" s="662">
        <v>78.033895841282941</v>
      </c>
    </row>
    <row r="19" spans="1:16" ht="18.75" x14ac:dyDescent="0.25">
      <c r="A19" s="23"/>
      <c r="C19" s="661">
        <v>2017</v>
      </c>
      <c r="D19" s="662">
        <v>85.725736349485516</v>
      </c>
      <c r="E19" s="662">
        <v>83.980951399131044</v>
      </c>
      <c r="F19" s="662">
        <v>87.377531616677103</v>
      </c>
      <c r="G19" s="662"/>
      <c r="H19" s="662">
        <v>86.550234266036014</v>
      </c>
      <c r="I19" s="662">
        <v>83.539416667281841</v>
      </c>
      <c r="J19" s="662"/>
      <c r="K19" s="662">
        <v>87.085870194499648</v>
      </c>
      <c r="L19" s="662">
        <v>84.126062649605956</v>
      </c>
      <c r="M19" s="662">
        <v>85.957454168107915</v>
      </c>
      <c r="N19" s="662">
        <v>87.060799481013561</v>
      </c>
      <c r="O19" s="662">
        <v>82.740911025201683</v>
      </c>
      <c r="P19" s="662">
        <v>78.710736603958679</v>
      </c>
    </row>
    <row r="20" spans="1:16" ht="18.75" x14ac:dyDescent="0.25">
      <c r="A20" s="23"/>
      <c r="C20" s="661">
        <v>2018</v>
      </c>
      <c r="D20" s="662">
        <v>85.211803409215591</v>
      </c>
      <c r="E20" s="662">
        <v>83.560288044776627</v>
      </c>
      <c r="F20" s="662">
        <v>86.773600239531206</v>
      </c>
      <c r="G20" s="662"/>
      <c r="H20" s="662">
        <v>85.902513345036454</v>
      </c>
      <c r="I20" s="662">
        <v>83.384848495885961</v>
      </c>
      <c r="J20" s="662"/>
      <c r="K20" s="662">
        <v>86.65689910393462</v>
      </c>
      <c r="L20" s="662">
        <v>83.058292614771503</v>
      </c>
      <c r="M20" s="662">
        <v>84.043320808146817</v>
      </c>
      <c r="N20" s="662">
        <v>87.979171101540871</v>
      </c>
      <c r="O20" s="662">
        <v>81.607211865197286</v>
      </c>
      <c r="P20" s="662">
        <v>78.568957012758503</v>
      </c>
    </row>
    <row r="21" spans="1:16" ht="18.75" x14ac:dyDescent="0.25">
      <c r="A21" s="23"/>
      <c r="C21" s="661">
        <v>2019</v>
      </c>
      <c r="D21" s="662">
        <v>85.075290578746305</v>
      </c>
      <c r="E21" s="662">
        <v>83.167967585567652</v>
      </c>
      <c r="F21" s="662">
        <v>86.869052947107349</v>
      </c>
      <c r="G21" s="662"/>
      <c r="H21" s="662">
        <v>85.255222231970478</v>
      </c>
      <c r="I21" s="662">
        <v>84.60004490643054</v>
      </c>
      <c r="J21" s="662"/>
      <c r="K21" s="662">
        <v>86.617656020043256</v>
      </c>
      <c r="L21" s="662">
        <v>83.917388373445306</v>
      </c>
      <c r="M21" s="662">
        <v>82.902783228840647</v>
      </c>
      <c r="N21" s="662">
        <v>87.430762213002595</v>
      </c>
      <c r="O21" s="662">
        <v>80.532754468915329</v>
      </c>
      <c r="P21" s="662">
        <v>78.964105034931336</v>
      </c>
    </row>
    <row r="22" spans="1:16" ht="18.75" x14ac:dyDescent="0.25">
      <c r="A22" s="23"/>
      <c r="C22" s="661">
        <v>2020</v>
      </c>
      <c r="D22" s="662">
        <v>84.357999415033632</v>
      </c>
      <c r="E22" s="662">
        <v>82.291592314203527</v>
      </c>
      <c r="F22" s="662">
        <v>86.305118210469274</v>
      </c>
      <c r="G22" s="662"/>
      <c r="H22" s="662">
        <v>84.598385177951457</v>
      </c>
      <c r="I22" s="662">
        <v>83.723544761640298</v>
      </c>
      <c r="J22" s="662"/>
      <c r="K22" s="662">
        <v>85.747964523421814</v>
      </c>
      <c r="L22" s="662">
        <v>81.736619704003161</v>
      </c>
      <c r="M22" s="662">
        <v>81.53415753123771</v>
      </c>
      <c r="N22" s="662">
        <v>88.080250600690292</v>
      </c>
      <c r="O22" s="662">
        <v>80.829392743519762</v>
      </c>
      <c r="P22" s="662">
        <v>78.997936258586094</v>
      </c>
    </row>
    <row r="23" spans="1:16" ht="18.75" x14ac:dyDescent="0.25">
      <c r="A23" s="23"/>
      <c r="C23" s="661">
        <v>2021</v>
      </c>
      <c r="D23" s="662">
        <v>84.069490470740959</v>
      </c>
      <c r="E23" s="662">
        <v>81.742828012895217</v>
      </c>
      <c r="F23" s="662">
        <v>86.223909357233381</v>
      </c>
      <c r="G23" s="662"/>
      <c r="H23" s="662">
        <v>84.602520162717653</v>
      </c>
      <c r="I23" s="662">
        <v>82.664644476082245</v>
      </c>
      <c r="J23" s="662"/>
      <c r="K23" s="662">
        <v>85.79493044587791</v>
      </c>
      <c r="L23" s="662">
        <v>80.551333511952905</v>
      </c>
      <c r="M23" s="662">
        <v>81.967981409820382</v>
      </c>
      <c r="N23" s="662">
        <v>87.18146676601846</v>
      </c>
      <c r="O23" s="662">
        <v>79.670513967249207</v>
      </c>
      <c r="P23" s="662">
        <v>78.095694960959605</v>
      </c>
    </row>
    <row r="24" spans="1:16" ht="18.75" x14ac:dyDescent="0.25">
      <c r="A24" s="23"/>
      <c r="C24" s="661">
        <v>2022</v>
      </c>
      <c r="D24" s="662">
        <v>87.077019572339395</v>
      </c>
      <c r="E24" s="662">
        <v>84.777760220593294</v>
      </c>
      <c r="F24" s="662">
        <v>89.174502791074872</v>
      </c>
      <c r="G24" s="662"/>
      <c r="H24" s="662">
        <v>87.966010825808794</v>
      </c>
      <c r="I24" s="662">
        <v>84.739364868298765</v>
      </c>
      <c r="J24" s="662"/>
      <c r="K24" s="662">
        <v>88.982571561377299</v>
      </c>
      <c r="L24" s="662">
        <v>83.288511546240528</v>
      </c>
      <c r="M24" s="662">
        <v>85.408043194577587</v>
      </c>
      <c r="N24" s="662">
        <v>88.58206797592787</v>
      </c>
      <c r="O24" s="662">
        <v>84.243156902265184</v>
      </c>
      <c r="P24" s="662">
        <v>79.513685463200289</v>
      </c>
    </row>
    <row r="25" spans="1:16" ht="18.75" x14ac:dyDescent="0.25">
      <c r="A25" s="23"/>
      <c r="C25" s="661">
        <v>2023</v>
      </c>
      <c r="D25" s="662">
        <v>89.116115558530424</v>
      </c>
      <c r="E25" s="662">
        <v>86.962961418963147</v>
      </c>
      <c r="F25" s="662">
        <v>91.057304860993156</v>
      </c>
      <c r="G25" s="662"/>
      <c r="H25" s="662">
        <v>89.713629593664507</v>
      </c>
      <c r="I25" s="662">
        <v>87.547689480000386</v>
      </c>
      <c r="J25" s="662"/>
      <c r="K25" s="662">
        <v>90.233077101569478</v>
      </c>
      <c r="L25" s="662">
        <v>85.316108006313129</v>
      </c>
      <c r="M25" s="662">
        <v>89.806324273202023</v>
      </c>
      <c r="N25" s="662">
        <v>89.692028647754611</v>
      </c>
      <c r="O25" s="662">
        <v>88.38685900810782</v>
      </c>
      <c r="P25" s="662">
        <v>84.280233175304289</v>
      </c>
    </row>
    <row r="26" spans="1:16" ht="18.75" x14ac:dyDescent="0.25">
      <c r="A26" s="23"/>
      <c r="C26" s="663">
        <v>2024</v>
      </c>
      <c r="D26" s="664">
        <v>90.215586942942465</v>
      </c>
      <c r="E26" s="664">
        <v>88.015948819678329</v>
      </c>
      <c r="F26" s="664">
        <v>92.219687375274546</v>
      </c>
      <c r="G26" s="664"/>
      <c r="H26" s="664">
        <v>90.648667509536935</v>
      </c>
      <c r="I26" s="664">
        <v>89.080998838433132</v>
      </c>
      <c r="J26" s="664"/>
      <c r="K26" s="664">
        <v>91.275619260668634</v>
      </c>
      <c r="L26" s="664">
        <v>87.346992825155283</v>
      </c>
      <c r="M26" s="664">
        <v>91.901945792438397</v>
      </c>
      <c r="N26" s="664">
        <v>91.376548710115415</v>
      </c>
      <c r="O26" s="664">
        <v>88.62052068019976</v>
      </c>
      <c r="P26" s="664">
        <v>84.718318275781172</v>
      </c>
    </row>
    <row r="27" spans="1:16" ht="18.75" x14ac:dyDescent="0.25">
      <c r="A27" s="23"/>
      <c r="C27" s="879" t="s">
        <v>8113</v>
      </c>
      <c r="D27" s="662"/>
      <c r="E27" s="662"/>
      <c r="F27" s="662"/>
      <c r="G27" s="662"/>
      <c r="H27" s="662"/>
      <c r="I27" s="662"/>
      <c r="J27" s="662"/>
      <c r="K27" s="662"/>
      <c r="L27" s="662"/>
      <c r="M27" s="662"/>
      <c r="N27" s="662"/>
      <c r="O27" s="662"/>
      <c r="P27" s="662"/>
    </row>
    <row r="28" spans="1:16" x14ac:dyDescent="0.25">
      <c r="A28" s="23"/>
    </row>
    <row r="29" spans="1:16" x14ac:dyDescent="0.25">
      <c r="A29" s="23"/>
    </row>
    <row r="30" spans="1:16" ht="21" customHeight="1" x14ac:dyDescent="0.25">
      <c r="A30" s="23"/>
      <c r="C30" s="665" t="s">
        <v>8114</v>
      </c>
      <c r="D30" s="666"/>
      <c r="E30" s="666"/>
      <c r="F30" s="666"/>
      <c r="G30" s="666"/>
      <c r="H30" s="666"/>
      <c r="I30" s="666"/>
      <c r="J30" s="636"/>
      <c r="K30" s="636"/>
    </row>
    <row r="31" spans="1:16" x14ac:dyDescent="0.25">
      <c r="A31" s="23"/>
    </row>
    <row r="32" spans="1:16"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51" spans="3:3" ht="18.75" x14ac:dyDescent="0.4">
      <c r="C51" s="5" t="s">
        <v>8113</v>
      </c>
    </row>
  </sheetData>
  <mergeCells count="13">
    <mergeCell ref="A5:B5"/>
    <mergeCell ref="C5:T5"/>
    <mergeCell ref="C1:D1"/>
    <mergeCell ref="A3:B3"/>
    <mergeCell ref="C3:T3"/>
    <mergeCell ref="A4:B4"/>
    <mergeCell ref="C4:T4"/>
    <mergeCell ref="A6:B6"/>
    <mergeCell ref="C6:T6"/>
    <mergeCell ref="C10:C11"/>
    <mergeCell ref="D10:F10"/>
    <mergeCell ref="H10:I10"/>
    <mergeCell ref="K10:P10"/>
  </mergeCells>
  <hyperlinks>
    <hyperlink ref="A1" location="'ODS 3.'!A1" display="REGRESAR" xr:uid="{35370912-DD58-4DBC-881A-C5B2C81D3237}"/>
    <hyperlink ref="C1" location="'Metadato 3.8.1'!A1" display="VER METADATO" xr:uid="{168CFF0D-C1D1-4DE7-8476-FF2E5C03D66F}"/>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8BE5-D4CA-4C62-B564-D9F961F067D4}">
  <sheetPr>
    <tabColor theme="0" tint="-0.499984740745262"/>
  </sheetPr>
  <dimension ref="A1:D36"/>
  <sheetViews>
    <sheetView showGridLines="0" zoomScaleNormal="100" workbookViewId="0">
      <pane ySplit="1" topLeftCell="A2" activePane="bottomLeft" state="frozen"/>
      <selection activeCell="R16" sqref="R16"/>
      <selection pane="bottomLeft" activeCell="B1" sqref="B1"/>
    </sheetView>
  </sheetViews>
  <sheetFormatPr baseColWidth="10" defaultColWidth="11.42578125" defaultRowHeight="18.75" x14ac:dyDescent="0.25"/>
  <cols>
    <col min="1" max="1" width="11.42578125" style="222"/>
    <col min="2" max="2" width="26.42578125" style="222" customWidth="1"/>
    <col min="3" max="3" width="24" style="222" customWidth="1"/>
    <col min="4" max="4" width="85.7109375" style="222" customWidth="1"/>
    <col min="5" max="5" width="7.28515625" style="222" customWidth="1"/>
    <col min="6" max="6" width="9.7109375" style="222" customWidth="1"/>
    <col min="7" max="7" width="9.42578125" style="222" customWidth="1"/>
    <col min="8" max="8" width="8.42578125" style="222" customWidth="1"/>
    <col min="9" max="9" width="9.5703125" style="222" customWidth="1"/>
    <col min="10" max="10" width="9.42578125" style="222" customWidth="1"/>
    <col min="11" max="16384" width="11.42578125" style="222"/>
  </cols>
  <sheetData>
    <row r="1" spans="1:4" x14ac:dyDescent="0.25">
      <c r="B1" s="223" t="s">
        <v>39</v>
      </c>
    </row>
    <row r="3" spans="1:4" ht="23.25" customHeight="1" x14ac:dyDescent="0.25">
      <c r="B3" s="2604" t="s">
        <v>75</v>
      </c>
      <c r="C3" s="2604"/>
      <c r="D3" s="2604"/>
    </row>
    <row r="4" spans="1:4" x14ac:dyDescent="0.25">
      <c r="A4" s="224"/>
      <c r="B4" s="2606" t="s">
        <v>234</v>
      </c>
      <c r="C4" s="2606"/>
      <c r="D4" s="359" t="s">
        <v>832</v>
      </c>
    </row>
    <row r="5" spans="1:4" ht="51" customHeight="1" x14ac:dyDescent="0.25">
      <c r="B5" s="2445" t="s">
        <v>79</v>
      </c>
      <c r="C5" s="2445"/>
      <c r="D5" s="49" t="s">
        <v>703</v>
      </c>
    </row>
    <row r="6" spans="1:4" x14ac:dyDescent="0.25">
      <c r="B6" s="2445" t="s">
        <v>80</v>
      </c>
      <c r="C6" s="2445"/>
      <c r="D6" s="50" t="s">
        <v>704</v>
      </c>
    </row>
    <row r="7" spans="1:4" x14ac:dyDescent="0.25">
      <c r="B7" s="2446" t="s">
        <v>81</v>
      </c>
      <c r="C7" s="2446"/>
      <c r="D7" s="667" t="s">
        <v>705</v>
      </c>
    </row>
    <row r="8" spans="1:4" x14ac:dyDescent="0.25">
      <c r="B8" s="2446" t="s">
        <v>82</v>
      </c>
      <c r="C8" s="2446"/>
      <c r="D8" s="126" t="s">
        <v>1436</v>
      </c>
    </row>
    <row r="9" spans="1:4" x14ac:dyDescent="0.4">
      <c r="B9" s="164"/>
      <c r="C9" s="164"/>
      <c r="D9" s="164"/>
    </row>
    <row r="10" spans="1:4" ht="23.25" customHeight="1" x14ac:dyDescent="0.25">
      <c r="B10" s="2604" t="s">
        <v>85</v>
      </c>
      <c r="C10" s="2604"/>
      <c r="D10" s="2604"/>
    </row>
    <row r="11" spans="1:4" ht="17.25" customHeight="1" x14ac:dyDescent="0.25">
      <c r="B11" s="2633" t="s">
        <v>86</v>
      </c>
      <c r="C11" s="2634"/>
      <c r="D11" s="359" t="s">
        <v>167</v>
      </c>
    </row>
    <row r="12" spans="1:4" ht="15.75" customHeight="1" x14ac:dyDescent="0.25">
      <c r="B12" s="2455" t="s">
        <v>88</v>
      </c>
      <c r="C12" s="2455"/>
      <c r="D12" s="668" t="s">
        <v>1437</v>
      </c>
    </row>
    <row r="13" spans="1:4" x14ac:dyDescent="0.25">
      <c r="B13" s="2445" t="s">
        <v>90</v>
      </c>
      <c r="C13" s="2445"/>
      <c r="D13" s="54" t="s">
        <v>704</v>
      </c>
    </row>
    <row r="14" spans="1:4" x14ac:dyDescent="0.25">
      <c r="B14" s="2445" t="s">
        <v>91</v>
      </c>
      <c r="C14" s="2456"/>
      <c r="D14" s="54" t="s">
        <v>214</v>
      </c>
    </row>
    <row r="15" spans="1:4" ht="409.5" x14ac:dyDescent="0.25">
      <c r="B15" s="2445" t="s">
        <v>93</v>
      </c>
      <c r="C15" s="2445"/>
      <c r="D15" s="56" t="s">
        <v>1438</v>
      </c>
    </row>
    <row r="16" spans="1:4" ht="50.25" customHeight="1" x14ac:dyDescent="0.25">
      <c r="B16" s="2445" t="s">
        <v>95</v>
      </c>
      <c r="C16" s="2445"/>
      <c r="D16" s="56"/>
    </row>
    <row r="17" spans="2:4" x14ac:dyDescent="0.25">
      <c r="B17" s="2445" t="s">
        <v>97</v>
      </c>
      <c r="C17" s="2445"/>
      <c r="D17" s="56" t="s">
        <v>98</v>
      </c>
    </row>
    <row r="18" spans="2:4" x14ac:dyDescent="0.25">
      <c r="B18" s="2446" t="s">
        <v>99</v>
      </c>
      <c r="C18" s="2446"/>
      <c r="D18" s="49"/>
    </row>
    <row r="19" spans="2:4" ht="37.5" x14ac:dyDescent="0.25">
      <c r="B19" s="2457" t="s">
        <v>100</v>
      </c>
      <c r="C19" s="2458"/>
      <c r="D19" s="56" t="s">
        <v>1439</v>
      </c>
    </row>
    <row r="20" spans="2:4" x14ac:dyDescent="0.25">
      <c r="B20" s="2445" t="s">
        <v>102</v>
      </c>
      <c r="C20" s="2445"/>
      <c r="D20" s="56" t="s">
        <v>140</v>
      </c>
    </row>
    <row r="21" spans="2:4" x14ac:dyDescent="0.25">
      <c r="B21" s="2451" t="s">
        <v>104</v>
      </c>
      <c r="C21" s="95" t="s">
        <v>105</v>
      </c>
      <c r="D21" s="49" t="s">
        <v>1440</v>
      </c>
    </row>
    <row r="22" spans="2:4" x14ac:dyDescent="0.25">
      <c r="B22" s="2452"/>
      <c r="C22" s="96" t="s">
        <v>107</v>
      </c>
      <c r="D22" s="56" t="s">
        <v>1441</v>
      </c>
    </row>
    <row r="23" spans="2:4" x14ac:dyDescent="0.25">
      <c r="B23" s="2444" t="s">
        <v>109</v>
      </c>
      <c r="C23" s="2444"/>
      <c r="D23" s="56" t="s">
        <v>143</v>
      </c>
    </row>
    <row r="24" spans="2:4" x14ac:dyDescent="0.25">
      <c r="B24" s="2444" t="s">
        <v>111</v>
      </c>
      <c r="C24" s="2444"/>
      <c r="D24" s="59" t="s">
        <v>127</v>
      </c>
    </row>
    <row r="25" spans="2:4" x14ac:dyDescent="0.25">
      <c r="B25" s="2445" t="s">
        <v>113</v>
      </c>
      <c r="C25" s="2445"/>
      <c r="D25" s="56" t="s">
        <v>144</v>
      </c>
    </row>
    <row r="26" spans="2:4" ht="15" customHeight="1" x14ac:dyDescent="0.25">
      <c r="B26" s="2446" t="s">
        <v>115</v>
      </c>
      <c r="C26" s="2446"/>
      <c r="D26" s="59" t="s">
        <v>145</v>
      </c>
    </row>
    <row r="27" spans="2:4" x14ac:dyDescent="0.25">
      <c r="B27" s="2447" t="s">
        <v>117</v>
      </c>
      <c r="C27" s="2448"/>
      <c r="D27" s="49"/>
    </row>
    <row r="28" spans="2:4" ht="75" x14ac:dyDescent="0.25">
      <c r="B28" s="97" t="s">
        <v>118</v>
      </c>
      <c r="C28" s="98"/>
      <c r="D28" s="56" t="s">
        <v>1442</v>
      </c>
    </row>
    <row r="29" spans="2:4" x14ac:dyDescent="0.25">
      <c r="B29" s="2449" t="s">
        <v>120</v>
      </c>
      <c r="C29" s="2450"/>
      <c r="D29" s="62"/>
    </row>
    <row r="30" spans="2:4" x14ac:dyDescent="0.25">
      <c r="B30" s="628"/>
      <c r="C30" s="628"/>
      <c r="D30" s="629"/>
    </row>
    <row r="31" spans="2:4" ht="23.25" customHeight="1" x14ac:dyDescent="0.25">
      <c r="B31" s="2604" t="s">
        <v>121</v>
      </c>
      <c r="C31" s="2604"/>
      <c r="D31" s="2604"/>
    </row>
    <row r="32" spans="2:4" x14ac:dyDescent="0.25">
      <c r="B32" s="2631" t="s">
        <v>122</v>
      </c>
      <c r="C32" s="2632"/>
      <c r="D32" s="574" t="s">
        <v>123</v>
      </c>
    </row>
    <row r="33" spans="2:4" x14ac:dyDescent="0.25">
      <c r="B33" s="2442" t="s">
        <v>124</v>
      </c>
      <c r="C33" s="2443"/>
      <c r="D33" s="59" t="s">
        <v>125</v>
      </c>
    </row>
    <row r="34" spans="2:4" x14ac:dyDescent="0.25">
      <c r="B34" s="2442" t="s">
        <v>126</v>
      </c>
      <c r="C34" s="2443"/>
      <c r="D34" s="59" t="s">
        <v>127</v>
      </c>
    </row>
    <row r="35" spans="2:4" x14ac:dyDescent="0.25">
      <c r="B35" s="2442" t="s">
        <v>128</v>
      </c>
      <c r="C35" s="2443"/>
      <c r="D35" s="59" t="s">
        <v>1443</v>
      </c>
    </row>
    <row r="36" spans="2:4" x14ac:dyDescent="0.25">
      <c r="B36" s="2442" t="s">
        <v>130</v>
      </c>
      <c r="C36" s="2443"/>
      <c r="D36" s="65" t="s">
        <v>131</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3C03EEEA-229B-424E-A22E-6380CEAF6AFE}">
      <formula1>Tipo_operación</formula1>
    </dataValidation>
    <dataValidation type="list" allowBlank="1" showInputMessage="1" showErrorMessage="1" sqref="D14" xr:uid="{5EC26BA6-9B0A-4465-B6ED-E7C6A372262A}">
      <formula1>Tipo_indicador</formula1>
    </dataValidation>
    <dataValidation type="list" allowBlank="1" showInputMessage="1" showErrorMessage="1" sqref="D7" xr:uid="{3C0054F8-5DC3-4B12-B5BA-5D6232CD297F}">
      <formula1>Nombre_indicador_ODS</formula1>
    </dataValidation>
    <dataValidation type="list" allowBlank="1" showInputMessage="1" showErrorMessage="1" sqref="D6" xr:uid="{DAC097A7-3D6E-47BF-A3F1-3D30B02A3201}">
      <formula1>Numero_indicador</formula1>
    </dataValidation>
    <dataValidation type="list" allowBlank="1" showInputMessage="1" showErrorMessage="1" sqref="D5" xr:uid="{DCECEA24-002D-44C7-B613-BF4754B1913C}">
      <formula1>Metas_ODS</formula1>
    </dataValidation>
    <dataValidation type="list" allowBlank="1" showInputMessage="1" showErrorMessage="1" sqref="D4" xr:uid="{6763CB37-7710-494D-8F59-2D00F5F618E2}">
      <formula1>ODS</formula1>
    </dataValidation>
    <dataValidation allowBlank="1" showDropDown="1" showInputMessage="1" showErrorMessage="1" sqref="D13" xr:uid="{8C49D8A4-68E3-41AB-9F3A-9207D63E5B6B}"/>
  </dataValidations>
  <hyperlinks>
    <hyperlink ref="B1" location="'3.8.1'!A1" display="REGRESAR" xr:uid="{5F47C33A-9940-4114-9658-C1D2A59EFD8C}"/>
    <hyperlink ref="D8" r:id="rId1" xr:uid="{355E76B6-F8D4-487C-A24C-766E2B9ACE0B}"/>
    <hyperlink ref="D36" r:id="rId2" xr:uid="{76D68479-A968-4060-951D-1A72D27C9E6B}"/>
  </hyperlinks>
  <pageMargins left="0.7" right="0.7" top="0.75" bottom="0.75" header="0.3" footer="0.3"/>
  <pageSetup orientation="portrait"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77F2-4E60-440D-B44A-C35725BDDFDA}">
  <dimension ref="A1:Q43"/>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4"/>
  <cols>
    <col min="1" max="1" width="15.42578125" style="5" customWidth="1"/>
    <col min="2" max="2" width="18.28515625" style="5" customWidth="1"/>
    <col min="3" max="3" width="8" style="5" customWidth="1"/>
    <col min="4" max="4" width="11.5703125" style="5" customWidth="1"/>
    <col min="5" max="5" width="9.28515625" style="5" customWidth="1"/>
    <col min="6" max="6" width="11.28515625" style="5" customWidth="1"/>
    <col min="7" max="7" width="3.28515625" style="5" customWidth="1"/>
    <col min="8" max="8" width="11.42578125" style="5"/>
    <col min="9" max="9" width="11.7109375" style="5" customWidth="1"/>
    <col min="10" max="10" width="13.7109375" style="5" customWidth="1"/>
    <col min="11" max="11" width="12.28515625" style="5" customWidth="1"/>
    <col min="12" max="13" width="11.42578125" style="5"/>
    <col min="14" max="14" width="12.5703125" style="5" customWidth="1"/>
    <col min="15" max="16384" width="11.42578125" style="5"/>
  </cols>
  <sheetData>
    <row r="1" spans="1:17" s="16" customFormat="1" ht="19.5" x14ac:dyDescent="0.4">
      <c r="A1" s="15" t="s">
        <v>39</v>
      </c>
      <c r="C1" s="2421" t="s">
        <v>149</v>
      </c>
      <c r="D1" s="2421"/>
    </row>
    <row r="2" spans="1:17" s="16" customFormat="1" ht="19.5" x14ac:dyDescent="0.4"/>
    <row r="3" spans="1:17" s="16" customFormat="1" ht="15" customHeight="1" x14ac:dyDescent="0.4">
      <c r="A3" s="2574" t="s">
        <v>41</v>
      </c>
      <c r="B3" s="2574"/>
      <c r="C3" s="2574" t="s">
        <v>733</v>
      </c>
      <c r="D3" s="2575"/>
      <c r="E3" s="2575"/>
      <c r="F3" s="2575"/>
      <c r="G3" s="2575"/>
      <c r="H3" s="2575"/>
      <c r="I3" s="2575"/>
      <c r="J3" s="2575"/>
      <c r="K3" s="2575"/>
      <c r="L3" s="2575"/>
      <c r="M3" s="2575"/>
      <c r="N3" s="2575"/>
      <c r="O3" s="2575"/>
      <c r="P3" s="2575"/>
      <c r="Q3" s="2575"/>
    </row>
    <row r="4" spans="1:17" s="16" customFormat="1" ht="19.5" x14ac:dyDescent="0.4">
      <c r="A4" s="2574" t="s">
        <v>42</v>
      </c>
      <c r="B4" s="2574"/>
      <c r="C4" s="2574" t="s">
        <v>1444</v>
      </c>
      <c r="D4" s="2575"/>
      <c r="E4" s="2575"/>
      <c r="F4" s="2575"/>
      <c r="G4" s="2575"/>
      <c r="H4" s="2575"/>
      <c r="I4" s="2575"/>
      <c r="J4" s="2575"/>
      <c r="K4" s="2575"/>
      <c r="L4" s="2575"/>
      <c r="M4" s="2575"/>
      <c r="N4" s="2575"/>
      <c r="O4" s="2575"/>
      <c r="P4" s="2575"/>
      <c r="Q4" s="2575"/>
    </row>
    <row r="5" spans="1:17" s="16" customFormat="1" ht="17.25" customHeight="1" x14ac:dyDescent="0.4">
      <c r="A5" s="2574" t="s">
        <v>43</v>
      </c>
      <c r="B5" s="2574"/>
      <c r="C5" s="2574" t="s">
        <v>707</v>
      </c>
      <c r="D5" s="2575"/>
      <c r="E5" s="2575"/>
      <c r="F5" s="2575"/>
      <c r="G5" s="2575"/>
      <c r="H5" s="2575"/>
      <c r="I5" s="2575"/>
      <c r="J5" s="2575"/>
      <c r="K5" s="2575"/>
      <c r="L5" s="2575"/>
      <c r="M5" s="2575"/>
      <c r="N5" s="2575"/>
      <c r="O5" s="2575"/>
      <c r="P5" s="2575"/>
      <c r="Q5" s="2575"/>
    </row>
    <row r="6" spans="1:17" s="16" customFormat="1" ht="34.15" customHeight="1" x14ac:dyDescent="0.4">
      <c r="A6" s="2574" t="s">
        <v>132</v>
      </c>
      <c r="B6" s="2575"/>
      <c r="C6" s="2574" t="s">
        <v>1445</v>
      </c>
      <c r="D6" s="2575"/>
      <c r="E6" s="2575"/>
      <c r="F6" s="2575"/>
      <c r="G6" s="2575"/>
      <c r="H6" s="2575"/>
      <c r="I6" s="2575"/>
      <c r="J6" s="2575"/>
      <c r="K6" s="2575"/>
      <c r="L6" s="2575"/>
      <c r="M6" s="2575"/>
      <c r="N6" s="2575"/>
      <c r="O6" s="2575"/>
      <c r="P6" s="2575"/>
      <c r="Q6" s="2575"/>
    </row>
    <row r="7" spans="1:17" s="16" customFormat="1" ht="19.5" x14ac:dyDescent="0.4"/>
    <row r="8" spans="1:17" s="16" customFormat="1" ht="19.5" x14ac:dyDescent="0.4"/>
    <row r="9" spans="1:17" s="16" customFormat="1" ht="19.5" x14ac:dyDescent="0.4">
      <c r="C9" s="669" t="s">
        <v>1446</v>
      </c>
      <c r="D9" s="669"/>
      <c r="E9" s="669"/>
      <c r="F9" s="669"/>
      <c r="G9" s="669"/>
      <c r="H9" s="669"/>
      <c r="I9" s="669"/>
      <c r="J9" s="669"/>
      <c r="K9" s="669"/>
      <c r="L9" s="669"/>
      <c r="M9" s="669"/>
    </row>
    <row r="10" spans="1:17" s="17" customFormat="1" ht="13.9" customHeight="1" x14ac:dyDescent="0.35">
      <c r="C10" s="670"/>
      <c r="D10" s="670"/>
      <c r="E10" s="670"/>
      <c r="F10" s="670"/>
      <c r="G10" s="670"/>
      <c r="H10" s="670"/>
      <c r="I10" s="670"/>
      <c r="J10" s="670"/>
      <c r="K10" s="670"/>
      <c r="L10" s="670"/>
      <c r="M10" s="670"/>
    </row>
    <row r="11" spans="1:17" s="17" customFormat="1" x14ac:dyDescent="0.35">
      <c r="C11" s="2578" t="s">
        <v>46</v>
      </c>
      <c r="D11" s="2578" t="s">
        <v>47</v>
      </c>
      <c r="E11" s="671" t="s">
        <v>49</v>
      </c>
      <c r="F11" s="671"/>
      <c r="G11" s="672"/>
      <c r="H11" s="2654" t="s">
        <v>50</v>
      </c>
      <c r="I11" s="2654"/>
      <c r="J11" s="2654"/>
      <c r="K11" s="2654"/>
      <c r="L11" s="2654"/>
      <c r="M11" s="2654"/>
    </row>
    <row r="12" spans="1:17" s="17" customFormat="1" ht="37.5" x14ac:dyDescent="0.35">
      <c r="C12" s="2579"/>
      <c r="D12" s="2579"/>
      <c r="E12" s="412" t="s">
        <v>55</v>
      </c>
      <c r="F12" s="412" t="s">
        <v>56</v>
      </c>
      <c r="G12" s="412"/>
      <c r="H12" s="412" t="s">
        <v>57</v>
      </c>
      <c r="I12" s="412" t="s">
        <v>58</v>
      </c>
      <c r="J12" s="412" t="s">
        <v>59</v>
      </c>
      <c r="K12" s="412" t="s">
        <v>60</v>
      </c>
      <c r="L12" s="624" t="s">
        <v>61</v>
      </c>
      <c r="M12" s="624" t="s">
        <v>62</v>
      </c>
    </row>
    <row r="13" spans="1:17" s="17" customFormat="1" x14ac:dyDescent="0.4">
      <c r="B13" s="673"/>
      <c r="C13" s="5">
        <v>2013</v>
      </c>
      <c r="D13" s="413">
        <v>9.82</v>
      </c>
      <c r="E13" s="674">
        <v>10.6</v>
      </c>
      <c r="F13" s="674">
        <v>7.74</v>
      </c>
      <c r="G13" s="674"/>
      <c r="H13" s="674">
        <v>11.31</v>
      </c>
      <c r="I13" s="674">
        <v>6.73</v>
      </c>
      <c r="J13" s="674">
        <v>8.1</v>
      </c>
      <c r="K13" s="674">
        <v>8.0299999999999994</v>
      </c>
      <c r="L13" s="674">
        <v>6.37</v>
      </c>
      <c r="M13" s="674">
        <v>7.93</v>
      </c>
    </row>
    <row r="14" spans="1:17" s="17" customFormat="1" x14ac:dyDescent="0.4">
      <c r="B14" s="673"/>
      <c r="C14" s="675">
        <v>2018</v>
      </c>
      <c r="D14" s="420">
        <v>12.22</v>
      </c>
      <c r="E14" s="676">
        <v>13.33</v>
      </c>
      <c r="F14" s="676">
        <v>9.5399999999999991</v>
      </c>
      <c r="G14" s="676"/>
      <c r="H14" s="676">
        <v>13.65</v>
      </c>
      <c r="I14" s="676">
        <v>10.220000000000001</v>
      </c>
      <c r="J14" s="676">
        <v>11.71</v>
      </c>
      <c r="K14" s="676">
        <v>9.2899999999999991</v>
      </c>
      <c r="L14" s="676">
        <v>8.9600000000000009</v>
      </c>
      <c r="M14" s="676">
        <v>9.76</v>
      </c>
    </row>
    <row r="15" spans="1:17" s="17" customFormat="1" ht="49.15" customHeight="1" x14ac:dyDescent="0.35">
      <c r="C15" s="2488" t="s">
        <v>1447</v>
      </c>
      <c r="D15" s="2488"/>
      <c r="E15" s="2488"/>
      <c r="F15" s="2488"/>
      <c r="G15" s="2488"/>
      <c r="H15" s="2488"/>
      <c r="I15" s="2488"/>
      <c r="J15" s="2488"/>
      <c r="K15" s="2488"/>
      <c r="L15" s="2488"/>
      <c r="M15" s="2488"/>
    </row>
    <row r="16" spans="1:17" s="17" customFormat="1" ht="18" customHeight="1" x14ac:dyDescent="0.35">
      <c r="C16" s="677" t="s">
        <v>1448</v>
      </c>
      <c r="D16" s="677"/>
      <c r="E16" s="677"/>
      <c r="F16" s="677"/>
      <c r="G16" s="678"/>
      <c r="H16" s="678"/>
      <c r="I16" s="678"/>
      <c r="J16" s="678"/>
      <c r="K16" s="678"/>
      <c r="L16" s="678"/>
      <c r="M16" s="678"/>
    </row>
    <row r="17" spans="3:13" s="17" customFormat="1" ht="16.5" x14ac:dyDescent="0.35">
      <c r="C17" s="679"/>
      <c r="D17" s="679"/>
      <c r="E17" s="679"/>
      <c r="F17" s="679"/>
      <c r="G17" s="680"/>
      <c r="H17" s="680"/>
      <c r="I17" s="680"/>
      <c r="J17" s="680"/>
      <c r="K17" s="680"/>
      <c r="L17" s="680"/>
      <c r="M17" s="680"/>
    </row>
    <row r="18" spans="3:13" s="17" customFormat="1" ht="16.5" x14ac:dyDescent="0.35">
      <c r="C18" s="679"/>
      <c r="D18" s="679"/>
      <c r="E18" s="679"/>
      <c r="F18" s="679"/>
      <c r="G18" s="679"/>
      <c r="H18" s="679"/>
      <c r="I18" s="679"/>
      <c r="J18" s="679"/>
      <c r="K18" s="679"/>
      <c r="L18" s="679"/>
      <c r="M18" s="679"/>
    </row>
    <row r="19" spans="3:13" s="17" customFormat="1" ht="19.5" x14ac:dyDescent="0.35">
      <c r="C19" s="669" t="s">
        <v>1449</v>
      </c>
      <c r="D19" s="681"/>
      <c r="E19" s="681"/>
      <c r="F19" s="681"/>
      <c r="G19" s="681"/>
      <c r="H19" s="681"/>
      <c r="I19" s="681"/>
      <c r="J19" s="681"/>
      <c r="K19" s="681"/>
      <c r="L19" s="681"/>
      <c r="M19" s="681"/>
    </row>
    <row r="20" spans="3:13" s="17" customFormat="1" ht="16.5" x14ac:dyDescent="0.35">
      <c r="C20" s="670"/>
      <c r="D20" s="670"/>
      <c r="E20" s="670"/>
      <c r="F20" s="670"/>
      <c r="G20" s="670"/>
      <c r="H20" s="670"/>
      <c r="I20" s="670"/>
      <c r="J20" s="670"/>
      <c r="K20" s="670"/>
      <c r="L20" s="670"/>
      <c r="M20" s="670"/>
    </row>
    <row r="21" spans="3:13" s="17" customFormat="1" x14ac:dyDescent="0.35">
      <c r="C21" s="2578" t="s">
        <v>46</v>
      </c>
      <c r="D21" s="2578" t="s">
        <v>47</v>
      </c>
      <c r="E21" s="671" t="s">
        <v>49</v>
      </c>
      <c r="F21" s="671"/>
      <c r="G21" s="672"/>
      <c r="H21" s="2654" t="s">
        <v>50</v>
      </c>
      <c r="I21" s="2654"/>
      <c r="J21" s="2654"/>
      <c r="K21" s="2654"/>
      <c r="L21" s="2654"/>
      <c r="M21" s="2654"/>
    </row>
    <row r="22" spans="3:13" s="17" customFormat="1" ht="37.5" x14ac:dyDescent="0.35">
      <c r="C22" s="2579"/>
      <c r="D22" s="2579"/>
      <c r="E22" s="412" t="s">
        <v>55</v>
      </c>
      <c r="F22" s="412" t="s">
        <v>56</v>
      </c>
      <c r="G22" s="412"/>
      <c r="H22" s="412" t="s">
        <v>57</v>
      </c>
      <c r="I22" s="412" t="s">
        <v>58</v>
      </c>
      <c r="J22" s="412" t="s">
        <v>59</v>
      </c>
      <c r="K22" s="412" t="s">
        <v>60</v>
      </c>
      <c r="L22" s="624" t="s">
        <v>61</v>
      </c>
      <c r="M22" s="624" t="s">
        <v>62</v>
      </c>
    </row>
    <row r="23" spans="3:13" s="17" customFormat="1" x14ac:dyDescent="0.4">
      <c r="C23" s="5">
        <v>2013</v>
      </c>
      <c r="D23" s="674">
        <v>1.7</v>
      </c>
      <c r="E23" s="674">
        <v>1.98</v>
      </c>
      <c r="F23" s="674">
        <v>0.96</v>
      </c>
      <c r="G23" s="340"/>
      <c r="H23" s="340">
        <v>2.02</v>
      </c>
      <c r="I23" s="340">
        <v>1.54</v>
      </c>
      <c r="J23" s="340">
        <v>1.0900000000000001</v>
      </c>
      <c r="K23" s="340">
        <v>1</v>
      </c>
      <c r="L23" s="340">
        <v>1.4</v>
      </c>
      <c r="M23" s="340">
        <v>0.75</v>
      </c>
    </row>
    <row r="24" spans="3:13" s="17" customFormat="1" x14ac:dyDescent="0.4">
      <c r="C24" s="675">
        <v>2018</v>
      </c>
      <c r="D24" s="676">
        <v>1.98</v>
      </c>
      <c r="E24" s="676">
        <v>2.13</v>
      </c>
      <c r="F24" s="676">
        <v>1.63</v>
      </c>
      <c r="G24" s="397"/>
      <c r="H24" s="397">
        <v>2.14</v>
      </c>
      <c r="I24" s="397">
        <v>1.8</v>
      </c>
      <c r="J24" s="397">
        <v>1.7</v>
      </c>
      <c r="K24" s="397">
        <v>2.1</v>
      </c>
      <c r="L24" s="397">
        <v>0.85</v>
      </c>
      <c r="M24" s="397">
        <v>2.29</v>
      </c>
    </row>
    <row r="25" spans="3:13" s="17" customFormat="1" ht="52.9" customHeight="1" x14ac:dyDescent="0.35">
      <c r="C25" s="2655" t="s">
        <v>1447</v>
      </c>
      <c r="D25" s="2655"/>
      <c r="E25" s="2655"/>
      <c r="F25" s="2655"/>
      <c r="G25" s="2655"/>
      <c r="H25" s="2655"/>
      <c r="I25" s="2655"/>
      <c r="J25" s="2655"/>
      <c r="K25" s="2655"/>
      <c r="L25" s="2655"/>
      <c r="M25" s="2655"/>
    </row>
    <row r="26" spans="3:13" s="17" customFormat="1" x14ac:dyDescent="0.4">
      <c r="C26" s="677" t="s">
        <v>1448</v>
      </c>
      <c r="D26" s="682"/>
      <c r="E26" s="682"/>
      <c r="F26" s="5"/>
      <c r="G26" s="5"/>
      <c r="H26" s="5"/>
      <c r="I26" s="5"/>
      <c r="J26" s="5"/>
      <c r="K26" s="5"/>
      <c r="L26" s="5"/>
      <c r="M26" s="5"/>
    </row>
    <row r="27" spans="3:13" x14ac:dyDescent="0.4">
      <c r="C27" s="679"/>
      <c r="D27" s="683"/>
      <c r="E27" s="683"/>
      <c r="F27" s="683"/>
    </row>
    <row r="28" spans="3:13" ht="19.5" x14ac:dyDescent="0.4">
      <c r="C28" s="2656" t="s">
        <v>1450</v>
      </c>
      <c r="D28" s="2657"/>
      <c r="E28" s="2657"/>
      <c r="F28" s="2657"/>
      <c r="G28" s="2657"/>
      <c r="H28" s="2657"/>
      <c r="I28" s="2657"/>
      <c r="J28" s="2657"/>
      <c r="K28" s="2657"/>
      <c r="L28" s="2657"/>
      <c r="M28" s="2658"/>
    </row>
    <row r="43" spans="3:3" x14ac:dyDescent="0.4">
      <c r="C43" s="677" t="s">
        <v>1448</v>
      </c>
    </row>
  </sheetData>
  <mergeCells count="18">
    <mergeCell ref="C15:M15"/>
    <mergeCell ref="C1:D1"/>
    <mergeCell ref="A3:B3"/>
    <mergeCell ref="C3:Q3"/>
    <mergeCell ref="A4:B4"/>
    <mergeCell ref="C4:Q4"/>
    <mergeCell ref="A5:B5"/>
    <mergeCell ref="C5:Q5"/>
    <mergeCell ref="A6:B6"/>
    <mergeCell ref="C6:Q6"/>
    <mergeCell ref="C11:C12"/>
    <mergeCell ref="D11:D12"/>
    <mergeCell ref="H11:M11"/>
    <mergeCell ref="C21:C22"/>
    <mergeCell ref="D21:D22"/>
    <mergeCell ref="H21:M21"/>
    <mergeCell ref="C25:M25"/>
    <mergeCell ref="C28:M28"/>
  </mergeCells>
  <hyperlinks>
    <hyperlink ref="A1" location="'ODS 3.'!A1" display="REGRESAR" xr:uid="{1E35BFA1-DEF6-49CC-A1E4-C2706B88FAA6}"/>
    <hyperlink ref="C1" location="'Metadato 3.8.2'!A1" display="VER METADATO" xr:uid="{B3D8378D-545F-4BF9-B3DE-9273E7AFD359}"/>
  </hyperlink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0F2-AB72-444D-95B3-6025371B83ED}">
  <sheetPr>
    <tabColor theme="0" tint="-0.499984740745262"/>
  </sheetPr>
  <dimension ref="A1:F36"/>
  <sheetViews>
    <sheetView showGridLines="0" zoomScaleNormal="100" workbookViewId="0">
      <pane ySplit="1" topLeftCell="A2" activePane="bottomLeft" state="frozen"/>
      <selection activeCell="R16" sqref="R16"/>
      <selection pane="bottomLeft" activeCell="R16" sqref="R16"/>
    </sheetView>
  </sheetViews>
  <sheetFormatPr baseColWidth="10" defaultColWidth="11.42578125" defaultRowHeight="18.75" x14ac:dyDescent="0.25"/>
  <cols>
    <col min="1" max="1" width="8" style="222" customWidth="1"/>
    <col min="2" max="2" width="26.42578125" style="222" customWidth="1"/>
    <col min="3" max="3" width="24" style="222" customWidth="1"/>
    <col min="4" max="4" width="85.7109375" style="222" customWidth="1"/>
    <col min="5" max="5" width="11.28515625" style="222" customWidth="1"/>
    <col min="6" max="6" width="7.28515625" style="222" customWidth="1"/>
    <col min="7" max="7" width="11.42578125" style="222"/>
    <col min="8" max="8" width="2.42578125" style="222" customWidth="1"/>
    <col min="9" max="9" width="12.28515625" style="222" customWidth="1"/>
    <col min="10" max="16384" width="11.42578125" style="222"/>
  </cols>
  <sheetData>
    <row r="1" spans="1:6" x14ac:dyDescent="0.25">
      <c r="B1" s="223" t="s">
        <v>39</v>
      </c>
    </row>
    <row r="2" spans="1:6" ht="19.5" thickBot="1" x14ac:dyDescent="0.3"/>
    <row r="3" spans="1:6" ht="23.25" customHeight="1" thickBot="1" x14ac:dyDescent="0.3">
      <c r="B3" s="2604" t="s">
        <v>75</v>
      </c>
      <c r="C3" s="2604"/>
      <c r="D3" s="2604"/>
      <c r="F3" s="91" t="s">
        <v>76</v>
      </c>
    </row>
    <row r="4" spans="1:6" ht="21" customHeight="1" x14ac:dyDescent="0.25">
      <c r="A4" s="224"/>
      <c r="B4" s="2606" t="s">
        <v>234</v>
      </c>
      <c r="C4" s="2606"/>
      <c r="D4" s="359" t="s">
        <v>832</v>
      </c>
    </row>
    <row r="5" spans="1:6" ht="45.75" customHeight="1" x14ac:dyDescent="0.25">
      <c r="B5" s="2445" t="s">
        <v>79</v>
      </c>
      <c r="C5" s="2445"/>
      <c r="D5" s="49" t="s">
        <v>703</v>
      </c>
    </row>
    <row r="6" spans="1:6" ht="16.5" customHeight="1" x14ac:dyDescent="0.25">
      <c r="B6" s="2445" t="s">
        <v>80</v>
      </c>
      <c r="C6" s="2445"/>
      <c r="D6" s="50" t="s">
        <v>706</v>
      </c>
    </row>
    <row r="7" spans="1:6" ht="37.5" x14ac:dyDescent="0.25">
      <c r="B7" s="2446" t="s">
        <v>81</v>
      </c>
      <c r="C7" s="2446"/>
      <c r="D7" s="93" t="s">
        <v>707</v>
      </c>
    </row>
    <row r="8" spans="1:6" x14ac:dyDescent="0.25">
      <c r="B8" s="2446" t="s">
        <v>82</v>
      </c>
      <c r="C8" s="2446"/>
      <c r="D8" s="94" t="s">
        <v>1451</v>
      </c>
    </row>
    <row r="9" spans="1:6" x14ac:dyDescent="0.4">
      <c r="B9" s="5"/>
      <c r="C9" s="5"/>
      <c r="D9" s="5"/>
    </row>
    <row r="10" spans="1:6" ht="23.25" customHeight="1" x14ac:dyDescent="0.25">
      <c r="B10" s="2604" t="s">
        <v>85</v>
      </c>
      <c r="C10" s="2604"/>
      <c r="D10" s="2604"/>
    </row>
    <row r="11" spans="1:6" ht="16.5" customHeight="1" x14ac:dyDescent="0.25">
      <c r="B11" s="2633" t="s">
        <v>86</v>
      </c>
      <c r="C11" s="2634"/>
      <c r="D11" s="684" t="s">
        <v>307</v>
      </c>
    </row>
    <row r="12" spans="1:6" ht="21.75" customHeight="1" x14ac:dyDescent="0.25">
      <c r="B12" s="2455" t="s">
        <v>88</v>
      </c>
      <c r="C12" s="2455"/>
      <c r="D12" s="169" t="s">
        <v>1452</v>
      </c>
    </row>
    <row r="13" spans="1:6" x14ac:dyDescent="0.25">
      <c r="B13" s="2445" t="s">
        <v>90</v>
      </c>
      <c r="C13" s="2445"/>
      <c r="D13" s="56" t="s">
        <v>706</v>
      </c>
    </row>
    <row r="14" spans="1:6" x14ac:dyDescent="0.25">
      <c r="B14" s="2445" t="s">
        <v>91</v>
      </c>
      <c r="C14" s="2456"/>
      <c r="D14" s="59" t="s">
        <v>81</v>
      </c>
    </row>
    <row r="15" spans="1:6" ht="148.5" customHeight="1" x14ac:dyDescent="0.25">
      <c r="B15" s="2445" t="s">
        <v>93</v>
      </c>
      <c r="C15" s="2445"/>
      <c r="D15" s="56" t="s">
        <v>1453</v>
      </c>
    </row>
    <row r="16" spans="1:6" ht="317.25" customHeight="1" x14ac:dyDescent="0.25">
      <c r="B16" s="2445" t="s">
        <v>95</v>
      </c>
      <c r="C16" s="2445"/>
      <c r="D16" s="56" t="s">
        <v>1454</v>
      </c>
    </row>
    <row r="17" spans="2:4" x14ac:dyDescent="0.25">
      <c r="B17" s="2445" t="s">
        <v>97</v>
      </c>
      <c r="C17" s="2445"/>
      <c r="D17" s="56" t="s">
        <v>98</v>
      </c>
    </row>
    <row r="18" spans="2:4" x14ac:dyDescent="0.25">
      <c r="B18" s="2446" t="s">
        <v>99</v>
      </c>
      <c r="C18" s="2446"/>
      <c r="D18" s="56" t="s">
        <v>1455</v>
      </c>
    </row>
    <row r="19" spans="2:4" ht="68.25" customHeight="1" x14ac:dyDescent="0.25">
      <c r="B19" s="2457" t="s">
        <v>100</v>
      </c>
      <c r="C19" s="2458"/>
      <c r="D19" s="56" t="s">
        <v>1456</v>
      </c>
    </row>
    <row r="20" spans="2:4" x14ac:dyDescent="0.25">
      <c r="B20" s="2445" t="s">
        <v>102</v>
      </c>
      <c r="C20" s="2445"/>
      <c r="D20" s="56" t="s">
        <v>140</v>
      </c>
    </row>
    <row r="21" spans="2:4" x14ac:dyDescent="0.25">
      <c r="B21" s="2451" t="s">
        <v>104</v>
      </c>
      <c r="C21" s="95" t="s">
        <v>105</v>
      </c>
      <c r="D21" s="685" t="s">
        <v>1457</v>
      </c>
    </row>
    <row r="22" spans="2:4" x14ac:dyDescent="0.4">
      <c r="B22" s="2452"/>
      <c r="C22" s="96" t="s">
        <v>107</v>
      </c>
      <c r="D22" s="686" t="s">
        <v>1458</v>
      </c>
    </row>
    <row r="23" spans="2:4" x14ac:dyDescent="0.4">
      <c r="B23" s="2444" t="s">
        <v>109</v>
      </c>
      <c r="C23" s="2444"/>
      <c r="D23" s="203" t="s">
        <v>574</v>
      </c>
    </row>
    <row r="24" spans="2:4" x14ac:dyDescent="0.4">
      <c r="B24" s="2444" t="s">
        <v>111</v>
      </c>
      <c r="C24" s="2444"/>
      <c r="D24" s="203" t="s">
        <v>112</v>
      </c>
    </row>
    <row r="25" spans="2:4" x14ac:dyDescent="0.4">
      <c r="B25" s="2445" t="s">
        <v>113</v>
      </c>
      <c r="C25" s="2445"/>
      <c r="D25" s="203" t="s">
        <v>114</v>
      </c>
    </row>
    <row r="26" spans="2:4" ht="15" customHeight="1" x14ac:dyDescent="0.4">
      <c r="B26" s="2446" t="s">
        <v>115</v>
      </c>
      <c r="C26" s="2446"/>
      <c r="D26" s="203" t="s">
        <v>1459</v>
      </c>
    </row>
    <row r="27" spans="2:4" x14ac:dyDescent="0.4">
      <c r="B27" s="2447" t="s">
        <v>117</v>
      </c>
      <c r="C27" s="2448"/>
      <c r="D27" s="203" t="s">
        <v>1460</v>
      </c>
    </row>
    <row r="28" spans="2:4" ht="37.5" x14ac:dyDescent="0.4">
      <c r="B28" s="97" t="s">
        <v>118</v>
      </c>
      <c r="C28" s="98"/>
      <c r="D28" s="203" t="s">
        <v>1461</v>
      </c>
    </row>
    <row r="29" spans="2:4" ht="75" x14ac:dyDescent="0.4">
      <c r="B29" s="2449" t="s">
        <v>120</v>
      </c>
      <c r="C29" s="2450"/>
      <c r="D29" s="203" t="s">
        <v>1462</v>
      </c>
    </row>
    <row r="30" spans="2:4" x14ac:dyDescent="0.25">
      <c r="B30" s="628"/>
      <c r="C30" s="628"/>
    </row>
    <row r="31" spans="2:4" ht="23.25" customHeight="1" x14ac:dyDescent="0.25">
      <c r="B31" s="2604" t="s">
        <v>121</v>
      </c>
      <c r="C31" s="2604"/>
      <c r="D31" s="2604"/>
    </row>
    <row r="32" spans="2:4" x14ac:dyDescent="0.4">
      <c r="B32" s="2631" t="s">
        <v>122</v>
      </c>
      <c r="C32" s="2632"/>
      <c r="D32" s="686" t="s">
        <v>1463</v>
      </c>
    </row>
    <row r="33" spans="2:4" x14ac:dyDescent="0.4">
      <c r="B33" s="2442" t="s">
        <v>124</v>
      </c>
      <c r="C33" s="2443"/>
      <c r="D33" s="203" t="s">
        <v>1464</v>
      </c>
    </row>
    <row r="34" spans="2:4" x14ac:dyDescent="0.4">
      <c r="B34" s="2442" t="s">
        <v>126</v>
      </c>
      <c r="C34" s="2443"/>
      <c r="D34" s="203" t="s">
        <v>1465</v>
      </c>
    </row>
    <row r="35" spans="2:4" x14ac:dyDescent="0.4">
      <c r="B35" s="2442" t="s">
        <v>128</v>
      </c>
      <c r="C35" s="2443"/>
      <c r="D35" s="203" t="s">
        <v>1466</v>
      </c>
    </row>
    <row r="36" spans="2:4" x14ac:dyDescent="0.4">
      <c r="B36" s="2442" t="s">
        <v>130</v>
      </c>
      <c r="C36" s="2443"/>
      <c r="D36" s="274" t="s">
        <v>1467</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4" xr:uid="{DFF87285-707E-4907-BB14-713C0D40B93B}">
      <formula1>Tipo_operación</formula1>
    </dataValidation>
    <dataValidation type="list" allowBlank="1" showInputMessage="1" showErrorMessage="1" sqref="D14" xr:uid="{E21506FF-A891-4C84-87DE-EC019365DE3A}">
      <formula1>Tipo_indicador</formula1>
    </dataValidation>
    <dataValidation type="list" allowBlank="1" showInputMessage="1" showErrorMessage="1" sqref="D7" xr:uid="{E52D463D-379F-4FAF-AB08-DF86B4A6B246}">
      <formula1>Nombre_indicador_ODS</formula1>
    </dataValidation>
    <dataValidation type="list" allowBlank="1" showInputMessage="1" showErrorMessage="1" sqref="D6" xr:uid="{4911BA8C-952E-4E07-81CF-61B2239B1195}">
      <formula1>Numero_indicador</formula1>
    </dataValidation>
    <dataValidation type="list" allowBlank="1" showInputMessage="1" showErrorMessage="1" sqref="D5" xr:uid="{F7256E17-7642-4A4D-8574-8E34CE5AB4D7}">
      <formula1>Metas_ODS</formula1>
    </dataValidation>
    <dataValidation type="list" allowBlank="1" showInputMessage="1" showErrorMessage="1" sqref="D4" xr:uid="{FA74329D-1665-48B8-AE0F-8444DB60DF48}">
      <formula1>ODS</formula1>
    </dataValidation>
    <dataValidation allowBlank="1" showDropDown="1" showInputMessage="1" showErrorMessage="1" sqref="D13" xr:uid="{252FA792-2435-430A-92EB-45DE86164ACA}"/>
  </dataValidations>
  <hyperlinks>
    <hyperlink ref="B1" location="'3.8.2'!A1" display="REGRESAR" xr:uid="{C5CBF111-1345-4FA8-B9B8-F3C9C01D0AC5}"/>
    <hyperlink ref="D8" r:id="rId1" xr:uid="{FCE969AE-5DB2-4544-88EE-4CFEF9EBA76C}"/>
    <hyperlink ref="D36" r:id="rId2" xr:uid="{2B713814-E7C1-4BF5-AE63-ADBE203E4DE2}"/>
  </hyperlinks>
  <pageMargins left="0.7" right="0.7" top="0.75" bottom="0.75" header="0.3" footer="0.3"/>
  <pageSetup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1B12-7562-43B3-8A88-029E5F2E3B79}">
  <dimension ref="A1:AE139"/>
  <sheetViews>
    <sheetView showGridLines="0" zoomScaleNormal="100" workbookViewId="0">
      <pane ySplit="1" topLeftCell="A2" activePane="bottomLeft" state="frozen"/>
      <selection activeCell="R16" sqref="R16"/>
      <selection pane="bottomLeft"/>
    </sheetView>
  </sheetViews>
  <sheetFormatPr baseColWidth="10" defaultColWidth="11.42578125" defaultRowHeight="12.75" x14ac:dyDescent="0.25"/>
  <cols>
    <col min="1" max="2" width="15.28515625" style="22" customWidth="1"/>
    <col min="3" max="3" width="9.28515625" style="22" customWidth="1"/>
    <col min="4" max="4" width="12.140625" style="22" customWidth="1"/>
    <col min="5" max="5" width="7.28515625" style="22" customWidth="1"/>
    <col min="6" max="6" width="6.7109375" style="22" customWidth="1"/>
    <col min="7" max="7" width="7.5703125" style="22" customWidth="1"/>
    <col min="8" max="8" width="7.7109375" style="22" customWidth="1"/>
    <col min="9" max="9" width="8.28515625" style="22" customWidth="1"/>
    <col min="10" max="10" width="7.28515625" style="22" customWidth="1"/>
    <col min="11" max="12" width="7.7109375" style="22" customWidth="1"/>
    <col min="13" max="13" width="7" style="22" customWidth="1"/>
    <col min="14" max="14" width="7.28515625" style="22" customWidth="1"/>
    <col min="15" max="15" width="7" style="22" customWidth="1"/>
    <col min="16" max="16" width="8.5703125" style="22" customWidth="1"/>
    <col min="17" max="17" width="7.7109375" style="22" customWidth="1"/>
    <col min="18" max="18" width="7.5703125" style="22" customWidth="1"/>
    <col min="19" max="19" width="7.28515625" style="22" customWidth="1"/>
    <col min="20" max="20" width="8.7109375" style="22" customWidth="1"/>
    <col min="21" max="21" width="2.7109375" style="22" customWidth="1"/>
    <col min="22" max="22" width="7" style="22" customWidth="1"/>
    <col min="23" max="23" width="8.7109375" style="22" customWidth="1"/>
    <col min="24" max="24" width="9.28515625" style="22" customWidth="1"/>
    <col min="25" max="25" width="8.28515625" style="22" customWidth="1"/>
    <col min="26" max="26" width="11.42578125" style="22" customWidth="1"/>
    <col min="27" max="27" width="9.7109375" style="22" customWidth="1"/>
    <col min="28" max="28" width="8.5703125" style="22" customWidth="1"/>
    <col min="29" max="29" width="3.5703125" style="22" customWidth="1"/>
    <col min="30" max="30" width="10.5703125" style="22" customWidth="1"/>
    <col min="31" max="31" width="8.7109375" style="22" customWidth="1"/>
    <col min="32" max="16384" width="11.42578125" style="22"/>
  </cols>
  <sheetData>
    <row r="1" spans="1:31" s="16" customFormat="1" ht="19.5" x14ac:dyDescent="0.4">
      <c r="A1" s="15" t="s">
        <v>39</v>
      </c>
      <c r="C1" s="2421" t="s">
        <v>149</v>
      </c>
      <c r="D1" s="2421"/>
    </row>
    <row r="2" spans="1:31" s="16" customFormat="1" ht="19.5" x14ac:dyDescent="0.4"/>
    <row r="3" spans="1:31" s="16" customFormat="1" ht="18.600000000000001" customHeight="1" x14ac:dyDescent="0.4">
      <c r="A3" s="2574" t="s">
        <v>41</v>
      </c>
      <c r="B3" s="2574"/>
      <c r="C3" s="2574" t="s">
        <v>733</v>
      </c>
      <c r="D3" s="2574"/>
      <c r="E3" s="2574"/>
      <c r="F3" s="2574"/>
      <c r="G3" s="2574"/>
      <c r="H3" s="2574"/>
      <c r="I3" s="2574"/>
      <c r="J3" s="2574"/>
      <c r="K3" s="2574"/>
      <c r="L3" s="2574"/>
      <c r="M3" s="2574"/>
      <c r="N3" s="2574"/>
      <c r="O3" s="2574"/>
      <c r="P3" s="2574"/>
      <c r="Q3" s="2574"/>
      <c r="R3" s="2574"/>
      <c r="S3" s="2574"/>
      <c r="T3" s="2574"/>
      <c r="U3" s="2574"/>
      <c r="V3" s="2574"/>
      <c r="W3" s="2574"/>
      <c r="X3" s="2574"/>
    </row>
    <row r="4" spans="1:31" s="16" customFormat="1" ht="18.600000000000001" customHeight="1" x14ac:dyDescent="0.4">
      <c r="A4" s="2574" t="s">
        <v>42</v>
      </c>
      <c r="B4" s="2574"/>
      <c r="C4" s="2574" t="s">
        <v>708</v>
      </c>
      <c r="D4" s="2574"/>
      <c r="E4" s="2574"/>
      <c r="F4" s="2574"/>
      <c r="G4" s="2574"/>
      <c r="H4" s="2574"/>
      <c r="I4" s="2574"/>
      <c r="J4" s="2574"/>
      <c r="K4" s="2574"/>
      <c r="L4" s="2574"/>
      <c r="M4" s="2574"/>
      <c r="N4" s="2574"/>
      <c r="O4" s="2574"/>
      <c r="P4" s="2574"/>
      <c r="Q4" s="2574"/>
      <c r="R4" s="2574"/>
      <c r="S4" s="2574"/>
      <c r="T4" s="2574"/>
      <c r="U4" s="2574"/>
      <c r="V4" s="2574"/>
      <c r="W4" s="2574"/>
      <c r="X4" s="2574"/>
    </row>
    <row r="5" spans="1:31" s="16" customFormat="1" ht="18.600000000000001" customHeight="1" x14ac:dyDescent="0.4">
      <c r="A5" s="2574" t="s">
        <v>43</v>
      </c>
      <c r="B5" s="2574"/>
      <c r="C5" s="2574" t="s">
        <v>710</v>
      </c>
      <c r="D5" s="2574"/>
      <c r="E5" s="2574"/>
      <c r="F5" s="2574"/>
      <c r="G5" s="2574"/>
      <c r="H5" s="2574"/>
      <c r="I5" s="2574"/>
      <c r="J5" s="2574"/>
      <c r="K5" s="2574"/>
      <c r="L5" s="2574"/>
      <c r="M5" s="2574"/>
      <c r="N5" s="2574"/>
      <c r="O5" s="2574"/>
      <c r="P5" s="2574"/>
      <c r="Q5" s="2574"/>
      <c r="R5" s="2574"/>
      <c r="S5" s="2574"/>
      <c r="T5" s="2574"/>
      <c r="U5" s="2574"/>
      <c r="V5" s="2574"/>
      <c r="W5" s="2574"/>
      <c r="X5" s="2574"/>
    </row>
    <row r="6" spans="1:31" s="16" customFormat="1" ht="38.450000000000003" customHeight="1" x14ac:dyDescent="0.4">
      <c r="A6" s="2574" t="s">
        <v>132</v>
      </c>
      <c r="B6" s="2575"/>
      <c r="C6" s="2574" t="s">
        <v>1468</v>
      </c>
      <c r="D6" s="2574"/>
      <c r="E6" s="2574"/>
      <c r="F6" s="2574"/>
      <c r="G6" s="2574"/>
      <c r="H6" s="2574"/>
      <c r="I6" s="2574"/>
      <c r="J6" s="2574"/>
      <c r="K6" s="2574"/>
      <c r="L6" s="2574"/>
      <c r="M6" s="2574"/>
      <c r="N6" s="2574"/>
      <c r="O6" s="2574"/>
      <c r="P6" s="2574"/>
      <c r="Q6" s="2574"/>
      <c r="R6" s="2574"/>
      <c r="S6" s="2574"/>
      <c r="T6" s="2574"/>
      <c r="U6" s="2574"/>
      <c r="V6" s="2574"/>
      <c r="W6" s="2574"/>
      <c r="X6" s="2574"/>
    </row>
    <row r="7" spans="1:31" s="16" customFormat="1" ht="19.5" x14ac:dyDescent="0.4"/>
    <row r="8" spans="1:31" s="16" customFormat="1" ht="19.5" x14ac:dyDescent="0.4"/>
    <row r="9" spans="1:31" s="16" customFormat="1" ht="17.45" customHeight="1" x14ac:dyDescent="0.4">
      <c r="C9" s="138" t="s">
        <v>1469</v>
      </c>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row>
    <row r="10" spans="1:31" s="16" customFormat="1" ht="17.45" customHeight="1" x14ac:dyDescent="0.4">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row>
    <row r="11" spans="1:31" ht="12.75" customHeight="1" x14ac:dyDescent="0.25">
      <c r="C11" s="2576" t="s">
        <v>247</v>
      </c>
      <c r="D11" s="2578" t="s">
        <v>47</v>
      </c>
      <c r="E11" s="2581" t="s">
        <v>737</v>
      </c>
      <c r="F11" s="2581"/>
      <c r="G11" s="2581"/>
      <c r="H11" s="2581"/>
      <c r="I11" s="2581"/>
      <c r="J11" s="2581"/>
      <c r="K11" s="2581"/>
      <c r="L11" s="2581"/>
      <c r="M11" s="2581"/>
      <c r="N11" s="2581"/>
      <c r="O11" s="2581"/>
      <c r="P11" s="2581"/>
      <c r="Q11" s="2581"/>
      <c r="R11" s="2581"/>
      <c r="S11" s="2581"/>
      <c r="T11" s="2581"/>
      <c r="U11" s="408"/>
      <c r="V11" s="2581" t="s">
        <v>8179</v>
      </c>
      <c r="W11" s="2581"/>
      <c r="X11" s="2581"/>
      <c r="Y11" s="2581"/>
      <c r="Z11" s="2581"/>
      <c r="AA11" s="2581"/>
      <c r="AB11" s="2581"/>
      <c r="AC11" s="408"/>
      <c r="AD11" s="2581" t="s">
        <v>48</v>
      </c>
      <c r="AE11" s="2581"/>
    </row>
    <row r="12" spans="1:31" ht="37.5" x14ac:dyDescent="0.25">
      <c r="C12" s="2577"/>
      <c r="D12" s="2579"/>
      <c r="E12" s="412" t="s">
        <v>1329</v>
      </c>
      <c r="F12" s="412" t="s">
        <v>1470</v>
      </c>
      <c r="G12" s="412" t="s">
        <v>857</v>
      </c>
      <c r="H12" s="412" t="s">
        <v>858</v>
      </c>
      <c r="I12" s="412" t="s">
        <v>859</v>
      </c>
      <c r="J12" s="412" t="s">
        <v>860</v>
      </c>
      <c r="K12" s="412" t="s">
        <v>861</v>
      </c>
      <c r="L12" s="412" t="s">
        <v>862</v>
      </c>
      <c r="M12" s="412" t="s">
        <v>1203</v>
      </c>
      <c r="N12" s="412" t="s">
        <v>1204</v>
      </c>
      <c r="O12" s="412" t="s">
        <v>1205</v>
      </c>
      <c r="P12" s="412" t="s">
        <v>1206</v>
      </c>
      <c r="Q12" s="412" t="s">
        <v>1207</v>
      </c>
      <c r="R12" s="412" t="s">
        <v>1208</v>
      </c>
      <c r="S12" s="412" t="s">
        <v>1223</v>
      </c>
      <c r="T12" s="412" t="s">
        <v>1224</v>
      </c>
      <c r="U12" s="412"/>
      <c r="V12" s="412" t="s">
        <v>328</v>
      </c>
      <c r="W12" s="412" t="s">
        <v>329</v>
      </c>
      <c r="X12" s="412" t="s">
        <v>330</v>
      </c>
      <c r="Y12" s="412" t="s">
        <v>331</v>
      </c>
      <c r="Z12" s="412" t="s">
        <v>1471</v>
      </c>
      <c r="AA12" s="412" t="s">
        <v>533</v>
      </c>
      <c r="AB12" s="412" t="s">
        <v>334</v>
      </c>
      <c r="AC12" s="412"/>
      <c r="AD12" s="412" t="s">
        <v>894</v>
      </c>
      <c r="AE12" s="412" t="s">
        <v>895</v>
      </c>
    </row>
    <row r="13" spans="1:31" ht="18.75" x14ac:dyDescent="0.4">
      <c r="C13" s="2378">
        <v>2010</v>
      </c>
      <c r="D13" s="413">
        <v>18.218335055914409</v>
      </c>
      <c r="E13" s="413">
        <v>0.54682010438795792</v>
      </c>
      <c r="F13" s="413">
        <v>0</v>
      </c>
      <c r="G13" s="413">
        <v>0</v>
      </c>
      <c r="H13" s="413">
        <v>0</v>
      </c>
      <c r="I13" s="413">
        <v>0</v>
      </c>
      <c r="J13" s="413">
        <v>0</v>
      </c>
      <c r="K13" s="413">
        <v>0.56025233765287885</v>
      </c>
      <c r="L13" s="413">
        <v>0.97005755674836702</v>
      </c>
      <c r="M13" s="413">
        <v>0</v>
      </c>
      <c r="N13" s="413">
        <v>1.7367563643436972</v>
      </c>
      <c r="O13" s="413">
        <v>3.2900959885504659</v>
      </c>
      <c r="P13" s="413">
        <v>12.189176011701608</v>
      </c>
      <c r="Q13" s="379">
        <v>19.597940708691688</v>
      </c>
      <c r="R13" s="413">
        <v>45.855199470117697</v>
      </c>
      <c r="S13" s="379">
        <v>126.31182896840861</v>
      </c>
      <c r="T13" s="413">
        <v>513.66020297058503</v>
      </c>
      <c r="U13" s="413"/>
      <c r="V13" s="2603" t="s">
        <v>8178</v>
      </c>
      <c r="W13" s="2603"/>
      <c r="X13" s="2603"/>
      <c r="Y13" s="2603"/>
      <c r="Z13" s="2603"/>
      <c r="AA13" s="2603"/>
      <c r="AB13" s="2603"/>
      <c r="AC13" s="413"/>
      <c r="AD13" s="413">
        <v>19.238134956607318</v>
      </c>
      <c r="AE13" s="413">
        <v>17.175446516997894</v>
      </c>
    </row>
    <row r="14" spans="1:31" ht="18.75" x14ac:dyDescent="0.4">
      <c r="C14" s="2382">
        <v>2011</v>
      </c>
      <c r="D14" s="413">
        <v>15.657157465927174</v>
      </c>
      <c r="E14" s="413">
        <v>0.27450506736354352</v>
      </c>
      <c r="F14" s="413">
        <v>0.27442672257653761</v>
      </c>
      <c r="G14" s="413">
        <v>0</v>
      </c>
      <c r="H14" s="413">
        <v>0</v>
      </c>
      <c r="I14" s="413">
        <v>0</v>
      </c>
      <c r="J14" s="413">
        <v>0</v>
      </c>
      <c r="K14" s="413">
        <v>0</v>
      </c>
      <c r="L14" s="413">
        <v>0.63577843121672095</v>
      </c>
      <c r="M14" s="413">
        <v>1.0029855536647421</v>
      </c>
      <c r="N14" s="413">
        <v>1.0316758887028052</v>
      </c>
      <c r="O14" s="413">
        <v>1.1897915881734715</v>
      </c>
      <c r="P14" s="413">
        <v>5.5117952418174889</v>
      </c>
      <c r="Q14" s="379">
        <v>22.134477662027944</v>
      </c>
      <c r="R14" s="413">
        <v>36.97936940443752</v>
      </c>
      <c r="S14" s="379">
        <v>92.35171696149844</v>
      </c>
      <c r="T14" s="413">
        <v>445.17169189306259</v>
      </c>
      <c r="U14" s="413"/>
      <c r="V14" s="2572"/>
      <c r="W14" s="2572"/>
      <c r="X14" s="2572"/>
      <c r="Y14" s="2572"/>
      <c r="Z14" s="2572"/>
      <c r="AA14" s="2572"/>
      <c r="AB14" s="2572"/>
      <c r="AC14" s="413"/>
      <c r="AD14" s="413">
        <v>16.800496260812626</v>
      </c>
      <c r="AE14" s="413">
        <v>14.488356249744031</v>
      </c>
    </row>
    <row r="15" spans="1:31" ht="18.75" x14ac:dyDescent="0.4">
      <c r="C15" s="2378">
        <v>2012</v>
      </c>
      <c r="D15" s="413">
        <v>16.679351964008305</v>
      </c>
      <c r="E15" s="413">
        <v>0</v>
      </c>
      <c r="F15" s="413">
        <v>0</v>
      </c>
      <c r="G15" s="413">
        <v>0</v>
      </c>
      <c r="H15" s="413">
        <v>0.23635226638558382</v>
      </c>
      <c r="I15" s="413">
        <v>0</v>
      </c>
      <c r="J15" s="413">
        <v>0</v>
      </c>
      <c r="K15" s="413">
        <v>0</v>
      </c>
      <c r="L15" s="413">
        <v>0</v>
      </c>
      <c r="M15" s="413">
        <v>0.33445516894478866</v>
      </c>
      <c r="N15" s="413">
        <v>1.0173026840949952</v>
      </c>
      <c r="O15" s="413">
        <v>1.1488344107908179</v>
      </c>
      <c r="P15" s="413">
        <v>4.7793872424097108</v>
      </c>
      <c r="Q15" s="379">
        <v>11.363047031666571</v>
      </c>
      <c r="R15" s="413">
        <v>27.833453230513033</v>
      </c>
      <c r="S15" s="379">
        <v>75.736770522618301</v>
      </c>
      <c r="T15" s="413">
        <v>504.53468173547481</v>
      </c>
      <c r="U15" s="413"/>
      <c r="V15" s="2572"/>
      <c r="W15" s="2572"/>
      <c r="X15" s="2572"/>
      <c r="Y15" s="2572"/>
      <c r="Z15" s="2572"/>
      <c r="AA15" s="2572"/>
      <c r="AB15" s="2572"/>
      <c r="AC15" s="413"/>
      <c r="AD15" s="413">
        <v>17.949564127053872</v>
      </c>
      <c r="AE15" s="413">
        <v>15.381761563560143</v>
      </c>
    </row>
    <row r="16" spans="1:31" ht="18.75" x14ac:dyDescent="0.4">
      <c r="C16" s="2378">
        <v>2013</v>
      </c>
      <c r="D16" s="413">
        <v>16.082600434730328</v>
      </c>
      <c r="E16" s="413">
        <v>0</v>
      </c>
      <c r="F16" s="413">
        <v>0</v>
      </c>
      <c r="G16" s="413">
        <v>0</v>
      </c>
      <c r="H16" s="413">
        <v>0.23925740814507956</v>
      </c>
      <c r="I16" s="413">
        <v>0.68056007555627096</v>
      </c>
      <c r="J16" s="413">
        <v>0.45251053715003842</v>
      </c>
      <c r="K16" s="413">
        <v>0</v>
      </c>
      <c r="L16" s="413">
        <v>0</v>
      </c>
      <c r="M16" s="413">
        <v>0.66643514676261961</v>
      </c>
      <c r="N16" s="413">
        <v>0.67499340441869604</v>
      </c>
      <c r="O16" s="413">
        <v>2.2353609714131979</v>
      </c>
      <c r="P16" s="413">
        <v>5.5041415047236386</v>
      </c>
      <c r="Q16" s="379">
        <v>13.795061616246056</v>
      </c>
      <c r="R16" s="413">
        <v>27.465260386929742</v>
      </c>
      <c r="S16" s="379">
        <v>78.273116217567733</v>
      </c>
      <c r="T16" s="413">
        <v>459.80023437208092</v>
      </c>
      <c r="U16" s="413"/>
      <c r="V16" s="2572"/>
      <c r="W16" s="2572"/>
      <c r="X16" s="2572"/>
      <c r="Y16" s="2572"/>
      <c r="Z16" s="2572"/>
      <c r="AA16" s="2572"/>
      <c r="AB16" s="2572"/>
      <c r="AC16" s="413"/>
      <c r="AD16" s="413">
        <v>16.59071348121795</v>
      </c>
      <c r="AE16" s="413">
        <v>15.563914362970506</v>
      </c>
    </row>
    <row r="17" spans="1:31" ht="18.75" x14ac:dyDescent="0.4">
      <c r="A17" s="23"/>
      <c r="C17" s="2378">
        <v>2014</v>
      </c>
      <c r="D17" s="413">
        <v>17.095700542615699</v>
      </c>
      <c r="E17" s="413">
        <v>0</v>
      </c>
      <c r="F17" s="413">
        <v>0</v>
      </c>
      <c r="G17" s="413">
        <v>0</v>
      </c>
      <c r="H17" s="413">
        <v>0.24173942847791952</v>
      </c>
      <c r="I17" s="413">
        <v>0</v>
      </c>
      <c r="J17" s="413">
        <v>0</v>
      </c>
      <c r="K17" s="413">
        <v>0</v>
      </c>
      <c r="L17" s="413">
        <v>0.29123817600615476</v>
      </c>
      <c r="M17" s="413">
        <v>0.66022948074730137</v>
      </c>
      <c r="N17" s="413">
        <v>0.33840647105901495</v>
      </c>
      <c r="O17" s="413">
        <v>1.4533351777483299</v>
      </c>
      <c r="P17" s="413">
        <v>3.9718062794707283</v>
      </c>
      <c r="Q17" s="379">
        <v>14.717279388736637</v>
      </c>
      <c r="R17" s="413">
        <v>28.737160924704156</v>
      </c>
      <c r="S17" s="379">
        <v>71.743346452865978</v>
      </c>
      <c r="T17" s="413">
        <v>492.02589804711909</v>
      </c>
      <c r="U17" s="413"/>
      <c r="V17" s="2572"/>
      <c r="W17" s="2572"/>
      <c r="X17" s="2572"/>
      <c r="Y17" s="2572"/>
      <c r="Z17" s="2572"/>
      <c r="AA17" s="2572"/>
      <c r="AB17" s="2572"/>
      <c r="AC17" s="413"/>
      <c r="AD17" s="413">
        <v>17.300588083529263</v>
      </c>
      <c r="AE17" s="413">
        <v>16.88669276601621</v>
      </c>
    </row>
    <row r="18" spans="1:31" ht="18.75" x14ac:dyDescent="0.4">
      <c r="A18" s="23"/>
      <c r="C18" s="2378">
        <v>2015</v>
      </c>
      <c r="D18" s="413">
        <v>15.769104505594788</v>
      </c>
      <c r="E18" s="413">
        <v>0.27277390911969135</v>
      </c>
      <c r="F18" s="413">
        <v>0</v>
      </c>
      <c r="G18" s="413">
        <v>0</v>
      </c>
      <c r="H18" s="413">
        <v>0</v>
      </c>
      <c r="I18" s="413">
        <v>0</v>
      </c>
      <c r="J18" s="413">
        <v>0</v>
      </c>
      <c r="K18" s="413">
        <v>0.24220404400535359</v>
      </c>
      <c r="L18" s="413">
        <v>0.56108983191877471</v>
      </c>
      <c r="M18" s="413">
        <v>0.97947539221880742</v>
      </c>
      <c r="N18" s="413">
        <v>1.0205121384827953</v>
      </c>
      <c r="O18" s="413">
        <v>0.35722813380675816</v>
      </c>
      <c r="P18" s="413">
        <v>7.6484719606537022</v>
      </c>
      <c r="Q18" s="379">
        <v>7.1901309929360027</v>
      </c>
      <c r="R18" s="413">
        <v>24.923908780903737</v>
      </c>
      <c r="S18" s="379">
        <v>72.032266577858024</v>
      </c>
      <c r="T18" s="413">
        <v>438.87709360883144</v>
      </c>
      <c r="U18" s="413"/>
      <c r="V18" s="2572"/>
      <c r="W18" s="2572"/>
      <c r="X18" s="2572"/>
      <c r="Y18" s="2572"/>
      <c r="Z18" s="2572"/>
      <c r="AA18" s="2572"/>
      <c r="AB18" s="2572"/>
      <c r="AC18" s="413"/>
      <c r="AD18" s="413">
        <v>16.479915202726943</v>
      </c>
      <c r="AE18" s="413">
        <v>15.044501173030781</v>
      </c>
    </row>
    <row r="19" spans="1:31" ht="18.75" x14ac:dyDescent="0.4">
      <c r="A19" s="23"/>
      <c r="C19" s="2382">
        <v>2016</v>
      </c>
      <c r="D19" s="413">
        <v>18.383031598756347</v>
      </c>
      <c r="E19" s="413">
        <v>0</v>
      </c>
      <c r="F19" s="413">
        <v>0</v>
      </c>
      <c r="G19" s="413">
        <v>0.27089518556506992</v>
      </c>
      <c r="H19" s="413">
        <v>0</v>
      </c>
      <c r="I19" s="413">
        <v>0</v>
      </c>
      <c r="J19" s="413">
        <v>0</v>
      </c>
      <c r="K19" s="413">
        <v>0.23304289021527708</v>
      </c>
      <c r="L19" s="413">
        <v>0</v>
      </c>
      <c r="M19" s="413">
        <v>0.64240783469381724</v>
      </c>
      <c r="N19" s="413">
        <v>0.34128843586057506</v>
      </c>
      <c r="O19" s="413">
        <v>1.0591499855962321</v>
      </c>
      <c r="P19" s="413">
        <v>4.0919862150836623</v>
      </c>
      <c r="Q19" s="379">
        <v>16.203255819718141</v>
      </c>
      <c r="R19" s="413">
        <v>23.589879035860562</v>
      </c>
      <c r="S19" s="379">
        <v>70.963119705989641</v>
      </c>
      <c r="T19" s="413">
        <v>511.72013456677871</v>
      </c>
      <c r="U19" s="413"/>
      <c r="V19" s="2572"/>
      <c r="W19" s="2572"/>
      <c r="X19" s="2572"/>
      <c r="Y19" s="2572"/>
      <c r="Z19" s="2572"/>
      <c r="AA19" s="2572"/>
      <c r="AB19" s="2572"/>
      <c r="AC19" s="413"/>
      <c r="AD19" s="413">
        <v>18.356217150270339</v>
      </c>
      <c r="AE19" s="413">
        <v>18.410347215133864</v>
      </c>
    </row>
    <row r="20" spans="1:31" ht="18.75" x14ac:dyDescent="0.4">
      <c r="A20" s="23"/>
      <c r="C20" s="2382">
        <v>2017</v>
      </c>
      <c r="D20" s="413">
        <v>17.645312507140222</v>
      </c>
      <c r="E20" s="413">
        <v>0</v>
      </c>
      <c r="F20" s="413">
        <v>0</v>
      </c>
      <c r="G20" s="413">
        <v>0</v>
      </c>
      <c r="H20" s="413">
        <v>0.49741667903921505</v>
      </c>
      <c r="I20" s="413">
        <v>0</v>
      </c>
      <c r="J20" s="413">
        <v>0.22410497172598612</v>
      </c>
      <c r="K20" s="413">
        <v>0</v>
      </c>
      <c r="L20" s="413">
        <v>1.839431714087437</v>
      </c>
      <c r="M20" s="413">
        <v>0.31461037261050767</v>
      </c>
      <c r="N20" s="413">
        <v>0.3421054385190947</v>
      </c>
      <c r="O20" s="413">
        <v>1.3962695662183502</v>
      </c>
      <c r="P20" s="413">
        <v>3.5636132628077108</v>
      </c>
      <c r="Q20" s="379">
        <v>13.976183221066512</v>
      </c>
      <c r="R20" s="413">
        <v>28.503029671331056</v>
      </c>
      <c r="S20" s="379">
        <v>65.636589913057563</v>
      </c>
      <c r="T20" s="413">
        <v>471.06025805166331</v>
      </c>
      <c r="U20" s="413"/>
      <c r="V20" s="2572"/>
      <c r="W20" s="2572"/>
      <c r="X20" s="2572"/>
      <c r="Y20" s="2572"/>
      <c r="Z20" s="2572"/>
      <c r="AA20" s="2572"/>
      <c r="AB20" s="2572"/>
      <c r="AC20" s="413"/>
      <c r="AD20" s="413">
        <v>18.110645354013844</v>
      </c>
      <c r="AE20" s="413">
        <v>17.171619069790552</v>
      </c>
    </row>
    <row r="21" spans="1:31" ht="18.75" x14ac:dyDescent="0.4">
      <c r="A21" s="23"/>
      <c r="C21" s="2382">
        <v>2018</v>
      </c>
      <c r="D21" s="413">
        <v>17.248264426900381</v>
      </c>
      <c r="E21" s="413">
        <v>0</v>
      </c>
      <c r="F21" s="413">
        <v>0</v>
      </c>
      <c r="G21" s="413">
        <v>0</v>
      </c>
      <c r="H21" s="413">
        <v>0.50719199005208138</v>
      </c>
      <c r="I21" s="413">
        <v>0.23408767699590485</v>
      </c>
      <c r="J21" s="413">
        <v>0.22311413320586446</v>
      </c>
      <c r="K21" s="413">
        <v>0.6739474028955833</v>
      </c>
      <c r="L21" s="413">
        <v>0</v>
      </c>
      <c r="M21" s="413">
        <v>0</v>
      </c>
      <c r="N21" s="413">
        <v>2.3830932211167508</v>
      </c>
      <c r="O21" s="413">
        <v>0.69382710552347382</v>
      </c>
      <c r="P21" s="413">
        <v>4.2321240135864402</v>
      </c>
      <c r="Q21" s="379">
        <v>7.1786539898012887</v>
      </c>
      <c r="R21" s="413">
        <v>26.708898608976174</v>
      </c>
      <c r="S21" s="379">
        <v>77.275024466819531</v>
      </c>
      <c r="T21" s="413">
        <v>446.38649438580592</v>
      </c>
      <c r="U21" s="413"/>
      <c r="V21" s="2572"/>
      <c r="W21" s="2572"/>
      <c r="X21" s="2572"/>
      <c r="Y21" s="2572"/>
      <c r="Z21" s="2572"/>
      <c r="AA21" s="2572"/>
      <c r="AB21" s="2572"/>
      <c r="AC21" s="413"/>
      <c r="AD21" s="413">
        <v>16.567106838110298</v>
      </c>
      <c r="AE21" s="413">
        <v>17.941159883758164</v>
      </c>
    </row>
    <row r="22" spans="1:31" ht="18.75" x14ac:dyDescent="0.4">
      <c r="A22" s="23"/>
      <c r="C22" s="2382">
        <v>2019</v>
      </c>
      <c r="D22" s="413">
        <v>18.782100782960082</v>
      </c>
      <c r="E22" s="413">
        <v>0.27174524759086255</v>
      </c>
      <c r="F22" s="413">
        <v>0</v>
      </c>
      <c r="G22" s="413">
        <v>0</v>
      </c>
      <c r="H22" s="413">
        <v>0</v>
      </c>
      <c r="I22" s="413">
        <v>0</v>
      </c>
      <c r="J22" s="413">
        <v>0</v>
      </c>
      <c r="K22" s="413">
        <v>0</v>
      </c>
      <c r="L22" s="413">
        <v>0.25160581289945605</v>
      </c>
      <c r="M22" s="413">
        <v>1.4717021954105514</v>
      </c>
      <c r="N22" s="413">
        <v>0.67392748936140445</v>
      </c>
      <c r="O22" s="413">
        <v>1.7374115065937648</v>
      </c>
      <c r="P22" s="413">
        <v>7.1211831505295642</v>
      </c>
      <c r="Q22" s="379">
        <v>11.040980245113456</v>
      </c>
      <c r="R22" s="413">
        <v>36.317876719148892</v>
      </c>
      <c r="S22" s="379">
        <v>70.82006011601959</v>
      </c>
      <c r="T22" s="413">
        <v>464.86711706863809</v>
      </c>
      <c r="U22" s="413"/>
      <c r="V22" s="2572"/>
      <c r="W22" s="2572"/>
      <c r="X22" s="2572"/>
      <c r="Y22" s="2572"/>
      <c r="Z22" s="2572"/>
      <c r="AA22" s="2572"/>
      <c r="AB22" s="2572"/>
      <c r="AC22" s="413"/>
      <c r="AD22" s="413">
        <v>19.57110393690548</v>
      </c>
      <c r="AE22" s="413">
        <v>17.980091637837681</v>
      </c>
    </row>
    <row r="23" spans="1:31" ht="18.75" x14ac:dyDescent="0.4">
      <c r="A23" s="23"/>
      <c r="C23" s="2382">
        <v>2020</v>
      </c>
      <c r="D23" s="413">
        <v>17.334351530423021</v>
      </c>
      <c r="E23" s="413">
        <v>0</v>
      </c>
      <c r="F23" s="413">
        <v>0</v>
      </c>
      <c r="G23" s="413">
        <v>0</v>
      </c>
      <c r="H23" s="413">
        <v>0</v>
      </c>
      <c r="I23" s="413">
        <v>0</v>
      </c>
      <c r="J23" s="413">
        <v>0.22616448948382281</v>
      </c>
      <c r="K23" s="413">
        <v>0</v>
      </c>
      <c r="L23" s="413">
        <v>0.72896362735144005</v>
      </c>
      <c r="M23" s="413">
        <v>1.1337588461805281</v>
      </c>
      <c r="N23" s="413">
        <v>1.6650475945842631</v>
      </c>
      <c r="O23" s="413">
        <v>2.0941167301829946</v>
      </c>
      <c r="P23" s="413">
        <v>4.0501247301297498</v>
      </c>
      <c r="Q23" s="379">
        <v>10.178409678557381</v>
      </c>
      <c r="R23" s="413">
        <v>24.09410355463908</v>
      </c>
      <c r="S23" s="379">
        <v>61.064035381765443</v>
      </c>
      <c r="T23" s="413">
        <v>425.50588306462186</v>
      </c>
      <c r="U23" s="413"/>
      <c r="V23" s="2572"/>
      <c r="W23" s="2572"/>
      <c r="X23" s="2572"/>
      <c r="Y23" s="2572"/>
      <c r="Z23" s="2572"/>
      <c r="AA23" s="2572"/>
      <c r="AB23" s="2572"/>
      <c r="AC23" s="413"/>
      <c r="AD23" s="413">
        <v>18.170873657380742</v>
      </c>
      <c r="AE23" s="413">
        <v>16.4846787908835</v>
      </c>
    </row>
    <row r="24" spans="1:31" ht="18.75" x14ac:dyDescent="0.4">
      <c r="A24" s="23"/>
      <c r="C24" s="2382">
        <v>2021</v>
      </c>
      <c r="D24" s="413">
        <v>17.722124167096425</v>
      </c>
      <c r="E24" s="413">
        <v>0</v>
      </c>
      <c r="F24" s="413">
        <v>0</v>
      </c>
      <c r="G24" s="413">
        <v>0</v>
      </c>
      <c r="H24" s="413">
        <v>0</v>
      </c>
      <c r="I24" s="413">
        <v>0.48138599785398212</v>
      </c>
      <c r="J24" s="413">
        <v>0.22660247065599706</v>
      </c>
      <c r="K24" s="413">
        <v>0.22269629515929062</v>
      </c>
      <c r="L24" s="413">
        <v>0.23383458146422242</v>
      </c>
      <c r="M24" s="413">
        <v>1.0961154854521773</v>
      </c>
      <c r="N24" s="413">
        <v>1.6368855864423826</v>
      </c>
      <c r="O24" s="413">
        <v>2.0995865886048106</v>
      </c>
      <c r="P24" s="413">
        <v>4.0000026850594921</v>
      </c>
      <c r="Q24" s="379">
        <v>11.496451772090978</v>
      </c>
      <c r="R24" s="413">
        <v>35.508388405969299</v>
      </c>
      <c r="S24" s="379">
        <v>59.373501707835494</v>
      </c>
      <c r="T24" s="413">
        <v>407.45670260598501</v>
      </c>
      <c r="U24" s="413"/>
      <c r="V24" s="2572"/>
      <c r="W24" s="2572"/>
      <c r="X24" s="2572"/>
      <c r="Y24" s="2572"/>
      <c r="Z24" s="2572"/>
      <c r="AA24" s="2572"/>
      <c r="AB24" s="2572"/>
      <c r="AC24" s="413"/>
      <c r="AD24" s="413">
        <v>18.918273676263883</v>
      </c>
      <c r="AE24" s="413">
        <v>16.508104018168851</v>
      </c>
    </row>
    <row r="25" spans="1:31" ht="18.75" x14ac:dyDescent="0.4">
      <c r="A25" s="23"/>
      <c r="C25" s="2382">
        <v>2022</v>
      </c>
      <c r="D25" s="413">
        <v>18.605994146014247</v>
      </c>
      <c r="E25" s="413">
        <v>0</v>
      </c>
      <c r="F25" s="413">
        <v>0</v>
      </c>
      <c r="G25" s="413">
        <v>0</v>
      </c>
      <c r="H25" s="413">
        <v>0.26907143799499633</v>
      </c>
      <c r="I25" s="413">
        <v>0.24387664828184857</v>
      </c>
      <c r="J25" s="413">
        <v>0.68370843454829877</v>
      </c>
      <c r="K25" s="413">
        <v>0.22292010545974372</v>
      </c>
      <c r="L25" s="413">
        <v>0.45814538061617838</v>
      </c>
      <c r="M25" s="413">
        <v>0.79596632524429134</v>
      </c>
      <c r="N25" s="413">
        <v>1.2817492962210726</v>
      </c>
      <c r="O25" s="413">
        <v>0.70110746463357376</v>
      </c>
      <c r="P25" s="413">
        <v>5.3895693096706818</v>
      </c>
      <c r="Q25" s="379">
        <v>8.2340506385499079</v>
      </c>
      <c r="R25" s="413">
        <v>29.114661906697954</v>
      </c>
      <c r="S25" s="379">
        <v>69.576015965692065</v>
      </c>
      <c r="T25" s="413">
        <v>419.90575581748993</v>
      </c>
      <c r="U25" s="413"/>
      <c r="V25" s="2572"/>
      <c r="W25" s="2572"/>
      <c r="X25" s="2572"/>
      <c r="Y25" s="2572"/>
      <c r="Z25" s="2572"/>
      <c r="AA25" s="2572"/>
      <c r="AB25" s="2572"/>
      <c r="AC25" s="413"/>
      <c r="AD25" s="413">
        <v>18.933413434114094</v>
      </c>
      <c r="AE25" s="413">
        <v>18.273944597975149</v>
      </c>
    </row>
    <row r="26" spans="1:31" ht="18.75" x14ac:dyDescent="0.4">
      <c r="A26" s="23"/>
      <c r="C26" s="2382">
        <v>2023</v>
      </c>
      <c r="D26" s="413">
        <v>19.117345838359046</v>
      </c>
      <c r="E26" s="413">
        <v>0.28006239938996175</v>
      </c>
      <c r="F26" s="413">
        <v>0</v>
      </c>
      <c r="G26" s="413">
        <v>0</v>
      </c>
      <c r="H26" s="413">
        <v>0.2664570102634497</v>
      </c>
      <c r="I26" s="413">
        <v>0.74613800038515943</v>
      </c>
      <c r="J26" s="413">
        <v>0.2309294053126158</v>
      </c>
      <c r="K26" s="413">
        <v>0.44400087425816637</v>
      </c>
      <c r="L26" s="413">
        <v>0</v>
      </c>
      <c r="M26" s="413">
        <v>1.0403522928896078</v>
      </c>
      <c r="N26" s="413">
        <v>0.92910108178093265</v>
      </c>
      <c r="O26" s="413">
        <v>1.0458849365426961</v>
      </c>
      <c r="P26" s="413">
        <v>3.2120171579384555</v>
      </c>
      <c r="Q26" s="379">
        <v>12.792562882163708</v>
      </c>
      <c r="R26" s="413">
        <v>25.355806072842881</v>
      </c>
      <c r="S26" s="379">
        <v>63.639377118641761</v>
      </c>
      <c r="T26" s="413">
        <v>420.84193552576426</v>
      </c>
      <c r="U26" s="413"/>
      <c r="V26" s="2572"/>
      <c r="W26" s="2572"/>
      <c r="X26" s="2572"/>
      <c r="Y26" s="2572"/>
      <c r="Z26" s="2572"/>
      <c r="AA26" s="2572"/>
      <c r="AB26" s="2572"/>
      <c r="AC26" s="413"/>
      <c r="AD26" s="413">
        <v>19.633523037702634</v>
      </c>
      <c r="AE26" s="413">
        <v>18.594290936114561</v>
      </c>
    </row>
    <row r="27" spans="1:31" ht="19.5" x14ac:dyDescent="0.4">
      <c r="A27" s="23"/>
      <c r="C27" s="383" t="s">
        <v>8168</v>
      </c>
      <c r="D27" s="420">
        <v>19.117345838359046</v>
      </c>
      <c r="E27" s="420">
        <v>0.28006239938996175</v>
      </c>
      <c r="F27" s="420">
        <v>0</v>
      </c>
      <c r="G27" s="420">
        <v>0</v>
      </c>
      <c r="H27" s="420">
        <v>0.2664570102634497</v>
      </c>
      <c r="I27" s="420">
        <v>0.74613800038515943</v>
      </c>
      <c r="J27" s="420">
        <v>0.2309294053126158</v>
      </c>
      <c r="K27" s="420">
        <v>0.44400087425816637</v>
      </c>
      <c r="L27" s="420">
        <v>0</v>
      </c>
      <c r="M27" s="420">
        <v>1.0403522928896078</v>
      </c>
      <c r="N27" s="420">
        <v>0.92910108178093265</v>
      </c>
      <c r="O27" s="420">
        <v>1.0458849365426961</v>
      </c>
      <c r="P27" s="420">
        <v>3.2120171579384555</v>
      </c>
      <c r="Q27" s="384">
        <v>12.792562882163708</v>
      </c>
      <c r="R27" s="420">
        <v>25.355806072842881</v>
      </c>
      <c r="S27" s="384">
        <v>63.639377118641761</v>
      </c>
      <c r="T27" s="420">
        <v>420.84193552576426</v>
      </c>
      <c r="U27" s="420"/>
      <c r="V27" s="2573"/>
      <c r="W27" s="2573"/>
      <c r="X27" s="2573"/>
      <c r="Y27" s="2573"/>
      <c r="Z27" s="2573"/>
      <c r="AA27" s="2573"/>
      <c r="AB27" s="2573"/>
      <c r="AC27" s="420"/>
      <c r="AD27" s="420">
        <v>19.633523037702634</v>
      </c>
      <c r="AE27" s="420">
        <v>18.594290936114561</v>
      </c>
    </row>
    <row r="28" spans="1:31" ht="18.75" x14ac:dyDescent="0.4">
      <c r="A28" s="23"/>
      <c r="C28" s="2378" t="s">
        <v>8169</v>
      </c>
      <c r="D28" s="379"/>
      <c r="E28" s="380"/>
      <c r="F28" s="379"/>
      <c r="G28" s="379"/>
      <c r="H28" s="379"/>
      <c r="I28" s="379"/>
      <c r="J28" s="2405"/>
      <c r="K28" s="2405"/>
      <c r="L28" s="2405"/>
      <c r="M28" s="2405"/>
      <c r="N28" s="2405"/>
      <c r="O28" s="2405"/>
      <c r="P28" s="2405"/>
      <c r="Q28" s="379"/>
      <c r="R28" s="380"/>
      <c r="S28" s="380"/>
      <c r="T28" s="381"/>
      <c r="U28" s="5"/>
      <c r="V28" s="5"/>
      <c r="W28" s="5"/>
      <c r="X28" s="5"/>
      <c r="Y28" s="5"/>
      <c r="Z28" s="5"/>
      <c r="AA28" s="5"/>
      <c r="AB28" s="5"/>
      <c r="AC28" s="5"/>
      <c r="AD28" s="5"/>
      <c r="AE28" s="5"/>
    </row>
    <row r="29" spans="1:31" ht="18.75" x14ac:dyDescent="0.4">
      <c r="A29" s="23"/>
      <c r="C29" s="5" t="s">
        <v>746</v>
      </c>
      <c r="D29" s="2399"/>
      <c r="E29" s="2399"/>
      <c r="F29" s="2399"/>
      <c r="G29" s="5"/>
      <c r="H29" s="5"/>
      <c r="I29" s="5"/>
      <c r="J29" s="5"/>
      <c r="K29" s="5"/>
      <c r="L29" s="5"/>
      <c r="M29" s="5"/>
      <c r="N29" s="5"/>
      <c r="O29" s="5"/>
      <c r="P29" s="5"/>
      <c r="Q29" s="5"/>
      <c r="R29" s="5"/>
      <c r="S29" s="5"/>
      <c r="T29" s="5"/>
      <c r="U29" s="5"/>
      <c r="V29" s="5"/>
      <c r="W29" s="5"/>
      <c r="X29" s="5"/>
      <c r="Y29" s="5"/>
      <c r="Z29" s="5"/>
      <c r="AA29" s="5"/>
      <c r="AB29" s="5"/>
      <c r="AC29" s="5"/>
      <c r="AD29" s="5"/>
      <c r="AE29" s="5"/>
    </row>
    <row r="30" spans="1:31" ht="18.75" x14ac:dyDescent="0.4">
      <c r="A30" s="23"/>
      <c r="C30" s="5" t="s">
        <v>8170</v>
      </c>
      <c r="D30" s="2399"/>
      <c r="E30" s="2399"/>
      <c r="F30" s="2399"/>
      <c r="G30" s="5"/>
      <c r="H30" s="5"/>
      <c r="I30" s="5"/>
      <c r="J30" s="5"/>
      <c r="K30" s="5"/>
      <c r="L30" s="5"/>
      <c r="M30" s="5"/>
      <c r="N30" s="5"/>
      <c r="O30" s="5"/>
      <c r="P30" s="5"/>
      <c r="Q30" s="5"/>
      <c r="R30" s="5"/>
      <c r="S30" s="5"/>
      <c r="T30" s="5"/>
      <c r="U30" s="5"/>
      <c r="V30" s="5"/>
      <c r="W30" s="5"/>
      <c r="X30" s="5"/>
      <c r="Y30" s="5"/>
      <c r="Z30" s="5"/>
      <c r="AA30" s="5"/>
      <c r="AB30" s="5"/>
      <c r="AC30" s="5"/>
      <c r="AD30" s="5"/>
      <c r="AE30" s="5"/>
    </row>
    <row r="31" spans="1:31" ht="18.75" x14ac:dyDescent="0.4">
      <c r="A31" s="23"/>
      <c r="C31" s="36"/>
      <c r="D31" s="433"/>
      <c r="E31" s="5"/>
      <c r="F31" s="5"/>
      <c r="G31" s="5"/>
      <c r="H31" s="5"/>
      <c r="I31" s="5"/>
      <c r="J31" s="5"/>
      <c r="K31" s="5"/>
      <c r="L31" s="5"/>
      <c r="M31" s="5"/>
      <c r="N31" s="5"/>
      <c r="O31" s="5"/>
      <c r="P31" s="5"/>
      <c r="Q31" s="5"/>
      <c r="R31" s="5"/>
      <c r="S31" s="5"/>
      <c r="T31" s="5"/>
      <c r="U31" s="5"/>
      <c r="V31" s="5"/>
      <c r="W31" s="5"/>
      <c r="X31" s="5"/>
      <c r="Y31" s="5"/>
      <c r="Z31" s="5"/>
      <c r="AA31" s="5"/>
      <c r="AB31" s="5"/>
      <c r="AC31" s="5"/>
      <c r="AD31" s="5"/>
      <c r="AE31" s="5"/>
    </row>
    <row r="32" spans="1:31" ht="19.5" x14ac:dyDescent="0.25">
      <c r="C32" s="367" t="s">
        <v>8188</v>
      </c>
      <c r="D32" s="618"/>
      <c r="E32" s="618"/>
      <c r="F32" s="618"/>
      <c r="G32" s="618"/>
      <c r="H32" s="618"/>
      <c r="I32" s="618"/>
      <c r="J32" s="618"/>
      <c r="K32" s="618"/>
    </row>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spans="3:19" ht="18.75" x14ac:dyDescent="0.25">
      <c r="C49" s="36" t="s">
        <v>1472</v>
      </c>
    </row>
    <row r="50" spans="3:19" ht="18.75" x14ac:dyDescent="0.4">
      <c r="C50" s="5" t="s">
        <v>8175</v>
      </c>
    </row>
    <row r="52" spans="3:19" ht="18.75" x14ac:dyDescent="0.4">
      <c r="C52" s="154" t="s">
        <v>1473</v>
      </c>
      <c r="D52" s="5"/>
      <c r="E52" s="5"/>
      <c r="F52" s="5"/>
      <c r="G52" s="5"/>
      <c r="H52" s="5"/>
      <c r="I52" s="5"/>
      <c r="J52" s="5"/>
      <c r="K52" s="5"/>
      <c r="L52" s="5"/>
      <c r="M52" s="5"/>
      <c r="N52" s="5"/>
      <c r="O52" s="5"/>
      <c r="P52" s="5"/>
    </row>
    <row r="53" spans="3:19" ht="18.75" x14ac:dyDescent="0.4">
      <c r="C53" s="5"/>
      <c r="D53" s="5"/>
      <c r="E53" s="5"/>
      <c r="F53" s="5"/>
      <c r="G53" s="5"/>
      <c r="H53" s="5"/>
      <c r="I53" s="5"/>
      <c r="J53" s="5"/>
      <c r="K53" s="5"/>
      <c r="L53" s="5"/>
      <c r="M53" s="5"/>
      <c r="N53" s="5"/>
      <c r="O53" s="5"/>
      <c r="P53" s="5"/>
    </row>
    <row r="54" spans="3:19" ht="18.75" x14ac:dyDescent="0.25">
      <c r="C54" s="388" t="s">
        <v>749</v>
      </c>
      <c r="D54" s="389" t="s">
        <v>750</v>
      </c>
      <c r="E54" s="390">
        <v>2010</v>
      </c>
      <c r="F54" s="390">
        <v>2011</v>
      </c>
      <c r="G54" s="390">
        <v>2012</v>
      </c>
      <c r="H54" s="390">
        <v>2013</v>
      </c>
      <c r="I54" s="390">
        <v>2014</v>
      </c>
      <c r="J54" s="390">
        <v>2015</v>
      </c>
      <c r="K54" s="390">
        <v>2016</v>
      </c>
      <c r="L54" s="390">
        <v>2017</v>
      </c>
      <c r="M54" s="390">
        <v>2018</v>
      </c>
      <c r="N54" s="390">
        <v>2019</v>
      </c>
      <c r="O54" s="390">
        <v>2020</v>
      </c>
      <c r="P54" s="390">
        <v>2021</v>
      </c>
      <c r="Q54" s="390">
        <v>2022</v>
      </c>
      <c r="R54" s="2379">
        <v>2023</v>
      </c>
      <c r="S54" s="2379">
        <v>2024</v>
      </c>
    </row>
    <row r="55" spans="3:19" ht="18.75" x14ac:dyDescent="0.4">
      <c r="C55" s="2567" t="s">
        <v>328</v>
      </c>
      <c r="D55" s="391" t="s">
        <v>328</v>
      </c>
      <c r="E55" s="340">
        <v>15.631936671898155</v>
      </c>
      <c r="F55" s="340">
        <v>19.245394297775913</v>
      </c>
      <c r="G55" s="340">
        <v>14.454644707908535</v>
      </c>
      <c r="H55" s="340">
        <v>15.846315122260417</v>
      </c>
      <c r="I55" s="340">
        <v>14.198580746120314</v>
      </c>
      <c r="J55" s="340">
        <v>15.869213725372777</v>
      </c>
      <c r="K55" s="340">
        <v>19.002826670467229</v>
      </c>
      <c r="L55" s="340">
        <v>17.668833061920427</v>
      </c>
      <c r="M55" s="340">
        <v>17.241983938653604</v>
      </c>
      <c r="N55" s="340">
        <v>18.558739861563399</v>
      </c>
      <c r="O55" s="340">
        <v>16.119839492455338</v>
      </c>
      <c r="P55" s="340">
        <v>13.440937090694868</v>
      </c>
      <c r="Q55" s="340">
        <v>17.047488620801346</v>
      </c>
    </row>
    <row r="56" spans="3:19" ht="18.75" x14ac:dyDescent="0.4">
      <c r="C56" s="2567"/>
      <c r="D56" s="391" t="s">
        <v>752</v>
      </c>
      <c r="E56" s="340">
        <v>11.107937414706909</v>
      </c>
      <c r="F56" s="340">
        <v>14.120304998587971</v>
      </c>
      <c r="G56" s="340">
        <v>17.061670182404765</v>
      </c>
      <c r="H56" s="340">
        <v>7.6685940399687116</v>
      </c>
      <c r="I56" s="340">
        <v>21.236253318164582</v>
      </c>
      <c r="J56" s="340">
        <v>15.003300726159756</v>
      </c>
      <c r="K56" s="340">
        <v>23.752263887651793</v>
      </c>
      <c r="L56" s="340">
        <v>13.22556943423953</v>
      </c>
      <c r="M56" s="340">
        <v>21.825165871260623</v>
      </c>
      <c r="N56" s="340">
        <v>12.96942098740525</v>
      </c>
      <c r="O56" s="340">
        <v>11.419761897964428</v>
      </c>
      <c r="P56" s="340">
        <v>21.233826901843099</v>
      </c>
      <c r="Q56" s="340">
        <v>18.257914103536418</v>
      </c>
    </row>
    <row r="57" spans="3:19" ht="18.75" x14ac:dyDescent="0.4">
      <c r="C57" s="2567"/>
      <c r="D57" s="391" t="s">
        <v>753</v>
      </c>
      <c r="E57" s="340">
        <v>17.259233690024161</v>
      </c>
      <c r="F57" s="340">
        <v>13.46450755807691</v>
      </c>
      <c r="G57" s="340">
        <v>12.862078600605846</v>
      </c>
      <c r="H57" s="340">
        <v>10.958087506903595</v>
      </c>
      <c r="I57" s="340">
        <v>15.166616111279628</v>
      </c>
      <c r="J57" s="340">
        <v>13.712718546451836</v>
      </c>
      <c r="K57" s="340">
        <v>16.958997384074653</v>
      </c>
      <c r="L57" s="340">
        <v>17.204337171439121</v>
      </c>
      <c r="M57" s="340">
        <v>15.373684407344465</v>
      </c>
      <c r="N57" s="340">
        <v>16.050505590926115</v>
      </c>
      <c r="O57" s="340">
        <v>17.128315552510522</v>
      </c>
      <c r="P57" s="340">
        <v>19.811427554865524</v>
      </c>
      <c r="Q57" s="340">
        <v>13.233507240332523</v>
      </c>
    </row>
    <row r="58" spans="3:19" ht="18.75" x14ac:dyDescent="0.4">
      <c r="C58" s="2567"/>
      <c r="D58" s="391" t="s">
        <v>754</v>
      </c>
      <c r="E58" s="340">
        <v>32.303535768824148</v>
      </c>
      <c r="F58" s="340">
        <v>31.897926634768741</v>
      </c>
      <c r="G58" s="340">
        <v>25.756231577139914</v>
      </c>
      <c r="H58" s="340">
        <v>19.774569903104609</v>
      </c>
      <c r="I58" s="340">
        <v>33.481208671633041</v>
      </c>
      <c r="J58" s="340">
        <v>33.083370092633437</v>
      </c>
      <c r="K58" s="340">
        <v>38.211692777990066</v>
      </c>
      <c r="L58" s="340">
        <v>40.554789520642387</v>
      </c>
      <c r="M58" s="340">
        <v>21.421877091980186</v>
      </c>
      <c r="N58" s="340">
        <v>23.892959541255177</v>
      </c>
      <c r="O58" s="340">
        <v>26.327567596029802</v>
      </c>
      <c r="P58" s="340">
        <v>28.722126481800618</v>
      </c>
      <c r="Q58" s="340">
        <v>36.276008602596328</v>
      </c>
    </row>
    <row r="59" spans="3:19" ht="18.75" x14ac:dyDescent="0.4">
      <c r="C59" s="2567"/>
      <c r="D59" s="391" t="s">
        <v>755</v>
      </c>
      <c r="E59" s="340">
        <v>11.762630124095747</v>
      </c>
      <c r="F59" s="340">
        <v>5.8288645371881556</v>
      </c>
      <c r="G59" s="392" t="s">
        <v>751</v>
      </c>
      <c r="H59" s="340">
        <v>17.169346992502721</v>
      </c>
      <c r="I59" s="340">
        <v>17.012589316093909</v>
      </c>
      <c r="J59" s="340">
        <v>33.740088848900633</v>
      </c>
      <c r="K59" s="340">
        <v>16.718680338831923</v>
      </c>
      <c r="L59" s="340">
        <v>22.097005855706552</v>
      </c>
      <c r="M59" s="340">
        <v>27.376259307928162</v>
      </c>
      <c r="N59" s="340">
        <v>59.785857927061251</v>
      </c>
      <c r="O59" s="340">
        <v>5.3951982735365522</v>
      </c>
      <c r="P59" s="340">
        <v>69.645344476588448</v>
      </c>
      <c r="Q59" s="340">
        <v>31.936977697343909</v>
      </c>
    </row>
    <row r="60" spans="3:19" ht="18.75" x14ac:dyDescent="0.4">
      <c r="C60" s="2567"/>
      <c r="D60" s="391" t="s">
        <v>756</v>
      </c>
      <c r="E60" s="340">
        <v>12.187690432663009</v>
      </c>
      <c r="F60" s="340">
        <v>20.659378497030215</v>
      </c>
      <c r="G60" s="340">
        <v>13.616789501455294</v>
      </c>
      <c r="H60" s="340">
        <v>11.779554059739167</v>
      </c>
      <c r="I60" s="340">
        <v>13.315135980826204</v>
      </c>
      <c r="J60" s="340">
        <v>1.6463615409944026</v>
      </c>
      <c r="K60" s="340">
        <v>21.194039583944701</v>
      </c>
      <c r="L60" s="340">
        <v>17.767440357933161</v>
      </c>
      <c r="M60" s="340">
        <v>22.408246234614339</v>
      </c>
      <c r="N60" s="340">
        <v>25.391585863234567</v>
      </c>
      <c r="O60" s="340">
        <v>23.611264147082434</v>
      </c>
      <c r="P60" s="340">
        <v>12.495704601543219</v>
      </c>
      <c r="Q60" s="340">
        <v>15.508684863523573</v>
      </c>
    </row>
    <row r="61" spans="3:19" ht="18.75" x14ac:dyDescent="0.4">
      <c r="C61" s="2567"/>
      <c r="D61" s="391" t="s">
        <v>757</v>
      </c>
      <c r="E61" s="340">
        <v>18.218918524996358</v>
      </c>
      <c r="F61" s="340">
        <v>25.224316240856183</v>
      </c>
      <c r="G61" s="340">
        <v>14.253135689851767</v>
      </c>
      <c r="H61" s="340">
        <v>7.0462232243517473</v>
      </c>
      <c r="I61" s="340">
        <v>24.390243902439025</v>
      </c>
      <c r="J61" s="340">
        <v>27.579549763850107</v>
      </c>
      <c r="K61" s="340">
        <v>27.313076135199726</v>
      </c>
      <c r="L61" s="340">
        <v>13.534088986635087</v>
      </c>
      <c r="M61" s="340">
        <v>16.76670802454646</v>
      </c>
      <c r="N61" s="340">
        <v>13.303621911065289</v>
      </c>
      <c r="O61" s="340">
        <v>9.8951118147635064</v>
      </c>
      <c r="P61" s="340">
        <v>19.642506383814574</v>
      </c>
      <c r="Q61" s="340">
        <v>19.506485906563931</v>
      </c>
    </row>
    <row r="62" spans="3:19" ht="18.75" x14ac:dyDescent="0.4">
      <c r="C62" s="2567"/>
      <c r="D62" s="391" t="s">
        <v>758</v>
      </c>
      <c r="E62" s="340">
        <v>24.723259004051425</v>
      </c>
      <c r="F62" s="340">
        <v>12.620685303211966</v>
      </c>
      <c r="G62" s="340">
        <v>20.289832452806632</v>
      </c>
      <c r="H62" s="340">
        <v>17.75869790138518</v>
      </c>
      <c r="I62" s="340">
        <v>15.28420988277011</v>
      </c>
      <c r="J62" s="340">
        <v>13.614703880190605</v>
      </c>
      <c r="K62" s="340">
        <v>27.703527332899061</v>
      </c>
      <c r="L62" s="340">
        <v>20.02150457899225</v>
      </c>
      <c r="M62" s="340">
        <v>24.244739626190196</v>
      </c>
      <c r="N62" s="340">
        <v>19.66095770709542</v>
      </c>
      <c r="O62" s="340">
        <v>20.934849305179569</v>
      </c>
      <c r="P62" s="340">
        <v>24.341700196165466</v>
      </c>
      <c r="Q62" s="340">
        <v>16.339404961495838</v>
      </c>
    </row>
    <row r="63" spans="3:19" ht="18.75" x14ac:dyDescent="0.4">
      <c r="C63" s="2567"/>
      <c r="D63" s="391" t="s">
        <v>759</v>
      </c>
      <c r="E63" s="340">
        <v>19.099642836678957</v>
      </c>
      <c r="F63" s="340">
        <v>13.160615916824908</v>
      </c>
      <c r="G63" s="340">
        <v>7.4032944660373863</v>
      </c>
      <c r="H63" s="340">
        <v>7.2871691169772825</v>
      </c>
      <c r="I63" s="340">
        <v>16.14842194032261</v>
      </c>
      <c r="J63" s="340">
        <v>8.8386070355312008</v>
      </c>
      <c r="K63" s="340">
        <v>13.942626093624733</v>
      </c>
      <c r="L63" s="340">
        <v>8.5971216836603102</v>
      </c>
      <c r="M63" s="340">
        <v>11.875275676042479</v>
      </c>
      <c r="N63" s="340">
        <v>13.400110550912045</v>
      </c>
      <c r="O63" s="340">
        <v>8.2708881279671811</v>
      </c>
      <c r="P63" s="340">
        <v>13.080017004022107</v>
      </c>
      <c r="Q63" s="340">
        <v>24.251046836855124</v>
      </c>
    </row>
    <row r="64" spans="3:19" ht="18.75" x14ac:dyDescent="0.4">
      <c r="C64" s="2567"/>
      <c r="D64" s="391" t="s">
        <v>760</v>
      </c>
      <c r="E64" s="340">
        <v>12.350710783405587</v>
      </c>
      <c r="F64" s="340">
        <v>8.503194771749957</v>
      </c>
      <c r="G64" s="340">
        <v>13.145629675661466</v>
      </c>
      <c r="H64" s="340">
        <v>9.4065634296330263</v>
      </c>
      <c r="I64" s="340">
        <v>15.046818755280855</v>
      </c>
      <c r="J64" s="340">
        <v>13.677707616203524</v>
      </c>
      <c r="K64" s="340">
        <v>11.216546649617515</v>
      </c>
      <c r="L64" s="340">
        <v>4.4177904421103786</v>
      </c>
      <c r="M64" s="340">
        <v>9.7914422794477627</v>
      </c>
      <c r="N64" s="340">
        <v>15.013887846257788</v>
      </c>
      <c r="O64" s="340">
        <v>11.634302153403562</v>
      </c>
      <c r="P64" s="340">
        <v>11.47411023490633</v>
      </c>
      <c r="Q64" s="340">
        <v>9.2632619032915446</v>
      </c>
    </row>
    <row r="65" spans="3:17" ht="18.75" x14ac:dyDescent="0.4">
      <c r="C65" s="2567"/>
      <c r="D65" s="391" t="s">
        <v>761</v>
      </c>
      <c r="E65" s="340">
        <v>17.243000909176413</v>
      </c>
      <c r="F65" s="340">
        <v>12.378535619236246</v>
      </c>
      <c r="G65" s="340">
        <v>22.911956986619419</v>
      </c>
      <c r="H65" s="340">
        <v>21.113272708078842</v>
      </c>
      <c r="I65" s="340">
        <v>14.894472661195431</v>
      </c>
      <c r="J65" s="340">
        <v>26.495135198787111</v>
      </c>
      <c r="K65" s="340">
        <v>20.371044016005822</v>
      </c>
      <c r="L65" s="340">
        <v>21.582733812949641</v>
      </c>
      <c r="M65" s="340">
        <v>22.776773385340299</v>
      </c>
      <c r="N65" s="340">
        <v>32.407146480302096</v>
      </c>
      <c r="O65" s="340">
        <v>13.954202308025062</v>
      </c>
      <c r="P65" s="340">
        <v>30.424140172311269</v>
      </c>
      <c r="Q65" s="340">
        <v>15.082542642461471</v>
      </c>
    </row>
    <row r="66" spans="3:17" ht="18.75" x14ac:dyDescent="0.4">
      <c r="C66" s="2567"/>
      <c r="D66" s="391" t="s">
        <v>762</v>
      </c>
      <c r="E66" s="340">
        <v>34.870977383680383</v>
      </c>
      <c r="F66" s="340">
        <v>24.647540175490487</v>
      </c>
      <c r="G66" s="340">
        <v>19.506485906563931</v>
      </c>
      <c r="H66" s="340">
        <v>24.120796951131265</v>
      </c>
      <c r="I66" s="340">
        <v>9.5410743249689904</v>
      </c>
      <c r="J66" s="340">
        <v>14.171666115546317</v>
      </c>
      <c r="K66" s="340">
        <v>18.74853527068198</v>
      </c>
      <c r="L66" s="340">
        <v>13.941168269901018</v>
      </c>
      <c r="M66" s="340">
        <v>18.45273792498962</v>
      </c>
      <c r="N66" s="340">
        <v>27.478818410808337</v>
      </c>
      <c r="O66" s="340">
        <v>9.1008372770294859</v>
      </c>
      <c r="P66" s="340">
        <v>27.132133490096773</v>
      </c>
      <c r="Q66" s="340">
        <v>35.943748034326276</v>
      </c>
    </row>
    <row r="67" spans="3:17" ht="18.75" x14ac:dyDescent="0.4">
      <c r="C67" s="2567"/>
      <c r="D67" s="391" t="s">
        <v>763</v>
      </c>
      <c r="E67" s="340">
        <v>23.153805585212435</v>
      </c>
      <c r="F67" s="340">
        <v>14.011667897995057</v>
      </c>
      <c r="G67" s="340">
        <v>17.664500662418774</v>
      </c>
      <c r="H67" s="340">
        <v>13.751031327349549</v>
      </c>
      <c r="I67" s="340">
        <v>19.815959278203682</v>
      </c>
      <c r="J67" s="340">
        <v>15.949746030967047</v>
      </c>
      <c r="K67" s="340">
        <v>23.109856962148484</v>
      </c>
      <c r="L67" s="340">
        <v>18.096490487278167</v>
      </c>
      <c r="M67" s="340">
        <v>13.163563256904888</v>
      </c>
      <c r="N67" s="340">
        <v>16.624116843792674</v>
      </c>
      <c r="O67" s="340">
        <v>10.604079035735746</v>
      </c>
      <c r="P67" s="340">
        <v>15.207168425239221</v>
      </c>
      <c r="Q67" s="340">
        <v>16.266775111834079</v>
      </c>
    </row>
    <row r="68" spans="3:17" ht="18.75" x14ac:dyDescent="0.4">
      <c r="C68" s="2567"/>
      <c r="D68" s="391" t="s">
        <v>764</v>
      </c>
      <c r="E68" s="340">
        <v>15.46258912464565</v>
      </c>
      <c r="F68" s="340">
        <v>13.627691469065141</v>
      </c>
      <c r="G68" s="340">
        <v>13.510546670494655</v>
      </c>
      <c r="H68" s="340">
        <v>21.773720793903358</v>
      </c>
      <c r="I68" s="340">
        <v>13.28528488632778</v>
      </c>
      <c r="J68" s="340">
        <v>16.466597506957136</v>
      </c>
      <c r="K68" s="340">
        <v>29.436776345914829</v>
      </c>
      <c r="L68" s="340">
        <v>16.249065678723472</v>
      </c>
      <c r="M68" s="340">
        <v>22.610549436351302</v>
      </c>
      <c r="N68" s="340">
        <v>25.686305988120083</v>
      </c>
      <c r="O68" s="340">
        <v>27.126649539644802</v>
      </c>
      <c r="P68" s="340">
        <v>7.9392803836260279</v>
      </c>
      <c r="Q68" s="340">
        <v>28.454449169288164</v>
      </c>
    </row>
    <row r="69" spans="3:17" ht="18.75" x14ac:dyDescent="0.4">
      <c r="C69" s="2567"/>
      <c r="D69" s="391" t="s">
        <v>765</v>
      </c>
      <c r="E69" s="340">
        <v>16.767832589959422</v>
      </c>
      <c r="F69" s="340">
        <v>14.995751203825582</v>
      </c>
      <c r="G69" s="340">
        <v>9.9385466531944147</v>
      </c>
      <c r="H69" s="340">
        <v>14.825552663657628</v>
      </c>
      <c r="I69" s="340">
        <v>13.107877834578582</v>
      </c>
      <c r="J69" s="340">
        <v>14.661323428794839</v>
      </c>
      <c r="K69" s="340">
        <v>16.217706491947908</v>
      </c>
      <c r="L69" s="340">
        <v>17.770310657339948</v>
      </c>
      <c r="M69" s="340">
        <v>12.880995700967684</v>
      </c>
      <c r="N69" s="340">
        <v>25.678061306371369</v>
      </c>
      <c r="O69" s="340">
        <v>12.793245166552062</v>
      </c>
      <c r="P69" s="340">
        <v>9.5673943201569056</v>
      </c>
      <c r="Q69" s="340">
        <v>25.459868881675259</v>
      </c>
    </row>
    <row r="70" spans="3:17" ht="18.75" x14ac:dyDescent="0.4">
      <c r="C70" s="2567"/>
      <c r="D70" s="391" t="s">
        <v>766</v>
      </c>
      <c r="E70" s="392" t="s">
        <v>751</v>
      </c>
      <c r="F70" s="340">
        <v>16.485328058028355</v>
      </c>
      <c r="G70" s="392" t="s">
        <v>751</v>
      </c>
      <c r="H70" s="340">
        <v>15.984654731457802</v>
      </c>
      <c r="I70" s="340">
        <v>15.735641227380016</v>
      </c>
      <c r="J70" s="340">
        <v>62.07324643078833</v>
      </c>
      <c r="K70" s="392" t="s">
        <v>751</v>
      </c>
      <c r="L70" s="340">
        <v>30.216044719746183</v>
      </c>
      <c r="M70" s="392" t="s">
        <v>751</v>
      </c>
      <c r="N70" s="340">
        <v>14.727540500736376</v>
      </c>
      <c r="O70" s="392" t="s">
        <v>751</v>
      </c>
      <c r="P70" s="392" t="s">
        <v>751</v>
      </c>
      <c r="Q70" s="392">
        <v>14.222727919214906</v>
      </c>
    </row>
    <row r="71" spans="3:17" ht="18.75" x14ac:dyDescent="0.4">
      <c r="C71" s="2567"/>
      <c r="D71" s="391" t="s">
        <v>767</v>
      </c>
      <c r="E71" s="340">
        <v>40.916530278232408</v>
      </c>
      <c r="F71" s="392" t="s">
        <v>751</v>
      </c>
      <c r="G71" s="340">
        <v>13.410218586562962</v>
      </c>
      <c r="H71" s="340">
        <v>26.532236667551071</v>
      </c>
      <c r="I71" s="340">
        <v>13.147515119642389</v>
      </c>
      <c r="J71" s="392" t="s">
        <v>751</v>
      </c>
      <c r="K71" s="392" t="s">
        <v>751</v>
      </c>
      <c r="L71" s="340">
        <v>12.840267077555213</v>
      </c>
      <c r="M71" s="340">
        <v>12.745347947998981</v>
      </c>
      <c r="N71" s="340">
        <v>50.600885515496522</v>
      </c>
      <c r="O71" s="340">
        <v>25.163563160543532</v>
      </c>
      <c r="P71" s="340">
        <v>25</v>
      </c>
      <c r="Q71" s="340">
        <v>24.872528292500931</v>
      </c>
    </row>
    <row r="72" spans="3:17" ht="18.75" x14ac:dyDescent="0.4">
      <c r="C72" s="2567"/>
      <c r="D72" s="391" t="s">
        <v>768</v>
      </c>
      <c r="E72" s="340">
        <v>15.165301789505612</v>
      </c>
      <c r="F72" s="340">
        <v>4.0934395808317872</v>
      </c>
      <c r="G72" s="340">
        <v>22.955911147120382</v>
      </c>
      <c r="H72" s="340">
        <v>12.029030059209559</v>
      </c>
      <c r="I72" s="340">
        <v>13.230663385462146</v>
      </c>
      <c r="J72" s="340">
        <v>10.48039511089568</v>
      </c>
      <c r="K72" s="340">
        <v>22.069896660954456</v>
      </c>
      <c r="L72" s="340">
        <v>11.584353400007723</v>
      </c>
      <c r="M72" s="340">
        <v>11.489703948628257</v>
      </c>
      <c r="N72" s="340">
        <v>10.131583946505236</v>
      </c>
      <c r="O72" s="340">
        <v>12.566445078351785</v>
      </c>
      <c r="P72" s="340">
        <v>12.477851813031869</v>
      </c>
      <c r="Q72" s="340">
        <v>21.071680900380532</v>
      </c>
    </row>
    <row r="73" spans="3:17" ht="18.75" x14ac:dyDescent="0.4">
      <c r="C73" s="2567"/>
      <c r="D73" s="391" t="s">
        <v>769</v>
      </c>
      <c r="E73" s="340">
        <v>32.468000981255145</v>
      </c>
      <c r="F73" s="340">
        <v>22.25988051470588</v>
      </c>
      <c r="G73" s="340">
        <v>30.719113003471975</v>
      </c>
      <c r="H73" s="340">
        <v>24.875798690822251</v>
      </c>
      <c r="I73" s="340">
        <v>33.243034876894676</v>
      </c>
      <c r="J73" s="340">
        <v>23.239763940337188</v>
      </c>
      <c r="K73" s="340">
        <v>31.625331187496048</v>
      </c>
      <c r="L73" s="340">
        <v>36.478428621536303</v>
      </c>
      <c r="M73" s="340">
        <v>31.515032670583871</v>
      </c>
      <c r="N73" s="340">
        <v>36.364399253131182</v>
      </c>
      <c r="O73" s="340">
        <v>37.731366644074427</v>
      </c>
      <c r="P73" s="340">
        <v>21.644719386686404</v>
      </c>
      <c r="Q73" s="340">
        <v>34.896218645747545</v>
      </c>
    </row>
    <row r="74" spans="3:17" ht="18.75" x14ac:dyDescent="0.4">
      <c r="C74" s="2567"/>
      <c r="D74" s="391" t="s">
        <v>770</v>
      </c>
      <c r="E74" s="340">
        <v>16.215339711366955</v>
      </c>
      <c r="F74" s="340">
        <v>16.039778651054615</v>
      </c>
      <c r="G74" s="340">
        <v>7.9295852826897146</v>
      </c>
      <c r="H74" s="340">
        <v>7.8382191566076189</v>
      </c>
      <c r="I74" s="340">
        <v>7.7459333849728882</v>
      </c>
      <c r="J74" s="340">
        <v>15.332720024532353</v>
      </c>
      <c r="K74" s="340">
        <v>15.160703456640389</v>
      </c>
      <c r="L74" s="340">
        <v>22.490441562336009</v>
      </c>
      <c r="M74" s="340">
        <v>22.233750833765654</v>
      </c>
      <c r="N74" s="340">
        <v>29.336266960029338</v>
      </c>
      <c r="O74" s="340">
        <v>21.788074660469171</v>
      </c>
      <c r="P74" s="340">
        <v>43.246360098025079</v>
      </c>
      <c r="Q74" s="340">
        <v>21.443888491779841</v>
      </c>
    </row>
    <row r="75" spans="3:17" ht="18.75" x14ac:dyDescent="0.4">
      <c r="C75" s="2567" t="s">
        <v>329</v>
      </c>
      <c r="D75" s="391" t="s">
        <v>329</v>
      </c>
      <c r="E75" s="340">
        <v>16.507279710352265</v>
      </c>
      <c r="F75" s="340">
        <v>15.173739315158565</v>
      </c>
      <c r="G75" s="340">
        <v>11.031478858704549</v>
      </c>
      <c r="H75" s="340">
        <v>11.918992915210387</v>
      </c>
      <c r="I75" s="340">
        <v>14.164746364669668</v>
      </c>
      <c r="J75" s="340">
        <v>9.1961539640532557</v>
      </c>
      <c r="K75" s="340">
        <v>9.3997898475555512</v>
      </c>
      <c r="L75" s="340">
        <v>12.579699014148851</v>
      </c>
      <c r="M75" s="340">
        <v>10.777058581477828</v>
      </c>
      <c r="N75" s="340">
        <v>19.984012789768187</v>
      </c>
      <c r="O75" s="340">
        <v>11.45734208759138</v>
      </c>
      <c r="P75" s="340">
        <v>11.003278977135187</v>
      </c>
      <c r="Q75" s="340">
        <v>12.427300293284288</v>
      </c>
    </row>
    <row r="76" spans="3:17" ht="18.75" x14ac:dyDescent="0.4">
      <c r="C76" s="2567"/>
      <c r="D76" s="391" t="s">
        <v>771</v>
      </c>
      <c r="E76" s="340">
        <v>24.167139939823823</v>
      </c>
      <c r="F76" s="340">
        <v>16.67877863686725</v>
      </c>
      <c r="G76" s="340">
        <v>5.8736461245682872</v>
      </c>
      <c r="H76" s="340">
        <v>13.903049402168877</v>
      </c>
      <c r="I76" s="340">
        <v>21.719001840399628</v>
      </c>
      <c r="J76" s="340">
        <v>24.827897528495651</v>
      </c>
      <c r="K76" s="340">
        <v>18.951851149931439</v>
      </c>
      <c r="L76" s="340">
        <v>23.129536418005792</v>
      </c>
      <c r="M76" s="340">
        <v>25.040009580525403</v>
      </c>
      <c r="N76" s="340">
        <v>9.6905484850442534</v>
      </c>
      <c r="O76" s="340">
        <v>18.109766490540309</v>
      </c>
      <c r="P76" s="340">
        <v>23.196229558322703</v>
      </c>
      <c r="Q76" s="340">
        <v>15.658600747437209</v>
      </c>
    </row>
    <row r="77" spans="3:17" ht="18.75" x14ac:dyDescent="0.4">
      <c r="C77" s="2567"/>
      <c r="D77" s="391" t="s">
        <v>772</v>
      </c>
      <c r="E77" s="340">
        <v>16.016164005519418</v>
      </c>
      <c r="F77" s="340">
        <v>12.122828498345234</v>
      </c>
      <c r="G77" s="340">
        <v>20.288333015084973</v>
      </c>
      <c r="H77" s="340">
        <v>21.154818009801733</v>
      </c>
      <c r="I77" s="340">
        <v>15.048908954100828</v>
      </c>
      <c r="J77" s="340">
        <v>11.407971890757262</v>
      </c>
      <c r="K77" s="340">
        <v>13.491786874740002</v>
      </c>
      <c r="L77" s="340">
        <v>16.630264864685078</v>
      </c>
      <c r="M77" s="340">
        <v>14.216506457574663</v>
      </c>
      <c r="N77" s="340">
        <v>24.620328616596691</v>
      </c>
      <c r="O77" s="340">
        <v>17.940207850122377</v>
      </c>
      <c r="P77" s="340">
        <v>11.410893599756568</v>
      </c>
      <c r="Q77" s="340">
        <v>8.7860226930414704</v>
      </c>
    </row>
    <row r="78" spans="3:17" ht="18.75" x14ac:dyDescent="0.4">
      <c r="C78" s="2567"/>
      <c r="D78" s="391" t="s">
        <v>773</v>
      </c>
      <c r="E78" s="392" t="s">
        <v>751</v>
      </c>
      <c r="F78" s="392" t="s">
        <v>751</v>
      </c>
      <c r="G78" s="340">
        <v>30.529690123645249</v>
      </c>
      <c r="H78" s="392" t="s">
        <v>751</v>
      </c>
      <c r="I78" s="340">
        <v>44.769437397403372</v>
      </c>
      <c r="J78" s="392" t="s">
        <v>751</v>
      </c>
      <c r="K78" s="392" t="s">
        <v>751</v>
      </c>
      <c r="L78" s="340">
        <v>43.28379743182802</v>
      </c>
      <c r="M78" s="340">
        <v>28.583678719451193</v>
      </c>
      <c r="N78" s="392" t="s">
        <v>751</v>
      </c>
      <c r="O78" s="340">
        <v>28.007281893292259</v>
      </c>
      <c r="P78" s="392" t="s">
        <v>751</v>
      </c>
      <c r="Q78" s="392">
        <v>27.487630566245191</v>
      </c>
    </row>
    <row r="79" spans="3:17" ht="18.75" x14ac:dyDescent="0.4">
      <c r="C79" s="2567"/>
      <c r="D79" s="391" t="s">
        <v>774</v>
      </c>
      <c r="E79" s="340">
        <v>26.811705224452272</v>
      </c>
      <c r="F79" s="340">
        <v>7.5700227100681303</v>
      </c>
      <c r="G79" s="340">
        <v>18.68460388639761</v>
      </c>
      <c r="H79" s="340">
        <v>22.13042195337858</v>
      </c>
      <c r="I79" s="340">
        <v>18.214272704090927</v>
      </c>
      <c r="J79" s="340">
        <v>25.181667745881001</v>
      </c>
      <c r="K79" s="340">
        <v>14.228799089356858</v>
      </c>
      <c r="L79" s="340">
        <v>10.554461018857305</v>
      </c>
      <c r="M79" s="340">
        <v>17.393119282012037</v>
      </c>
      <c r="N79" s="340">
        <v>27.547260769257257</v>
      </c>
      <c r="O79" s="340">
        <v>13.633265167007499</v>
      </c>
      <c r="P79" s="340">
        <v>66.914498141263934</v>
      </c>
      <c r="Q79" s="340">
        <v>10.040160642570282</v>
      </c>
    </row>
    <row r="80" spans="3:17" ht="18.75" x14ac:dyDescent="0.4">
      <c r="C80" s="2567"/>
      <c r="D80" s="391" t="s">
        <v>775</v>
      </c>
      <c r="E80" s="340">
        <v>11.563902123132429</v>
      </c>
      <c r="F80" s="340">
        <v>18.266091284791198</v>
      </c>
      <c r="G80" s="340">
        <v>22.521508040178368</v>
      </c>
      <c r="H80" s="340">
        <v>24.441728696811467</v>
      </c>
      <c r="I80" s="340">
        <v>19.740305316722232</v>
      </c>
      <c r="J80" s="340">
        <v>12.995451591942819</v>
      </c>
      <c r="K80" s="340">
        <v>23.547544633300511</v>
      </c>
      <c r="L80" s="340">
        <v>12.69384560052468</v>
      </c>
      <c r="M80" s="340">
        <v>8.368025773519383</v>
      </c>
      <c r="N80" s="340">
        <v>6.2098944317946589</v>
      </c>
      <c r="O80" s="340">
        <v>22.539597975534292</v>
      </c>
      <c r="P80" s="340">
        <v>8.115565654926149</v>
      </c>
      <c r="Q80" s="340">
        <v>14.066393376738203</v>
      </c>
    </row>
    <row r="81" spans="3:17" ht="18.75" x14ac:dyDescent="0.4">
      <c r="C81" s="2567"/>
      <c r="D81" s="391" t="s">
        <v>776</v>
      </c>
      <c r="E81" s="340">
        <v>16.730801405387318</v>
      </c>
      <c r="F81" s="340">
        <v>8.2465158470546189</v>
      </c>
      <c r="G81" s="340">
        <v>27.078256160303276</v>
      </c>
      <c r="H81" s="340">
        <v>24.018574364174963</v>
      </c>
      <c r="I81" s="340">
        <v>47.350975956226655</v>
      </c>
      <c r="J81" s="340">
        <v>33.730313172984609</v>
      </c>
      <c r="K81" s="340">
        <v>20.490753547461708</v>
      </c>
      <c r="L81" s="340">
        <v>22.770398481973434</v>
      </c>
      <c r="M81" s="340">
        <v>27.5</v>
      </c>
      <c r="N81" s="340">
        <v>42.003310849208113</v>
      </c>
      <c r="O81" s="340">
        <v>14.659890539483973</v>
      </c>
      <c r="P81" s="340">
        <v>31.419180201082757</v>
      </c>
      <c r="Q81" s="340">
        <v>23.920583662241359</v>
      </c>
    </row>
    <row r="82" spans="3:17" ht="18.75" x14ac:dyDescent="0.4">
      <c r="C82" s="2567"/>
      <c r="D82" s="391" t="s">
        <v>777</v>
      </c>
      <c r="E82" s="340">
        <v>17.103957855847845</v>
      </c>
      <c r="F82" s="340">
        <v>37.045768362913819</v>
      </c>
      <c r="G82" s="340">
        <v>13.259961546111516</v>
      </c>
      <c r="H82" s="340">
        <v>13.050570962479609</v>
      </c>
      <c r="I82" s="340">
        <v>6.4265287105170144</v>
      </c>
      <c r="J82" s="340">
        <v>9.4987809897729782</v>
      </c>
      <c r="K82" s="340">
        <v>6.2324711748208159</v>
      </c>
      <c r="L82" s="340">
        <v>15.34542552864991</v>
      </c>
      <c r="M82" s="340">
        <v>27.214998488055642</v>
      </c>
      <c r="N82" s="340">
        <v>20.869980024447692</v>
      </c>
      <c r="O82" s="340">
        <v>11.762630124095747</v>
      </c>
      <c r="P82" s="340">
        <v>14.505366985784741</v>
      </c>
      <c r="Q82" s="340">
        <v>17.179178835251676</v>
      </c>
    </row>
    <row r="83" spans="3:17" ht="18.75" x14ac:dyDescent="0.4">
      <c r="C83" s="2567"/>
      <c r="D83" s="391" t="s">
        <v>778</v>
      </c>
      <c r="E83" s="340">
        <v>24.496594973298713</v>
      </c>
      <c r="F83" s="340">
        <v>19.288263091908572</v>
      </c>
      <c r="G83" s="340">
        <v>33.197382149293368</v>
      </c>
      <c r="H83" s="340">
        <v>27.99813345776948</v>
      </c>
      <c r="I83" s="340">
        <v>36.744442403086538</v>
      </c>
      <c r="J83" s="340">
        <v>45.250916331055706</v>
      </c>
      <c r="K83" s="340">
        <v>17.823723375813209</v>
      </c>
      <c r="L83" s="340">
        <v>13.165979109979812</v>
      </c>
      <c r="M83" s="340">
        <v>8.6482746692034933</v>
      </c>
      <c r="N83" s="340">
        <v>29.829121745429752</v>
      </c>
      <c r="O83" s="340">
        <v>33.633229630875306</v>
      </c>
      <c r="P83" s="340">
        <v>37.335103293785778</v>
      </c>
      <c r="Q83" s="340">
        <v>16.36125654450262</v>
      </c>
    </row>
    <row r="84" spans="3:17" ht="18.75" x14ac:dyDescent="0.4">
      <c r="C84" s="2567"/>
      <c r="D84" s="391" t="s">
        <v>779</v>
      </c>
      <c r="E84" s="340">
        <v>8.883519295003909</v>
      </c>
      <c r="F84" s="340">
        <v>9.3010818320805946</v>
      </c>
      <c r="G84" s="340">
        <v>16.550338711242244</v>
      </c>
      <c r="H84" s="340">
        <v>10.646643505547461</v>
      </c>
      <c r="I84" s="340">
        <v>14.863912622214393</v>
      </c>
      <c r="J84" s="340">
        <v>11.907145911248465</v>
      </c>
      <c r="K84" s="340">
        <v>11.705053923055232</v>
      </c>
      <c r="L84" s="340">
        <v>10.464301037012232</v>
      </c>
      <c r="M84" s="340">
        <v>11.328118965845722</v>
      </c>
      <c r="N84" s="340">
        <v>7.0987435223965365</v>
      </c>
      <c r="O84" s="340">
        <v>9.4928329111520799</v>
      </c>
      <c r="P84" s="340">
        <v>9.35274109151411</v>
      </c>
      <c r="Q84" s="340">
        <v>8.2478228173592409</v>
      </c>
    </row>
    <row r="85" spans="3:17" ht="18.75" x14ac:dyDescent="0.4">
      <c r="C85" s="2567"/>
      <c r="D85" s="391" t="s">
        <v>780</v>
      </c>
      <c r="E85" s="340">
        <v>7.8845698967121347</v>
      </c>
      <c r="F85" s="340">
        <v>7.7845243655612641</v>
      </c>
      <c r="G85" s="340">
        <v>30.69603253779449</v>
      </c>
      <c r="H85" s="340">
        <v>7.5671585319712449</v>
      </c>
      <c r="I85" s="340">
        <v>22.394744699910422</v>
      </c>
      <c r="J85" s="340">
        <v>14.74165253924965</v>
      </c>
      <c r="K85" s="392" t="s">
        <v>751</v>
      </c>
      <c r="L85" s="340">
        <v>14.402995823131212</v>
      </c>
      <c r="M85" s="340">
        <v>7.1194646162608581</v>
      </c>
      <c r="N85" s="340">
        <v>14.080540692762602</v>
      </c>
      <c r="O85" s="340">
        <v>34.865072170699392</v>
      </c>
      <c r="P85" s="340">
        <v>20.705362688936436</v>
      </c>
      <c r="Q85" s="340">
        <v>27.342948937042863</v>
      </c>
    </row>
    <row r="86" spans="3:17" ht="18.75" x14ac:dyDescent="0.4">
      <c r="C86" s="2567"/>
      <c r="D86" s="391" t="s">
        <v>781</v>
      </c>
      <c r="E86" s="340">
        <v>10.16260162601626</v>
      </c>
      <c r="F86" s="392" t="s">
        <v>751</v>
      </c>
      <c r="G86" s="340">
        <v>34.650034650034648</v>
      </c>
      <c r="H86" s="340">
        <v>24.430763217042898</v>
      </c>
      <c r="I86" s="340">
        <v>19.297568506368197</v>
      </c>
      <c r="J86" s="340">
        <v>9.5347063310450046</v>
      </c>
      <c r="K86" s="340">
        <v>18.836825994819872</v>
      </c>
      <c r="L86" s="340">
        <v>18.622840914381488</v>
      </c>
      <c r="M86" s="340">
        <v>13.80961148959676</v>
      </c>
      <c r="N86" s="340">
        <v>41.011619958988383</v>
      </c>
      <c r="O86" s="340">
        <v>9.0228277542181718</v>
      </c>
      <c r="P86" s="340">
        <v>17.863522686673811</v>
      </c>
      <c r="Q86" s="340">
        <v>26.55337227827934</v>
      </c>
    </row>
    <row r="87" spans="3:17" ht="18.75" x14ac:dyDescent="0.4">
      <c r="C87" s="2567"/>
      <c r="D87" s="391" t="s">
        <v>782</v>
      </c>
      <c r="E87" s="340">
        <v>12.869736813882156</v>
      </c>
      <c r="F87" s="340">
        <v>19.004582215934288</v>
      </c>
      <c r="G87" s="340">
        <v>24.932474548098899</v>
      </c>
      <c r="H87" s="340">
        <v>12.267429973420569</v>
      </c>
      <c r="I87" s="340">
        <v>16.097551160029781</v>
      </c>
      <c r="J87" s="340">
        <v>9.9080532656943578</v>
      </c>
      <c r="K87" s="340">
        <v>13.672409078479628</v>
      </c>
      <c r="L87" s="340">
        <v>9.6283458501829386</v>
      </c>
      <c r="M87" s="340">
        <v>17.093692427494254</v>
      </c>
      <c r="N87" s="340">
        <v>22.484120589833431</v>
      </c>
      <c r="O87" s="340">
        <v>24.049579132365185</v>
      </c>
      <c r="P87" s="340">
        <v>32.867107329364934</v>
      </c>
      <c r="Q87" s="340">
        <v>21.63487541917571</v>
      </c>
    </row>
    <row r="88" spans="3:17" ht="18.75" x14ac:dyDescent="0.4">
      <c r="C88" s="2567"/>
      <c r="D88" s="391" t="s">
        <v>783</v>
      </c>
      <c r="E88" s="340">
        <v>11.270568788038169</v>
      </c>
      <c r="F88" s="392" t="s">
        <v>751</v>
      </c>
      <c r="G88" s="340">
        <v>3.5729598399313991</v>
      </c>
      <c r="H88" s="340">
        <v>10.455147417578589</v>
      </c>
      <c r="I88" s="340">
        <v>17.012589316093909</v>
      </c>
      <c r="J88" s="340">
        <v>16.625656713440183</v>
      </c>
      <c r="K88" s="340">
        <v>9.7355184163556707</v>
      </c>
      <c r="L88" s="340">
        <v>12.679896024852598</v>
      </c>
      <c r="M88" s="340">
        <v>9.2965602726991019</v>
      </c>
      <c r="N88" s="340">
        <v>3.0309459582335645</v>
      </c>
      <c r="O88" s="340">
        <v>20.778295586096352</v>
      </c>
      <c r="P88" s="340">
        <v>26.131645422606777</v>
      </c>
      <c r="Q88" s="340">
        <v>19.893145390474025</v>
      </c>
    </row>
    <row r="89" spans="3:17" ht="18.75" x14ac:dyDescent="0.4">
      <c r="C89" s="2567"/>
      <c r="D89" s="391" t="s">
        <v>784</v>
      </c>
      <c r="E89" s="340">
        <v>11.986096128490951</v>
      </c>
      <c r="F89" s="340">
        <v>5.8997050147492631</v>
      </c>
      <c r="G89" s="340">
        <v>11.606987406418664</v>
      </c>
      <c r="H89" s="340">
        <v>17.136002741760439</v>
      </c>
      <c r="I89" s="340">
        <v>16.872890888638921</v>
      </c>
      <c r="J89" s="340">
        <v>16.612215515809289</v>
      </c>
      <c r="K89" s="340">
        <v>10.925976509150505</v>
      </c>
      <c r="L89" s="340">
        <v>26.967261744242492</v>
      </c>
      <c r="M89" s="340">
        <v>5.3259480187473365</v>
      </c>
      <c r="N89" s="392" t="s">
        <v>751</v>
      </c>
      <c r="O89" s="340">
        <v>10.39717196922437</v>
      </c>
      <c r="P89" s="392" t="s">
        <v>751</v>
      </c>
      <c r="Q89" s="392">
        <v>20.308692120227455</v>
      </c>
    </row>
    <row r="90" spans="3:17" ht="18.75" x14ac:dyDescent="0.4">
      <c r="C90" s="2567"/>
      <c r="D90" s="391" t="s">
        <v>785</v>
      </c>
      <c r="E90" s="392" t="s">
        <v>786</v>
      </c>
      <c r="F90" s="392" t="s">
        <v>786</v>
      </c>
      <c r="G90" s="392" t="s">
        <v>786</v>
      </c>
      <c r="H90" s="392" t="s">
        <v>786</v>
      </c>
      <c r="I90" s="392" t="s">
        <v>786</v>
      </c>
      <c r="J90" s="392" t="s">
        <v>786</v>
      </c>
      <c r="K90" s="392" t="s">
        <v>786</v>
      </c>
      <c r="L90" s="392" t="s">
        <v>786</v>
      </c>
      <c r="M90" s="392" t="s">
        <v>786</v>
      </c>
      <c r="N90" s="340">
        <v>12.916559028674762</v>
      </c>
      <c r="O90" s="392" t="s">
        <v>751</v>
      </c>
      <c r="P90" s="392" t="s">
        <v>751</v>
      </c>
      <c r="Q90" s="392" t="s">
        <v>751</v>
      </c>
    </row>
    <row r="91" spans="3:17" ht="18.75" x14ac:dyDescent="0.4">
      <c r="C91" s="2567" t="s">
        <v>330</v>
      </c>
      <c r="D91" s="391" t="s">
        <v>330</v>
      </c>
      <c r="E91" s="340">
        <v>16.6384921532871</v>
      </c>
      <c r="F91" s="340">
        <v>15.812985096261547</v>
      </c>
      <c r="G91" s="340">
        <v>13.045803817202195</v>
      </c>
      <c r="H91" s="340">
        <v>18.731188074046322</v>
      </c>
      <c r="I91" s="340">
        <v>12.793858947705102</v>
      </c>
      <c r="J91" s="340">
        <v>14.575966133059559</v>
      </c>
      <c r="K91" s="340">
        <v>20.736197861029773</v>
      </c>
      <c r="L91" s="340">
        <v>22.435917410895129</v>
      </c>
      <c r="M91" s="340">
        <v>21.023082107502148</v>
      </c>
      <c r="N91" s="340">
        <v>23.934603299293009</v>
      </c>
      <c r="O91" s="340">
        <v>24.372261928698947</v>
      </c>
      <c r="P91" s="340">
        <v>26.02984351826629</v>
      </c>
      <c r="Q91" s="340">
        <v>28.27850111910664</v>
      </c>
    </row>
    <row r="92" spans="3:17" ht="18.75" x14ac:dyDescent="0.4">
      <c r="C92" s="2567"/>
      <c r="D92" s="391" t="s">
        <v>787</v>
      </c>
      <c r="E92" s="340">
        <v>15.670979087949018</v>
      </c>
      <c r="F92" s="340">
        <v>8.6162329829398576</v>
      </c>
      <c r="G92" s="340">
        <v>15.347623676267458</v>
      </c>
      <c r="H92" s="340">
        <v>10.125044297068801</v>
      </c>
      <c r="I92" s="340">
        <v>21.716977664923739</v>
      </c>
      <c r="J92" s="340">
        <v>4.9629433562731604</v>
      </c>
      <c r="K92" s="340">
        <v>19.678583142013775</v>
      </c>
      <c r="L92" s="340">
        <v>16.259369461652277</v>
      </c>
      <c r="M92" s="340">
        <v>16.127211443869239</v>
      </c>
      <c r="N92" s="340">
        <v>20.806658130601789</v>
      </c>
      <c r="O92" s="340">
        <v>27.009421521742581</v>
      </c>
      <c r="P92" s="340">
        <v>34.713456197929816</v>
      </c>
      <c r="Q92" s="340">
        <v>29.782431500407547</v>
      </c>
    </row>
    <row r="93" spans="3:17" ht="18.75" x14ac:dyDescent="0.4">
      <c r="C93" s="2567"/>
      <c r="D93" s="391" t="s">
        <v>788</v>
      </c>
      <c r="E93" s="340">
        <v>21.03175795451131</v>
      </c>
      <c r="F93" s="340">
        <v>10.870102277780523</v>
      </c>
      <c r="G93" s="340">
        <v>16.580189599344596</v>
      </c>
      <c r="H93" s="340">
        <v>16.367399990372117</v>
      </c>
      <c r="I93" s="340">
        <v>9.5062456033614087</v>
      </c>
      <c r="J93" s="340">
        <v>10.329608413935581</v>
      </c>
      <c r="K93" s="340">
        <v>12.064405364020232</v>
      </c>
      <c r="L93" s="340">
        <v>15.597761262501146</v>
      </c>
      <c r="M93" s="340">
        <v>9.9823946857360664</v>
      </c>
      <c r="N93" s="340">
        <v>10.774991245319613</v>
      </c>
      <c r="O93" s="340">
        <v>6.2217797845486542</v>
      </c>
      <c r="P93" s="340">
        <v>20.249687450476308</v>
      </c>
      <c r="Q93" s="340">
        <v>14.832264537800461</v>
      </c>
    </row>
    <row r="94" spans="3:17" ht="18.75" x14ac:dyDescent="0.4">
      <c r="C94" s="2567"/>
      <c r="D94" s="391" t="s">
        <v>789</v>
      </c>
      <c r="E94" s="340">
        <v>25.581990278843694</v>
      </c>
      <c r="F94" s="340">
        <v>19.088826673453806</v>
      </c>
      <c r="G94" s="340">
        <v>31.595576619273299</v>
      </c>
      <c r="H94" s="340">
        <v>43.947764942240077</v>
      </c>
      <c r="I94" s="340">
        <v>12.478163214374845</v>
      </c>
      <c r="J94" s="340">
        <v>43.418930653765045</v>
      </c>
      <c r="K94" s="340">
        <v>6.1850569025235043</v>
      </c>
      <c r="L94" s="340">
        <v>18.500246669955597</v>
      </c>
      <c r="M94" s="340">
        <v>43.06367271608736</v>
      </c>
      <c r="N94" s="340">
        <v>42.955326460481096</v>
      </c>
      <c r="O94" s="340">
        <v>36.762453281048955</v>
      </c>
      <c r="P94" s="340">
        <v>18.36210062431142</v>
      </c>
      <c r="Q94" s="340">
        <v>48.896766701301878</v>
      </c>
    </row>
    <row r="95" spans="3:17" ht="18.75" x14ac:dyDescent="0.4">
      <c r="C95" s="2567"/>
      <c r="D95" s="391" t="s">
        <v>790</v>
      </c>
      <c r="E95" s="340">
        <v>27.590012415505583</v>
      </c>
      <c r="F95" s="340">
        <v>23.405983670884332</v>
      </c>
      <c r="G95" s="340">
        <v>24.706609017912289</v>
      </c>
      <c r="H95" s="340">
        <v>19.161283258513084</v>
      </c>
      <c r="I95" s="340">
        <v>32.752879523991481</v>
      </c>
      <c r="J95" s="340">
        <v>23.144051298108995</v>
      </c>
      <c r="K95" s="340">
        <v>20.401501550514119</v>
      </c>
      <c r="L95" s="340">
        <v>28.542303771661569</v>
      </c>
      <c r="M95" s="340">
        <v>19.017604868506847</v>
      </c>
      <c r="N95" s="340">
        <v>27.153252959704574</v>
      </c>
      <c r="O95" s="340">
        <v>29.867361761631301</v>
      </c>
      <c r="P95" s="340">
        <v>17.661603673613563</v>
      </c>
      <c r="Q95" s="340">
        <v>35.352024583254014</v>
      </c>
    </row>
    <row r="96" spans="3:17" ht="18.75" x14ac:dyDescent="0.4">
      <c r="C96" s="2567"/>
      <c r="D96" s="391" t="s">
        <v>791</v>
      </c>
      <c r="E96" s="340">
        <v>14.10238330277817</v>
      </c>
      <c r="F96" s="340">
        <v>27.968116347364006</v>
      </c>
      <c r="G96" s="340">
        <v>27.702749497887662</v>
      </c>
      <c r="H96" s="340">
        <v>6.854479402289396</v>
      </c>
      <c r="I96" s="340">
        <v>27.183146449201494</v>
      </c>
      <c r="J96" s="340">
        <v>20.197939810139363</v>
      </c>
      <c r="K96" s="340">
        <v>13.354700854700855</v>
      </c>
      <c r="L96" s="340">
        <v>6.6260270341902991</v>
      </c>
      <c r="M96" s="340">
        <v>59.136605558840927</v>
      </c>
      <c r="N96" s="340">
        <v>52.21250489492234</v>
      </c>
      <c r="O96" s="340">
        <v>32.398107950495692</v>
      </c>
      <c r="P96" s="340">
        <v>38.649832517392426</v>
      </c>
      <c r="Q96" s="340">
        <v>25.616394492475184</v>
      </c>
    </row>
    <row r="97" spans="3:17" ht="18.75" x14ac:dyDescent="0.4">
      <c r="C97" s="2567"/>
      <c r="D97" s="391" t="s">
        <v>792</v>
      </c>
      <c r="E97" s="340">
        <v>19.701845406186379</v>
      </c>
      <c r="F97" s="340">
        <v>15.172533379573434</v>
      </c>
      <c r="G97" s="340">
        <v>8.5825859331416563</v>
      </c>
      <c r="H97" s="340">
        <v>21.23999065440411</v>
      </c>
      <c r="I97" s="340">
        <v>10.515247108307044</v>
      </c>
      <c r="J97" s="340">
        <v>8.3319446758873532</v>
      </c>
      <c r="K97" s="340">
        <v>16.519368960105727</v>
      </c>
      <c r="L97" s="340">
        <v>18.431292238378049</v>
      </c>
      <c r="M97" s="340">
        <v>14.219261004692356</v>
      </c>
      <c r="N97" s="340">
        <v>22.175630997500203</v>
      </c>
      <c r="O97" s="340">
        <v>36.020171295925714</v>
      </c>
      <c r="P97" s="340">
        <v>25.849041597073096</v>
      </c>
      <c r="Q97" s="340">
        <v>17.788319003854134</v>
      </c>
    </row>
    <row r="98" spans="3:17" ht="18.75" x14ac:dyDescent="0.4">
      <c r="C98" s="2567"/>
      <c r="D98" s="391" t="s">
        <v>793</v>
      </c>
      <c r="E98" s="340">
        <v>14.278574998215177</v>
      </c>
      <c r="F98" s="340">
        <v>4.7087630079578098</v>
      </c>
      <c r="G98" s="340">
        <v>18.631515207974289</v>
      </c>
      <c r="H98" s="340">
        <v>4.6067027525048951</v>
      </c>
      <c r="I98" s="340">
        <v>20.509548334168908</v>
      </c>
      <c r="J98" s="340">
        <v>33.832551425478165</v>
      </c>
      <c r="K98" s="340">
        <v>17.876695492838149</v>
      </c>
      <c r="L98" s="340">
        <v>11.073216104885503</v>
      </c>
      <c r="M98" s="340">
        <v>10.977430403091244</v>
      </c>
      <c r="N98" s="340">
        <v>10.884946119516709</v>
      </c>
      <c r="O98" s="340">
        <v>19.436765722183829</v>
      </c>
      <c r="P98" s="340">
        <v>12.865045670912131</v>
      </c>
      <c r="Q98" s="340">
        <v>10.647586192210225</v>
      </c>
    </row>
    <row r="99" spans="3:17" ht="18.75" x14ac:dyDescent="0.4">
      <c r="C99" s="2570" t="s">
        <v>331</v>
      </c>
      <c r="D99" s="391" t="s">
        <v>331</v>
      </c>
      <c r="E99" s="340">
        <v>11.825083366837736</v>
      </c>
      <c r="F99" s="340">
        <v>13.224837801254026</v>
      </c>
      <c r="G99" s="340">
        <v>9.2133347665187415</v>
      </c>
      <c r="H99" s="340">
        <v>16.675130558692668</v>
      </c>
      <c r="I99" s="340">
        <v>20.207463289775024</v>
      </c>
      <c r="J99" s="340">
        <v>10.347988055465215</v>
      </c>
      <c r="K99" s="340">
        <v>24.096737447790403</v>
      </c>
      <c r="L99" s="340">
        <v>7.9386844878105114</v>
      </c>
      <c r="M99" s="340">
        <v>11.41788754808001</v>
      </c>
      <c r="N99" s="340">
        <v>14.821820543043273</v>
      </c>
      <c r="O99" s="340">
        <v>11.172560192168035</v>
      </c>
      <c r="P99" s="340">
        <v>14.518203061266819</v>
      </c>
      <c r="Q99" s="340">
        <v>13.01191617586632</v>
      </c>
    </row>
    <row r="100" spans="3:17" ht="18.75" x14ac:dyDescent="0.4">
      <c r="C100" s="2570"/>
      <c r="D100" s="391" t="s">
        <v>794</v>
      </c>
      <c r="E100" s="340">
        <v>9.8948670377241807</v>
      </c>
      <c r="F100" s="340">
        <v>4.8678381930584633</v>
      </c>
      <c r="G100" s="340">
        <v>7.1837360216469914</v>
      </c>
      <c r="H100" s="340">
        <v>18.84836490434455</v>
      </c>
      <c r="I100" s="340">
        <v>13.917884481558804</v>
      </c>
      <c r="J100" s="340">
        <v>15.990497076023392</v>
      </c>
      <c r="K100" s="340">
        <v>24.747463385003037</v>
      </c>
      <c r="L100" s="340">
        <v>17.735999645280007</v>
      </c>
      <c r="M100" s="340">
        <v>10.928722869445478</v>
      </c>
      <c r="N100" s="340">
        <v>10.78050884001725</v>
      </c>
      <c r="O100" s="340">
        <v>17.020552316922686</v>
      </c>
      <c r="P100" s="340">
        <v>10.50177479994119</v>
      </c>
      <c r="Q100" s="340">
        <v>33.201909109773808</v>
      </c>
    </row>
    <row r="101" spans="3:17" ht="18.75" x14ac:dyDescent="0.4">
      <c r="C101" s="2570"/>
      <c r="D101" s="391" t="s">
        <v>795</v>
      </c>
      <c r="E101" s="340">
        <v>15.895363095508426</v>
      </c>
      <c r="F101" s="340">
        <v>6.7341578935554107</v>
      </c>
      <c r="G101" s="340">
        <v>11.090163025396473</v>
      </c>
      <c r="H101" s="340">
        <v>6.57620728205353</v>
      </c>
      <c r="I101" s="340">
        <v>6.4989926561382978</v>
      </c>
      <c r="J101" s="340">
        <v>6.422607578676943</v>
      </c>
      <c r="K101" s="340">
        <v>2.1186440677966103</v>
      </c>
      <c r="L101" s="340">
        <v>16.781339150864241</v>
      </c>
      <c r="M101" s="340">
        <v>24.932474548098899</v>
      </c>
      <c r="N101" s="340">
        <v>20.584179000020583</v>
      </c>
      <c r="O101" s="340">
        <v>12.233662962585381</v>
      </c>
      <c r="P101" s="340">
        <v>18.196154546005943</v>
      </c>
      <c r="Q101" s="340">
        <v>20.066218521119698</v>
      </c>
    </row>
    <row r="102" spans="3:17" ht="18.75" x14ac:dyDescent="0.4">
      <c r="C102" s="2570"/>
      <c r="D102" s="391" t="s">
        <v>796</v>
      </c>
      <c r="E102" s="340">
        <v>24.49779519843214</v>
      </c>
      <c r="F102" s="340">
        <v>24.103484292562737</v>
      </c>
      <c r="G102" s="340">
        <v>15.801532748676621</v>
      </c>
      <c r="H102" s="340">
        <v>12.954710332676962</v>
      </c>
      <c r="I102" s="340">
        <v>10.196018454793403</v>
      </c>
      <c r="J102" s="340">
        <v>15.059106994955197</v>
      </c>
      <c r="K102" s="340">
        <v>12.360328290319391</v>
      </c>
      <c r="L102" s="340">
        <v>19.489853095232295</v>
      </c>
      <c r="M102" s="340">
        <v>26.418810192857318</v>
      </c>
      <c r="N102" s="340">
        <v>14.215314632297195</v>
      </c>
      <c r="O102" s="340">
        <v>23.376501940249661</v>
      </c>
      <c r="P102" s="340">
        <v>23.074970579412511</v>
      </c>
      <c r="Q102" s="340">
        <v>29.62760381056566</v>
      </c>
    </row>
    <row r="103" spans="3:17" ht="18.75" x14ac:dyDescent="0.4">
      <c r="C103" s="2570"/>
      <c r="D103" s="391" t="s">
        <v>797</v>
      </c>
      <c r="E103" s="340">
        <v>10.37344398340249</v>
      </c>
      <c r="F103" s="340">
        <v>14.307906140135721</v>
      </c>
      <c r="G103" s="340">
        <v>4.0298206729800521</v>
      </c>
      <c r="H103" s="340">
        <v>19.86807597552253</v>
      </c>
      <c r="I103" s="340">
        <v>11.758250372344596</v>
      </c>
      <c r="J103" s="340">
        <v>17.396010514921912</v>
      </c>
      <c r="K103" s="340">
        <v>20.963561518524166</v>
      </c>
      <c r="L103" s="340">
        <v>22.557663026110497</v>
      </c>
      <c r="M103" s="340">
        <v>25.973544090091092</v>
      </c>
      <c r="N103" s="340">
        <v>18.319380072178355</v>
      </c>
      <c r="O103" s="340">
        <v>18.093325372270169</v>
      </c>
      <c r="P103" s="340">
        <v>14.305384188974124</v>
      </c>
      <c r="Q103" s="340">
        <v>19.448373408769449</v>
      </c>
    </row>
    <row r="104" spans="3:17" ht="18.75" x14ac:dyDescent="0.4">
      <c r="C104" s="2570"/>
      <c r="D104" s="391" t="s">
        <v>798</v>
      </c>
      <c r="E104" s="340">
        <v>24.256537136758354</v>
      </c>
      <c r="F104" s="340">
        <v>19.163512671872756</v>
      </c>
      <c r="G104" s="340">
        <v>14.181044670290712</v>
      </c>
      <c r="H104" s="392" t="s">
        <v>751</v>
      </c>
      <c r="I104" s="340">
        <v>9.211495946941783</v>
      </c>
      <c r="J104" s="340">
        <v>13.645667500568569</v>
      </c>
      <c r="K104" s="340">
        <v>26.969928529689394</v>
      </c>
      <c r="L104" s="340">
        <v>13.333333333333334</v>
      </c>
      <c r="M104" s="340">
        <v>39.553485101520614</v>
      </c>
      <c r="N104" s="340">
        <v>21.742911810749696</v>
      </c>
      <c r="O104" s="340">
        <v>25.828669823504089</v>
      </c>
      <c r="P104" s="340">
        <v>34.118048447628802</v>
      </c>
      <c r="Q104" s="340">
        <v>21.137180300147961</v>
      </c>
    </row>
    <row r="105" spans="3:17" ht="18.75" x14ac:dyDescent="0.4">
      <c r="C105" s="2570"/>
      <c r="D105" s="391" t="s">
        <v>799</v>
      </c>
      <c r="E105" s="340">
        <v>8.3608544793277879</v>
      </c>
      <c r="F105" s="340">
        <v>16.534391534391535</v>
      </c>
      <c r="G105" s="340">
        <v>28.601781482389473</v>
      </c>
      <c r="H105" s="340">
        <v>32.321926386812656</v>
      </c>
      <c r="I105" s="340">
        <v>11.988491048593351</v>
      </c>
      <c r="J105" s="340">
        <v>15.812776723592663</v>
      </c>
      <c r="K105" s="340">
        <v>15.659254619480114</v>
      </c>
      <c r="L105" s="392" t="s">
        <v>751</v>
      </c>
      <c r="M105" s="340">
        <v>7.6875768757687579</v>
      </c>
      <c r="N105" s="340">
        <v>22.868468193772152</v>
      </c>
      <c r="O105" s="340">
        <v>11.338296987792432</v>
      </c>
      <c r="P105" s="340">
        <v>7.5013127297277027</v>
      </c>
      <c r="Q105" s="392" t="s">
        <v>751</v>
      </c>
    </row>
    <row r="106" spans="3:17" ht="18.75" x14ac:dyDescent="0.4">
      <c r="C106" s="2570"/>
      <c r="D106" s="391" t="s">
        <v>800</v>
      </c>
      <c r="E106" s="340">
        <v>13.752635921885028</v>
      </c>
      <c r="F106" s="340">
        <v>18.07582809887478</v>
      </c>
      <c r="G106" s="340">
        <v>8.9067022934758402</v>
      </c>
      <c r="H106" s="340">
        <v>13.16886879417058</v>
      </c>
      <c r="I106" s="340">
        <v>17.311520817103784</v>
      </c>
      <c r="J106" s="340">
        <v>12.806283616494492</v>
      </c>
      <c r="K106" s="340">
        <v>8.4285052046019651</v>
      </c>
      <c r="L106" s="340">
        <v>16.647244880972199</v>
      </c>
      <c r="M106" s="340">
        <v>16.450750565494552</v>
      </c>
      <c r="N106" s="340">
        <v>32.516359793521119</v>
      </c>
      <c r="O106" s="340">
        <v>8.0366471108253634</v>
      </c>
      <c r="P106" s="340">
        <v>39.766174891637171</v>
      </c>
      <c r="Q106" s="340">
        <v>23.62111727884729</v>
      </c>
    </row>
    <row r="107" spans="3:17" ht="18.75" x14ac:dyDescent="0.4">
      <c r="C107" s="2570"/>
      <c r="D107" s="391" t="s">
        <v>801</v>
      </c>
      <c r="E107" s="340">
        <v>13.915947676036739</v>
      </c>
      <c r="F107" s="340">
        <v>10.335561220974299</v>
      </c>
      <c r="G107" s="340">
        <v>6.8243081857576682</v>
      </c>
      <c r="H107" s="340">
        <v>23.656640757012504</v>
      </c>
      <c r="I107" s="340">
        <v>10.043858180722488</v>
      </c>
      <c r="J107" s="340">
        <v>6.634819532908705</v>
      </c>
      <c r="K107" s="340">
        <v>26.341784655910441</v>
      </c>
      <c r="L107" s="340">
        <v>26.155757536127641</v>
      </c>
      <c r="M107" s="340">
        <v>16.234820442885901</v>
      </c>
      <c r="N107" s="340">
        <v>19.35483870967742</v>
      </c>
      <c r="O107" s="340">
        <v>25.641025641025642</v>
      </c>
      <c r="P107" s="340">
        <v>15.939811272634531</v>
      </c>
      <c r="Q107" s="340">
        <v>12.690757955518894</v>
      </c>
    </row>
    <row r="108" spans="3:17" ht="18.75" x14ac:dyDescent="0.4">
      <c r="C108" s="2570"/>
      <c r="D108" s="391" t="s">
        <v>802</v>
      </c>
      <c r="E108" s="340">
        <v>3.1946840457478753</v>
      </c>
      <c r="F108" s="340">
        <v>6.2027043791092913</v>
      </c>
      <c r="G108" s="340">
        <v>1.5057292999864484</v>
      </c>
      <c r="H108" s="340">
        <v>8.7771910063049496</v>
      </c>
      <c r="I108" s="340">
        <v>8.5349720479665425</v>
      </c>
      <c r="J108" s="340">
        <v>6.9234816804674741</v>
      </c>
      <c r="K108" s="340">
        <v>14.786138667096809</v>
      </c>
      <c r="L108" s="340">
        <v>9.1418422118034233</v>
      </c>
      <c r="M108" s="340">
        <v>13.970205362018822</v>
      </c>
      <c r="N108" s="340">
        <v>8.6531924099140873</v>
      </c>
      <c r="O108" s="340">
        <v>8.4322110461964694</v>
      </c>
      <c r="P108" s="340">
        <v>2.3432648709446875</v>
      </c>
      <c r="Q108" s="340">
        <v>12.544618928689543</v>
      </c>
    </row>
    <row r="109" spans="3:17" ht="18.75" x14ac:dyDescent="0.4">
      <c r="C109" s="2570" t="s">
        <v>332</v>
      </c>
      <c r="D109" s="391" t="s">
        <v>803</v>
      </c>
      <c r="E109" s="340">
        <v>29.921731050882695</v>
      </c>
      <c r="F109" s="340">
        <v>23.149219871290335</v>
      </c>
      <c r="G109" s="340">
        <v>18.147448015122876</v>
      </c>
      <c r="H109" s="340">
        <v>19.269821976490817</v>
      </c>
      <c r="I109" s="340">
        <v>21.80708003198372</v>
      </c>
      <c r="J109" s="340">
        <v>9.9845951959833386</v>
      </c>
      <c r="K109" s="340">
        <v>20.970808634380944</v>
      </c>
      <c r="L109" s="340">
        <v>20.567949649659258</v>
      </c>
      <c r="M109" s="340">
        <v>25.57200538358008</v>
      </c>
      <c r="N109" s="340">
        <v>7.932310946589106</v>
      </c>
      <c r="O109" s="340">
        <v>20.787589808884096</v>
      </c>
      <c r="P109" s="340">
        <v>17.877209112268876</v>
      </c>
      <c r="Q109" s="340">
        <v>20.097977640999876</v>
      </c>
    </row>
    <row r="110" spans="3:17" ht="18.75" x14ac:dyDescent="0.4">
      <c r="C110" s="2570"/>
      <c r="D110" s="391" t="s">
        <v>804</v>
      </c>
      <c r="E110" s="340">
        <v>33.461932131328247</v>
      </c>
      <c r="F110" s="340">
        <v>25.306106558174847</v>
      </c>
      <c r="G110" s="340">
        <v>28.853367187950834</v>
      </c>
      <c r="H110" s="340">
        <v>47.52309622476524</v>
      </c>
      <c r="I110" s="340">
        <v>26.309854919942868</v>
      </c>
      <c r="J110" s="340">
        <v>20.435081461665643</v>
      </c>
      <c r="K110" s="340">
        <v>34.929038899919114</v>
      </c>
      <c r="L110" s="340">
        <v>27.293569634993997</v>
      </c>
      <c r="M110" s="340">
        <v>21.616947686986595</v>
      </c>
      <c r="N110" s="340">
        <v>32.112464988493031</v>
      </c>
      <c r="O110" s="340">
        <v>21.204785213196445</v>
      </c>
      <c r="P110" s="340">
        <v>38.51203501094092</v>
      </c>
      <c r="Q110" s="340">
        <v>27.766208524226016</v>
      </c>
    </row>
    <row r="111" spans="3:17" ht="18.75" x14ac:dyDescent="0.4">
      <c r="C111" s="2570"/>
      <c r="D111" s="391" t="s">
        <v>805</v>
      </c>
      <c r="E111" s="340">
        <v>33.339767323518572</v>
      </c>
      <c r="F111" s="340">
        <v>24.093482712926154</v>
      </c>
      <c r="G111" s="340">
        <v>26.982815319493398</v>
      </c>
      <c r="H111" s="340">
        <v>24.795437639474336</v>
      </c>
      <c r="I111" s="340">
        <v>22.688231290312125</v>
      </c>
      <c r="J111" s="340">
        <v>31.800546969407872</v>
      </c>
      <c r="K111" s="340">
        <v>23.394366636513929</v>
      </c>
      <c r="L111" s="340">
        <v>21.424745581146222</v>
      </c>
      <c r="M111" s="340">
        <v>16.526194017517767</v>
      </c>
      <c r="N111" s="340">
        <v>25.089288349715165</v>
      </c>
      <c r="O111" s="340">
        <v>20.307808352311465</v>
      </c>
      <c r="P111" s="340">
        <v>11.408199643493761</v>
      </c>
      <c r="Q111" s="340">
        <v>22.445429549408001</v>
      </c>
    </row>
    <row r="112" spans="3:17" ht="18.75" x14ac:dyDescent="0.4">
      <c r="C112" s="2570"/>
      <c r="D112" s="391" t="s">
        <v>806</v>
      </c>
      <c r="E112" s="340">
        <v>19.547475932170258</v>
      </c>
      <c r="F112" s="340">
        <v>4.8021513638109878</v>
      </c>
      <c r="G112" s="340">
        <v>23.599376976447822</v>
      </c>
      <c r="H112" s="340">
        <v>18.546853989891964</v>
      </c>
      <c r="I112" s="340">
        <v>9.1174325309992703</v>
      </c>
      <c r="J112" s="340">
        <v>17.936415407380835</v>
      </c>
      <c r="K112" s="340">
        <v>4.4095599259193934</v>
      </c>
      <c r="L112" s="340">
        <v>8.6779190350154032</v>
      </c>
      <c r="M112" s="340">
        <v>21.350185746615995</v>
      </c>
      <c r="N112" s="340">
        <v>21.031378817195257</v>
      </c>
      <c r="O112" s="340">
        <v>4.1442188147534189</v>
      </c>
      <c r="P112" s="340">
        <v>28.578427369968153</v>
      </c>
      <c r="Q112" s="340">
        <v>8.0492614802591866</v>
      </c>
    </row>
    <row r="113" spans="3:17" ht="18.75" x14ac:dyDescent="0.4">
      <c r="C113" s="2570"/>
      <c r="D113" s="391" t="s">
        <v>807</v>
      </c>
      <c r="E113" s="340">
        <v>18.791946308724832</v>
      </c>
      <c r="F113" s="340">
        <v>23.641903961332353</v>
      </c>
      <c r="G113" s="340">
        <v>38.564376799670917</v>
      </c>
      <c r="H113" s="340">
        <v>15.101557977398002</v>
      </c>
      <c r="I113" s="340">
        <v>22.190443315745352</v>
      </c>
      <c r="J113" s="340">
        <v>28.99251026818072</v>
      </c>
      <c r="K113" s="340">
        <v>23.626698168930893</v>
      </c>
      <c r="L113" s="340">
        <v>32.369193775866457</v>
      </c>
      <c r="M113" s="340">
        <v>9.0585864075910951</v>
      </c>
      <c r="N113" s="340">
        <v>26.638843874175862</v>
      </c>
      <c r="O113" s="340">
        <v>19.591197022138054</v>
      </c>
      <c r="P113" s="340">
        <v>23.476683384910896</v>
      </c>
      <c r="Q113" s="340">
        <v>8.3759108803082327</v>
      </c>
    </row>
    <row r="114" spans="3:17" ht="18.75" x14ac:dyDescent="0.4">
      <c r="C114" s="2570"/>
      <c r="D114" s="391" t="s">
        <v>808</v>
      </c>
      <c r="E114" s="340">
        <v>17.320216156297629</v>
      </c>
      <c r="F114" s="340">
        <v>6.8413491140452907</v>
      </c>
      <c r="G114" s="340">
        <v>16.875928176049683</v>
      </c>
      <c r="H114" s="340">
        <v>19.990004997501249</v>
      </c>
      <c r="I114" s="340">
        <v>9.8635541673516354</v>
      </c>
      <c r="J114" s="340">
        <v>12.98996525184295</v>
      </c>
      <c r="K114" s="340">
        <v>25.657472738935219</v>
      </c>
      <c r="L114" s="340">
        <v>31.674638117259509</v>
      </c>
      <c r="M114" s="340">
        <v>18.778167250876315</v>
      </c>
      <c r="N114" s="340">
        <v>21.65506573859242</v>
      </c>
      <c r="O114" s="340">
        <v>15.29753709652746</v>
      </c>
      <c r="P114" s="340">
        <v>9.0793535500272373</v>
      </c>
      <c r="Q114" s="340">
        <v>14.973197975623632</v>
      </c>
    </row>
    <row r="115" spans="3:17" ht="18.75" x14ac:dyDescent="0.4">
      <c r="C115" s="2570"/>
      <c r="D115" s="391" t="s">
        <v>809</v>
      </c>
      <c r="E115" s="340">
        <v>32.727867779414169</v>
      </c>
      <c r="F115" s="340">
        <v>27.009507346586002</v>
      </c>
      <c r="G115" s="340">
        <v>21.39495079161318</v>
      </c>
      <c r="H115" s="340">
        <v>26.462026991267528</v>
      </c>
      <c r="I115" s="340">
        <v>41.926523767098161</v>
      </c>
      <c r="J115" s="340">
        <v>10.380982040901069</v>
      </c>
      <c r="K115" s="340">
        <v>36.028617015801125</v>
      </c>
      <c r="L115" s="340">
        <v>25.534957356621213</v>
      </c>
      <c r="M115" s="340">
        <v>25.338265849085289</v>
      </c>
      <c r="N115" s="340">
        <v>60.371283392866118</v>
      </c>
      <c r="O115" s="340">
        <v>29.976019184652277</v>
      </c>
      <c r="P115" s="340">
        <v>14.885382554331647</v>
      </c>
      <c r="Q115" s="340">
        <v>44.374322058968545</v>
      </c>
    </row>
    <row r="116" spans="3:17" ht="18.75" x14ac:dyDescent="0.4">
      <c r="C116" s="2570"/>
      <c r="D116" s="391" t="s">
        <v>810</v>
      </c>
      <c r="E116" s="340">
        <v>4.9478007025877</v>
      </c>
      <c r="F116" s="340">
        <v>29.463759575721863</v>
      </c>
      <c r="G116" s="340">
        <v>19.475144846389796</v>
      </c>
      <c r="H116" s="340">
        <v>9.6581031485416258</v>
      </c>
      <c r="I116" s="340">
        <v>19.154336062826221</v>
      </c>
      <c r="J116" s="340">
        <v>23.756354824915665</v>
      </c>
      <c r="K116" s="340">
        <v>23.594922372705394</v>
      </c>
      <c r="L116" s="340">
        <v>32.806861320710503</v>
      </c>
      <c r="M116" s="340">
        <v>37.252619324796278</v>
      </c>
      <c r="N116" s="340">
        <v>23.127804246264859</v>
      </c>
      <c r="O116" s="340">
        <v>22.989562738516714</v>
      </c>
      <c r="P116" s="340">
        <v>18.29575081187394</v>
      </c>
      <c r="Q116" s="340">
        <v>36.390101892285301</v>
      </c>
    </row>
    <row r="117" spans="3:17" ht="18.75" x14ac:dyDescent="0.4">
      <c r="C117" s="2570"/>
      <c r="D117" s="391" t="s">
        <v>811</v>
      </c>
      <c r="E117" s="340">
        <v>26.695141484249866</v>
      </c>
      <c r="F117" s="340">
        <v>26.55337227827934</v>
      </c>
      <c r="G117" s="340">
        <v>8.7997184090109108</v>
      </c>
      <c r="H117" s="340">
        <v>26.194010302977386</v>
      </c>
      <c r="I117" s="340">
        <v>52.060737527114966</v>
      </c>
      <c r="J117" s="340">
        <v>43.125754700707262</v>
      </c>
      <c r="K117" s="340">
        <v>60.147791716789826</v>
      </c>
      <c r="L117" s="340">
        <v>25.695931477516059</v>
      </c>
      <c r="M117" s="340">
        <v>17.075044821992655</v>
      </c>
      <c r="N117" s="340">
        <v>34.042553191489361</v>
      </c>
      <c r="O117" s="340">
        <v>8.4839229659794686</v>
      </c>
      <c r="P117" s="340">
        <v>42.319085907744395</v>
      </c>
      <c r="Q117" s="340">
        <v>42.236864335191754</v>
      </c>
    </row>
    <row r="118" spans="3:17" ht="18.75" x14ac:dyDescent="0.4">
      <c r="C118" s="2570"/>
      <c r="D118" s="391" t="s">
        <v>812</v>
      </c>
      <c r="E118" s="340">
        <v>13.531189391547516</v>
      </c>
      <c r="F118" s="340">
        <v>4.4161808867691219</v>
      </c>
      <c r="G118" s="340">
        <v>21.630975556997619</v>
      </c>
      <c r="H118" s="340">
        <v>25.425883549453342</v>
      </c>
      <c r="I118" s="340">
        <v>8.3046132126396213</v>
      </c>
      <c r="J118" s="340">
        <v>24.424994911459393</v>
      </c>
      <c r="K118" s="340">
        <v>3.9866050071758887</v>
      </c>
      <c r="L118" s="392" t="s">
        <v>751</v>
      </c>
      <c r="M118" s="340">
        <v>3.8318580679771621</v>
      </c>
      <c r="N118" s="392" t="s">
        <v>751</v>
      </c>
      <c r="O118" s="340">
        <v>7.3827980804724991</v>
      </c>
      <c r="P118" s="340">
        <v>3.6256843479206702</v>
      </c>
      <c r="Q118" s="340">
        <v>17.811976773182288</v>
      </c>
    </row>
    <row r="119" spans="3:17" ht="18.75" x14ac:dyDescent="0.4">
      <c r="C119" s="2570"/>
      <c r="D119" s="391" t="s">
        <v>813</v>
      </c>
      <c r="E119" s="340">
        <v>13.449899125756557</v>
      </c>
      <c r="F119" s="340">
        <v>13.363624214887077</v>
      </c>
      <c r="G119" s="340">
        <v>13.234515616728428</v>
      </c>
      <c r="H119" s="392" t="s">
        <v>751</v>
      </c>
      <c r="I119" s="392" t="s">
        <v>751</v>
      </c>
      <c r="J119" s="340">
        <v>25.783163594173004</v>
      </c>
      <c r="K119" s="340">
        <v>12.807377049180328</v>
      </c>
      <c r="L119" s="340">
        <v>38.192234245703375</v>
      </c>
      <c r="M119" s="340">
        <v>25.310048089091371</v>
      </c>
      <c r="N119" s="392" t="s">
        <v>751</v>
      </c>
      <c r="O119" s="340">
        <v>50.01250312578145</v>
      </c>
      <c r="P119" s="340">
        <v>24.866343404202411</v>
      </c>
      <c r="Q119" s="340">
        <v>12.368583797155226</v>
      </c>
    </row>
    <row r="120" spans="3:17" ht="18.75" x14ac:dyDescent="0.4">
      <c r="C120" s="2567" t="s">
        <v>533</v>
      </c>
      <c r="D120" s="391" t="s">
        <v>533</v>
      </c>
      <c r="E120" s="340">
        <v>18.244543222981488</v>
      </c>
      <c r="F120" s="340">
        <v>22.034520749173705</v>
      </c>
      <c r="G120" s="340">
        <v>20.8801798907806</v>
      </c>
      <c r="H120" s="340">
        <v>17.389242382326206</v>
      </c>
      <c r="I120" s="340">
        <v>19.455101516719715</v>
      </c>
      <c r="J120" s="340">
        <v>17.629654612070947</v>
      </c>
      <c r="K120" s="340">
        <v>13.591060102688008</v>
      </c>
      <c r="L120" s="340">
        <v>16.369047619047617</v>
      </c>
      <c r="M120" s="340">
        <v>15.404025585352972</v>
      </c>
      <c r="N120" s="340">
        <v>17.36337196683596</v>
      </c>
      <c r="O120" s="340">
        <v>24.26803329003155</v>
      </c>
      <c r="P120" s="340">
        <v>12.675163720864729</v>
      </c>
      <c r="Q120" s="340">
        <v>21.593297440474476</v>
      </c>
    </row>
    <row r="121" spans="3:17" ht="18.75" x14ac:dyDescent="0.4">
      <c r="C121" s="2567"/>
      <c r="D121" s="391" t="s">
        <v>814</v>
      </c>
      <c r="E121" s="340">
        <v>24.548160422228364</v>
      </c>
      <c r="F121" s="340">
        <v>24.150214333152206</v>
      </c>
      <c r="G121" s="340">
        <v>5.9340137669119395</v>
      </c>
      <c r="H121" s="340">
        <v>20.413519582397715</v>
      </c>
      <c r="I121" s="340">
        <v>25.816074809247894</v>
      </c>
      <c r="J121" s="340">
        <v>14.111537593136148</v>
      </c>
      <c r="K121" s="340">
        <v>19.450928087140156</v>
      </c>
      <c r="L121" s="340">
        <v>13.6810134894793</v>
      </c>
      <c r="M121" s="340">
        <v>16.168584440432241</v>
      </c>
      <c r="N121" s="340">
        <v>15.937524902382661</v>
      </c>
      <c r="O121" s="340">
        <v>7.8568996673912483</v>
      </c>
      <c r="P121" s="340">
        <v>10.332179573280984</v>
      </c>
      <c r="Q121" s="340">
        <v>28.029762511466721</v>
      </c>
    </row>
    <row r="122" spans="3:17" ht="18.75" x14ac:dyDescent="0.4">
      <c r="C122" s="2567"/>
      <c r="D122" s="391" t="s">
        <v>815</v>
      </c>
      <c r="E122" s="340">
        <v>12.851543256152677</v>
      </c>
      <c r="F122" s="340">
        <v>23.244019947595302</v>
      </c>
      <c r="G122" s="340">
        <v>29.164843863925171</v>
      </c>
      <c r="H122" s="340">
        <v>14.371945961483185</v>
      </c>
      <c r="I122" s="340">
        <v>18.219729943113954</v>
      </c>
      <c r="J122" s="340">
        <v>9.9886129812014293</v>
      </c>
      <c r="K122" s="340">
        <v>23.650446402175842</v>
      </c>
      <c r="L122" s="340">
        <v>11.664754942939906</v>
      </c>
      <c r="M122" s="340">
        <v>28.776426351532823</v>
      </c>
      <c r="N122" s="340">
        <v>26.523188845104574</v>
      </c>
      <c r="O122" s="340">
        <v>31.813758514858893</v>
      </c>
      <c r="P122" s="340">
        <v>14.78442460867476</v>
      </c>
      <c r="Q122" s="340">
        <v>14.603336862473077</v>
      </c>
    </row>
    <row r="123" spans="3:17" ht="18.75" x14ac:dyDescent="0.4">
      <c r="C123" s="2567"/>
      <c r="D123" s="391" t="s">
        <v>816</v>
      </c>
      <c r="E123" s="340">
        <v>23.463162834350069</v>
      </c>
      <c r="F123" s="340">
        <v>15.459534668006494</v>
      </c>
      <c r="G123" s="340">
        <v>22.900763358778626</v>
      </c>
      <c r="H123" s="340">
        <v>15.084093823063579</v>
      </c>
      <c r="I123" s="340">
        <v>29.804038447209599</v>
      </c>
      <c r="J123" s="340">
        <v>29.452912156689493</v>
      </c>
      <c r="K123" s="340">
        <v>14.564520827264781</v>
      </c>
      <c r="L123" s="340">
        <v>21.602937999567942</v>
      </c>
      <c r="M123" s="340">
        <v>21.385799828913601</v>
      </c>
      <c r="N123" s="340">
        <v>14.107356986668547</v>
      </c>
      <c r="O123" s="340">
        <v>20.945332681700762</v>
      </c>
      <c r="P123" s="340">
        <v>13.83508577753182</v>
      </c>
      <c r="Q123" s="340">
        <v>41.132515253307737</v>
      </c>
    </row>
    <row r="124" spans="3:17" ht="18.75" x14ac:dyDescent="0.4">
      <c r="C124" s="2567"/>
      <c r="D124" s="391" t="s">
        <v>817</v>
      </c>
      <c r="E124" s="340">
        <v>27.308414405188596</v>
      </c>
      <c r="F124" s="340">
        <v>16.95892548248143</v>
      </c>
      <c r="G124" s="340">
        <v>13.4766348842694</v>
      </c>
      <c r="H124" s="340">
        <v>16.72688344707614</v>
      </c>
      <c r="I124" s="340">
        <v>19.940842168234237</v>
      </c>
      <c r="J124" s="340">
        <v>16.506008186980061</v>
      </c>
      <c r="K124" s="340">
        <v>22.971908637437647</v>
      </c>
      <c r="L124" s="340">
        <v>32.629621170098218</v>
      </c>
      <c r="M124" s="340">
        <v>29.203712116295669</v>
      </c>
      <c r="N124" s="340">
        <v>19.366708627868693</v>
      </c>
      <c r="O124" s="340">
        <v>25.691255338963998</v>
      </c>
      <c r="P124" s="340">
        <v>28.78157978893508</v>
      </c>
      <c r="Q124" s="340">
        <v>31.864385176688014</v>
      </c>
    </row>
    <row r="125" spans="3:17" ht="18.75" x14ac:dyDescent="0.4">
      <c r="C125" s="2567"/>
      <c r="D125" s="391" t="s">
        <v>818</v>
      </c>
      <c r="E125" s="340">
        <v>25.017869907076481</v>
      </c>
      <c r="F125" s="340">
        <v>17.549401565406619</v>
      </c>
      <c r="G125" s="340">
        <v>17.227122381477397</v>
      </c>
      <c r="H125" s="340">
        <v>13.527681017281614</v>
      </c>
      <c r="I125" s="340">
        <v>29.902319090969499</v>
      </c>
      <c r="J125" s="340">
        <v>29.389674427717729</v>
      </c>
      <c r="K125" s="340">
        <v>16.060129123438152</v>
      </c>
      <c r="L125" s="340">
        <v>25.291644273023302</v>
      </c>
      <c r="M125" s="340">
        <v>15.566140531116714</v>
      </c>
      <c r="N125" s="340">
        <v>18.40434342504831</v>
      </c>
      <c r="O125" s="340">
        <v>21.167861138830929</v>
      </c>
      <c r="P125" s="340">
        <v>14.904018123286036</v>
      </c>
      <c r="Q125" s="340">
        <v>17.636684303350972</v>
      </c>
    </row>
    <row r="126" spans="3:17" ht="18.75" x14ac:dyDescent="0.4">
      <c r="C126" s="2567"/>
      <c r="D126" s="391" t="s">
        <v>819</v>
      </c>
      <c r="E126" s="340">
        <v>37.021497149344718</v>
      </c>
      <c r="F126" s="340">
        <v>19.505059124710471</v>
      </c>
      <c r="G126" s="340">
        <v>14.45400014454</v>
      </c>
      <c r="H126" s="340">
        <v>9.5210892126059221</v>
      </c>
      <c r="I126" s="340">
        <v>21.168501270110074</v>
      </c>
      <c r="J126" s="340">
        <v>13.952190493907542</v>
      </c>
      <c r="K126" s="340">
        <v>27.56656176058441</v>
      </c>
      <c r="L126" s="340">
        <v>9.0795596413573936</v>
      </c>
      <c r="M126" s="340">
        <v>22.43560979987436</v>
      </c>
      <c r="N126" s="340">
        <v>15.527261434718957</v>
      </c>
      <c r="O126" s="340">
        <v>13.165690211309329</v>
      </c>
      <c r="P126" s="340">
        <v>19.545247247377681</v>
      </c>
      <c r="Q126" s="340">
        <v>14.842520853741798</v>
      </c>
    </row>
    <row r="127" spans="3:17" ht="18.75" x14ac:dyDescent="0.4">
      <c r="C127" s="2567"/>
      <c r="D127" s="391" t="s">
        <v>820</v>
      </c>
      <c r="E127" s="340">
        <v>27.757858943813464</v>
      </c>
      <c r="F127" s="340">
        <v>18.449759000023064</v>
      </c>
      <c r="G127" s="340">
        <v>18.388268284834275</v>
      </c>
      <c r="H127" s="340">
        <v>20.613834173156206</v>
      </c>
      <c r="I127" s="340">
        <v>18.260254274040765</v>
      </c>
      <c r="J127" s="340">
        <v>15.931177314003504</v>
      </c>
      <c r="K127" s="340">
        <v>13.632026173490251</v>
      </c>
      <c r="L127" s="340">
        <v>29.483806586228798</v>
      </c>
      <c r="M127" s="340">
        <v>13.582035494386091</v>
      </c>
      <c r="N127" s="340">
        <v>15.814920247616467</v>
      </c>
      <c r="O127" s="340">
        <v>20.312358941951793</v>
      </c>
      <c r="P127" s="340">
        <v>24.834623981215991</v>
      </c>
      <c r="Q127" s="340">
        <v>11.29177958446251</v>
      </c>
    </row>
    <row r="128" spans="3:17" ht="18.75" x14ac:dyDescent="0.4">
      <c r="C128" s="2567"/>
      <c r="D128" s="391" t="s">
        <v>821</v>
      </c>
      <c r="E128" s="340">
        <v>24.232143938934996</v>
      </c>
      <c r="F128" s="340">
        <v>11.858879335902758</v>
      </c>
      <c r="G128" s="340">
        <v>52.252670692057592</v>
      </c>
      <c r="H128" s="340">
        <v>17.058054244612496</v>
      </c>
      <c r="I128" s="340">
        <v>61.284751239623375</v>
      </c>
      <c r="J128" s="340">
        <v>21.85195301830101</v>
      </c>
      <c r="K128" s="340">
        <v>21.399529210357372</v>
      </c>
      <c r="L128" s="340">
        <v>26.206824257036534</v>
      </c>
      <c r="M128" s="392" t="s">
        <v>751</v>
      </c>
      <c r="N128" s="340">
        <v>10.086746015735324</v>
      </c>
      <c r="O128" s="340">
        <v>14.852220406950838</v>
      </c>
      <c r="P128" s="340">
        <v>33.990482664853836</v>
      </c>
      <c r="Q128" s="340">
        <v>19.062142584826535</v>
      </c>
    </row>
    <row r="129" spans="3:17" ht="18.75" x14ac:dyDescent="0.4">
      <c r="C129" s="2567"/>
      <c r="D129" s="391" t="s">
        <v>822</v>
      </c>
      <c r="E129" s="340">
        <v>21.506301346294464</v>
      </c>
      <c r="F129" s="340">
        <v>23.357540238671593</v>
      </c>
      <c r="G129" s="340">
        <v>16.773246671558866</v>
      </c>
      <c r="H129" s="340">
        <v>39.331773863001217</v>
      </c>
      <c r="I129" s="340">
        <v>16.356907726594287</v>
      </c>
      <c r="J129" s="340">
        <v>30.302418132967013</v>
      </c>
      <c r="K129" s="340">
        <v>13.973171510699457</v>
      </c>
      <c r="L129" s="340">
        <v>13.809429867824027</v>
      </c>
      <c r="M129" s="340">
        <v>19.496597843676277</v>
      </c>
      <c r="N129" s="340">
        <v>28.921237828979077</v>
      </c>
      <c r="O129" s="340">
        <v>17.169346992502721</v>
      </c>
      <c r="P129" s="340">
        <v>7.5540111799365457</v>
      </c>
      <c r="Q129" s="340">
        <v>13.088026325630095</v>
      </c>
    </row>
    <row r="130" spans="3:17" ht="16.149999999999999" customHeight="1" x14ac:dyDescent="0.4">
      <c r="C130" s="2567"/>
      <c r="D130" s="391" t="s">
        <v>823</v>
      </c>
      <c r="E130" s="340">
        <v>5.1140431625242924</v>
      </c>
      <c r="F130" s="392" t="s">
        <v>751</v>
      </c>
      <c r="G130" s="340">
        <v>9.6038415366146452</v>
      </c>
      <c r="H130" s="340">
        <v>13.971033390769804</v>
      </c>
      <c r="I130" s="340">
        <v>9.0424088977303558</v>
      </c>
      <c r="J130" s="340">
        <v>8.7846444415162299</v>
      </c>
      <c r="K130" s="340">
        <v>12.806830309498398</v>
      </c>
      <c r="L130" s="340">
        <v>4.1523066063198106</v>
      </c>
      <c r="M130" s="340">
        <v>16.170109552492217</v>
      </c>
      <c r="N130" s="340">
        <v>3.9399550845120364</v>
      </c>
      <c r="O130" s="340">
        <v>3.8420162901490698</v>
      </c>
      <c r="P130" s="340">
        <v>11.227124733355787</v>
      </c>
      <c r="Q130" s="340">
        <v>10.947306962487229</v>
      </c>
    </row>
    <row r="131" spans="3:17" ht="16.149999999999999" customHeight="1" x14ac:dyDescent="0.4">
      <c r="C131" s="2567"/>
      <c r="D131" s="391" t="s">
        <v>824</v>
      </c>
      <c r="E131" s="391"/>
      <c r="F131" s="391"/>
      <c r="G131" s="391"/>
      <c r="H131" s="391"/>
      <c r="I131" s="391"/>
      <c r="J131" s="391"/>
      <c r="K131" s="391"/>
      <c r="L131" s="391"/>
      <c r="M131" s="391"/>
      <c r="N131" s="391"/>
      <c r="O131" s="391"/>
      <c r="P131" s="391"/>
      <c r="Q131" s="392" t="s">
        <v>751</v>
      </c>
    </row>
    <row r="132" spans="3:17" ht="16.149999999999999" customHeight="1" x14ac:dyDescent="0.4">
      <c r="C132" s="2567"/>
      <c r="D132" s="391" t="s">
        <v>825</v>
      </c>
      <c r="E132" s="391"/>
      <c r="F132" s="391"/>
      <c r="G132" s="391"/>
      <c r="H132" s="391"/>
      <c r="I132" s="391"/>
      <c r="J132" s="391"/>
      <c r="K132" s="391"/>
      <c r="L132" s="391"/>
      <c r="M132" s="391"/>
      <c r="N132" s="391"/>
      <c r="O132" s="391"/>
      <c r="P132" s="391"/>
      <c r="Q132" s="392" t="s">
        <v>751</v>
      </c>
    </row>
    <row r="133" spans="3:17" ht="18.75" x14ac:dyDescent="0.4">
      <c r="C133" s="2567" t="s">
        <v>334</v>
      </c>
      <c r="D133" s="391" t="s">
        <v>334</v>
      </c>
      <c r="E133" s="340">
        <v>21.892559657225068</v>
      </c>
      <c r="F133" s="340">
        <v>24.918495753473017</v>
      </c>
      <c r="G133" s="340">
        <v>17.569788232375952</v>
      </c>
      <c r="H133" s="340">
        <v>12.343774108933808</v>
      </c>
      <c r="I133" s="340">
        <v>11.263452145687634</v>
      </c>
      <c r="J133" s="340">
        <v>20.394636210676591</v>
      </c>
      <c r="K133" s="340">
        <v>23.359977249413461</v>
      </c>
      <c r="L133" s="340">
        <v>24.279702168986727</v>
      </c>
      <c r="M133" s="340">
        <v>12.095311051082531</v>
      </c>
      <c r="N133" s="340">
        <v>17.077703551157768</v>
      </c>
      <c r="O133" s="340">
        <v>13.021355022236467</v>
      </c>
      <c r="P133" s="340">
        <v>18.992213192591038</v>
      </c>
      <c r="Q133" s="340">
        <v>14.964683347300372</v>
      </c>
    </row>
    <row r="134" spans="3:17" ht="18.75" x14ac:dyDescent="0.4">
      <c r="C134" s="2567"/>
      <c r="D134" s="391" t="s">
        <v>826</v>
      </c>
      <c r="E134" s="340">
        <v>12.394069437774023</v>
      </c>
      <c r="F134" s="340">
        <v>16.004389775481275</v>
      </c>
      <c r="G134" s="340">
        <v>14.991717076315336</v>
      </c>
      <c r="H134" s="340">
        <v>10.323646311877356</v>
      </c>
      <c r="I134" s="340">
        <v>9.4333461530088751</v>
      </c>
      <c r="J134" s="340">
        <v>15.002679049830329</v>
      </c>
      <c r="K134" s="340">
        <v>13.364188195904932</v>
      </c>
      <c r="L134" s="340">
        <v>24.248470614317682</v>
      </c>
      <c r="M134" s="340">
        <v>17.066943378708647</v>
      </c>
      <c r="N134" s="340">
        <v>13.459584233443028</v>
      </c>
      <c r="O134" s="340">
        <v>15.929485477619073</v>
      </c>
      <c r="P134" s="340">
        <v>15.718224626528434</v>
      </c>
      <c r="Q134" s="340">
        <v>22.628237454258635</v>
      </c>
    </row>
    <row r="135" spans="3:17" ht="18.75" x14ac:dyDescent="0.4">
      <c r="C135" s="2567"/>
      <c r="D135" s="391" t="s">
        <v>827</v>
      </c>
      <c r="E135" s="340">
        <v>15.041112373821779</v>
      </c>
      <c r="F135" s="340">
        <v>19.875447197561947</v>
      </c>
      <c r="G135" s="340">
        <v>9.847850706583289</v>
      </c>
      <c r="H135" s="340">
        <v>17.881526757266403</v>
      </c>
      <c r="I135" s="340">
        <v>11.274683503527365</v>
      </c>
      <c r="J135" s="340">
        <v>11.177287751289379</v>
      </c>
      <c r="K135" s="340">
        <v>19.010804473875986</v>
      </c>
      <c r="L135" s="340">
        <v>11.007327735320942</v>
      </c>
      <c r="M135" s="340">
        <v>15.613777597351904</v>
      </c>
      <c r="N135" s="340">
        <v>7.7518178012743988</v>
      </c>
      <c r="O135" s="340">
        <v>10.782003296212435</v>
      </c>
      <c r="P135" s="340">
        <v>19.905982513359977</v>
      </c>
      <c r="Q135" s="340">
        <v>12.181566244879935</v>
      </c>
    </row>
    <row r="136" spans="3:17" ht="18.75" x14ac:dyDescent="0.4">
      <c r="C136" s="2567"/>
      <c r="D136" s="391" t="s">
        <v>828</v>
      </c>
      <c r="E136" s="340">
        <v>11.394063692816042</v>
      </c>
      <c r="F136" s="340">
        <v>16.725204883759826</v>
      </c>
      <c r="G136" s="340">
        <v>19.103239363589228</v>
      </c>
      <c r="H136" s="340">
        <v>10.686615014694096</v>
      </c>
      <c r="I136" s="340">
        <v>18.316935315051289</v>
      </c>
      <c r="J136" s="340">
        <v>10.260619741432382</v>
      </c>
      <c r="K136" s="340">
        <v>17.571163211004567</v>
      </c>
      <c r="L136" s="340">
        <v>19.665199970502201</v>
      </c>
      <c r="M136" s="340">
        <v>16.860157040319859</v>
      </c>
      <c r="N136" s="340">
        <v>16.528535335647327</v>
      </c>
      <c r="O136" s="340">
        <v>16.221351933816884</v>
      </c>
      <c r="P136" s="340">
        <v>11.368287026510846</v>
      </c>
      <c r="Q136" s="340">
        <v>13.392259274139549</v>
      </c>
    </row>
    <row r="137" spans="3:17" ht="18.75" x14ac:dyDescent="0.4">
      <c r="C137" s="2567"/>
      <c r="D137" s="391" t="s">
        <v>829</v>
      </c>
      <c r="E137" s="340">
        <v>24.649970420035494</v>
      </c>
      <c r="F137" s="340">
        <v>17.011762418586567</v>
      </c>
      <c r="G137" s="340">
        <v>31.144438322033494</v>
      </c>
      <c r="H137" s="340">
        <v>18.889308651303363</v>
      </c>
      <c r="I137" s="340">
        <v>6.9835653428930575</v>
      </c>
      <c r="J137" s="340">
        <v>9.1856886970100575</v>
      </c>
      <c r="K137" s="340">
        <v>18.129900738793456</v>
      </c>
      <c r="L137" s="340">
        <v>17.891088001789107</v>
      </c>
      <c r="M137" s="340">
        <v>13.250590755504517</v>
      </c>
      <c r="N137" s="340">
        <v>10.907742315495538</v>
      </c>
      <c r="O137" s="340">
        <v>10.780741283770672</v>
      </c>
      <c r="P137" s="340">
        <v>27.724461505651526</v>
      </c>
      <c r="Q137" s="340">
        <v>21.101052942541834</v>
      </c>
    </row>
    <row r="138" spans="3:17" ht="18.75" x14ac:dyDescent="0.4">
      <c r="C138" s="2568"/>
      <c r="D138" s="395" t="s">
        <v>830</v>
      </c>
      <c r="E138" s="397">
        <v>24.156711173576948</v>
      </c>
      <c r="F138" s="397">
        <v>2.151555574680494</v>
      </c>
      <c r="G138" s="397">
        <v>23.19158356349223</v>
      </c>
      <c r="H138" s="397">
        <v>16.527218262576177</v>
      </c>
      <c r="I138" s="397">
        <v>14.177789480080206</v>
      </c>
      <c r="J138" s="397">
        <v>19.870444700552397</v>
      </c>
      <c r="K138" s="397">
        <v>15.595453925180809</v>
      </c>
      <c r="L138" s="397">
        <v>7.6525731777310124</v>
      </c>
      <c r="M138" s="397">
        <v>18.782164456631982</v>
      </c>
      <c r="N138" s="397">
        <v>7.3807546821662511</v>
      </c>
      <c r="O138" s="397">
        <v>18.139602379915832</v>
      </c>
      <c r="P138" s="397">
        <v>17.831033130059556</v>
      </c>
      <c r="Q138" s="397">
        <v>19.291138352536787</v>
      </c>
    </row>
    <row r="139" spans="3:17" ht="18.75" x14ac:dyDescent="0.4">
      <c r="C139" s="5" t="s">
        <v>831</v>
      </c>
      <c r="D139" s="5"/>
      <c r="E139" s="5"/>
      <c r="F139" s="5"/>
      <c r="G139" s="5"/>
      <c r="H139" s="5"/>
      <c r="I139" s="5"/>
      <c r="J139" s="5"/>
      <c r="K139" s="5"/>
      <c r="L139" s="5"/>
      <c r="M139" s="5"/>
      <c r="N139" s="5"/>
      <c r="O139" s="5"/>
      <c r="P139" s="5"/>
    </row>
  </sheetData>
  <mergeCells count="22">
    <mergeCell ref="A5:B5"/>
    <mergeCell ref="C5:X5"/>
    <mergeCell ref="C1:D1"/>
    <mergeCell ref="A3:B3"/>
    <mergeCell ref="C3:X3"/>
    <mergeCell ref="A4:B4"/>
    <mergeCell ref="C4:X4"/>
    <mergeCell ref="A6:B6"/>
    <mergeCell ref="C6:X6"/>
    <mergeCell ref="C11:C12"/>
    <mergeCell ref="D11:D12"/>
    <mergeCell ref="E11:T11"/>
    <mergeCell ref="V11:AB11"/>
    <mergeCell ref="C120:C132"/>
    <mergeCell ref="C133:C138"/>
    <mergeCell ref="AD11:AE11"/>
    <mergeCell ref="C55:C74"/>
    <mergeCell ref="C75:C90"/>
    <mergeCell ref="C91:C98"/>
    <mergeCell ref="C99:C108"/>
    <mergeCell ref="C109:C119"/>
    <mergeCell ref="V13:AB27"/>
  </mergeCells>
  <conditionalFormatting sqref="E55:P55">
    <cfRule type="cellIs" dxfId="412" priority="84" operator="equal">
      <formula>0</formula>
    </cfRule>
  </conditionalFormatting>
  <conditionalFormatting sqref="E56:P56">
    <cfRule type="cellIs" dxfId="411" priority="83" operator="equal">
      <formula>0</formula>
    </cfRule>
  </conditionalFormatting>
  <conditionalFormatting sqref="E57:P57">
    <cfRule type="cellIs" dxfId="410" priority="82" operator="equal">
      <formula>0</formula>
    </cfRule>
  </conditionalFormatting>
  <conditionalFormatting sqref="E58:P58">
    <cfRule type="cellIs" dxfId="409" priority="81" operator="equal">
      <formula>0</formula>
    </cfRule>
  </conditionalFormatting>
  <conditionalFormatting sqref="E59:P59">
    <cfRule type="cellIs" dxfId="408" priority="80" operator="equal">
      <formula>0</formula>
    </cfRule>
  </conditionalFormatting>
  <conditionalFormatting sqref="E60:P60">
    <cfRule type="cellIs" dxfId="407" priority="79" operator="equal">
      <formula>0</formula>
    </cfRule>
  </conditionalFormatting>
  <conditionalFormatting sqref="E61:P61">
    <cfRule type="cellIs" dxfId="406" priority="78" operator="equal">
      <formula>0</formula>
    </cfRule>
  </conditionalFormatting>
  <conditionalFormatting sqref="E62:P62">
    <cfRule type="cellIs" dxfId="405" priority="77" operator="equal">
      <formula>0</formula>
    </cfRule>
  </conditionalFormatting>
  <conditionalFormatting sqref="E63:P63">
    <cfRule type="cellIs" dxfId="404" priority="76" operator="equal">
      <formula>0</formula>
    </cfRule>
  </conditionalFormatting>
  <conditionalFormatting sqref="E64:P64">
    <cfRule type="cellIs" dxfId="403" priority="75" operator="equal">
      <formula>0</formula>
    </cfRule>
  </conditionalFormatting>
  <conditionalFormatting sqref="E65:P65">
    <cfRule type="cellIs" dxfId="402" priority="74" operator="equal">
      <formula>0</formula>
    </cfRule>
  </conditionalFormatting>
  <conditionalFormatting sqref="E66:P66">
    <cfRule type="cellIs" dxfId="401" priority="73" operator="equal">
      <formula>0</formula>
    </cfRule>
  </conditionalFormatting>
  <conditionalFormatting sqref="E67:P67">
    <cfRule type="cellIs" dxfId="400" priority="72" operator="equal">
      <formula>0</formula>
    </cfRule>
  </conditionalFormatting>
  <conditionalFormatting sqref="E68:P68">
    <cfRule type="cellIs" dxfId="399" priority="71" operator="equal">
      <formula>0</formula>
    </cfRule>
  </conditionalFormatting>
  <conditionalFormatting sqref="E69:P69">
    <cfRule type="cellIs" dxfId="398" priority="70" operator="equal">
      <formula>0</formula>
    </cfRule>
  </conditionalFormatting>
  <conditionalFormatting sqref="E70:P70">
    <cfRule type="cellIs" dxfId="397" priority="69" operator="equal">
      <formula>0</formula>
    </cfRule>
  </conditionalFormatting>
  <conditionalFormatting sqref="E71:P71">
    <cfRule type="cellIs" dxfId="396" priority="68" operator="equal">
      <formula>0</formula>
    </cfRule>
  </conditionalFormatting>
  <conditionalFormatting sqref="E72:P72">
    <cfRule type="cellIs" dxfId="395" priority="67" operator="equal">
      <formula>0</formula>
    </cfRule>
  </conditionalFormatting>
  <conditionalFormatting sqref="E73:P73">
    <cfRule type="cellIs" dxfId="394" priority="66" operator="equal">
      <formula>0</formula>
    </cfRule>
  </conditionalFormatting>
  <conditionalFormatting sqref="E74:P74">
    <cfRule type="cellIs" dxfId="393" priority="65" operator="equal">
      <formula>0</formula>
    </cfRule>
  </conditionalFormatting>
  <conditionalFormatting sqref="E75:P75">
    <cfRule type="cellIs" dxfId="392" priority="64" operator="equal">
      <formula>0</formula>
    </cfRule>
  </conditionalFormatting>
  <conditionalFormatting sqref="E76:P76">
    <cfRule type="cellIs" dxfId="391" priority="63" operator="equal">
      <formula>0</formula>
    </cfRule>
  </conditionalFormatting>
  <conditionalFormatting sqref="E77:P77">
    <cfRule type="cellIs" dxfId="390" priority="62" operator="equal">
      <formula>0</formula>
    </cfRule>
  </conditionalFormatting>
  <conditionalFormatting sqref="E78:P78">
    <cfRule type="cellIs" dxfId="389" priority="61" operator="equal">
      <formula>0</formula>
    </cfRule>
  </conditionalFormatting>
  <conditionalFormatting sqref="E79:P79">
    <cfRule type="cellIs" dxfId="388" priority="60" operator="equal">
      <formula>0</formula>
    </cfRule>
  </conditionalFormatting>
  <conditionalFormatting sqref="E80:P80">
    <cfRule type="cellIs" dxfId="387" priority="59" operator="equal">
      <formula>0</formula>
    </cfRule>
  </conditionalFormatting>
  <conditionalFormatting sqref="E81:P81">
    <cfRule type="cellIs" dxfId="386" priority="58" operator="equal">
      <formula>0</formula>
    </cfRule>
  </conditionalFormatting>
  <conditionalFormatting sqref="E82:P82">
    <cfRule type="cellIs" dxfId="385" priority="57" operator="equal">
      <formula>0</formula>
    </cfRule>
  </conditionalFormatting>
  <conditionalFormatting sqref="E83:P83">
    <cfRule type="cellIs" dxfId="384" priority="56" operator="equal">
      <formula>0</formula>
    </cfRule>
  </conditionalFormatting>
  <conditionalFormatting sqref="E84:P84">
    <cfRule type="cellIs" dxfId="383" priority="55" operator="equal">
      <formula>0</formula>
    </cfRule>
  </conditionalFormatting>
  <conditionalFormatting sqref="E85:P85">
    <cfRule type="cellIs" dxfId="382" priority="54" operator="equal">
      <formula>0</formula>
    </cfRule>
  </conditionalFormatting>
  <conditionalFormatting sqref="E86:P86">
    <cfRule type="cellIs" dxfId="381" priority="53" operator="equal">
      <formula>0</formula>
    </cfRule>
  </conditionalFormatting>
  <conditionalFormatting sqref="E87:P87">
    <cfRule type="cellIs" dxfId="380" priority="52" operator="equal">
      <formula>0</formula>
    </cfRule>
  </conditionalFormatting>
  <conditionalFormatting sqref="E88:P88">
    <cfRule type="cellIs" dxfId="379" priority="51" operator="equal">
      <formula>0</formula>
    </cfRule>
  </conditionalFormatting>
  <conditionalFormatting sqref="E89:P89">
    <cfRule type="cellIs" dxfId="378" priority="50" operator="equal">
      <formula>0</formula>
    </cfRule>
  </conditionalFormatting>
  <conditionalFormatting sqref="E90:P90">
    <cfRule type="cellIs" dxfId="377" priority="49" operator="equal">
      <formula>0</formula>
    </cfRule>
  </conditionalFormatting>
  <conditionalFormatting sqref="E91:P91">
    <cfRule type="cellIs" dxfId="376" priority="48" operator="equal">
      <formula>0</formula>
    </cfRule>
  </conditionalFormatting>
  <conditionalFormatting sqref="E92:P92">
    <cfRule type="cellIs" dxfId="375" priority="47" operator="equal">
      <formula>0</formula>
    </cfRule>
  </conditionalFormatting>
  <conditionalFormatting sqref="E93:P93">
    <cfRule type="cellIs" dxfId="374" priority="46" operator="equal">
      <formula>0</formula>
    </cfRule>
  </conditionalFormatting>
  <conditionalFormatting sqref="E94:P94">
    <cfRule type="cellIs" dxfId="373" priority="45" operator="equal">
      <formula>0</formula>
    </cfRule>
  </conditionalFormatting>
  <conditionalFormatting sqref="E95:P95">
    <cfRule type="cellIs" dxfId="372" priority="44" operator="equal">
      <formula>0</formula>
    </cfRule>
  </conditionalFormatting>
  <conditionalFormatting sqref="E96:P96">
    <cfRule type="cellIs" dxfId="371" priority="43" operator="equal">
      <formula>0</formula>
    </cfRule>
  </conditionalFormatting>
  <conditionalFormatting sqref="E97:P97">
    <cfRule type="cellIs" dxfId="370" priority="42" operator="equal">
      <formula>0</formula>
    </cfRule>
  </conditionalFormatting>
  <conditionalFormatting sqref="E98:P98">
    <cfRule type="cellIs" dxfId="369" priority="41" operator="equal">
      <formula>0</formula>
    </cfRule>
  </conditionalFormatting>
  <conditionalFormatting sqref="E99:P99">
    <cfRule type="cellIs" dxfId="368" priority="40" operator="equal">
      <formula>0</formula>
    </cfRule>
  </conditionalFormatting>
  <conditionalFormatting sqref="E100:P100">
    <cfRule type="cellIs" dxfId="367" priority="39" operator="equal">
      <formula>0</formula>
    </cfRule>
  </conditionalFormatting>
  <conditionalFormatting sqref="E101:P101">
    <cfRule type="cellIs" dxfId="366" priority="38" operator="equal">
      <formula>0</formula>
    </cfRule>
  </conditionalFormatting>
  <conditionalFormatting sqref="E102:P102">
    <cfRule type="cellIs" dxfId="365" priority="37" operator="equal">
      <formula>0</formula>
    </cfRule>
  </conditionalFormatting>
  <conditionalFormatting sqref="E103:P103">
    <cfRule type="cellIs" dxfId="364" priority="36" operator="equal">
      <formula>0</formula>
    </cfRule>
  </conditionalFormatting>
  <conditionalFormatting sqref="E104:P104">
    <cfRule type="cellIs" dxfId="363" priority="35" operator="equal">
      <formula>0</formula>
    </cfRule>
  </conditionalFormatting>
  <conditionalFormatting sqref="E105:P105">
    <cfRule type="cellIs" dxfId="362" priority="34" operator="equal">
      <formula>0</formula>
    </cfRule>
  </conditionalFormatting>
  <conditionalFormatting sqref="E106:P106">
    <cfRule type="cellIs" dxfId="361" priority="33" operator="equal">
      <formula>0</formula>
    </cfRule>
  </conditionalFormatting>
  <conditionalFormatting sqref="E107:P107">
    <cfRule type="cellIs" dxfId="360" priority="32" operator="equal">
      <formula>0</formula>
    </cfRule>
  </conditionalFormatting>
  <conditionalFormatting sqref="E108:P108">
    <cfRule type="cellIs" dxfId="359" priority="31" operator="equal">
      <formula>0</formula>
    </cfRule>
  </conditionalFormatting>
  <conditionalFormatting sqref="E109:P109">
    <cfRule type="cellIs" dxfId="358" priority="30" operator="equal">
      <formula>0</formula>
    </cfRule>
  </conditionalFormatting>
  <conditionalFormatting sqref="E110:P110">
    <cfRule type="cellIs" dxfId="357" priority="29" operator="equal">
      <formula>0</formula>
    </cfRule>
  </conditionalFormatting>
  <conditionalFormatting sqref="E111:P111">
    <cfRule type="cellIs" dxfId="356" priority="28" operator="equal">
      <formula>0</formula>
    </cfRule>
  </conditionalFormatting>
  <conditionalFormatting sqref="E112:P112">
    <cfRule type="cellIs" dxfId="355" priority="27" operator="equal">
      <formula>0</formula>
    </cfRule>
  </conditionalFormatting>
  <conditionalFormatting sqref="E113:P113">
    <cfRule type="cellIs" dxfId="354" priority="26" operator="equal">
      <formula>0</formula>
    </cfRule>
  </conditionalFormatting>
  <conditionalFormatting sqref="E114:P114">
    <cfRule type="cellIs" dxfId="353" priority="25" operator="equal">
      <formula>0</formula>
    </cfRule>
  </conditionalFormatting>
  <conditionalFormatting sqref="E115:P115">
    <cfRule type="cellIs" dxfId="352" priority="24" operator="equal">
      <formula>0</formula>
    </cfRule>
  </conditionalFormatting>
  <conditionalFormatting sqref="E116:P116">
    <cfRule type="cellIs" dxfId="351" priority="23" operator="equal">
      <formula>0</formula>
    </cfRule>
  </conditionalFormatting>
  <conditionalFormatting sqref="E117:P117">
    <cfRule type="cellIs" dxfId="350" priority="22" operator="equal">
      <formula>0</formula>
    </cfRule>
  </conditionalFormatting>
  <conditionalFormatting sqref="E118:P118">
    <cfRule type="cellIs" dxfId="349" priority="21" operator="equal">
      <formula>0</formula>
    </cfRule>
  </conditionalFormatting>
  <conditionalFormatting sqref="E119:P119">
    <cfRule type="cellIs" dxfId="348" priority="20" operator="equal">
      <formula>0</formula>
    </cfRule>
  </conditionalFormatting>
  <conditionalFormatting sqref="E120:P120">
    <cfRule type="cellIs" dxfId="347" priority="19" operator="equal">
      <formula>0</formula>
    </cfRule>
  </conditionalFormatting>
  <conditionalFormatting sqref="E121:P121">
    <cfRule type="cellIs" dxfId="346" priority="18" operator="equal">
      <formula>0</formula>
    </cfRule>
  </conditionalFormatting>
  <conditionalFormatting sqref="E122:P122">
    <cfRule type="cellIs" dxfId="345" priority="17" operator="equal">
      <formula>0</formula>
    </cfRule>
  </conditionalFormatting>
  <conditionalFormatting sqref="E123:P123">
    <cfRule type="cellIs" dxfId="344" priority="16" operator="equal">
      <formula>0</formula>
    </cfRule>
  </conditionalFormatting>
  <conditionalFormatting sqref="E124:P124">
    <cfRule type="cellIs" dxfId="343" priority="15" operator="equal">
      <formula>0</formula>
    </cfRule>
  </conditionalFormatting>
  <conditionalFormatting sqref="E125:P125">
    <cfRule type="cellIs" dxfId="342" priority="14" operator="equal">
      <formula>0</formula>
    </cfRule>
  </conditionalFormatting>
  <conditionalFormatting sqref="E126:P126">
    <cfRule type="cellIs" dxfId="341" priority="13" operator="equal">
      <formula>0</formula>
    </cfRule>
  </conditionalFormatting>
  <conditionalFormatting sqref="E127:P127">
    <cfRule type="cellIs" dxfId="340" priority="12" operator="equal">
      <formula>0</formula>
    </cfRule>
  </conditionalFormatting>
  <conditionalFormatting sqref="E128:P128">
    <cfRule type="cellIs" dxfId="339" priority="11" operator="equal">
      <formula>0</formula>
    </cfRule>
  </conditionalFormatting>
  <conditionalFormatting sqref="E129:P129">
    <cfRule type="cellIs" dxfId="338" priority="10" operator="equal">
      <formula>0</formula>
    </cfRule>
  </conditionalFormatting>
  <conditionalFormatting sqref="E130:P130">
    <cfRule type="cellIs" dxfId="337" priority="9" operator="equal">
      <formula>0</formula>
    </cfRule>
  </conditionalFormatting>
  <conditionalFormatting sqref="E133:P133">
    <cfRule type="cellIs" dxfId="336" priority="8" operator="equal">
      <formula>0</formula>
    </cfRule>
  </conditionalFormatting>
  <conditionalFormatting sqref="E134:P134">
    <cfRule type="cellIs" dxfId="335" priority="7" operator="equal">
      <formula>0</formula>
    </cfRule>
  </conditionalFormatting>
  <conditionalFormatting sqref="E135:P135">
    <cfRule type="cellIs" dxfId="334" priority="6" operator="equal">
      <formula>0</formula>
    </cfRule>
  </conditionalFormatting>
  <conditionalFormatting sqref="E136:P136">
    <cfRule type="cellIs" dxfId="333" priority="5" operator="equal">
      <formula>0</formula>
    </cfRule>
  </conditionalFormatting>
  <conditionalFormatting sqref="E137:P137">
    <cfRule type="cellIs" dxfId="332" priority="4" operator="equal">
      <formula>0</formula>
    </cfRule>
  </conditionalFormatting>
  <conditionalFormatting sqref="E138:P138">
    <cfRule type="cellIs" dxfId="331" priority="3" operator="equal">
      <formula>0</formula>
    </cfRule>
  </conditionalFormatting>
  <conditionalFormatting sqref="Q57:Q137">
    <cfRule type="cellIs" dxfId="330" priority="2" operator="equal">
      <formula>0</formula>
    </cfRule>
  </conditionalFormatting>
  <conditionalFormatting sqref="Q138">
    <cfRule type="cellIs" dxfId="329" priority="1" operator="equal">
      <formula>0</formula>
    </cfRule>
  </conditionalFormatting>
  <hyperlinks>
    <hyperlink ref="A1" location="'ODS 3.'!A1" display="REGRESAR" xr:uid="{B63B222A-80A2-44C1-B8EB-E444DD393A26}"/>
    <hyperlink ref="C1" location="'Metadato 3.9.1'!A1" display="VER METADATO" xr:uid="{D0D6B684-2724-477D-8B6D-DDCB41F767D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545</vt:i4>
      </vt:variant>
    </vt:vector>
  </HeadingPairs>
  <TitlesOfParts>
    <vt:vector size="545" baseType="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3.7.1 EMNA</vt:lpstr>
      <vt:lpstr>Metadato 3.7.1 EMNA</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10.3.1 EMNA</vt:lpstr>
      <vt:lpstr>Metadato 10.3.1 EMNA</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11.5.3</vt:lpstr>
      <vt:lpstr>Metadato 11.5.3</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16.b.1 EMNA</vt:lpstr>
      <vt:lpstr>Metadato 16.b.1 EMNA</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Carlos Loria Loria</cp:lastModifiedBy>
  <dcterms:created xsi:type="dcterms:W3CDTF">2024-11-22T19:47:25Z</dcterms:created>
  <dcterms:modified xsi:type="dcterms:W3CDTF">2025-07-10T20:15:42Z</dcterms:modified>
</cp:coreProperties>
</file>